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6.xml" ContentType="application/vnd.openxmlformats-officedocument.spreadsheetml.comments+xml"/>
  <Override PartName="/xl/drawings/drawing5.xml" ContentType="application/vnd.openxmlformats-officedocument.drawing+xml"/>
  <Override PartName="/xl/comments7.xml" ContentType="application/vnd.openxmlformats-officedocument.spreadsheetml.comments+xml"/>
  <Override PartName="/xl/drawings/drawing6.xml" ContentType="application/vnd.openxmlformats-officedocument.drawing+xml"/>
  <Override PartName="/xl/comments8.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9.xml" ContentType="application/vnd.openxmlformats-officedocument.spreadsheetml.comments+xml"/>
  <Override PartName="/xl/threadedComments/threadedComment1.xml" ContentType="application/vnd.ms-excel.threadedcomments+xml"/>
  <Override PartName="/xl/comments10.xml" ContentType="application/vnd.openxmlformats-officedocument.spreadsheetml.comments+xml"/>
  <Override PartName="/xl/threadedComments/threadedComment2.xml" ContentType="application/vnd.ms-excel.threadedcomments+xml"/>
  <Override PartName="/xl/comments11.xml" ContentType="application/vnd.openxmlformats-officedocument.spreadsheetml.comments+xml"/>
  <Override PartName="/xl/threadedComments/threadedComment3.xml" ContentType="application/vnd.ms-excel.threadedcomments+xml"/>
  <Override PartName="/xl/comments12.xml" ContentType="application/vnd.openxmlformats-officedocument.spreadsheetml.comments+xml"/>
  <Override PartName="/xl/comments13.xml" ContentType="application/vnd.openxmlformats-officedocument.spreadsheetml.comments+xml"/>
  <Override PartName="/xl/threadedComments/threadedComment4.xml" ContentType="application/vnd.ms-excel.threaded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C:\Users\EricFaust\Desktop\"/>
    </mc:Choice>
  </mc:AlternateContent>
  <xr:revisionPtr revIDLastSave="0" documentId="8_{B51277A9-4419-4FA2-94DB-FC614B9931BB}" xr6:coauthVersionLast="46" xr6:coauthVersionMax="46" xr10:uidLastSave="{00000000-0000-0000-0000-000000000000}"/>
  <workbookProtection workbookAlgorithmName="SHA-512" workbookHashValue="7RWcA/VQ3giHi7uHPOBv0PRRUz18mgN8pErcWXLdqwh4CMN30A1zIvLISQr8cW8FP4ybDeTcLgIFv9HWVdGJAA==" workbookSaltValue="aTqv8AEJozLb/05nA8L2ng==" workbookSpinCount="100000" lockStructure="1"/>
  <bookViews>
    <workbookView xWindow="-120" yWindow="-120" windowWidth="29040" windowHeight="15840" tabRatio="794" firstSheet="11" activeTab="17" xr2:uid="{00000000-000D-0000-FFFF-FFFF00000000}"/>
  </bookViews>
  <sheets>
    <sheet name="General Instructions" sheetId="16" r:id="rId1"/>
    <sheet name="Conversion Worksheet" sheetId="1" r:id="rId2"/>
    <sheet name="A. Revenue by function" sheetId="2" r:id="rId3"/>
    <sheet name="B.  Property Taxes" sheetId="6" r:id="rId4"/>
    <sheet name="C. Other Revenues" sheetId="11" r:id="rId5"/>
    <sheet name="D. Depreciation" sheetId="5" r:id="rId6"/>
    <sheet name="E. Capital Outlay" sheetId="3" r:id="rId7"/>
    <sheet name="F.  Other Cap Asset Entries" sheetId="4" r:id="rId8"/>
    <sheet name="G. Debt Service" sheetId="12" r:id="rId9"/>
    <sheet name="H. Debt Issues" sheetId="13" r:id="rId10"/>
    <sheet name="I.  Other Asset Entries" sheetId="14" r:id="rId11"/>
    <sheet name="J. Other Liability &amp; Expenses" sheetId="15" r:id="rId12"/>
    <sheet name="K.1  Int. Service Fd Allocation" sheetId="18" r:id="rId13"/>
    <sheet name="K.2  Int. Service Fd Alloca" sheetId="23" r:id="rId14"/>
    <sheet name="K.3 Int. Service Fd Alloca" sheetId="24" r:id="rId15"/>
    <sheet name="L. Eliminations-Consolidations" sheetId="19" r:id="rId16"/>
    <sheet name="M. Net Position Calculation" sheetId="22" r:id="rId17"/>
    <sheet name="N.1 GASB 68 LGERS" sheetId="30" r:id="rId18"/>
    <sheet name="2021 LGERS summary" sheetId="60" state="hidden" r:id="rId19"/>
    <sheet name="LGERS Contributions FY 2020" sheetId="59" state="hidden" r:id="rId20"/>
    <sheet name="2018 summary" sheetId="41" state="hidden" r:id="rId21"/>
    <sheet name="N.1a LGERS Data 2018" sheetId="35" state="hidden" r:id="rId22"/>
    <sheet name="N.1b LGERS Data PY" sheetId="31" state="hidden" r:id="rId23"/>
    <sheet name="2019 LGERS summary" sheetId="49" state="hidden" r:id="rId24"/>
    <sheet name="2020 LGERS summary" sheetId="61" state="hidden" r:id="rId25"/>
    <sheet name="LGERS Contributions FY 2019" sheetId="62" state="hidden" r:id="rId26"/>
    <sheet name="N.2 GASB 68 ROD" sheetId="27" r:id="rId27"/>
    <sheet name="2021 Summary ROD" sheetId="57" state="hidden" r:id="rId28"/>
    <sheet name="2019 Summary ROD" sheetId="50" state="hidden" r:id="rId29"/>
    <sheet name="N.2a ROD 2018 Data PY" sheetId="36" state="hidden" r:id="rId30"/>
    <sheet name="2018 Contributions ROD" sheetId="51" state="hidden" r:id="rId31"/>
    <sheet name="N.2b ROD Data PY" sheetId="33" state="hidden" r:id="rId32"/>
    <sheet name="2020 Summary ROD" sheetId="54" state="hidden" r:id="rId33"/>
    <sheet name="2020 Contributions ROD" sheetId="58" state="hidden" r:id="rId34"/>
    <sheet name="2019 Contributions ROD" sheetId="52" state="hidden" r:id="rId35"/>
    <sheet name="N.3 GASB 68 FRSWPF" sheetId="29" r:id="rId36"/>
    <sheet name="O. GASB 73 LEO Entries" sheetId="37" r:id="rId37"/>
    <sheet name="Sheet1" sheetId="39" state="hidden" r:id="rId38"/>
    <sheet name="P.1 GASB 75 OPEB  - 1" sheetId="43" r:id="rId39"/>
    <sheet name="P.2 GASB 75 OPEB - 2" sheetId="47" r:id="rId40"/>
    <sheet name="P.3 GASB 75 OPEB - 3" sheetId="48" r:id="rId41"/>
    <sheet name="2018 OPEB " sheetId="44" state="hidden" r:id="rId42"/>
  </sheets>
  <externalReferences>
    <externalReference r:id="rId43"/>
    <externalReference r:id="rId44"/>
    <externalReference r:id="rId45"/>
    <externalReference r:id="rId46"/>
    <externalReference r:id="rId47"/>
    <externalReference r:id="rId48"/>
    <externalReference r:id="rId49"/>
    <externalReference r:id="rId50"/>
  </externalReferences>
  <definedNames>
    <definedName name="_xlnm._FilterDatabase" localSheetId="24" hidden="1">'2020 LGERS summary'!$A$7:$T$927</definedName>
    <definedName name="_xlnm._FilterDatabase" localSheetId="18" hidden="1">'2021 LGERS summary'!$A$7:$T$922</definedName>
    <definedName name="_xlnm._FilterDatabase" localSheetId="22" hidden="1">'N.1b LGERS Data PY'!$A$2:$U$897</definedName>
    <definedName name="_xlnm._FilterDatabase" localSheetId="31" hidden="1">'N.2b ROD Data PY'!$B$2:$U$103</definedName>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gencyCode" localSheetId="20">#REF!</definedName>
    <definedName name="AgencyCode" localSheetId="24">#REF!</definedName>
    <definedName name="AgencyCode" localSheetId="18">#REF!</definedName>
    <definedName name="AgencyCode" localSheetId="25">#REF!</definedName>
    <definedName name="AgencyCode" localSheetId="19">#REF!</definedName>
    <definedName name="AgencyCode" localSheetId="21">#REF!</definedName>
    <definedName name="AgencyCode" localSheetId="22">#REF!</definedName>
    <definedName name="AgencyCode" localSheetId="29">#REF!</definedName>
    <definedName name="AgencyCode" localSheetId="31">#REF!</definedName>
    <definedName name="AgencyCode" localSheetId="36">#REF!</definedName>
    <definedName name="AgencyCode" localSheetId="38">#REF!</definedName>
    <definedName name="AgencyCode">#REF!</definedName>
    <definedName name="AgencyCode1" localSheetId="24">#REF!</definedName>
    <definedName name="AgencyCode1" localSheetId="18">#REF!</definedName>
    <definedName name="AgencyCode1" localSheetId="25">#REF!</definedName>
    <definedName name="AgencyCode1" localSheetId="19">#REF!</definedName>
    <definedName name="AgencyCode1" localSheetId="38">#REF!</definedName>
    <definedName name="AgencyCode1">#REF!</definedName>
    <definedName name="AnalystGASB">[1]DeveloperInfo!$D$20</definedName>
    <definedName name="Annuity" localSheetId="20">#REF!</definedName>
    <definedName name="Annuity" localSheetId="24">#REF!</definedName>
    <definedName name="Annuity" localSheetId="18">#REF!</definedName>
    <definedName name="Annuity" localSheetId="25">#REF!</definedName>
    <definedName name="Annuity" localSheetId="19">#REF!</definedName>
    <definedName name="Annuity" localSheetId="21">#REF!</definedName>
    <definedName name="Annuity" localSheetId="22">'[2]Assets Input'!$L$37:$L$56</definedName>
    <definedName name="Annuity" localSheetId="29">'[3]Assets Input'!$E$36:$E$59</definedName>
    <definedName name="Annuity" localSheetId="31">'[4]Assets Input'!$E$36:$E$59</definedName>
    <definedName name="Annuity" localSheetId="36">#REF!</definedName>
    <definedName name="Annuity" localSheetId="38">#REF!</definedName>
    <definedName name="Annuity">#REF!</definedName>
    <definedName name="Annuity1" localSheetId="24">#REF!</definedName>
    <definedName name="Annuity1" localSheetId="18">#REF!</definedName>
    <definedName name="Annuity1" localSheetId="25">#REF!</definedName>
    <definedName name="Annuity1" localSheetId="19">#REF!</definedName>
    <definedName name="Annuity1" localSheetId="38">#REF!</definedName>
    <definedName name="Annuity1">#REF!</definedName>
    <definedName name="AnnuityLY" localSheetId="20">#REF!</definedName>
    <definedName name="AnnuityLY" localSheetId="24">#REF!</definedName>
    <definedName name="AnnuityLY" localSheetId="18">#REF!</definedName>
    <definedName name="AnnuityLY" localSheetId="25">#REF!</definedName>
    <definedName name="AnnuityLY" localSheetId="19">#REF!</definedName>
    <definedName name="AnnuityLY" localSheetId="21">#REF!</definedName>
    <definedName name="AnnuityLY" localSheetId="29">'[5]Assets Input'!#REF!</definedName>
    <definedName name="AnnuityLY" localSheetId="31">'[5]Assets Input'!#REF!</definedName>
    <definedName name="AnnuityLY" localSheetId="36">#REF!</definedName>
    <definedName name="AnnuityLY" localSheetId="38">#REF!</definedName>
    <definedName name="AnnuityLY">#REF!</definedName>
    <definedName name="ASTABPF">[1]DeveloperInfo!$D$36</definedName>
    <definedName name="ASTABPF1">[1]DeveloperInfo!$D$37</definedName>
    <definedName name="ASTEBPF">[1]DeveloperInfo!$F$37</definedName>
    <definedName name="ClientShortGASB">[1]DeveloperInfo!$D$9</definedName>
    <definedName name="CLPOWERDisc">[1]Adjust!$H$199</definedName>
    <definedName name="CLPOWERDiscMinus1">[1]Adjust!$L$199</definedName>
    <definedName name="CLPOWERDiscPlus1">[1]Adjust!$K$199</definedName>
    <definedName name="CLPOWERExp">[1]Adjust!$G$199</definedName>
    <definedName name="CNSDateDisc">[1]DeveloperInfo!$D$32</definedName>
    <definedName name="CNSDateDisc1">[1]DeveloperInfo!$E$32</definedName>
    <definedName name="ColaRate">[1]DeveloperInfo!$D$40</definedName>
    <definedName name="ConsultantNameGASB">[1]DeveloperInfo!$D$22</definedName>
    <definedName name="ConsultantTitleGASB">[1]DeveloperInfo!$D$23</definedName>
    <definedName name="Disc1DELTACENSUS">[1]Adjust!$G$102</definedName>
    <definedName name="Disc1INTNDIV12">[1]Adjust!$H$195</definedName>
    <definedName name="Disc1SINTADJBOM">[1]Adjust!$I$197</definedName>
    <definedName name="Disc1SINTNDIV12">[1]Adjust!$I$195</definedName>
    <definedName name="DiscDELTACENSUS">[1]Adjust!$H$102</definedName>
    <definedName name="DiscINTADJBOM">[1]Adjust!$J$197</definedName>
    <definedName name="DiscINTNDIV12">[1]Adjust!$J$195</definedName>
    <definedName name="DiscMinusOneINTADJBOM">[1]Adjust!$L$197</definedName>
    <definedName name="DiscMinusOneINTNDIV12">[1]Adjust!$L$195</definedName>
    <definedName name="DiscPlusOneINTADJBOM">[1]Adjust!$K$197</definedName>
    <definedName name="DiscPlusOneINTNDIV12">[1]Adjust!$K$195</definedName>
    <definedName name="EmployerRates" localSheetId="20">#REF!</definedName>
    <definedName name="EmployerRates" localSheetId="24">#REF!</definedName>
    <definedName name="EmployerRates" localSheetId="18">#REF!</definedName>
    <definedName name="EmployerRates" localSheetId="25">#REF!</definedName>
    <definedName name="EmployerRates" localSheetId="19">#REF!</definedName>
    <definedName name="EmployerRates" localSheetId="21">#REF!</definedName>
    <definedName name="EmployerRates" localSheetId="22">#REF!</definedName>
    <definedName name="EmployerRates" localSheetId="29">#REF!</definedName>
    <definedName name="EmployerRates" localSheetId="31">#REF!</definedName>
    <definedName name="EmployerRates" localSheetId="36">#REF!</definedName>
    <definedName name="EmployerRates" localSheetId="38">#REF!</definedName>
    <definedName name="EmployerRates">#REF!</definedName>
    <definedName name="EmployerRates1" localSheetId="24">#REF!</definedName>
    <definedName name="EmployerRates1" localSheetId="18">#REF!</definedName>
    <definedName name="EmployerRates1" localSheetId="25">#REF!</definedName>
    <definedName name="EmployerRates1" localSheetId="19">#REF!</definedName>
    <definedName name="EmployerRates1" localSheetId="38">#REF!</definedName>
    <definedName name="EmployerRates1">#REF!</definedName>
    <definedName name="EmployerRatesLEO" localSheetId="20">#REF!</definedName>
    <definedName name="EmployerRatesLEO" localSheetId="24">#REF!</definedName>
    <definedName name="EmployerRatesLEO" localSheetId="18">#REF!</definedName>
    <definedName name="EmployerRatesLEO" localSheetId="25">#REF!</definedName>
    <definedName name="EmployerRatesLEO" localSheetId="19">#REF!</definedName>
    <definedName name="EmployerRatesLEO" localSheetId="21">#REF!</definedName>
    <definedName name="EmployerRatesLEO" localSheetId="22">#REF!</definedName>
    <definedName name="EmployerRatesLEO" localSheetId="29">#REF!</definedName>
    <definedName name="EmployerRatesLEO" localSheetId="31">#REF!</definedName>
    <definedName name="EmployerRatesLEO" localSheetId="36">#REF!</definedName>
    <definedName name="EmployerRatesLEO" localSheetId="38">#REF!</definedName>
    <definedName name="EmployerRatesLEO">#REF!</definedName>
    <definedName name="EmployerRatesLEO1" localSheetId="24">#REF!</definedName>
    <definedName name="EmployerRatesLEO1" localSheetId="18">#REF!</definedName>
    <definedName name="EmployerRatesLEO1" localSheetId="25">#REF!</definedName>
    <definedName name="EmployerRatesLEO1" localSheetId="19">#REF!</definedName>
    <definedName name="EmployerRatesLEO1" localSheetId="38">#REF!</definedName>
    <definedName name="EmployerRatesLEO1">#REF!</definedName>
    <definedName name="ERData">[1]ER_DATA!$B$16:$EN$318</definedName>
    <definedName name="ERID">[1]ER_NPLExpense!$L$8</definedName>
    <definedName name="ERInfo">[1]ER_Input!$B$16:$Y$318</definedName>
    <definedName name="Exp1INTADJBOM">[1]Adjust!$G$197</definedName>
    <definedName name="Exp1INTNDIV12">[1]Adjust!$G$195</definedName>
    <definedName name="FracYearProj">[1]TPL!$C$43</definedName>
    <definedName name="FundOfficeContactGASB">[1]DeveloperInfo!$D$10</definedName>
    <definedName name="FYrsGASB">[1]DeveloperInfo!$D$54</definedName>
    <definedName name="GainLoss">[1]ER_Allocation!$P$12</definedName>
    <definedName name="GASBDiscMinusOneINTADJBOM">[1]Adjust!$L$197</definedName>
    <definedName name="GASBDiscMinusOneINTNDIV12">[1]Adjust!$L$195</definedName>
    <definedName name="InflRate">[1]DeveloperInfo!$D$38</definedName>
    <definedName name="InflRate1">[1]DeveloperInfo!$E$38</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MeasureDate">[1]DeveloperInfo!$D$31</definedName>
    <definedName name="MeasureDate1">[1]DeveloperInfo!$E$31</definedName>
    <definedName name="MeasureDate2">[1]DeveloperInfo!$F$31</definedName>
    <definedName name="N">"N/A"</definedName>
    <definedName name="NDIV12Disc">[1]Adjust!$H$200</definedName>
    <definedName name="NDIV12DiscMinus1">[1]Adjust!$L$200</definedName>
    <definedName name="NDIV12DiscPlus1">[1]Adjust!$K$200</definedName>
    <definedName name="NDIV12Exp">[1]Adjust!$G$200</definedName>
    <definedName name="OfficeAddr1GASB">[1]DeveloperInfo!$D$11</definedName>
    <definedName name="OfficeAddr2GASB">[1]DeveloperInfo!$D$12</definedName>
    <definedName name="Offices">[1]DeveloperInfo!$K$75:$O$91</definedName>
    <definedName name="Pension" localSheetId="20">#REF!</definedName>
    <definedName name="Pension" localSheetId="24">#REF!</definedName>
    <definedName name="Pension" localSheetId="18">#REF!</definedName>
    <definedName name="Pension" localSheetId="25">#REF!</definedName>
    <definedName name="Pension" localSheetId="19">#REF!</definedName>
    <definedName name="Pension" localSheetId="21">#REF!</definedName>
    <definedName name="Pension" localSheetId="22">'[2]Assets Input'!$L$60:$L$95</definedName>
    <definedName name="Pension" localSheetId="29">'[3]Assets Input'!$E$61:$E$89</definedName>
    <definedName name="Pension" localSheetId="31">'[4]Assets Input'!$E$61:$E$89</definedName>
    <definedName name="Pension" localSheetId="36">#REF!</definedName>
    <definedName name="Pension" localSheetId="38">#REF!</definedName>
    <definedName name="Pension">#REF!</definedName>
    <definedName name="Pension1" localSheetId="24">#REF!</definedName>
    <definedName name="Pension1" localSheetId="18">#REF!</definedName>
    <definedName name="Pension1" localSheetId="25">#REF!</definedName>
    <definedName name="Pension1" localSheetId="19">#REF!</definedName>
    <definedName name="Pension1" localSheetId="38">#REF!</definedName>
    <definedName name="Pension1">#REF!</definedName>
    <definedName name="PensionLY" localSheetId="20">#REF!</definedName>
    <definedName name="PensionLY" localSheetId="24">#REF!</definedName>
    <definedName name="PensionLY" localSheetId="18">#REF!</definedName>
    <definedName name="PensionLY" localSheetId="25">#REF!</definedName>
    <definedName name="PensionLY" localSheetId="19">#REF!</definedName>
    <definedName name="PensionLY" localSheetId="21">#REF!</definedName>
    <definedName name="PensionLY" localSheetId="29">'[5]Assets Input'!#REF!</definedName>
    <definedName name="PensionLY" localSheetId="31">'[5]Assets Input'!#REF!</definedName>
    <definedName name="PensionLY" localSheetId="36">#REF!</definedName>
    <definedName name="PensionLY" localSheetId="38">#REF!</definedName>
    <definedName name="PensionLY">#REF!</definedName>
    <definedName name="PlanNameLongGASB">[1]DeveloperInfo!$D$7</definedName>
    <definedName name="PlanNameShortGASB">[1]DeveloperInfo!$D$8</definedName>
    <definedName name="_xlnm.Print_Area" localSheetId="2">'A. Revenue by function'!$A$1:$P$148</definedName>
    <definedName name="_xlnm.Print_Area" localSheetId="3">'B.  Property Taxes'!$A$1:$P$63</definedName>
    <definedName name="_xlnm.Print_Area" localSheetId="4">'C. Other Revenues'!$B$1:$P$250</definedName>
    <definedName name="_xlnm.Print_Area" localSheetId="1">'Conversion Worksheet'!$A$1:$BA$413</definedName>
    <definedName name="_xlnm.Print_Area" localSheetId="5">'D. Depreciation'!$A$1:$P$71</definedName>
    <definedName name="_xlnm.Print_Area" localSheetId="6">'E. Capital Outlay'!$A$1:$Q$71</definedName>
    <definedName name="_xlnm.Print_Area" localSheetId="7">'F.  Other Cap Asset Entries'!$A$1:$U$295</definedName>
    <definedName name="_xlnm.Print_Area" localSheetId="8">'G. Debt Service'!$A$1:$P$58</definedName>
    <definedName name="_xlnm.Print_Area" localSheetId="0">'General Instructions'!$A$1:$L$116</definedName>
    <definedName name="_xlnm.Print_Area" localSheetId="9">'H. Debt Issues'!$A$1:$Q$97</definedName>
    <definedName name="_xlnm.Print_Area" localSheetId="10">'I.  Other Asset Entries'!$A$1:$Q$125</definedName>
    <definedName name="_xlnm.Print_Area" localSheetId="11">'J. Other Liability &amp; Expenses'!$A$1:$P$223</definedName>
    <definedName name="_xlnm.Print_Area" localSheetId="12">'K.1  Int. Service Fd Allocation'!$A$1:$I$229</definedName>
    <definedName name="_xlnm.Print_Area" localSheetId="13">'K.2  Int. Service Fd Alloca'!$A$1:$I$224</definedName>
    <definedName name="_xlnm.Print_Area" localSheetId="14">'K.3 Int. Service Fd Alloca'!$A$1:$I$228</definedName>
    <definedName name="_xlnm.Print_Area" localSheetId="15">'L. Eliminations-Consolidations'!$A$1:$P$300</definedName>
    <definedName name="_xlnm.Print_Area" localSheetId="16">'M. Net Position Calculation'!$A$1:$I$113</definedName>
    <definedName name="_xlnm.Print_Area" localSheetId="22">'N.1b LGERS Data PY'!$B$5:$S$905</definedName>
    <definedName name="_xlnm.Print_Area" localSheetId="31">'N.2b ROD Data PY'!$B$1:$U$106</definedName>
    <definedName name="_xlnm.Print_Area" localSheetId="37">Sheet1!$A$1:$N$24</definedName>
    <definedName name="_xlnm.Print_Titles" localSheetId="2">'A. Revenue by function'!$1:$3</definedName>
    <definedName name="_xlnm.Print_Titles" localSheetId="4">'C. Other Revenues'!$1:$3</definedName>
    <definedName name="_xlnm.Print_Titles" localSheetId="1">'Conversion Worksheet'!$1:$5</definedName>
    <definedName name="_xlnm.Print_Titles" localSheetId="6">'E. Capital Outlay'!$1:$3</definedName>
    <definedName name="_xlnm.Print_Titles" localSheetId="7">'F.  Other Cap Asset Entries'!$1:$3</definedName>
    <definedName name="_xlnm.Print_Titles" localSheetId="8">'G. Debt Service'!$1:$3</definedName>
    <definedName name="_xlnm.Print_Titles" localSheetId="9">'H. Debt Issues'!$1:$3</definedName>
    <definedName name="_xlnm.Print_Titles" localSheetId="10">'I.  Other Asset Entries'!$1:$3</definedName>
    <definedName name="_xlnm.Print_Titles" localSheetId="11">'J. Other Liability &amp; Expenses'!$1:$3</definedName>
    <definedName name="_xlnm.Print_Titles" localSheetId="16">'M. Net Position Calculation'!$1:$2</definedName>
    <definedName name="_xlnm.Print_Titles" localSheetId="21">'N.1a LGERS Data 2018'!$4:$5</definedName>
    <definedName name="_xlnm.Print_Titles" localSheetId="22">'N.1b LGERS Data PY'!$5:$6</definedName>
    <definedName name="_xlnm.Print_Titles" localSheetId="31">'N.2b ROD Data PY'!$1:$2</definedName>
    <definedName name="ProjDisc?">[1]DeveloperInfo!$D$65</definedName>
    <definedName name="ProValResults" localSheetId="20">#REF!</definedName>
    <definedName name="ProValResults" localSheetId="24">#REF!</definedName>
    <definedName name="ProValResults" localSheetId="18">#REF!</definedName>
    <definedName name="ProValResults" localSheetId="25">#REF!</definedName>
    <definedName name="ProValResults" localSheetId="19">#REF!</definedName>
    <definedName name="ProValResults" localSheetId="21">#REF!</definedName>
    <definedName name="ProValResults" localSheetId="22">#REF!</definedName>
    <definedName name="ProValResults" localSheetId="29">[6]ProVal!$B$6:$S$462</definedName>
    <definedName name="ProValResults" localSheetId="31">[7]ProVal!$B$6:$S$462</definedName>
    <definedName name="ProValResults" localSheetId="36">#REF!</definedName>
    <definedName name="ProValResults" localSheetId="38">#REF!</definedName>
    <definedName name="ProValResults">#REF!</definedName>
    <definedName name="ProValResults1" localSheetId="24">#REF!</definedName>
    <definedName name="ProValResults1" localSheetId="18">#REF!</definedName>
    <definedName name="ProValResults1" localSheetId="25">#REF!</definedName>
    <definedName name="ProValResults1" localSheetId="19">#REF!</definedName>
    <definedName name="ProValResults1" localSheetId="38">#REF!</definedName>
    <definedName name="ProValResults1">#REF!</definedName>
    <definedName name="ReportDate67">[1]DeveloperInfo!$D$30</definedName>
    <definedName name="ReportDate671">[1]DeveloperInfo!$E$30</definedName>
    <definedName name="ReportDate68">[1]DeveloperInfo!$D$52</definedName>
    <definedName name="ReportDate681">[1]DeveloperInfo!$E$52</definedName>
    <definedName name="ReviewerGASB">[1]DeveloperInfo!$D$21</definedName>
    <definedName name="Rnd_0">[1]DeveloperInfo!$D$41</definedName>
    <definedName name="RORRate681">[1]DeveloperInfo!$E$53</definedName>
    <definedName name="SalRate">[1]DeveloperInfo!$D$39</definedName>
    <definedName name="SalRate1">[1]DeveloperInfo!$E$39</definedName>
    <definedName name="SegalOfficeGASB">[1]DeveloperInfo!$D$24</definedName>
    <definedName name="TableData" localSheetId="20">#REF!</definedName>
    <definedName name="TableData" localSheetId="24">#REF!</definedName>
    <definedName name="TableData" localSheetId="18">#REF!</definedName>
    <definedName name="TableData" localSheetId="25">#REF!</definedName>
    <definedName name="TableData" localSheetId="19">#REF!</definedName>
    <definedName name="TableData" localSheetId="21">#REF!</definedName>
    <definedName name="TableData" localSheetId="22">#REF!</definedName>
    <definedName name="TableData" localSheetId="29">#REF!</definedName>
    <definedName name="TableData" localSheetId="31">#REF!</definedName>
    <definedName name="TableData" localSheetId="36">#REF!</definedName>
    <definedName name="TableData" localSheetId="38">#REF!</definedName>
    <definedName name="TableData">#REF!</definedName>
    <definedName name="TableData1" localSheetId="24">#REF!</definedName>
    <definedName name="TableData1" localSheetId="18">#REF!</definedName>
    <definedName name="TableData1" localSheetId="25">#REF!</definedName>
    <definedName name="TableData1" localSheetId="19">#REF!</definedName>
    <definedName name="TableData1" localSheetId="38">#REF!</definedName>
    <definedName name="TableData1">#REF!</definedName>
    <definedName name="Total_Summary_Data" localSheetId="18">'2021 LGERS summary'!$A$9:$T$922</definedName>
    <definedName name="Total_Summary_Data">'2020 LGERS summary'!$A$8:$T$927</definedName>
    <definedName name="Type" localSheetId="20">#REF!</definedName>
    <definedName name="Type" localSheetId="24">#REF!</definedName>
    <definedName name="Type" localSheetId="18">#REF!</definedName>
    <definedName name="Type" localSheetId="25">#REF!</definedName>
    <definedName name="Type" localSheetId="19">#REF!</definedName>
    <definedName name="Type" localSheetId="21">#REF!</definedName>
    <definedName name="Type" localSheetId="29">#REF!</definedName>
    <definedName name="Type" localSheetId="36">#REF!</definedName>
    <definedName name="Type" localSheetId="38">#REF!</definedName>
    <definedName name="Type">#REF!</definedName>
    <definedName name="TypeAnnuity" localSheetId="20">#REF!</definedName>
    <definedName name="TypeAnnuity" localSheetId="24">#REF!</definedName>
    <definedName name="TypeAnnuity" localSheetId="18">#REF!</definedName>
    <definedName name="TypeAnnuity" localSheetId="25">#REF!</definedName>
    <definedName name="TypeAnnuity" localSheetId="19">#REF!</definedName>
    <definedName name="TypeAnnuity" localSheetId="21">#REF!</definedName>
    <definedName name="TypeAnnuity" localSheetId="22">'[2]Assets Input'!$K$37:$K$56</definedName>
    <definedName name="TypeAnnuity" localSheetId="29">'[3]Assets Input'!$D$36:$D$59</definedName>
    <definedName name="TypeAnnuity" localSheetId="31">'[4]Assets Input'!$D$36:$D$59</definedName>
    <definedName name="TypeAnnuity" localSheetId="36">#REF!</definedName>
    <definedName name="TypeAnnuity" localSheetId="38">#REF!</definedName>
    <definedName name="TypeAnnuity">#REF!</definedName>
    <definedName name="TypeAnnuity1" localSheetId="24">#REF!</definedName>
    <definedName name="TypeAnnuity1" localSheetId="18">#REF!</definedName>
    <definedName name="TypeAnnuity1" localSheetId="25">#REF!</definedName>
    <definedName name="TypeAnnuity1" localSheetId="19">#REF!</definedName>
    <definedName name="TypeAnnuity1" localSheetId="38">#REF!</definedName>
    <definedName name="TypeAnnuity1">#REF!</definedName>
    <definedName name="TypePension" localSheetId="20">#REF!</definedName>
    <definedName name="TypePension" localSheetId="24">#REF!</definedName>
    <definedName name="TypePension" localSheetId="18">#REF!</definedName>
    <definedName name="TypePension" localSheetId="25">#REF!</definedName>
    <definedName name="TypePension" localSheetId="19">#REF!</definedName>
    <definedName name="TypePension" localSheetId="21">#REF!</definedName>
    <definedName name="TypePension" localSheetId="22">'[2]Assets Input'!$K$60:$K$95</definedName>
    <definedName name="TypePension" localSheetId="29">'[3]Assets Input'!$D$61:$D$89</definedName>
    <definedName name="TypePension" localSheetId="31">'[4]Assets Input'!$D$61:$D$89</definedName>
    <definedName name="TypePension" localSheetId="36">#REF!</definedName>
    <definedName name="TypePension" localSheetId="38">#REF!</definedName>
    <definedName name="TypePension">#REF!</definedName>
    <definedName name="TypePension1" localSheetId="24">#REF!</definedName>
    <definedName name="TypePension1" localSheetId="18">#REF!</definedName>
    <definedName name="TypePension1" localSheetId="25">#REF!</definedName>
    <definedName name="TypePension1" localSheetId="19">#REF!</definedName>
    <definedName name="TypePension1" localSheetId="38">#REF!</definedName>
    <definedName name="TypePension1">#REF!</definedName>
    <definedName name="UnfundedData" localSheetId="20">#REF!</definedName>
    <definedName name="UnfundedData" localSheetId="24">#REF!</definedName>
    <definedName name="UnfundedData" localSheetId="18">#REF!</definedName>
    <definedName name="UnfundedData" localSheetId="25">#REF!</definedName>
    <definedName name="UnfundedData" localSheetId="19">#REF!</definedName>
    <definedName name="UnfundedData" localSheetId="21">#REF!</definedName>
    <definedName name="UnfundedData" localSheetId="22">#REF!</definedName>
    <definedName name="UnfundedData" localSheetId="29">#REF!</definedName>
    <definedName name="UnfundedData" localSheetId="31">#REF!</definedName>
    <definedName name="UnfundedData" localSheetId="36">#REF!</definedName>
    <definedName name="UnfundedData" localSheetId="38">#REF!</definedName>
    <definedName name="UnfundedData">#REF!</definedName>
    <definedName name="UnfundedData1" localSheetId="24">#REF!</definedName>
    <definedName name="UnfundedData1" localSheetId="18">#REF!</definedName>
    <definedName name="UnfundedData1" localSheetId="25">#REF!</definedName>
    <definedName name="UnfundedData1" localSheetId="19">#REF!</definedName>
    <definedName name="UnfundedData1" localSheetId="38">#REF!</definedName>
    <definedName name="UnfundedData1">#REF!</definedName>
    <definedName name="UnfundedLY" localSheetId="20">#REF!</definedName>
    <definedName name="UnfundedLY" localSheetId="24">#REF!</definedName>
    <definedName name="UnfundedLY" localSheetId="18">#REF!</definedName>
    <definedName name="UnfundedLY" localSheetId="25">#REF!</definedName>
    <definedName name="UnfundedLY" localSheetId="19">#REF!</definedName>
    <definedName name="UnfundedLY" localSheetId="21">#REF!</definedName>
    <definedName name="UnfundedLY" localSheetId="22">#REF!</definedName>
    <definedName name="UnfundedLY" localSheetId="29">#REF!</definedName>
    <definedName name="UnfundedLY" localSheetId="31">#REF!</definedName>
    <definedName name="UnfundedLY" localSheetId="36">#REF!</definedName>
    <definedName name="UnfundedLY" localSheetId="38">#REF!</definedName>
    <definedName name="UnfundedLY">#REF!</definedName>
    <definedName name="UnfundedLY1" localSheetId="24">#REF!</definedName>
    <definedName name="UnfundedLY1" localSheetId="18">#REF!</definedName>
    <definedName name="UnfundedLY1" localSheetId="25">#REF!</definedName>
    <definedName name="UnfundedLY1" localSheetId="19">#REF!</definedName>
    <definedName name="UnfundedLY1" localSheetId="38">#REF!</definedName>
    <definedName name="UnfundedLY1">#REF!</definedName>
    <definedName name="UnfundedLYLEO1" localSheetId="24">#REF!</definedName>
    <definedName name="UnfundedLYLEO1" localSheetId="18">#REF!</definedName>
    <definedName name="UnfundedLYLEO1" localSheetId="25">#REF!</definedName>
    <definedName name="UnfundedLYLEO1" localSheetId="19">#REF!</definedName>
    <definedName name="UnfundedLYLEO1" localSheetId="38">#REF!</definedName>
    <definedName name="UnfundedLYLEO1">#REF!</definedName>
    <definedName name="UnfunedLYLEO" localSheetId="20">#REF!</definedName>
    <definedName name="UnfunedLYLEO" localSheetId="24">#REF!</definedName>
    <definedName name="UnfunedLYLEO" localSheetId="18">#REF!</definedName>
    <definedName name="UnfunedLYLEO" localSheetId="25">#REF!</definedName>
    <definedName name="UnfunedLYLEO" localSheetId="19">#REF!</definedName>
    <definedName name="UnfunedLYLEO" localSheetId="21">#REF!</definedName>
    <definedName name="UnfunedLYLEO" localSheetId="22">#REF!</definedName>
    <definedName name="UnfunedLYLEO" localSheetId="29">#REF!</definedName>
    <definedName name="UnfunedLYLEO" localSheetId="31">#REF!</definedName>
    <definedName name="UnfunedLYLEO" localSheetId="36">#REF!</definedName>
    <definedName name="UnfunedLYLEO" localSheetId="38">#REF!</definedName>
    <definedName name="UnfunedLYLEO">#REF!</definedName>
    <definedName name="VersionGASB">[1]DeveloperInfo!$D$4</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37" i="30" l="1"/>
  <c r="U37" i="30"/>
  <c r="T37" i="30"/>
  <c r="R37" i="30"/>
  <c r="Q37" i="30"/>
  <c r="P37" i="30"/>
  <c r="O37" i="30"/>
  <c r="M37" i="30"/>
  <c r="L37" i="30"/>
  <c r="K37" i="30"/>
  <c r="J37" i="30"/>
  <c r="H37" i="30"/>
  <c r="G37" i="30"/>
  <c r="D37" i="30"/>
  <c r="C37" i="30"/>
  <c r="V35" i="30"/>
  <c r="U35" i="30"/>
  <c r="T35" i="30"/>
  <c r="R35" i="30"/>
  <c r="Q35" i="30"/>
  <c r="P35" i="30"/>
  <c r="O35" i="30"/>
  <c r="M35" i="30"/>
  <c r="L35" i="30"/>
  <c r="K35" i="30"/>
  <c r="J35" i="30"/>
  <c r="H35" i="30"/>
  <c r="G35" i="30"/>
  <c r="D35" i="30"/>
  <c r="C35" i="30"/>
  <c r="V41" i="30"/>
  <c r="U41" i="30"/>
  <c r="T41" i="30"/>
  <c r="R41" i="30"/>
  <c r="Q41" i="30"/>
  <c r="P41" i="30"/>
  <c r="O41" i="30"/>
  <c r="M41" i="30"/>
  <c r="L41" i="30"/>
  <c r="K41" i="30"/>
  <c r="J41" i="30"/>
  <c r="H41" i="30"/>
  <c r="G41" i="30"/>
  <c r="F41" i="30"/>
  <c r="G32" i="30"/>
  <c r="A26" i="30"/>
  <c r="K26" i="30" s="1"/>
  <c r="B26" i="30"/>
  <c r="C1" i="62"/>
  <c r="T3" i="61"/>
  <c r="S3" i="61"/>
  <c r="R3" i="61"/>
  <c r="P3" i="61"/>
  <c r="O3" i="61"/>
  <c r="N3" i="61"/>
  <c r="M3" i="61"/>
  <c r="K3" i="61"/>
  <c r="J3" i="61"/>
  <c r="I3" i="61"/>
  <c r="H3" i="61"/>
  <c r="G3" i="61"/>
  <c r="E3" i="61"/>
  <c r="D3" i="61"/>
  <c r="C3" i="61"/>
  <c r="H26" i="30" l="1"/>
  <c r="Q26" i="30"/>
  <c r="J26" i="30"/>
  <c r="R26" i="30"/>
  <c r="P26" i="30"/>
  <c r="F26" i="30"/>
  <c r="O26" i="30"/>
  <c r="M26" i="30"/>
  <c r="D26" i="30"/>
  <c r="V26" i="30"/>
  <c r="L26" i="30"/>
  <c r="T26" i="30"/>
  <c r="U26" i="30"/>
  <c r="A28" i="30" l="1"/>
  <c r="V32" i="30"/>
  <c r="U32" i="30"/>
  <c r="T32" i="30"/>
  <c r="R32" i="30"/>
  <c r="Q32" i="30"/>
  <c r="P32" i="30"/>
  <c r="O32" i="30"/>
  <c r="M32" i="30"/>
  <c r="L32" i="30"/>
  <c r="K32" i="30"/>
  <c r="J32" i="30"/>
  <c r="H32" i="30"/>
  <c r="T4" i="60"/>
  <c r="T2" i="60" s="1"/>
  <c r="T3" i="60"/>
  <c r="S4" i="60"/>
  <c r="S2" i="60" s="1"/>
  <c r="S3" i="60"/>
  <c r="R4" i="60"/>
  <c r="R2" i="60" s="1"/>
  <c r="R3" i="60"/>
  <c r="P4" i="60"/>
  <c r="P2" i="60" s="1"/>
  <c r="P3" i="60"/>
  <c r="O4" i="60"/>
  <c r="O2" i="60" s="1"/>
  <c r="O3" i="60"/>
  <c r="N4" i="60"/>
  <c r="N2" i="60" s="1"/>
  <c r="N3" i="60"/>
  <c r="M4" i="60"/>
  <c r="M2" i="60" s="1"/>
  <c r="M3" i="60"/>
  <c r="K4" i="60"/>
  <c r="K2" i="60" s="1"/>
  <c r="K3" i="60"/>
  <c r="J4" i="60"/>
  <c r="J2" i="60" s="1"/>
  <c r="J3" i="60"/>
  <c r="I4" i="60"/>
  <c r="I2" i="60" s="1"/>
  <c r="I3" i="60"/>
  <c r="H4" i="60"/>
  <c r="H2" i="60" s="1"/>
  <c r="H3" i="60"/>
  <c r="G4" i="60"/>
  <c r="G2" i="60" s="1"/>
  <c r="G3" i="60"/>
  <c r="E4" i="60"/>
  <c r="E3" i="60"/>
  <c r="D3" i="60"/>
  <c r="D5" i="60" s="1"/>
  <c r="C3" i="60"/>
  <c r="C5" i="60" s="1"/>
  <c r="B5" i="60"/>
  <c r="A1" i="60"/>
  <c r="C26" i="30" s="1"/>
  <c r="E26" i="30" s="1"/>
  <c r="V28" i="30" l="1"/>
  <c r="G28" i="30"/>
  <c r="C28" i="30"/>
  <c r="P28" i="30"/>
  <c r="D28" i="30"/>
  <c r="H28" i="30"/>
  <c r="R28" i="30"/>
  <c r="O28" i="30"/>
  <c r="Q28" i="30"/>
  <c r="J28" i="30"/>
  <c r="T28" i="30"/>
  <c r="K28" i="30"/>
  <c r="U28" i="30"/>
  <c r="M28" i="30"/>
  <c r="L28" i="30"/>
  <c r="E2" i="60"/>
  <c r="D2" i="60"/>
  <c r="C2" i="60"/>
  <c r="H108" i="57"/>
  <c r="L25" i="27" s="1"/>
  <c r="U25" i="27"/>
  <c r="T25" i="27"/>
  <c r="R25" i="27"/>
  <c r="Q25" i="27"/>
  <c r="P25" i="27"/>
  <c r="O25" i="27"/>
  <c r="M25" i="27"/>
  <c r="K25" i="27"/>
  <c r="R108" i="57"/>
  <c r="V25" i="27" s="1"/>
  <c r="T30" i="27"/>
  <c r="U30" i="27"/>
  <c r="V30" i="27"/>
  <c r="R30" i="27"/>
  <c r="Q30" i="27"/>
  <c r="P30" i="27"/>
  <c r="O30" i="27"/>
  <c r="M30" i="27"/>
  <c r="L30" i="27"/>
  <c r="K30" i="27"/>
  <c r="J30" i="27"/>
  <c r="J25" i="27"/>
  <c r="H25" i="27"/>
  <c r="G25" i="27"/>
  <c r="G30" i="27"/>
  <c r="F30" i="27"/>
  <c r="F25" i="27"/>
  <c r="F32" i="30" l="1"/>
  <c r="C1" i="59" l="1"/>
  <c r="F28" i="30" l="1"/>
  <c r="M30" i="30"/>
  <c r="J30" i="30"/>
  <c r="K30" i="30"/>
  <c r="B103" i="58"/>
  <c r="L30" i="30" l="1"/>
  <c r="Q108" i="57"/>
  <c r="P108" i="57"/>
  <c r="U108" i="57" l="1"/>
  <c r="T108" i="57"/>
  <c r="N108" i="57"/>
  <c r="M108" i="57"/>
  <c r="L108" i="57"/>
  <c r="K108" i="57"/>
  <c r="I108" i="57"/>
  <c r="G108" i="57"/>
  <c r="F108" i="57"/>
  <c r="D108" i="57"/>
  <c r="C108" i="57"/>
  <c r="B108" i="57"/>
  <c r="A37" i="30" l="1"/>
  <c r="F37" i="30" l="1"/>
  <c r="A35" i="30"/>
  <c r="S30" i="27"/>
  <c r="N30" i="27"/>
  <c r="B23" i="27"/>
  <c r="B37" i="30"/>
  <c r="B35" i="30"/>
  <c r="B28" i="30"/>
  <c r="U108" i="54"/>
  <c r="T108" i="54"/>
  <c r="R108" i="54"/>
  <c r="Q108" i="54"/>
  <c r="P108" i="54"/>
  <c r="N108" i="54"/>
  <c r="M108" i="54"/>
  <c r="L108" i="54"/>
  <c r="K108" i="54"/>
  <c r="I108" i="54"/>
  <c r="H108" i="54"/>
  <c r="G108" i="54"/>
  <c r="F108" i="54"/>
  <c r="D108" i="54"/>
  <c r="C108" i="54"/>
  <c r="B108" i="54"/>
  <c r="B103" i="52"/>
  <c r="E37" i="30" l="1"/>
  <c r="F35" i="30"/>
  <c r="Q23" i="27"/>
  <c r="D23" i="27"/>
  <c r="O23" i="27"/>
  <c r="F23" i="27"/>
  <c r="M23" i="27"/>
  <c r="T23" i="27"/>
  <c r="H23" i="27"/>
  <c r="P23" i="27"/>
  <c r="C23" i="27"/>
  <c r="J23" i="27"/>
  <c r="F28" i="27"/>
  <c r="V23" i="27"/>
  <c r="L23" i="27"/>
  <c r="U23" i="27"/>
  <c r="K23" i="27"/>
  <c r="R23" i="27"/>
  <c r="G26" i="30"/>
  <c r="B28" i="27"/>
  <c r="G28" i="27" s="1"/>
  <c r="V39" i="30"/>
  <c r="E28" i="30"/>
  <c r="P30" i="30"/>
  <c r="R30" i="30"/>
  <c r="V30" i="30"/>
  <c r="E35" i="30" l="1"/>
  <c r="R28" i="27"/>
  <c r="H28" i="27"/>
  <c r="G23" i="27" s="1"/>
  <c r="P28" i="27"/>
  <c r="T28" i="27"/>
  <c r="Q28" i="27"/>
  <c r="D28" i="27"/>
  <c r="E28" i="27" s="1"/>
  <c r="C28" i="27"/>
  <c r="O28" i="27"/>
  <c r="J28" i="27"/>
  <c r="M28" i="27"/>
  <c r="V28" i="27"/>
  <c r="L28" i="27"/>
  <c r="U28" i="27"/>
  <c r="K28" i="27"/>
  <c r="K32" i="27" s="1"/>
  <c r="H39" i="30"/>
  <c r="D39" i="30"/>
  <c r="F39" i="30"/>
  <c r="U39" i="30"/>
  <c r="R39" i="30"/>
  <c r="G39" i="30"/>
  <c r="P39" i="30"/>
  <c r="O39" i="30"/>
  <c r="O30" i="30"/>
  <c r="M39" i="30"/>
  <c r="D30" i="30"/>
  <c r="J39" i="30"/>
  <c r="E23" i="27"/>
  <c r="Q30" i="30"/>
  <c r="G30" i="30"/>
  <c r="K39" i="30"/>
  <c r="C30" i="30"/>
  <c r="F30" i="30"/>
  <c r="T30" i="30"/>
  <c r="U30" i="30"/>
  <c r="T39" i="30"/>
  <c r="Q39" i="30"/>
  <c r="C39" i="30"/>
  <c r="L39" i="30"/>
  <c r="H30" i="30"/>
  <c r="B104" i="51"/>
  <c r="U108" i="50"/>
  <c r="T108" i="50"/>
  <c r="R108" i="50"/>
  <c r="Q108" i="50"/>
  <c r="P108" i="50"/>
  <c r="N108" i="50"/>
  <c r="M108" i="50"/>
  <c r="L108" i="50"/>
  <c r="K108" i="50"/>
  <c r="I108" i="50"/>
  <c r="H108" i="50"/>
  <c r="G108" i="50"/>
  <c r="F108" i="50"/>
  <c r="D108" i="50"/>
  <c r="C108" i="50"/>
  <c r="B108" i="50"/>
  <c r="F909" i="35"/>
  <c r="P908" i="49"/>
  <c r="O908" i="49"/>
  <c r="E39" i="30" l="1"/>
  <c r="K43" i="30"/>
  <c r="H30" i="27"/>
  <c r="E30" i="30"/>
  <c r="D197" i="48"/>
  <c r="D144" i="48" s="1"/>
  <c r="D196" i="48"/>
  <c r="E196" i="48" s="1"/>
  <c r="D195" i="48"/>
  <c r="E195" i="48" s="1"/>
  <c r="D194" i="48"/>
  <c r="E194" i="48" s="1"/>
  <c r="D193" i="48"/>
  <c r="D140" i="48" s="1"/>
  <c r="D192" i="48"/>
  <c r="E192" i="48" s="1"/>
  <c r="D191" i="48"/>
  <c r="D138" i="48" s="1"/>
  <c r="D190" i="48"/>
  <c r="E190" i="48" s="1"/>
  <c r="D189" i="48"/>
  <c r="D136" i="48" s="1"/>
  <c r="D188" i="48"/>
  <c r="C188" i="48"/>
  <c r="E188" i="48" s="1"/>
  <c r="E187" i="48"/>
  <c r="H187" i="48" s="1"/>
  <c r="D134" i="48" s="1"/>
  <c r="D187" i="48"/>
  <c r="C187" i="48"/>
  <c r="C186" i="48"/>
  <c r="C185" i="48"/>
  <c r="C184" i="48"/>
  <c r="E184" i="48" s="1"/>
  <c r="C183" i="48"/>
  <c r="E183" i="48" s="1"/>
  <c r="D182" i="48"/>
  <c r="C182" i="48"/>
  <c r="E182" i="48" s="1"/>
  <c r="D181" i="48"/>
  <c r="C181" i="48"/>
  <c r="E181" i="48" s="1"/>
  <c r="H181" i="48" s="1"/>
  <c r="D128" i="48" s="1"/>
  <c r="D180" i="48"/>
  <c r="C180" i="48"/>
  <c r="E180" i="48" s="1"/>
  <c r="D179" i="48"/>
  <c r="C179" i="48"/>
  <c r="D178" i="48"/>
  <c r="C178" i="48"/>
  <c r="E178" i="48" s="1"/>
  <c r="E177" i="48"/>
  <c r="H177" i="48" s="1"/>
  <c r="D124" i="48" s="1"/>
  <c r="D177" i="48"/>
  <c r="C177" i="48"/>
  <c r="E176" i="48"/>
  <c r="H176" i="48" s="1"/>
  <c r="D123" i="48" s="1"/>
  <c r="D176" i="48"/>
  <c r="C176" i="48"/>
  <c r="D175" i="48"/>
  <c r="C175" i="48"/>
  <c r="E175" i="48" s="1"/>
  <c r="D174" i="48"/>
  <c r="C174" i="48"/>
  <c r="E174" i="48" s="1"/>
  <c r="D173" i="48"/>
  <c r="E173" i="48" s="1"/>
  <c r="H173" i="48" s="1"/>
  <c r="D120" i="48" s="1"/>
  <c r="C173" i="48"/>
  <c r="D172" i="48"/>
  <c r="E172" i="48" s="1"/>
  <c r="C172" i="48"/>
  <c r="D171" i="48"/>
  <c r="C171" i="48"/>
  <c r="E171" i="48" s="1"/>
  <c r="D170" i="48"/>
  <c r="C170" i="48"/>
  <c r="D169" i="48"/>
  <c r="C169" i="48"/>
  <c r="E169" i="48" s="1"/>
  <c r="H169" i="48" s="1"/>
  <c r="D116" i="48" s="1"/>
  <c r="D168" i="48"/>
  <c r="C168" i="48"/>
  <c r="E168" i="48" s="1"/>
  <c r="D167" i="48"/>
  <c r="C167" i="48"/>
  <c r="D166" i="48"/>
  <c r="C166" i="48"/>
  <c r="E166" i="48" s="1"/>
  <c r="D165" i="48"/>
  <c r="C165" i="48"/>
  <c r="E165" i="48" s="1"/>
  <c r="H165" i="48" s="1"/>
  <c r="D112" i="48" s="1"/>
  <c r="D164" i="48"/>
  <c r="C164" i="48"/>
  <c r="E164" i="48" s="1"/>
  <c r="D163" i="48"/>
  <c r="C163" i="48"/>
  <c r="D162" i="48"/>
  <c r="C162" i="48"/>
  <c r="E162" i="48" s="1"/>
  <c r="E161" i="48"/>
  <c r="H161" i="48" s="1"/>
  <c r="D108" i="48" s="1"/>
  <c r="D161" i="48"/>
  <c r="C161" i="48"/>
  <c r="E160" i="48"/>
  <c r="H160" i="48" s="1"/>
  <c r="D107" i="48" s="1"/>
  <c r="D160" i="48"/>
  <c r="C160" i="48"/>
  <c r="D159" i="48"/>
  <c r="C159" i="48"/>
  <c r="E159" i="48" s="1"/>
  <c r="D158" i="48"/>
  <c r="C158" i="48"/>
  <c r="E158" i="48" s="1"/>
  <c r="D157" i="48"/>
  <c r="E157" i="48" s="1"/>
  <c r="H157" i="48" s="1"/>
  <c r="D104" i="48" s="1"/>
  <c r="C157" i="48"/>
  <c r="D156" i="48"/>
  <c r="E156" i="48" s="1"/>
  <c r="C156" i="48"/>
  <c r="D155" i="48"/>
  <c r="C155" i="48"/>
  <c r="E154" i="48"/>
  <c r="H154" i="48" s="1"/>
  <c r="D143" i="48"/>
  <c r="D137" i="48"/>
  <c r="D25" i="48"/>
  <c r="E25" i="48" s="1"/>
  <c r="D13" i="48"/>
  <c r="E13" i="48" s="1"/>
  <c r="E197" i="47"/>
  <c r="G197" i="47" s="1"/>
  <c r="D197" i="47"/>
  <c r="D196" i="47"/>
  <c r="E196" i="47" s="1"/>
  <c r="H196" i="47" s="1"/>
  <c r="D195" i="47"/>
  <c r="E195" i="47" s="1"/>
  <c r="D194" i="47"/>
  <c r="D141" i="47" s="1"/>
  <c r="D193" i="47"/>
  <c r="D140" i="47" s="1"/>
  <c r="E192" i="47"/>
  <c r="H192" i="47" s="1"/>
  <c r="D192" i="47"/>
  <c r="D191" i="47"/>
  <c r="E191" i="47" s="1"/>
  <c r="D190" i="47"/>
  <c r="E190" i="47" s="1"/>
  <c r="H190" i="47" s="1"/>
  <c r="E189" i="47"/>
  <c r="G189" i="47" s="1"/>
  <c r="D189" i="47"/>
  <c r="D188" i="47"/>
  <c r="C188" i="47"/>
  <c r="E188" i="47" s="1"/>
  <c r="D187" i="47"/>
  <c r="C187" i="47"/>
  <c r="C186" i="47"/>
  <c r="C185" i="47"/>
  <c r="C184" i="47"/>
  <c r="E184" i="47" s="1"/>
  <c r="C183" i="47"/>
  <c r="E183" i="47" s="1"/>
  <c r="D182" i="47"/>
  <c r="C182" i="47"/>
  <c r="E182" i="47" s="1"/>
  <c r="D181" i="47"/>
  <c r="E181" i="47" s="1"/>
  <c r="C181" i="47"/>
  <c r="D180" i="47"/>
  <c r="C180" i="47"/>
  <c r="E180" i="47" s="1"/>
  <c r="D179" i="47"/>
  <c r="C179" i="47"/>
  <c r="D178" i="47"/>
  <c r="C178" i="47"/>
  <c r="E178" i="47" s="1"/>
  <c r="D177" i="47"/>
  <c r="C177" i="47"/>
  <c r="D176" i="47"/>
  <c r="C176" i="47"/>
  <c r="E176" i="47" s="1"/>
  <c r="H176" i="47" s="1"/>
  <c r="D123" i="47" s="1"/>
  <c r="D175" i="47"/>
  <c r="C175" i="47"/>
  <c r="E175" i="47" s="1"/>
  <c r="E174" i="47"/>
  <c r="G174" i="47" s="1"/>
  <c r="C121" i="47" s="1"/>
  <c r="D174" i="47"/>
  <c r="C174" i="47"/>
  <c r="D173" i="47"/>
  <c r="C173" i="47"/>
  <c r="D172" i="47"/>
  <c r="C172" i="47"/>
  <c r="E172" i="47" s="1"/>
  <c r="D171" i="47"/>
  <c r="C171" i="47"/>
  <c r="E171" i="47" s="1"/>
  <c r="D170" i="47"/>
  <c r="C170" i="47"/>
  <c r="E170" i="47" s="1"/>
  <c r="D169" i="47"/>
  <c r="C169" i="47"/>
  <c r="D168" i="47"/>
  <c r="C168" i="47"/>
  <c r="E168" i="47" s="1"/>
  <c r="H168" i="47" s="1"/>
  <c r="D115" i="47" s="1"/>
  <c r="D167" i="47"/>
  <c r="C167" i="47"/>
  <c r="D166" i="47"/>
  <c r="E166" i="47" s="1"/>
  <c r="C166" i="47"/>
  <c r="D165" i="47"/>
  <c r="C165" i="47"/>
  <c r="D164" i="47"/>
  <c r="C164" i="47"/>
  <c r="D163" i="47"/>
  <c r="C163" i="47"/>
  <c r="E163" i="47" s="1"/>
  <c r="D162" i="47"/>
  <c r="C162" i="47"/>
  <c r="D161" i="47"/>
  <c r="C161" i="47"/>
  <c r="E160" i="47"/>
  <c r="H160" i="47" s="1"/>
  <c r="D107" i="47" s="1"/>
  <c r="D160" i="47"/>
  <c r="C160" i="47"/>
  <c r="D159" i="47"/>
  <c r="C159" i="47"/>
  <c r="E159" i="47" s="1"/>
  <c r="D158" i="47"/>
  <c r="C158" i="47"/>
  <c r="E158" i="47" s="1"/>
  <c r="D157" i="47"/>
  <c r="E157" i="47" s="1"/>
  <c r="C157" i="47"/>
  <c r="D156" i="47"/>
  <c r="C156" i="47"/>
  <c r="E156" i="47" s="1"/>
  <c r="D155" i="47"/>
  <c r="C155" i="47"/>
  <c r="E154" i="47"/>
  <c r="H154" i="47" s="1"/>
  <c r="D144" i="47"/>
  <c r="D142" i="47"/>
  <c r="D139" i="47"/>
  <c r="D137" i="47"/>
  <c r="D136" i="47"/>
  <c r="D25" i="47"/>
  <c r="E25" i="47" s="1"/>
  <c r="D13" i="47"/>
  <c r="E13" i="47" s="1"/>
  <c r="C155" i="43"/>
  <c r="H180" i="48" l="1"/>
  <c r="D127" i="48" s="1"/>
  <c r="G180" i="48"/>
  <c r="C127" i="48" s="1"/>
  <c r="G191" i="47"/>
  <c r="H191" i="47"/>
  <c r="H156" i="48"/>
  <c r="D103" i="48" s="1"/>
  <c r="G156" i="48"/>
  <c r="C103" i="48" s="1"/>
  <c r="H164" i="48"/>
  <c r="D111" i="48" s="1"/>
  <c r="G164" i="48"/>
  <c r="C111" i="48" s="1"/>
  <c r="H168" i="48"/>
  <c r="D115" i="48" s="1"/>
  <c r="G168" i="48"/>
  <c r="C115" i="48" s="1"/>
  <c r="G158" i="47"/>
  <c r="C105" i="47" s="1"/>
  <c r="H158" i="47"/>
  <c r="D105" i="47" s="1"/>
  <c r="G166" i="47"/>
  <c r="C113" i="47" s="1"/>
  <c r="H166" i="47"/>
  <c r="D113" i="47" s="1"/>
  <c r="G182" i="47"/>
  <c r="C129" i="47" s="1"/>
  <c r="H182" i="47"/>
  <c r="D129" i="47" s="1"/>
  <c r="H172" i="48"/>
  <c r="D119" i="48" s="1"/>
  <c r="G172" i="48"/>
  <c r="C119" i="48" s="1"/>
  <c r="G195" i="47"/>
  <c r="H195" i="47"/>
  <c r="G184" i="47"/>
  <c r="C131" i="47" s="1"/>
  <c r="H184" i="47"/>
  <c r="D131" i="47" s="1"/>
  <c r="D143" i="47"/>
  <c r="E164" i="47"/>
  <c r="E167" i="47"/>
  <c r="E177" i="47"/>
  <c r="E170" i="48"/>
  <c r="E179" i="48"/>
  <c r="H174" i="47"/>
  <c r="D121" i="47" s="1"/>
  <c r="C198" i="47"/>
  <c r="E161" i="47"/>
  <c r="H161" i="47" s="1"/>
  <c r="D108" i="47" s="1"/>
  <c r="E165" i="47"/>
  <c r="E193" i="47"/>
  <c r="D142" i="48"/>
  <c r="H189" i="47"/>
  <c r="D141" i="48"/>
  <c r="G176" i="48"/>
  <c r="C123" i="48" s="1"/>
  <c r="D138" i="47"/>
  <c r="E162" i="47"/>
  <c r="G162" i="47" s="1"/>
  <c r="C109" i="47" s="1"/>
  <c r="E179" i="47"/>
  <c r="E187" i="47"/>
  <c r="E163" i="48"/>
  <c r="E169" i="47"/>
  <c r="E173" i="47"/>
  <c r="E194" i="47"/>
  <c r="H194" i="47" s="1"/>
  <c r="H197" i="47"/>
  <c r="C198" i="48"/>
  <c r="G160" i="48"/>
  <c r="C107" i="48" s="1"/>
  <c r="E167" i="48"/>
  <c r="H174" i="48"/>
  <c r="D121" i="48" s="1"/>
  <c r="G174" i="48"/>
  <c r="C121" i="48" s="1"/>
  <c r="H166" i="48"/>
  <c r="D113" i="48" s="1"/>
  <c r="G166" i="48"/>
  <c r="C113" i="48" s="1"/>
  <c r="G175" i="48"/>
  <c r="C122" i="48" s="1"/>
  <c r="H175" i="48"/>
  <c r="D122" i="48" s="1"/>
  <c r="H190" i="48"/>
  <c r="G190" i="48"/>
  <c r="H178" i="48"/>
  <c r="D125" i="48" s="1"/>
  <c r="G178" i="48"/>
  <c r="C125" i="48" s="1"/>
  <c r="H183" i="48"/>
  <c r="D130" i="48" s="1"/>
  <c r="G183" i="48"/>
  <c r="C130" i="48" s="1"/>
  <c r="H163" i="48"/>
  <c r="D110" i="48" s="1"/>
  <c r="G163" i="48"/>
  <c r="C110" i="48" s="1"/>
  <c r="H158" i="48"/>
  <c r="D105" i="48" s="1"/>
  <c r="G158" i="48"/>
  <c r="C105" i="48" s="1"/>
  <c r="H192" i="48"/>
  <c r="G192" i="48"/>
  <c r="H170" i="48"/>
  <c r="D117" i="48" s="1"/>
  <c r="G170" i="48"/>
  <c r="C117" i="48" s="1"/>
  <c r="H179" i="48"/>
  <c r="D126" i="48" s="1"/>
  <c r="G179" i="48"/>
  <c r="C126" i="48" s="1"/>
  <c r="G159" i="48"/>
  <c r="C106" i="48" s="1"/>
  <c r="H159" i="48"/>
  <c r="D106" i="48" s="1"/>
  <c r="H182" i="48"/>
  <c r="D129" i="48" s="1"/>
  <c r="G182" i="48"/>
  <c r="C129" i="48" s="1"/>
  <c r="H194" i="48"/>
  <c r="G194" i="48"/>
  <c r="H196" i="48"/>
  <c r="G196" i="48"/>
  <c r="H184" i="48"/>
  <c r="D131" i="48" s="1"/>
  <c r="G184" i="48"/>
  <c r="C131" i="48" s="1"/>
  <c r="G167" i="48"/>
  <c r="C114" i="48" s="1"/>
  <c r="H167" i="48"/>
  <c r="D114" i="48" s="1"/>
  <c r="H162" i="48"/>
  <c r="D109" i="48" s="1"/>
  <c r="G162" i="48"/>
  <c r="C109" i="48" s="1"/>
  <c r="H171" i="48"/>
  <c r="D118" i="48" s="1"/>
  <c r="G171" i="48"/>
  <c r="C118" i="48" s="1"/>
  <c r="H188" i="48"/>
  <c r="D135" i="48" s="1"/>
  <c r="G188" i="48"/>
  <c r="C135" i="48" s="1"/>
  <c r="H195" i="48"/>
  <c r="G195" i="48"/>
  <c r="G161" i="48"/>
  <c r="C108" i="48" s="1"/>
  <c r="G169" i="48"/>
  <c r="C116" i="48" s="1"/>
  <c r="G177" i="48"/>
  <c r="C124" i="48" s="1"/>
  <c r="G187" i="48"/>
  <c r="C134" i="48" s="1"/>
  <c r="E189" i="48"/>
  <c r="E191" i="48"/>
  <c r="E193" i="48"/>
  <c r="E197" i="48"/>
  <c r="E155" i="48"/>
  <c r="D186" i="48"/>
  <c r="E186" i="48" s="1"/>
  <c r="D139" i="48"/>
  <c r="G157" i="48"/>
  <c r="C104" i="48" s="1"/>
  <c r="G165" i="48"/>
  <c r="C112" i="48" s="1"/>
  <c r="G173" i="48"/>
  <c r="C120" i="48" s="1"/>
  <c r="G181" i="48"/>
  <c r="C128" i="48" s="1"/>
  <c r="D185" i="48"/>
  <c r="E185" i="48" s="1"/>
  <c r="G154" i="48"/>
  <c r="G171" i="47"/>
  <c r="C118" i="47" s="1"/>
  <c r="H171" i="47"/>
  <c r="D118" i="47" s="1"/>
  <c r="H181" i="47"/>
  <c r="D128" i="47" s="1"/>
  <c r="G181" i="47"/>
  <c r="C128" i="47" s="1"/>
  <c r="G180" i="47"/>
  <c r="C127" i="47" s="1"/>
  <c r="H180" i="47"/>
  <c r="D127" i="47" s="1"/>
  <c r="G157" i="47"/>
  <c r="C104" i="47" s="1"/>
  <c r="H157" i="47"/>
  <c r="D104" i="47" s="1"/>
  <c r="H167" i="47"/>
  <c r="D114" i="47" s="1"/>
  <c r="G167" i="47"/>
  <c r="C114" i="47" s="1"/>
  <c r="H178" i="47"/>
  <c r="D125" i="47" s="1"/>
  <c r="G178" i="47"/>
  <c r="C125" i="47" s="1"/>
  <c r="H183" i="47"/>
  <c r="D130" i="47" s="1"/>
  <c r="G183" i="47"/>
  <c r="C130" i="47" s="1"/>
  <c r="G164" i="47"/>
  <c r="C111" i="47" s="1"/>
  <c r="H164" i="47"/>
  <c r="D111" i="47" s="1"/>
  <c r="H177" i="47"/>
  <c r="D124" i="47" s="1"/>
  <c r="G177" i="47"/>
  <c r="C124" i="47" s="1"/>
  <c r="H165" i="47"/>
  <c r="D112" i="47" s="1"/>
  <c r="G165" i="47"/>
  <c r="C112" i="47" s="1"/>
  <c r="G172" i="47"/>
  <c r="C119" i="47" s="1"/>
  <c r="H172" i="47"/>
  <c r="D119" i="47" s="1"/>
  <c r="H175" i="47"/>
  <c r="D122" i="47" s="1"/>
  <c r="G175" i="47"/>
  <c r="C122" i="47" s="1"/>
  <c r="H169" i="47"/>
  <c r="D116" i="47" s="1"/>
  <c r="G169" i="47"/>
  <c r="C116" i="47" s="1"/>
  <c r="H170" i="47"/>
  <c r="D117" i="47" s="1"/>
  <c r="G170" i="47"/>
  <c r="C117" i="47" s="1"/>
  <c r="G163" i="47"/>
  <c r="C110" i="47" s="1"/>
  <c r="H163" i="47"/>
  <c r="D110" i="47" s="1"/>
  <c r="H162" i="47"/>
  <c r="D109" i="47" s="1"/>
  <c r="G179" i="47"/>
  <c r="C126" i="47" s="1"/>
  <c r="H179" i="47"/>
  <c r="D126" i="47" s="1"/>
  <c r="H187" i="47"/>
  <c r="D134" i="47" s="1"/>
  <c r="G187" i="47"/>
  <c r="C134" i="47" s="1"/>
  <c r="G156" i="47"/>
  <c r="C103" i="47" s="1"/>
  <c r="H156" i="47"/>
  <c r="D103" i="47" s="1"/>
  <c r="H159" i="47"/>
  <c r="D106" i="47" s="1"/>
  <c r="G159" i="47"/>
  <c r="C106" i="47" s="1"/>
  <c r="H173" i="47"/>
  <c r="D120" i="47" s="1"/>
  <c r="G173" i="47"/>
  <c r="C120" i="47" s="1"/>
  <c r="H188" i="47"/>
  <c r="D135" i="47" s="1"/>
  <c r="G188" i="47"/>
  <c r="C135" i="47" s="1"/>
  <c r="E155" i="47"/>
  <c r="D186" i="47"/>
  <c r="E186" i="47" s="1"/>
  <c r="G176" i="47"/>
  <c r="C123" i="47" s="1"/>
  <c r="G160" i="47"/>
  <c r="C107" i="47" s="1"/>
  <c r="G168" i="47"/>
  <c r="C115" i="47" s="1"/>
  <c r="G154" i="47"/>
  <c r="G190" i="47"/>
  <c r="G192" i="47"/>
  <c r="G194" i="47"/>
  <c r="G196" i="47"/>
  <c r="D185" i="47"/>
  <c r="D198" i="47" s="1"/>
  <c r="D198" i="48" l="1"/>
  <c r="G161" i="47"/>
  <c r="C108" i="47" s="1"/>
  <c r="E185" i="47"/>
  <c r="E198" i="47" s="1"/>
  <c r="G193" i="47"/>
  <c r="H193" i="47"/>
  <c r="H186" i="48"/>
  <c r="D133" i="48" s="1"/>
  <c r="G186" i="48"/>
  <c r="C133" i="48" s="1"/>
  <c r="H155" i="48"/>
  <c r="G155" i="48"/>
  <c r="C102" i="48" s="1"/>
  <c r="H185" i="48"/>
  <c r="D132" i="48" s="1"/>
  <c r="G185" i="48"/>
  <c r="C132" i="48" s="1"/>
  <c r="H197" i="48"/>
  <c r="G197" i="48"/>
  <c r="H191" i="48"/>
  <c r="G191" i="48"/>
  <c r="H193" i="48"/>
  <c r="G193" i="48"/>
  <c r="H189" i="48"/>
  <c r="G189" i="48"/>
  <c r="E198" i="48"/>
  <c r="H186" i="47"/>
  <c r="D133" i="47" s="1"/>
  <c r="G186" i="47"/>
  <c r="C133" i="47" s="1"/>
  <c r="H185" i="47"/>
  <c r="D132" i="47" s="1"/>
  <c r="G185" i="47"/>
  <c r="C132" i="47" s="1"/>
  <c r="G155" i="47"/>
  <c r="C102" i="47" s="1"/>
  <c r="H155" i="47"/>
  <c r="D189" i="43"/>
  <c r="D136" i="43" s="1"/>
  <c r="D197" i="43"/>
  <c r="E197" i="43" s="1"/>
  <c r="D196" i="43"/>
  <c r="D143" i="43" s="1"/>
  <c r="D195" i="43"/>
  <c r="E195" i="43" s="1"/>
  <c r="D194" i="43"/>
  <c r="E194" i="43" s="1"/>
  <c r="D193" i="43"/>
  <c r="E193" i="43" s="1"/>
  <c r="G193" i="43" s="1"/>
  <c r="D192" i="43"/>
  <c r="E192" i="43" s="1"/>
  <c r="G192" i="43" s="1"/>
  <c r="D191" i="43"/>
  <c r="D138" i="43" s="1"/>
  <c r="D190" i="43"/>
  <c r="E190" i="43" s="1"/>
  <c r="H190" i="43" s="1"/>
  <c r="D187" i="43"/>
  <c r="C186" i="43"/>
  <c r="C185" i="43"/>
  <c r="D155" i="43"/>
  <c r="C146" i="47" l="1"/>
  <c r="D144" i="43"/>
  <c r="D102" i="48"/>
  <c r="D146" i="48" s="1"/>
  <c r="H198" i="48"/>
  <c r="C146" i="48"/>
  <c r="G198" i="48"/>
  <c r="D102" i="47"/>
  <c r="D146" i="47" s="1"/>
  <c r="H198" i="47"/>
  <c r="G198" i="47"/>
  <c r="H197" i="43"/>
  <c r="G197" i="43"/>
  <c r="D139" i="43"/>
  <c r="G195" i="43"/>
  <c r="H195" i="43"/>
  <c r="H194" i="43"/>
  <c r="G194" i="43"/>
  <c r="D140" i="43"/>
  <c r="E196" i="43"/>
  <c r="H196" i="43" s="1"/>
  <c r="D141" i="43"/>
  <c r="D142" i="43"/>
  <c r="E191" i="43"/>
  <c r="D137" i="43"/>
  <c r="H192" i="43"/>
  <c r="H193" i="43"/>
  <c r="G190" i="43"/>
  <c r="E189" i="43"/>
  <c r="G196" i="43" l="1"/>
  <c r="G191" i="43"/>
  <c r="H191" i="43"/>
  <c r="H189" i="43"/>
  <c r="G189" i="43"/>
  <c r="AG138" i="1" l="1"/>
  <c r="C80" i="30" l="1"/>
  <c r="C117" i="27" l="1"/>
  <c r="C81" i="30" l="1"/>
  <c r="C82" i="30"/>
  <c r="C83" i="30"/>
  <c r="C84" i="30"/>
  <c r="C85" i="30"/>
  <c r="C86" i="30"/>
  <c r="C87" i="30"/>
  <c r="C88" i="30"/>
  <c r="C75" i="30"/>
  <c r="C145" i="30" s="1"/>
  <c r="AN142" i="1" l="1"/>
  <c r="AN141" i="1"/>
  <c r="AK170" i="1"/>
  <c r="AN170" i="1" l="1"/>
  <c r="E34" i="37" l="1"/>
  <c r="AW168" i="1" l="1"/>
  <c r="AV169" i="1"/>
  <c r="C96" i="37" l="1"/>
  <c r="L54" i="37"/>
  <c r="L53" i="37"/>
  <c r="L52" i="37"/>
  <c r="L51" i="37"/>
  <c r="D96" i="37" l="1"/>
  <c r="E96" i="37" s="1"/>
  <c r="G96" i="37" s="1"/>
  <c r="C76" i="37" s="1"/>
  <c r="H96" i="37" l="1"/>
  <c r="D76" i="37" s="1"/>
  <c r="AF74" i="1" s="1"/>
  <c r="G194" i="24" l="1"/>
  <c r="G193" i="24"/>
  <c r="G192" i="24"/>
  <c r="E177" i="24"/>
  <c r="E176" i="24"/>
  <c r="E175" i="24"/>
  <c r="G190" i="23"/>
  <c r="G189" i="23"/>
  <c r="E174" i="23"/>
  <c r="E173" i="23"/>
  <c r="G181" i="18"/>
  <c r="G182" i="18"/>
  <c r="G183" i="18"/>
  <c r="G184" i="18"/>
  <c r="G185" i="18"/>
  <c r="G186" i="18"/>
  <c r="G187" i="18"/>
  <c r="G188" i="18"/>
  <c r="G189" i="18"/>
  <c r="G190" i="18"/>
  <c r="G191" i="18"/>
  <c r="G192" i="18"/>
  <c r="G193" i="18"/>
  <c r="G194" i="18"/>
  <c r="AS152" i="1" s="1"/>
  <c r="G195" i="18"/>
  <c r="G196" i="18"/>
  <c r="G198" i="18"/>
  <c r="G199" i="18"/>
  <c r="G202" i="18"/>
  <c r="E178" i="18"/>
  <c r="E179" i="18"/>
  <c r="E173" i="18"/>
  <c r="AS159" i="1" l="1"/>
  <c r="AP85" i="1"/>
  <c r="AP91" i="1"/>
  <c r="AG158" i="1"/>
  <c r="AB86" i="1" l="1"/>
  <c r="AC86" i="1"/>
  <c r="AE86" i="1" s="1"/>
  <c r="AD86" i="1"/>
  <c r="AB87" i="1"/>
  <c r="AD87" i="1" s="1"/>
  <c r="AC87" i="1"/>
  <c r="AE87" i="1"/>
  <c r="AC85" i="1"/>
  <c r="AE85" i="1" s="1"/>
  <c r="AB85" i="1"/>
  <c r="AD85" i="1" s="1"/>
  <c r="AB79" i="1"/>
  <c r="AD79" i="1" s="1"/>
  <c r="AC79" i="1"/>
  <c r="AE79" i="1" s="1"/>
  <c r="AC78" i="1"/>
  <c r="AE78" i="1" s="1"/>
  <c r="AB78" i="1"/>
  <c r="AD78" i="1" s="1"/>
  <c r="AC77" i="1"/>
  <c r="AE77" i="1" s="1"/>
  <c r="AB77" i="1"/>
  <c r="AD77" i="1" s="1"/>
  <c r="AB94" i="1"/>
  <c r="AL383" i="1" l="1"/>
  <c r="AQ383" i="1"/>
  <c r="AT383" i="1"/>
  <c r="AU383" i="1"/>
  <c r="P383" i="1"/>
  <c r="Q383" i="1"/>
  <c r="R383" i="1"/>
  <c r="S383" i="1"/>
  <c r="T383" i="1"/>
  <c r="V383" i="1"/>
  <c r="W383" i="1"/>
  <c r="X383" i="1"/>
  <c r="Y383" i="1"/>
  <c r="Z383" i="1"/>
  <c r="AA383" i="1"/>
  <c r="O383" i="1"/>
  <c r="L383" i="1"/>
  <c r="M383" i="1"/>
  <c r="N383" i="1"/>
  <c r="G383" i="1"/>
  <c r="H383" i="1"/>
  <c r="I383" i="1"/>
  <c r="J383" i="1"/>
  <c r="K383" i="1"/>
  <c r="F383" i="1"/>
  <c r="U383" i="1" l="1"/>
  <c r="AW91" i="1" l="1"/>
  <c r="AW92" i="1"/>
  <c r="AW85" i="1"/>
  <c r="AW86" i="1"/>
  <c r="AW78" i="1"/>
  <c r="AV153" i="1"/>
  <c r="AV160" i="1"/>
  <c r="AN160" i="1" l="1"/>
  <c r="AW160" i="1" s="1"/>
  <c r="AW93" i="1"/>
  <c r="AW87" i="1"/>
  <c r="AK86" i="1"/>
  <c r="AV86" i="1" s="1"/>
  <c r="AK92" i="1"/>
  <c r="AV92" i="1" s="1"/>
  <c r="AV141" i="1" l="1"/>
  <c r="AK171" i="1"/>
  <c r="AK316" i="1"/>
  <c r="AV316" i="1" s="1"/>
  <c r="AK343" i="1"/>
  <c r="AV343" i="1" s="1"/>
  <c r="AK307" i="1"/>
  <c r="AV307" i="1" s="1"/>
  <c r="AN280" i="1"/>
  <c r="AW280" i="1" s="1"/>
  <c r="AN268" i="1"/>
  <c r="AW268" i="1" s="1"/>
  <c r="AN269" i="1"/>
  <c r="AW269" i="1" s="1"/>
  <c r="AK87" i="1"/>
  <c r="AV87" i="1" s="1"/>
  <c r="AN161" i="1"/>
  <c r="AW161" i="1" s="1"/>
  <c r="AK93" i="1"/>
  <c r="AV93" i="1" s="1"/>
  <c r="AV161" i="1"/>
  <c r="AN171" i="1"/>
  <c r="AW171" i="1" s="1"/>
  <c r="AW79" i="1"/>
  <c r="AV154" i="1"/>
  <c r="AN153" i="1"/>
  <c r="AW153" i="1" s="1"/>
  <c r="AN333" i="1" l="1"/>
  <c r="AW333" i="1" s="1"/>
  <c r="AN324" i="1"/>
  <c r="AW324" i="1" s="1"/>
  <c r="AN172" i="1"/>
  <c r="AW172" i="1" s="1"/>
  <c r="AN306" i="1"/>
  <c r="AW306" i="1" s="1"/>
  <c r="AN343" i="1"/>
  <c r="AW343" i="1" s="1"/>
  <c r="AN334" i="1"/>
  <c r="AW334" i="1" s="1"/>
  <c r="AK289" i="1"/>
  <c r="AV289" i="1" s="1"/>
  <c r="AK333" i="1"/>
  <c r="AV333" i="1" s="1"/>
  <c r="AK297" i="1"/>
  <c r="AV297" i="1" s="1"/>
  <c r="AK342" i="1"/>
  <c r="AV342" i="1" s="1"/>
  <c r="AK325" i="1"/>
  <c r="AV325" i="1" s="1"/>
  <c r="AN298" i="1"/>
  <c r="AW298" i="1" s="1"/>
  <c r="AN325" i="1"/>
  <c r="AW325" i="1" s="1"/>
  <c r="AN342" i="1"/>
  <c r="AW342" i="1" s="1"/>
  <c r="AN315" i="1"/>
  <c r="AW315" i="1" s="1"/>
  <c r="AK315" i="1"/>
  <c r="AV315" i="1" s="1"/>
  <c r="AK288" i="1"/>
  <c r="AV288" i="1" s="1"/>
  <c r="AN297" i="1"/>
  <c r="AW297" i="1" s="1"/>
  <c r="AK334" i="1"/>
  <c r="AV334" i="1" s="1"/>
  <c r="AK280" i="1"/>
  <c r="AV280" i="1" s="1"/>
  <c r="AN279" i="1"/>
  <c r="AW279" i="1" s="1"/>
  <c r="AK306" i="1"/>
  <c r="AV306" i="1" s="1"/>
  <c r="AN288" i="1"/>
  <c r="AW288" i="1" s="1"/>
  <c r="AK324" i="1"/>
  <c r="AV324" i="1" s="1"/>
  <c r="AK279" i="1"/>
  <c r="AV279" i="1" s="1"/>
  <c r="AK172" i="1"/>
  <c r="AK269" i="1"/>
  <c r="AV269" i="1" s="1"/>
  <c r="AN289" i="1"/>
  <c r="AW289" i="1" s="1"/>
  <c r="AK268" i="1"/>
  <c r="AV268" i="1" s="1"/>
  <c r="AN154" i="1"/>
  <c r="AW154" i="1" s="1"/>
  <c r="AK79" i="1"/>
  <c r="AV79" i="1" s="1"/>
  <c r="AK298" i="1"/>
  <c r="AV298" i="1" s="1"/>
  <c r="AN307" i="1"/>
  <c r="AW307" i="1" s="1"/>
  <c r="AN316" i="1"/>
  <c r="AW316" i="1" s="1"/>
  <c r="AK78" i="1"/>
  <c r="AV78" i="1" s="1"/>
  <c r="AV142" i="1" l="1"/>
  <c r="AW141" i="1"/>
  <c r="BA141" i="1" s="1"/>
  <c r="AV171" i="1"/>
  <c r="AV172" i="1" l="1"/>
  <c r="AW142" i="1"/>
  <c r="BA142" i="1" s="1"/>
  <c r="B60" i="44"/>
  <c r="B52" i="44"/>
  <c r="B50" i="44"/>
  <c r="B49" i="44"/>
  <c r="B43" i="44"/>
  <c r="B25" i="44"/>
  <c r="B23" i="44"/>
  <c r="B22" i="44"/>
  <c r="B16" i="44"/>
  <c r="B24" i="44" s="1"/>
  <c r="C7" i="44"/>
  <c r="F43" i="44" s="1"/>
  <c r="F37" i="44" l="1"/>
  <c r="F39" i="44"/>
  <c r="F40" i="44"/>
  <c r="B39" i="44"/>
  <c r="B51" i="44"/>
  <c r="B53" i="44" s="1"/>
  <c r="F41" i="44"/>
  <c r="F42" i="44"/>
  <c r="B3" i="44"/>
  <c r="B26" i="44"/>
  <c r="B38" i="44"/>
  <c r="B12" i="44"/>
  <c r="B27" i="44"/>
  <c r="B15" i="44"/>
  <c r="B13" i="44"/>
  <c r="I31" i="44"/>
  <c r="B11" i="44"/>
  <c r="B41" i="44"/>
  <c r="B14" i="44"/>
  <c r="B42" i="44"/>
  <c r="B18" i="44"/>
  <c r="E174" i="24"/>
  <c r="E172" i="23"/>
  <c r="E177" i="18"/>
  <c r="B44" i="44" l="1"/>
  <c r="AP77" i="1"/>
  <c r="B17" i="44"/>
  <c r="B19" i="44" s="1"/>
  <c r="B28" i="44"/>
  <c r="B30" i="44" l="1"/>
  <c r="B34" i="44" s="1"/>
  <c r="B45" i="44"/>
  <c r="B46" i="44" s="1"/>
  <c r="B32" i="44"/>
  <c r="B54" i="44"/>
  <c r="B55" i="44" s="1"/>
  <c r="B59" i="44" l="1"/>
  <c r="B61" i="44"/>
  <c r="B57" i="44"/>
  <c r="R233" i="15" l="1"/>
  <c r="N106" i="15"/>
  <c r="T252" i="15" l="1"/>
  <c r="R249" i="15"/>
  <c r="D383" i="1" l="1"/>
  <c r="AV159" i="1" l="1"/>
  <c r="AV152" i="1"/>
  <c r="AW77" i="1"/>
  <c r="D162" i="43" l="1"/>
  <c r="K57" i="37" l="1"/>
  <c r="D188" i="43" l="1"/>
  <c r="C184" i="43"/>
  <c r="E184" i="43" s="1"/>
  <c r="C183" i="43"/>
  <c r="E183" i="43" s="1"/>
  <c r="D182" i="43"/>
  <c r="C182" i="43"/>
  <c r="D181" i="43"/>
  <c r="C181" i="43"/>
  <c r="D180" i="43"/>
  <c r="C180" i="43"/>
  <c r="D179" i="43"/>
  <c r="C179" i="43"/>
  <c r="D178" i="43"/>
  <c r="C178" i="43"/>
  <c r="D177" i="43"/>
  <c r="C177" i="43"/>
  <c r="D176" i="43"/>
  <c r="C176" i="43"/>
  <c r="D175" i="43"/>
  <c r="C175" i="43"/>
  <c r="D174" i="43"/>
  <c r="C174" i="43"/>
  <c r="D173" i="43"/>
  <c r="C173" i="43"/>
  <c r="D172" i="43"/>
  <c r="C172" i="43"/>
  <c r="D171" i="43"/>
  <c r="C171" i="43"/>
  <c r="D170" i="43"/>
  <c r="C170" i="43"/>
  <c r="D169" i="43"/>
  <c r="C169" i="43"/>
  <c r="D168" i="43"/>
  <c r="C168" i="43"/>
  <c r="D167" i="43"/>
  <c r="C167" i="43"/>
  <c r="D166" i="43"/>
  <c r="C166" i="43"/>
  <c r="D165" i="43"/>
  <c r="C165" i="43"/>
  <c r="D164" i="43"/>
  <c r="C164" i="43"/>
  <c r="D163" i="43"/>
  <c r="C163" i="43"/>
  <c r="C162" i="43"/>
  <c r="D161" i="43"/>
  <c r="C161" i="43"/>
  <c r="D160" i="43"/>
  <c r="C160" i="43"/>
  <c r="D159" i="43"/>
  <c r="C159" i="43"/>
  <c r="D158" i="43"/>
  <c r="C158" i="43"/>
  <c r="D157" i="43"/>
  <c r="C157" i="43"/>
  <c r="D156" i="43"/>
  <c r="C156" i="43"/>
  <c r="D25" i="43"/>
  <c r="C187" i="43" s="1"/>
  <c r="D13" i="43"/>
  <c r="E13" i="43" s="1"/>
  <c r="C30" i="39"/>
  <c r="R21" i="39"/>
  <c r="N21" i="39"/>
  <c r="M21" i="39"/>
  <c r="O21" i="39" s="1"/>
  <c r="J18" i="39"/>
  <c r="I16" i="39"/>
  <c r="J15" i="39"/>
  <c r="I14" i="39"/>
  <c r="I5" i="39"/>
  <c r="J4" i="39"/>
  <c r="K4" i="39" s="1"/>
  <c r="Q3" i="39"/>
  <c r="Q21" i="39" s="1"/>
  <c r="S21" i="39" s="1"/>
  <c r="I3" i="39"/>
  <c r="I21" i="39" s="1"/>
  <c r="D97" i="37"/>
  <c r="K60" i="37"/>
  <c r="C97" i="37" s="1"/>
  <c r="L58" i="37"/>
  <c r="D98" i="37" s="1"/>
  <c r="E98" i="37" s="1"/>
  <c r="L50" i="37"/>
  <c r="D95" i="37" s="1"/>
  <c r="K49" i="37"/>
  <c r="C95" i="37" s="1"/>
  <c r="K48" i="37"/>
  <c r="C93" i="37" s="1"/>
  <c r="L47" i="37"/>
  <c r="D93" i="37" s="1"/>
  <c r="L46" i="37"/>
  <c r="D94" i="37" s="1"/>
  <c r="K45" i="37"/>
  <c r="C94" i="37" s="1"/>
  <c r="K44" i="37"/>
  <c r="C92" i="37" s="1"/>
  <c r="L43" i="37"/>
  <c r="D92" i="37" s="1"/>
  <c r="K42" i="37"/>
  <c r="C91" i="37" s="1"/>
  <c r="L41" i="37"/>
  <c r="D90" i="37" s="1"/>
  <c r="K40" i="37"/>
  <c r="C90" i="37" s="1"/>
  <c r="C27" i="29"/>
  <c r="AK276" i="1" s="1"/>
  <c r="AV276" i="1" s="1"/>
  <c r="U105" i="33"/>
  <c r="T105" i="33"/>
  <c r="S105" i="33"/>
  <c r="Q105" i="33"/>
  <c r="P105" i="33"/>
  <c r="O105" i="33"/>
  <c r="N105" i="33"/>
  <c r="L105" i="33"/>
  <c r="K105" i="33"/>
  <c r="J105" i="33"/>
  <c r="I105" i="33"/>
  <c r="G105" i="33"/>
  <c r="F105" i="33"/>
  <c r="E105" i="33"/>
  <c r="T108" i="36"/>
  <c r="S108" i="36"/>
  <c r="R108" i="36"/>
  <c r="Q108" i="36"/>
  <c r="P108" i="36"/>
  <c r="O108" i="36"/>
  <c r="N108" i="36"/>
  <c r="M108" i="36"/>
  <c r="L108" i="36"/>
  <c r="K108" i="36"/>
  <c r="J108" i="36"/>
  <c r="I108" i="36"/>
  <c r="H108" i="36"/>
  <c r="F108" i="36"/>
  <c r="E108" i="36"/>
  <c r="D69" i="36"/>
  <c r="D108" i="36" s="1"/>
  <c r="E108" i="27"/>
  <c r="H108" i="27" s="1"/>
  <c r="D77" i="27" s="1"/>
  <c r="E107" i="27"/>
  <c r="G107" i="27" s="1"/>
  <c r="C76" i="27" s="1"/>
  <c r="E106" i="27"/>
  <c r="H106" i="27" s="1"/>
  <c r="D75" i="27" s="1"/>
  <c r="E105" i="27"/>
  <c r="H105" i="27" s="1"/>
  <c r="D74" i="27" s="1"/>
  <c r="E104" i="27"/>
  <c r="H104" i="27" s="1"/>
  <c r="D73" i="27" s="1"/>
  <c r="E103" i="27"/>
  <c r="H103" i="27" s="1"/>
  <c r="D72" i="27" s="1"/>
  <c r="E102" i="27"/>
  <c r="H102" i="27" s="1"/>
  <c r="D71" i="27" s="1"/>
  <c r="E101" i="27"/>
  <c r="G101" i="27" s="1"/>
  <c r="C70" i="27" s="1"/>
  <c r="E99" i="27"/>
  <c r="H99" i="27" s="1"/>
  <c r="D68" i="27" s="1"/>
  <c r="E97" i="27"/>
  <c r="G97" i="27" s="1"/>
  <c r="C66" i="27" s="1"/>
  <c r="E53" i="27"/>
  <c r="D117" i="27" s="1"/>
  <c r="U907" i="31"/>
  <c r="T907" i="31"/>
  <c r="S907" i="31"/>
  <c r="Q907" i="31"/>
  <c r="P907" i="31"/>
  <c r="O907" i="31"/>
  <c r="N907" i="31"/>
  <c r="L907" i="31"/>
  <c r="K907" i="31"/>
  <c r="J907" i="31"/>
  <c r="I907" i="31"/>
  <c r="G907" i="31"/>
  <c r="F907" i="31"/>
  <c r="E907" i="31"/>
  <c r="D907" i="31"/>
  <c r="C907" i="31"/>
  <c r="P909" i="35"/>
  <c r="O909" i="35"/>
  <c r="K909" i="35"/>
  <c r="G909" i="35"/>
  <c r="E909" i="35"/>
  <c r="U904" i="35"/>
  <c r="U897" i="35"/>
  <c r="U893" i="35"/>
  <c r="U890" i="35"/>
  <c r="U884" i="35"/>
  <c r="U881" i="35"/>
  <c r="U880" i="35"/>
  <c r="U871" i="35"/>
  <c r="U863" i="35"/>
  <c r="U858" i="35"/>
  <c r="U853" i="35"/>
  <c r="U852" i="35"/>
  <c r="U845" i="35"/>
  <c r="U840" i="35"/>
  <c r="U838" i="35"/>
  <c r="U837" i="35"/>
  <c r="U834" i="35"/>
  <c r="U827" i="35"/>
  <c r="U826" i="35"/>
  <c r="U824" i="35"/>
  <c r="U823" i="35"/>
  <c r="U820" i="35"/>
  <c r="U819" i="35"/>
  <c r="U815" i="35"/>
  <c r="U812" i="35"/>
  <c r="U808" i="35"/>
  <c r="U805" i="35"/>
  <c r="U799" i="35"/>
  <c r="U796" i="35"/>
  <c r="U795" i="35"/>
  <c r="U792" i="35"/>
  <c r="T792" i="35"/>
  <c r="Q792" i="35"/>
  <c r="L792" i="35"/>
  <c r="U788" i="35"/>
  <c r="U786" i="35"/>
  <c r="U783" i="35"/>
  <c r="U782" i="35"/>
  <c r="U779" i="35"/>
  <c r="T779" i="35"/>
  <c r="S779" i="35"/>
  <c r="S909" i="35" s="1"/>
  <c r="Q779" i="35"/>
  <c r="N779" i="35"/>
  <c r="N909" i="35" s="1"/>
  <c r="K779" i="35"/>
  <c r="I779" i="35"/>
  <c r="I909" i="35" s="1"/>
  <c r="G779" i="35"/>
  <c r="C779" i="35"/>
  <c r="U777" i="35"/>
  <c r="U775" i="35"/>
  <c r="U772" i="35"/>
  <c r="U770" i="35"/>
  <c r="U768" i="35"/>
  <c r="U765" i="35"/>
  <c r="U759" i="35"/>
  <c r="U756" i="35"/>
  <c r="U753" i="35"/>
  <c r="U752" i="35"/>
  <c r="U746" i="35"/>
  <c r="U739" i="35"/>
  <c r="U736" i="35"/>
  <c r="U733" i="35"/>
  <c r="U729" i="35"/>
  <c r="U728" i="35"/>
  <c r="U722" i="35"/>
  <c r="U721" i="35"/>
  <c r="U718" i="35"/>
  <c r="U717" i="35"/>
  <c r="U716" i="35"/>
  <c r="U715" i="35"/>
  <c r="U707" i="35"/>
  <c r="U705" i="35"/>
  <c r="U696" i="35"/>
  <c r="U687" i="35"/>
  <c r="U683" i="35"/>
  <c r="U679" i="35"/>
  <c r="U660" i="35"/>
  <c r="U659" i="35"/>
  <c r="U656" i="35"/>
  <c r="U650" i="35"/>
  <c r="U636" i="35"/>
  <c r="U635" i="35"/>
  <c r="U631" i="35"/>
  <c r="U615" i="35"/>
  <c r="U612" i="35"/>
  <c r="U611" i="35"/>
  <c r="U609" i="35"/>
  <c r="U607" i="35"/>
  <c r="U606" i="35"/>
  <c r="U603" i="35"/>
  <c r="U601" i="35"/>
  <c r="U596" i="35"/>
  <c r="U593" i="35"/>
  <c r="U592" i="35"/>
  <c r="U580" i="35"/>
  <c r="U566" i="35"/>
  <c r="U564" i="35"/>
  <c r="U562" i="35"/>
  <c r="U543" i="35"/>
  <c r="U535" i="35"/>
  <c r="U529" i="35"/>
  <c r="U528" i="35"/>
  <c r="U524" i="35"/>
  <c r="U521" i="35"/>
  <c r="U519" i="35"/>
  <c r="U514" i="35"/>
  <c r="U511" i="35"/>
  <c r="U507" i="35"/>
  <c r="U500" i="35"/>
  <c r="U372" i="35"/>
  <c r="U365" i="35"/>
  <c r="U361" i="35"/>
  <c r="U356" i="35"/>
  <c r="U352" i="35"/>
  <c r="U349" i="35"/>
  <c r="U348" i="35"/>
  <c r="U345" i="35"/>
  <c r="U344" i="35"/>
  <c r="U339" i="35"/>
  <c r="U338" i="35"/>
  <c r="U329" i="35"/>
  <c r="U328" i="35"/>
  <c r="U326" i="35"/>
  <c r="U321" i="35"/>
  <c r="U320" i="35"/>
  <c r="U315" i="35"/>
  <c r="U314" i="35"/>
  <c r="U308" i="35"/>
  <c r="U303" i="35"/>
  <c r="U302" i="35"/>
  <c r="U297" i="35"/>
  <c r="U296" i="35"/>
  <c r="U283" i="35"/>
  <c r="U279" i="35"/>
  <c r="U278" i="35"/>
  <c r="U275" i="35"/>
  <c r="U270" i="35"/>
  <c r="U269" i="35"/>
  <c r="U268" i="35"/>
  <c r="U266" i="35"/>
  <c r="U264" i="35"/>
  <c r="U256" i="35"/>
  <c r="U253" i="35"/>
  <c r="U251" i="35"/>
  <c r="U246" i="35"/>
  <c r="T246" i="35"/>
  <c r="Q246" i="35"/>
  <c r="Q909" i="35" s="1"/>
  <c r="L246" i="35"/>
  <c r="L909" i="35" s="1"/>
  <c r="U245" i="35"/>
  <c r="U243" i="35"/>
  <c r="U237" i="35"/>
  <c r="U234" i="35"/>
  <c r="U227" i="35"/>
  <c r="U225" i="35"/>
  <c r="U224" i="35"/>
  <c r="U212" i="35"/>
  <c r="U210" i="35"/>
  <c r="U209" i="35"/>
  <c r="U207" i="35"/>
  <c r="U206" i="35"/>
  <c r="U196" i="35"/>
  <c r="U192" i="35"/>
  <c r="U190" i="35"/>
  <c r="U185" i="35"/>
  <c r="U180" i="35"/>
  <c r="U174" i="35"/>
  <c r="U171" i="35"/>
  <c r="U170" i="35"/>
  <c r="U165" i="35"/>
  <c r="U160" i="35"/>
  <c r="U155" i="35"/>
  <c r="U151" i="35"/>
  <c r="U149" i="35"/>
  <c r="U144" i="35"/>
  <c r="U142" i="35"/>
  <c r="U133" i="35"/>
  <c r="U130" i="35"/>
  <c r="U128" i="35"/>
  <c r="U127" i="35"/>
  <c r="U126" i="35"/>
  <c r="U121" i="35"/>
  <c r="U113" i="35"/>
  <c r="U111" i="35"/>
  <c r="U109" i="35"/>
  <c r="U104" i="35"/>
  <c r="U102" i="35"/>
  <c r="U99" i="35"/>
  <c r="U97" i="35"/>
  <c r="U93" i="35"/>
  <c r="U91" i="35"/>
  <c r="U80" i="35"/>
  <c r="U77" i="35"/>
  <c r="U72" i="35"/>
  <c r="U69" i="35"/>
  <c r="U62" i="35"/>
  <c r="U58" i="35"/>
  <c r="U56" i="35"/>
  <c r="U54" i="35"/>
  <c r="U50" i="35"/>
  <c r="U49" i="35"/>
  <c r="U46" i="35"/>
  <c r="U43" i="35"/>
  <c r="U42" i="35"/>
  <c r="U38" i="35"/>
  <c r="U21" i="35"/>
  <c r="U18" i="35"/>
  <c r="U14" i="35"/>
  <c r="U11" i="35"/>
  <c r="O908" i="41"/>
  <c r="Q906" i="41"/>
  <c r="L906" i="41"/>
  <c r="Q905" i="41"/>
  <c r="L905" i="41"/>
  <c r="U904" i="41"/>
  <c r="Q904" i="41"/>
  <c r="L904" i="41"/>
  <c r="Q903" i="41"/>
  <c r="L903" i="41"/>
  <c r="Q902" i="41"/>
  <c r="L902" i="41"/>
  <c r="Q901" i="41"/>
  <c r="L901" i="41"/>
  <c r="Q900" i="41"/>
  <c r="L900" i="41"/>
  <c r="Q899" i="41"/>
  <c r="L899" i="41"/>
  <c r="Q898" i="41"/>
  <c r="L898" i="41"/>
  <c r="U897" i="41"/>
  <c r="Q897" i="41"/>
  <c r="L897" i="41"/>
  <c r="Q896" i="41"/>
  <c r="L896" i="41"/>
  <c r="Q895" i="41"/>
  <c r="L895" i="41"/>
  <c r="Q894" i="41"/>
  <c r="L894" i="41"/>
  <c r="U893" i="41"/>
  <c r="Q893" i="41"/>
  <c r="L893" i="41"/>
  <c r="Q892" i="41"/>
  <c r="L892" i="41"/>
  <c r="Q891" i="41"/>
  <c r="L891" i="41"/>
  <c r="U890" i="41"/>
  <c r="Q890" i="41"/>
  <c r="L890" i="41"/>
  <c r="Q889" i="41"/>
  <c r="L889" i="41"/>
  <c r="Q888" i="41"/>
  <c r="L888" i="41"/>
  <c r="Q887" i="41"/>
  <c r="L887" i="41"/>
  <c r="Q886" i="41"/>
  <c r="L886" i="41"/>
  <c r="Q885" i="41"/>
  <c r="L885" i="41"/>
  <c r="U884" i="41"/>
  <c r="Q884" i="41"/>
  <c r="L884" i="41"/>
  <c r="Q883" i="41"/>
  <c r="L883" i="41"/>
  <c r="Q882" i="41"/>
  <c r="L882" i="41"/>
  <c r="U881" i="41"/>
  <c r="Q881" i="41"/>
  <c r="L881" i="41"/>
  <c r="U880" i="41"/>
  <c r="Q880" i="41"/>
  <c r="L880" i="41"/>
  <c r="Q879" i="41"/>
  <c r="L879" i="41"/>
  <c r="Q878" i="41"/>
  <c r="L878" i="41"/>
  <c r="Q877" i="41"/>
  <c r="L877" i="41"/>
  <c r="Q876" i="41"/>
  <c r="L876" i="41"/>
  <c r="Q875" i="41"/>
  <c r="L875" i="41"/>
  <c r="Q874" i="41"/>
  <c r="L874" i="41"/>
  <c r="Q873" i="41"/>
  <c r="L873" i="41"/>
  <c r="Q872" i="41"/>
  <c r="L872" i="41"/>
  <c r="U871" i="41"/>
  <c r="Q871" i="41"/>
  <c r="L871" i="41"/>
  <c r="Q870" i="41"/>
  <c r="L870" i="41"/>
  <c r="Q869" i="41"/>
  <c r="L869" i="41"/>
  <c r="Q868" i="41"/>
  <c r="L868" i="41"/>
  <c r="Q867" i="41"/>
  <c r="L867" i="41"/>
  <c r="Q866" i="41"/>
  <c r="L866" i="41"/>
  <c r="Q865" i="41"/>
  <c r="L865" i="41"/>
  <c r="Q864" i="41"/>
  <c r="L864" i="41"/>
  <c r="U863" i="41"/>
  <c r="Q863" i="41"/>
  <c r="L863" i="41"/>
  <c r="Q862" i="41"/>
  <c r="L862" i="41"/>
  <c r="Q861" i="41"/>
  <c r="L861" i="41"/>
  <c r="Q860" i="41"/>
  <c r="L860" i="41"/>
  <c r="Q859" i="41"/>
  <c r="L859" i="41"/>
  <c r="U858" i="41"/>
  <c r="Q858" i="41"/>
  <c r="L858" i="41"/>
  <c r="Q857" i="41"/>
  <c r="L857" i="41"/>
  <c r="Q856" i="41"/>
  <c r="L856" i="41"/>
  <c r="Q855" i="41"/>
  <c r="L855" i="41"/>
  <c r="Q854" i="41"/>
  <c r="L854" i="41"/>
  <c r="U853" i="41"/>
  <c r="Q853" i="41"/>
  <c r="L853" i="41"/>
  <c r="U852" i="41"/>
  <c r="Q852" i="41"/>
  <c r="L852" i="41"/>
  <c r="Q851" i="41"/>
  <c r="L851" i="41"/>
  <c r="Q850" i="41"/>
  <c r="L850" i="41"/>
  <c r="Q849" i="41"/>
  <c r="L849" i="41"/>
  <c r="Q848" i="41"/>
  <c r="L848" i="41"/>
  <c r="Q847" i="41"/>
  <c r="L847" i="41"/>
  <c r="Q846" i="41"/>
  <c r="L846" i="41"/>
  <c r="U845" i="41"/>
  <c r="Q845" i="41"/>
  <c r="L845" i="41"/>
  <c r="Q844" i="41"/>
  <c r="L844" i="41"/>
  <c r="Q843" i="41"/>
  <c r="L843" i="41"/>
  <c r="Q842" i="41"/>
  <c r="L842" i="41"/>
  <c r="Q841" i="41"/>
  <c r="L841" i="41"/>
  <c r="U840" i="41"/>
  <c r="Q840" i="41"/>
  <c r="L840" i="41"/>
  <c r="Q839" i="41"/>
  <c r="L839" i="41"/>
  <c r="U838" i="41"/>
  <c r="Q838" i="41"/>
  <c r="L838" i="41"/>
  <c r="U837" i="41"/>
  <c r="Q837" i="41"/>
  <c r="L837" i="41"/>
  <c r="Q836" i="41"/>
  <c r="L836" i="41"/>
  <c r="Q835" i="41"/>
  <c r="L835" i="41"/>
  <c r="U834" i="41"/>
  <c r="Q834" i="41"/>
  <c r="L834" i="41"/>
  <c r="Q833" i="41"/>
  <c r="L833" i="41"/>
  <c r="Q832" i="41"/>
  <c r="L832" i="41"/>
  <c r="Q831" i="41"/>
  <c r="L831" i="41"/>
  <c r="Q830" i="41"/>
  <c r="L830" i="41"/>
  <c r="Q829" i="41"/>
  <c r="L829" i="41"/>
  <c r="Q828" i="41"/>
  <c r="L828" i="41"/>
  <c r="U827" i="41"/>
  <c r="Q827" i="41"/>
  <c r="L827" i="41"/>
  <c r="U826" i="41"/>
  <c r="Q826" i="41"/>
  <c r="L826" i="41"/>
  <c r="Q825" i="41"/>
  <c r="L825" i="41"/>
  <c r="U824" i="41"/>
  <c r="Q824" i="41"/>
  <c r="L824" i="41"/>
  <c r="U823" i="41"/>
  <c r="Q823" i="41"/>
  <c r="L823" i="41"/>
  <c r="Q822" i="41"/>
  <c r="L822" i="41"/>
  <c r="Q821" i="41"/>
  <c r="L821" i="41"/>
  <c r="U820" i="41"/>
  <c r="Q820" i="41"/>
  <c r="L820" i="41"/>
  <c r="U819" i="41"/>
  <c r="Q819" i="41"/>
  <c r="L819" i="41"/>
  <c r="Q818" i="41"/>
  <c r="L818" i="41"/>
  <c r="Q817" i="41"/>
  <c r="L817" i="41"/>
  <c r="Q816" i="41"/>
  <c r="L816" i="41"/>
  <c r="U815" i="41"/>
  <c r="Q815" i="41"/>
  <c r="L815" i="41"/>
  <c r="Q814" i="41"/>
  <c r="L814" i="41"/>
  <c r="Q813" i="41"/>
  <c r="L813" i="41"/>
  <c r="U812" i="41"/>
  <c r="Q812" i="41"/>
  <c r="L812" i="41"/>
  <c r="Q811" i="41"/>
  <c r="L811" i="41"/>
  <c r="Q810" i="41"/>
  <c r="L810" i="41"/>
  <c r="Q809" i="41"/>
  <c r="L809" i="41"/>
  <c r="U808" i="41"/>
  <c r="Q808" i="41"/>
  <c r="L808" i="41"/>
  <c r="Q807" i="41"/>
  <c r="L807" i="41"/>
  <c r="Q806" i="41"/>
  <c r="L806" i="41"/>
  <c r="U805" i="41"/>
  <c r="Q805" i="41"/>
  <c r="L805" i="41"/>
  <c r="Q804" i="41"/>
  <c r="L804" i="41"/>
  <c r="Q803" i="41"/>
  <c r="L803" i="41"/>
  <c r="Q802" i="41"/>
  <c r="L802" i="41"/>
  <c r="Q801" i="41"/>
  <c r="L801" i="41"/>
  <c r="Q800" i="41"/>
  <c r="L800" i="41"/>
  <c r="U799" i="41"/>
  <c r="Q799" i="41"/>
  <c r="L799" i="41"/>
  <c r="Q798" i="41"/>
  <c r="L798" i="41"/>
  <c r="Q797" i="41"/>
  <c r="L797" i="41"/>
  <c r="U796" i="41"/>
  <c r="Q796" i="41"/>
  <c r="L796" i="41"/>
  <c r="U795" i="41"/>
  <c r="Q795" i="41"/>
  <c r="L795" i="41"/>
  <c r="Q794" i="41"/>
  <c r="L794" i="41"/>
  <c r="Q793" i="41"/>
  <c r="L793" i="41"/>
  <c r="U792" i="41"/>
  <c r="T792" i="41"/>
  <c r="P792" i="41"/>
  <c r="Q792" i="41" s="1"/>
  <c r="K792" i="41"/>
  <c r="L792" i="41" s="1"/>
  <c r="Q791" i="41"/>
  <c r="L791" i="41"/>
  <c r="Q790" i="41"/>
  <c r="L790" i="41"/>
  <c r="Q789" i="41"/>
  <c r="L789" i="41"/>
  <c r="U788" i="41"/>
  <c r="Q788" i="41"/>
  <c r="L788" i="41"/>
  <c r="Q787" i="41"/>
  <c r="L787" i="41"/>
  <c r="U786" i="41"/>
  <c r="Q786" i="41"/>
  <c r="L786" i="41"/>
  <c r="Q785" i="41"/>
  <c r="L785" i="41"/>
  <c r="Q784" i="41"/>
  <c r="L784" i="41"/>
  <c r="U783" i="41"/>
  <c r="Q783" i="41"/>
  <c r="L783" i="41"/>
  <c r="U782" i="41"/>
  <c r="Q782" i="41"/>
  <c r="L782" i="41"/>
  <c r="Q781" i="41"/>
  <c r="L781" i="41"/>
  <c r="Q780" i="41"/>
  <c r="L780" i="41"/>
  <c r="U779" i="41"/>
  <c r="T779" i="41"/>
  <c r="S779" i="41"/>
  <c r="S908" i="41" s="1"/>
  <c r="P779" i="41"/>
  <c r="N779" i="41"/>
  <c r="J779" i="41"/>
  <c r="J908" i="41" s="1"/>
  <c r="H779" i="41"/>
  <c r="H908" i="41" s="1"/>
  <c r="F779" i="41"/>
  <c r="F908" i="41" s="1"/>
  <c r="C779" i="41"/>
  <c r="Q778" i="41"/>
  <c r="L778" i="41"/>
  <c r="U777" i="41"/>
  <c r="Q777" i="41"/>
  <c r="L777" i="41"/>
  <c r="Q776" i="41"/>
  <c r="L776" i="41"/>
  <c r="U775" i="41"/>
  <c r="Q775" i="41"/>
  <c r="L775" i="41"/>
  <c r="Q774" i="41"/>
  <c r="L774" i="41"/>
  <c r="Q773" i="41"/>
  <c r="L773" i="41"/>
  <c r="U772" i="41"/>
  <c r="Q772" i="41"/>
  <c r="L772" i="41"/>
  <c r="Q771" i="41"/>
  <c r="L771" i="41"/>
  <c r="U770" i="41"/>
  <c r="Q770" i="41"/>
  <c r="L770" i="41"/>
  <c r="Q769" i="41"/>
  <c r="L769" i="41"/>
  <c r="U768" i="41"/>
  <c r="Q768" i="41"/>
  <c r="L768" i="41"/>
  <c r="Q767" i="41"/>
  <c r="L767" i="41"/>
  <c r="Q766" i="41"/>
  <c r="L766" i="41"/>
  <c r="U765" i="41"/>
  <c r="Q765" i="41"/>
  <c r="L765" i="41"/>
  <c r="Q764" i="41"/>
  <c r="L764" i="41"/>
  <c r="Q763" i="41"/>
  <c r="L763" i="41"/>
  <c r="Q762" i="41"/>
  <c r="L762" i="41"/>
  <c r="Q761" i="41"/>
  <c r="L761" i="41"/>
  <c r="Q760" i="41"/>
  <c r="L760" i="41"/>
  <c r="U759" i="41"/>
  <c r="Q759" i="41"/>
  <c r="L759" i="41"/>
  <c r="Q758" i="41"/>
  <c r="L758" i="41"/>
  <c r="Q757" i="41"/>
  <c r="L757" i="41"/>
  <c r="U756" i="41"/>
  <c r="Q756" i="41"/>
  <c r="L756" i="41"/>
  <c r="Q755" i="41"/>
  <c r="L755" i="41"/>
  <c r="Q754" i="41"/>
  <c r="L754" i="41"/>
  <c r="U753" i="41"/>
  <c r="Q753" i="41"/>
  <c r="L753" i="41"/>
  <c r="U752" i="41"/>
  <c r="Q752" i="41"/>
  <c r="L752" i="41"/>
  <c r="Q751" i="41"/>
  <c r="L751" i="41"/>
  <c r="Q750" i="41"/>
  <c r="L750" i="41"/>
  <c r="Q749" i="41"/>
  <c r="L749" i="41"/>
  <c r="Q748" i="41"/>
  <c r="L748" i="41"/>
  <c r="Q747" i="41"/>
  <c r="L747" i="41"/>
  <c r="U746" i="41"/>
  <c r="Q746" i="41"/>
  <c r="L746" i="41"/>
  <c r="Q745" i="41"/>
  <c r="L745" i="41"/>
  <c r="Q744" i="41"/>
  <c r="L744" i="41"/>
  <c r="Q743" i="41"/>
  <c r="L743" i="41"/>
  <c r="Q742" i="41"/>
  <c r="L742" i="41"/>
  <c r="Q741" i="41"/>
  <c r="L741" i="41"/>
  <c r="Q740" i="41"/>
  <c r="L740" i="41"/>
  <c r="U739" i="41"/>
  <c r="Q739" i="41"/>
  <c r="L739" i="41"/>
  <c r="Q738" i="41"/>
  <c r="L738" i="41"/>
  <c r="Q737" i="41"/>
  <c r="L737" i="41"/>
  <c r="U736" i="41"/>
  <c r="Q736" i="41"/>
  <c r="L736" i="41"/>
  <c r="Q735" i="41"/>
  <c r="L735" i="41"/>
  <c r="Q734" i="41"/>
  <c r="L734" i="41"/>
  <c r="U733" i="41"/>
  <c r="Q733" i="41"/>
  <c r="L733" i="41"/>
  <c r="Q732" i="41"/>
  <c r="L732" i="41"/>
  <c r="Q731" i="41"/>
  <c r="L731" i="41"/>
  <c r="Q730" i="41"/>
  <c r="L730" i="41"/>
  <c r="U729" i="41"/>
  <c r="Q729" i="41"/>
  <c r="L729" i="41"/>
  <c r="U728" i="41"/>
  <c r="Q728" i="41"/>
  <c r="L728" i="41"/>
  <c r="Q727" i="41"/>
  <c r="L727" i="41"/>
  <c r="Q726" i="41"/>
  <c r="L726" i="41"/>
  <c r="Q725" i="41"/>
  <c r="L725" i="41"/>
  <c r="Q724" i="41"/>
  <c r="L724" i="41"/>
  <c r="Q723" i="41"/>
  <c r="L723" i="41"/>
  <c r="U722" i="41"/>
  <c r="Q722" i="41"/>
  <c r="L722" i="41"/>
  <c r="U721" i="41"/>
  <c r="Q721" i="41"/>
  <c r="L721" i="41"/>
  <c r="Q720" i="41"/>
  <c r="L720" i="41"/>
  <c r="Q719" i="41"/>
  <c r="L719" i="41"/>
  <c r="U718" i="41"/>
  <c r="Q718" i="41"/>
  <c r="L718" i="41"/>
  <c r="U717" i="41"/>
  <c r="Q717" i="41"/>
  <c r="L717" i="41"/>
  <c r="U716" i="41"/>
  <c r="Q716" i="41"/>
  <c r="L716" i="41"/>
  <c r="U715" i="41"/>
  <c r="Q715" i="41"/>
  <c r="L715" i="41"/>
  <c r="Q714" i="41"/>
  <c r="L714" i="41"/>
  <c r="Q713" i="41"/>
  <c r="L713" i="41"/>
  <c r="Q712" i="41"/>
  <c r="L712" i="41"/>
  <c r="Q711" i="41"/>
  <c r="L711" i="41"/>
  <c r="Q710" i="41"/>
  <c r="L710" i="41"/>
  <c r="Q709" i="41"/>
  <c r="L709" i="41"/>
  <c r="Q708" i="41"/>
  <c r="L708" i="41"/>
  <c r="U707" i="41"/>
  <c r="Q707" i="41"/>
  <c r="L707" i="41"/>
  <c r="Q706" i="41"/>
  <c r="L706" i="41"/>
  <c r="U705" i="41"/>
  <c r="Q705" i="41"/>
  <c r="L705" i="41"/>
  <c r="Q704" i="41"/>
  <c r="L704" i="41"/>
  <c r="Q703" i="41"/>
  <c r="L703" i="41"/>
  <c r="Q702" i="41"/>
  <c r="L702" i="41"/>
  <c r="Q701" i="41"/>
  <c r="L701" i="41"/>
  <c r="Q700" i="41"/>
  <c r="L700" i="41"/>
  <c r="Q699" i="41"/>
  <c r="L699" i="41"/>
  <c r="Q698" i="41"/>
  <c r="L698" i="41"/>
  <c r="Q697" i="41"/>
  <c r="L697" i="41"/>
  <c r="U696" i="41"/>
  <c r="Q696" i="41"/>
  <c r="L696" i="41"/>
  <c r="Q695" i="41"/>
  <c r="L695" i="41"/>
  <c r="Q694" i="41"/>
  <c r="L694" i="41"/>
  <c r="Q693" i="41"/>
  <c r="L693" i="41"/>
  <c r="Q692" i="41"/>
  <c r="L692" i="41"/>
  <c r="Q691" i="41"/>
  <c r="L691" i="41"/>
  <c r="Q690" i="41"/>
  <c r="L690" i="41"/>
  <c r="Q689" i="41"/>
  <c r="L689" i="41"/>
  <c r="Q688" i="41"/>
  <c r="L688" i="41"/>
  <c r="U687" i="41"/>
  <c r="Q687" i="41"/>
  <c r="L687" i="41"/>
  <c r="Q686" i="41"/>
  <c r="L686" i="41"/>
  <c r="Q685" i="41"/>
  <c r="L685" i="41"/>
  <c r="Q684" i="41"/>
  <c r="L684" i="41"/>
  <c r="U683" i="41"/>
  <c r="Q683" i="41"/>
  <c r="L683" i="41"/>
  <c r="Q682" i="41"/>
  <c r="L682" i="41"/>
  <c r="Q681" i="41"/>
  <c r="L681" i="41"/>
  <c r="Q680" i="41"/>
  <c r="L680" i="41"/>
  <c r="U679" i="41"/>
  <c r="Q679" i="41"/>
  <c r="L679" i="41"/>
  <c r="Q678" i="41"/>
  <c r="L678" i="41"/>
  <c r="Q677" i="41"/>
  <c r="L677" i="41"/>
  <c r="Q676" i="41"/>
  <c r="L676" i="41"/>
  <c r="Q675" i="41"/>
  <c r="L675" i="41"/>
  <c r="Q674" i="41"/>
  <c r="L674" i="41"/>
  <c r="Q673" i="41"/>
  <c r="L673" i="41"/>
  <c r="Q672" i="41"/>
  <c r="L672" i="41"/>
  <c r="Q671" i="41"/>
  <c r="L671" i="41"/>
  <c r="Q670" i="41"/>
  <c r="L670" i="41"/>
  <c r="Q669" i="41"/>
  <c r="L669" i="41"/>
  <c r="Q668" i="41"/>
  <c r="L668" i="41"/>
  <c r="Q667" i="41"/>
  <c r="L667" i="41"/>
  <c r="Q666" i="41"/>
  <c r="L666" i="41"/>
  <c r="Q665" i="41"/>
  <c r="L665" i="41"/>
  <c r="Q664" i="41"/>
  <c r="L664" i="41"/>
  <c r="Q663" i="41"/>
  <c r="L663" i="41"/>
  <c r="Q662" i="41"/>
  <c r="L662" i="41"/>
  <c r="Q661" i="41"/>
  <c r="L661" i="41"/>
  <c r="U660" i="41"/>
  <c r="Q660" i="41"/>
  <c r="L660" i="41"/>
  <c r="U659" i="41"/>
  <c r="Q659" i="41"/>
  <c r="L659" i="41"/>
  <c r="Q658" i="41"/>
  <c r="L658" i="41"/>
  <c r="Q657" i="41"/>
  <c r="L657" i="41"/>
  <c r="U656" i="41"/>
  <c r="Q656" i="41"/>
  <c r="L656" i="41"/>
  <c r="Q655" i="41"/>
  <c r="L655" i="41"/>
  <c r="Q654" i="41"/>
  <c r="L654" i="41"/>
  <c r="Q653" i="41"/>
  <c r="L653" i="41"/>
  <c r="Q652" i="41"/>
  <c r="L652" i="41"/>
  <c r="Q651" i="41"/>
  <c r="L651" i="41"/>
  <c r="U650" i="41"/>
  <c r="Q650" i="41"/>
  <c r="L650" i="41"/>
  <c r="Q649" i="41"/>
  <c r="L649" i="41"/>
  <c r="Q648" i="41"/>
  <c r="L648" i="41"/>
  <c r="Q647" i="41"/>
  <c r="L647" i="41"/>
  <c r="Q646" i="41"/>
  <c r="L646" i="41"/>
  <c r="Q645" i="41"/>
  <c r="L645" i="41"/>
  <c r="Q644" i="41"/>
  <c r="L644" i="41"/>
  <c r="Q643" i="41"/>
  <c r="L643" i="41"/>
  <c r="Q642" i="41"/>
  <c r="L642" i="41"/>
  <c r="Q641" i="41"/>
  <c r="L641" i="41"/>
  <c r="Q640" i="41"/>
  <c r="L640" i="41"/>
  <c r="Q639" i="41"/>
  <c r="L639" i="41"/>
  <c r="Q638" i="41"/>
  <c r="L638" i="41"/>
  <c r="Q637" i="41"/>
  <c r="L637" i="41"/>
  <c r="U636" i="41"/>
  <c r="Q636" i="41"/>
  <c r="L636" i="41"/>
  <c r="U635" i="41"/>
  <c r="Q635" i="41"/>
  <c r="L635" i="41"/>
  <c r="Q634" i="41"/>
  <c r="L634" i="41"/>
  <c r="Q633" i="41"/>
  <c r="L633" i="41"/>
  <c r="Q632" i="41"/>
  <c r="L632" i="41"/>
  <c r="U631" i="41"/>
  <c r="Q631" i="41"/>
  <c r="L631" i="41"/>
  <c r="Q630" i="41"/>
  <c r="L630" i="41"/>
  <c r="Q629" i="41"/>
  <c r="L629" i="41"/>
  <c r="Q628" i="41"/>
  <c r="L628" i="41"/>
  <c r="Q627" i="41"/>
  <c r="L627" i="41"/>
  <c r="Q626" i="41"/>
  <c r="L626" i="41"/>
  <c r="Q625" i="41"/>
  <c r="L625" i="41"/>
  <c r="Q624" i="41"/>
  <c r="L624" i="41"/>
  <c r="Q623" i="41"/>
  <c r="L623" i="41"/>
  <c r="Q622" i="41"/>
  <c r="L622" i="41"/>
  <c r="Q621" i="41"/>
  <c r="L621" i="41"/>
  <c r="Q620" i="41"/>
  <c r="L620" i="41"/>
  <c r="Q619" i="41"/>
  <c r="L619" i="41"/>
  <c r="Q618" i="41"/>
  <c r="L618" i="41"/>
  <c r="Q617" i="41"/>
  <c r="L617" i="41"/>
  <c r="Q616" i="41"/>
  <c r="L616" i="41"/>
  <c r="U615" i="41"/>
  <c r="Q615" i="41"/>
  <c r="L615" i="41"/>
  <c r="Q614" i="41"/>
  <c r="L614" i="41"/>
  <c r="Q613" i="41"/>
  <c r="L613" i="41"/>
  <c r="U612" i="41"/>
  <c r="Q612" i="41"/>
  <c r="L612" i="41"/>
  <c r="U611" i="41"/>
  <c r="Q611" i="41"/>
  <c r="L611" i="41"/>
  <c r="Q610" i="41"/>
  <c r="L610" i="41"/>
  <c r="U609" i="41"/>
  <c r="Q609" i="41"/>
  <c r="L609" i="41"/>
  <c r="Q608" i="41"/>
  <c r="L608" i="41"/>
  <c r="U607" i="41"/>
  <c r="Q607" i="41"/>
  <c r="L607" i="41"/>
  <c r="U606" i="41"/>
  <c r="Q606" i="41"/>
  <c r="L606" i="41"/>
  <c r="Q605" i="41"/>
  <c r="L605" i="41"/>
  <c r="Q604" i="41"/>
  <c r="L604" i="41"/>
  <c r="U603" i="41"/>
  <c r="Q603" i="41"/>
  <c r="L603" i="41"/>
  <c r="Q602" i="41"/>
  <c r="L602" i="41"/>
  <c r="U601" i="41"/>
  <c r="Q601" i="41"/>
  <c r="L601" i="41"/>
  <c r="Q600" i="41"/>
  <c r="L600" i="41"/>
  <c r="Q599" i="41"/>
  <c r="L599" i="41"/>
  <c r="Q598" i="41"/>
  <c r="L598" i="41"/>
  <c r="Q597" i="41"/>
  <c r="L597" i="41"/>
  <c r="U596" i="41"/>
  <c r="Q596" i="41"/>
  <c r="L596" i="41"/>
  <c r="Q595" i="41"/>
  <c r="L595" i="41"/>
  <c r="Q594" i="41"/>
  <c r="L594" i="41"/>
  <c r="U593" i="41"/>
  <c r="Q593" i="41"/>
  <c r="L593" i="41"/>
  <c r="U592" i="41"/>
  <c r="Q592" i="41"/>
  <c r="L592" i="41"/>
  <c r="Q591" i="41"/>
  <c r="L591" i="41"/>
  <c r="Q590" i="41"/>
  <c r="L590" i="41"/>
  <c r="Q589" i="41"/>
  <c r="L589" i="41"/>
  <c r="Q588" i="41"/>
  <c r="L588" i="41"/>
  <c r="Q587" i="41"/>
  <c r="L587" i="41"/>
  <c r="Q586" i="41"/>
  <c r="L586" i="41"/>
  <c r="Q585" i="41"/>
  <c r="L585" i="41"/>
  <c r="Q584" i="41"/>
  <c r="L584" i="41"/>
  <c r="Q583" i="41"/>
  <c r="L583" i="41"/>
  <c r="Q582" i="41"/>
  <c r="L582" i="41"/>
  <c r="Q581" i="41"/>
  <c r="L581" i="41"/>
  <c r="U580" i="41"/>
  <c r="Q580" i="41"/>
  <c r="L580" i="41"/>
  <c r="Q579" i="41"/>
  <c r="L579" i="41"/>
  <c r="Q578" i="41"/>
  <c r="L578" i="41"/>
  <c r="Q577" i="41"/>
  <c r="L577" i="41"/>
  <c r="Q576" i="41"/>
  <c r="L576" i="41"/>
  <c r="Q575" i="41"/>
  <c r="L575" i="41"/>
  <c r="Q574" i="41"/>
  <c r="L574" i="41"/>
  <c r="Q573" i="41"/>
  <c r="L573" i="41"/>
  <c r="Q572" i="41"/>
  <c r="L572" i="41"/>
  <c r="Q571" i="41"/>
  <c r="L571" i="41"/>
  <c r="Q570" i="41"/>
  <c r="L570" i="41"/>
  <c r="Q569" i="41"/>
  <c r="L569" i="41"/>
  <c r="Q568" i="41"/>
  <c r="L568" i="41"/>
  <c r="Q567" i="41"/>
  <c r="L567" i="41"/>
  <c r="U566" i="41"/>
  <c r="Q566" i="41"/>
  <c r="L566" i="41"/>
  <c r="Q565" i="41"/>
  <c r="L565" i="41"/>
  <c r="U564" i="41"/>
  <c r="Q564" i="41"/>
  <c r="L564" i="41"/>
  <c r="Q563" i="41"/>
  <c r="L563" i="41"/>
  <c r="U562" i="41"/>
  <c r="Q562" i="41"/>
  <c r="L562" i="41"/>
  <c r="Q561" i="41"/>
  <c r="L561" i="41"/>
  <c r="Q560" i="41"/>
  <c r="L560" i="41"/>
  <c r="Q559" i="41"/>
  <c r="L559" i="41"/>
  <c r="Q558" i="41"/>
  <c r="L558" i="41"/>
  <c r="Q557" i="41"/>
  <c r="L557" i="41"/>
  <c r="Q556" i="41"/>
  <c r="L556" i="41"/>
  <c r="Q555" i="41"/>
  <c r="L555" i="41"/>
  <c r="Q554" i="41"/>
  <c r="L554" i="41"/>
  <c r="Q553" i="41"/>
  <c r="L553" i="41"/>
  <c r="Q552" i="41"/>
  <c r="L552" i="41"/>
  <c r="Q551" i="41"/>
  <c r="L551" i="41"/>
  <c r="Q550" i="41"/>
  <c r="L550" i="41"/>
  <c r="Q549" i="41"/>
  <c r="L549" i="41"/>
  <c r="Q548" i="41"/>
  <c r="L548" i="41"/>
  <c r="Q547" i="41"/>
  <c r="L547" i="41"/>
  <c r="Q546" i="41"/>
  <c r="L546" i="41"/>
  <c r="Q545" i="41"/>
  <c r="L545" i="41"/>
  <c r="Q544" i="41"/>
  <c r="L544" i="41"/>
  <c r="U543" i="41"/>
  <c r="Q543" i="41"/>
  <c r="L543" i="41"/>
  <c r="Q542" i="41"/>
  <c r="L542" i="41"/>
  <c r="Q541" i="41"/>
  <c r="L541" i="41"/>
  <c r="Q540" i="41"/>
  <c r="L540" i="41"/>
  <c r="Q539" i="41"/>
  <c r="L539" i="41"/>
  <c r="Q538" i="41"/>
  <c r="L538" i="41"/>
  <c r="Q537" i="41"/>
  <c r="L537" i="41"/>
  <c r="Q536" i="41"/>
  <c r="L536" i="41"/>
  <c r="U535" i="41"/>
  <c r="Q535" i="41"/>
  <c r="L535" i="41"/>
  <c r="Q534" i="41"/>
  <c r="L534" i="41"/>
  <c r="Q533" i="41"/>
  <c r="L533" i="41"/>
  <c r="Q532" i="41"/>
  <c r="L532" i="41"/>
  <c r="Q531" i="41"/>
  <c r="L531" i="41"/>
  <c r="Q530" i="41"/>
  <c r="L530" i="41"/>
  <c r="U529" i="41"/>
  <c r="Q529" i="41"/>
  <c r="L529" i="41"/>
  <c r="U528" i="41"/>
  <c r="Q528" i="41"/>
  <c r="L528" i="41"/>
  <c r="Q527" i="41"/>
  <c r="L527" i="41"/>
  <c r="Q526" i="41"/>
  <c r="L526" i="41"/>
  <c r="Q525" i="41"/>
  <c r="L525" i="41"/>
  <c r="U524" i="41"/>
  <c r="Q524" i="41"/>
  <c r="L524" i="41"/>
  <c r="Q523" i="41"/>
  <c r="L523" i="41"/>
  <c r="Q522" i="41"/>
  <c r="L522" i="41"/>
  <c r="U521" i="41"/>
  <c r="Q521" i="41"/>
  <c r="L521" i="41"/>
  <c r="Q520" i="41"/>
  <c r="L520" i="41"/>
  <c r="U519" i="41"/>
  <c r="Q519" i="41"/>
  <c r="L519" i="41"/>
  <c r="Q518" i="41"/>
  <c r="L518" i="41"/>
  <c r="Q517" i="41"/>
  <c r="L517" i="41"/>
  <c r="Q516" i="41"/>
  <c r="L516" i="41"/>
  <c r="Q515" i="41"/>
  <c r="L515" i="41"/>
  <c r="U514" i="41"/>
  <c r="Q514" i="41"/>
  <c r="L514" i="41"/>
  <c r="Q513" i="41"/>
  <c r="L513" i="41"/>
  <c r="Q512" i="41"/>
  <c r="L512" i="41"/>
  <c r="U511" i="41"/>
  <c r="Q511" i="41"/>
  <c r="L511" i="41"/>
  <c r="Q510" i="41"/>
  <c r="L510" i="41"/>
  <c r="Q509" i="41"/>
  <c r="L509" i="41"/>
  <c r="Q508" i="41"/>
  <c r="L508" i="41"/>
  <c r="U507" i="41"/>
  <c r="Q507" i="41"/>
  <c r="L507" i="41"/>
  <c r="Q506" i="41"/>
  <c r="L506" i="41"/>
  <c r="Q505" i="41"/>
  <c r="L505" i="41"/>
  <c r="Q504" i="41"/>
  <c r="L504" i="41"/>
  <c r="Q503" i="41"/>
  <c r="L503" i="41"/>
  <c r="Q502" i="41"/>
  <c r="L502" i="41"/>
  <c r="Q501" i="41"/>
  <c r="L501" i="41"/>
  <c r="U500" i="41"/>
  <c r="Q500" i="41"/>
  <c r="L500" i="41"/>
  <c r="Q499" i="41"/>
  <c r="L499" i="41"/>
  <c r="Q498" i="41"/>
  <c r="L498" i="41"/>
  <c r="Q497" i="41"/>
  <c r="L497" i="41"/>
  <c r="Q496" i="41"/>
  <c r="L496" i="41"/>
  <c r="Q495" i="41"/>
  <c r="L495" i="41"/>
  <c r="Q494" i="41"/>
  <c r="L494" i="41"/>
  <c r="Q493" i="41"/>
  <c r="L493" i="41"/>
  <c r="Q492" i="41"/>
  <c r="L492" i="41"/>
  <c r="Q491" i="41"/>
  <c r="L491" i="41"/>
  <c r="Q490" i="41"/>
  <c r="L490" i="41"/>
  <c r="Q489" i="41"/>
  <c r="L489" i="41"/>
  <c r="Q488" i="41"/>
  <c r="L488" i="41"/>
  <c r="Q487" i="41"/>
  <c r="L487" i="41"/>
  <c r="Q486" i="41"/>
  <c r="L486" i="41"/>
  <c r="Q485" i="41"/>
  <c r="L485" i="41"/>
  <c r="Q484" i="41"/>
  <c r="L484" i="41"/>
  <c r="Q483" i="41"/>
  <c r="L483" i="41"/>
  <c r="Q482" i="41"/>
  <c r="L482" i="41"/>
  <c r="Q481" i="41"/>
  <c r="L481" i="41"/>
  <c r="Q480" i="41"/>
  <c r="L480" i="41"/>
  <c r="Q479" i="41"/>
  <c r="L479" i="41"/>
  <c r="Q478" i="41"/>
  <c r="L478" i="41"/>
  <c r="Q477" i="41"/>
  <c r="L477" i="41"/>
  <c r="Q476" i="41"/>
  <c r="L476" i="41"/>
  <c r="Q475" i="41"/>
  <c r="L475" i="41"/>
  <c r="Q474" i="41"/>
  <c r="L474" i="41"/>
  <c r="Q473" i="41"/>
  <c r="L473" i="41"/>
  <c r="Q472" i="41"/>
  <c r="L472" i="41"/>
  <c r="Q471" i="41"/>
  <c r="L471" i="41"/>
  <c r="Q470" i="41"/>
  <c r="L470" i="41"/>
  <c r="Q469" i="41"/>
  <c r="L469" i="41"/>
  <c r="Q468" i="41"/>
  <c r="L468" i="41"/>
  <c r="Q467" i="41"/>
  <c r="L467" i="41"/>
  <c r="Q466" i="41"/>
  <c r="L466" i="41"/>
  <c r="Q465" i="41"/>
  <c r="L465" i="41"/>
  <c r="Q464" i="41"/>
  <c r="L464" i="41"/>
  <c r="Q463" i="41"/>
  <c r="L463" i="41"/>
  <c r="Q462" i="41"/>
  <c r="L462" i="41"/>
  <c r="Q461" i="41"/>
  <c r="L461" i="41"/>
  <c r="Q460" i="41"/>
  <c r="L460" i="41"/>
  <c r="Q459" i="41"/>
  <c r="L459" i="41"/>
  <c r="Q458" i="41"/>
  <c r="L458" i="41"/>
  <c r="Q457" i="41"/>
  <c r="L457" i="41"/>
  <c r="Q456" i="41"/>
  <c r="L456" i="41"/>
  <c r="Q455" i="41"/>
  <c r="L455" i="41"/>
  <c r="Q454" i="41"/>
  <c r="L454" i="41"/>
  <c r="Q453" i="41"/>
  <c r="L453" i="41"/>
  <c r="Q452" i="41"/>
  <c r="L452" i="41"/>
  <c r="Q451" i="41"/>
  <c r="L451" i="41"/>
  <c r="Q450" i="41"/>
  <c r="L450" i="41"/>
  <c r="Q449" i="41"/>
  <c r="L449" i="41"/>
  <c r="Q448" i="41"/>
  <c r="L448" i="41"/>
  <c r="Q447" i="41"/>
  <c r="L447" i="41"/>
  <c r="Q446" i="41"/>
  <c r="L446" i="41"/>
  <c r="Q445" i="41"/>
  <c r="L445" i="41"/>
  <c r="Q444" i="41"/>
  <c r="L444" i="41"/>
  <c r="Q443" i="41"/>
  <c r="L443" i="41"/>
  <c r="Q442" i="41"/>
  <c r="L442" i="41"/>
  <c r="Q441" i="41"/>
  <c r="L441" i="41"/>
  <c r="Q440" i="41"/>
  <c r="L440" i="41"/>
  <c r="Q439" i="41"/>
  <c r="L439" i="41"/>
  <c r="Q438" i="41"/>
  <c r="L438" i="41"/>
  <c r="Q437" i="41"/>
  <c r="L437" i="41"/>
  <c r="Q436" i="41"/>
  <c r="L436" i="41"/>
  <c r="Q435" i="41"/>
  <c r="L435" i="41"/>
  <c r="Q434" i="41"/>
  <c r="L434" i="41"/>
  <c r="Q433" i="41"/>
  <c r="L433" i="41"/>
  <c r="Q432" i="41"/>
  <c r="L432" i="41"/>
  <c r="Q431" i="41"/>
  <c r="L431" i="41"/>
  <c r="Q430" i="41"/>
  <c r="L430" i="41"/>
  <c r="Q429" i="41"/>
  <c r="L429" i="41"/>
  <c r="Q428" i="41"/>
  <c r="L428" i="41"/>
  <c r="Q427" i="41"/>
  <c r="L427" i="41"/>
  <c r="Q426" i="41"/>
  <c r="L426" i="41"/>
  <c r="Q425" i="41"/>
  <c r="L425" i="41"/>
  <c r="Q424" i="41"/>
  <c r="L424" i="41"/>
  <c r="Q423" i="41"/>
  <c r="L423" i="41"/>
  <c r="Q422" i="41"/>
  <c r="L422" i="41"/>
  <c r="Q421" i="41"/>
  <c r="L421" i="41"/>
  <c r="Q420" i="41"/>
  <c r="L420" i="41"/>
  <c r="Q419" i="41"/>
  <c r="L419" i="41"/>
  <c r="Q418" i="41"/>
  <c r="L418" i="41"/>
  <c r="Q417" i="41"/>
  <c r="L417" i="41"/>
  <c r="Q416" i="41"/>
  <c r="L416" i="41"/>
  <c r="Q415" i="41"/>
  <c r="L415" i="41"/>
  <c r="Q414" i="41"/>
  <c r="L414" i="41"/>
  <c r="Q413" i="41"/>
  <c r="L413" i="41"/>
  <c r="Q412" i="41"/>
  <c r="L412" i="41"/>
  <c r="Q411" i="41"/>
  <c r="L411" i="41"/>
  <c r="Q410" i="41"/>
  <c r="L410" i="41"/>
  <c r="Q409" i="41"/>
  <c r="L409" i="41"/>
  <c r="Q408" i="41"/>
  <c r="L408" i="41"/>
  <c r="Q407" i="41"/>
  <c r="L407" i="41"/>
  <c r="Q406" i="41"/>
  <c r="L406" i="41"/>
  <c r="Q405" i="41"/>
  <c r="L405" i="41"/>
  <c r="Q404" i="41"/>
  <c r="L404" i="41"/>
  <c r="Q403" i="41"/>
  <c r="L403" i="41"/>
  <c r="Q402" i="41"/>
  <c r="L402" i="41"/>
  <c r="Q401" i="41"/>
  <c r="L401" i="41"/>
  <c r="Q400" i="41"/>
  <c r="L400" i="41"/>
  <c r="Q399" i="41"/>
  <c r="L399" i="41"/>
  <c r="Q398" i="41"/>
  <c r="L398" i="41"/>
  <c r="Q397" i="41"/>
  <c r="L397" i="41"/>
  <c r="Q396" i="41"/>
  <c r="L396" i="41"/>
  <c r="Q395" i="41"/>
  <c r="L395" i="41"/>
  <c r="Q394" i="41"/>
  <c r="L394" i="41"/>
  <c r="Q393" i="41"/>
  <c r="L393" i="41"/>
  <c r="Q392" i="41"/>
  <c r="L392" i="41"/>
  <c r="Q391" i="41"/>
  <c r="L391" i="41"/>
  <c r="Q390" i="41"/>
  <c r="L390" i="41"/>
  <c r="Q389" i="41"/>
  <c r="L389" i="41"/>
  <c r="Q388" i="41"/>
  <c r="L388" i="41"/>
  <c r="Q387" i="41"/>
  <c r="L387" i="41"/>
  <c r="Q386" i="41"/>
  <c r="L386" i="41"/>
  <c r="Q385" i="41"/>
  <c r="L385" i="41"/>
  <c r="Q384" i="41"/>
  <c r="L384" i="41"/>
  <c r="Q383" i="41"/>
  <c r="L383" i="41"/>
  <c r="Q382" i="41"/>
  <c r="L382" i="41"/>
  <c r="Q381" i="41"/>
  <c r="L381" i="41"/>
  <c r="Q380" i="41"/>
  <c r="L380" i="41"/>
  <c r="Q379" i="41"/>
  <c r="L379" i="41"/>
  <c r="Q378" i="41"/>
  <c r="L378" i="41"/>
  <c r="Q377" i="41"/>
  <c r="L377" i="41"/>
  <c r="Q376" i="41"/>
  <c r="L376" i="41"/>
  <c r="Q375" i="41"/>
  <c r="L375" i="41"/>
  <c r="Q374" i="41"/>
  <c r="L374" i="41"/>
  <c r="Q373" i="41"/>
  <c r="L373" i="41"/>
  <c r="U372" i="41"/>
  <c r="Q372" i="41"/>
  <c r="L372" i="41"/>
  <c r="Q371" i="41"/>
  <c r="L371" i="41"/>
  <c r="Q370" i="41"/>
  <c r="L370" i="41"/>
  <c r="Q369" i="41"/>
  <c r="L369" i="41"/>
  <c r="Q368" i="41"/>
  <c r="L368" i="41"/>
  <c r="Q367" i="41"/>
  <c r="L367" i="41"/>
  <c r="Q366" i="41"/>
  <c r="L366" i="41"/>
  <c r="U365" i="41"/>
  <c r="Q365" i="41"/>
  <c r="L365" i="41"/>
  <c r="Q364" i="41"/>
  <c r="L364" i="41"/>
  <c r="Q363" i="41"/>
  <c r="L363" i="41"/>
  <c r="Q362" i="41"/>
  <c r="L362" i="41"/>
  <c r="U361" i="41"/>
  <c r="Q361" i="41"/>
  <c r="L361" i="41"/>
  <c r="Q360" i="41"/>
  <c r="L360" i="41"/>
  <c r="Q359" i="41"/>
  <c r="L359" i="41"/>
  <c r="Q358" i="41"/>
  <c r="L358" i="41"/>
  <c r="Q357" i="41"/>
  <c r="L357" i="41"/>
  <c r="U356" i="41"/>
  <c r="Q356" i="41"/>
  <c r="L356" i="41"/>
  <c r="Q355" i="41"/>
  <c r="L355" i="41"/>
  <c r="Q354" i="41"/>
  <c r="L354" i="41"/>
  <c r="Q353" i="41"/>
  <c r="L353" i="41"/>
  <c r="U352" i="41"/>
  <c r="Q352" i="41"/>
  <c r="L352" i="41"/>
  <c r="Q351" i="41"/>
  <c r="L351" i="41"/>
  <c r="Q350" i="41"/>
  <c r="L350" i="41"/>
  <c r="U349" i="41"/>
  <c r="Q349" i="41"/>
  <c r="L349" i="41"/>
  <c r="U348" i="41"/>
  <c r="Q348" i="41"/>
  <c r="L348" i="41"/>
  <c r="Q347" i="41"/>
  <c r="L347" i="41"/>
  <c r="Q346" i="41"/>
  <c r="L346" i="41"/>
  <c r="U345" i="41"/>
  <c r="Q345" i="41"/>
  <c r="L345" i="41"/>
  <c r="U344" i="41"/>
  <c r="Q344" i="41"/>
  <c r="L344" i="41"/>
  <c r="Q343" i="41"/>
  <c r="L343" i="41"/>
  <c r="Q342" i="41"/>
  <c r="L342" i="41"/>
  <c r="Q341" i="41"/>
  <c r="L341" i="41"/>
  <c r="Q340" i="41"/>
  <c r="L340" i="41"/>
  <c r="U339" i="41"/>
  <c r="Q339" i="41"/>
  <c r="L339" i="41"/>
  <c r="U338" i="41"/>
  <c r="Q338" i="41"/>
  <c r="L338" i="41"/>
  <c r="Q337" i="41"/>
  <c r="L337" i="41"/>
  <c r="Q336" i="41"/>
  <c r="L336" i="41"/>
  <c r="Q335" i="41"/>
  <c r="L335" i="41"/>
  <c r="Q334" i="41"/>
  <c r="L334" i="41"/>
  <c r="Q333" i="41"/>
  <c r="L333" i="41"/>
  <c r="Q332" i="41"/>
  <c r="L332" i="41"/>
  <c r="Q331" i="41"/>
  <c r="L331" i="41"/>
  <c r="Q330" i="41"/>
  <c r="L330" i="41"/>
  <c r="U329" i="41"/>
  <c r="Q329" i="41"/>
  <c r="L329" i="41"/>
  <c r="U328" i="41"/>
  <c r="Q328" i="41"/>
  <c r="L328" i="41"/>
  <c r="Q327" i="41"/>
  <c r="L327" i="41"/>
  <c r="U326" i="41"/>
  <c r="Q326" i="41"/>
  <c r="L326" i="41"/>
  <c r="Q325" i="41"/>
  <c r="L325" i="41"/>
  <c r="Q324" i="41"/>
  <c r="L324" i="41"/>
  <c r="Q323" i="41"/>
  <c r="L323" i="41"/>
  <c r="Q322" i="41"/>
  <c r="L322" i="41"/>
  <c r="U321" i="41"/>
  <c r="Q321" i="41"/>
  <c r="L321" i="41"/>
  <c r="U320" i="41"/>
  <c r="Q320" i="41"/>
  <c r="L320" i="41"/>
  <c r="Q319" i="41"/>
  <c r="L319" i="41"/>
  <c r="Q318" i="41"/>
  <c r="L318" i="41"/>
  <c r="Q317" i="41"/>
  <c r="L317" i="41"/>
  <c r="Q316" i="41"/>
  <c r="L316" i="41"/>
  <c r="U315" i="41"/>
  <c r="Q315" i="41"/>
  <c r="L315" i="41"/>
  <c r="U314" i="41"/>
  <c r="Q314" i="41"/>
  <c r="L314" i="41"/>
  <c r="Q313" i="41"/>
  <c r="L313" i="41"/>
  <c r="Q312" i="41"/>
  <c r="L312" i="41"/>
  <c r="Q311" i="41"/>
  <c r="L311" i="41"/>
  <c r="Q310" i="41"/>
  <c r="L310" i="41"/>
  <c r="Q309" i="41"/>
  <c r="L309" i="41"/>
  <c r="U308" i="41"/>
  <c r="Q308" i="41"/>
  <c r="L308" i="41"/>
  <c r="Q307" i="41"/>
  <c r="L307" i="41"/>
  <c r="Q306" i="41"/>
  <c r="L306" i="41"/>
  <c r="Q305" i="41"/>
  <c r="L305" i="41"/>
  <c r="Q304" i="41"/>
  <c r="L304" i="41"/>
  <c r="U303" i="41"/>
  <c r="Q303" i="41"/>
  <c r="L303" i="41"/>
  <c r="U302" i="41"/>
  <c r="Q302" i="41"/>
  <c r="L302" i="41"/>
  <c r="Q301" i="41"/>
  <c r="L301" i="41"/>
  <c r="Q300" i="41"/>
  <c r="L300" i="41"/>
  <c r="Q299" i="41"/>
  <c r="L299" i="41"/>
  <c r="Q298" i="41"/>
  <c r="L298" i="41"/>
  <c r="U297" i="41"/>
  <c r="Q297" i="41"/>
  <c r="L297" i="41"/>
  <c r="U296" i="41"/>
  <c r="Q296" i="41"/>
  <c r="L296" i="41"/>
  <c r="Q295" i="41"/>
  <c r="L295" i="41"/>
  <c r="Q294" i="41"/>
  <c r="L294" i="41"/>
  <c r="Q293" i="41"/>
  <c r="L293" i="41"/>
  <c r="Q292" i="41"/>
  <c r="L292" i="41"/>
  <c r="Q291" i="41"/>
  <c r="L291" i="41"/>
  <c r="Q290" i="41"/>
  <c r="L290" i="41"/>
  <c r="Q289" i="41"/>
  <c r="L289" i="41"/>
  <c r="Q288" i="41"/>
  <c r="L288" i="41"/>
  <c r="Q287" i="41"/>
  <c r="L287" i="41"/>
  <c r="Q286" i="41"/>
  <c r="L286" i="41"/>
  <c r="Q285" i="41"/>
  <c r="L285" i="41"/>
  <c r="Q284" i="41"/>
  <c r="L284" i="41"/>
  <c r="U283" i="41"/>
  <c r="Q283" i="41"/>
  <c r="L283" i="41"/>
  <c r="Q282" i="41"/>
  <c r="L282" i="41"/>
  <c r="Q281" i="41"/>
  <c r="L281" i="41"/>
  <c r="Q280" i="41"/>
  <c r="L280" i="41"/>
  <c r="U279" i="41"/>
  <c r="Q279" i="41"/>
  <c r="L279" i="41"/>
  <c r="U278" i="41"/>
  <c r="Q278" i="41"/>
  <c r="L278" i="41"/>
  <c r="Q277" i="41"/>
  <c r="L277" i="41"/>
  <c r="Q276" i="41"/>
  <c r="L276" i="41"/>
  <c r="U275" i="41"/>
  <c r="Q275" i="41"/>
  <c r="L275" i="41"/>
  <c r="Q274" i="41"/>
  <c r="L274" i="41"/>
  <c r="Q273" i="41"/>
  <c r="L273" i="41"/>
  <c r="Q272" i="41"/>
  <c r="L272" i="41"/>
  <c r="Q271" i="41"/>
  <c r="L271" i="41"/>
  <c r="U270" i="41"/>
  <c r="Q270" i="41"/>
  <c r="L270" i="41"/>
  <c r="U269" i="41"/>
  <c r="Q269" i="41"/>
  <c r="L269" i="41"/>
  <c r="U268" i="41"/>
  <c r="Q268" i="41"/>
  <c r="L268" i="41"/>
  <c r="Q267" i="41"/>
  <c r="L267" i="41"/>
  <c r="U266" i="41"/>
  <c r="Q266" i="41"/>
  <c r="L266" i="41"/>
  <c r="Q265" i="41"/>
  <c r="L265" i="41"/>
  <c r="U264" i="41"/>
  <c r="Q264" i="41"/>
  <c r="L264" i="41"/>
  <c r="Q263" i="41"/>
  <c r="L263" i="41"/>
  <c r="Q262" i="41"/>
  <c r="L262" i="41"/>
  <c r="Q261" i="41"/>
  <c r="L261" i="41"/>
  <c r="Q260" i="41"/>
  <c r="L260" i="41"/>
  <c r="Q259" i="41"/>
  <c r="L259" i="41"/>
  <c r="Q258" i="41"/>
  <c r="L258" i="41"/>
  <c r="Q257" i="41"/>
  <c r="L257" i="41"/>
  <c r="U256" i="41"/>
  <c r="Q256" i="41"/>
  <c r="L256" i="41"/>
  <c r="Q255" i="41"/>
  <c r="L255" i="41"/>
  <c r="Q254" i="41"/>
  <c r="L254" i="41"/>
  <c r="U253" i="41"/>
  <c r="Q253" i="41"/>
  <c r="L253" i="41"/>
  <c r="Q252" i="41"/>
  <c r="L252" i="41"/>
  <c r="U251" i="41"/>
  <c r="Q251" i="41"/>
  <c r="L251" i="41"/>
  <c r="Q250" i="41"/>
  <c r="L250" i="41"/>
  <c r="Q249" i="41"/>
  <c r="L249" i="41"/>
  <c r="Q248" i="41"/>
  <c r="L248" i="41"/>
  <c r="Q247" i="41"/>
  <c r="L247" i="41"/>
  <c r="U246" i="41"/>
  <c r="T246" i="41"/>
  <c r="T908" i="41" s="1"/>
  <c r="P246" i="41"/>
  <c r="P908" i="41" s="1"/>
  <c r="K246" i="41"/>
  <c r="L246" i="41" s="1"/>
  <c r="U245" i="41"/>
  <c r="Q245" i="41"/>
  <c r="L245" i="41"/>
  <c r="Q244" i="41"/>
  <c r="L244" i="41"/>
  <c r="U243" i="41"/>
  <c r="Q243" i="41"/>
  <c r="L243" i="41"/>
  <c r="Q242" i="41"/>
  <c r="L242" i="41"/>
  <c r="Q241" i="41"/>
  <c r="L241" i="41"/>
  <c r="Q240" i="41"/>
  <c r="L240" i="41"/>
  <c r="Q239" i="41"/>
  <c r="L239" i="41"/>
  <c r="Q238" i="41"/>
  <c r="L238" i="41"/>
  <c r="U237" i="41"/>
  <c r="Q237" i="41"/>
  <c r="L237" i="41"/>
  <c r="Q236" i="41"/>
  <c r="L236" i="41"/>
  <c r="Q235" i="41"/>
  <c r="L235" i="41"/>
  <c r="U234" i="41"/>
  <c r="Q234" i="41"/>
  <c r="L234" i="41"/>
  <c r="Q233" i="41"/>
  <c r="L233" i="41"/>
  <c r="Q232" i="41"/>
  <c r="L232" i="41"/>
  <c r="Q231" i="41"/>
  <c r="L231" i="41"/>
  <c r="Q230" i="41"/>
  <c r="L230" i="41"/>
  <c r="Q229" i="41"/>
  <c r="L229" i="41"/>
  <c r="Q228" i="41"/>
  <c r="L228" i="41"/>
  <c r="U227" i="41"/>
  <c r="Q227" i="41"/>
  <c r="L227" i="41"/>
  <c r="Q226" i="41"/>
  <c r="L226" i="41"/>
  <c r="U225" i="41"/>
  <c r="Q225" i="41"/>
  <c r="L225" i="41"/>
  <c r="U224" i="41"/>
  <c r="Q224" i="41"/>
  <c r="L224" i="41"/>
  <c r="Q223" i="41"/>
  <c r="L223" i="41"/>
  <c r="Q222" i="41"/>
  <c r="L222" i="41"/>
  <c r="Q221" i="41"/>
  <c r="L221" i="41"/>
  <c r="Q220" i="41"/>
  <c r="L220" i="41"/>
  <c r="Q219" i="41"/>
  <c r="L219" i="41"/>
  <c r="Q218" i="41"/>
  <c r="L218" i="41"/>
  <c r="Q217" i="41"/>
  <c r="L217" i="41"/>
  <c r="Q216" i="41"/>
  <c r="L216" i="41"/>
  <c r="Q215" i="41"/>
  <c r="L215" i="41"/>
  <c r="Q214" i="41"/>
  <c r="L214" i="41"/>
  <c r="Q213" i="41"/>
  <c r="L213" i="41"/>
  <c r="U212" i="41"/>
  <c r="Q212" i="41"/>
  <c r="L212" i="41"/>
  <c r="Q211" i="41"/>
  <c r="L211" i="41"/>
  <c r="U210" i="41"/>
  <c r="Q210" i="41"/>
  <c r="L210" i="41"/>
  <c r="U209" i="41"/>
  <c r="Q209" i="41"/>
  <c r="L209" i="41"/>
  <c r="Q208" i="41"/>
  <c r="L208" i="41"/>
  <c r="U207" i="41"/>
  <c r="Q207" i="41"/>
  <c r="L207" i="41"/>
  <c r="U206" i="41"/>
  <c r="Q206" i="41"/>
  <c r="L206" i="41"/>
  <c r="Q205" i="41"/>
  <c r="L205" i="41"/>
  <c r="Q204" i="41"/>
  <c r="L204" i="41"/>
  <c r="Q203" i="41"/>
  <c r="L203" i="41"/>
  <c r="Q202" i="41"/>
  <c r="L202" i="41"/>
  <c r="Q201" i="41"/>
  <c r="L201" i="41"/>
  <c r="Q200" i="41"/>
  <c r="L200" i="41"/>
  <c r="Q199" i="41"/>
  <c r="L199" i="41"/>
  <c r="Q198" i="41"/>
  <c r="L198" i="41"/>
  <c r="Q197" i="41"/>
  <c r="L197" i="41"/>
  <c r="U196" i="41"/>
  <c r="Q196" i="41"/>
  <c r="L196" i="41"/>
  <c r="Q195" i="41"/>
  <c r="L195" i="41"/>
  <c r="Q194" i="41"/>
  <c r="L194" i="41"/>
  <c r="Q193" i="41"/>
  <c r="L193" i="41"/>
  <c r="U192" i="41"/>
  <c r="Q192" i="41"/>
  <c r="L192" i="41"/>
  <c r="Q191" i="41"/>
  <c r="L191" i="41"/>
  <c r="U190" i="41"/>
  <c r="Q190" i="41"/>
  <c r="L190" i="41"/>
  <c r="Q189" i="41"/>
  <c r="L189" i="41"/>
  <c r="Q188" i="41"/>
  <c r="L188" i="41"/>
  <c r="Q187" i="41"/>
  <c r="L187" i="41"/>
  <c r="Q186" i="41"/>
  <c r="L186" i="41"/>
  <c r="U185" i="41"/>
  <c r="Q185" i="41"/>
  <c r="L185" i="41"/>
  <c r="Q184" i="41"/>
  <c r="L184" i="41"/>
  <c r="Q183" i="41"/>
  <c r="L183" i="41"/>
  <c r="Q182" i="41"/>
  <c r="L182" i="41"/>
  <c r="Q181" i="41"/>
  <c r="L181" i="41"/>
  <c r="U180" i="41"/>
  <c r="Q180" i="41"/>
  <c r="L180" i="41"/>
  <c r="Q179" i="41"/>
  <c r="L179" i="41"/>
  <c r="Q178" i="41"/>
  <c r="L178" i="41"/>
  <c r="Q177" i="41"/>
  <c r="L177" i="41"/>
  <c r="Q176" i="41"/>
  <c r="L176" i="41"/>
  <c r="Q175" i="41"/>
  <c r="L175" i="41"/>
  <c r="U174" i="41"/>
  <c r="Q174" i="41"/>
  <c r="L174" i="41"/>
  <c r="Q173" i="41"/>
  <c r="L173" i="41"/>
  <c r="Q172" i="41"/>
  <c r="L172" i="41"/>
  <c r="U171" i="41"/>
  <c r="Q171" i="41"/>
  <c r="L171" i="41"/>
  <c r="U170" i="41"/>
  <c r="Q170" i="41"/>
  <c r="L170" i="41"/>
  <c r="Q169" i="41"/>
  <c r="L169" i="41"/>
  <c r="Q168" i="41"/>
  <c r="L168" i="41"/>
  <c r="Q167" i="41"/>
  <c r="L167" i="41"/>
  <c r="Q166" i="41"/>
  <c r="L166" i="41"/>
  <c r="U165" i="41"/>
  <c r="Q165" i="41"/>
  <c r="L165" i="41"/>
  <c r="Q164" i="41"/>
  <c r="L164" i="41"/>
  <c r="Q163" i="41"/>
  <c r="L163" i="41"/>
  <c r="Q162" i="41"/>
  <c r="L162" i="41"/>
  <c r="Q161" i="41"/>
  <c r="L161" i="41"/>
  <c r="U160" i="41"/>
  <c r="Q160" i="41"/>
  <c r="L160" i="41"/>
  <c r="Q159" i="41"/>
  <c r="L159" i="41"/>
  <c r="Q158" i="41"/>
  <c r="L158" i="41"/>
  <c r="Q157" i="41"/>
  <c r="L157" i="41"/>
  <c r="Q156" i="41"/>
  <c r="L156" i="41"/>
  <c r="U155" i="41"/>
  <c r="Q155" i="41"/>
  <c r="L155" i="41"/>
  <c r="Q154" i="41"/>
  <c r="L154" i="41"/>
  <c r="Q153" i="41"/>
  <c r="L153" i="41"/>
  <c r="Q152" i="41"/>
  <c r="L152" i="41"/>
  <c r="U151" i="41"/>
  <c r="Q151" i="41"/>
  <c r="L151" i="41"/>
  <c r="Q150" i="41"/>
  <c r="L150" i="41"/>
  <c r="U149" i="41"/>
  <c r="Q149" i="41"/>
  <c r="L149" i="41"/>
  <c r="Q148" i="41"/>
  <c r="L148" i="41"/>
  <c r="Q147" i="41"/>
  <c r="L147" i="41"/>
  <c r="Q146" i="41"/>
  <c r="L146" i="41"/>
  <c r="Q145" i="41"/>
  <c r="L145" i="41"/>
  <c r="U144" i="41"/>
  <c r="Q144" i="41"/>
  <c r="L144" i="41"/>
  <c r="Q143" i="41"/>
  <c r="L143" i="41"/>
  <c r="U142" i="41"/>
  <c r="Q142" i="41"/>
  <c r="L142" i="41"/>
  <c r="Q141" i="41"/>
  <c r="L141" i="41"/>
  <c r="Q140" i="41"/>
  <c r="L140" i="41"/>
  <c r="Q139" i="41"/>
  <c r="L139" i="41"/>
  <c r="Q138" i="41"/>
  <c r="L138" i="41"/>
  <c r="Q137" i="41"/>
  <c r="L137" i="41"/>
  <c r="Q136" i="41"/>
  <c r="L136" i="41"/>
  <c r="Q135" i="41"/>
  <c r="L135" i="41"/>
  <c r="Q134" i="41"/>
  <c r="L134" i="41"/>
  <c r="U133" i="41"/>
  <c r="Q133" i="41"/>
  <c r="L133" i="41"/>
  <c r="Q132" i="41"/>
  <c r="L132" i="41"/>
  <c r="Q131" i="41"/>
  <c r="L131" i="41"/>
  <c r="U130" i="41"/>
  <c r="Q130" i="41"/>
  <c r="L130" i="41"/>
  <c r="Q129" i="41"/>
  <c r="L129" i="41"/>
  <c r="U128" i="41"/>
  <c r="Q128" i="41"/>
  <c r="L128" i="41"/>
  <c r="U127" i="41"/>
  <c r="Q127" i="41"/>
  <c r="L127" i="41"/>
  <c r="U126" i="41"/>
  <c r="Q126" i="41"/>
  <c r="L126" i="41"/>
  <c r="Q125" i="41"/>
  <c r="L125" i="41"/>
  <c r="Q124" i="41"/>
  <c r="L124" i="41"/>
  <c r="Q123" i="41"/>
  <c r="L123" i="41"/>
  <c r="Q122" i="41"/>
  <c r="L122" i="41"/>
  <c r="U121" i="41"/>
  <c r="Q121" i="41"/>
  <c r="L121" i="41"/>
  <c r="Q120" i="41"/>
  <c r="L120" i="41"/>
  <c r="Q119" i="41"/>
  <c r="L119" i="41"/>
  <c r="Q118" i="41"/>
  <c r="L118" i="41"/>
  <c r="Q117" i="41"/>
  <c r="L117" i="41"/>
  <c r="Q116" i="41"/>
  <c r="L116" i="41"/>
  <c r="Q115" i="41"/>
  <c r="L115" i="41"/>
  <c r="Q114" i="41"/>
  <c r="L114" i="41"/>
  <c r="U113" i="41"/>
  <c r="Q113" i="41"/>
  <c r="L113" i="41"/>
  <c r="Q112" i="41"/>
  <c r="L112" i="41"/>
  <c r="U111" i="41"/>
  <c r="Q111" i="41"/>
  <c r="L111" i="41"/>
  <c r="Q110" i="41"/>
  <c r="L110" i="41"/>
  <c r="U109" i="41"/>
  <c r="Q109" i="41"/>
  <c r="L109" i="41"/>
  <c r="Q108" i="41"/>
  <c r="L108" i="41"/>
  <c r="Q107" i="41"/>
  <c r="L107" i="41"/>
  <c r="Q106" i="41"/>
  <c r="L106" i="41"/>
  <c r="Q105" i="41"/>
  <c r="L105" i="41"/>
  <c r="U104" i="41"/>
  <c r="Q104" i="41"/>
  <c r="L104" i="41"/>
  <c r="Q103" i="41"/>
  <c r="L103" i="41"/>
  <c r="U102" i="41"/>
  <c r="Q102" i="41"/>
  <c r="L102" i="41"/>
  <c r="Q101" i="41"/>
  <c r="L101" i="41"/>
  <c r="Q100" i="41"/>
  <c r="L100" i="41"/>
  <c r="U99" i="41"/>
  <c r="Q99" i="41"/>
  <c r="L99" i="41"/>
  <c r="Q98" i="41"/>
  <c r="L98" i="41"/>
  <c r="U97" i="41"/>
  <c r="Q97" i="41"/>
  <c r="L97" i="41"/>
  <c r="Q96" i="41"/>
  <c r="L96" i="41"/>
  <c r="Q95" i="41"/>
  <c r="L95" i="41"/>
  <c r="Q94" i="41"/>
  <c r="L94" i="41"/>
  <c r="U93" i="41"/>
  <c r="Q93" i="41"/>
  <c r="L93" i="41"/>
  <c r="Q92" i="41"/>
  <c r="L92" i="41"/>
  <c r="U91" i="41"/>
  <c r="Q91" i="41"/>
  <c r="L91" i="41"/>
  <c r="Q90" i="41"/>
  <c r="L90" i="41"/>
  <c r="Q89" i="41"/>
  <c r="L89" i="41"/>
  <c r="Q88" i="41"/>
  <c r="L88" i="41"/>
  <c r="Q87" i="41"/>
  <c r="L87" i="41"/>
  <c r="Q86" i="41"/>
  <c r="L86" i="41"/>
  <c r="Q85" i="41"/>
  <c r="L85" i="41"/>
  <c r="Q84" i="41"/>
  <c r="L84" i="41"/>
  <c r="Q83" i="41"/>
  <c r="L83" i="41"/>
  <c r="Q82" i="41"/>
  <c r="L82" i="41"/>
  <c r="Q81" i="41"/>
  <c r="L81" i="41"/>
  <c r="U80" i="41"/>
  <c r="Q80" i="41"/>
  <c r="L80" i="41"/>
  <c r="Q79" i="41"/>
  <c r="L79" i="41"/>
  <c r="Q78" i="41"/>
  <c r="L78" i="41"/>
  <c r="U77" i="41"/>
  <c r="Q77" i="41"/>
  <c r="L77" i="41"/>
  <c r="Q76" i="41"/>
  <c r="L76" i="41"/>
  <c r="Q75" i="41"/>
  <c r="L75" i="41"/>
  <c r="Q74" i="41"/>
  <c r="L74" i="41"/>
  <c r="Q73" i="41"/>
  <c r="L73" i="41"/>
  <c r="U72" i="41"/>
  <c r="Q72" i="41"/>
  <c r="L72" i="41"/>
  <c r="Q71" i="41"/>
  <c r="L71" i="41"/>
  <c r="Q70" i="41"/>
  <c r="L70" i="41"/>
  <c r="U69" i="41"/>
  <c r="Q69" i="41"/>
  <c r="L69" i="41"/>
  <c r="Q68" i="41"/>
  <c r="L68" i="41"/>
  <c r="Q67" i="41"/>
  <c r="L67" i="41"/>
  <c r="Q66" i="41"/>
  <c r="L66" i="41"/>
  <c r="Q65" i="41"/>
  <c r="L65" i="41"/>
  <c r="Q64" i="41"/>
  <c r="L64" i="41"/>
  <c r="Q63" i="41"/>
  <c r="L63" i="41"/>
  <c r="U62" i="41"/>
  <c r="Q62" i="41"/>
  <c r="L62" i="41"/>
  <c r="Q61" i="41"/>
  <c r="L61" i="41"/>
  <c r="Q60" i="41"/>
  <c r="L60" i="41"/>
  <c r="Q59" i="41"/>
  <c r="L59" i="41"/>
  <c r="U58" i="41"/>
  <c r="Q58" i="41"/>
  <c r="L58" i="41"/>
  <c r="Q57" i="41"/>
  <c r="L57" i="41"/>
  <c r="U56" i="41"/>
  <c r="Q56" i="41"/>
  <c r="L56" i="41"/>
  <c r="Q55" i="41"/>
  <c r="L55" i="41"/>
  <c r="U54" i="41"/>
  <c r="Q54" i="41"/>
  <c r="L54" i="41"/>
  <c r="Q53" i="41"/>
  <c r="L53" i="41"/>
  <c r="Q52" i="41"/>
  <c r="L52" i="41"/>
  <c r="Q51" i="41"/>
  <c r="L51" i="41"/>
  <c r="U50" i="41"/>
  <c r="Q50" i="41"/>
  <c r="L50" i="41"/>
  <c r="U49" i="41"/>
  <c r="Q49" i="41"/>
  <c r="L49" i="41"/>
  <c r="Q48" i="41"/>
  <c r="L48" i="41"/>
  <c r="Q47" i="41"/>
  <c r="L47" i="41"/>
  <c r="U46" i="41"/>
  <c r="Q46" i="41"/>
  <c r="L46" i="41"/>
  <c r="Q45" i="41"/>
  <c r="L45" i="41"/>
  <c r="Q44" i="41"/>
  <c r="L44" i="41"/>
  <c r="U43" i="41"/>
  <c r="Q43" i="41"/>
  <c r="L43" i="41"/>
  <c r="U42" i="41"/>
  <c r="Q42" i="41"/>
  <c r="L42" i="41"/>
  <c r="Q41" i="41"/>
  <c r="L41" i="41"/>
  <c r="Q40" i="41"/>
  <c r="L40" i="41"/>
  <c r="Q39" i="41"/>
  <c r="L39" i="41"/>
  <c r="U38" i="41"/>
  <c r="Q38" i="41"/>
  <c r="L38" i="41"/>
  <c r="Q37" i="41"/>
  <c r="L37" i="41"/>
  <c r="Q36" i="41"/>
  <c r="L36" i="41"/>
  <c r="Q35" i="41"/>
  <c r="L35" i="41"/>
  <c r="Q34" i="41"/>
  <c r="L34" i="41"/>
  <c r="Q33" i="41"/>
  <c r="L33" i="41"/>
  <c r="Q32" i="41"/>
  <c r="L32" i="41"/>
  <c r="Q31" i="41"/>
  <c r="L31" i="41"/>
  <c r="Q30" i="41"/>
  <c r="L30" i="41"/>
  <c r="Q29" i="41"/>
  <c r="L29" i="41"/>
  <c r="Q28" i="41"/>
  <c r="L28" i="41"/>
  <c r="Q27" i="41"/>
  <c r="L27" i="41"/>
  <c r="Q26" i="41"/>
  <c r="L26" i="41"/>
  <c r="Q25" i="41"/>
  <c r="L25" i="41"/>
  <c r="Q24" i="41"/>
  <c r="L24" i="41"/>
  <c r="Q23" i="41"/>
  <c r="L23" i="41"/>
  <c r="Q22" i="41"/>
  <c r="L22" i="41"/>
  <c r="U21" i="41"/>
  <c r="Q21" i="41"/>
  <c r="L21" i="41"/>
  <c r="Q20" i="41"/>
  <c r="L20" i="41"/>
  <c r="Q19" i="41"/>
  <c r="L19" i="41"/>
  <c r="U18" i="41"/>
  <c r="Q18" i="41"/>
  <c r="L18" i="41"/>
  <c r="Q17" i="41"/>
  <c r="L17" i="41"/>
  <c r="Q16" i="41"/>
  <c r="L16" i="41"/>
  <c r="Q15" i="41"/>
  <c r="L15" i="41"/>
  <c r="U14" i="41"/>
  <c r="Q14" i="41"/>
  <c r="L14" i="41"/>
  <c r="Q13" i="41"/>
  <c r="L13" i="41"/>
  <c r="Q12" i="41"/>
  <c r="L12" i="41"/>
  <c r="U11" i="41"/>
  <c r="Q11" i="41"/>
  <c r="L11" i="41"/>
  <c r="Q10" i="41"/>
  <c r="L10" i="41"/>
  <c r="Q9" i="41"/>
  <c r="L9" i="41"/>
  <c r="Q8" i="41"/>
  <c r="L8" i="41"/>
  <c r="Q7" i="41"/>
  <c r="L7" i="41"/>
  <c r="E126" i="30"/>
  <c r="H126" i="30" s="1"/>
  <c r="D95" i="30" s="1"/>
  <c r="AN30" i="1" s="1"/>
  <c r="E125" i="30"/>
  <c r="H125" i="30" s="1"/>
  <c r="D94" i="30" s="1"/>
  <c r="C76" i="30"/>
  <c r="C77" i="30" s="1"/>
  <c r="D77" i="30" s="1"/>
  <c r="E64" i="30"/>
  <c r="G106" i="22"/>
  <c r="G105" i="22"/>
  <c r="G103" i="22"/>
  <c r="G102" i="22"/>
  <c r="D101" i="22"/>
  <c r="F100" i="22"/>
  <c r="F107" i="22" s="1"/>
  <c r="E100" i="22"/>
  <c r="E107" i="22" s="1"/>
  <c r="C100" i="22"/>
  <c r="C107" i="22" s="1"/>
  <c r="G99" i="22"/>
  <c r="G97" i="22"/>
  <c r="G96" i="22"/>
  <c r="G100" i="22" s="1"/>
  <c r="C87" i="22"/>
  <c r="F51" i="22"/>
  <c r="E51" i="22"/>
  <c r="D51" i="22"/>
  <c r="C51" i="22"/>
  <c r="G49" i="22"/>
  <c r="G48" i="22"/>
  <c r="G47" i="22"/>
  <c r="G46" i="22"/>
  <c r="G45" i="22"/>
  <c r="G44" i="22"/>
  <c r="G51" i="22" s="1"/>
  <c r="F37" i="22"/>
  <c r="E37" i="22"/>
  <c r="D37" i="22"/>
  <c r="C37" i="22"/>
  <c r="G35" i="22"/>
  <c r="G34" i="22"/>
  <c r="G33" i="22"/>
  <c r="G32" i="22"/>
  <c r="G31" i="22"/>
  <c r="G30" i="22"/>
  <c r="G29" i="22"/>
  <c r="G28" i="22"/>
  <c r="G27" i="22"/>
  <c r="G26" i="22"/>
  <c r="G25" i="22"/>
  <c r="G24" i="22"/>
  <c r="G23" i="22"/>
  <c r="L297" i="19"/>
  <c r="AS192" i="1" s="1"/>
  <c r="L296" i="19"/>
  <c r="L295" i="19"/>
  <c r="L294" i="19"/>
  <c r="AS189" i="1" s="1"/>
  <c r="L293" i="19"/>
  <c r="AS188" i="1" s="1"/>
  <c r="L292" i="19"/>
  <c r="AS187" i="1" s="1"/>
  <c r="L291" i="19"/>
  <c r="AS186" i="1" s="1"/>
  <c r="L290" i="19"/>
  <c r="AS185" i="1" s="1"/>
  <c r="L289" i="19"/>
  <c r="AS184" i="1" s="1"/>
  <c r="L288" i="19"/>
  <c r="AS183" i="1" s="1"/>
  <c r="L287" i="19"/>
  <c r="L286" i="19"/>
  <c r="L285" i="19"/>
  <c r="L281" i="19"/>
  <c r="J280" i="19"/>
  <c r="AP374" i="1" s="1"/>
  <c r="J279" i="19"/>
  <c r="AP263" i="1" s="1"/>
  <c r="L277" i="19"/>
  <c r="AS166" i="1" s="1"/>
  <c r="J277" i="19"/>
  <c r="L276" i="19"/>
  <c r="J276" i="19"/>
  <c r="L275" i="19"/>
  <c r="J275" i="19"/>
  <c r="L274" i="19"/>
  <c r="J274" i="19"/>
  <c r="L273" i="19"/>
  <c r="AS311" i="1" s="1"/>
  <c r="J273" i="19"/>
  <c r="L272" i="19"/>
  <c r="J272" i="19"/>
  <c r="L271" i="19"/>
  <c r="J271" i="19"/>
  <c r="L270" i="19"/>
  <c r="AS284" i="1" s="1"/>
  <c r="J270" i="19"/>
  <c r="AP284" i="1" s="1"/>
  <c r="L269" i="19"/>
  <c r="AS273" i="1" s="1"/>
  <c r="J269" i="19"/>
  <c r="L268" i="19"/>
  <c r="AS262" i="1" s="1"/>
  <c r="J268" i="19"/>
  <c r="L267" i="19"/>
  <c r="J267" i="19"/>
  <c r="L265" i="19"/>
  <c r="AS256" i="1" s="1"/>
  <c r="L264" i="19"/>
  <c r="L263" i="19"/>
  <c r="AS246" i="1" s="1"/>
  <c r="L262" i="19"/>
  <c r="L261" i="19"/>
  <c r="AS236" i="1" s="1"/>
  <c r="L260" i="19"/>
  <c r="L259" i="19"/>
  <c r="L258" i="19"/>
  <c r="L257" i="19"/>
  <c r="AS215" i="1" s="1"/>
  <c r="L256" i="19"/>
  <c r="AS255" i="1" s="1"/>
  <c r="L255" i="19"/>
  <c r="AS250" i="1" s="1"/>
  <c r="L254" i="19"/>
  <c r="L253" i="19"/>
  <c r="L252" i="19"/>
  <c r="L251" i="19"/>
  <c r="L250" i="19"/>
  <c r="L249" i="19"/>
  <c r="AS219" i="1" s="1"/>
  <c r="L248" i="19"/>
  <c r="AS214" i="1" s="1"/>
  <c r="J245" i="19"/>
  <c r="J244" i="19"/>
  <c r="J243" i="19"/>
  <c r="J242" i="19"/>
  <c r="J241" i="19"/>
  <c r="AP300" i="1" s="1"/>
  <c r="J240" i="19"/>
  <c r="AP291" i="1" s="1"/>
  <c r="J239" i="19"/>
  <c r="AP282" i="1" s="1"/>
  <c r="J238" i="19"/>
  <c r="AP271" i="1" s="1"/>
  <c r="J237" i="19"/>
  <c r="AP261" i="1" s="1"/>
  <c r="L235" i="19"/>
  <c r="L234" i="19"/>
  <c r="L233" i="19"/>
  <c r="L232" i="19"/>
  <c r="L231" i="19"/>
  <c r="L230" i="19"/>
  <c r="AS117" i="1" s="1"/>
  <c r="L229" i="19"/>
  <c r="AS116" i="1" s="1"/>
  <c r="L228" i="19"/>
  <c r="J227" i="19"/>
  <c r="J226" i="19"/>
  <c r="J225" i="19"/>
  <c r="J224" i="19"/>
  <c r="J223" i="19"/>
  <c r="AP131" i="1" s="1"/>
  <c r="J222" i="19"/>
  <c r="AP124" i="1" s="1"/>
  <c r="J221" i="19"/>
  <c r="AP129" i="1" s="1"/>
  <c r="J220" i="19"/>
  <c r="L218" i="19"/>
  <c r="L217" i="19"/>
  <c r="J216" i="19"/>
  <c r="J215" i="19"/>
  <c r="AP213" i="1" s="1"/>
  <c r="L213" i="19"/>
  <c r="AS110" i="1" s="1"/>
  <c r="J212" i="19"/>
  <c r="AP103" i="1" s="1"/>
  <c r="L211" i="19"/>
  <c r="AS22" i="1" s="1"/>
  <c r="J210" i="19"/>
  <c r="L208" i="19"/>
  <c r="L207" i="19"/>
  <c r="J205" i="19"/>
  <c r="J204" i="19"/>
  <c r="L202" i="19"/>
  <c r="L201" i="19"/>
  <c r="AS20" i="1" s="1"/>
  <c r="J200" i="19"/>
  <c r="AP112" i="1" s="1"/>
  <c r="J199" i="19"/>
  <c r="L197" i="19"/>
  <c r="J196" i="19"/>
  <c r="AP359" i="1" s="1"/>
  <c r="N186" i="19"/>
  <c r="N172" i="19"/>
  <c r="J283" i="19" s="1"/>
  <c r="AP173" i="1" s="1"/>
  <c r="N155" i="19"/>
  <c r="L155" i="19"/>
  <c r="N137" i="19"/>
  <c r="J247" i="19" s="1"/>
  <c r="AP203" i="1" s="1"/>
  <c r="L137" i="19"/>
  <c r="J137" i="19"/>
  <c r="L246" i="19" s="1"/>
  <c r="AS350" i="1" s="1"/>
  <c r="N101" i="19"/>
  <c r="G224" i="24"/>
  <c r="E202" i="24"/>
  <c r="G201" i="24"/>
  <c r="E200" i="24"/>
  <c r="E199" i="24"/>
  <c r="G198" i="24"/>
  <c r="G197" i="24"/>
  <c r="G195" i="24"/>
  <c r="G191" i="24"/>
  <c r="G190" i="24"/>
  <c r="G189" i="24"/>
  <c r="G188" i="24"/>
  <c r="G187" i="24"/>
  <c r="G186" i="24"/>
  <c r="G185" i="24"/>
  <c r="G184" i="24"/>
  <c r="G183" i="24"/>
  <c r="G182" i="24"/>
  <c r="G181" i="24"/>
  <c r="G180" i="24"/>
  <c r="G179" i="24"/>
  <c r="G178" i="24"/>
  <c r="E173" i="24"/>
  <c r="E172" i="24"/>
  <c r="E171" i="24"/>
  <c r="E170" i="24"/>
  <c r="E169" i="24"/>
  <c r="E168" i="24"/>
  <c r="E167" i="24"/>
  <c r="E166" i="24"/>
  <c r="E165" i="24"/>
  <c r="E164" i="24"/>
  <c r="E163" i="24"/>
  <c r="E162" i="24"/>
  <c r="E161" i="24"/>
  <c r="E160" i="24"/>
  <c r="E159" i="24"/>
  <c r="C150" i="24"/>
  <c r="C149" i="24"/>
  <c r="C141" i="24"/>
  <c r="C140" i="24"/>
  <c r="C139" i="24"/>
  <c r="E123" i="24"/>
  <c r="D121" i="24"/>
  <c r="D122" i="24" s="1"/>
  <c r="E57" i="24"/>
  <c r="E49" i="24"/>
  <c r="G220" i="23"/>
  <c r="E198" i="23"/>
  <c r="G197" i="23"/>
  <c r="E196" i="23"/>
  <c r="E195" i="23"/>
  <c r="G194" i="23"/>
  <c r="G193" i="23"/>
  <c r="G191" i="23"/>
  <c r="G188" i="23"/>
  <c r="G187" i="23"/>
  <c r="G186" i="23"/>
  <c r="G185" i="23"/>
  <c r="G184" i="23"/>
  <c r="G183" i="23"/>
  <c r="G182" i="23"/>
  <c r="G181" i="23"/>
  <c r="G180" i="23"/>
  <c r="G179" i="23"/>
  <c r="G178" i="23"/>
  <c r="G177" i="23"/>
  <c r="G176" i="23"/>
  <c r="G175" i="23"/>
  <c r="E171" i="23"/>
  <c r="E170" i="23"/>
  <c r="E169" i="23"/>
  <c r="E168" i="23"/>
  <c r="E167" i="23"/>
  <c r="E166" i="23"/>
  <c r="E165" i="23"/>
  <c r="E164" i="23"/>
  <c r="E163" i="23"/>
  <c r="E162" i="23"/>
  <c r="E161" i="23"/>
  <c r="E160" i="23"/>
  <c r="E159" i="23"/>
  <c r="E158" i="23"/>
  <c r="E157" i="23"/>
  <c r="C148" i="23"/>
  <c r="C147" i="23"/>
  <c r="C139" i="23"/>
  <c r="C138" i="23"/>
  <c r="C137" i="23"/>
  <c r="E121" i="23"/>
  <c r="D119" i="23"/>
  <c r="D120" i="23" s="1"/>
  <c r="E57" i="23"/>
  <c r="E49" i="23"/>
  <c r="G225" i="18"/>
  <c r="E203" i="18"/>
  <c r="E201" i="18"/>
  <c r="E200" i="18"/>
  <c r="G180" i="18"/>
  <c r="E176" i="18"/>
  <c r="E175" i="18"/>
  <c r="E174" i="18"/>
  <c r="E172" i="18"/>
  <c r="E171" i="18"/>
  <c r="E170" i="18"/>
  <c r="E169" i="18"/>
  <c r="E168" i="18"/>
  <c r="E167" i="18"/>
  <c r="E166" i="18"/>
  <c r="E165" i="18"/>
  <c r="E164" i="18"/>
  <c r="E163" i="18"/>
  <c r="E162" i="18"/>
  <c r="C153" i="18"/>
  <c r="C152" i="18"/>
  <c r="C144" i="18"/>
  <c r="C143" i="18"/>
  <c r="C142" i="18"/>
  <c r="E126" i="18"/>
  <c r="D124" i="18"/>
  <c r="D125" i="18" s="1"/>
  <c r="G125" i="18" s="1"/>
  <c r="G126" i="18" s="1"/>
  <c r="E61" i="18"/>
  <c r="E53" i="18"/>
  <c r="M253" i="15"/>
  <c r="I253" i="15"/>
  <c r="AA252" i="15"/>
  <c r="V251" i="15"/>
  <c r="AA251" i="15" s="1"/>
  <c r="V250" i="15"/>
  <c r="AA250" i="15" s="1"/>
  <c r="AA248" i="15"/>
  <c r="AA247" i="15"/>
  <c r="AC247" i="15" s="1"/>
  <c r="N217" i="15" s="1"/>
  <c r="AN133" i="1" s="1"/>
  <c r="N244" i="15"/>
  <c r="U243" i="15"/>
  <c r="N243" i="15"/>
  <c r="L243" i="15"/>
  <c r="F243" i="15"/>
  <c r="U242" i="15"/>
  <c r="N242" i="15"/>
  <c r="L242" i="15"/>
  <c r="U241" i="15"/>
  <c r="R241" i="15"/>
  <c r="N241" i="15"/>
  <c r="L241" i="15"/>
  <c r="U240" i="15"/>
  <c r="R240" i="15"/>
  <c r="N240" i="15"/>
  <c r="L240" i="15"/>
  <c r="U239" i="15"/>
  <c r="N239" i="15"/>
  <c r="L239" i="15"/>
  <c r="U238" i="15"/>
  <c r="L238" i="15"/>
  <c r="U237" i="15"/>
  <c r="R237" i="15"/>
  <c r="L237" i="15"/>
  <c r="U236" i="15"/>
  <c r="L236" i="15"/>
  <c r="U235" i="15"/>
  <c r="L235" i="15"/>
  <c r="U234" i="15"/>
  <c r="L234" i="15"/>
  <c r="Z233" i="15"/>
  <c r="U233" i="15"/>
  <c r="L233" i="15"/>
  <c r="M223" i="15"/>
  <c r="F220" i="15"/>
  <c r="L197" i="15"/>
  <c r="Y246" i="15" s="1"/>
  <c r="AA246" i="15" s="1"/>
  <c r="N186" i="15"/>
  <c r="X241" i="15" s="1"/>
  <c r="N185" i="15"/>
  <c r="X240" i="15" s="1"/>
  <c r="N184" i="15"/>
  <c r="X239" i="15" s="1"/>
  <c r="N183" i="15"/>
  <c r="X238" i="15" s="1"/>
  <c r="N182" i="15"/>
  <c r="X237" i="15" s="1"/>
  <c r="N181" i="15"/>
  <c r="X236" i="15" s="1"/>
  <c r="N180" i="15"/>
  <c r="X235" i="15" s="1"/>
  <c r="N179" i="15"/>
  <c r="X234" i="15" s="1"/>
  <c r="N178" i="15"/>
  <c r="X233" i="15" s="1"/>
  <c r="L177" i="15"/>
  <c r="W245" i="15" s="1"/>
  <c r="W253" i="15" s="1"/>
  <c r="L173" i="15"/>
  <c r="N173" i="15" s="1"/>
  <c r="L161" i="15"/>
  <c r="N161" i="15" s="1"/>
  <c r="O150" i="15"/>
  <c r="O152" i="15" s="1"/>
  <c r="N150" i="15"/>
  <c r="N152" i="15" s="1"/>
  <c r="L150" i="15"/>
  <c r="L152" i="15" s="1"/>
  <c r="J150" i="15"/>
  <c r="J152" i="15" s="1"/>
  <c r="H150" i="15"/>
  <c r="H152" i="15" s="1"/>
  <c r="G150" i="15"/>
  <c r="G152" i="15" s="1"/>
  <c r="O132" i="15"/>
  <c r="N132" i="15"/>
  <c r="M94" i="15"/>
  <c r="N82" i="15"/>
  <c r="O78" i="15" s="1"/>
  <c r="J82" i="15"/>
  <c r="L78" i="15" s="1"/>
  <c r="G82" i="15"/>
  <c r="H78" i="15" s="1"/>
  <c r="N66" i="15"/>
  <c r="N50" i="15"/>
  <c r="L50" i="15"/>
  <c r="H50" i="15"/>
  <c r="J49" i="15"/>
  <c r="F241" i="15" s="1"/>
  <c r="J48" i="15"/>
  <c r="F240" i="15" s="1"/>
  <c r="J47" i="15"/>
  <c r="F239" i="15" s="1"/>
  <c r="J46" i="15"/>
  <c r="F238" i="15" s="1"/>
  <c r="J45" i="15"/>
  <c r="F237" i="15" s="1"/>
  <c r="J44" i="15"/>
  <c r="F236" i="15" s="1"/>
  <c r="J43" i="15"/>
  <c r="F235" i="15" s="1"/>
  <c r="J42" i="15"/>
  <c r="F234" i="15" s="1"/>
  <c r="J41" i="15"/>
  <c r="N36" i="15"/>
  <c r="J36" i="15"/>
  <c r="H36" i="15"/>
  <c r="L35" i="15"/>
  <c r="J241" i="15" s="1"/>
  <c r="L34" i="15"/>
  <c r="J240" i="15" s="1"/>
  <c r="L33" i="15"/>
  <c r="J239" i="15" s="1"/>
  <c r="L32" i="15"/>
  <c r="J238" i="15" s="1"/>
  <c r="L31" i="15"/>
  <c r="J237" i="15" s="1"/>
  <c r="L30" i="15"/>
  <c r="J236" i="15" s="1"/>
  <c r="L29" i="15"/>
  <c r="J235" i="15" s="1"/>
  <c r="L28" i="15"/>
  <c r="J234" i="15" s="1"/>
  <c r="L27" i="15"/>
  <c r="J233" i="15" s="1"/>
  <c r="R146" i="14"/>
  <c r="L123" i="14" s="1"/>
  <c r="O146" i="14"/>
  <c r="G146" i="14"/>
  <c r="R144" i="14"/>
  <c r="O144" i="14"/>
  <c r="L144" i="14"/>
  <c r="I144" i="14"/>
  <c r="S144" i="14" s="1"/>
  <c r="N121" i="14" s="1"/>
  <c r="AN337" i="1" s="1"/>
  <c r="R143" i="14"/>
  <c r="L120" i="14" s="1"/>
  <c r="O143" i="14"/>
  <c r="L143" i="14"/>
  <c r="I143" i="14"/>
  <c r="R142" i="14"/>
  <c r="L119" i="14" s="1"/>
  <c r="O142" i="14"/>
  <c r="L142" i="14"/>
  <c r="I142" i="14"/>
  <c r="S141" i="14"/>
  <c r="N118" i="14" s="1"/>
  <c r="AN310" i="1" s="1"/>
  <c r="R141" i="14"/>
  <c r="L118" i="14" s="1"/>
  <c r="O141" i="14"/>
  <c r="L141" i="14"/>
  <c r="I141" i="14"/>
  <c r="R140" i="14"/>
  <c r="L117" i="14" s="1"/>
  <c r="O140" i="14"/>
  <c r="L140" i="14"/>
  <c r="I140" i="14"/>
  <c r="R139" i="14"/>
  <c r="L116" i="14" s="1"/>
  <c r="O139" i="14"/>
  <c r="L139" i="14"/>
  <c r="I139" i="14"/>
  <c r="R138" i="14"/>
  <c r="L115" i="14" s="1"/>
  <c r="O138" i="14"/>
  <c r="L138" i="14"/>
  <c r="I138" i="14"/>
  <c r="R137" i="14"/>
  <c r="O137" i="14"/>
  <c r="L137" i="14"/>
  <c r="I137" i="14"/>
  <c r="R136" i="14"/>
  <c r="L113" i="14" s="1"/>
  <c r="O136" i="14"/>
  <c r="L136" i="14"/>
  <c r="I136" i="14"/>
  <c r="S135" i="14"/>
  <c r="N112" i="14" s="1"/>
  <c r="R135" i="14"/>
  <c r="N135" i="14"/>
  <c r="N147" i="14" s="1"/>
  <c r="S134" i="14"/>
  <c r="N111" i="14" s="1"/>
  <c r="S133" i="14"/>
  <c r="N110" i="14" s="1"/>
  <c r="S132" i="14"/>
  <c r="N109" i="14" s="1"/>
  <c r="F132" i="14"/>
  <c r="R132" i="14" s="1"/>
  <c r="L109" i="14" s="1"/>
  <c r="AK207" i="1" s="1"/>
  <c r="S131" i="14"/>
  <c r="F131" i="14"/>
  <c r="R131" i="14" s="1"/>
  <c r="L108" i="14" s="1"/>
  <c r="AK70" i="1" s="1"/>
  <c r="L121" i="14"/>
  <c r="L114" i="14"/>
  <c r="L112" i="14"/>
  <c r="N108" i="14"/>
  <c r="K101" i="14"/>
  <c r="N88" i="14"/>
  <c r="K77" i="14"/>
  <c r="K62" i="14"/>
  <c r="K134" i="14" s="1"/>
  <c r="K53" i="14"/>
  <c r="K39" i="14"/>
  <c r="L52" i="14" s="1"/>
  <c r="K28" i="14"/>
  <c r="G145" i="14" s="1"/>
  <c r="P124" i="13"/>
  <c r="M124" i="13"/>
  <c r="R122" i="13"/>
  <c r="K122" i="13"/>
  <c r="R121" i="13"/>
  <c r="K121" i="13"/>
  <c r="S121" i="13" s="1"/>
  <c r="R120" i="13"/>
  <c r="K120" i="13"/>
  <c r="S120" i="13" s="1"/>
  <c r="N119" i="13"/>
  <c r="L119" i="13"/>
  <c r="R119" i="13" s="1"/>
  <c r="L92" i="13" s="1"/>
  <c r="AK125" i="1" s="1"/>
  <c r="K119" i="13"/>
  <c r="O118" i="13"/>
  <c r="N118" i="13"/>
  <c r="L118" i="13"/>
  <c r="R118" i="13" s="1"/>
  <c r="L91" i="13" s="1"/>
  <c r="AK126" i="1" s="1"/>
  <c r="K118" i="13"/>
  <c r="R117" i="13"/>
  <c r="N117" i="13"/>
  <c r="S117" i="13" s="1"/>
  <c r="N90" i="13" s="1"/>
  <c r="AN366" i="1" s="1"/>
  <c r="R116" i="13"/>
  <c r="N116" i="13"/>
  <c r="K116" i="13"/>
  <c r="S115" i="13"/>
  <c r="O115" i="13"/>
  <c r="R114" i="13"/>
  <c r="N114" i="13"/>
  <c r="S114" i="13" s="1"/>
  <c r="R113" i="13"/>
  <c r="K113" i="13"/>
  <c r="S113" i="13" s="1"/>
  <c r="N86" i="13" s="1"/>
  <c r="AN352" i="1" s="1"/>
  <c r="R112" i="13"/>
  <c r="N112" i="13"/>
  <c r="S112" i="13" s="1"/>
  <c r="S111" i="13"/>
  <c r="O111" i="13"/>
  <c r="L111" i="13"/>
  <c r="R111" i="13" s="1"/>
  <c r="L84" i="13" s="1"/>
  <c r="AK262" i="1" s="1"/>
  <c r="Q110" i="13"/>
  <c r="S110" i="13" s="1"/>
  <c r="N83" i="13" s="1"/>
  <c r="AN73" i="1" s="1"/>
  <c r="L110" i="13"/>
  <c r="R110" i="13" s="1"/>
  <c r="L83" i="13" s="1"/>
  <c r="AK73" i="1" s="1"/>
  <c r="R109" i="13"/>
  <c r="L82" i="13" s="1"/>
  <c r="AK36" i="1" s="1"/>
  <c r="Q109" i="13"/>
  <c r="S109" i="13" s="1"/>
  <c r="N82" i="13" s="1"/>
  <c r="AN36" i="1" s="1"/>
  <c r="N109" i="13"/>
  <c r="J109" i="13"/>
  <c r="C109" i="13"/>
  <c r="Q108" i="13"/>
  <c r="S108" i="13" s="1"/>
  <c r="N81" i="13" s="1"/>
  <c r="AN127" i="1" s="1"/>
  <c r="N108" i="13"/>
  <c r="L108" i="13"/>
  <c r="J108" i="13"/>
  <c r="S107" i="13"/>
  <c r="L107" i="13"/>
  <c r="R107" i="13" s="1"/>
  <c r="J107" i="13"/>
  <c r="S106" i="13"/>
  <c r="L106" i="13"/>
  <c r="J106" i="13"/>
  <c r="S105" i="13"/>
  <c r="J105" i="13"/>
  <c r="R105" i="13" s="1"/>
  <c r="S104" i="13"/>
  <c r="R104" i="13"/>
  <c r="J104" i="13"/>
  <c r="K58" i="13"/>
  <c r="K50" i="13"/>
  <c r="J30" i="13"/>
  <c r="M57" i="12"/>
  <c r="N56" i="12"/>
  <c r="AN350" i="1" s="1"/>
  <c r="L56" i="12"/>
  <c r="N55" i="12"/>
  <c r="L55" i="12"/>
  <c r="AK114" i="1" s="1"/>
  <c r="N53" i="12"/>
  <c r="L52" i="12"/>
  <c r="AK165" i="1" s="1"/>
  <c r="N49" i="12"/>
  <c r="L49" i="12"/>
  <c r="N48" i="12"/>
  <c r="L48" i="12"/>
  <c r="AK129" i="1" s="1"/>
  <c r="N47" i="12"/>
  <c r="L47" i="12"/>
  <c r="AK128" i="1" s="1"/>
  <c r="N46" i="12"/>
  <c r="L46" i="12"/>
  <c r="AK124" i="1" s="1"/>
  <c r="L28" i="12"/>
  <c r="L50" i="12" s="1"/>
  <c r="AA366" i="4"/>
  <c r="Z366" i="4"/>
  <c r="AC365" i="4"/>
  <c r="AB365" i="4"/>
  <c r="AC364" i="4"/>
  <c r="AB364" i="4"/>
  <c r="M283" i="4" s="1"/>
  <c r="AK339" i="1" s="1"/>
  <c r="Z364" i="4"/>
  <c r="AC363" i="4"/>
  <c r="AB363" i="4"/>
  <c r="M282" i="4" s="1"/>
  <c r="AK330" i="1" s="1"/>
  <c r="Z363" i="4"/>
  <c r="AC362" i="4"/>
  <c r="AB362" i="4"/>
  <c r="Z362" i="4"/>
  <c r="AC361" i="4"/>
  <c r="AB361" i="4"/>
  <c r="Z361" i="4"/>
  <c r="AC360" i="4"/>
  <c r="AB360" i="4"/>
  <c r="M279" i="4" s="1"/>
  <c r="AK303" i="1" s="1"/>
  <c r="Z360" i="4"/>
  <c r="AC359" i="4"/>
  <c r="AB359" i="4"/>
  <c r="Z359" i="4"/>
  <c r="AC358" i="4"/>
  <c r="AB358" i="4"/>
  <c r="M277" i="4" s="1"/>
  <c r="AK285" i="1" s="1"/>
  <c r="Z358" i="4"/>
  <c r="AC357" i="4"/>
  <c r="AB357" i="4"/>
  <c r="Z357" i="4"/>
  <c r="AC356" i="4"/>
  <c r="AB356" i="4"/>
  <c r="M275" i="4" s="1"/>
  <c r="AK264" i="1" s="1"/>
  <c r="Z356" i="4"/>
  <c r="AC355" i="4"/>
  <c r="O274" i="4" s="1"/>
  <c r="AN380" i="1" s="1"/>
  <c r="AB355" i="4"/>
  <c r="AA355" i="4"/>
  <c r="Z355" i="4"/>
  <c r="AC354" i="4"/>
  <c r="AB354" i="4"/>
  <c r="AA354" i="4"/>
  <c r="AC353" i="4"/>
  <c r="AB353" i="4"/>
  <c r="AA353" i="4"/>
  <c r="AC352" i="4"/>
  <c r="O271" i="4" s="1"/>
  <c r="AN63" i="1" s="1"/>
  <c r="AB352" i="4"/>
  <c r="AA352" i="4"/>
  <c r="AC351" i="4"/>
  <c r="AB351" i="4"/>
  <c r="AA351" i="4"/>
  <c r="AC350" i="4"/>
  <c r="O269" i="4" s="1"/>
  <c r="AN55" i="1" s="1"/>
  <c r="AB350" i="4"/>
  <c r="AA350" i="4"/>
  <c r="AC349" i="4"/>
  <c r="AB349" i="4"/>
  <c r="AA349" i="4"/>
  <c r="AC348" i="4"/>
  <c r="O267" i="4" s="1"/>
  <c r="AN47" i="1" s="1"/>
  <c r="AB348" i="4"/>
  <c r="AA348" i="4"/>
  <c r="AC347" i="4"/>
  <c r="O266" i="4" s="1"/>
  <c r="AN43" i="1" s="1"/>
  <c r="AB347" i="4"/>
  <c r="AA347" i="4"/>
  <c r="AC346" i="4"/>
  <c r="AB346" i="4"/>
  <c r="AA346" i="4"/>
  <c r="AC345" i="4"/>
  <c r="AB345" i="4"/>
  <c r="M264" i="4" s="1"/>
  <c r="AK368" i="1" s="1"/>
  <c r="Z345" i="4"/>
  <c r="AC344" i="4"/>
  <c r="AB344" i="4"/>
  <c r="AB343" i="4"/>
  <c r="Y343" i="4"/>
  <c r="Y366" i="4" s="1"/>
  <c r="AC342" i="4"/>
  <c r="O261" i="4" s="1"/>
  <c r="X342" i="4"/>
  <c r="AB342" i="4" s="1"/>
  <c r="M261" i="4" s="1"/>
  <c r="AK338" i="1" s="1"/>
  <c r="AC341" i="4"/>
  <c r="O260" i="4" s="1"/>
  <c r="X341" i="4"/>
  <c r="AB341" i="4" s="1"/>
  <c r="M260" i="4" s="1"/>
  <c r="AK329" i="1" s="1"/>
  <c r="AC340" i="4"/>
  <c r="X340" i="4"/>
  <c r="AB340" i="4" s="1"/>
  <c r="M259" i="4" s="1"/>
  <c r="AK320" i="1" s="1"/>
  <c r="AC339" i="4"/>
  <c r="AB339" i="4"/>
  <c r="M258" i="4" s="1"/>
  <c r="AK311" i="1" s="1"/>
  <c r="X339" i="4"/>
  <c r="AC338" i="4"/>
  <c r="O257" i="4" s="1"/>
  <c r="X338" i="4"/>
  <c r="AB338" i="4" s="1"/>
  <c r="M257" i="4" s="1"/>
  <c r="AK302" i="1" s="1"/>
  <c r="AC337" i="4"/>
  <c r="O256" i="4" s="1"/>
  <c r="AB337" i="4"/>
  <c r="M256" i="4" s="1"/>
  <c r="AK293" i="1" s="1"/>
  <c r="X337" i="4"/>
  <c r="AC336" i="4"/>
  <c r="O255" i="4" s="1"/>
  <c r="X336" i="4"/>
  <c r="AB336" i="4" s="1"/>
  <c r="M255" i="4" s="1"/>
  <c r="AK284" i="1" s="1"/>
  <c r="AC335" i="4"/>
  <c r="O254" i="4" s="1"/>
  <c r="X335" i="4"/>
  <c r="AB335" i="4" s="1"/>
  <c r="M254" i="4" s="1"/>
  <c r="AK273" i="1" s="1"/>
  <c r="AC334" i="4"/>
  <c r="AB334" i="4"/>
  <c r="AB333" i="4"/>
  <c r="W333" i="4"/>
  <c r="AC333" i="4" s="1"/>
  <c r="O252" i="4" s="1"/>
  <c r="AN359" i="1" s="1"/>
  <c r="AB332" i="4"/>
  <c r="M251" i="4" s="1"/>
  <c r="W332" i="4"/>
  <c r="AC332" i="4" s="1"/>
  <c r="O251" i="4" s="1"/>
  <c r="AN379" i="1" s="1"/>
  <c r="AB331" i="4"/>
  <c r="W331" i="4"/>
  <c r="AC331" i="4" s="1"/>
  <c r="O250" i="4" s="1"/>
  <c r="AN206" i="1" s="1"/>
  <c r="AC330" i="4"/>
  <c r="AB330" i="4"/>
  <c r="M249" i="4" s="1"/>
  <c r="AK68" i="1" s="1"/>
  <c r="V330" i="4"/>
  <c r="AC329" i="4"/>
  <c r="O248" i="4" s="1"/>
  <c r="V329" i="4"/>
  <c r="AB329" i="4" s="1"/>
  <c r="M248" i="4" s="1"/>
  <c r="AK64" i="1" s="1"/>
  <c r="AC328" i="4"/>
  <c r="O247" i="4" s="1"/>
  <c r="V328" i="4"/>
  <c r="AB328" i="4" s="1"/>
  <c r="M247" i="4" s="1"/>
  <c r="AK60" i="1" s="1"/>
  <c r="AC327" i="4"/>
  <c r="O246" i="4" s="1"/>
  <c r="V327" i="4"/>
  <c r="AB327" i="4" s="1"/>
  <c r="M246" i="4" s="1"/>
  <c r="AK56" i="1" s="1"/>
  <c r="AC326" i="4"/>
  <c r="V326" i="4"/>
  <c r="AB326" i="4" s="1"/>
  <c r="M245" i="4" s="1"/>
  <c r="AK52" i="1" s="1"/>
  <c r="AC325" i="4"/>
  <c r="O244" i="4" s="1"/>
  <c r="V325" i="4"/>
  <c r="AB325" i="4" s="1"/>
  <c r="M244" i="4" s="1"/>
  <c r="AK48" i="1" s="1"/>
  <c r="AC324" i="4"/>
  <c r="V324" i="4"/>
  <c r="AB324" i="4" s="1"/>
  <c r="M243" i="4" s="1"/>
  <c r="AK44" i="1" s="1"/>
  <c r="AC323" i="4"/>
  <c r="O242" i="4" s="1"/>
  <c r="V323" i="4"/>
  <c r="AB319" i="4"/>
  <c r="T319" i="4"/>
  <c r="R319" i="4"/>
  <c r="Q319" i="4"/>
  <c r="P319" i="4"/>
  <c r="M319" i="4"/>
  <c r="AC319" i="4" s="1"/>
  <c r="O238" i="4" s="1"/>
  <c r="AN66" i="1" s="1"/>
  <c r="T318" i="4"/>
  <c r="R318" i="4"/>
  <c r="Q318" i="4"/>
  <c r="AB318" i="4" s="1"/>
  <c r="M237" i="4" s="1"/>
  <c r="AK63" i="1" s="1"/>
  <c r="P318" i="4"/>
  <c r="M318" i="4"/>
  <c r="AB317" i="4"/>
  <c r="M236" i="4" s="1"/>
  <c r="AK59" i="1" s="1"/>
  <c r="T317" i="4"/>
  <c r="AC317" i="4" s="1"/>
  <c r="O236" i="4" s="1"/>
  <c r="AN58" i="1" s="1"/>
  <c r="T316" i="4"/>
  <c r="R316" i="4"/>
  <c r="Q316" i="4"/>
  <c r="AB316" i="4" s="1"/>
  <c r="M235" i="4" s="1"/>
  <c r="AK55" i="1" s="1"/>
  <c r="P316" i="4"/>
  <c r="T315" i="4"/>
  <c r="R315" i="4"/>
  <c r="Q315" i="4"/>
  <c r="AB315" i="4" s="1"/>
  <c r="M234" i="4" s="1"/>
  <c r="AK51" i="1" s="1"/>
  <c r="P315" i="4"/>
  <c r="T314" i="4"/>
  <c r="R314" i="4"/>
  <c r="Q314" i="4"/>
  <c r="AB314" i="4" s="1"/>
  <c r="M233" i="4" s="1"/>
  <c r="AK47" i="1" s="1"/>
  <c r="P314" i="4"/>
  <c r="M314" i="4"/>
  <c r="AB313" i="4"/>
  <c r="T313" i="4"/>
  <c r="R313" i="4"/>
  <c r="Q313" i="4"/>
  <c r="P313" i="4"/>
  <c r="M313" i="4"/>
  <c r="AB312" i="4"/>
  <c r="T312" i="4"/>
  <c r="R312" i="4"/>
  <c r="P312" i="4"/>
  <c r="M312" i="4"/>
  <c r="AC312" i="4" s="1"/>
  <c r="O231" i="4" s="1"/>
  <c r="AN37" i="1" s="1"/>
  <c r="AC311" i="4"/>
  <c r="S311" i="4"/>
  <c r="AB311" i="4" s="1"/>
  <c r="M230" i="4" s="1"/>
  <c r="AK360" i="1" s="1"/>
  <c r="AC310" i="4"/>
  <c r="O229" i="4" s="1"/>
  <c r="AC309" i="4"/>
  <c r="O309" i="4"/>
  <c r="AB309" i="4" s="1"/>
  <c r="M228" i="4" s="1"/>
  <c r="AK205" i="1" s="1"/>
  <c r="AC308" i="4"/>
  <c r="O227" i="4" s="1"/>
  <c r="O308" i="4"/>
  <c r="L308" i="4"/>
  <c r="AB308" i="4" s="1"/>
  <c r="M227" i="4" s="1"/>
  <c r="AK367" i="1" s="1"/>
  <c r="AC307" i="4"/>
  <c r="O226" i="4" s="1"/>
  <c r="S307" i="4"/>
  <c r="AB307" i="4" s="1"/>
  <c r="M226" i="4" s="1"/>
  <c r="AK61" i="1" s="1"/>
  <c r="AC306" i="4"/>
  <c r="O225" i="4" s="1"/>
  <c r="S306" i="4"/>
  <c r="Q306" i="4"/>
  <c r="O306" i="4"/>
  <c r="AB306" i="4" s="1"/>
  <c r="M225" i="4" s="1"/>
  <c r="AK69" i="1" s="1"/>
  <c r="L306" i="4"/>
  <c r="AC305" i="4"/>
  <c r="S305" i="4"/>
  <c r="Q305" i="4"/>
  <c r="O305" i="4"/>
  <c r="L305" i="4"/>
  <c r="AC304" i="4"/>
  <c r="S304" i="4"/>
  <c r="Q304" i="4"/>
  <c r="O304" i="4"/>
  <c r="AC303" i="4"/>
  <c r="O222" i="4" s="1"/>
  <c r="S303" i="4"/>
  <c r="Q303" i="4"/>
  <c r="O303" i="4"/>
  <c r="AC302" i="4"/>
  <c r="S302" i="4"/>
  <c r="Q302" i="4"/>
  <c r="O302" i="4"/>
  <c r="L302" i="4"/>
  <c r="AC301" i="4"/>
  <c r="O220" i="4" s="1"/>
  <c r="S301" i="4"/>
  <c r="Q301" i="4"/>
  <c r="O301" i="4"/>
  <c r="L301" i="4"/>
  <c r="AB301" i="4" s="1"/>
  <c r="M220" i="4" s="1"/>
  <c r="AK45" i="1" s="1"/>
  <c r="M281" i="4"/>
  <c r="M280" i="4"/>
  <c r="AK312" i="1" s="1"/>
  <c r="M278" i="4"/>
  <c r="M276" i="4"/>
  <c r="AK274" i="1" s="1"/>
  <c r="M274" i="4"/>
  <c r="AK376" i="1" s="1"/>
  <c r="O273" i="4"/>
  <c r="AN207" i="1" s="1"/>
  <c r="O272" i="4"/>
  <c r="O270" i="4"/>
  <c r="O268" i="4"/>
  <c r="O265" i="4"/>
  <c r="AN38" i="1" s="1"/>
  <c r="M262" i="4"/>
  <c r="O259" i="4"/>
  <c r="O258" i="4"/>
  <c r="M252" i="4"/>
  <c r="M250" i="4"/>
  <c r="O249" i="4"/>
  <c r="O245" i="4"/>
  <c r="O243" i="4"/>
  <c r="M238" i="4"/>
  <c r="M232" i="4"/>
  <c r="AK43" i="1" s="1"/>
  <c r="M231" i="4"/>
  <c r="O230" i="4"/>
  <c r="O228" i="4"/>
  <c r="O224" i="4"/>
  <c r="O223" i="4"/>
  <c r="O221" i="4"/>
  <c r="I213" i="4"/>
  <c r="H183" i="4"/>
  <c r="I183" i="4" s="1"/>
  <c r="V181" i="4"/>
  <c r="Q171" i="4"/>
  <c r="M171" i="4"/>
  <c r="M188" i="4" s="1"/>
  <c r="J212" i="4" s="1"/>
  <c r="M168" i="4"/>
  <c r="Q168" i="4" s="1"/>
  <c r="M165" i="4"/>
  <c r="Q158" i="4"/>
  <c r="P158" i="4"/>
  <c r="O158" i="4"/>
  <c r="M158" i="4"/>
  <c r="L158" i="4"/>
  <c r="M134" i="4"/>
  <c r="O132" i="4" s="1"/>
  <c r="T99" i="4"/>
  <c r="S99" i="4"/>
  <c r="R99" i="4"/>
  <c r="Q99" i="4"/>
  <c r="P99" i="4"/>
  <c r="O99" i="4"/>
  <c r="M99" i="4"/>
  <c r="L99" i="4"/>
  <c r="T84" i="4"/>
  <c r="S82" i="4"/>
  <c r="R82" i="4"/>
  <c r="Q82" i="4"/>
  <c r="P82" i="4"/>
  <c r="O82" i="4"/>
  <c r="M82" i="4"/>
  <c r="L82" i="4"/>
  <c r="T79" i="4"/>
  <c r="T78" i="4"/>
  <c r="T76" i="4"/>
  <c r="T73" i="4"/>
  <c r="Q59" i="4"/>
  <c r="Q65" i="4" s="1"/>
  <c r="P59" i="4"/>
  <c r="P65" i="4" s="1"/>
  <c r="O59" i="4"/>
  <c r="O65" i="4" s="1"/>
  <c r="M59" i="4"/>
  <c r="M65" i="4" s="1"/>
  <c r="L59" i="4"/>
  <c r="L65" i="4" s="1"/>
  <c r="M44" i="4"/>
  <c r="O40" i="4"/>
  <c r="O44" i="4" s="1"/>
  <c r="M40" i="4"/>
  <c r="L40" i="4"/>
  <c r="L44" i="4" s="1"/>
  <c r="N70" i="3"/>
  <c r="AN336" i="1" s="1"/>
  <c r="N69" i="3"/>
  <c r="AN327" i="1" s="1"/>
  <c r="N68" i="3"/>
  <c r="N67" i="3"/>
  <c r="AN318" i="1" s="1"/>
  <c r="N66" i="3"/>
  <c r="AN309" i="1" s="1"/>
  <c r="N65" i="3"/>
  <c r="AN300" i="1" s="1"/>
  <c r="N64" i="3"/>
  <c r="N63" i="3"/>
  <c r="AN282" i="1" s="1"/>
  <c r="N62" i="3"/>
  <c r="AN271" i="1" s="1"/>
  <c r="N61" i="3"/>
  <c r="L60" i="3"/>
  <c r="L59" i="3"/>
  <c r="L58" i="3"/>
  <c r="L57" i="3"/>
  <c r="AK54" i="1" s="1"/>
  <c r="L56" i="3"/>
  <c r="L55" i="3"/>
  <c r="AK46" i="1" s="1"/>
  <c r="L54" i="3"/>
  <c r="AK42" i="1" s="1"/>
  <c r="L53" i="3"/>
  <c r="AK40" i="1" s="1"/>
  <c r="L52" i="3"/>
  <c r="G47" i="3"/>
  <c r="G32" i="3"/>
  <c r="L70" i="5"/>
  <c r="L69" i="5"/>
  <c r="L68" i="5"/>
  <c r="AN61" i="1" s="1"/>
  <c r="L67" i="5"/>
  <c r="AN57" i="1" s="1"/>
  <c r="L66" i="5"/>
  <c r="AN53" i="1" s="1"/>
  <c r="L65" i="5"/>
  <c r="AN49" i="1" s="1"/>
  <c r="L64" i="5"/>
  <c r="J63" i="5"/>
  <c r="J62" i="5"/>
  <c r="J61" i="5"/>
  <c r="J60" i="5"/>
  <c r="AK318" i="1" s="1"/>
  <c r="J59" i="5"/>
  <c r="AK300" i="1" s="1"/>
  <c r="J58" i="5"/>
  <c r="AK309" i="1" s="1"/>
  <c r="J57" i="5"/>
  <c r="J56" i="5"/>
  <c r="J55" i="5"/>
  <c r="J54" i="5"/>
  <c r="G48" i="5"/>
  <c r="G34" i="5"/>
  <c r="I48" i="5" s="1"/>
  <c r="T297" i="11"/>
  <c r="L297" i="11"/>
  <c r="AB296" i="11"/>
  <c r="AA296" i="11"/>
  <c r="X296" i="11"/>
  <c r="W296" i="11"/>
  <c r="AE296" i="11" s="1"/>
  <c r="K245" i="11" s="1"/>
  <c r="AK256" i="1" s="1"/>
  <c r="AB295" i="11"/>
  <c r="AA295" i="11"/>
  <c r="X295" i="11"/>
  <c r="W295" i="11"/>
  <c r="AF294" i="11"/>
  <c r="AB294" i="11"/>
  <c r="AA294" i="11"/>
  <c r="AE294" i="11" s="1"/>
  <c r="K243" i="11" s="1"/>
  <c r="AK246" i="1" s="1"/>
  <c r="AB293" i="11"/>
  <c r="AF293" i="11" s="1"/>
  <c r="M242" i="11" s="1"/>
  <c r="AN241" i="1" s="1"/>
  <c r="AA293" i="11"/>
  <c r="AE293" i="11" s="1"/>
  <c r="K242" i="11" s="1"/>
  <c r="AK241" i="1" s="1"/>
  <c r="AF292" i="11"/>
  <c r="AB292" i="11"/>
  <c r="AA292" i="11"/>
  <c r="X292" i="11"/>
  <c r="W292" i="11"/>
  <c r="AE292" i="11" s="1"/>
  <c r="K241" i="11" s="1"/>
  <c r="AK236" i="1" s="1"/>
  <c r="AB291" i="11"/>
  <c r="AF291" i="11" s="1"/>
  <c r="M240" i="11" s="1"/>
  <c r="AN231" i="1" s="1"/>
  <c r="AA291" i="11"/>
  <c r="AE291" i="11" s="1"/>
  <c r="K240" i="11" s="1"/>
  <c r="AK231" i="1" s="1"/>
  <c r="X291" i="11"/>
  <c r="W291" i="11"/>
  <c r="AB290" i="11"/>
  <c r="AA290" i="11"/>
  <c r="X290" i="11"/>
  <c r="AF290" i="11" s="1"/>
  <c r="M239" i="11" s="1"/>
  <c r="AN226" i="1" s="1"/>
  <c r="W290" i="11"/>
  <c r="AE290" i="11" s="1"/>
  <c r="K239" i="11" s="1"/>
  <c r="AK226" i="1" s="1"/>
  <c r="AE289" i="11"/>
  <c r="K238" i="11" s="1"/>
  <c r="AK221" i="1" s="1"/>
  <c r="AB289" i="11"/>
  <c r="AF289" i="11" s="1"/>
  <c r="M238" i="11" s="1"/>
  <c r="AN221" i="1" s="1"/>
  <c r="AA289" i="11"/>
  <c r="AB288" i="11"/>
  <c r="AA288" i="11"/>
  <c r="X288" i="11"/>
  <c r="AF288" i="11" s="1"/>
  <c r="M237" i="11" s="1"/>
  <c r="AN215" i="1" s="1"/>
  <c r="W288" i="11"/>
  <c r="AF287" i="11"/>
  <c r="AE287" i="11"/>
  <c r="AF286" i="11"/>
  <c r="AB286" i="11"/>
  <c r="AA286" i="11"/>
  <c r="AE286" i="11" s="1"/>
  <c r="K235" i="11" s="1"/>
  <c r="AK255" i="1" s="1"/>
  <c r="AB285" i="11"/>
  <c r="AF285" i="11" s="1"/>
  <c r="M234" i="11" s="1"/>
  <c r="AN250" i="1" s="1"/>
  <c r="AA285" i="11"/>
  <c r="AE285" i="11" s="1"/>
  <c r="K234" i="11" s="1"/>
  <c r="AK250" i="1" s="1"/>
  <c r="AF284" i="11"/>
  <c r="M233" i="11" s="1"/>
  <c r="AN245" i="1" s="1"/>
  <c r="AB284" i="11"/>
  <c r="AA284" i="11"/>
  <c r="AE284" i="11" s="1"/>
  <c r="K233" i="11" s="1"/>
  <c r="AK245" i="1" s="1"/>
  <c r="AE283" i="11"/>
  <c r="AB283" i="11"/>
  <c r="AF283" i="11" s="1"/>
  <c r="M232" i="11" s="1"/>
  <c r="AN240" i="1" s="1"/>
  <c r="AA283" i="11"/>
  <c r="AB282" i="11"/>
  <c r="AF282" i="11" s="1"/>
  <c r="M231" i="11" s="1"/>
  <c r="AN235" i="1" s="1"/>
  <c r="AA282" i="11"/>
  <c r="AE282" i="11" s="1"/>
  <c r="K231" i="11" s="1"/>
  <c r="AK235" i="1" s="1"/>
  <c r="AE281" i="11"/>
  <c r="K230" i="11" s="1"/>
  <c r="AK230" i="1" s="1"/>
  <c r="AB281" i="11"/>
  <c r="AF281" i="11" s="1"/>
  <c r="M230" i="11" s="1"/>
  <c r="AN230" i="1" s="1"/>
  <c r="AA281" i="11"/>
  <c r="AF280" i="11"/>
  <c r="M229" i="11" s="1"/>
  <c r="AN225" i="1" s="1"/>
  <c r="AB280" i="11"/>
  <c r="AA280" i="11"/>
  <c r="AE280" i="11" s="1"/>
  <c r="K229" i="11" s="1"/>
  <c r="AK225" i="1" s="1"/>
  <c r="AB279" i="11"/>
  <c r="AA279" i="11"/>
  <c r="R279" i="11"/>
  <c r="Q279" i="11"/>
  <c r="AF278" i="11"/>
  <c r="AB278" i="11"/>
  <c r="AA278" i="11"/>
  <c r="AE278" i="11" s="1"/>
  <c r="K227" i="11" s="1"/>
  <c r="AK214" i="1" s="1"/>
  <c r="AF277" i="11"/>
  <c r="AE277" i="11"/>
  <c r="AB276" i="11"/>
  <c r="AA276" i="11"/>
  <c r="AE276" i="11" s="1"/>
  <c r="K225" i="11" s="1"/>
  <c r="AK254" i="1" s="1"/>
  <c r="Z276" i="11"/>
  <c r="AF276" i="11" s="1"/>
  <c r="M225" i="11" s="1"/>
  <c r="AN254" i="1" s="1"/>
  <c r="Y276" i="11"/>
  <c r="AB275" i="11"/>
  <c r="AA275" i="11"/>
  <c r="Z275" i="11"/>
  <c r="AF275" i="11" s="1"/>
  <c r="M224" i="11" s="1"/>
  <c r="AN249" i="1" s="1"/>
  <c r="Y275" i="11"/>
  <c r="AB274" i="11"/>
  <c r="AF274" i="11" s="1"/>
  <c r="M223" i="11" s="1"/>
  <c r="AN244" i="1" s="1"/>
  <c r="AA274" i="11"/>
  <c r="AE274" i="11" s="1"/>
  <c r="K223" i="11" s="1"/>
  <c r="AK244" i="1" s="1"/>
  <c r="AB273" i="11"/>
  <c r="AF273" i="11" s="1"/>
  <c r="M222" i="11" s="1"/>
  <c r="AN239" i="1" s="1"/>
  <c r="AA273" i="11"/>
  <c r="AE273" i="11" s="1"/>
  <c r="K222" i="11" s="1"/>
  <c r="AK239" i="1" s="1"/>
  <c r="AB272" i="11"/>
  <c r="AA272" i="11"/>
  <c r="Z272" i="11"/>
  <c r="Y272" i="11"/>
  <c r="AB271" i="11"/>
  <c r="AA271" i="11"/>
  <c r="Z271" i="11"/>
  <c r="AF271" i="11" s="1"/>
  <c r="M220" i="11" s="1"/>
  <c r="AN229" i="1" s="1"/>
  <c r="Y271" i="11"/>
  <c r="AE271" i="11" s="1"/>
  <c r="K220" i="11" s="1"/>
  <c r="AK229" i="1" s="1"/>
  <c r="AF270" i="11"/>
  <c r="AB270" i="11"/>
  <c r="AA270" i="11"/>
  <c r="Z270" i="11"/>
  <c r="Y270" i="11"/>
  <c r="AB269" i="11"/>
  <c r="AF269" i="11" s="1"/>
  <c r="M218" i="11" s="1"/>
  <c r="AN218" i="1" s="1"/>
  <c r="AA269" i="11"/>
  <c r="AE269" i="11" s="1"/>
  <c r="K218" i="11" s="1"/>
  <c r="AK218" i="1" s="1"/>
  <c r="AF268" i="11"/>
  <c r="AB268" i="11"/>
  <c r="AA268" i="11"/>
  <c r="Z268" i="11"/>
  <c r="Y268" i="11"/>
  <c r="AE268" i="11" s="1"/>
  <c r="K217" i="11" s="1"/>
  <c r="AK213" i="1" s="1"/>
  <c r="AF267" i="11"/>
  <c r="AE267" i="11"/>
  <c r="AE266" i="11"/>
  <c r="AD266" i="11"/>
  <c r="AB266" i="11"/>
  <c r="Z266" i="11"/>
  <c r="X266" i="11"/>
  <c r="V266" i="11"/>
  <c r="T266" i="11"/>
  <c r="R266" i="11"/>
  <c r="R297" i="11" s="1"/>
  <c r="O266" i="11"/>
  <c r="K266" i="11"/>
  <c r="AE265" i="11"/>
  <c r="K215" i="11" s="1"/>
  <c r="AK203" i="1" s="1"/>
  <c r="AD265" i="11"/>
  <c r="AD297" i="11" s="1"/>
  <c r="AC265" i="11"/>
  <c r="AB264" i="11"/>
  <c r="AF264" i="11" s="1"/>
  <c r="M214" i="11" s="1"/>
  <c r="AN204" i="1" s="1"/>
  <c r="AA264" i="11"/>
  <c r="AE264" i="11" s="1"/>
  <c r="K214" i="11" s="1"/>
  <c r="AK204" i="1" s="1"/>
  <c r="AF263" i="11"/>
  <c r="AE263" i="11"/>
  <c r="AF262" i="11"/>
  <c r="AE262" i="11"/>
  <c r="K212" i="11" s="1"/>
  <c r="AK201" i="1" s="1"/>
  <c r="AF261" i="11"/>
  <c r="AE261" i="11"/>
  <c r="K211" i="11" s="1"/>
  <c r="AK200" i="1" s="1"/>
  <c r="V260" i="11"/>
  <c r="V297" i="11" s="1"/>
  <c r="U260" i="11"/>
  <c r="T260" i="11"/>
  <c r="S260" i="11"/>
  <c r="O260" i="11"/>
  <c r="O297" i="11" s="1"/>
  <c r="M260" i="11"/>
  <c r="K260" i="11"/>
  <c r="I260" i="11"/>
  <c r="I297" i="11" s="1"/>
  <c r="AF259" i="11"/>
  <c r="M209" i="11" s="1"/>
  <c r="AN198" i="1" s="1"/>
  <c r="AE259" i="11"/>
  <c r="K209" i="11" s="1"/>
  <c r="AK198" i="1" s="1"/>
  <c r="AA258" i="11"/>
  <c r="Y258" i="11"/>
  <c r="W258" i="11"/>
  <c r="U258" i="11"/>
  <c r="S258" i="11"/>
  <c r="S297" i="11" s="1"/>
  <c r="Q258" i="11"/>
  <c r="Q297" i="11" s="1"/>
  <c r="M258" i="11"/>
  <c r="M297" i="11" s="1"/>
  <c r="I258" i="11"/>
  <c r="AC257" i="11"/>
  <c r="AC297" i="11" s="1"/>
  <c r="K246" i="11"/>
  <c r="M243" i="11"/>
  <c r="M241" i="11"/>
  <c r="AN236" i="1" s="1"/>
  <c r="M235" i="11"/>
  <c r="K232" i="11"/>
  <c r="AK240" i="1" s="1"/>
  <c r="M227" i="11"/>
  <c r="AN214" i="1" s="1"/>
  <c r="M219" i="11"/>
  <c r="M217" i="11"/>
  <c r="M213" i="11"/>
  <c r="K213" i="11"/>
  <c r="AK202" i="1" s="1"/>
  <c r="M212" i="11"/>
  <c r="M211" i="11"/>
  <c r="M191" i="11"/>
  <c r="L191" i="11"/>
  <c r="K191" i="11"/>
  <c r="I191" i="11"/>
  <c r="H191" i="11"/>
  <c r="M169" i="11"/>
  <c r="K169" i="11"/>
  <c r="I169" i="11"/>
  <c r="H169" i="11"/>
  <c r="O169" i="11" s="1"/>
  <c r="O165" i="11" s="1"/>
  <c r="K146" i="11"/>
  <c r="M145" i="11" s="1"/>
  <c r="M135" i="11"/>
  <c r="Z258" i="11" s="1"/>
  <c r="Z297" i="11" s="1"/>
  <c r="K130" i="11"/>
  <c r="M128" i="11"/>
  <c r="K109" i="11"/>
  <c r="M98" i="11"/>
  <c r="K93" i="11"/>
  <c r="M92" i="11" s="1"/>
  <c r="L58" i="6"/>
  <c r="J58" i="6"/>
  <c r="L57" i="6"/>
  <c r="J57" i="6"/>
  <c r="L59" i="6" s="1"/>
  <c r="AN196" i="1" s="1"/>
  <c r="J55" i="6"/>
  <c r="L54" i="6"/>
  <c r="J54" i="6"/>
  <c r="L53" i="6"/>
  <c r="J53" i="6"/>
  <c r="AK196" i="1" s="1"/>
  <c r="H44" i="6"/>
  <c r="H30" i="6"/>
  <c r="L55" i="6" s="1"/>
  <c r="AN165" i="1" s="1"/>
  <c r="K141" i="2"/>
  <c r="N139" i="2"/>
  <c r="AI380" i="1" s="1"/>
  <c r="N138" i="2"/>
  <c r="N137" i="2"/>
  <c r="AI256" i="1" s="1"/>
  <c r="N136" i="2"/>
  <c r="AI255" i="1" s="1"/>
  <c r="N135" i="2"/>
  <c r="AI254" i="1" s="1"/>
  <c r="N134" i="2"/>
  <c r="N133" i="2"/>
  <c r="N132" i="2"/>
  <c r="N131" i="2"/>
  <c r="AI246" i="1" s="1"/>
  <c r="N130" i="2"/>
  <c r="N129" i="2"/>
  <c r="AI244" i="1" s="1"/>
  <c r="N128" i="2"/>
  <c r="N127" i="2"/>
  <c r="N126" i="2"/>
  <c r="N125" i="2"/>
  <c r="N124" i="2"/>
  <c r="N123" i="2"/>
  <c r="AI234" i="1" s="1"/>
  <c r="N122" i="2"/>
  <c r="N121" i="2"/>
  <c r="AI230" i="1" s="1"/>
  <c r="N120" i="2"/>
  <c r="AI229" i="1" s="1"/>
  <c r="N119" i="2"/>
  <c r="N118" i="2"/>
  <c r="N117" i="2"/>
  <c r="AI224" i="1" s="1"/>
  <c r="N116" i="2"/>
  <c r="N115" i="2"/>
  <c r="AI219" i="1" s="1"/>
  <c r="N114" i="2"/>
  <c r="N113" i="2"/>
  <c r="N112" i="2"/>
  <c r="AI214" i="1" s="1"/>
  <c r="N111" i="2"/>
  <c r="AI213" i="1" s="1"/>
  <c r="L110" i="2"/>
  <c r="L109" i="2"/>
  <c r="AH378" i="1" s="1"/>
  <c r="L108" i="2"/>
  <c r="L107" i="2"/>
  <c r="AH209" i="1" s="1"/>
  <c r="L106" i="2"/>
  <c r="L105" i="2"/>
  <c r="AH203" i="1" s="1"/>
  <c r="L104" i="2"/>
  <c r="AH202" i="1" s="1"/>
  <c r="L103" i="2"/>
  <c r="AH201" i="1" s="1"/>
  <c r="L102" i="2"/>
  <c r="L101" i="2"/>
  <c r="AH199" i="1" s="1"/>
  <c r="L100" i="2"/>
  <c r="H93" i="2"/>
  <c r="H39" i="2"/>
  <c r="AC390" i="1"/>
  <c r="AE390" i="1" s="1"/>
  <c r="AC389" i="1"/>
  <c r="AE389" i="1" s="1"/>
  <c r="AC388" i="1"/>
  <c r="AC384" i="1"/>
  <c r="AE384" i="1" s="1"/>
  <c r="E383" i="1"/>
  <c r="D388" i="1" s="1"/>
  <c r="AC380" i="1"/>
  <c r="AE380" i="1" s="1"/>
  <c r="AB380" i="1"/>
  <c r="AD380" i="1" s="1"/>
  <c r="AV380" i="1" s="1"/>
  <c r="AM379" i="1"/>
  <c r="AC379" i="1"/>
  <c r="AE379" i="1" s="1"/>
  <c r="AB379" i="1"/>
  <c r="AD379" i="1" s="1"/>
  <c r="AV379" i="1" s="1"/>
  <c r="AM378" i="1"/>
  <c r="AJ378" i="1"/>
  <c r="AI378" i="1"/>
  <c r="AC378" i="1"/>
  <c r="AE378" i="1" s="1"/>
  <c r="AB378" i="1"/>
  <c r="AD378" i="1" s="1"/>
  <c r="AC376" i="1"/>
  <c r="AE376" i="1" s="1"/>
  <c r="AW376" i="1" s="1"/>
  <c r="AB376" i="1"/>
  <c r="AD376" i="1" s="1"/>
  <c r="AM375" i="1"/>
  <c r="AJ375" i="1"/>
  <c r="AH375" i="1"/>
  <c r="AC375" i="1"/>
  <c r="AE375" i="1" s="1"/>
  <c r="AB375" i="1"/>
  <c r="AD375" i="1" s="1"/>
  <c r="AO374" i="1"/>
  <c r="AM374" i="1"/>
  <c r="AJ374" i="1"/>
  <c r="AC374" i="1"/>
  <c r="AE374" i="1" s="1"/>
  <c r="AB374" i="1"/>
  <c r="AD374" i="1" s="1"/>
  <c r="AJ370" i="1"/>
  <c r="AC370" i="1"/>
  <c r="AE370" i="1" s="1"/>
  <c r="AW370" i="1" s="1"/>
  <c r="AB370" i="1"/>
  <c r="AD370" i="1" s="1"/>
  <c r="AJ369" i="1"/>
  <c r="AC369" i="1"/>
  <c r="AE369" i="1" s="1"/>
  <c r="AW369" i="1" s="1"/>
  <c r="AB369" i="1"/>
  <c r="AD369" i="1" s="1"/>
  <c r="AC368" i="1"/>
  <c r="AE368" i="1" s="1"/>
  <c r="AW368" i="1" s="1"/>
  <c r="AB368" i="1"/>
  <c r="AD368" i="1" s="1"/>
  <c r="AJ367" i="1"/>
  <c r="AC367" i="1"/>
  <c r="AE367" i="1" s="1"/>
  <c r="AW367" i="1" s="1"/>
  <c r="AB367" i="1"/>
  <c r="AD367" i="1" s="1"/>
  <c r="AM366" i="1"/>
  <c r="AC366" i="1"/>
  <c r="AE366" i="1" s="1"/>
  <c r="AB366" i="1"/>
  <c r="AD366" i="1" s="1"/>
  <c r="AV366" i="1" s="1"/>
  <c r="AM365" i="1"/>
  <c r="AC365" i="1"/>
  <c r="AE365" i="1" s="1"/>
  <c r="AB365" i="1"/>
  <c r="AD365" i="1" s="1"/>
  <c r="AV365" i="1" s="1"/>
  <c r="AJ364" i="1"/>
  <c r="AC364" i="1"/>
  <c r="AE364" i="1" s="1"/>
  <c r="AW364" i="1" s="1"/>
  <c r="AB364" i="1"/>
  <c r="AD364" i="1" s="1"/>
  <c r="AJ363" i="1"/>
  <c r="AC363" i="1"/>
  <c r="AE363" i="1" s="1"/>
  <c r="AW363" i="1" s="1"/>
  <c r="AB363" i="1"/>
  <c r="AD363" i="1" s="1"/>
  <c r="AJ362" i="1"/>
  <c r="AC362" i="1"/>
  <c r="AE362" i="1" s="1"/>
  <c r="AW362" i="1" s="1"/>
  <c r="AB362" i="1"/>
  <c r="AD362" i="1" s="1"/>
  <c r="AJ361" i="1"/>
  <c r="AC361" i="1"/>
  <c r="AE361" i="1" s="1"/>
  <c r="AW361" i="1" s="1"/>
  <c r="AB361" i="1"/>
  <c r="AD361" i="1" s="1"/>
  <c r="AS360" i="1"/>
  <c r="AR360" i="1"/>
  <c r="AJ360" i="1"/>
  <c r="AC360" i="1"/>
  <c r="AE360" i="1" s="1"/>
  <c r="AB360" i="1"/>
  <c r="AD360" i="1" s="1"/>
  <c r="AO359" i="1"/>
  <c r="AM359" i="1"/>
  <c r="AC359" i="1"/>
  <c r="AE359" i="1" s="1"/>
  <c r="AB359" i="1"/>
  <c r="AD359" i="1" s="1"/>
  <c r="AK355" i="1"/>
  <c r="AJ355" i="1"/>
  <c r="AC355" i="1"/>
  <c r="AE355" i="1" s="1"/>
  <c r="AW355" i="1" s="1"/>
  <c r="AB355" i="1"/>
  <c r="AD355" i="1" s="1"/>
  <c r="AM353" i="1"/>
  <c r="AC353" i="1"/>
  <c r="AE353" i="1" s="1"/>
  <c r="AB353" i="1"/>
  <c r="AD353" i="1" s="1"/>
  <c r="AV353" i="1" s="1"/>
  <c r="AC352" i="1"/>
  <c r="AE352" i="1" s="1"/>
  <c r="AB352" i="1"/>
  <c r="AD352" i="1" s="1"/>
  <c r="AV352" i="1" s="1"/>
  <c r="AM351" i="1"/>
  <c r="AC351" i="1"/>
  <c r="AE351" i="1" s="1"/>
  <c r="AB351" i="1"/>
  <c r="AD351" i="1" s="1"/>
  <c r="AV351" i="1" s="1"/>
  <c r="AR350" i="1"/>
  <c r="AM350" i="1"/>
  <c r="AJ350" i="1"/>
  <c r="AC350" i="1"/>
  <c r="AE350" i="1" s="1"/>
  <c r="AB350" i="1"/>
  <c r="AD350" i="1" s="1"/>
  <c r="AM349" i="1"/>
  <c r="AC349" i="1"/>
  <c r="AE349" i="1" s="1"/>
  <c r="AB349" i="1"/>
  <c r="AD349" i="1" s="1"/>
  <c r="AV349" i="1" s="1"/>
  <c r="AV346" i="1"/>
  <c r="AM346" i="1"/>
  <c r="AN345" i="1"/>
  <c r="AM345" i="1"/>
  <c r="AC345" i="1"/>
  <c r="AE345" i="1" s="1"/>
  <c r="AB345" i="1"/>
  <c r="AD345" i="1" s="1"/>
  <c r="AV345" i="1" s="1"/>
  <c r="AW340" i="1"/>
  <c r="AC339" i="1"/>
  <c r="AE339" i="1" s="1"/>
  <c r="AB339" i="1"/>
  <c r="AD339" i="1" s="1"/>
  <c r="AS338" i="1"/>
  <c r="AR338" i="1"/>
  <c r="AP338" i="1"/>
  <c r="AO338" i="1"/>
  <c r="AM338" i="1"/>
  <c r="AJ338" i="1"/>
  <c r="AC338" i="1"/>
  <c r="AE338" i="1" s="1"/>
  <c r="AB338" i="1"/>
  <c r="AD338" i="1" s="1"/>
  <c r="AM337" i="1"/>
  <c r="AJ337" i="1"/>
  <c r="AC337" i="1"/>
  <c r="AE337" i="1" s="1"/>
  <c r="AB337" i="1"/>
  <c r="AD337" i="1" s="1"/>
  <c r="AP336" i="1"/>
  <c r="AO336" i="1"/>
  <c r="AM336" i="1"/>
  <c r="AK336" i="1"/>
  <c r="AJ336" i="1"/>
  <c r="AC336" i="1"/>
  <c r="AE336" i="1" s="1"/>
  <c r="AB336" i="1"/>
  <c r="AD336" i="1" s="1"/>
  <c r="AW331" i="1"/>
  <c r="AC330" i="1"/>
  <c r="AE330" i="1" s="1"/>
  <c r="AB330" i="1"/>
  <c r="AD330" i="1" s="1"/>
  <c r="AS329" i="1"/>
  <c r="AR329" i="1"/>
  <c r="AP329" i="1"/>
  <c r="AO329" i="1"/>
  <c r="AM329" i="1"/>
  <c r="AJ329" i="1"/>
  <c r="AC329" i="1"/>
  <c r="AE329" i="1" s="1"/>
  <c r="AB329" i="1"/>
  <c r="AD329" i="1" s="1"/>
  <c r="AM328" i="1"/>
  <c r="AJ328" i="1"/>
  <c r="AC328" i="1"/>
  <c r="AE328" i="1" s="1"/>
  <c r="AB328" i="1"/>
  <c r="AD328" i="1" s="1"/>
  <c r="AP327" i="1"/>
  <c r="AO327" i="1"/>
  <c r="AM327" i="1"/>
  <c r="AK327" i="1"/>
  <c r="AJ327" i="1"/>
  <c r="AC327" i="1"/>
  <c r="AE327" i="1" s="1"/>
  <c r="AB327" i="1"/>
  <c r="AD327" i="1" s="1"/>
  <c r="AW322" i="1"/>
  <c r="AK321" i="1"/>
  <c r="AC321" i="1"/>
  <c r="AE321" i="1" s="1"/>
  <c r="AB321" i="1"/>
  <c r="AD321" i="1" s="1"/>
  <c r="AS320" i="1"/>
  <c r="AR320" i="1"/>
  <c r="AP320" i="1"/>
  <c r="AO320" i="1"/>
  <c r="AM320" i="1"/>
  <c r="AJ320" i="1"/>
  <c r="AC320" i="1"/>
  <c r="AE320" i="1" s="1"/>
  <c r="AB320" i="1"/>
  <c r="AD320" i="1" s="1"/>
  <c r="AM319" i="1"/>
  <c r="AJ319" i="1"/>
  <c r="AC319" i="1"/>
  <c r="AE319" i="1" s="1"/>
  <c r="AB319" i="1"/>
  <c r="AD319" i="1" s="1"/>
  <c r="AP318" i="1"/>
  <c r="AO318" i="1"/>
  <c r="AM318" i="1"/>
  <c r="AJ318" i="1"/>
  <c r="AC318" i="1"/>
  <c r="AE318" i="1" s="1"/>
  <c r="AB318" i="1"/>
  <c r="AD318" i="1" s="1"/>
  <c r="AW313" i="1"/>
  <c r="AC312" i="1"/>
  <c r="AE312" i="1" s="1"/>
  <c r="AB312" i="1"/>
  <c r="AD312" i="1" s="1"/>
  <c r="AR311" i="1"/>
  <c r="AP311" i="1"/>
  <c r="AO311" i="1"/>
  <c r="AM311" i="1"/>
  <c r="AJ311" i="1"/>
  <c r="AC311" i="1"/>
  <c r="AE311" i="1" s="1"/>
  <c r="AB311" i="1"/>
  <c r="AD311" i="1" s="1"/>
  <c r="AM310" i="1"/>
  <c r="AJ310" i="1"/>
  <c r="AC310" i="1"/>
  <c r="AE310" i="1" s="1"/>
  <c r="AB310" i="1"/>
  <c r="AD310" i="1" s="1"/>
  <c r="AP309" i="1"/>
  <c r="AO309" i="1"/>
  <c r="AM309" i="1"/>
  <c r="AJ309" i="1"/>
  <c r="AC309" i="1"/>
  <c r="AE309" i="1" s="1"/>
  <c r="AB309" i="1"/>
  <c r="AD309" i="1" s="1"/>
  <c r="AW304" i="1"/>
  <c r="AC303" i="1"/>
  <c r="AE303" i="1" s="1"/>
  <c r="AB303" i="1"/>
  <c r="AD303" i="1" s="1"/>
  <c r="AS302" i="1"/>
  <c r="AR302" i="1"/>
  <c r="AP302" i="1"/>
  <c r="AO302" i="1"/>
  <c r="AM302" i="1"/>
  <c r="AJ302" i="1"/>
  <c r="AC302" i="1"/>
  <c r="AE302" i="1" s="1"/>
  <c r="AB302" i="1"/>
  <c r="AD302" i="1" s="1"/>
  <c r="AM301" i="1"/>
  <c r="AJ301" i="1"/>
  <c r="AC301" i="1"/>
  <c r="AE301" i="1" s="1"/>
  <c r="AB301" i="1"/>
  <c r="AD301" i="1" s="1"/>
  <c r="AO300" i="1"/>
  <c r="AM300" i="1"/>
  <c r="AJ300" i="1"/>
  <c r="AC300" i="1"/>
  <c r="AE300" i="1" s="1"/>
  <c r="AB300" i="1"/>
  <c r="AD300" i="1" s="1"/>
  <c r="AW295" i="1"/>
  <c r="AK294" i="1"/>
  <c r="AC294" i="1"/>
  <c r="AE294" i="1" s="1"/>
  <c r="AB294" i="1"/>
  <c r="AD294" i="1" s="1"/>
  <c r="AS293" i="1"/>
  <c r="AR293" i="1"/>
  <c r="AP293" i="1"/>
  <c r="AO293" i="1"/>
  <c r="AM293" i="1"/>
  <c r="AJ293" i="1"/>
  <c r="AC293" i="1"/>
  <c r="AE293" i="1" s="1"/>
  <c r="AB293" i="1"/>
  <c r="AD293" i="1" s="1"/>
  <c r="AM292" i="1"/>
  <c r="AJ292" i="1"/>
  <c r="AC292" i="1"/>
  <c r="AE292" i="1" s="1"/>
  <c r="AB292" i="1"/>
  <c r="AD292" i="1" s="1"/>
  <c r="AO291" i="1"/>
  <c r="AN291" i="1"/>
  <c r="AM291" i="1"/>
  <c r="AK291" i="1"/>
  <c r="AJ291" i="1"/>
  <c r="AC291" i="1"/>
  <c r="AE291" i="1" s="1"/>
  <c r="AB291" i="1"/>
  <c r="AD291" i="1" s="1"/>
  <c r="AW286" i="1"/>
  <c r="AC285" i="1"/>
  <c r="AE285" i="1" s="1"/>
  <c r="AB285" i="1"/>
  <c r="AD285" i="1" s="1"/>
  <c r="AR284" i="1"/>
  <c r="AO284" i="1"/>
  <c r="AM284" i="1"/>
  <c r="AJ284" i="1"/>
  <c r="AC284" i="1"/>
  <c r="AE284" i="1" s="1"/>
  <c r="AB284" i="1"/>
  <c r="AD284" i="1" s="1"/>
  <c r="AS283" i="1"/>
  <c r="AR283" i="1"/>
  <c r="AM283" i="1"/>
  <c r="AJ283" i="1"/>
  <c r="AC283" i="1"/>
  <c r="AE283" i="1" s="1"/>
  <c r="AB283" i="1"/>
  <c r="AD283" i="1" s="1"/>
  <c r="AO282" i="1"/>
  <c r="AM282" i="1"/>
  <c r="AK282" i="1"/>
  <c r="AJ282" i="1"/>
  <c r="AC282" i="1"/>
  <c r="AE282" i="1" s="1"/>
  <c r="AB282" i="1"/>
  <c r="AD282" i="1" s="1"/>
  <c r="AW277" i="1"/>
  <c r="AN275" i="1"/>
  <c r="AW275" i="1" s="1"/>
  <c r="AC274" i="1"/>
  <c r="AE274" i="1" s="1"/>
  <c r="AB274" i="1"/>
  <c r="AD274" i="1" s="1"/>
  <c r="AR273" i="1"/>
  <c r="AP273" i="1"/>
  <c r="AO273" i="1"/>
  <c r="AM273" i="1"/>
  <c r="AJ273" i="1"/>
  <c r="AC273" i="1"/>
  <c r="AE273" i="1" s="1"/>
  <c r="AB273" i="1"/>
  <c r="AD273" i="1" s="1"/>
  <c r="AM272" i="1"/>
  <c r="AJ272" i="1"/>
  <c r="AC272" i="1"/>
  <c r="AE272" i="1" s="1"/>
  <c r="AB272" i="1"/>
  <c r="AD272" i="1" s="1"/>
  <c r="AO271" i="1"/>
  <c r="AM271" i="1"/>
  <c r="AK271" i="1"/>
  <c r="AJ271" i="1"/>
  <c r="AC271" i="1"/>
  <c r="AE271" i="1" s="1"/>
  <c r="AB271" i="1"/>
  <c r="AD271" i="1" s="1"/>
  <c r="AW266" i="1"/>
  <c r="AW265" i="1"/>
  <c r="AC264" i="1"/>
  <c r="AE264" i="1" s="1"/>
  <c r="AB264" i="1"/>
  <c r="AD264" i="1" s="1"/>
  <c r="AO263" i="1"/>
  <c r="AJ263" i="1"/>
  <c r="AC263" i="1"/>
  <c r="AE263" i="1" s="1"/>
  <c r="AB263" i="1"/>
  <c r="AD263" i="1" s="1"/>
  <c r="AR262" i="1"/>
  <c r="AP262" i="1"/>
  <c r="AO262" i="1"/>
  <c r="AM262" i="1"/>
  <c r="AJ262" i="1"/>
  <c r="AC262" i="1"/>
  <c r="AE262" i="1" s="1"/>
  <c r="AB262" i="1"/>
  <c r="AD262" i="1" s="1"/>
  <c r="AS261" i="1"/>
  <c r="AR261" i="1"/>
  <c r="AO261" i="1"/>
  <c r="AM261" i="1"/>
  <c r="AJ261" i="1"/>
  <c r="AC261" i="1"/>
  <c r="AE261" i="1" s="1"/>
  <c r="AB261" i="1"/>
  <c r="AD261" i="1" s="1"/>
  <c r="AM260" i="1"/>
  <c r="AJ260" i="1"/>
  <c r="AC260" i="1"/>
  <c r="AE260" i="1" s="1"/>
  <c r="AB260" i="1"/>
  <c r="AD260" i="1" s="1"/>
  <c r="AX259" i="1"/>
  <c r="AC259" i="1"/>
  <c r="AE259" i="1" s="1"/>
  <c r="AB259" i="1"/>
  <c r="AD259" i="1" s="1"/>
  <c r="AX258" i="1"/>
  <c r="AC258" i="1"/>
  <c r="AE258" i="1" s="1"/>
  <c r="AB258" i="1"/>
  <c r="AD258" i="1" s="1"/>
  <c r="AX257" i="1"/>
  <c r="AC257" i="1"/>
  <c r="AE257" i="1" s="1"/>
  <c r="AB257" i="1"/>
  <c r="AD257" i="1" s="1"/>
  <c r="AR256" i="1"/>
  <c r="AM256" i="1"/>
  <c r="AJ256" i="1"/>
  <c r="AC256" i="1"/>
  <c r="AE256" i="1" s="1"/>
  <c r="AB256" i="1"/>
  <c r="AD256" i="1" s="1"/>
  <c r="AR255" i="1"/>
  <c r="AN255" i="1"/>
  <c r="AM255" i="1"/>
  <c r="AJ255" i="1"/>
  <c r="AC255" i="1"/>
  <c r="AE255" i="1" s="1"/>
  <c r="AB255" i="1"/>
  <c r="AD255" i="1" s="1"/>
  <c r="AM254" i="1"/>
  <c r="AJ254" i="1"/>
  <c r="AC254" i="1"/>
  <c r="AE254" i="1" s="1"/>
  <c r="AB254" i="1"/>
  <c r="AD254" i="1" s="1"/>
  <c r="AX253" i="1"/>
  <c r="AC253" i="1"/>
  <c r="AE253" i="1" s="1"/>
  <c r="AB253" i="1"/>
  <c r="AD253" i="1" s="1"/>
  <c r="AX252" i="1"/>
  <c r="AC252" i="1"/>
  <c r="AE252" i="1" s="1"/>
  <c r="AB252" i="1"/>
  <c r="AD252" i="1" s="1"/>
  <c r="AS251" i="1"/>
  <c r="AR251" i="1"/>
  <c r="AM251" i="1"/>
  <c r="AJ251" i="1"/>
  <c r="AI251" i="1"/>
  <c r="AC251" i="1"/>
  <c r="AE251" i="1" s="1"/>
  <c r="AB251" i="1"/>
  <c r="AD251" i="1" s="1"/>
  <c r="AR250" i="1"/>
  <c r="AM250" i="1"/>
  <c r="AJ250" i="1"/>
  <c r="AI250" i="1"/>
  <c r="AC250" i="1"/>
  <c r="AE250" i="1" s="1"/>
  <c r="AB250" i="1"/>
  <c r="AD250" i="1" s="1"/>
  <c r="AM249" i="1"/>
  <c r="AJ249" i="1"/>
  <c r="AI249" i="1"/>
  <c r="AC249" i="1"/>
  <c r="AE249" i="1" s="1"/>
  <c r="AB249" i="1"/>
  <c r="AD249" i="1" s="1"/>
  <c r="AX248" i="1"/>
  <c r="AC248" i="1"/>
  <c r="AE248" i="1" s="1"/>
  <c r="AB248" i="1"/>
  <c r="AD248" i="1" s="1"/>
  <c r="AX247" i="1"/>
  <c r="AC247" i="1"/>
  <c r="AE247" i="1" s="1"/>
  <c r="AB247" i="1"/>
  <c r="AD247" i="1" s="1"/>
  <c r="AR246" i="1"/>
  <c r="AN246" i="1"/>
  <c r="AM246" i="1"/>
  <c r="AJ246" i="1"/>
  <c r="AC246" i="1"/>
  <c r="AE246" i="1" s="1"/>
  <c r="AB246" i="1"/>
  <c r="AD246" i="1" s="1"/>
  <c r="AS245" i="1"/>
  <c r="AR245" i="1"/>
  <c r="AM245" i="1"/>
  <c r="AJ245" i="1"/>
  <c r="AI245" i="1"/>
  <c r="AC245" i="1"/>
  <c r="AE245" i="1" s="1"/>
  <c r="AB245" i="1"/>
  <c r="AD245" i="1" s="1"/>
  <c r="AM244" i="1"/>
  <c r="AJ244" i="1"/>
  <c r="AC244" i="1"/>
  <c r="AE244" i="1" s="1"/>
  <c r="AB244" i="1"/>
  <c r="AD244" i="1" s="1"/>
  <c r="AX243" i="1"/>
  <c r="AC243" i="1"/>
  <c r="AE243" i="1" s="1"/>
  <c r="AB243" i="1"/>
  <c r="AD243" i="1" s="1"/>
  <c r="AX242" i="1"/>
  <c r="AC242" i="1"/>
  <c r="AE242" i="1" s="1"/>
  <c r="AB242" i="1"/>
  <c r="AD242" i="1" s="1"/>
  <c r="AS241" i="1"/>
  <c r="AR241" i="1"/>
  <c r="AM241" i="1"/>
  <c r="AJ241" i="1"/>
  <c r="AI241" i="1"/>
  <c r="AC241" i="1"/>
  <c r="AE241" i="1" s="1"/>
  <c r="AB241" i="1"/>
  <c r="AD241" i="1" s="1"/>
  <c r="AS240" i="1"/>
  <c r="AR240" i="1"/>
  <c r="AM240" i="1"/>
  <c r="AJ240" i="1"/>
  <c r="AI240" i="1"/>
  <c r="AC240" i="1"/>
  <c r="AE240" i="1" s="1"/>
  <c r="AB240" i="1"/>
  <c r="AD240" i="1" s="1"/>
  <c r="AM239" i="1"/>
  <c r="AJ239" i="1"/>
  <c r="AI239" i="1"/>
  <c r="AC239" i="1"/>
  <c r="AE239" i="1" s="1"/>
  <c r="AB239" i="1"/>
  <c r="AD239" i="1" s="1"/>
  <c r="AX238" i="1"/>
  <c r="AC238" i="1"/>
  <c r="AE238" i="1" s="1"/>
  <c r="AB238" i="1"/>
  <c r="AD238" i="1" s="1"/>
  <c r="AX237" i="1"/>
  <c r="AC237" i="1"/>
  <c r="AE237" i="1" s="1"/>
  <c r="AB237" i="1"/>
  <c r="AD237" i="1" s="1"/>
  <c r="AR236" i="1"/>
  <c r="AM236" i="1"/>
  <c r="AJ236" i="1"/>
  <c r="AI236" i="1"/>
  <c r="AC236" i="1"/>
  <c r="AE236" i="1" s="1"/>
  <c r="AB236" i="1"/>
  <c r="AD236" i="1" s="1"/>
  <c r="AS235" i="1"/>
  <c r="AR235" i="1"/>
  <c r="AM235" i="1"/>
  <c r="AJ235" i="1"/>
  <c r="AI235" i="1"/>
  <c r="AC235" i="1"/>
  <c r="AE235" i="1" s="1"/>
  <c r="AB235" i="1"/>
  <c r="AD235" i="1" s="1"/>
  <c r="AM234" i="1"/>
  <c r="AJ234" i="1"/>
  <c r="AC234" i="1"/>
  <c r="AE234" i="1" s="1"/>
  <c r="AB234" i="1"/>
  <c r="AD234" i="1" s="1"/>
  <c r="AX233" i="1"/>
  <c r="AC233" i="1"/>
  <c r="AE233" i="1" s="1"/>
  <c r="AB233" i="1"/>
  <c r="AD233" i="1" s="1"/>
  <c r="AX232" i="1"/>
  <c r="AC232" i="1"/>
  <c r="AE232" i="1" s="1"/>
  <c r="AB232" i="1"/>
  <c r="AD232" i="1" s="1"/>
  <c r="AS231" i="1"/>
  <c r="AR231" i="1"/>
  <c r="AM231" i="1"/>
  <c r="AJ231" i="1"/>
  <c r="AI231" i="1"/>
  <c r="AC231" i="1"/>
  <c r="AE231" i="1" s="1"/>
  <c r="AB231" i="1"/>
  <c r="AD231" i="1" s="1"/>
  <c r="AS230" i="1"/>
  <c r="AR230" i="1"/>
  <c r="AM230" i="1"/>
  <c r="AJ230" i="1"/>
  <c r="AC230" i="1"/>
  <c r="AE230" i="1" s="1"/>
  <c r="AB230" i="1"/>
  <c r="AD230" i="1" s="1"/>
  <c r="AM229" i="1"/>
  <c r="AJ229" i="1"/>
  <c r="AC229" i="1"/>
  <c r="AE229" i="1" s="1"/>
  <c r="AB229" i="1"/>
  <c r="AD229" i="1" s="1"/>
  <c r="AX228" i="1"/>
  <c r="AC228" i="1"/>
  <c r="AE228" i="1" s="1"/>
  <c r="AB228" i="1"/>
  <c r="AD228" i="1" s="1"/>
  <c r="AX227" i="1"/>
  <c r="AC227" i="1"/>
  <c r="AE227" i="1" s="1"/>
  <c r="AB227" i="1"/>
  <c r="AD227" i="1" s="1"/>
  <c r="AS226" i="1"/>
  <c r="AR226" i="1"/>
  <c r="AM226" i="1"/>
  <c r="AJ226" i="1"/>
  <c r="AI226" i="1"/>
  <c r="AC226" i="1"/>
  <c r="AE226" i="1" s="1"/>
  <c r="AB226" i="1"/>
  <c r="AD226" i="1" s="1"/>
  <c r="AS225" i="1"/>
  <c r="AR225" i="1"/>
  <c r="AM225" i="1"/>
  <c r="AJ225" i="1"/>
  <c r="AI225" i="1"/>
  <c r="AC225" i="1"/>
  <c r="AE225" i="1" s="1"/>
  <c r="AB225" i="1"/>
  <c r="AD225" i="1" s="1"/>
  <c r="AP224" i="1"/>
  <c r="AO224" i="1"/>
  <c r="AN224" i="1"/>
  <c r="AM224" i="1"/>
  <c r="AJ224" i="1"/>
  <c r="AC224" i="1"/>
  <c r="AE224" i="1" s="1"/>
  <c r="AB224" i="1"/>
  <c r="AD224" i="1" s="1"/>
  <c r="AX223" i="1"/>
  <c r="AC223" i="1"/>
  <c r="AE223" i="1" s="1"/>
  <c r="AB223" i="1"/>
  <c r="AD223" i="1" s="1"/>
  <c r="AX222" i="1"/>
  <c r="AC222" i="1"/>
  <c r="AE222" i="1" s="1"/>
  <c r="AB222" i="1"/>
  <c r="AD222" i="1" s="1"/>
  <c r="AS221" i="1"/>
  <c r="AR221" i="1"/>
  <c r="AM221" i="1"/>
  <c r="AJ221" i="1"/>
  <c r="AI221" i="1"/>
  <c r="AC221" i="1"/>
  <c r="AE221" i="1" s="1"/>
  <c r="AB221" i="1"/>
  <c r="AD221" i="1" s="1"/>
  <c r="AK220" i="1"/>
  <c r="AV220" i="1" s="1"/>
  <c r="AR219" i="1"/>
  <c r="AM219" i="1"/>
  <c r="AJ219" i="1"/>
  <c r="AC219" i="1"/>
  <c r="AE219" i="1" s="1"/>
  <c r="AB219" i="1"/>
  <c r="AD219" i="1" s="1"/>
  <c r="AM218" i="1"/>
  <c r="AJ218" i="1"/>
  <c r="AI218" i="1"/>
  <c r="AC218" i="1"/>
  <c r="AE218" i="1" s="1"/>
  <c r="AB218" i="1"/>
  <c r="AD218" i="1" s="1"/>
  <c r="AX217" i="1"/>
  <c r="AC217" i="1"/>
  <c r="AE217" i="1" s="1"/>
  <c r="AB217" i="1"/>
  <c r="AD217" i="1" s="1"/>
  <c r="AX216" i="1"/>
  <c r="AC216" i="1"/>
  <c r="AE216" i="1" s="1"/>
  <c r="AB216" i="1"/>
  <c r="AD216" i="1" s="1"/>
  <c r="AR215" i="1"/>
  <c r="AM215" i="1"/>
  <c r="AJ215" i="1"/>
  <c r="AI215" i="1"/>
  <c r="AC215" i="1"/>
  <c r="AE215" i="1" s="1"/>
  <c r="AB215" i="1"/>
  <c r="AD215" i="1" s="1"/>
  <c r="AR214" i="1"/>
  <c r="AM214" i="1"/>
  <c r="AJ214" i="1"/>
  <c r="AC214" i="1"/>
  <c r="AE214" i="1" s="1"/>
  <c r="AB214" i="1"/>
  <c r="AD214" i="1" s="1"/>
  <c r="AO213" i="1"/>
  <c r="AN213" i="1"/>
  <c r="AM213" i="1"/>
  <c r="AJ213" i="1"/>
  <c r="AC213" i="1"/>
  <c r="AE213" i="1" s="1"/>
  <c r="AB213" i="1"/>
  <c r="AD213" i="1" s="1"/>
  <c r="AC212" i="1"/>
  <c r="AE212" i="1" s="1"/>
  <c r="AB212" i="1"/>
  <c r="AD212" i="1" s="1"/>
  <c r="AC211" i="1"/>
  <c r="AE211" i="1" s="1"/>
  <c r="AB211" i="1"/>
  <c r="AD211" i="1" s="1"/>
  <c r="AH210" i="1"/>
  <c r="AC210" i="1"/>
  <c r="AE210" i="1" s="1"/>
  <c r="AW210" i="1" s="1"/>
  <c r="AB210" i="1"/>
  <c r="AD210" i="1" s="1"/>
  <c r="AC209" i="1"/>
  <c r="AE209" i="1" s="1"/>
  <c r="AW209" i="1" s="1"/>
  <c r="AB209" i="1"/>
  <c r="AD209" i="1" s="1"/>
  <c r="AM208" i="1"/>
  <c r="AJ208" i="1"/>
  <c r="AC208" i="1"/>
  <c r="AE208" i="1" s="1"/>
  <c r="AB208" i="1"/>
  <c r="AD208" i="1" s="1"/>
  <c r="AJ207" i="1"/>
  <c r="AC207" i="1"/>
  <c r="AE207" i="1" s="1"/>
  <c r="AB207" i="1"/>
  <c r="AD207" i="1" s="1"/>
  <c r="AM206" i="1"/>
  <c r="AJ206" i="1"/>
  <c r="AC206" i="1"/>
  <c r="AE206" i="1" s="1"/>
  <c r="AB206" i="1"/>
  <c r="AD206" i="1" s="1"/>
  <c r="AM205" i="1"/>
  <c r="AJ205" i="1"/>
  <c r="AC205" i="1"/>
  <c r="AE205" i="1" s="1"/>
  <c r="AB205" i="1"/>
  <c r="AD205" i="1" s="1"/>
  <c r="AS204" i="1"/>
  <c r="AR204" i="1"/>
  <c r="AM204" i="1"/>
  <c r="AJ204" i="1"/>
  <c r="AH204" i="1"/>
  <c r="AC204" i="1"/>
  <c r="AE204" i="1" s="1"/>
  <c r="AB204" i="1"/>
  <c r="AD204" i="1" s="1"/>
  <c r="AO203" i="1"/>
  <c r="AM203" i="1"/>
  <c r="AJ203" i="1"/>
  <c r="AC203" i="1"/>
  <c r="AE203" i="1" s="1"/>
  <c r="AB203" i="1"/>
  <c r="AD203" i="1" s="1"/>
  <c r="AN202" i="1"/>
  <c r="AM202" i="1"/>
  <c r="AJ202" i="1"/>
  <c r="AC202" i="1"/>
  <c r="AE202" i="1" s="1"/>
  <c r="AB202" i="1"/>
  <c r="AD202" i="1" s="1"/>
  <c r="AN201" i="1"/>
  <c r="AM201" i="1"/>
  <c r="AJ201" i="1"/>
  <c r="AC201" i="1"/>
  <c r="AE201" i="1" s="1"/>
  <c r="AB201" i="1"/>
  <c r="AD201" i="1" s="1"/>
  <c r="AN200" i="1"/>
  <c r="AM200" i="1"/>
  <c r="AJ200" i="1"/>
  <c r="AC200" i="1"/>
  <c r="AE200" i="1" s="1"/>
  <c r="AB200" i="1"/>
  <c r="AD200" i="1" s="1"/>
  <c r="AM199" i="1"/>
  <c r="AJ199" i="1"/>
  <c r="AC199" i="1"/>
  <c r="AE199" i="1" s="1"/>
  <c r="AB199" i="1"/>
  <c r="AD199" i="1" s="1"/>
  <c r="AM198" i="1"/>
  <c r="AJ198" i="1"/>
  <c r="AH198" i="1"/>
  <c r="AC198" i="1"/>
  <c r="AE198" i="1" s="1"/>
  <c r="AB198" i="1"/>
  <c r="AD198" i="1" s="1"/>
  <c r="AC197" i="1"/>
  <c r="AE197" i="1" s="1"/>
  <c r="AW197" i="1" s="1"/>
  <c r="AB197" i="1"/>
  <c r="AD197" i="1" s="1"/>
  <c r="AV197" i="1" s="1"/>
  <c r="AM196" i="1"/>
  <c r="AJ196" i="1"/>
  <c r="AC196" i="1"/>
  <c r="AE196" i="1" s="1"/>
  <c r="AB196" i="1"/>
  <c r="AD196" i="1" s="1"/>
  <c r="AC194" i="1"/>
  <c r="AE194" i="1" s="1"/>
  <c r="AB194" i="1"/>
  <c r="AD194" i="1" s="1"/>
  <c r="BA193" i="1"/>
  <c r="AZ193" i="1"/>
  <c r="AC193" i="1"/>
  <c r="AE193" i="1" s="1"/>
  <c r="AB193" i="1"/>
  <c r="AD193" i="1" s="1"/>
  <c r="AR192" i="1"/>
  <c r="AC192" i="1"/>
  <c r="AE192" i="1" s="1"/>
  <c r="AB192" i="1"/>
  <c r="AD192" i="1" s="1"/>
  <c r="AV192" i="1" s="1"/>
  <c r="AS191" i="1"/>
  <c r="AR191" i="1"/>
  <c r="AC191" i="1"/>
  <c r="AE191" i="1" s="1"/>
  <c r="AB191" i="1"/>
  <c r="AD191" i="1" s="1"/>
  <c r="AV191" i="1" s="1"/>
  <c r="AS190" i="1"/>
  <c r="AR190" i="1"/>
  <c r="AC190" i="1"/>
  <c r="AE190" i="1" s="1"/>
  <c r="AB190" i="1"/>
  <c r="AD190" i="1" s="1"/>
  <c r="AV190" i="1" s="1"/>
  <c r="AR189" i="1"/>
  <c r="AC189" i="1"/>
  <c r="AE189" i="1" s="1"/>
  <c r="AB189" i="1"/>
  <c r="AD189" i="1" s="1"/>
  <c r="AV189" i="1" s="1"/>
  <c r="AR188" i="1"/>
  <c r="AC188" i="1"/>
  <c r="AE188" i="1" s="1"/>
  <c r="AB188" i="1"/>
  <c r="AD188" i="1" s="1"/>
  <c r="AV188" i="1" s="1"/>
  <c r="AR187" i="1"/>
  <c r="AC187" i="1"/>
  <c r="AE187" i="1" s="1"/>
  <c r="AB187" i="1"/>
  <c r="AD187" i="1" s="1"/>
  <c r="AV187" i="1" s="1"/>
  <c r="AR186" i="1"/>
  <c r="AC186" i="1"/>
  <c r="AE186" i="1" s="1"/>
  <c r="AB186" i="1"/>
  <c r="AD186" i="1" s="1"/>
  <c r="AV186" i="1" s="1"/>
  <c r="AR185" i="1"/>
  <c r="AC185" i="1"/>
  <c r="AE185" i="1" s="1"/>
  <c r="AB185" i="1"/>
  <c r="AD185" i="1" s="1"/>
  <c r="AV185" i="1" s="1"/>
  <c r="AR184" i="1"/>
  <c r="AC184" i="1"/>
  <c r="AE184" i="1" s="1"/>
  <c r="AB184" i="1"/>
  <c r="AD184" i="1" s="1"/>
  <c r="AV184" i="1" s="1"/>
  <c r="AR183" i="1"/>
  <c r="AC183" i="1"/>
  <c r="AE183" i="1" s="1"/>
  <c r="AB183" i="1"/>
  <c r="AD183" i="1" s="1"/>
  <c r="AV183" i="1" s="1"/>
  <c r="AS182" i="1"/>
  <c r="AR182" i="1"/>
  <c r="AC182" i="1"/>
  <c r="AE182" i="1" s="1"/>
  <c r="AB182" i="1"/>
  <c r="AD182" i="1" s="1"/>
  <c r="AV182" i="1" s="1"/>
  <c r="AS181" i="1"/>
  <c r="AR181" i="1"/>
  <c r="AC181" i="1"/>
  <c r="AE181" i="1" s="1"/>
  <c r="AB181" i="1"/>
  <c r="AD181" i="1" s="1"/>
  <c r="AV181" i="1" s="1"/>
  <c r="AS180" i="1"/>
  <c r="AR180" i="1"/>
  <c r="AC180" i="1"/>
  <c r="AE180" i="1" s="1"/>
  <c r="AB180" i="1"/>
  <c r="AD180" i="1" s="1"/>
  <c r="AV180" i="1" s="1"/>
  <c r="AR179" i="1"/>
  <c r="AC179" i="1"/>
  <c r="AE179" i="1" s="1"/>
  <c r="AB179" i="1"/>
  <c r="AD179" i="1" s="1"/>
  <c r="AV179" i="1" s="1"/>
  <c r="AZ178" i="1"/>
  <c r="AC178" i="1"/>
  <c r="AE178" i="1" s="1"/>
  <c r="AB178" i="1"/>
  <c r="AD178" i="1" s="1"/>
  <c r="AC177" i="1"/>
  <c r="AE177" i="1" s="1"/>
  <c r="AB177" i="1"/>
  <c r="AD177" i="1" s="1"/>
  <c r="AC176" i="1"/>
  <c r="AE176" i="1" s="1"/>
  <c r="AW176" i="1" s="1"/>
  <c r="AB176" i="1"/>
  <c r="AD176" i="1" s="1"/>
  <c r="AV176" i="1" s="1"/>
  <c r="AC175" i="1"/>
  <c r="AE175" i="1" s="1"/>
  <c r="AW175" i="1" s="1"/>
  <c r="AB175" i="1"/>
  <c r="AD175" i="1" s="1"/>
  <c r="AV175" i="1" s="1"/>
  <c r="AC174" i="1"/>
  <c r="AE174" i="1" s="1"/>
  <c r="AB174" i="1"/>
  <c r="AD174" i="1" s="1"/>
  <c r="AO173" i="1"/>
  <c r="AC173" i="1"/>
  <c r="AE173" i="1" s="1"/>
  <c r="AW173" i="1" s="1"/>
  <c r="AB173" i="1"/>
  <c r="AD173" i="1" s="1"/>
  <c r="AM167" i="1"/>
  <c r="AC167" i="1"/>
  <c r="AE167" i="1" s="1"/>
  <c r="AB167" i="1"/>
  <c r="AD167" i="1" s="1"/>
  <c r="AV167" i="1" s="1"/>
  <c r="AR166" i="1"/>
  <c r="AP166" i="1"/>
  <c r="AO166" i="1"/>
  <c r="AM166" i="1"/>
  <c r="AC166" i="1"/>
  <c r="AE166" i="1" s="1"/>
  <c r="AB166" i="1"/>
  <c r="AD166" i="1" s="1"/>
  <c r="AM165" i="1"/>
  <c r="AJ165" i="1"/>
  <c r="AC165" i="1"/>
  <c r="AE165" i="1" s="1"/>
  <c r="AB165" i="1"/>
  <c r="AD165" i="1" s="1"/>
  <c r="AC163" i="1"/>
  <c r="AE163" i="1" s="1"/>
  <c r="AB163" i="1"/>
  <c r="AD163" i="1" s="1"/>
  <c r="AC162" i="1"/>
  <c r="AE162" i="1" s="1"/>
  <c r="AB162" i="1"/>
  <c r="AD162" i="1" s="1"/>
  <c r="AC158" i="1"/>
  <c r="AE158" i="1" s="1"/>
  <c r="AB158" i="1"/>
  <c r="AD158" i="1" s="1"/>
  <c r="AC157" i="1"/>
  <c r="AE157" i="1" s="1"/>
  <c r="AB157" i="1"/>
  <c r="AD157" i="1" s="1"/>
  <c r="AC156" i="1"/>
  <c r="AE156" i="1" s="1"/>
  <c r="AB156" i="1"/>
  <c r="AD156" i="1" s="1"/>
  <c r="AC151" i="1"/>
  <c r="AE151" i="1" s="1"/>
  <c r="AB151" i="1"/>
  <c r="AD151" i="1" s="1"/>
  <c r="AC150" i="1"/>
  <c r="AE150" i="1" s="1"/>
  <c r="AB150" i="1"/>
  <c r="AD150" i="1" s="1"/>
  <c r="AC149" i="1"/>
  <c r="AE149" i="1" s="1"/>
  <c r="AB149" i="1"/>
  <c r="AD149" i="1" s="1"/>
  <c r="AC148" i="1"/>
  <c r="AE148" i="1" s="1"/>
  <c r="AB148" i="1"/>
  <c r="AD148" i="1" s="1"/>
  <c r="AC147" i="1"/>
  <c r="AE147" i="1" s="1"/>
  <c r="AB147" i="1"/>
  <c r="AD147" i="1" s="1"/>
  <c r="AJ146" i="1"/>
  <c r="AC146" i="1"/>
  <c r="AE146" i="1" s="1"/>
  <c r="AW146" i="1" s="1"/>
  <c r="AB146" i="1"/>
  <c r="AD146" i="1" s="1"/>
  <c r="AM145" i="1"/>
  <c r="AJ145" i="1"/>
  <c r="AC145" i="1"/>
  <c r="AE145" i="1" s="1"/>
  <c r="AB145" i="1"/>
  <c r="AD145" i="1" s="1"/>
  <c r="AC144" i="1"/>
  <c r="AE144" i="1" s="1"/>
  <c r="AW144" i="1" s="1"/>
  <c r="AB144" i="1"/>
  <c r="AD144" i="1" s="1"/>
  <c r="AV144" i="1" s="1"/>
  <c r="AM139" i="1"/>
  <c r="AC139" i="1"/>
  <c r="AE139" i="1" s="1"/>
  <c r="AB139" i="1"/>
  <c r="AD139" i="1" s="1"/>
  <c r="AM137" i="1"/>
  <c r="AG137" i="1"/>
  <c r="AC136" i="1"/>
  <c r="AE136" i="1" s="1"/>
  <c r="AB136" i="1"/>
  <c r="AD136" i="1" s="1"/>
  <c r="AP135" i="1"/>
  <c r="AO135" i="1"/>
  <c r="AM135" i="1"/>
  <c r="AJ135" i="1"/>
  <c r="AC135" i="1"/>
  <c r="AE135" i="1" s="1"/>
  <c r="AB135" i="1"/>
  <c r="AD135" i="1" s="1"/>
  <c r="AP134" i="1"/>
  <c r="AO134" i="1"/>
  <c r="AM134" i="1"/>
  <c r="AJ134" i="1"/>
  <c r="AC134" i="1"/>
  <c r="AE134" i="1" s="1"/>
  <c r="AB134" i="1"/>
  <c r="AD134" i="1" s="1"/>
  <c r="AP133" i="1"/>
  <c r="AO133" i="1"/>
  <c r="AM133" i="1"/>
  <c r="AC133" i="1"/>
  <c r="AE133" i="1" s="1"/>
  <c r="AB133" i="1"/>
  <c r="AD133" i="1" s="1"/>
  <c r="AP132" i="1"/>
  <c r="AO132" i="1"/>
  <c r="AM132" i="1"/>
  <c r="AJ132" i="1"/>
  <c r="AC132" i="1"/>
  <c r="AE132" i="1" s="1"/>
  <c r="AB132" i="1"/>
  <c r="AD132" i="1" s="1"/>
  <c r="AO131" i="1"/>
  <c r="AC131" i="1"/>
  <c r="AE131" i="1" s="1"/>
  <c r="AB131" i="1"/>
  <c r="AD131" i="1" s="1"/>
  <c r="AP130" i="1"/>
  <c r="AO130" i="1"/>
  <c r="AM130" i="1"/>
  <c r="AK130" i="1"/>
  <c r="AJ130" i="1"/>
  <c r="AC130" i="1"/>
  <c r="AE130" i="1" s="1"/>
  <c r="AB130" i="1"/>
  <c r="AD130" i="1" s="1"/>
  <c r="AO129" i="1"/>
  <c r="AM129" i="1"/>
  <c r="AJ129" i="1"/>
  <c r="AC129" i="1"/>
  <c r="AE129" i="1" s="1"/>
  <c r="AB129" i="1"/>
  <c r="AD129" i="1" s="1"/>
  <c r="AM128" i="1"/>
  <c r="AJ128" i="1"/>
  <c r="AC128" i="1"/>
  <c r="AE128" i="1" s="1"/>
  <c r="AB128" i="1"/>
  <c r="AD128" i="1" s="1"/>
  <c r="AM127" i="1"/>
  <c r="AJ127" i="1"/>
  <c r="AC127" i="1"/>
  <c r="AE127" i="1" s="1"/>
  <c r="AB127" i="1"/>
  <c r="AD127" i="1" s="1"/>
  <c r="AM126" i="1"/>
  <c r="AJ126" i="1"/>
  <c r="AC126" i="1"/>
  <c r="AE126" i="1" s="1"/>
  <c r="AB126" i="1"/>
  <c r="AD126" i="1" s="1"/>
  <c r="AM125" i="1"/>
  <c r="AJ125" i="1"/>
  <c r="AC125" i="1"/>
  <c r="AE125" i="1" s="1"/>
  <c r="AB125" i="1"/>
  <c r="AD125" i="1" s="1"/>
  <c r="AO124" i="1"/>
  <c r="AJ124" i="1"/>
  <c r="AC124" i="1"/>
  <c r="AE124" i="1" s="1"/>
  <c r="AW124" i="1" s="1"/>
  <c r="AB124" i="1"/>
  <c r="AD124" i="1" s="1"/>
  <c r="AC123" i="1"/>
  <c r="AE123" i="1" s="1"/>
  <c r="AW123" i="1" s="1"/>
  <c r="AB123" i="1"/>
  <c r="AD123" i="1" s="1"/>
  <c r="AV123" i="1" s="1"/>
  <c r="AS122" i="1"/>
  <c r="AR122" i="1"/>
  <c r="AC122" i="1"/>
  <c r="AE122" i="1" s="1"/>
  <c r="AB122" i="1"/>
  <c r="AD122" i="1" s="1"/>
  <c r="AV122" i="1" s="1"/>
  <c r="AS121" i="1"/>
  <c r="AR121" i="1"/>
  <c r="AC121" i="1"/>
  <c r="AE121" i="1" s="1"/>
  <c r="AB121" i="1"/>
  <c r="AD121" i="1" s="1"/>
  <c r="AV121" i="1" s="1"/>
  <c r="AS120" i="1"/>
  <c r="AR120" i="1"/>
  <c r="AC120" i="1"/>
  <c r="AE120" i="1" s="1"/>
  <c r="AB120" i="1"/>
  <c r="AD120" i="1" s="1"/>
  <c r="AV120" i="1" s="1"/>
  <c r="AS119" i="1"/>
  <c r="AR119" i="1"/>
  <c r="AC119" i="1"/>
  <c r="AE119" i="1" s="1"/>
  <c r="AB119" i="1"/>
  <c r="AD119" i="1" s="1"/>
  <c r="AV119" i="1" s="1"/>
  <c r="AS118" i="1"/>
  <c r="AR118" i="1"/>
  <c r="AC118" i="1"/>
  <c r="AE118" i="1" s="1"/>
  <c r="AB118" i="1"/>
  <c r="AD118" i="1" s="1"/>
  <c r="AV118" i="1" s="1"/>
  <c r="AR117" i="1"/>
  <c r="AC117" i="1"/>
  <c r="AE117" i="1" s="1"/>
  <c r="AB117" i="1"/>
  <c r="AD117" i="1" s="1"/>
  <c r="AV117" i="1" s="1"/>
  <c r="AR116" i="1"/>
  <c r="AC116" i="1"/>
  <c r="AE116" i="1" s="1"/>
  <c r="AB116" i="1"/>
  <c r="AD116" i="1" s="1"/>
  <c r="AV116" i="1" s="1"/>
  <c r="AS115" i="1"/>
  <c r="AR115" i="1"/>
  <c r="AC115" i="1"/>
  <c r="AE115" i="1" s="1"/>
  <c r="AB115" i="1"/>
  <c r="AD115" i="1" s="1"/>
  <c r="AV115" i="1" s="1"/>
  <c r="AN114" i="1"/>
  <c r="AM114" i="1"/>
  <c r="AJ114" i="1"/>
  <c r="AC114" i="1"/>
  <c r="AE114" i="1" s="1"/>
  <c r="AB114" i="1"/>
  <c r="AD114" i="1" s="1"/>
  <c r="AO113" i="1"/>
  <c r="AC113" i="1"/>
  <c r="AE113" i="1" s="1"/>
  <c r="AW113" i="1" s="1"/>
  <c r="AB113" i="1"/>
  <c r="AD113" i="1" s="1"/>
  <c r="AO112" i="1"/>
  <c r="AC112" i="1"/>
  <c r="AE112" i="1" s="1"/>
  <c r="AB112" i="1"/>
  <c r="AD112" i="1" s="1"/>
  <c r="AC111" i="1"/>
  <c r="AE111" i="1" s="1"/>
  <c r="AW111" i="1" s="1"/>
  <c r="AB111" i="1"/>
  <c r="AD111" i="1" s="1"/>
  <c r="AV111" i="1" s="1"/>
  <c r="AR110" i="1"/>
  <c r="AC110" i="1"/>
  <c r="AE110" i="1" s="1"/>
  <c r="AB110" i="1"/>
  <c r="AD110" i="1" s="1"/>
  <c r="AV110" i="1" s="1"/>
  <c r="AC109" i="1"/>
  <c r="AE109" i="1" s="1"/>
  <c r="AW109" i="1" s="1"/>
  <c r="AB109" i="1"/>
  <c r="AD109" i="1" s="1"/>
  <c r="AV109" i="1" s="1"/>
  <c r="AC108" i="1"/>
  <c r="AE108" i="1" s="1"/>
  <c r="AW108" i="1" s="1"/>
  <c r="AB108" i="1"/>
  <c r="AD108" i="1" s="1"/>
  <c r="AV108" i="1" s="1"/>
  <c r="AC107" i="1"/>
  <c r="AE107" i="1" s="1"/>
  <c r="AW107" i="1" s="1"/>
  <c r="AB107" i="1"/>
  <c r="AD107" i="1" s="1"/>
  <c r="AV107" i="1" s="1"/>
  <c r="AC106" i="1"/>
  <c r="AE106" i="1" s="1"/>
  <c r="AW106" i="1" s="1"/>
  <c r="AB106" i="1"/>
  <c r="AD106" i="1" s="1"/>
  <c r="AV106" i="1" s="1"/>
  <c r="AC105" i="1"/>
  <c r="AE105" i="1" s="1"/>
  <c r="AW105" i="1" s="1"/>
  <c r="AB105" i="1"/>
  <c r="AD105" i="1" s="1"/>
  <c r="AV105" i="1" s="1"/>
  <c r="AO103" i="1"/>
  <c r="AC103" i="1"/>
  <c r="AE103" i="1" s="1"/>
  <c r="AW103" i="1" s="1"/>
  <c r="AB103" i="1"/>
  <c r="AD103" i="1" s="1"/>
  <c r="AP102" i="1"/>
  <c r="AO102" i="1"/>
  <c r="AC102" i="1"/>
  <c r="AE102" i="1" s="1"/>
  <c r="AW102" i="1" s="1"/>
  <c r="AB102" i="1"/>
  <c r="AD102" i="1" s="1"/>
  <c r="AP101" i="1"/>
  <c r="AO101" i="1"/>
  <c r="AC101" i="1"/>
  <c r="AE101" i="1" s="1"/>
  <c r="AB101" i="1"/>
  <c r="AD101" i="1" s="1"/>
  <c r="AC100" i="1"/>
  <c r="AE100" i="1" s="1"/>
  <c r="AW100" i="1" s="1"/>
  <c r="AB100" i="1"/>
  <c r="AD100" i="1" s="1"/>
  <c r="AV100" i="1" s="1"/>
  <c r="AC99" i="1"/>
  <c r="AE99" i="1" s="1"/>
  <c r="AW99" i="1" s="1"/>
  <c r="AB99" i="1"/>
  <c r="AD99" i="1" s="1"/>
  <c r="AV99" i="1" s="1"/>
  <c r="AC98" i="1"/>
  <c r="AE98" i="1" s="1"/>
  <c r="AB98" i="1"/>
  <c r="AD98" i="1" s="1"/>
  <c r="AV98" i="1" s="1"/>
  <c r="AC97" i="1"/>
  <c r="AE97" i="1" s="1"/>
  <c r="AW97" i="1" s="1"/>
  <c r="AB97" i="1"/>
  <c r="AD97" i="1" s="1"/>
  <c r="AV97" i="1" s="1"/>
  <c r="AC95" i="1"/>
  <c r="AE95" i="1" s="1"/>
  <c r="AB95" i="1"/>
  <c r="AD95" i="1" s="1"/>
  <c r="AC94" i="1"/>
  <c r="AE94" i="1" s="1"/>
  <c r="AD94" i="1"/>
  <c r="AC90" i="1"/>
  <c r="AE90" i="1" s="1"/>
  <c r="AB90" i="1"/>
  <c r="AD90" i="1" s="1"/>
  <c r="AC89" i="1"/>
  <c r="AE89" i="1" s="1"/>
  <c r="AB89" i="1"/>
  <c r="AD89" i="1" s="1"/>
  <c r="AC88" i="1"/>
  <c r="AE88" i="1" s="1"/>
  <c r="AB88" i="1"/>
  <c r="AD88" i="1" s="1"/>
  <c r="AC84" i="1"/>
  <c r="AE84" i="1" s="1"/>
  <c r="AB84" i="1"/>
  <c r="AD84" i="1" s="1"/>
  <c r="AC83" i="1"/>
  <c r="AE83" i="1" s="1"/>
  <c r="AB83" i="1"/>
  <c r="AD83" i="1" s="1"/>
  <c r="AC82" i="1"/>
  <c r="AE82" i="1" s="1"/>
  <c r="AB82" i="1"/>
  <c r="AD82" i="1" s="1"/>
  <c r="AC81" i="1"/>
  <c r="AE81" i="1" s="1"/>
  <c r="AB81" i="1"/>
  <c r="AD81" i="1" s="1"/>
  <c r="AC80" i="1"/>
  <c r="AE80" i="1" s="1"/>
  <c r="AB80" i="1"/>
  <c r="AD80" i="1" s="1"/>
  <c r="AC75" i="1"/>
  <c r="AE75" i="1" s="1"/>
  <c r="AB75" i="1"/>
  <c r="AD75" i="1" s="1"/>
  <c r="AC74" i="1"/>
  <c r="AE74" i="1" s="1"/>
  <c r="AB74" i="1"/>
  <c r="AD74" i="1" s="1"/>
  <c r="AM73" i="1"/>
  <c r="AJ73" i="1"/>
  <c r="AC73" i="1"/>
  <c r="AE73" i="1" s="1"/>
  <c r="AB73" i="1"/>
  <c r="AD73" i="1" s="1"/>
  <c r="AJ70" i="1"/>
  <c r="AC70" i="1"/>
  <c r="AE70" i="1" s="1"/>
  <c r="AW70" i="1" s="1"/>
  <c r="AB70" i="1"/>
  <c r="AD70" i="1" s="1"/>
  <c r="AN69" i="1"/>
  <c r="AM69" i="1"/>
  <c r="AJ69" i="1"/>
  <c r="AC69" i="1"/>
  <c r="AE69" i="1" s="1"/>
  <c r="AB69" i="1"/>
  <c r="AD69" i="1" s="1"/>
  <c r="AJ68" i="1"/>
  <c r="AC68" i="1"/>
  <c r="AE68" i="1" s="1"/>
  <c r="AW68" i="1" s="1"/>
  <c r="AB68" i="1"/>
  <c r="AD68" i="1" s="1"/>
  <c r="AN67" i="1"/>
  <c r="AK67" i="1"/>
  <c r="AJ67" i="1"/>
  <c r="AC67" i="1"/>
  <c r="AE67" i="1" s="1"/>
  <c r="AB67" i="1"/>
  <c r="AD67" i="1" s="1"/>
  <c r="AM66" i="1"/>
  <c r="AK66" i="1"/>
  <c r="AJ66" i="1"/>
  <c r="AC66" i="1"/>
  <c r="AE66" i="1" s="1"/>
  <c r="AB66" i="1"/>
  <c r="AD66" i="1" s="1"/>
  <c r="AN65" i="1"/>
  <c r="AM65" i="1"/>
  <c r="AJ65" i="1"/>
  <c r="AC65" i="1"/>
  <c r="AE65" i="1" s="1"/>
  <c r="AB65" i="1"/>
  <c r="AD65" i="1" s="1"/>
  <c r="AJ64" i="1"/>
  <c r="AC64" i="1"/>
  <c r="AE64" i="1" s="1"/>
  <c r="AW64" i="1" s="1"/>
  <c r="AB64" i="1"/>
  <c r="AD64" i="1" s="1"/>
  <c r="AJ63" i="1"/>
  <c r="AC63" i="1"/>
  <c r="AE63" i="1" s="1"/>
  <c r="AB63" i="1"/>
  <c r="AD63" i="1" s="1"/>
  <c r="AM62" i="1"/>
  <c r="AK62" i="1"/>
  <c r="AJ62" i="1"/>
  <c r="AC62" i="1"/>
  <c r="AE62" i="1" s="1"/>
  <c r="AB62" i="1"/>
  <c r="AD62" i="1" s="1"/>
  <c r="AM61" i="1"/>
  <c r="AJ61" i="1"/>
  <c r="AC61" i="1"/>
  <c r="AE61" i="1" s="1"/>
  <c r="AB61" i="1"/>
  <c r="AD61" i="1" s="1"/>
  <c r="AJ60" i="1"/>
  <c r="AC60" i="1"/>
  <c r="AE60" i="1" s="1"/>
  <c r="AW60" i="1" s="1"/>
  <c r="AB60" i="1"/>
  <c r="AD60" i="1" s="1"/>
  <c r="AN59" i="1"/>
  <c r="AJ59" i="1"/>
  <c r="AC59" i="1"/>
  <c r="AE59" i="1" s="1"/>
  <c r="AB59" i="1"/>
  <c r="AD59" i="1" s="1"/>
  <c r="AM58" i="1"/>
  <c r="AK58" i="1"/>
  <c r="AJ58" i="1"/>
  <c r="AC58" i="1"/>
  <c r="AE58" i="1" s="1"/>
  <c r="AB58" i="1"/>
  <c r="AD58" i="1" s="1"/>
  <c r="AM57" i="1"/>
  <c r="AJ57" i="1"/>
  <c r="AC57" i="1"/>
  <c r="AE57" i="1" s="1"/>
  <c r="AB57" i="1"/>
  <c r="AD57" i="1" s="1"/>
  <c r="AJ56" i="1"/>
  <c r="AC56" i="1"/>
  <c r="AE56" i="1" s="1"/>
  <c r="AW56" i="1" s="1"/>
  <c r="AB56" i="1"/>
  <c r="AD56" i="1" s="1"/>
  <c r="AJ55" i="1"/>
  <c r="AC55" i="1"/>
  <c r="AE55" i="1" s="1"/>
  <c r="AB55" i="1"/>
  <c r="AD55" i="1" s="1"/>
  <c r="AM54" i="1"/>
  <c r="AJ54" i="1"/>
  <c r="AC54" i="1"/>
  <c r="AE54" i="1" s="1"/>
  <c r="AB54" i="1"/>
  <c r="AD54" i="1" s="1"/>
  <c r="AM53" i="1"/>
  <c r="AJ53" i="1"/>
  <c r="AC53" i="1"/>
  <c r="AE53" i="1" s="1"/>
  <c r="AB53" i="1"/>
  <c r="AD53" i="1" s="1"/>
  <c r="AJ52" i="1"/>
  <c r="AC52" i="1"/>
  <c r="AE52" i="1" s="1"/>
  <c r="AW52" i="1" s="1"/>
  <c r="AB52" i="1"/>
  <c r="AD52" i="1" s="1"/>
  <c r="AN51" i="1"/>
  <c r="AJ51" i="1"/>
  <c r="AC51" i="1"/>
  <c r="AE51" i="1" s="1"/>
  <c r="AB51" i="1"/>
  <c r="AD51" i="1" s="1"/>
  <c r="AM50" i="1"/>
  <c r="AK50" i="1"/>
  <c r="AJ50" i="1"/>
  <c r="AC50" i="1"/>
  <c r="AE50" i="1" s="1"/>
  <c r="AB50" i="1"/>
  <c r="AD50" i="1" s="1"/>
  <c r="AM49" i="1"/>
  <c r="AJ49" i="1"/>
  <c r="AC49" i="1"/>
  <c r="AE49" i="1" s="1"/>
  <c r="AB49" i="1"/>
  <c r="AD49" i="1" s="1"/>
  <c r="AJ48" i="1"/>
  <c r="AC48" i="1"/>
  <c r="AE48" i="1" s="1"/>
  <c r="AW48" i="1" s="1"/>
  <c r="AB48" i="1"/>
  <c r="AD48" i="1" s="1"/>
  <c r="AJ47" i="1"/>
  <c r="AC47" i="1"/>
  <c r="AE47" i="1" s="1"/>
  <c r="AB47" i="1"/>
  <c r="AD47" i="1" s="1"/>
  <c r="AM46" i="1"/>
  <c r="AJ46" i="1"/>
  <c r="AC46" i="1"/>
  <c r="AE46" i="1" s="1"/>
  <c r="AB46" i="1"/>
  <c r="AD46" i="1" s="1"/>
  <c r="AN45" i="1"/>
  <c r="AM45" i="1"/>
  <c r="AJ45" i="1"/>
  <c r="AC45" i="1"/>
  <c r="AE45" i="1" s="1"/>
  <c r="AB45" i="1"/>
  <c r="AD45" i="1" s="1"/>
  <c r="AJ44" i="1"/>
  <c r="AC44" i="1"/>
  <c r="AE44" i="1" s="1"/>
  <c r="AW44" i="1" s="1"/>
  <c r="AB44" i="1"/>
  <c r="AD44" i="1" s="1"/>
  <c r="AJ43" i="1"/>
  <c r="AC43" i="1"/>
  <c r="AE43" i="1" s="1"/>
  <c r="AB43" i="1"/>
  <c r="AD43" i="1" s="1"/>
  <c r="AM42" i="1"/>
  <c r="AJ42" i="1"/>
  <c r="AC42" i="1"/>
  <c r="AE42" i="1" s="1"/>
  <c r="AB42" i="1"/>
  <c r="AD42" i="1" s="1"/>
  <c r="AC41" i="1"/>
  <c r="AE41" i="1" s="1"/>
  <c r="AW41" i="1" s="1"/>
  <c r="AB41" i="1"/>
  <c r="AD41" i="1" s="1"/>
  <c r="AV41" i="1" s="1"/>
  <c r="AJ40" i="1"/>
  <c r="AC40" i="1"/>
  <c r="AE40" i="1" s="1"/>
  <c r="AW40" i="1" s="1"/>
  <c r="AB40" i="1"/>
  <c r="AD40" i="1" s="1"/>
  <c r="AJ39" i="1"/>
  <c r="AC39" i="1"/>
  <c r="AE39" i="1" s="1"/>
  <c r="AW39" i="1" s="1"/>
  <c r="AB39" i="1"/>
  <c r="AD39" i="1" s="1"/>
  <c r="AK38" i="1"/>
  <c r="AJ38" i="1"/>
  <c r="AC38" i="1"/>
  <c r="AE38" i="1" s="1"/>
  <c r="AB38" i="1"/>
  <c r="AD38" i="1" s="1"/>
  <c r="AM37" i="1"/>
  <c r="AK37" i="1"/>
  <c r="AJ37" i="1"/>
  <c r="AC37" i="1"/>
  <c r="AE37" i="1" s="1"/>
  <c r="AB37" i="1"/>
  <c r="AD37" i="1" s="1"/>
  <c r="AM36" i="1"/>
  <c r="AJ36" i="1"/>
  <c r="AC36" i="1"/>
  <c r="AE36" i="1" s="1"/>
  <c r="AB36" i="1"/>
  <c r="AD36" i="1" s="1"/>
  <c r="AK35" i="1"/>
  <c r="AJ35" i="1"/>
  <c r="AC35" i="1"/>
  <c r="AE35" i="1" s="1"/>
  <c r="AW35" i="1" s="1"/>
  <c r="AB35" i="1"/>
  <c r="AD35" i="1" s="1"/>
  <c r="AS34" i="1"/>
  <c r="AR34" i="1"/>
  <c r="AC34" i="1"/>
  <c r="AE34" i="1" s="1"/>
  <c r="AB34" i="1"/>
  <c r="AD34" i="1" s="1"/>
  <c r="AV34" i="1" s="1"/>
  <c r="AS33" i="1"/>
  <c r="AR33" i="1"/>
  <c r="AC33" i="1"/>
  <c r="AE33" i="1" s="1"/>
  <c r="AB33" i="1"/>
  <c r="AD33" i="1" s="1"/>
  <c r="AC31" i="1"/>
  <c r="AE31" i="1" s="1"/>
  <c r="AB31" i="1"/>
  <c r="AD31" i="1" s="1"/>
  <c r="AC30" i="1"/>
  <c r="AE30" i="1" s="1"/>
  <c r="AB30" i="1"/>
  <c r="AD30" i="1" s="1"/>
  <c r="AC29" i="1"/>
  <c r="AE29" i="1" s="1"/>
  <c r="AW29" i="1" s="1"/>
  <c r="AB29" i="1"/>
  <c r="AD29" i="1" s="1"/>
  <c r="AC28" i="1"/>
  <c r="AE28" i="1" s="1"/>
  <c r="AW28" i="1" s="1"/>
  <c r="AB28" i="1"/>
  <c r="AD28" i="1" s="1"/>
  <c r="AS27" i="1"/>
  <c r="AR27" i="1"/>
  <c r="AP27" i="1"/>
  <c r="AO27" i="1"/>
  <c r="AC27" i="1"/>
  <c r="AE27" i="1" s="1"/>
  <c r="AB27" i="1"/>
  <c r="AD27" i="1" s="1"/>
  <c r="AO26" i="1"/>
  <c r="AC26" i="1"/>
  <c r="AE26" i="1" s="1"/>
  <c r="AB26" i="1"/>
  <c r="AD26" i="1" s="1"/>
  <c r="AC25" i="1"/>
  <c r="AE25" i="1" s="1"/>
  <c r="AW25" i="1" s="1"/>
  <c r="AB25" i="1"/>
  <c r="AD25" i="1" s="1"/>
  <c r="AV25" i="1" s="1"/>
  <c r="AC24" i="1"/>
  <c r="AE24" i="1" s="1"/>
  <c r="AW24" i="1" s="1"/>
  <c r="AB24" i="1"/>
  <c r="AD24" i="1" s="1"/>
  <c r="AV24" i="1" s="1"/>
  <c r="AP23" i="1"/>
  <c r="AO23" i="1"/>
  <c r="AC23" i="1"/>
  <c r="AE23" i="1" s="1"/>
  <c r="AW23" i="1" s="1"/>
  <c r="AB23" i="1"/>
  <c r="AD23" i="1" s="1"/>
  <c r="AR22" i="1"/>
  <c r="AC22" i="1"/>
  <c r="AE22" i="1" s="1"/>
  <c r="AB22" i="1"/>
  <c r="AD22" i="1" s="1"/>
  <c r="AV22" i="1" s="1"/>
  <c r="AS21" i="1"/>
  <c r="AR21" i="1"/>
  <c r="AC21" i="1"/>
  <c r="AE21" i="1" s="1"/>
  <c r="AB21" i="1"/>
  <c r="AD21" i="1" s="1"/>
  <c r="AV21" i="1" s="1"/>
  <c r="AR20" i="1"/>
  <c r="AC20" i="1"/>
  <c r="AE20" i="1" s="1"/>
  <c r="AB20" i="1"/>
  <c r="AD20" i="1" s="1"/>
  <c r="AC19" i="1"/>
  <c r="AE19" i="1" s="1"/>
  <c r="AW19" i="1" s="1"/>
  <c r="AB19" i="1"/>
  <c r="AD19" i="1" s="1"/>
  <c r="AV19" i="1" s="1"/>
  <c r="AC18" i="1"/>
  <c r="AE18" i="1" s="1"/>
  <c r="AW18" i="1" s="1"/>
  <c r="AB18" i="1"/>
  <c r="AD18" i="1" s="1"/>
  <c r="AV18" i="1" s="1"/>
  <c r="AC17" i="1"/>
  <c r="AE17" i="1" s="1"/>
  <c r="AW17" i="1" s="1"/>
  <c r="AB17" i="1"/>
  <c r="AD17" i="1" s="1"/>
  <c r="AV17" i="1" s="1"/>
  <c r="AC16" i="1"/>
  <c r="AE16" i="1" s="1"/>
  <c r="AW16" i="1" s="1"/>
  <c r="AB16" i="1"/>
  <c r="AD16" i="1" s="1"/>
  <c r="AV16" i="1" s="1"/>
  <c r="AJ15" i="1"/>
  <c r="AC15" i="1"/>
  <c r="AE15" i="1" s="1"/>
  <c r="AW15" i="1" s="1"/>
  <c r="AB15" i="1"/>
  <c r="AD15" i="1" s="1"/>
  <c r="AK14" i="1"/>
  <c r="AJ14" i="1"/>
  <c r="AC14" i="1"/>
  <c r="AE14" i="1" s="1"/>
  <c r="AW14" i="1" s="1"/>
  <c r="AB14" i="1"/>
  <c r="AD14" i="1" s="1"/>
  <c r="AK13" i="1"/>
  <c r="AJ13" i="1"/>
  <c r="AC13" i="1"/>
  <c r="AE13" i="1" s="1"/>
  <c r="AW13" i="1" s="1"/>
  <c r="AB13" i="1"/>
  <c r="AD13" i="1" s="1"/>
  <c r="AC12" i="1"/>
  <c r="AE12" i="1" s="1"/>
  <c r="AW12" i="1" s="1"/>
  <c r="AB12" i="1"/>
  <c r="AD12" i="1" s="1"/>
  <c r="AV12" i="1" s="1"/>
  <c r="AC11" i="1"/>
  <c r="AE11" i="1" s="1"/>
  <c r="AW11" i="1" s="1"/>
  <c r="AB11" i="1"/>
  <c r="AD11" i="1" s="1"/>
  <c r="AV11" i="1" s="1"/>
  <c r="AC10" i="1"/>
  <c r="AE10" i="1" s="1"/>
  <c r="AW10" i="1" s="1"/>
  <c r="AB10" i="1"/>
  <c r="AD10" i="1" s="1"/>
  <c r="AC9" i="1"/>
  <c r="AB9" i="1"/>
  <c r="AC8" i="1"/>
  <c r="AE8" i="1" s="1"/>
  <c r="AW8" i="1" s="1"/>
  <c r="AB8" i="1"/>
  <c r="AD8" i="1" s="1"/>
  <c r="H107" i="27" l="1"/>
  <c r="D76" i="27" s="1"/>
  <c r="L100" i="14"/>
  <c r="S136" i="14"/>
  <c r="N113" i="14" s="1"/>
  <c r="AN261" i="1" s="1"/>
  <c r="U297" i="11"/>
  <c r="K297" i="11"/>
  <c r="AE288" i="11"/>
  <c r="K237" i="11" s="1"/>
  <c r="AK215" i="1" s="1"/>
  <c r="AF296" i="11"/>
  <c r="M245" i="11" s="1"/>
  <c r="AN256" i="1" s="1"/>
  <c r="AW256" i="1" s="1"/>
  <c r="Q366" i="4"/>
  <c r="N87" i="13"/>
  <c r="AN353" i="1" s="1"/>
  <c r="N93" i="13"/>
  <c r="AN128" i="1" s="1"/>
  <c r="H133" i="14"/>
  <c r="H147" i="14" s="1"/>
  <c r="O147" i="14"/>
  <c r="S142" i="14"/>
  <c r="N119" i="14" s="1"/>
  <c r="AN319" i="1" s="1"/>
  <c r="L206" i="19"/>
  <c r="H97" i="27"/>
  <c r="D66" i="27" s="1"/>
  <c r="G108" i="27"/>
  <c r="C77" i="27" s="1"/>
  <c r="G102" i="27"/>
  <c r="C71" i="27" s="1"/>
  <c r="R366" i="4"/>
  <c r="S138" i="14"/>
  <c r="N115" i="14" s="1"/>
  <c r="AN283" i="1" s="1"/>
  <c r="AW283" i="1" s="1"/>
  <c r="W297" i="11"/>
  <c r="AE270" i="11"/>
  <c r="K219" i="11" s="1"/>
  <c r="AK224" i="1" s="1"/>
  <c r="AC318" i="4"/>
  <c r="O237" i="4" s="1"/>
  <c r="AN62" i="1" s="1"/>
  <c r="U909" i="35"/>
  <c r="Y297" i="11"/>
  <c r="AE272" i="11"/>
  <c r="K221" i="11" s="1"/>
  <c r="AK234" i="1" s="1"/>
  <c r="AC316" i="4"/>
  <c r="O235" i="4" s="1"/>
  <c r="AN54" i="1" s="1"/>
  <c r="I147" i="14"/>
  <c r="G107" i="22"/>
  <c r="G99" i="27"/>
  <c r="C68" i="27" s="1"/>
  <c r="G104" i="27"/>
  <c r="C73" i="27" s="1"/>
  <c r="O191" i="11"/>
  <c r="O187" i="11" s="1"/>
  <c r="AF272" i="11"/>
  <c r="M221" i="11" s="1"/>
  <c r="AN234" i="1" s="1"/>
  <c r="AW234" i="1" s="1"/>
  <c r="AE279" i="11"/>
  <c r="K228" i="11" s="1"/>
  <c r="AK219" i="1" s="1"/>
  <c r="AE295" i="11"/>
  <c r="K244" i="11" s="1"/>
  <c r="AK251" i="1" s="1"/>
  <c r="T82" i="4"/>
  <c r="AC313" i="4"/>
  <c r="O232" i="4" s="1"/>
  <c r="AN42" i="1" s="1"/>
  <c r="AB297" i="11"/>
  <c r="R108" i="13"/>
  <c r="L81" i="13" s="1"/>
  <c r="AK127" i="1" s="1"/>
  <c r="AE258" i="11"/>
  <c r="K208" i="11" s="1"/>
  <c r="AA297" i="11"/>
  <c r="AE275" i="11"/>
  <c r="K224" i="11" s="1"/>
  <c r="AK249" i="1" s="1"/>
  <c r="AF279" i="11"/>
  <c r="M228" i="11" s="1"/>
  <c r="AN219" i="1" s="1"/>
  <c r="AF295" i="11"/>
  <c r="M244" i="11" s="1"/>
  <c r="AN251" i="1" s="1"/>
  <c r="AW251" i="1" s="1"/>
  <c r="AC314" i="4"/>
  <c r="L77" i="13"/>
  <c r="AK361" i="1" s="1"/>
  <c r="L80" i="13"/>
  <c r="AK364" i="1" s="1"/>
  <c r="AV364" i="1" s="1"/>
  <c r="AY364" i="1" s="1"/>
  <c r="N85" i="13"/>
  <c r="AN351" i="1" s="1"/>
  <c r="S143" i="14"/>
  <c r="N120" i="14" s="1"/>
  <c r="AN328" i="1" s="1"/>
  <c r="AW328" i="1" s="1"/>
  <c r="U908" i="41"/>
  <c r="Q779" i="41"/>
  <c r="T909" i="35"/>
  <c r="H101" i="27"/>
  <c r="D70" i="27" s="1"/>
  <c r="E34" i="27"/>
  <c r="D45" i="27"/>
  <c r="C109" i="27" s="1"/>
  <c r="E52" i="27"/>
  <c r="D116" i="27" s="1"/>
  <c r="E51" i="27"/>
  <c r="D115" i="27" s="1"/>
  <c r="E49" i="27"/>
  <c r="D113" i="27" s="1"/>
  <c r="D36" i="27"/>
  <c r="D47" i="27"/>
  <c r="C111" i="27" s="1"/>
  <c r="D35" i="27"/>
  <c r="C98" i="27" s="1"/>
  <c r="P320" i="4"/>
  <c r="AC320" i="4" s="1"/>
  <c r="O239" i="4" s="1"/>
  <c r="AN205" i="1" s="1"/>
  <c r="U84" i="4"/>
  <c r="P366" i="4"/>
  <c r="K908" i="41"/>
  <c r="AP113" i="1"/>
  <c r="M107" i="11"/>
  <c r="AF260" i="11"/>
  <c r="M210" i="11" s="1"/>
  <c r="AN199" i="1" s="1"/>
  <c r="AB303" i="4"/>
  <c r="M222" i="4" s="1"/>
  <c r="AK53" i="1" s="1"/>
  <c r="J124" i="13"/>
  <c r="R133" i="14"/>
  <c r="L110" i="14" s="1"/>
  <c r="AK369" i="1" s="1"/>
  <c r="S140" i="14"/>
  <c r="N117" i="14" s="1"/>
  <c r="AN301" i="1" s="1"/>
  <c r="AW301" i="1" s="1"/>
  <c r="G125" i="30"/>
  <c r="C94" i="30" s="1"/>
  <c r="G105" i="27"/>
  <c r="C74" i="27" s="1"/>
  <c r="V366" i="4"/>
  <c r="W366" i="4"/>
  <c r="K124" i="13"/>
  <c r="J206" i="19"/>
  <c r="AP26" i="1" s="1"/>
  <c r="L779" i="41"/>
  <c r="L908" i="41" s="1"/>
  <c r="N908" i="41"/>
  <c r="AE257" i="11"/>
  <c r="K207" i="11" s="1"/>
  <c r="AK15" i="1" s="1"/>
  <c r="AB305" i="4"/>
  <c r="M224" i="4" s="1"/>
  <c r="AK65" i="1" s="1"/>
  <c r="AB323" i="4"/>
  <c r="M242" i="4" s="1"/>
  <c r="AK39" i="1" s="1"/>
  <c r="Q246" i="41"/>
  <c r="Q908" i="41" s="1"/>
  <c r="G103" i="27"/>
  <c r="C72" i="27" s="1"/>
  <c r="S119" i="13"/>
  <c r="N92" i="13" s="1"/>
  <c r="AN125" i="1" s="1"/>
  <c r="S137" i="14"/>
  <c r="N114" i="14" s="1"/>
  <c r="AN272" i="1" s="1"/>
  <c r="AW272" i="1" s="1"/>
  <c r="G126" i="30"/>
  <c r="C95" i="30" s="1"/>
  <c r="AK30" i="1" s="1"/>
  <c r="AV30" i="1" s="1"/>
  <c r="G106" i="27"/>
  <c r="C75" i="27" s="1"/>
  <c r="J21" i="39"/>
  <c r="I23" i="39" s="1"/>
  <c r="AE260" i="11"/>
  <c r="K210" i="11" s="1"/>
  <c r="AK199" i="1" s="1"/>
  <c r="AK145" i="1"/>
  <c r="AF266" i="11"/>
  <c r="M246" i="11" s="1"/>
  <c r="AN166" i="1" s="1"/>
  <c r="AB302" i="4"/>
  <c r="M221" i="4" s="1"/>
  <c r="AK49" i="1" s="1"/>
  <c r="AV49" i="1" s="1"/>
  <c r="AB304" i="4"/>
  <c r="M223" i="4" s="1"/>
  <c r="AK57" i="1" s="1"/>
  <c r="AV57" i="1" s="1"/>
  <c r="AC315" i="4"/>
  <c r="O234" i="4" s="1"/>
  <c r="AN50" i="1" s="1"/>
  <c r="X366" i="4"/>
  <c r="S139" i="14"/>
  <c r="N116" i="14" s="1"/>
  <c r="AN292" i="1" s="1"/>
  <c r="O320" i="4"/>
  <c r="AB320" i="4" s="1"/>
  <c r="M239" i="4" s="1"/>
  <c r="AK206" i="1" s="1"/>
  <c r="O124" i="13"/>
  <c r="AF265" i="11"/>
  <c r="M215" i="11" s="1"/>
  <c r="AN203" i="1" s="1"/>
  <c r="R106" i="13"/>
  <c r="L79" i="13" s="1"/>
  <c r="AK363" i="1" s="1"/>
  <c r="S118" i="13"/>
  <c r="N91" i="13" s="1"/>
  <c r="AN126" i="1" s="1"/>
  <c r="AW126" i="1" s="1"/>
  <c r="S146" i="14"/>
  <c r="N123" i="14" s="1"/>
  <c r="AN167" i="1" s="1"/>
  <c r="AW167" i="1" s="1"/>
  <c r="D48" i="27"/>
  <c r="C112" i="27" s="1"/>
  <c r="E60" i="30"/>
  <c r="D141" i="30" s="1"/>
  <c r="D55" i="30"/>
  <c r="C144" i="30" s="1"/>
  <c r="AS53" i="1"/>
  <c r="E59" i="23"/>
  <c r="G55" i="23" s="1"/>
  <c r="G150" i="23" s="1"/>
  <c r="G219" i="23" s="1"/>
  <c r="E63" i="18"/>
  <c r="G56" i="18" s="1"/>
  <c r="G152" i="18" s="1"/>
  <c r="D47" i="30"/>
  <c r="E46" i="30"/>
  <c r="D127" i="30" s="1"/>
  <c r="G37" i="22"/>
  <c r="C111" i="22" s="1"/>
  <c r="L284" i="19"/>
  <c r="AS179" i="1" s="1"/>
  <c r="AW179" i="1" s="1"/>
  <c r="BA179" i="1" s="1"/>
  <c r="L190" i="19"/>
  <c r="L147" i="14"/>
  <c r="R134" i="14"/>
  <c r="L111" i="14" s="1"/>
  <c r="AK370" i="1" s="1"/>
  <c r="AV370" i="1" s="1"/>
  <c r="AY370" i="1" s="1"/>
  <c r="K147" i="14"/>
  <c r="L76" i="14"/>
  <c r="G147" i="14"/>
  <c r="S145" i="14"/>
  <c r="F145" i="14"/>
  <c r="R115" i="13"/>
  <c r="L88" i="13" s="1"/>
  <c r="AK350" i="1" s="1"/>
  <c r="Q124" i="13"/>
  <c r="N124" i="13"/>
  <c r="S116" i="13"/>
  <c r="N89" i="13" s="1"/>
  <c r="AN365" i="1" s="1"/>
  <c r="L124" i="13"/>
  <c r="S122" i="13"/>
  <c r="N95" i="13" s="1"/>
  <c r="AN130" i="1" s="1"/>
  <c r="AW130" i="1" s="1"/>
  <c r="N94" i="13"/>
  <c r="L78" i="13"/>
  <c r="L57" i="12"/>
  <c r="N50" i="12"/>
  <c r="AN349" i="1" s="1"/>
  <c r="AW349" i="1" s="1"/>
  <c r="AY349" i="1" s="1"/>
  <c r="M321" i="4"/>
  <c r="L321" i="4"/>
  <c r="AC343" i="4"/>
  <c r="O262" i="4" s="1"/>
  <c r="AN346" i="1" s="1"/>
  <c r="AW346" i="1" s="1"/>
  <c r="S310" i="4"/>
  <c r="AB310" i="4" s="1"/>
  <c r="O233" i="4"/>
  <c r="S366" i="4"/>
  <c r="T366" i="4"/>
  <c r="I47" i="3"/>
  <c r="L71" i="3"/>
  <c r="N71" i="3"/>
  <c r="AN260" i="1"/>
  <c r="L71" i="5"/>
  <c r="J71" i="5"/>
  <c r="AK260" i="1"/>
  <c r="X258" i="11"/>
  <c r="J59" i="6"/>
  <c r="J61" i="6"/>
  <c r="L61" i="6"/>
  <c r="N141" i="2"/>
  <c r="J91" i="2"/>
  <c r="L141" i="2"/>
  <c r="AH200" i="1"/>
  <c r="AH383" i="1" s="1"/>
  <c r="AP80" i="1"/>
  <c r="AS156" i="1"/>
  <c r="AS149" i="1"/>
  <c r="E59" i="24"/>
  <c r="G45" i="24" s="1"/>
  <c r="E145" i="24" s="1"/>
  <c r="G210" i="24" s="1"/>
  <c r="AS57" i="1"/>
  <c r="AW57" i="1" s="1"/>
  <c r="E211" i="23"/>
  <c r="AP260" i="1"/>
  <c r="AP350" i="1"/>
  <c r="G98" i="37"/>
  <c r="H98" i="37"/>
  <c r="D78" i="37" s="1"/>
  <c r="D186" i="43"/>
  <c r="E186" i="43" s="1"/>
  <c r="H186" i="43" s="1"/>
  <c r="D133" i="43" s="1"/>
  <c r="AN159" i="1" s="1"/>
  <c r="AW159" i="1" s="1"/>
  <c r="D185" i="43"/>
  <c r="E185" i="43" s="1"/>
  <c r="H185" i="43" s="1"/>
  <c r="D132" i="43" s="1"/>
  <c r="AN152" i="1" s="1"/>
  <c r="AW152" i="1" s="1"/>
  <c r="AZ152" i="1" s="1"/>
  <c r="E174" i="43"/>
  <c r="E178" i="43"/>
  <c r="E182" i="43"/>
  <c r="E187" i="43"/>
  <c r="G187" i="43" s="1"/>
  <c r="C134" i="43" s="1"/>
  <c r="E25" i="43"/>
  <c r="C188" i="43"/>
  <c r="E188" i="43" s="1"/>
  <c r="H188" i="43" s="1"/>
  <c r="D135" i="43" s="1"/>
  <c r="E168" i="43"/>
  <c r="E172" i="43"/>
  <c r="E215" i="24"/>
  <c r="AS162" i="1"/>
  <c r="AS147" i="1"/>
  <c r="AP95" i="1"/>
  <c r="AP82" i="1"/>
  <c r="AP74" i="1"/>
  <c r="AS112" i="1"/>
  <c r="AW112" i="1" s="1"/>
  <c r="AS132" i="1"/>
  <c r="AS203" i="1"/>
  <c r="AW203" i="1" s="1"/>
  <c r="AS213" i="1"/>
  <c r="AW213" i="1" s="1"/>
  <c r="AS45" i="1"/>
  <c r="AW45" i="1" s="1"/>
  <c r="G53" i="23"/>
  <c r="G148" i="23" s="1"/>
  <c r="G217" i="23" s="1"/>
  <c r="G43" i="23"/>
  <c r="E141" i="23" s="1"/>
  <c r="G204" i="23" s="1"/>
  <c r="G47" i="23"/>
  <c r="E145" i="23" s="1"/>
  <c r="G208" i="23" s="1"/>
  <c r="G39" i="23"/>
  <c r="E137" i="23" s="1"/>
  <c r="G200" i="23" s="1"/>
  <c r="G46" i="23"/>
  <c r="E144" i="23" s="1"/>
  <c r="G207" i="23" s="1"/>
  <c r="G45" i="23"/>
  <c r="E143" i="23" s="1"/>
  <c r="G206" i="23" s="1"/>
  <c r="G54" i="23"/>
  <c r="G149" i="23" s="1"/>
  <c r="G218" i="23" s="1"/>
  <c r="G44" i="23"/>
  <c r="E142" i="23" s="1"/>
  <c r="G205" i="23" s="1"/>
  <c r="G52" i="23"/>
  <c r="G147" i="23" s="1"/>
  <c r="G42" i="23"/>
  <c r="E140" i="23" s="1"/>
  <c r="G203" i="23" s="1"/>
  <c r="E63" i="23"/>
  <c r="G49" i="23"/>
  <c r="E66" i="23" s="1"/>
  <c r="G40" i="23"/>
  <c r="E138" i="23" s="1"/>
  <c r="G201" i="23" s="1"/>
  <c r="G57" i="23"/>
  <c r="G120" i="23"/>
  <c r="G121" i="23" s="1"/>
  <c r="AP37" i="1"/>
  <c r="AV37" i="1" s="1"/>
  <c r="AS133" i="1"/>
  <c r="AW133" i="1" s="1"/>
  <c r="AS165" i="1"/>
  <c r="AW165" i="1" s="1"/>
  <c r="AS131" i="1"/>
  <c r="AW131" i="1" s="1"/>
  <c r="AS98" i="1"/>
  <c r="AW98" i="1" s="1"/>
  <c r="BA98" i="1" s="1"/>
  <c r="AS359" i="1"/>
  <c r="AW359" i="1" s="1"/>
  <c r="AS101" i="1"/>
  <c r="AW101" i="1" s="1"/>
  <c r="AP360" i="1"/>
  <c r="AV360" i="1" s="1"/>
  <c r="BA144" i="1"/>
  <c r="AW352" i="1"/>
  <c r="AX352" i="1" s="1"/>
  <c r="AR383" i="1"/>
  <c r="AM383" i="1"/>
  <c r="AY352" i="1"/>
  <c r="AD9" i="1"/>
  <c r="AB383" i="1"/>
  <c r="AI383" i="1"/>
  <c r="AJ383" i="1"/>
  <c r="AE9" i="1"/>
  <c r="AC383" i="1"/>
  <c r="AV293" i="1"/>
  <c r="AO383" i="1"/>
  <c r="AS140" i="1"/>
  <c r="G57" i="24"/>
  <c r="G47" i="24"/>
  <c r="E147" i="24" s="1"/>
  <c r="G212" i="24" s="1"/>
  <c r="E63" i="24"/>
  <c r="G54" i="24"/>
  <c r="G151" i="24" s="1"/>
  <c r="G222" i="24" s="1"/>
  <c r="G44" i="24"/>
  <c r="E144" i="24" s="1"/>
  <c r="G209" i="24" s="1"/>
  <c r="G49" i="24"/>
  <c r="G59" i="24" s="1"/>
  <c r="G52" i="24"/>
  <c r="G149" i="24" s="1"/>
  <c r="G41" i="24"/>
  <c r="E141" i="24" s="1"/>
  <c r="AP29" i="1"/>
  <c r="AV29" i="1" s="1"/>
  <c r="AZ29" i="1" s="1"/>
  <c r="AP88" i="1"/>
  <c r="G122" i="24"/>
  <c r="G123" i="24" s="1"/>
  <c r="AP33" i="1"/>
  <c r="AV33" i="1" s="1"/>
  <c r="AP20" i="1"/>
  <c r="AV20" i="1" s="1"/>
  <c r="AP8" i="1"/>
  <c r="AP10" i="1"/>
  <c r="AV10" i="1" s="1"/>
  <c r="BA10" i="1" s="1"/>
  <c r="AP54" i="1"/>
  <c r="AV54" i="1" s="1"/>
  <c r="AP50" i="1"/>
  <c r="AV50" i="1" s="1"/>
  <c r="AP42" i="1"/>
  <c r="AV42" i="1" s="1"/>
  <c r="E216" i="18"/>
  <c r="AP28" i="1"/>
  <c r="G59" i="18"/>
  <c r="G155" i="18" s="1"/>
  <c r="G224" i="18" s="1"/>
  <c r="AV173" i="1"/>
  <c r="AZ176" i="1" s="1"/>
  <c r="AW190" i="1"/>
  <c r="AZ190" i="1" s="1"/>
  <c r="AV58" i="1"/>
  <c r="AV64" i="1"/>
  <c r="AW360" i="1"/>
  <c r="D28" i="29"/>
  <c r="C30" i="29"/>
  <c r="AA243" i="15"/>
  <c r="AC243" i="15" s="1"/>
  <c r="N213" i="15" s="1"/>
  <c r="AN375" i="1" s="1"/>
  <c r="AW375" i="1" s="1"/>
  <c r="C89" i="30"/>
  <c r="D89" i="30" s="1"/>
  <c r="J50" i="15"/>
  <c r="G244" i="15" s="1"/>
  <c r="G253" i="15" s="1"/>
  <c r="AA242" i="15"/>
  <c r="AC242" i="15" s="1"/>
  <c r="N212" i="15" s="1"/>
  <c r="AN374" i="1" s="1"/>
  <c r="AW374" i="1" s="1"/>
  <c r="N253" i="15"/>
  <c r="L253" i="15"/>
  <c r="AC251" i="15"/>
  <c r="N219" i="15" s="1"/>
  <c r="AN135" i="1" s="1"/>
  <c r="AW135" i="1" s="1"/>
  <c r="AB251" i="15"/>
  <c r="L219" i="15" s="1"/>
  <c r="AK135" i="1" s="1"/>
  <c r="AV135" i="1" s="1"/>
  <c r="AB250" i="15"/>
  <c r="L218" i="15" s="1"/>
  <c r="AK134" i="1" s="1"/>
  <c r="AV134" i="1" s="1"/>
  <c r="AC250" i="15"/>
  <c r="N218" i="15" s="1"/>
  <c r="AN134" i="1" s="1"/>
  <c r="AW134" i="1" s="1"/>
  <c r="X253" i="15"/>
  <c r="J253" i="15"/>
  <c r="AB246" i="15"/>
  <c r="L216" i="15" s="1"/>
  <c r="AK75" i="1" s="1"/>
  <c r="AV75" i="1" s="1"/>
  <c r="AC246" i="15"/>
  <c r="N216" i="15" s="1"/>
  <c r="F233" i="15"/>
  <c r="F253" i="15" s="1"/>
  <c r="AA237" i="15"/>
  <c r="AB237" i="15" s="1"/>
  <c r="L207" i="15" s="1"/>
  <c r="AK301" i="1" s="1"/>
  <c r="AV301" i="1" s="1"/>
  <c r="AA245" i="15"/>
  <c r="AB247" i="15"/>
  <c r="L217" i="15" s="1"/>
  <c r="L36" i="15"/>
  <c r="H244" i="15" s="1"/>
  <c r="AA241" i="15"/>
  <c r="AC241" i="15" s="1"/>
  <c r="N211" i="15" s="1"/>
  <c r="AN338" i="1" s="1"/>
  <c r="AW338" i="1" s="1"/>
  <c r="AA240" i="15"/>
  <c r="AB240" i="15" s="1"/>
  <c r="L210" i="15" s="1"/>
  <c r="AK328" i="1" s="1"/>
  <c r="AV328" i="1" s="1"/>
  <c r="AW292" i="1"/>
  <c r="AW319" i="1"/>
  <c r="AZ11" i="1"/>
  <c r="AV52" i="1"/>
  <c r="AV112" i="1"/>
  <c r="AV219" i="1"/>
  <c r="AW116" i="1"/>
  <c r="BA116" i="1" s="1"/>
  <c r="AV264" i="1"/>
  <c r="AW55" i="1"/>
  <c r="AW67" i="1"/>
  <c r="AV133" i="1"/>
  <c r="AV199" i="1"/>
  <c r="AV131" i="1"/>
  <c r="AW128" i="1"/>
  <c r="AW127" i="1"/>
  <c r="AV355" i="1"/>
  <c r="AX355" i="1" s="1"/>
  <c r="AW47" i="1"/>
  <c r="AZ111" i="1"/>
  <c r="AV43" i="1"/>
  <c r="AV46" i="1"/>
  <c r="AW27" i="1"/>
  <c r="AV61" i="1"/>
  <c r="AW121" i="1"/>
  <c r="AZ121" i="1" s="1"/>
  <c r="AW185" i="1"/>
  <c r="AZ185" i="1" s="1"/>
  <c r="AW187" i="1"/>
  <c r="BA187" i="1" s="1"/>
  <c r="AW189" i="1"/>
  <c r="BA189" i="1" s="1"/>
  <c r="AV202" i="1"/>
  <c r="AW215" i="1"/>
  <c r="AV239" i="1"/>
  <c r="AV285" i="1"/>
  <c r="AV36" i="1"/>
  <c r="AV26" i="1"/>
  <c r="AW22" i="1"/>
  <c r="AV38" i="1"/>
  <c r="AW42" i="1"/>
  <c r="AV214" i="1"/>
  <c r="AW183" i="1"/>
  <c r="BA183" i="1" s="1"/>
  <c r="AW207" i="1"/>
  <c r="AW337" i="1"/>
  <c r="AV327" i="1"/>
  <c r="AV234" i="1"/>
  <c r="AV303" i="1"/>
  <c r="AV339" i="1"/>
  <c r="AV56" i="1"/>
  <c r="AW119" i="1"/>
  <c r="AZ119" i="1" s="1"/>
  <c r="AX197" i="1"/>
  <c r="AV369" i="1"/>
  <c r="AY369" i="1" s="1"/>
  <c r="BA24" i="1"/>
  <c r="AV48" i="1"/>
  <c r="AW63" i="1"/>
  <c r="AV65" i="1"/>
  <c r="AV196" i="1"/>
  <c r="AW199" i="1"/>
  <c r="AW239" i="1"/>
  <c r="AV250" i="1"/>
  <c r="AV311" i="1"/>
  <c r="AV367" i="1"/>
  <c r="AY367" i="1" s="1"/>
  <c r="AV51" i="1"/>
  <c r="AV73" i="1"/>
  <c r="AV209" i="1"/>
  <c r="AY209" i="1" s="1"/>
  <c r="AV246" i="1"/>
  <c r="AV249" i="1"/>
  <c r="AW201" i="1"/>
  <c r="AW204" i="1"/>
  <c r="AV15" i="1"/>
  <c r="AW30" i="1"/>
  <c r="AW37" i="1"/>
  <c r="AV53" i="1"/>
  <c r="AV55" i="1"/>
  <c r="AV59" i="1"/>
  <c r="AV102" i="1"/>
  <c r="AW184" i="1"/>
  <c r="AZ184" i="1" s="1"/>
  <c r="AV229" i="1"/>
  <c r="AV309" i="1"/>
  <c r="AA249" i="15"/>
  <c r="R239" i="15"/>
  <c r="AA239" i="15" s="1"/>
  <c r="R238" i="15"/>
  <c r="AA238" i="15" s="1"/>
  <c r="AC238" i="15" s="1"/>
  <c r="N208" i="15" s="1"/>
  <c r="AN311" i="1" s="1"/>
  <c r="AW311" i="1" s="1"/>
  <c r="R236" i="15"/>
  <c r="AA236" i="15" s="1"/>
  <c r="AB236" i="15" s="1"/>
  <c r="L206" i="15" s="1"/>
  <c r="R235" i="15"/>
  <c r="AA235" i="15" s="1"/>
  <c r="AC235" i="15" s="1"/>
  <c r="N205" i="15" s="1"/>
  <c r="AN284" i="1" s="1"/>
  <c r="AW284" i="1" s="1"/>
  <c r="R234" i="15"/>
  <c r="AA234" i="15" s="1"/>
  <c r="AC234" i="15" s="1"/>
  <c r="N204" i="15" s="1"/>
  <c r="AN273" i="1" s="1"/>
  <c r="AW273" i="1" s="1"/>
  <c r="E156" i="43"/>
  <c r="E160" i="43"/>
  <c r="G160" i="43" s="1"/>
  <c r="C107" i="43" s="1"/>
  <c r="E164" i="43"/>
  <c r="H164" i="43" s="1"/>
  <c r="D111" i="43" s="1"/>
  <c r="E166" i="43"/>
  <c r="E170" i="43"/>
  <c r="E158" i="43"/>
  <c r="G158" i="43" s="1"/>
  <c r="C105" i="43" s="1"/>
  <c r="E162" i="43"/>
  <c r="G162" i="43" s="1"/>
  <c r="C109" i="43" s="1"/>
  <c r="E159" i="43"/>
  <c r="H159" i="43" s="1"/>
  <c r="D106" i="43" s="1"/>
  <c r="E163" i="43"/>
  <c r="H163" i="43" s="1"/>
  <c r="D110" i="43" s="1"/>
  <c r="E165" i="43"/>
  <c r="H165" i="43" s="1"/>
  <c r="D112" i="43" s="1"/>
  <c r="E157" i="43"/>
  <c r="G157" i="43" s="1"/>
  <c r="C104" i="43" s="1"/>
  <c r="E161" i="43"/>
  <c r="G161" i="43" s="1"/>
  <c r="C108" i="43" s="1"/>
  <c r="E181" i="43"/>
  <c r="E175" i="43"/>
  <c r="E179" i="43"/>
  <c r="E177" i="43"/>
  <c r="E176" i="43"/>
  <c r="E180" i="43"/>
  <c r="E169" i="43"/>
  <c r="E173" i="43"/>
  <c r="E167" i="43"/>
  <c r="E171" i="43"/>
  <c r="E155" i="43"/>
  <c r="G155" i="43" s="1"/>
  <c r="C102" i="43" s="1"/>
  <c r="H183" i="43"/>
  <c r="D130" i="43" s="1"/>
  <c r="G183" i="43"/>
  <c r="C130" i="43" s="1"/>
  <c r="AK85" i="1" s="1"/>
  <c r="AV85" i="1" s="1"/>
  <c r="H184" i="43"/>
  <c r="D131" i="43" s="1"/>
  <c r="G184" i="43"/>
  <c r="C131" i="43" s="1"/>
  <c r="AK91" i="1" s="1"/>
  <c r="AV91" i="1" s="1"/>
  <c r="AW65" i="1"/>
  <c r="AV103" i="1"/>
  <c r="AW118" i="1"/>
  <c r="BA118" i="1" s="1"/>
  <c r="AW188" i="1"/>
  <c r="BA188" i="1" s="1"/>
  <c r="AW33" i="1"/>
  <c r="AV44" i="1"/>
  <c r="AW61" i="1"/>
  <c r="BA109" i="1"/>
  <c r="AW198" i="1"/>
  <c r="AV225" i="1"/>
  <c r="AW249" i="1"/>
  <c r="AV329" i="1"/>
  <c r="AW191" i="1"/>
  <c r="BA191" i="1" s="1"/>
  <c r="AV201" i="1"/>
  <c r="AW240" i="1"/>
  <c r="AW21" i="1"/>
  <c r="AV207" i="1"/>
  <c r="AW226" i="1"/>
  <c r="AV240" i="1"/>
  <c r="AV14" i="1"/>
  <c r="AV113" i="1"/>
  <c r="AV206" i="1"/>
  <c r="AV244" i="1"/>
  <c r="AW51" i="1"/>
  <c r="BA108" i="1"/>
  <c r="AV127" i="1"/>
  <c r="AV130" i="1"/>
  <c r="AW200" i="1"/>
  <c r="AV205" i="1"/>
  <c r="AV241" i="1"/>
  <c r="AV321" i="1"/>
  <c r="AV245" i="1"/>
  <c r="AV60" i="1"/>
  <c r="AW69" i="1"/>
  <c r="AW73" i="1"/>
  <c r="BA105" i="1"/>
  <c r="AZ18" i="1"/>
  <c r="AW34" i="1"/>
  <c r="AV165" i="1"/>
  <c r="AV215" i="1"/>
  <c r="AV231" i="1"/>
  <c r="AV274" i="1"/>
  <c r="AW310" i="1"/>
  <c r="AV320" i="1"/>
  <c r="BA123" i="1"/>
  <c r="AZ123" i="1"/>
  <c r="AZ144" i="1"/>
  <c r="BA11" i="1"/>
  <c r="AV23" i="1"/>
  <c r="BA23" i="1" s="1"/>
  <c r="AV39" i="1"/>
  <c r="AW54" i="1"/>
  <c r="AV68" i="1"/>
  <c r="AZ105" i="1"/>
  <c r="AZ108" i="1"/>
  <c r="AW120" i="1"/>
  <c r="BA120" i="1" s="1"/>
  <c r="AW59" i="1"/>
  <c r="AV63" i="1"/>
  <c r="AW117" i="1"/>
  <c r="AZ117" i="1" s="1"/>
  <c r="AW180" i="1"/>
  <c r="BA180" i="1" s="1"/>
  <c r="AW205" i="1"/>
  <c r="BA111" i="1"/>
  <c r="AV224" i="1"/>
  <c r="AV145" i="1"/>
  <c r="AY197" i="1"/>
  <c r="AV230" i="1"/>
  <c r="AW110" i="1"/>
  <c r="AZ110" i="1" s="1"/>
  <c r="AV69" i="1"/>
  <c r="AZ109" i="1"/>
  <c r="AW125" i="1"/>
  <c r="BA17" i="1"/>
  <c r="AZ17" i="1"/>
  <c r="AW20" i="1"/>
  <c r="AW53" i="1"/>
  <c r="AV251" i="1"/>
  <c r="AW236" i="1"/>
  <c r="AV363" i="1"/>
  <c r="AV35" i="1"/>
  <c r="BA35" i="1" s="1"/>
  <c r="AW49" i="1"/>
  <c r="AV62" i="1"/>
  <c r="AV128" i="1"/>
  <c r="AW166" i="1"/>
  <c r="AV210" i="1"/>
  <c r="AY210" i="1" s="1"/>
  <c r="AV218" i="1"/>
  <c r="AV256" i="1"/>
  <c r="AV273" i="1"/>
  <c r="AV124" i="1"/>
  <c r="AV114" i="1"/>
  <c r="AV129" i="1"/>
  <c r="AV236" i="1"/>
  <c r="AV40" i="1"/>
  <c r="AZ40" i="1" s="1"/>
  <c r="C74" i="22" s="1"/>
  <c r="AW122" i="1"/>
  <c r="BA122" i="1" s="1"/>
  <c r="AV125" i="1"/>
  <c r="AV126" i="1"/>
  <c r="AW182" i="1"/>
  <c r="BA182" i="1" s="1"/>
  <c r="AW186" i="1"/>
  <c r="BA186" i="1" s="1"/>
  <c r="AW196" i="1"/>
  <c r="AV221" i="1"/>
  <c r="AW224" i="1"/>
  <c r="AW350" i="1"/>
  <c r="AV359" i="1"/>
  <c r="AW366" i="1"/>
  <c r="AX366" i="1" s="1"/>
  <c r="AV376" i="1"/>
  <c r="AE388" i="1"/>
  <c r="AW115" i="1"/>
  <c r="BA115" i="1" s="1"/>
  <c r="AV13" i="1"/>
  <c r="AW58" i="1"/>
  <c r="AW66" i="1"/>
  <c r="AV70" i="1"/>
  <c r="AZ70" i="1" s="1"/>
  <c r="AW114" i="1"/>
  <c r="AW181" i="1"/>
  <c r="BA181" i="1" s="1"/>
  <c r="AV213" i="1"/>
  <c r="AW218" i="1"/>
  <c r="AW250" i="1"/>
  <c r="AV262" i="1"/>
  <c r="AV203" i="1"/>
  <c r="AW244" i="1"/>
  <c r="AW254" i="1"/>
  <c r="AV291" i="1"/>
  <c r="AV338" i="1"/>
  <c r="AW351" i="1"/>
  <c r="AY351" i="1" s="1"/>
  <c r="AV361" i="1"/>
  <c r="AY361" i="1" s="1"/>
  <c r="AV368" i="1"/>
  <c r="AY368" i="1" s="1"/>
  <c r="AW379" i="1"/>
  <c r="AW202" i="1"/>
  <c r="AV226" i="1"/>
  <c r="AW235" i="1"/>
  <c r="AW245" i="1"/>
  <c r="AV254" i="1"/>
  <c r="AV300" i="1"/>
  <c r="AV318" i="1"/>
  <c r="AW365" i="1"/>
  <c r="AY365" i="1" s="1"/>
  <c r="AW206" i="1"/>
  <c r="AV255" i="1"/>
  <c r="AW261" i="1"/>
  <c r="AV294" i="1"/>
  <c r="AV312" i="1"/>
  <c r="AV336" i="1"/>
  <c r="AW345" i="1"/>
  <c r="AV204" i="1"/>
  <c r="AW221" i="1"/>
  <c r="AW225" i="1"/>
  <c r="AV235" i="1"/>
  <c r="AV330" i="1"/>
  <c r="AW353" i="1"/>
  <c r="AY353" i="1" s="1"/>
  <c r="BA19" i="1"/>
  <c r="AZ19" i="1"/>
  <c r="BA41" i="1"/>
  <c r="AZ41" i="1"/>
  <c r="C66" i="22" s="1"/>
  <c r="BA12" i="1"/>
  <c r="AZ12" i="1"/>
  <c r="BA16" i="1"/>
  <c r="AZ16" i="1"/>
  <c r="AV47" i="1"/>
  <c r="AV27" i="1"/>
  <c r="AW38" i="1"/>
  <c r="AZ97" i="1"/>
  <c r="AW36" i="1"/>
  <c r="AV45" i="1"/>
  <c r="AV67" i="1"/>
  <c r="AW214" i="1"/>
  <c r="AZ25" i="1"/>
  <c r="AV198" i="1"/>
  <c r="BA25" i="1"/>
  <c r="AW50" i="1"/>
  <c r="AV66" i="1"/>
  <c r="BA100" i="1"/>
  <c r="AZ100" i="1"/>
  <c r="BA99" i="1"/>
  <c r="AZ99" i="1"/>
  <c r="BA18" i="1"/>
  <c r="AZ24" i="1"/>
  <c r="AW43" i="1"/>
  <c r="AW231" i="1"/>
  <c r="AW255" i="1"/>
  <c r="AW62" i="1"/>
  <c r="AV101" i="1"/>
  <c r="AV284" i="1"/>
  <c r="AW219" i="1"/>
  <c r="AW246" i="1"/>
  <c r="AV282" i="1"/>
  <c r="AW229" i="1"/>
  <c r="AW230" i="1"/>
  <c r="AW241" i="1"/>
  <c r="AV302" i="1"/>
  <c r="AW380" i="1"/>
  <c r="AV271" i="1"/>
  <c r="L61" i="37"/>
  <c r="D99" i="37" s="1"/>
  <c r="E99" i="37" s="1"/>
  <c r="E97" i="37"/>
  <c r="E92" i="37"/>
  <c r="G92" i="37" s="1"/>
  <c r="C72" i="37" s="1"/>
  <c r="E94" i="37"/>
  <c r="G94" i="37" s="1"/>
  <c r="C74" i="37" s="1"/>
  <c r="AK151" i="1" s="1"/>
  <c r="AV151" i="1" s="1"/>
  <c r="E93" i="37"/>
  <c r="G93" i="37" s="1"/>
  <c r="C73" i="37" s="1"/>
  <c r="AK90" i="1" s="1"/>
  <c r="AV90" i="1" s="1"/>
  <c r="E95" i="37"/>
  <c r="G95" i="37" s="1"/>
  <c r="L55" i="37"/>
  <c r="D145" i="30"/>
  <c r="E145" i="30" s="1"/>
  <c r="K55" i="37"/>
  <c r="E117" i="27"/>
  <c r="H117" i="27" s="1"/>
  <c r="D86" i="27" s="1"/>
  <c r="AN75" i="1" s="1"/>
  <c r="AW75" i="1" s="1"/>
  <c r="L298" i="19"/>
  <c r="AW192" i="1"/>
  <c r="J298" i="19"/>
  <c r="AC248" i="15"/>
  <c r="N220" i="15" s="1"/>
  <c r="AB252" i="15"/>
  <c r="L221" i="15" s="1"/>
  <c r="AC252" i="15"/>
  <c r="N221" i="15" s="1"/>
  <c r="AB248" i="15"/>
  <c r="G46" i="24" l="1"/>
  <c r="E146" i="24" s="1"/>
  <c r="G211" i="24" s="1"/>
  <c r="G39" i="24"/>
  <c r="E139" i="24" s="1"/>
  <c r="G204" i="24" s="1"/>
  <c r="AE297" i="11"/>
  <c r="G49" i="18"/>
  <c r="E148" i="18" s="1"/>
  <c r="G211" i="18" s="1"/>
  <c r="R124" i="13"/>
  <c r="G61" i="18"/>
  <c r="G58" i="18"/>
  <c r="G154" i="18" s="1"/>
  <c r="G223" i="18" s="1"/>
  <c r="G45" i="18"/>
  <c r="E144" i="18" s="1"/>
  <c r="G207" i="18" s="1"/>
  <c r="G48" i="18"/>
  <c r="E147" i="18" s="1"/>
  <c r="G210" i="18" s="1"/>
  <c r="AS309" i="1" s="1"/>
  <c r="AW309" i="1" s="1"/>
  <c r="E67" i="18"/>
  <c r="G43" i="18"/>
  <c r="E142" i="18" s="1"/>
  <c r="G205" i="18" s="1"/>
  <c r="G47" i="18"/>
  <c r="E146" i="18" s="1"/>
  <c r="G209" i="18" s="1"/>
  <c r="G51" i="18"/>
  <c r="E150" i="18" s="1"/>
  <c r="G213" i="18" s="1"/>
  <c r="AS336" i="1" s="1"/>
  <c r="AW336" i="1" s="1"/>
  <c r="G57" i="18"/>
  <c r="G153" i="18" s="1"/>
  <c r="G222" i="18" s="1"/>
  <c r="G53" i="18"/>
  <c r="E70" i="18" s="1"/>
  <c r="G50" i="18"/>
  <c r="E149" i="18" s="1"/>
  <c r="G212" i="18" s="1"/>
  <c r="AS327" i="1" s="1"/>
  <c r="AW327" i="1" s="1"/>
  <c r="G46" i="18"/>
  <c r="E145" i="18" s="1"/>
  <c r="G208" i="18" s="1"/>
  <c r="G44" i="18"/>
  <c r="E143" i="18" s="1"/>
  <c r="G206" i="18" s="1"/>
  <c r="E37" i="27"/>
  <c r="E40" i="27"/>
  <c r="AF31" i="1"/>
  <c r="D41" i="27"/>
  <c r="C198" i="43"/>
  <c r="D198" i="43"/>
  <c r="G156" i="43"/>
  <c r="E198" i="43"/>
  <c r="S124" i="13"/>
  <c r="O366" i="4"/>
  <c r="D45" i="30"/>
  <c r="C127" i="30" s="1"/>
  <c r="E127" i="30" s="1"/>
  <c r="D59" i="30"/>
  <c r="C140" i="30" s="1"/>
  <c r="E62" i="30"/>
  <c r="D143" i="30" s="1"/>
  <c r="D56" i="30"/>
  <c r="C137" i="30" s="1"/>
  <c r="D65" i="30"/>
  <c r="AG136" i="1"/>
  <c r="D54" i="30"/>
  <c r="C143" i="30" s="1"/>
  <c r="E63" i="30"/>
  <c r="D52" i="30"/>
  <c r="D58" i="30"/>
  <c r="C139" i="30" s="1"/>
  <c r="G117" i="27"/>
  <c r="C86" i="27" s="1"/>
  <c r="D98" i="27"/>
  <c r="E98" i="27" s="1"/>
  <c r="G41" i="23"/>
  <c r="E139" i="23" s="1"/>
  <c r="G202" i="23" s="1"/>
  <c r="AY345" i="1"/>
  <c r="AV200" i="1"/>
  <c r="AV350" i="1"/>
  <c r="AX350" i="1" s="1"/>
  <c r="D54" i="27"/>
  <c r="E54" i="27"/>
  <c r="D46" i="27"/>
  <c r="C110" i="27" s="1"/>
  <c r="E50" i="27"/>
  <c r="D114" i="27" s="1"/>
  <c r="D43" i="27"/>
  <c r="E39" i="27"/>
  <c r="E51" i="30"/>
  <c r="E48" i="30"/>
  <c r="D137" i="30" s="1"/>
  <c r="E50" i="30"/>
  <c r="D139" i="30" s="1"/>
  <c r="F147" i="14"/>
  <c r="R145" i="14"/>
  <c r="S147" i="14"/>
  <c r="N122" i="14"/>
  <c r="L96" i="13"/>
  <c r="AK362" i="1"/>
  <c r="AV362" i="1" s="1"/>
  <c r="AY362" i="1" s="1"/>
  <c r="AN129" i="1"/>
  <c r="AW129" i="1" s="1"/>
  <c r="AZ129" i="1" s="1"/>
  <c r="N96" i="13"/>
  <c r="N57" i="12"/>
  <c r="L366" i="4"/>
  <c r="AB321" i="4"/>
  <c r="M240" i="4" s="1"/>
  <c r="AK378" i="1" s="1"/>
  <c r="AV378" i="1" s="1"/>
  <c r="AC321" i="4"/>
  <c r="M366" i="4"/>
  <c r="M229" i="4"/>
  <c r="AN46" i="1"/>
  <c r="AW46" i="1" s="1"/>
  <c r="BA46" i="1" s="1"/>
  <c r="AV260" i="1"/>
  <c r="X297" i="11"/>
  <c r="AF258" i="11"/>
  <c r="AK146" i="1"/>
  <c r="AV146" i="1" s="1"/>
  <c r="BA146" i="1" s="1"/>
  <c r="K247" i="11"/>
  <c r="G40" i="24"/>
  <c r="E140" i="24" s="1"/>
  <c r="G205" i="24" s="1"/>
  <c r="G43" i="24"/>
  <c r="E143" i="24" s="1"/>
  <c r="G208" i="24" s="1"/>
  <c r="G55" i="24"/>
  <c r="G152" i="24" s="1"/>
  <c r="G223" i="24" s="1"/>
  <c r="G53" i="24"/>
  <c r="G150" i="24" s="1"/>
  <c r="G221" i="24" s="1"/>
  <c r="G42" i="24"/>
  <c r="E142" i="24" s="1"/>
  <c r="G207" i="24" s="1"/>
  <c r="G99" i="37"/>
  <c r="H99" i="37"/>
  <c r="D79" i="37" s="1"/>
  <c r="AN276" i="1" s="1"/>
  <c r="H177" i="43"/>
  <c r="D124" i="43" s="1"/>
  <c r="G177" i="43"/>
  <c r="C124" i="43" s="1"/>
  <c r="H169" i="43"/>
  <c r="D116" i="43" s="1"/>
  <c r="G169" i="43"/>
  <c r="C116" i="43" s="1"/>
  <c r="H172" i="43"/>
  <c r="D119" i="43" s="1"/>
  <c r="G172" i="43"/>
  <c r="C119" i="43" s="1"/>
  <c r="H182" i="43"/>
  <c r="D129" i="43" s="1"/>
  <c r="G182" i="43"/>
  <c r="C129" i="43" s="1"/>
  <c r="H180" i="43"/>
  <c r="D127" i="43" s="1"/>
  <c r="G180" i="43"/>
  <c r="C127" i="43" s="1"/>
  <c r="H168" i="43"/>
  <c r="D115" i="43" s="1"/>
  <c r="G168" i="43"/>
  <c r="C115" i="43" s="1"/>
  <c r="H178" i="43"/>
  <c r="D125" i="43" s="1"/>
  <c r="G178" i="43"/>
  <c r="C125" i="43" s="1"/>
  <c r="H176" i="43"/>
  <c r="D123" i="43" s="1"/>
  <c r="G176" i="43"/>
  <c r="C123" i="43" s="1"/>
  <c r="H174" i="43"/>
  <c r="D121" i="43" s="1"/>
  <c r="G174" i="43"/>
  <c r="C121" i="43" s="1"/>
  <c r="H179" i="43"/>
  <c r="D126" i="43" s="1"/>
  <c r="G179" i="43"/>
  <c r="C126" i="43" s="1"/>
  <c r="H171" i="43"/>
  <c r="D118" i="43" s="1"/>
  <c r="G171" i="43"/>
  <c r="C118" i="43" s="1"/>
  <c r="H175" i="43"/>
  <c r="D122" i="43" s="1"/>
  <c r="G175" i="43"/>
  <c r="C122" i="43" s="1"/>
  <c r="H167" i="43"/>
  <c r="D114" i="43" s="1"/>
  <c r="G167" i="43"/>
  <c r="C114" i="43" s="1"/>
  <c r="H181" i="43"/>
  <c r="D128" i="43" s="1"/>
  <c r="G181" i="43"/>
  <c r="C128" i="43" s="1"/>
  <c r="H170" i="43"/>
  <c r="D117" i="43" s="1"/>
  <c r="G170" i="43"/>
  <c r="C117" i="43" s="1"/>
  <c r="G185" i="43"/>
  <c r="C132" i="43" s="1"/>
  <c r="H173" i="43"/>
  <c r="D120" i="43" s="1"/>
  <c r="G173" i="43"/>
  <c r="C120" i="43" s="1"/>
  <c r="H166" i="43"/>
  <c r="D113" i="43" s="1"/>
  <c r="G166" i="43"/>
  <c r="C113" i="43" s="1"/>
  <c r="BA152" i="1"/>
  <c r="AG139" i="1"/>
  <c r="AN169" i="1"/>
  <c r="AW169" i="1" s="1"/>
  <c r="G186" i="43"/>
  <c r="C133" i="43" s="1"/>
  <c r="G188" i="43"/>
  <c r="C135" i="43" s="1"/>
  <c r="AK77" i="1" s="1"/>
  <c r="AV77" i="1" s="1"/>
  <c r="AZ77" i="1" s="1"/>
  <c r="AZ91" i="1"/>
  <c r="BA91" i="1"/>
  <c r="BA159" i="1"/>
  <c r="AZ159" i="1"/>
  <c r="AZ85" i="1"/>
  <c r="BA85" i="1"/>
  <c r="E90" i="37"/>
  <c r="G90" i="37" s="1"/>
  <c r="C70" i="37" s="1"/>
  <c r="AK138" i="1" s="1"/>
  <c r="E91" i="37"/>
  <c r="G91" i="37" s="1"/>
  <c r="G59" i="23"/>
  <c r="E151" i="23"/>
  <c r="G216" i="23"/>
  <c r="G221" i="23" s="1"/>
  <c r="G151" i="23"/>
  <c r="AW9" i="1"/>
  <c r="AE383" i="1"/>
  <c r="AV9" i="1"/>
  <c r="AD383" i="1"/>
  <c r="AZ13" i="1"/>
  <c r="BA124" i="1"/>
  <c r="AV8" i="1"/>
  <c r="AZ8" i="1" s="1"/>
  <c r="AP383" i="1"/>
  <c r="AX362" i="1"/>
  <c r="AY359" i="1"/>
  <c r="AX359" i="1"/>
  <c r="G206" i="24"/>
  <c r="AS282" i="1" s="1"/>
  <c r="AW282" i="1" s="1"/>
  <c r="G220" i="24"/>
  <c r="G153" i="24"/>
  <c r="AS318" i="1"/>
  <c r="AW318" i="1" s="1"/>
  <c r="E66" i="24"/>
  <c r="AV28" i="1"/>
  <c r="AZ28" i="1" s="1"/>
  <c r="G221" i="18"/>
  <c r="G156" i="18"/>
  <c r="G214" i="18" s="1"/>
  <c r="AB242" i="15"/>
  <c r="L212" i="15" s="1"/>
  <c r="AK374" i="1" s="1"/>
  <c r="AV374" i="1" s="1"/>
  <c r="AX374" i="1" s="1"/>
  <c r="AB243" i="15"/>
  <c r="L213" i="15" s="1"/>
  <c r="AK375" i="1" s="1"/>
  <c r="AV375" i="1" s="1"/>
  <c r="AX375" i="1" s="1"/>
  <c r="BA131" i="1"/>
  <c r="AK292" i="1"/>
  <c r="AV292" i="1" s="1"/>
  <c r="AC237" i="15"/>
  <c r="N207" i="15" s="1"/>
  <c r="AN302" i="1" s="1"/>
  <c r="AW302" i="1" s="1"/>
  <c r="BA190" i="1"/>
  <c r="AZ98" i="1"/>
  <c r="AX349" i="1"/>
  <c r="AY254" i="1"/>
  <c r="AZ127" i="1"/>
  <c r="AZ116" i="1"/>
  <c r="AY224" i="1"/>
  <c r="AN220" i="1"/>
  <c r="AW220" i="1" s="1"/>
  <c r="AX219" i="1" s="1"/>
  <c r="D30" i="29"/>
  <c r="AB241" i="15"/>
  <c r="L211" i="15" s="1"/>
  <c r="AK337" i="1" s="1"/>
  <c r="AV337" i="1" s="1"/>
  <c r="BA134" i="1"/>
  <c r="AC245" i="15"/>
  <c r="N215" i="15" s="1"/>
  <c r="AB245" i="15"/>
  <c r="L215" i="15" s="1"/>
  <c r="AK74" i="1" s="1"/>
  <c r="AV74" i="1" s="1"/>
  <c r="AC240" i="15"/>
  <c r="N210" i="15" s="1"/>
  <c r="AN329" i="1" s="1"/>
  <c r="AW329" i="1" s="1"/>
  <c r="H253" i="15"/>
  <c r="AA244" i="15"/>
  <c r="AX351" i="1"/>
  <c r="AZ131" i="1"/>
  <c r="AY245" i="1"/>
  <c r="BA61" i="1"/>
  <c r="D71" i="22" s="1"/>
  <c r="AY355" i="1"/>
  <c r="AZ118" i="1"/>
  <c r="AZ10" i="1"/>
  <c r="AX367" i="1"/>
  <c r="AZ130" i="1"/>
  <c r="AZ115" i="1"/>
  <c r="AY235" i="1"/>
  <c r="AX215" i="1"/>
  <c r="BA127" i="1"/>
  <c r="AZ179" i="1"/>
  <c r="AY214" i="1"/>
  <c r="AZ133" i="1"/>
  <c r="AY201" i="1"/>
  <c r="AZ73" i="1"/>
  <c r="AY239" i="1"/>
  <c r="AX199" i="1"/>
  <c r="BA121" i="1"/>
  <c r="AX245" i="1"/>
  <c r="AZ183" i="1"/>
  <c r="BA36" i="1"/>
  <c r="AY366" i="1"/>
  <c r="AX196" i="1"/>
  <c r="BA30" i="1"/>
  <c r="AY234" i="1"/>
  <c r="AY256" i="1"/>
  <c r="AZ30" i="1"/>
  <c r="BA184" i="1"/>
  <c r="AZ187" i="1"/>
  <c r="AZ189" i="1"/>
  <c r="AY246" i="1"/>
  <c r="AY226" i="1"/>
  <c r="BA114" i="1"/>
  <c r="AX240" i="1"/>
  <c r="AX201" i="1"/>
  <c r="BA185" i="1"/>
  <c r="AX364" i="1"/>
  <c r="AX370" i="1"/>
  <c r="BA37" i="1"/>
  <c r="AZ122" i="1"/>
  <c r="AZ35" i="1"/>
  <c r="AY203" i="1"/>
  <c r="AX369" i="1"/>
  <c r="AY236" i="1"/>
  <c r="AX218" i="1"/>
  <c r="AX209" i="1"/>
  <c r="AZ36" i="1"/>
  <c r="AY199" i="1"/>
  <c r="AX244" i="1"/>
  <c r="AX239" i="1"/>
  <c r="AX224" i="1"/>
  <c r="AZ20" i="1"/>
  <c r="AX231" i="1"/>
  <c r="BA130" i="1"/>
  <c r="AY202" i="1"/>
  <c r="AX250" i="1"/>
  <c r="BA73" i="1"/>
  <c r="BA65" i="1"/>
  <c r="D72" i="22" s="1"/>
  <c r="BA42" i="1"/>
  <c r="BA13" i="1"/>
  <c r="AX221" i="1"/>
  <c r="BA119" i="1"/>
  <c r="BA69" i="1"/>
  <c r="D73" i="22" s="1"/>
  <c r="AY249" i="1"/>
  <c r="AC236" i="15"/>
  <c r="N206" i="15" s="1"/>
  <c r="AN293" i="1" s="1"/>
  <c r="AW293" i="1" s="1"/>
  <c r="AZ65" i="1"/>
  <c r="AX235" i="1"/>
  <c r="AZ58" i="1"/>
  <c r="C71" i="22" s="1"/>
  <c r="BA53" i="1"/>
  <c r="D69" i="22" s="1"/>
  <c r="AY213" i="1"/>
  <c r="AX210" i="1"/>
  <c r="AY218" i="1"/>
  <c r="AZ69" i="1"/>
  <c r="AX203" i="1"/>
  <c r="AX249" i="1"/>
  <c r="AZ191" i="1"/>
  <c r="BA40" i="1"/>
  <c r="AX368" i="1"/>
  <c r="AX230" i="1"/>
  <c r="AZ54" i="1"/>
  <c r="C70" i="22" s="1"/>
  <c r="BA70" i="1"/>
  <c r="AX251" i="1"/>
  <c r="T253" i="15"/>
  <c r="AB235" i="15"/>
  <c r="L205" i="15" s="1"/>
  <c r="AK283" i="1" s="1"/>
  <c r="AV283" i="1" s="1"/>
  <c r="AB238" i="15"/>
  <c r="L208" i="15" s="1"/>
  <c r="AK310" i="1" s="1"/>
  <c r="AV310" i="1" s="1"/>
  <c r="AB234" i="15"/>
  <c r="L204" i="15" s="1"/>
  <c r="AK272" i="1" s="1"/>
  <c r="AV272" i="1" s="1"/>
  <c r="N118" i="15"/>
  <c r="AB239" i="15"/>
  <c r="L209" i="15" s="1"/>
  <c r="AK319" i="1" s="1"/>
  <c r="AV319" i="1" s="1"/>
  <c r="AC239" i="15"/>
  <c r="N209" i="15" s="1"/>
  <c r="AN320" i="1" s="1"/>
  <c r="AW320" i="1" s="1"/>
  <c r="AC249" i="15"/>
  <c r="N222" i="15" s="1"/>
  <c r="AN139" i="1" s="1"/>
  <c r="AB249" i="15"/>
  <c r="L222" i="15" s="1"/>
  <c r="G164" i="43"/>
  <c r="C111" i="43" s="1"/>
  <c r="H160" i="43"/>
  <c r="D107" i="43" s="1"/>
  <c r="H156" i="43"/>
  <c r="H161" i="43"/>
  <c r="D108" i="43" s="1"/>
  <c r="G159" i="43"/>
  <c r="C106" i="43" s="1"/>
  <c r="G163" i="43"/>
  <c r="C110" i="43" s="1"/>
  <c r="H162" i="43"/>
  <c r="D109" i="43" s="1"/>
  <c r="G165" i="43"/>
  <c r="C112" i="43" s="1"/>
  <c r="H187" i="43"/>
  <c r="D134" i="43" s="1"/>
  <c r="H158" i="43"/>
  <c r="D105" i="43" s="1"/>
  <c r="H155" i="43"/>
  <c r="D102" i="43" s="1"/>
  <c r="AN140" i="1" s="1"/>
  <c r="H157" i="43"/>
  <c r="D104" i="43" s="1"/>
  <c r="AZ62" i="1"/>
  <c r="C72" i="22" s="1"/>
  <c r="AZ23" i="1"/>
  <c r="AY241" i="1"/>
  <c r="AZ114" i="1"/>
  <c r="AY215" i="1"/>
  <c r="AY251" i="1"/>
  <c r="AY240" i="1"/>
  <c r="AX202" i="1"/>
  <c r="AZ61" i="1"/>
  <c r="AX226" i="1"/>
  <c r="AZ124" i="1"/>
  <c r="BA112" i="1"/>
  <c r="AZ134" i="1"/>
  <c r="AX365" i="1"/>
  <c r="BA135" i="1"/>
  <c r="BA20" i="1"/>
  <c r="AX345" i="1"/>
  <c r="AX234" i="1"/>
  <c r="AX256" i="1"/>
  <c r="AX225" i="1"/>
  <c r="BA54" i="1"/>
  <c r="BA50" i="1"/>
  <c r="C75" i="37"/>
  <c r="AK158" i="1" s="1"/>
  <c r="AV158" i="1" s="1"/>
  <c r="AW170" i="1"/>
  <c r="AY225" i="1"/>
  <c r="BA29" i="1"/>
  <c r="AZ128" i="1"/>
  <c r="BA128" i="1"/>
  <c r="AX200" i="1"/>
  <c r="AY200" i="1"/>
  <c r="AY221" i="1"/>
  <c r="AZ186" i="1"/>
  <c r="AX246" i="1"/>
  <c r="AY244" i="1"/>
  <c r="AX254" i="1"/>
  <c r="AZ53" i="1"/>
  <c r="AZ37" i="1"/>
  <c r="AZ135" i="1"/>
  <c r="AY250" i="1"/>
  <c r="AX361" i="1"/>
  <c r="AZ50" i="1"/>
  <c r="C69" i="22" s="1"/>
  <c r="BA58" i="1"/>
  <c r="AZ126" i="1"/>
  <c r="BA126" i="1"/>
  <c r="AZ112" i="1"/>
  <c r="BA110" i="1"/>
  <c r="AZ180" i="1"/>
  <c r="AY230" i="1"/>
  <c r="AX236" i="1"/>
  <c r="AX363" i="1"/>
  <c r="AY363" i="1"/>
  <c r="AZ120" i="1"/>
  <c r="AZ182" i="1"/>
  <c r="AZ181" i="1"/>
  <c r="AY231" i="1"/>
  <c r="AY196" i="1"/>
  <c r="AZ42" i="1"/>
  <c r="C67" i="22" s="1"/>
  <c r="AX353" i="1"/>
  <c r="AX214" i="1"/>
  <c r="BA117" i="1"/>
  <c r="BA133" i="1"/>
  <c r="AX229" i="1"/>
  <c r="AY229" i="1"/>
  <c r="AX241" i="1"/>
  <c r="AX198" i="1"/>
  <c r="AY198" i="1"/>
  <c r="AZ49" i="1"/>
  <c r="BA49" i="1"/>
  <c r="D68" i="22" s="1"/>
  <c r="BA33" i="1"/>
  <c r="AZ33" i="1"/>
  <c r="BA62" i="1"/>
  <c r="AZ45" i="1"/>
  <c r="BA45" i="1"/>
  <c r="D67" i="22" s="1"/>
  <c r="BA101" i="1"/>
  <c r="AZ101" i="1"/>
  <c r="BA66" i="1"/>
  <c r="AZ66" i="1"/>
  <c r="C73" i="22" s="1"/>
  <c r="AX213" i="1"/>
  <c r="AY380" i="1"/>
  <c r="AX380" i="1"/>
  <c r="AY255" i="1"/>
  <c r="AX255" i="1"/>
  <c r="BA57" i="1"/>
  <c r="D70" i="22" s="1"/>
  <c r="AZ57" i="1"/>
  <c r="AH387" i="1"/>
  <c r="H92" i="37"/>
  <c r="H95" i="37"/>
  <c r="H93" i="37"/>
  <c r="D73" i="37" s="1"/>
  <c r="AN90" i="1" s="1"/>
  <c r="AW90" i="1" s="1"/>
  <c r="D100" i="37"/>
  <c r="H94" i="37"/>
  <c r="D74" i="37" s="1"/>
  <c r="AN151" i="1" s="1"/>
  <c r="AW151" i="1" s="1"/>
  <c r="H97" i="37"/>
  <c r="D77" i="37" s="1"/>
  <c r="G97" i="37"/>
  <c r="C77" i="37" s="1"/>
  <c r="AK76" i="1" s="1"/>
  <c r="C100" i="37"/>
  <c r="AK84" i="1"/>
  <c r="AV84" i="1" s="1"/>
  <c r="G145" i="30"/>
  <c r="C114" i="30" s="1"/>
  <c r="H145" i="30"/>
  <c r="D114" i="30" s="1"/>
  <c r="AN74" i="1" s="1"/>
  <c r="AW74" i="1" s="1"/>
  <c r="AZ192" i="1"/>
  <c r="BA192" i="1"/>
  <c r="AN137" i="1"/>
  <c r="L220" i="15"/>
  <c r="AK296" i="1" l="1"/>
  <c r="AS300" i="1"/>
  <c r="AW300" i="1" s="1"/>
  <c r="AS271" i="1"/>
  <c r="AW271" i="1" s="1"/>
  <c r="AS291" i="1"/>
  <c r="AW291" i="1" s="1"/>
  <c r="G226" i="18"/>
  <c r="G63" i="18"/>
  <c r="E156" i="18"/>
  <c r="I156" i="18" s="1"/>
  <c r="AK305" i="1"/>
  <c r="AK278" i="1"/>
  <c r="AK287" i="1"/>
  <c r="AK323" i="1"/>
  <c r="AK314" i="1"/>
  <c r="AV314" i="1" s="1"/>
  <c r="AK332" i="1"/>
  <c r="AV332" i="1" s="1"/>
  <c r="D103" i="43"/>
  <c r="D146" i="43" s="1"/>
  <c r="H198" i="43"/>
  <c r="C103" i="43"/>
  <c r="AK267" i="1" s="1"/>
  <c r="G198" i="43"/>
  <c r="AB366" i="4"/>
  <c r="C141" i="30"/>
  <c r="E141" i="30" s="1"/>
  <c r="D140" i="30"/>
  <c r="E140" i="30" s="1"/>
  <c r="D144" i="30"/>
  <c r="E144" i="30" s="1"/>
  <c r="D53" i="30"/>
  <c r="C142" i="30" s="1"/>
  <c r="E61" i="30"/>
  <c r="D142" i="30" s="1"/>
  <c r="E49" i="30"/>
  <c r="D138" i="30" s="1"/>
  <c r="E139" i="30"/>
  <c r="G139" i="30" s="1"/>
  <c r="C108" i="30" s="1"/>
  <c r="AK88" i="1" s="1"/>
  <c r="E137" i="30"/>
  <c r="H137" i="30" s="1"/>
  <c r="D106" i="30" s="1"/>
  <c r="AN82" i="1" s="1"/>
  <c r="AW82" i="1" s="1"/>
  <c r="AF80" i="1"/>
  <c r="E65" i="30"/>
  <c r="D57" i="30"/>
  <c r="C138" i="30" s="1"/>
  <c r="E143" i="30"/>
  <c r="G143" i="30" s="1"/>
  <c r="C112" i="30" s="1"/>
  <c r="AK156" i="1" s="1"/>
  <c r="AV156" i="1" s="1"/>
  <c r="C102" i="37"/>
  <c r="H98" i="27"/>
  <c r="D67" i="27" s="1"/>
  <c r="AN31" i="1" s="1"/>
  <c r="AW31" i="1" s="1"/>
  <c r="G98" i="27"/>
  <c r="C67" i="27" s="1"/>
  <c r="AK31" i="1" s="1"/>
  <c r="AV31" i="1" s="1"/>
  <c r="D112" i="27"/>
  <c r="E112" i="27" s="1"/>
  <c r="D109" i="27"/>
  <c r="E109" i="27" s="1"/>
  <c r="C113" i="27"/>
  <c r="E113" i="27" s="1"/>
  <c r="H113" i="27" s="1"/>
  <c r="D82" i="27" s="1"/>
  <c r="AN150" i="1" s="1"/>
  <c r="AW150" i="1" s="1"/>
  <c r="D111" i="27"/>
  <c r="E111" i="27" s="1"/>
  <c r="C115" i="27"/>
  <c r="E115" i="27" s="1"/>
  <c r="H127" i="30"/>
  <c r="D96" i="30" s="1"/>
  <c r="AN136" i="1" s="1"/>
  <c r="AW136" i="1" s="1"/>
  <c r="G127" i="30"/>
  <c r="C96" i="30" s="1"/>
  <c r="AK136" i="1" s="1"/>
  <c r="AV136" i="1" s="1"/>
  <c r="AY350" i="1"/>
  <c r="AN296" i="1"/>
  <c r="AW296" i="1" s="1"/>
  <c r="AN305" i="1"/>
  <c r="AW305" i="1" s="1"/>
  <c r="AV323" i="1"/>
  <c r="AG156" i="1"/>
  <c r="D42" i="27"/>
  <c r="AG149" i="1"/>
  <c r="AF82" i="1"/>
  <c r="AF88" i="1"/>
  <c r="D44" i="27"/>
  <c r="AG147" i="1"/>
  <c r="E38" i="27"/>
  <c r="AF94" i="1"/>
  <c r="AG162" i="1"/>
  <c r="BA129" i="1"/>
  <c r="N124" i="14"/>
  <c r="AN208" i="1"/>
  <c r="AW208" i="1" s="1"/>
  <c r="R147" i="14"/>
  <c r="L122" i="14"/>
  <c r="O240" i="4"/>
  <c r="AC366" i="4"/>
  <c r="AZ46" i="1"/>
  <c r="C68" i="22" s="1"/>
  <c r="AK261" i="1"/>
  <c r="AV261" i="1" s="1"/>
  <c r="M285" i="4"/>
  <c r="AF297" i="11"/>
  <c r="M208" i="11"/>
  <c r="G225" i="24"/>
  <c r="E153" i="24"/>
  <c r="I153" i="24" s="1"/>
  <c r="AV305" i="1"/>
  <c r="AN287" i="1"/>
  <c r="AW287" i="1" s="1"/>
  <c r="AN323" i="1"/>
  <c r="AW323" i="1" s="1"/>
  <c r="AN332" i="1"/>
  <c r="AW332" i="1" s="1"/>
  <c r="AN341" i="1"/>
  <c r="AW341" i="1" s="1"/>
  <c r="AV278" i="1"/>
  <c r="AV287" i="1"/>
  <c r="AV296" i="1"/>
  <c r="AN278" i="1"/>
  <c r="AW278" i="1" s="1"/>
  <c r="AN314" i="1"/>
  <c r="AW314" i="1" s="1"/>
  <c r="AK341" i="1"/>
  <c r="AV341" i="1" s="1"/>
  <c r="AW140" i="1"/>
  <c r="AN76" i="1"/>
  <c r="AW76" i="1" s="1"/>
  <c r="BA77" i="1"/>
  <c r="AV138" i="1"/>
  <c r="H90" i="37"/>
  <c r="D70" i="37" s="1"/>
  <c r="AN138" i="1" s="1"/>
  <c r="AF168" i="1"/>
  <c r="AV76" i="1"/>
  <c r="E100" i="37"/>
  <c r="C71" i="37" s="1"/>
  <c r="AK277" i="1" s="1"/>
  <c r="I151" i="23"/>
  <c r="E215" i="23"/>
  <c r="E221" i="23" s="1"/>
  <c r="G209" i="23"/>
  <c r="G211" i="23" s="1"/>
  <c r="AV140" i="1"/>
  <c r="BA8" i="1"/>
  <c r="BA9" i="1"/>
  <c r="AZ9" i="1"/>
  <c r="AV170" i="1"/>
  <c r="AW139" i="1"/>
  <c r="E219" i="24"/>
  <c r="E225" i="24" s="1"/>
  <c r="G213" i="24"/>
  <c r="G215" i="24" s="1"/>
  <c r="BA28" i="1"/>
  <c r="AY375" i="1"/>
  <c r="E220" i="18"/>
  <c r="E226" i="18" s="1"/>
  <c r="AS260" i="1"/>
  <c r="AW260" i="1" s="1"/>
  <c r="G216" i="18"/>
  <c r="AY374" i="1"/>
  <c r="AK139" i="1"/>
  <c r="O116" i="15"/>
  <c r="AY219" i="1"/>
  <c r="AB244" i="15"/>
  <c r="L214" i="15" s="1"/>
  <c r="AK132" i="1" s="1"/>
  <c r="AV132" i="1" s="1"/>
  <c r="AC244" i="15"/>
  <c r="N214" i="15" s="1"/>
  <c r="AN132" i="1" s="1"/>
  <c r="AW132" i="1" s="1"/>
  <c r="C65" i="22"/>
  <c r="AA233" i="15"/>
  <c r="R253" i="15"/>
  <c r="D75" i="37"/>
  <c r="AN158" i="1" s="1"/>
  <c r="AW158" i="1" s="1"/>
  <c r="D72" i="37"/>
  <c r="AN84" i="1" s="1"/>
  <c r="AW84" i="1" s="1"/>
  <c r="D75" i="22"/>
  <c r="AK137" i="1"/>
  <c r="AW137" i="1"/>
  <c r="H143" i="30" l="1"/>
  <c r="D112" i="30" s="1"/>
  <c r="AN156" i="1" s="1"/>
  <c r="AW156" i="1" s="1"/>
  <c r="AZ74" i="1"/>
  <c r="E142" i="30"/>
  <c r="G142" i="30" s="1"/>
  <c r="C111" i="30" s="1"/>
  <c r="AK162" i="1" s="1"/>
  <c r="AV162" i="1" s="1"/>
  <c r="AN267" i="1"/>
  <c r="AW267" i="1" s="1"/>
  <c r="AV267" i="1"/>
  <c r="C146" i="43"/>
  <c r="AZ31" i="1"/>
  <c r="E138" i="30"/>
  <c r="G138" i="30" s="1"/>
  <c r="C107" i="30" s="1"/>
  <c r="AK94" i="1" s="1"/>
  <c r="AV94" i="1" s="1"/>
  <c r="H144" i="30"/>
  <c r="D113" i="30" s="1"/>
  <c r="AN147" i="1" s="1"/>
  <c r="AW147" i="1" s="1"/>
  <c r="G144" i="30"/>
  <c r="C113" i="30" s="1"/>
  <c r="AK147" i="1" s="1"/>
  <c r="AV147" i="1" s="1"/>
  <c r="G140" i="30"/>
  <c r="C109" i="30" s="1"/>
  <c r="AK80" i="1" s="1"/>
  <c r="AV80" i="1" s="1"/>
  <c r="H140" i="30"/>
  <c r="D109" i="30" s="1"/>
  <c r="AN80" i="1" s="1"/>
  <c r="AW80" i="1" s="1"/>
  <c r="G141" i="30"/>
  <c r="C110" i="30" s="1"/>
  <c r="AK149" i="1" s="1"/>
  <c r="AV149" i="1" s="1"/>
  <c r="H141" i="30"/>
  <c r="D110" i="30" s="1"/>
  <c r="AN149" i="1" s="1"/>
  <c r="AW149" i="1" s="1"/>
  <c r="G137" i="30"/>
  <c r="C106" i="30" s="1"/>
  <c r="AK82" i="1" s="1"/>
  <c r="AV82" i="1" s="1"/>
  <c r="H139" i="30"/>
  <c r="D108" i="30" s="1"/>
  <c r="AN88" i="1" s="1"/>
  <c r="AW88" i="1" s="1"/>
  <c r="E66" i="30"/>
  <c r="D131" i="30" s="1"/>
  <c r="D66" i="30"/>
  <c r="C128" i="30" s="1"/>
  <c r="H111" i="27"/>
  <c r="D80" i="27" s="1"/>
  <c r="AN89" i="1" s="1"/>
  <c r="AW89" i="1" s="1"/>
  <c r="G111" i="27"/>
  <c r="C80" i="27" s="1"/>
  <c r="AK89" i="1" s="1"/>
  <c r="AV89" i="1" s="1"/>
  <c r="H109" i="27"/>
  <c r="D78" i="27" s="1"/>
  <c r="AN83" i="1" s="1"/>
  <c r="AW83" i="1" s="1"/>
  <c r="G109" i="27"/>
  <c r="C78" i="27" s="1"/>
  <c r="AK83" i="1" s="1"/>
  <c r="AV83" i="1" s="1"/>
  <c r="H112" i="27"/>
  <c r="D81" i="27" s="1"/>
  <c r="AN81" i="1" s="1"/>
  <c r="AW81" i="1" s="1"/>
  <c r="G112" i="27"/>
  <c r="C81" i="27" s="1"/>
  <c r="AK81" i="1" s="1"/>
  <c r="AV81" i="1" s="1"/>
  <c r="H115" i="27"/>
  <c r="D84" i="27" s="1"/>
  <c r="AN157" i="1" s="1"/>
  <c r="AW157" i="1" s="1"/>
  <c r="G115" i="27"/>
  <c r="C84" i="27" s="1"/>
  <c r="AK157" i="1" s="1"/>
  <c r="AV157" i="1" s="1"/>
  <c r="D110" i="27"/>
  <c r="E110" i="27" s="1"/>
  <c r="G113" i="27"/>
  <c r="C82" i="27" s="1"/>
  <c r="AK150" i="1" s="1"/>
  <c r="AV150" i="1" s="1"/>
  <c r="C114" i="27"/>
  <c r="E114" i="27" s="1"/>
  <c r="C116" i="27"/>
  <c r="E116" i="27" s="1"/>
  <c r="BA136" i="1"/>
  <c r="AZ136" i="1"/>
  <c r="C75" i="22"/>
  <c r="E75" i="22" s="1"/>
  <c r="C89" i="22" s="1"/>
  <c r="C112" i="22" s="1"/>
  <c r="BA31" i="1"/>
  <c r="D55" i="27"/>
  <c r="C100" i="27" s="1"/>
  <c r="AV88" i="1"/>
  <c r="E55" i="27"/>
  <c r="D100" i="27" s="1"/>
  <c r="AG163" i="1"/>
  <c r="AF95" i="1"/>
  <c r="AG174" i="1" s="1"/>
  <c r="AK208" i="1"/>
  <c r="AV208" i="1" s="1"/>
  <c r="L124" i="14"/>
  <c r="AN378" i="1"/>
  <c r="AW378" i="1" s="1"/>
  <c r="O285" i="4"/>
  <c r="AN145" i="1"/>
  <c r="AW145" i="1" s="1"/>
  <c r="M247" i="11"/>
  <c r="AS26" i="1"/>
  <c r="AS383" i="1" s="1"/>
  <c r="AV168" i="1"/>
  <c r="H91" i="37"/>
  <c r="H100" i="37" s="1"/>
  <c r="AW138" i="1"/>
  <c r="AZ138" i="1" s="1"/>
  <c r="AV277" i="1"/>
  <c r="BA74" i="1"/>
  <c r="BA140" i="1"/>
  <c r="AV139" i="1"/>
  <c r="AZ139" i="1" s="1"/>
  <c r="BA132" i="1"/>
  <c r="AZ132" i="1"/>
  <c r="AB233" i="15"/>
  <c r="AA253" i="15"/>
  <c r="AC233" i="15"/>
  <c r="G100" i="37"/>
  <c r="C81" i="37"/>
  <c r="AV166" i="1"/>
  <c r="AV137" i="1"/>
  <c r="H142" i="30" l="1"/>
  <c r="D111" i="30" s="1"/>
  <c r="AN162" i="1" s="1"/>
  <c r="AW162" i="1" s="1"/>
  <c r="BA138" i="1"/>
  <c r="H138" i="30"/>
  <c r="D107" i="30" s="1"/>
  <c r="AN94" i="1" s="1"/>
  <c r="AW94" i="1" s="1"/>
  <c r="D134" i="30"/>
  <c r="D128" i="30"/>
  <c r="C130" i="30"/>
  <c r="C136" i="30"/>
  <c r="C129" i="30"/>
  <c r="D136" i="30"/>
  <c r="D133" i="30"/>
  <c r="E67" i="30"/>
  <c r="D132" i="30"/>
  <c r="D129" i="30"/>
  <c r="D130" i="30"/>
  <c r="C131" i="30"/>
  <c r="E131" i="30" s="1"/>
  <c r="G131" i="30" s="1"/>
  <c r="C100" i="30" s="1"/>
  <c r="AK295" i="1" s="1"/>
  <c r="AV295" i="1" s="1"/>
  <c r="D67" i="30"/>
  <c r="C135" i="30"/>
  <c r="C134" i="30"/>
  <c r="C132" i="30"/>
  <c r="C133" i="30"/>
  <c r="D135" i="30"/>
  <c r="AZ88" i="1"/>
  <c r="BA80" i="1"/>
  <c r="AZ82" i="1"/>
  <c r="AZ80" i="1"/>
  <c r="AZ149" i="1"/>
  <c r="H116" i="27"/>
  <c r="D85" i="27" s="1"/>
  <c r="AN148" i="1" s="1"/>
  <c r="AW148" i="1" s="1"/>
  <c r="G116" i="27"/>
  <c r="C85" i="27" s="1"/>
  <c r="AK148" i="1" s="1"/>
  <c r="AV148" i="1" s="1"/>
  <c r="G110" i="27"/>
  <c r="C79" i="27" s="1"/>
  <c r="AK95" i="1" s="1"/>
  <c r="AV95" i="1" s="1"/>
  <c r="H110" i="27"/>
  <c r="D79" i="27" s="1"/>
  <c r="AN95" i="1" s="1"/>
  <c r="AW95" i="1" s="1"/>
  <c r="H114" i="27"/>
  <c r="D83" i="27" s="1"/>
  <c r="AN163" i="1" s="1"/>
  <c r="AW163" i="1" s="1"/>
  <c r="G114" i="27"/>
  <c r="C83" i="27" s="1"/>
  <c r="AK163" i="1" s="1"/>
  <c r="AV163" i="1" s="1"/>
  <c r="AZ156" i="1"/>
  <c r="BA156" i="1"/>
  <c r="BA88" i="1"/>
  <c r="BA82" i="1"/>
  <c r="BA149" i="1"/>
  <c r="AF174" i="1"/>
  <c r="D118" i="27"/>
  <c r="E56" i="27"/>
  <c r="D56" i="27"/>
  <c r="AX204" i="1"/>
  <c r="AY204" i="1"/>
  <c r="AY378" i="1"/>
  <c r="AX378" i="1"/>
  <c r="AZ146" i="1"/>
  <c r="AZ145" i="1"/>
  <c r="BA145" i="1"/>
  <c r="AW26" i="1"/>
  <c r="BA26" i="1" s="1"/>
  <c r="D71" i="37"/>
  <c r="BA139" i="1"/>
  <c r="N203" i="15"/>
  <c r="AC253" i="15"/>
  <c r="L203" i="15"/>
  <c r="AB253" i="15"/>
  <c r="BA137" i="1"/>
  <c r="AZ137" i="1"/>
  <c r="E136" i="30" l="1"/>
  <c r="H136" i="30" s="1"/>
  <c r="D105" i="30" s="1"/>
  <c r="AN339" i="1" s="1"/>
  <c r="AW339" i="1" s="1"/>
  <c r="E134" i="30"/>
  <c r="G134" i="30" s="1"/>
  <c r="C103" i="30" s="1"/>
  <c r="AK322" i="1" s="1"/>
  <c r="AV322" i="1" s="1"/>
  <c r="E130" i="30"/>
  <c r="G130" i="30" s="1"/>
  <c r="C99" i="30" s="1"/>
  <c r="AK286" i="1" s="1"/>
  <c r="AV286" i="1" s="1"/>
  <c r="E129" i="30"/>
  <c r="G129" i="30" s="1"/>
  <c r="C98" i="30" s="1"/>
  <c r="AK275" i="1" s="1"/>
  <c r="AV275" i="1" s="1"/>
  <c r="E132" i="30"/>
  <c r="H132" i="30" s="1"/>
  <c r="D101" i="30" s="1"/>
  <c r="AN303" i="1" s="1"/>
  <c r="AW303" i="1" s="1"/>
  <c r="E133" i="30"/>
  <c r="G133" i="30" s="1"/>
  <c r="C102" i="30" s="1"/>
  <c r="AK313" i="1" s="1"/>
  <c r="AV313" i="1" s="1"/>
  <c r="C146" i="30"/>
  <c r="E128" i="30"/>
  <c r="H128" i="30" s="1"/>
  <c r="D97" i="30" s="1"/>
  <c r="AN263" i="1" s="1"/>
  <c r="AW263" i="1" s="1"/>
  <c r="E135" i="30"/>
  <c r="H135" i="30" s="1"/>
  <c r="D104" i="30" s="1"/>
  <c r="AN330" i="1" s="1"/>
  <c r="AW330" i="1" s="1"/>
  <c r="H131" i="30"/>
  <c r="D100" i="30" s="1"/>
  <c r="AN294" i="1" s="1"/>
  <c r="AW294" i="1" s="1"/>
  <c r="AX291" i="1" s="1"/>
  <c r="D146" i="30"/>
  <c r="BA147" i="1"/>
  <c r="AZ94" i="1"/>
  <c r="BA94" i="1"/>
  <c r="BA162" i="1"/>
  <c r="AZ147" i="1"/>
  <c r="AZ162" i="1"/>
  <c r="AV174" i="1"/>
  <c r="AF383" i="1"/>
  <c r="AW174" i="1"/>
  <c r="AG383" i="1"/>
  <c r="C118" i="27"/>
  <c r="E100" i="27"/>
  <c r="AZ26" i="1"/>
  <c r="AW276" i="1"/>
  <c r="D81" i="37"/>
  <c r="AN262" i="1"/>
  <c r="N223" i="15"/>
  <c r="AK263" i="1"/>
  <c r="L223" i="15"/>
  <c r="H134" i="30" l="1"/>
  <c r="D103" i="30" s="1"/>
  <c r="AN321" i="1" s="1"/>
  <c r="AW321" i="1" s="1"/>
  <c r="AY318" i="1" s="1"/>
  <c r="H129" i="30"/>
  <c r="D98" i="30" s="1"/>
  <c r="AN274" i="1" s="1"/>
  <c r="AW274" i="1" s="1"/>
  <c r="AX271" i="1" s="1"/>
  <c r="G136" i="30"/>
  <c r="C105" i="30" s="1"/>
  <c r="AK340" i="1" s="1"/>
  <c r="AV340" i="1" s="1"/>
  <c r="AX336" i="1" s="1"/>
  <c r="G132" i="30"/>
  <c r="C101" i="30" s="1"/>
  <c r="AK304" i="1" s="1"/>
  <c r="AV304" i="1" s="1"/>
  <c r="AY300" i="1" s="1"/>
  <c r="H133" i="30"/>
  <c r="D102" i="30" s="1"/>
  <c r="AN312" i="1" s="1"/>
  <c r="AW312" i="1" s="1"/>
  <c r="AY309" i="1" s="1"/>
  <c r="H130" i="30"/>
  <c r="D99" i="30" s="1"/>
  <c r="AN285" i="1" s="1"/>
  <c r="AW285" i="1" s="1"/>
  <c r="AY282" i="1" s="1"/>
  <c r="E146" i="30"/>
  <c r="G128" i="30" s="1"/>
  <c r="C97" i="30" s="1"/>
  <c r="AK265" i="1" s="1"/>
  <c r="AV265" i="1" s="1"/>
  <c r="AY291" i="1"/>
  <c r="G135" i="30"/>
  <c r="C104" i="30" s="1"/>
  <c r="AK331" i="1" s="1"/>
  <c r="AV331" i="1" s="1"/>
  <c r="AY327" i="1" s="1"/>
  <c r="BA165" i="1"/>
  <c r="AZ165" i="1"/>
  <c r="AG387" i="1"/>
  <c r="E118" i="27"/>
  <c r="G100" i="27" s="1"/>
  <c r="H100" i="27"/>
  <c r="AV263" i="1"/>
  <c r="AW262" i="1"/>
  <c r="AX318" i="1" l="1"/>
  <c r="AY271" i="1"/>
  <c r="AY336" i="1"/>
  <c r="AX300" i="1"/>
  <c r="D117" i="30"/>
  <c r="H146" i="30"/>
  <c r="AX309" i="1"/>
  <c r="AX282" i="1"/>
  <c r="C117" i="30"/>
  <c r="G146" i="30"/>
  <c r="AX327" i="1"/>
  <c r="D69" i="27"/>
  <c r="H118" i="27"/>
  <c r="C69" i="27"/>
  <c r="AK266" i="1" s="1"/>
  <c r="G118" i="27"/>
  <c r="AN264" i="1" l="1"/>
  <c r="D88" i="27"/>
  <c r="C88" i="27"/>
  <c r="AV266" i="1" l="1"/>
  <c r="AV383" i="1" s="1"/>
  <c r="AK383" i="1"/>
  <c r="AW264" i="1"/>
  <c r="AW383" i="1" s="1"/>
  <c r="AN383" i="1"/>
  <c r="AK385" i="1" l="1"/>
  <c r="AY260" i="1"/>
  <c r="AY383" i="1" s="1"/>
  <c r="AX260" i="1"/>
  <c r="AX383" i="1" s="1"/>
  <c r="AY385" i="1" l="1"/>
  <c r="AZ175" i="1" s="1"/>
  <c r="AZ194" i="1" s="1"/>
  <c r="AZ383" i="1" s="1"/>
  <c r="AX385" i="1"/>
  <c r="BA175" i="1" s="1"/>
  <c r="BA194" i="1" s="1"/>
  <c r="BA383" i="1" s="1"/>
  <c r="BA390" i="1" l="1"/>
  <c r="C110" i="22"/>
  <c r="C113" i="22" s="1"/>
  <c r="L191" i="19"/>
  <c r="N188" i="19" s="1"/>
  <c r="AY387" i="1"/>
  <c r="AX38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35" authorId="0" shapeId="0" xr:uid="{00000000-0006-0000-0100-000001000000}">
      <text>
        <r>
          <rPr>
            <b/>
            <sz val="8"/>
            <color indexed="81"/>
            <rFont val="Tahoma"/>
            <family val="2"/>
          </rPr>
          <t>LGC:</t>
        </r>
        <r>
          <rPr>
            <sz val="8"/>
            <color indexed="81"/>
            <rFont val="Tahoma"/>
            <family val="2"/>
          </rPr>
          <t xml:space="preserve">
Negative NPO should be reported as a prepaid expense per GASB codification P20.113</t>
        </r>
      </text>
    </comment>
    <comment ref="C41" authorId="0" shapeId="0" xr:uid="{00000000-0006-0000-0100-000002000000}">
      <text>
        <r>
          <rPr>
            <b/>
            <sz val="8"/>
            <color indexed="81"/>
            <rFont val="Tahoma"/>
            <family val="2"/>
          </rPr>
          <t>LGC:</t>
        </r>
        <r>
          <rPr>
            <sz val="8"/>
            <color indexed="81"/>
            <rFont val="Tahoma"/>
            <family val="2"/>
          </rPr>
          <t xml:space="preserve">
At this time there are no material amounts for this category, but if material non-depreciable assets do exist (in addition to land) they must be separately disclosed.</t>
        </r>
      </text>
    </comment>
    <comment ref="C144" authorId="0" shapeId="0" xr:uid="{00000000-0006-0000-0100-000003000000}">
      <text>
        <r>
          <rPr>
            <b/>
            <sz val="8"/>
            <color indexed="81"/>
            <rFont val="Tahoma"/>
            <family val="2"/>
          </rPr>
          <t>LGC:</t>
        </r>
        <r>
          <rPr>
            <sz val="8"/>
            <color indexed="81"/>
            <rFont val="Tahoma"/>
            <family val="2"/>
          </rPr>
          <t xml:space="preserve">
Previously treated as the prepaid portion of deferred revenue. Reported as unearned revenue in both modified and full accrual.</t>
        </r>
      </text>
    </comment>
    <comment ref="AF165" authorId="0" shapeId="0" xr:uid="{00000000-0006-0000-0100-000004000000}">
      <text>
        <r>
          <rPr>
            <b/>
            <sz val="8"/>
            <color indexed="81"/>
            <rFont val="Tahoma"/>
            <family val="2"/>
          </rPr>
          <t>LGC:</t>
        </r>
        <r>
          <rPr>
            <sz val="8"/>
            <color indexed="81"/>
            <rFont val="Tahoma"/>
            <family val="2"/>
          </rPr>
          <t xml:space="preserve">
Effect to equity for long-term debt.</t>
        </r>
      </text>
    </comment>
    <comment ref="AG165" authorId="0" shapeId="0" xr:uid="{00000000-0006-0000-0100-000005000000}">
      <text>
        <r>
          <rPr>
            <b/>
            <sz val="8"/>
            <color indexed="81"/>
            <rFont val="Tahoma"/>
            <family val="2"/>
          </rPr>
          <t>LGC:</t>
        </r>
        <r>
          <rPr>
            <sz val="8"/>
            <color indexed="81"/>
            <rFont val="Tahoma"/>
            <family val="2"/>
          </rPr>
          <t xml:space="preserve">
Effect to equity for net of capital asset entries (gross assets less
 accum deprec).</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tc={5C3F5EE4-4163-4081-99AF-70DB2F78AF74}</author>
    <author>tc={C54241C6-5946-4CA5-BB1C-03C16C71459E}</author>
    <author>tc={6D66C263-B933-4C4D-8D1A-620520A3287D}</author>
    <author>tc={7BF7FF60-9A5B-45F6-9906-981A782D61F3}</author>
  </authors>
  <commentList>
    <comment ref="B4" authorId="0" shapeId="0" xr:uid="{5C3F5EE4-4163-4081-99AF-70DB2F78AF74}">
      <text>
        <t>[Threaded comment]
Your version of Excel allows you to read this threaded comment; however, any edits to it will get removed if the file is opened in a newer version of Excel. Learn more: https://go.microsoft.com/fwlink/?linkid=870924
Comment:
    Appropriate schedules in the Office of State Auditor Report</t>
      </text>
    </comment>
    <comment ref="C7" authorId="1" shapeId="0" xr:uid="{C54241C6-5946-4CA5-BB1C-03C16C71459E}">
      <text>
        <t>[Threaded comment]
Your version of Excel allows you to read this threaded comment; however, any edits to it will get removed if the file is opened in a newer version of Excel. Learn more: https://go.microsoft.com/fwlink/?linkid=870924
Comment:
    LGERS Schedule 1 in State Auditors Report</t>
      </text>
    </comment>
    <comment ref="D7" authorId="2" shapeId="0" xr:uid="{6D66C263-B933-4C4D-8D1A-620520A3287D}">
      <text>
        <t>[Threaded comment]
Your version of Excel allows you to read this threaded comment; however, any edits to it will get removed if the file is opened in a newer version of Excel. Learn more: https://go.microsoft.com/fwlink/?linkid=870924
Comment:
    use vlookup to pull # from PY summary
Reply:
    Clean up any N/A that result from Vlookup and the copy and paste values in this column over the vlookup formula</t>
      </text>
    </comment>
    <comment ref="E7" authorId="3" shapeId="0" xr:uid="{7BF7FF60-9A5B-45F6-9906-981A782D61F3}">
      <text>
        <t>[Threaded comment]
Your version of Excel allows you to read this threaded comment; however, any edits to it will get removed if the file is opened in a newer version of Excel. Learn more: https://go.microsoft.com/fwlink/?linkid=870924
Comment:
    All # come from Office of State Auditor Report Schedule 2</t>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tc={F0C369B6-392A-48E7-90AB-52003227CEF9}</author>
    <author>tc={440C031A-9E71-4065-AF59-B6C063EA049D}</author>
  </authors>
  <commentList>
    <comment ref="B2" authorId="0" shapeId="0" xr:uid="{F0C369B6-392A-48E7-90AB-52003227CEF9}">
      <text>
        <t>[Threaded comment]
Your version of Excel allows you to read this threaded comment; however, any edits to it will get removed if the file is opened in a newer version of Excel. Learn more: https://go.microsoft.com/fwlink/?linkid=870924
Comment:
    Make sure this list matches the CY Office of State Auditor list and list from FOD</t>
      </text>
    </comment>
    <comment ref="C2" authorId="1" shapeId="0" xr:uid="{440C031A-9E71-4065-AF59-B6C063EA049D}">
      <text>
        <t>[Threaded comment]
Your version of Excel allows you to read this threaded comment; however, any edits to it will get removed if the file is opened in a newer version of Excel. Learn more: https://go.microsoft.com/fwlink/?linkid=870924
Comment:
    # come from NCST FOD</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04" authorId="0" shapeId="0" xr:uid="{F955C4B4-CB2A-490A-BEDA-E373B324EB50}">
      <text>
        <r>
          <rPr>
            <b/>
            <sz val="9"/>
            <color indexed="81"/>
            <rFont val="Tahoma"/>
            <family val="2"/>
          </rPr>
          <t>Becky Dzingeleski:</t>
        </r>
        <r>
          <rPr>
            <sz val="9"/>
            <color indexed="81"/>
            <rFont val="Tahoma"/>
            <family val="2"/>
          </rPr>
          <t xml:space="preserve">
confirmed from CMC GASBS 68 tables from RSD - Allocations Tab</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tc={5BA93EA4-15E9-4DD4-A49C-482ED27FE116}</author>
  </authors>
  <commentList>
    <comment ref="H21" authorId="0" shapeId="0" xr:uid="{5BA93EA4-15E9-4DD4-A49C-482ED27FE116}">
      <text>
        <t>[Threaded comment]
Your version of Excel allows you to read this threaded comment; however, any edits to it will get removed if the file is opened in a newer version of Excel. Learn more: https://go.microsoft.com/fwlink/?linkid=870924
Comment:
    not sure what to do with this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36" authorId="0" shapeId="0" xr:uid="{00000000-0006-0000-0200-000001000000}">
      <text>
        <r>
          <rPr>
            <b/>
            <sz val="8"/>
            <color indexed="81"/>
            <rFont val="Tahoma"/>
            <family val="2"/>
          </rPr>
          <t>LGC:</t>
        </r>
        <r>
          <rPr>
            <sz val="8"/>
            <color indexed="81"/>
            <rFont val="Tahoma"/>
            <family val="2"/>
          </rPr>
          <t xml:space="preserve">
Significant items, subject to management control, that meet one of the criteria of 1)unusual in nature, or 2) infrequent in occurrence - not reasonably expected to recur in the foreseeable future.)</t>
        </r>
      </text>
    </comment>
    <comment ref="C37" authorId="0" shapeId="0" xr:uid="{00000000-0006-0000-0200-000002000000}">
      <text>
        <r>
          <rPr>
            <b/>
            <sz val="8"/>
            <color indexed="81"/>
            <rFont val="Tahoma"/>
            <family val="2"/>
          </rPr>
          <t>LGC:</t>
        </r>
        <r>
          <rPr>
            <sz val="8"/>
            <color indexed="81"/>
            <rFont val="Tahoma"/>
            <family val="2"/>
          </rPr>
          <t xml:space="preserve">
Significant events that must be both unusual in nature and infrequent in occurrence</t>
        </r>
      </text>
    </comment>
    <comment ref="C90" authorId="0" shapeId="0" xr:uid="{00000000-0006-0000-0200-000003000000}">
      <text>
        <r>
          <rPr>
            <b/>
            <sz val="8"/>
            <color indexed="81"/>
            <rFont val="Tahoma"/>
            <family val="2"/>
          </rPr>
          <t>LGC:</t>
        </r>
        <r>
          <rPr>
            <sz val="8"/>
            <color indexed="81"/>
            <rFont val="Tahoma"/>
            <family val="2"/>
          </rPr>
          <t xml:space="preserve">
Significant items, subject to management control, that meet one of the criteria of 1)unusual in nature, or 2) infrequent in occurrence - not reasonably expected to recur in the foreseeable future.)</t>
        </r>
      </text>
    </comment>
    <comment ref="C91" authorId="0" shapeId="0" xr:uid="{00000000-0006-0000-0200-000004000000}">
      <text>
        <r>
          <rPr>
            <b/>
            <sz val="8"/>
            <color indexed="81"/>
            <rFont val="Tahoma"/>
            <family val="2"/>
          </rPr>
          <t>LGC:</t>
        </r>
        <r>
          <rPr>
            <sz val="8"/>
            <color indexed="81"/>
            <rFont val="Tahoma"/>
            <family val="2"/>
          </rPr>
          <t xml:space="preserve">
Significant events that must be both unusual in nature and infrequent in occurrence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D42" authorId="0" shapeId="0" xr:uid="{00000000-0006-0000-0700-000001000000}">
      <text>
        <r>
          <rPr>
            <b/>
            <sz val="8"/>
            <color indexed="81"/>
            <rFont val="Tahoma"/>
            <family val="2"/>
          </rPr>
          <t>LGC:</t>
        </r>
        <r>
          <rPr>
            <sz val="8"/>
            <color indexed="81"/>
            <rFont val="Tahoma"/>
            <family val="2"/>
          </rPr>
          <t xml:space="preserve">
Assumes that this was recorded as an other 
financing source since it is a special item.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68" authorId="0" shapeId="0" xr:uid="{00000000-0006-0000-0900-000001000000}">
      <text>
        <r>
          <rPr>
            <b/>
            <sz val="8"/>
            <color indexed="81"/>
            <rFont val="Tahoma"/>
            <family val="2"/>
          </rPr>
          <t>LGC:</t>
        </r>
        <r>
          <rPr>
            <sz val="8"/>
            <color indexed="81"/>
            <rFont val="Tahoma"/>
            <family val="2"/>
          </rPr>
          <t xml:space="preserve">
The deferred charge is amortized over the shorter of the life of the old debt or the new debt.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B57" authorId="0" shapeId="0" xr:uid="{00000000-0006-0000-0A00-000001000000}">
      <text>
        <r>
          <rPr>
            <b/>
            <sz val="8"/>
            <color indexed="81"/>
            <rFont val="Tahoma"/>
            <family val="2"/>
          </rPr>
          <t>LGC:</t>
        </r>
        <r>
          <rPr>
            <sz val="8"/>
            <color indexed="81"/>
            <rFont val="Tahoma"/>
            <family val="2"/>
          </rPr>
          <t xml:space="preserve">
Recognizing an expenditure at the time of purchase.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131" authorId="0" shapeId="0" xr:uid="{00000000-0006-0000-0C00-000001000000}">
      <text>
        <r>
          <rPr>
            <b/>
            <sz val="8"/>
            <color indexed="81"/>
            <rFont val="Tahoma"/>
            <family val="2"/>
          </rPr>
          <t>LGC:</t>
        </r>
        <r>
          <rPr>
            <sz val="8"/>
            <color indexed="81"/>
            <rFont val="Tahoma"/>
            <family val="2"/>
          </rPr>
          <t xml:space="preserve">
This serves as the cumulative effect to beginning fund equity over time for the due to/froms generated each year in the internal service fund allocation. For business type activities, if the business activities owe govt. activities it is a debit and reduces equity. If govt. activities owe business type, it is a credit and increases equity.</t>
        </r>
      </text>
    </comment>
    <comment ref="C134" authorId="0" shapeId="0" xr:uid="{00000000-0006-0000-0C00-000002000000}">
      <text>
        <r>
          <rPr>
            <b/>
            <sz val="8"/>
            <color indexed="81"/>
            <rFont val="Tahoma"/>
            <family val="2"/>
          </rPr>
          <t>LGC:</t>
        </r>
        <r>
          <rPr>
            <sz val="8"/>
            <color indexed="81"/>
            <rFont val="Tahoma"/>
            <family val="2"/>
          </rPr>
          <t xml:space="preserve">
This serves as the cumulative effect to beginning fund equity over time for the due to/froms generated each year in the internal service fund allocation. For government type activities, if the govt. activities owe business activities it is a credit and reduces equity. If business activities owe govt. activities, it is a debit and increases equity.</t>
        </r>
      </text>
    </comment>
    <comment ref="G214" authorId="0" shapeId="0" xr:uid="{00000000-0006-0000-0C00-000003000000}">
      <text>
        <r>
          <rPr>
            <b/>
            <sz val="8"/>
            <color indexed="81"/>
            <rFont val="Tahoma"/>
            <family val="2"/>
          </rPr>
          <t>LGC:</t>
        </r>
        <r>
          <rPr>
            <sz val="8"/>
            <color indexed="81"/>
            <rFont val="Tahoma"/>
            <family val="2"/>
          </rPr>
          <t xml:space="preserve">
Formula assumes a normal credit balance. If a receivable occurs from allocation, a negative credit will result. The negative sign and its presentation will be resolved in the conversion worksheet.</t>
        </r>
      </text>
    </comment>
    <comment ref="E220" authorId="0" shapeId="0" xr:uid="{00000000-0006-0000-0C00-000004000000}">
      <text>
        <r>
          <rPr>
            <b/>
            <sz val="8"/>
            <color indexed="81"/>
            <rFont val="Tahoma"/>
            <family val="2"/>
          </rPr>
          <t>LGC:</t>
        </r>
        <r>
          <rPr>
            <sz val="8"/>
            <color indexed="81"/>
            <rFont val="Tahoma"/>
            <family val="2"/>
          </rPr>
          <t xml:space="preserve">
Formula assumes a normal debit balance. If a payable occurs from allocation, a negative debit will result. The negative sign and its presentation will be resolved in the conversion worksheet.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126" authorId="0" shapeId="0" xr:uid="{00000000-0006-0000-0D00-000001000000}">
      <text>
        <r>
          <rPr>
            <b/>
            <sz val="8"/>
            <color indexed="81"/>
            <rFont val="Tahoma"/>
            <family val="2"/>
          </rPr>
          <t>LGC:</t>
        </r>
        <r>
          <rPr>
            <sz val="8"/>
            <color indexed="81"/>
            <rFont val="Tahoma"/>
            <family val="2"/>
          </rPr>
          <t xml:space="preserve">
This serves as the cumulative effect to beginning fund equity over time for the due to/froms generated each year in the internal service fund allocation. For business type activities, if the business activities owe govt. activities it is a debit and reduces equity. If govt. activities owe business type, it is a credit and increase equity.</t>
        </r>
      </text>
    </comment>
    <comment ref="C129" authorId="0" shapeId="0" xr:uid="{00000000-0006-0000-0D00-000002000000}">
      <text>
        <r>
          <rPr>
            <b/>
            <sz val="8"/>
            <color indexed="81"/>
            <rFont val="Tahoma"/>
            <family val="2"/>
          </rPr>
          <t>LGC:</t>
        </r>
        <r>
          <rPr>
            <sz val="8"/>
            <color indexed="81"/>
            <rFont val="Tahoma"/>
            <family val="2"/>
          </rPr>
          <t xml:space="preserve">
This services as the cumulative effect to beginning fund equity over time for the due to/froms generated each year in the internal service fund allocation. For government type activities, if the govt. activities owe business activities it is a credit and reduces equity. If business activities owe govt. activities, it is a debit and increases equity.</t>
        </r>
      </text>
    </comment>
    <comment ref="G209" authorId="0" shapeId="0" xr:uid="{00000000-0006-0000-0D00-000003000000}">
      <text>
        <r>
          <rPr>
            <b/>
            <sz val="8"/>
            <color indexed="81"/>
            <rFont val="Tahoma"/>
            <family val="2"/>
          </rPr>
          <t>LGC:</t>
        </r>
        <r>
          <rPr>
            <sz val="8"/>
            <color indexed="81"/>
            <rFont val="Tahoma"/>
            <family val="2"/>
          </rPr>
          <t xml:space="preserve">
Formula assumes a normal credit balance. If a receivable occurs from allocation, a negative credit will result. The negative sign and its presentation will be resolved in the conversion worksheet.</t>
        </r>
      </text>
    </comment>
    <comment ref="E215" authorId="0" shapeId="0" xr:uid="{00000000-0006-0000-0D00-000004000000}">
      <text>
        <r>
          <rPr>
            <b/>
            <sz val="8"/>
            <color indexed="81"/>
            <rFont val="Tahoma"/>
            <family val="2"/>
          </rPr>
          <t>LGC:</t>
        </r>
        <r>
          <rPr>
            <sz val="8"/>
            <color indexed="81"/>
            <rFont val="Tahoma"/>
            <family val="2"/>
          </rPr>
          <t xml:space="preserve">
Formula assumes a normal debit balance. If a payable occurs from allocation, a negative debit will result. The negative sign and its presentation will be resolved in the conversion worksheet.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128" authorId="0" shapeId="0" xr:uid="{00000000-0006-0000-0E00-000001000000}">
      <text>
        <r>
          <rPr>
            <b/>
            <sz val="8"/>
            <color indexed="81"/>
            <rFont val="Tahoma"/>
            <family val="2"/>
          </rPr>
          <t>LGC:</t>
        </r>
        <r>
          <rPr>
            <sz val="8"/>
            <color indexed="81"/>
            <rFont val="Tahoma"/>
            <family val="2"/>
          </rPr>
          <t xml:space="preserve">
This serves as the cumulative effect to beginning fund equity over time for the due to/froms generated each year in the internal service fund allocation. For business type activities, if the business activities owe govt. activities it is a debit and reduces equity. If govt. activities owe business type, it is a credit and increase equity.</t>
        </r>
      </text>
    </comment>
    <comment ref="C131" authorId="0" shapeId="0" xr:uid="{00000000-0006-0000-0E00-000002000000}">
      <text>
        <r>
          <rPr>
            <b/>
            <sz val="8"/>
            <color indexed="81"/>
            <rFont val="Tahoma"/>
            <family val="2"/>
          </rPr>
          <t>LGC:</t>
        </r>
        <r>
          <rPr>
            <sz val="8"/>
            <color indexed="81"/>
            <rFont val="Tahoma"/>
            <family val="2"/>
          </rPr>
          <t xml:space="preserve">
This services as the cumulative effect to beginning fund equity over time for the due to/froms generated each year in the internal service fund allocation. For government type activities, if the govt. activities owe business activities it is a credit and reduces equity. If business activities owe govt. activities, it is a debit and increases equity.</t>
        </r>
      </text>
    </comment>
    <comment ref="G213" authorId="0" shapeId="0" xr:uid="{00000000-0006-0000-0E00-000003000000}">
      <text>
        <r>
          <rPr>
            <b/>
            <sz val="8"/>
            <color indexed="81"/>
            <rFont val="Tahoma"/>
            <family val="2"/>
          </rPr>
          <t>LGC:</t>
        </r>
        <r>
          <rPr>
            <sz val="8"/>
            <color indexed="81"/>
            <rFont val="Tahoma"/>
            <family val="2"/>
          </rPr>
          <t xml:space="preserve">
Formula assumes a normal credit balance. If a receivable occurs from allocation, a negative credit will result. The negative sign and its presentation will be resolved in the conversion worksheet.</t>
        </r>
      </text>
    </comment>
    <comment ref="E219" authorId="0" shapeId="0" xr:uid="{00000000-0006-0000-0E00-000004000000}">
      <text>
        <r>
          <rPr>
            <b/>
            <sz val="8"/>
            <color indexed="81"/>
            <rFont val="Tahoma"/>
            <family val="2"/>
          </rPr>
          <t>LGC:</t>
        </r>
        <r>
          <rPr>
            <sz val="8"/>
            <color indexed="81"/>
            <rFont val="Tahoma"/>
            <family val="2"/>
          </rPr>
          <t xml:space="preserve">
Formula assumes a normal debit balance. If a payable occurs from allocation, a negative debit will result. The negative sign and its presentation will be resolved in the conversion worksheet.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tc={EECEDF80-C8D2-418B-95A4-33BD59FD46A3}</author>
    <author>tc={DC4145E6-96F8-4FBD-BCAA-BDBEFE64475A}</author>
    <author>tc={1B1E80C3-C312-450B-8FCA-7CEE0D28F31B}</author>
    <author>tc={F508823D-A813-4A35-B3D9-746E641C8E1C}</author>
    <author>tc={687056C6-3931-4DC0-83F3-67CED92439DD}</author>
  </authors>
  <commentList>
    <comment ref="B4" authorId="0" shapeId="0" xr:uid="{EECEDF80-C8D2-418B-95A4-33BD59FD46A3}">
      <text>
        <t>[Threaded comment]
Your version of Excel allows you to read this threaded comment; however, any edits to it will get removed if the file is opened in a newer version of Excel. Learn more: https://go.microsoft.com/fwlink/?linkid=870924
Comment:
    Appropriate schedules in the Office of State Auditor Report</t>
      </text>
    </comment>
    <comment ref="B7" authorId="1" shapeId="0" xr:uid="{DC4145E6-96F8-4FBD-BCAA-BDBEFE64475A}">
      <text>
        <t xml:space="preserve">[Threaded comment]
Your version of Excel allows you to read this threaded comment; however, any edits to it will get removed if the file is opened in a newer version of Excel. Learn more: https://go.microsoft.com/fwlink/?linkid=870924
Comment:
    Make sure this list matches the CY Office of State Auditor list and list from FOD
Reply:
    </t>
      </text>
    </comment>
    <comment ref="C7" authorId="2" shapeId="0" xr:uid="{1B1E80C3-C312-450B-8FCA-7CEE0D28F31B}">
      <text>
        <t>[Threaded comment]
Your version of Excel allows you to read this threaded comment; however, any edits to it will get removed if the file is opened in a newer version of Excel. Learn more: https://go.microsoft.com/fwlink/?linkid=870924
Comment:
    LGERS Schedule 1 in State Auditors Report</t>
      </text>
    </comment>
    <comment ref="D7" authorId="3" shapeId="0" xr:uid="{F508823D-A813-4A35-B3D9-746E641C8E1C}">
      <text>
        <t>[Threaded comment]
Your version of Excel allows you to read this threaded comment; however, any edits to it will get removed if the file is opened in a newer version of Excel. Learn more: https://go.microsoft.com/fwlink/?linkid=870924
Comment:
    use vlookup to pull # from PY summary
Reply:
    Clean up any N/A that result from Vlookup and the copy and paste values in this column over the vlookup formula</t>
      </text>
    </comment>
    <comment ref="E7" authorId="4" shapeId="0" xr:uid="{687056C6-3931-4DC0-83F3-67CED92439DD}">
      <text>
        <t>[Threaded comment]
Your version of Excel allows you to read this threaded comment; however, any edits to it will get removed if the file is opened in a newer version of Excel. Learn more: https://go.microsoft.com/fwlink/?linkid=870924
Comment:
    All # come from Office of State Auditor Report Schedule 2</t>
      </text>
    </comment>
  </commentList>
</comments>
</file>

<file path=xl/sharedStrings.xml><?xml version="1.0" encoding="utf-8"?>
<sst xmlns="http://schemas.openxmlformats.org/spreadsheetml/2006/main" count="17914" uniqueCount="4832">
  <si>
    <t>The carrying value of an asset must be adjusted if its service utility has been significantly impaired. This example addresses the most common, physical damage. To meet the requirements of GASB 42 both of the following must be true: 1) magnitude of decline in service utility is significant; and 2) it is unexpected. This entry will calculate the capital asset impairment loss (or gain if an insurance recovery was received) when pysical damage occurs using the restoration cost approach.  Within that approach, the damage ratio can be calculated by the replacment cost method or the deflator method depending on what information is known. If replacement cost in current dollars is not known, then the restoration cost can be deflated to the year of acquisition. Deflation factors can be computed if the inflation factor per year is known or obtained from the internet by using engineering construction indexes or the consumer price index and selecting factors for the date of acquisition of the impaired asset.</t>
  </si>
  <si>
    <t>Restoration expenditures or insurance recovery may occur in another fiscal year. In that case, the impairment loss is recorded in the year of the loss and the recovery would be recorded as as a gain (miscellaneous revenue or extrarodinary gain) depending on the magnitude of the amount.</t>
  </si>
  <si>
    <t>Assets physically damaged during the year from accidents or natural causes which have been or are planned to be restored:</t>
  </si>
  <si>
    <t>Vehicle +</t>
  </si>
  <si>
    <t xml:space="preserve">What is the original cost at the beginning of the year for assets physically damaged during current year? </t>
  </si>
  <si>
    <t>What is the accumulated depreciation at the beginning of the year for the assets damaged in a. above?</t>
  </si>
  <si>
    <t>What is the depreciation expense for the current year up to the
 date of the damage for the assets above?</t>
  </si>
  <si>
    <t>Net book value of capital assets damaged</t>
  </si>
  <si>
    <r>
      <t xml:space="preserve">Method 1 - </t>
    </r>
    <r>
      <rPr>
        <sz val="10"/>
        <color indexed="10"/>
        <rFont val="Arial"/>
        <family val="2"/>
      </rPr>
      <t>know current year amounts earned</t>
    </r>
  </si>
  <si>
    <r>
      <t>Method 2 -</t>
    </r>
    <r>
      <rPr>
        <sz val="10"/>
        <color indexed="10"/>
        <rFont val="Arial"/>
        <family val="2"/>
      </rPr>
      <t xml:space="preserve"> know current year amounts taken</t>
    </r>
  </si>
  <si>
    <r>
      <t xml:space="preserve">Enter the amount of </t>
    </r>
    <r>
      <rPr>
        <u/>
        <sz val="10"/>
        <rFont val="Arial"/>
        <family val="2"/>
      </rPr>
      <t>current year collections</t>
    </r>
    <r>
      <rPr>
        <sz val="10"/>
        <rFont val="Arial"/>
        <family val="2"/>
      </rPr>
      <t xml:space="preserve"> in the function where the proceeds will be/have been expended. The sum of the amounts entered must equal the calculated amount for current collections.</t>
    </r>
  </si>
  <si>
    <t>n</t>
  </si>
  <si>
    <t>o</t>
  </si>
  <si>
    <t>Final Entry for Conversion Worksheet   [Entry C.1]</t>
  </si>
  <si>
    <t>Determination of Proportionate Participation</t>
  </si>
  <si>
    <t>$</t>
  </si>
  <si>
    <t>%</t>
  </si>
  <si>
    <t>Internal Charges</t>
  </si>
  <si>
    <t>Governmental Activities:</t>
  </si>
  <si>
    <t>Culture and recreation</t>
  </si>
  <si>
    <t>Total Governmental Activities</t>
  </si>
  <si>
    <t>Business-type Activities:</t>
  </si>
  <si>
    <t>Water and sewer</t>
  </si>
  <si>
    <t>Electric</t>
  </si>
  <si>
    <t>Total Business-type Activities</t>
  </si>
  <si>
    <t>Total Internal Charges</t>
  </si>
  <si>
    <t>External Charges</t>
  </si>
  <si>
    <t>Total Charges for Services</t>
  </si>
  <si>
    <t>Expenses for services provided externally</t>
  </si>
  <si>
    <t>Equip +</t>
  </si>
  <si>
    <t>Furniture</t>
  </si>
  <si>
    <t>Indicate any amounts from step a. that would qualify as a special item.</t>
  </si>
  <si>
    <t>What is the net book values of any assets donated from or transferred in from the Enterprise Funds or an Internal Service Fund accounted for in Business-type activities included in the amount for step a. above?</t>
  </si>
  <si>
    <t>9.</t>
  </si>
  <si>
    <t>J</t>
  </si>
  <si>
    <r>
      <t xml:space="preserve">What is the </t>
    </r>
    <r>
      <rPr>
        <u/>
        <sz val="10"/>
        <rFont val="Arial"/>
        <family val="2"/>
      </rPr>
      <t>"material" amount of loss</t>
    </r>
    <r>
      <rPr>
        <sz val="10"/>
        <rFont val="Arial"/>
        <family val="2"/>
      </rPr>
      <t xml:space="preserve"> on disposal that should be reclassified as an expense to General Government  </t>
    </r>
    <r>
      <rPr>
        <sz val="8"/>
        <color indexed="10"/>
        <rFont val="Arial"/>
        <family val="2"/>
      </rPr>
      <t>(Enter as a positive number. Miscellaneous revenue will be adjusted in this entry.)</t>
    </r>
  </si>
  <si>
    <r>
      <t xml:space="preserve">Reclassify material losses in the sale of capital assets.   </t>
    </r>
    <r>
      <rPr>
        <b/>
        <sz val="8"/>
        <rFont val="Arial"/>
        <family val="2"/>
      </rPr>
      <t>(Entry initially generated as F.1 from Tab F.Other Cap Asset Entries)</t>
    </r>
  </si>
  <si>
    <r>
      <t xml:space="preserve">What is the </t>
    </r>
    <r>
      <rPr>
        <u/>
        <sz val="10"/>
        <rFont val="Arial"/>
        <family val="2"/>
      </rPr>
      <t>"material" amount of loss</t>
    </r>
    <r>
      <rPr>
        <sz val="10"/>
        <rFont val="Arial"/>
        <family val="2"/>
      </rPr>
      <t xml:space="preserve"> on disposal that meets the criteria to be reported as a special expense item.</t>
    </r>
    <r>
      <rPr>
        <sz val="10"/>
        <color indexed="10"/>
        <rFont val="Arial"/>
        <family val="2"/>
      </rPr>
      <t xml:space="preserve"> </t>
    </r>
    <r>
      <rPr>
        <sz val="8"/>
        <color indexed="10"/>
        <rFont val="Arial"/>
        <family val="2"/>
      </rPr>
      <t>(Enter as a positive number - Miscellaneous revenue will be adjusted in this entry.)</t>
    </r>
    <r>
      <rPr>
        <sz val="10"/>
        <rFont val="Arial"/>
        <family val="2"/>
      </rPr>
      <t xml:space="preserve"> </t>
    </r>
  </si>
  <si>
    <t>L.10</t>
  </si>
  <si>
    <r>
      <t xml:space="preserve">General Government </t>
    </r>
    <r>
      <rPr>
        <sz val="8"/>
        <color indexed="10"/>
        <rFont val="Arial"/>
        <family val="2"/>
      </rPr>
      <t>(expense)</t>
    </r>
  </si>
  <si>
    <r>
      <t xml:space="preserve">Miscellaneous revenue </t>
    </r>
    <r>
      <rPr>
        <sz val="8"/>
        <color indexed="10"/>
        <rFont val="Arial"/>
        <family val="2"/>
      </rPr>
      <t>(Adjusts journal entry F.1 created earlier)</t>
    </r>
  </si>
  <si>
    <t>Reclassifies material losses on sale of cap assets as expense of Gen Govt or records as special exp item</t>
  </si>
  <si>
    <r>
      <t xml:space="preserve">Special item - expense </t>
    </r>
    <r>
      <rPr>
        <sz val="8"/>
        <color indexed="10"/>
        <rFont val="Arial"/>
        <family val="2"/>
      </rPr>
      <t>(Loss on sale or disposal of assets)</t>
    </r>
  </si>
  <si>
    <t>Accumulated depreciation - Other improvements</t>
  </si>
  <si>
    <t>Accumulated depreciation - Equipment</t>
  </si>
  <si>
    <t>Accumulated depreciation - Vehicles &amp; motorized equipment</t>
  </si>
  <si>
    <t>Accumulated depreciation - Infrastructure</t>
  </si>
  <si>
    <t>Special Item</t>
  </si>
  <si>
    <t>Description</t>
  </si>
  <si>
    <t>Balance Sheet Accounts</t>
  </si>
  <si>
    <t xml:space="preserve"> </t>
  </si>
  <si>
    <t>Restricted cash</t>
  </si>
  <si>
    <t>Taxes receivable</t>
  </si>
  <si>
    <t>Accounts receivable</t>
  </si>
  <si>
    <t>Due from other funds</t>
  </si>
  <si>
    <t>Due from other governments</t>
  </si>
  <si>
    <t>Due from component unit</t>
  </si>
  <si>
    <t>Inventories</t>
  </si>
  <si>
    <t>Prepaid items</t>
  </si>
  <si>
    <t>Due to other funds</t>
  </si>
  <si>
    <t>Customer deposits</t>
  </si>
  <si>
    <t>Intergovernmental payable</t>
  </si>
  <si>
    <t>General obligation bonds</t>
  </si>
  <si>
    <t>Bond anticipation notes</t>
  </si>
  <si>
    <t>The workbook is color-coded.  Blue cells are calculated numbers and are protected and locked.  Yellow cells are those that need data entered by the user.  However, every yellow cell may not be applicable to your unit and can be left blank. The tan sections on the summary worksheet are those accounts that have multiple rows included for one account to be summed at the end of the conversion process. The purple rows are proof totals.</t>
  </si>
  <si>
    <t>Printing:</t>
  </si>
  <si>
    <t>+</t>
  </si>
  <si>
    <t>-</t>
  </si>
  <si>
    <t>Special legislation for restriction of earnings for Register of Deeds</t>
  </si>
  <si>
    <r>
      <t xml:space="preserve">What was the </t>
    </r>
    <r>
      <rPr>
        <u/>
        <sz val="10"/>
        <rFont val="Arial"/>
        <family val="2"/>
      </rPr>
      <t>net</t>
    </r>
    <r>
      <rPr>
        <sz val="10"/>
        <rFont val="Arial"/>
        <family val="2"/>
      </rPr>
      <t xml:space="preserve"> amount of transfers between the governmental funds and the internal service funds whose predominant user is governmental?</t>
    </r>
  </si>
  <si>
    <t>Note:</t>
  </si>
  <si>
    <t>Equipment &amp; Furniture</t>
  </si>
  <si>
    <t>Accum. Depreciation - Equipment &amp; Furniture</t>
  </si>
  <si>
    <t>Capital grants &amp; contributions</t>
  </si>
  <si>
    <t>General government - operating grants &amp; contributions</t>
  </si>
  <si>
    <t>Transportation - operating grants &amp; contributions</t>
  </si>
  <si>
    <t>Economic &amp; physical development - operating grants &amp; contributions</t>
  </si>
  <si>
    <t>Environmental protection - operating grants &amp; contributions</t>
  </si>
  <si>
    <t>Human services - operating grants &amp; contributions</t>
  </si>
  <si>
    <t>Accounts in tan have multiple</t>
  </si>
  <si>
    <t>Manually Posted</t>
  </si>
  <si>
    <t>Entries</t>
  </si>
  <si>
    <t>As Needed</t>
  </si>
  <si>
    <t>Preliminary judgment made on which funds are major and which are non-major before conversion worksheet is done. Reconfirmed if any adjusting entries for modified accrual are made.</t>
  </si>
  <si>
    <r>
      <t xml:space="preserve">K.1 - K.3 Internal Service Fund Allocation: </t>
    </r>
    <r>
      <rPr>
        <sz val="10"/>
        <rFont val="Arial"/>
        <family val="2"/>
      </rPr>
      <t xml:space="preserve">There are worksheets for three internal service funds, </t>
    </r>
    <r>
      <rPr>
        <u/>
        <sz val="10"/>
        <rFont val="Arial"/>
        <family val="2"/>
      </rPr>
      <t>each of which must serve governmental funds as the primary beneficiary</t>
    </r>
    <r>
      <rPr>
        <sz val="10"/>
        <rFont val="Arial"/>
        <family val="2"/>
      </rPr>
      <t xml:space="preserve">. If enterprise funds are the primary beneficiary then they should be entered in the Business type conversion worksheet elsewhere on the website. </t>
    </r>
  </si>
  <si>
    <t>The entry is automatically generated from all the data provided and mapped to the Reclassifications and Eliminations column of the Conversion Worksheet as entry K.1-3. Additional worksheets are provided for other internal service funds and their entries are mapped together such that K.1 + K.2 + K.3 results in the final K.1-3 entry. Please note that if rounding causes a slight inaccuracy,  adjustments can be made.</t>
  </si>
  <si>
    <t>Consolidate transfers to arrive at net transfers to business type activities.</t>
  </si>
  <si>
    <t xml:space="preserve">Eliminate interfund balances for receivables and payables between governmental funds. </t>
  </si>
  <si>
    <t>Fund Balance</t>
  </si>
  <si>
    <t>Please be aware that in addition to posting to the conversion worksheets, capital assets and depreciation must be added to the unit's permanent accounts for recording capital assets in order to have proper beginning balances for next year's statements.</t>
  </si>
  <si>
    <t>Worksheet A</t>
  </si>
  <si>
    <t>Unrestricted intergovernmental</t>
  </si>
  <si>
    <t>Journal entry for conversion worksheet to reclassify revenue to functional categories:   [Entry  A.1]</t>
  </si>
  <si>
    <t>WORK SECTION for ENTRY</t>
  </si>
  <si>
    <t xml:space="preserve">Credit </t>
  </si>
  <si>
    <t xml:space="preserve">be presented as such in the General Revenue section of the Statement of Activities. </t>
  </si>
  <si>
    <t>Revenue Reclassification by Function</t>
  </si>
  <si>
    <t>The work section of this worksheet following section F compiles the data for the final entries in section F. Entry F.1 is for disposals; entry F.2 is to record the revenue when assets are donated to the unit; entry F.3 is to reclassify capital outlay expenditures to the proper function when title to the asset is not held by the county. The work section is not defined in the initial print range but provides the components of the final entry. Print ranges can be modified if it needs to be printed.</t>
  </si>
  <si>
    <t>Public safety - Capital grants and contributions</t>
  </si>
  <si>
    <t>Transportation - Charges for services</t>
  </si>
  <si>
    <t>Transportation - Operating grants and contributions</t>
  </si>
  <si>
    <t>Transportation - Capital grants and contributions</t>
  </si>
  <si>
    <t>Environmental protection - Charges for services</t>
  </si>
  <si>
    <t>Environmental protection - Operating grants and contributions</t>
  </si>
  <si>
    <t>What are the adjustments to expenses and liabilities for claims and judgments ?</t>
  </si>
  <si>
    <t xml:space="preserve"> Payments</t>
  </si>
  <si>
    <t>New claims</t>
  </si>
  <si>
    <r>
      <t xml:space="preserve">What was the balance at the end of the </t>
    </r>
    <r>
      <rPr>
        <u/>
        <sz val="10"/>
        <rFont val="Arial"/>
        <family val="2"/>
      </rPr>
      <t>prior year</t>
    </r>
    <r>
      <rPr>
        <sz val="10"/>
        <rFont val="Arial"/>
        <family val="2"/>
      </rPr>
      <t xml:space="preserve"> for claims and judgments?</t>
    </r>
  </si>
  <si>
    <t>Restricted for Capital Projects</t>
  </si>
  <si>
    <t>GASB 34 - Allocation of Internal Service Funds (Fund #1)</t>
  </si>
  <si>
    <t>GASB 34 - Allocation of Internal Service Funds (Fund #2)</t>
  </si>
  <si>
    <t>GASB 34 - Allocation of Internal Service Funds (Fund #3)</t>
  </si>
  <si>
    <r>
      <t xml:space="preserve"> </t>
    </r>
    <r>
      <rPr>
        <sz val="8"/>
        <color indexed="10"/>
        <rFont val="Arial"/>
        <family val="2"/>
      </rPr>
      <t>Eliminates intra-governmental</t>
    </r>
  </si>
  <si>
    <t xml:space="preserve">Closes out inter-activity </t>
  </si>
  <si>
    <t>balance account</t>
  </si>
  <si>
    <t>accounts to internal</t>
  </si>
  <si>
    <t>The journal entry for the conversion worksheet, to reclassify these expenditures as capital assets, will be automatically created.</t>
  </si>
  <si>
    <t>Determine the asset categories for which the expenditures noted in Section A were made and enter amounts by asset class. The total amount for section A and B should be equal.</t>
  </si>
  <si>
    <t>a.</t>
  </si>
  <si>
    <t xml:space="preserve">What is the original cost at the beginning of the year for an asset sold during current year? </t>
  </si>
  <si>
    <t>b.</t>
  </si>
  <si>
    <t>This workbook is designed to calculate the government-wide numbers for all governmental -type activities, including any internal service funds deemed to be primarily governmental in nature.  A separate workbook is available to calculate the government-wide numbers for all business-type activities.</t>
  </si>
  <si>
    <t>Specific Instructions:</t>
  </si>
  <si>
    <t>Enter the amount of debt related to capital assets.
Enter as a positive number.</t>
  </si>
  <si>
    <r>
      <t>The information collected in this worksheet will provide the specific information that must be input into Worksheet L. Section</t>
    </r>
    <r>
      <rPr>
        <sz val="10"/>
        <rFont val="Times New Roman"/>
        <family val="1"/>
      </rPr>
      <t xml:space="preserve"> I</t>
    </r>
    <r>
      <rPr>
        <sz val="10"/>
        <rFont val="Arial"/>
        <family val="2"/>
      </rPr>
      <t>. Entering these final numbers into worksheet L should complete the conversion process.</t>
    </r>
  </si>
  <si>
    <t>Major Funds</t>
  </si>
  <si>
    <t>Non-major Governmental Funds</t>
  </si>
  <si>
    <t xml:space="preserve">Total </t>
  </si>
  <si>
    <t>Allowance for uncollectible accounts</t>
  </si>
  <si>
    <t>Allowance for uncollectible interest</t>
  </si>
  <si>
    <t>Allowance for uncollectible tax accounts</t>
  </si>
  <si>
    <t>Cultural &amp; Recreation</t>
  </si>
  <si>
    <t>Capital Outlay</t>
  </si>
  <si>
    <t>Dr</t>
  </si>
  <si>
    <t>Cr</t>
  </si>
  <si>
    <t>Accum. Depreciation - Improvements</t>
  </si>
  <si>
    <t>Accum. Depreciation - Equipment</t>
  </si>
  <si>
    <t>Accum. Depreciation - Infrastructure</t>
  </si>
  <si>
    <t>Ref</t>
  </si>
  <si>
    <t>Leave this section blank if a separate account(s) entitled "Due to/from fiduciary funds" has been used at the fund level.</t>
  </si>
  <si>
    <t xml:space="preserve">What is the amount in "Due from other funds" that is due from fiduciary funds ? </t>
  </si>
  <si>
    <r>
      <t xml:space="preserve">Assumptions were made in journal entry F.1 </t>
    </r>
    <r>
      <rPr>
        <i/>
        <sz val="10"/>
        <rFont val="Arial"/>
        <family val="2"/>
      </rPr>
      <t>(from Tab F.Other Capital Asset Entries)</t>
    </r>
    <r>
      <rPr>
        <sz val="10"/>
        <rFont val="Arial"/>
        <family val="2"/>
      </rPr>
      <t xml:space="preserve"> that all sales/disposals of capital assets resulted in gains to miscellaneous revenue. If however a material loss occurred, it should be reclassified as a General Government expense. </t>
    </r>
    <r>
      <rPr>
        <i/>
        <sz val="10"/>
        <rFont val="Arial"/>
        <family val="2"/>
      </rPr>
      <t>(Question #131 from Implementation Guide 1.)</t>
    </r>
    <r>
      <rPr>
        <sz val="10"/>
        <rFont val="Arial"/>
        <family val="2"/>
      </rPr>
      <t xml:space="preserve"> For material losses, complete the question in section </t>
    </r>
    <r>
      <rPr>
        <sz val="11"/>
        <rFont val="Times New Roman"/>
        <family val="1"/>
      </rPr>
      <t>I.</t>
    </r>
    <r>
      <rPr>
        <sz val="10"/>
        <rFont val="Arial"/>
        <family val="2"/>
      </rPr>
      <t xml:space="preserve"> below. Indicate the amount of the loss that qualifies as a General Government expense and any material portion that meets the criteria for a special expense.</t>
    </r>
  </si>
  <si>
    <t>Accrued interest receivable on taxes</t>
  </si>
  <si>
    <t>Due to other governments</t>
  </si>
  <si>
    <t>Change in pension obligation during the year</t>
  </si>
  <si>
    <t>Net change in value over the year</t>
  </si>
  <si>
    <t>Transfers in</t>
  </si>
  <si>
    <t>Transfers out</t>
  </si>
  <si>
    <t xml:space="preserve">   Transfers in</t>
  </si>
  <si>
    <t xml:space="preserve">   Transfers out</t>
  </si>
  <si>
    <t>Unallocated amounts for operating accounts</t>
  </si>
  <si>
    <t>Allocation of profit or loss</t>
  </si>
  <si>
    <t>See Memo # 964 for the proper classification of revenue sources to operating, capital or charges for service.</t>
  </si>
  <si>
    <t xml:space="preserve">See Memos # 949 and # 964 for a discussion of the proper recognition of revenue under modified accrual and full accrual for GASB 33 and 34. </t>
  </si>
  <si>
    <r>
      <t xml:space="preserve">What is the amount of payables -"Advances from other funds" due to the business type activities from the governmental activities?  </t>
    </r>
    <r>
      <rPr>
        <sz val="8"/>
        <color indexed="10"/>
        <rFont val="Arial"/>
        <family val="2"/>
      </rPr>
      <t>Follow the directions in step 1 above - entering the number from the Conversion worksheet - exclude fiduciary funds portion.</t>
    </r>
  </si>
  <si>
    <r>
      <t xml:space="preserve">Reclassify inter-activity receivables and payables to internal balances </t>
    </r>
    <r>
      <rPr>
        <sz val="10"/>
        <rFont val="Arial"/>
        <family val="2"/>
      </rPr>
      <t xml:space="preserve">(transactions between governmental type and business type activities.) </t>
    </r>
    <r>
      <rPr>
        <b/>
        <sz val="10"/>
        <rFont val="Arial"/>
        <family val="2"/>
      </rPr>
      <t xml:space="preserve">  </t>
    </r>
    <r>
      <rPr>
        <b/>
        <sz val="8"/>
        <color indexed="10"/>
        <rFont val="Arial"/>
        <family val="2"/>
      </rPr>
      <t>Note: Due to/from Fiduciary funds are not included here.  It is best to separately classify them at the fund level but if that was not done, then complete Section D below.</t>
    </r>
  </si>
  <si>
    <t>Reclassify receivables and payables to the fiduciary funds from governmental activities.</t>
  </si>
  <si>
    <t>Interfund receivables and payables between the governmental funds must be eliminated so as not to overstate the assets and liabilities for governmental activities. There are four accounts which are affected, "due to/from" and "advances to/from."  Interfund receivables and payables to fiduciary funds are treated as external parties at the government-wide level. They are best reported in a separate account entitled due to/from fiduciary funds on the fund's Balance Sheet. If receivables/payables from fiduciary funds have not already been recorded on a separate line, complete the questions in Section D.</t>
  </si>
  <si>
    <r>
      <t xml:space="preserve">Special Item - gain (loss) on sale of asset </t>
    </r>
    <r>
      <rPr>
        <sz val="10"/>
        <rFont val="Wingdings 2"/>
        <family val="1"/>
        <charset val="2"/>
      </rPr>
      <t xml:space="preserve"> </t>
    </r>
    <r>
      <rPr>
        <sz val="12"/>
        <rFont val="Wingdings 2"/>
        <family val="1"/>
        <charset val="2"/>
      </rPr>
      <t xml:space="preserve"> l</t>
    </r>
  </si>
  <si>
    <t xml:space="preserve">Expenditures recorded under the modified accrual basis of accounting for the purchase or construction of capital assets must be reported as additions to capital assets under the full accrual basis of accounting on the government-wide statements. The capital assets acquired in these transactions will be added to the amounts previously recorded when the Capital Assets were entered on the conversion worksheet. Note that all expenditures for capital assets may not have been coded as capital outlay so a careful review of expenditures is needed to find all transactions related to capital assets such as expenditures for land or infrastructure coded as street improvements. </t>
  </si>
  <si>
    <r>
      <t xml:space="preserve">What was the amount of new debt issued by category for all governmental funds?  </t>
    </r>
    <r>
      <rPr>
        <b/>
        <sz val="10"/>
        <color indexed="10"/>
        <rFont val="Arial"/>
        <family val="2"/>
      </rPr>
      <t>(Exclude refunding bonds.)</t>
    </r>
  </si>
  <si>
    <r>
      <t>Review the governmental funds and record the information regarding bond refunding including the new debt, the old debt, the payment to the escrow agent,  and any issuance costs.</t>
    </r>
    <r>
      <rPr>
        <i/>
        <sz val="8"/>
        <rFont val="Arial"/>
        <family val="2"/>
      </rPr>
      <t xml:space="preserve"> </t>
    </r>
    <r>
      <rPr>
        <i/>
        <sz val="9"/>
        <rFont val="Arial"/>
        <family val="2"/>
      </rPr>
      <t>(If there were multiple refundings in the year, combine the numbers.)</t>
    </r>
  </si>
  <si>
    <r>
      <t xml:space="preserve">Enter net book value of traded asset calculated above into the cell for the asset class for the newly acquired asset?  </t>
    </r>
    <r>
      <rPr>
        <sz val="10"/>
        <color indexed="10"/>
        <rFont val="Arial"/>
        <family val="2"/>
      </rPr>
      <t>(</t>
    </r>
    <r>
      <rPr>
        <i/>
        <sz val="10"/>
        <color indexed="10"/>
        <rFont val="Arial"/>
        <family val="2"/>
      </rPr>
      <t>typically it will be the same asset class as the old asset but it may be a different class.)</t>
    </r>
    <r>
      <rPr>
        <i/>
        <sz val="10"/>
        <rFont val="Arial"/>
        <family val="2"/>
      </rPr>
      <t xml:space="preserve"> </t>
    </r>
  </si>
  <si>
    <t xml:space="preserve">What is the amount of installment purchases/COPs payable that will be due and payable within one year? </t>
  </si>
  <si>
    <t>Worksheets K.1-3 only handled internal service funds if the governmental activities were the primary users. For those internal service funds where the business type activity was the primary user and the allocation entries were created in the business type conversion worksheet, those entries applying to governmental activities must be entered in Section H below.</t>
  </si>
  <si>
    <t>Improvements other than buildings</t>
  </si>
  <si>
    <t>Recording Depreciation Expense</t>
  </si>
  <si>
    <t xml:space="preserve">Note that any revenue items or other financing sources qualifying as "special" or "extraordinary" as defined by GASB 34 will have to </t>
  </si>
  <si>
    <r>
      <t xml:space="preserve">Special item  </t>
    </r>
    <r>
      <rPr>
        <i/>
        <sz val="10"/>
        <rFont val="Arial"/>
        <family val="2"/>
      </rPr>
      <t>(revenue)</t>
    </r>
  </si>
  <si>
    <t>Accrued interest payable</t>
  </si>
  <si>
    <t>Beginning fund balance</t>
  </si>
  <si>
    <t>Interest expense</t>
  </si>
  <si>
    <t>What was the interest activity for debt over the year?</t>
  </si>
  <si>
    <t>Major Fund #4</t>
  </si>
  <si>
    <t>Education</t>
  </si>
  <si>
    <t>Education - charge for service</t>
  </si>
  <si>
    <t>Education - operating grants &amp; contributions</t>
  </si>
  <si>
    <t>Education - capital grants &amp; contributions</t>
  </si>
  <si>
    <t xml:space="preserve">Education </t>
  </si>
  <si>
    <t>Education-operating grants &amp; contributions</t>
  </si>
  <si>
    <t>Education-capital grants &amp; contributions</t>
  </si>
  <si>
    <t>Net Proceeds of New Debt Issue:</t>
  </si>
  <si>
    <t>Reacquisition cost:</t>
  </si>
  <si>
    <t>This workbook is mapped using cell references.  Any addition of columns and/or rows will alter the formulas and corrupt the data.  There are columns and rows placed in the program in areas where we felt that you may need to add additional text and data. Using these columns and rows will help prevent the altering of formulas and cell references. In most cases they are named "other" funds or "other" accounts, etc. They should be obvious.</t>
  </si>
  <si>
    <t>This workbook has been provided as a tool to facilitate your unit's conversion to the full accrual statements required by GASB 34. In preparation of this workbook, the staff of the LGC has assumed that the user has a good working knowledge of Excel.  The LGC's staff will provide accounting support for use of this workbook; however, we cannot give detailed instruction in the use of Excel.</t>
  </si>
  <si>
    <t>Environmental Protection</t>
  </si>
  <si>
    <t>Debt Service</t>
  </si>
  <si>
    <t>Principal retirement</t>
  </si>
  <si>
    <t>Interest and fees</t>
  </si>
  <si>
    <t>* In this scenario the governmental activities, as primary beneficiary, will have a balance payable to the business type activity of $304 which will be posted to the internal balance account to avoid an elimination entry later.</t>
  </si>
  <si>
    <r>
      <t xml:space="preserve">What was the prior year internal balance entry for the internal service fund allocation for governmental type activity? </t>
    </r>
    <r>
      <rPr>
        <sz val="8"/>
        <color indexed="10"/>
        <rFont val="Arial"/>
        <family val="2"/>
      </rPr>
      <t>Indicate sign - this amount will be negative if government activities owe (have a balance payable to) business type activities, and positive if government type activities have a balance receivable from business type activities.</t>
    </r>
  </si>
  <si>
    <t>General government</t>
  </si>
  <si>
    <t xml:space="preserve">Environmental protection </t>
  </si>
  <si>
    <t>m</t>
  </si>
  <si>
    <t>A.1</t>
  </si>
  <si>
    <t>A.2</t>
  </si>
  <si>
    <t>B.1</t>
  </si>
  <si>
    <t>B.2</t>
  </si>
  <si>
    <t>C.1</t>
  </si>
  <si>
    <t>D.1</t>
  </si>
  <si>
    <t>Special item - revenue</t>
  </si>
  <si>
    <t>Notes 1 &amp; 2  ---  Data is entered</t>
  </si>
  <si>
    <t>Note 4 -- Entry A.1  from</t>
  </si>
  <si>
    <t>Special item - expenditure</t>
  </si>
  <si>
    <t>Total of new debt</t>
  </si>
  <si>
    <t>Human services</t>
  </si>
  <si>
    <t>Claims and judgments</t>
  </si>
  <si>
    <t>Debt Service -principal retirement</t>
  </si>
  <si>
    <t>Installment purchases/COPs</t>
  </si>
  <si>
    <t>Adjustments to Other Asset Accounts</t>
  </si>
  <si>
    <t xml:space="preserve">Beginning </t>
  </si>
  <si>
    <t>Balance</t>
  </si>
  <si>
    <t>Current year</t>
  </si>
  <si>
    <t>Earned</t>
  </si>
  <si>
    <t>Used</t>
  </si>
  <si>
    <t xml:space="preserve">Ending </t>
  </si>
  <si>
    <t xml:space="preserve">Transportation </t>
  </si>
  <si>
    <t xml:space="preserve">Human services </t>
  </si>
  <si>
    <t xml:space="preserve">Cultural and recreation </t>
  </si>
  <si>
    <t>Restricted for Cultural and Recreation</t>
  </si>
  <si>
    <t>Restricted for Education</t>
  </si>
  <si>
    <t xml:space="preserve">Special assessments receivable </t>
  </si>
  <si>
    <t>Miscellaneous liabilities</t>
  </si>
  <si>
    <r>
      <t>Local option sales taxes…………………</t>
    </r>
    <r>
      <rPr>
        <sz val="8"/>
        <color indexed="10"/>
        <rFont val="Arial"/>
        <family val="2"/>
      </rPr>
      <t>(General)</t>
    </r>
  </si>
  <si>
    <r>
      <t>Unrestricted intergovernmental..</t>
    </r>
    <r>
      <rPr>
        <sz val="10"/>
        <color indexed="10"/>
        <rFont val="Arial"/>
        <family val="2"/>
      </rPr>
      <t>(</t>
    </r>
    <r>
      <rPr>
        <sz val="8"/>
        <color indexed="10"/>
        <rFont val="Arial"/>
        <family val="2"/>
      </rPr>
      <t>Typically general)</t>
    </r>
  </si>
  <si>
    <r>
      <t>Restricted intergovernmental…………...</t>
    </r>
    <r>
      <rPr>
        <sz val="8"/>
        <color indexed="10"/>
        <rFont val="Arial"/>
        <family val="2"/>
      </rPr>
      <t>(Program)</t>
    </r>
  </si>
  <si>
    <t>Contract retainage</t>
  </si>
  <si>
    <t>Accounts payable &amp; accrued liabilities</t>
  </si>
  <si>
    <t>Includes penalties</t>
  </si>
  <si>
    <t>Add any additional assessments made in the current year in the cell to the right.</t>
  </si>
  <si>
    <r>
      <t xml:space="preserve">OFS - Premium on debt issued </t>
    </r>
    <r>
      <rPr>
        <sz val="8"/>
        <color indexed="10"/>
        <rFont val="Arial"/>
        <family val="2"/>
      </rPr>
      <t>- other financing source</t>
    </r>
  </si>
  <si>
    <r>
      <t xml:space="preserve">Debt service </t>
    </r>
    <r>
      <rPr>
        <sz val="10"/>
        <rFont val="Arial"/>
        <family val="2"/>
      </rPr>
      <t>- bond issuance cost</t>
    </r>
  </si>
  <si>
    <r>
      <t>Debt service</t>
    </r>
    <r>
      <rPr>
        <sz val="8"/>
        <color indexed="10"/>
        <rFont val="Arial"/>
        <family val="2"/>
      </rPr>
      <t xml:space="preserve"> </t>
    </r>
    <r>
      <rPr>
        <sz val="10"/>
        <rFont val="Arial"/>
        <family val="2"/>
      </rPr>
      <t>- advance refunding escrow</t>
    </r>
  </si>
  <si>
    <r>
      <t>Premium on debt issued</t>
    </r>
    <r>
      <rPr>
        <sz val="8"/>
        <color indexed="10"/>
        <rFont val="Arial"/>
        <family val="2"/>
      </rPr>
      <t>- liability</t>
    </r>
  </si>
  <si>
    <t>liabilities</t>
  </si>
  <si>
    <r>
      <t>Debt service</t>
    </r>
    <r>
      <rPr>
        <sz val="10"/>
        <rFont val="Arial"/>
        <family val="2"/>
      </rPr>
      <t xml:space="preserve"> - advance refunding escrow</t>
    </r>
  </si>
  <si>
    <r>
      <t xml:space="preserve">The first worksheet is the "summary" sheet titled </t>
    </r>
    <r>
      <rPr>
        <b/>
        <sz val="10"/>
        <rFont val="Arial"/>
        <family val="2"/>
      </rPr>
      <t>"Conversion Worksheet."</t>
    </r>
    <r>
      <rPr>
        <sz val="10"/>
        <rFont val="Arial"/>
        <family val="2"/>
      </rPr>
      <t xml:space="preserve"> This is the sheet to which all the other sheets post. It is also the sheet where you will begin your data entry. The far most left columns are the trial balance columns. Please enter your adjusted pre-closing trial balance numbers here. We have assumed that you have prepared your fund statements at this point and that the trial balance is adjusted to reflect any changes that are needed to be made at the fund level. The</t>
    </r>
    <r>
      <rPr>
        <u/>
        <sz val="10"/>
        <rFont val="Arial"/>
        <family val="2"/>
      </rPr>
      <t xml:space="preserve"> prior year's ending balances</t>
    </r>
    <r>
      <rPr>
        <sz val="10"/>
        <rFont val="Arial"/>
        <family val="2"/>
      </rPr>
      <t xml:space="preserve"> for capital assets and long-term liabilities must also be manually posted to the "Capital Assets and Long-term Debt" column.  </t>
    </r>
  </si>
  <si>
    <t>Donations of capital assets received by the unit:</t>
  </si>
  <si>
    <t>Capital assets received by the unit as donations:</t>
  </si>
  <si>
    <t xml:space="preserve">   </t>
  </si>
  <si>
    <r>
      <t xml:space="preserve">Entry for Conversion worksheet to record changes in assets.  (Entry </t>
    </r>
    <r>
      <rPr>
        <b/>
        <sz val="10"/>
        <rFont val="Times New Roman"/>
        <family val="1"/>
      </rPr>
      <t>I.1</t>
    </r>
    <r>
      <rPr>
        <b/>
        <sz val="10"/>
        <rFont val="Arial"/>
        <family val="2"/>
      </rPr>
      <t>)</t>
    </r>
  </si>
  <si>
    <t>Investments</t>
  </si>
  <si>
    <r>
      <t xml:space="preserve">Special Assessments - Assessment results in </t>
    </r>
    <r>
      <rPr>
        <b/>
        <u/>
        <sz val="10"/>
        <rFont val="Arial"/>
        <family val="2"/>
      </rPr>
      <t>ownership of an asset</t>
    </r>
    <r>
      <rPr>
        <b/>
        <sz val="10"/>
        <rFont val="Arial"/>
        <family val="2"/>
      </rPr>
      <t xml:space="preserve">  - </t>
    </r>
    <r>
      <rPr>
        <b/>
        <sz val="9"/>
        <rFont val="Arial"/>
        <family val="2"/>
      </rPr>
      <t xml:space="preserve"> (Miscellaneous Revenue for Modified Accrual)
                                                                                                           (Program Revenue - Capital grants &amp; contributions for Full Accrual)</t>
    </r>
  </si>
  <si>
    <t>Governmental Activities</t>
  </si>
  <si>
    <t xml:space="preserve">  Land</t>
  </si>
  <si>
    <t xml:space="preserve">  Other non-depreciable assets</t>
  </si>
  <si>
    <t xml:space="preserve">  Buildings</t>
  </si>
  <si>
    <t xml:space="preserve">  Improvements other than buildings</t>
  </si>
  <si>
    <t xml:space="preserve">  Equipment</t>
  </si>
  <si>
    <t>Reclassification, elimination and consolidation entries are in worksheets K and L including the required Internal Service Fund entries in worksheet K.1, K.2, and K.3.</t>
  </si>
  <si>
    <t>One column on the govt funds</t>
  </si>
  <si>
    <t>Grand total of major + non-major funds   --   computed</t>
  </si>
  <si>
    <t>statement   --   computed</t>
  </si>
  <si>
    <t>NW Capital Project</t>
  </si>
  <si>
    <r>
      <t xml:space="preserve">The conversion journal entry in section J. will reverse the beginning and ending of year deferral in the trial balance. </t>
    </r>
    <r>
      <rPr>
        <b/>
        <sz val="10"/>
        <rFont val="Arial"/>
        <family val="2"/>
      </rPr>
      <t xml:space="preserve">It is posted only to the conversion worksheet, not to the general ledger or accounting system. </t>
    </r>
  </si>
  <si>
    <t>Complete section B of the worksheet indicating the functional and categorical reclassifications of the amounts in Section A., then the entry required for the Conversion worksheet will be created in Section C.  Any items that qualify for the definitions of special items or extraordinary items should be reported separately in order to be properly reported on the Statement of Activities. See definitions in the comment fields - place cursor over the field with a red triangle in the corner.</t>
  </si>
  <si>
    <t>Indicate to which function the net change in inventory reserve apply. The sum of the amounts below must equal the amount in the net change field above.</t>
  </si>
  <si>
    <t>Purchases method</t>
  </si>
  <si>
    <t>Change in reserve for Inventory</t>
  </si>
  <si>
    <t>Change in reserve for prepaid expense</t>
  </si>
  <si>
    <t>Change in reserve for inventory</t>
  </si>
  <si>
    <t>Change in Reserve for prepaid expense</t>
  </si>
  <si>
    <t>Other L.T. Liability 2</t>
  </si>
  <si>
    <t>Other L.T. Liability 1</t>
  </si>
  <si>
    <t>There are asset accounts that may not be recorded on the fund statements which will be required to be reported in the government-wide financial statements. These assets include such items as equity interests in joint ventures, advance funding of pension costs, and prepaid expenses and inventory when the purchases method is used. If the consumption method was used, no entry is required, but if the purchases method was used an adjustment must be made if the amount is material. If inventories or prepaid expenses are not recorded in the fund financial statements because they are not material, they are assumed not to be material to the government-wide statements. The results will need to be posted to the unit's permanent accounts to properly reflect next year's beginning balances.</t>
  </si>
  <si>
    <t>Restricted for Register of Deeds</t>
  </si>
  <si>
    <t>Proof Totals:</t>
  </si>
  <si>
    <r>
      <t xml:space="preserve">Full accrual Beginning net equity + change in net equity - </t>
    </r>
    <r>
      <rPr>
        <sz val="8"/>
        <rFont val="Arial"/>
        <family val="2"/>
      </rPr>
      <t>(from conversion worksheet)</t>
    </r>
  </si>
  <si>
    <t>Human Resources</t>
  </si>
  <si>
    <t>Culture and Recreation</t>
  </si>
  <si>
    <t>Identify the proper asset class to which the depreciation should be recorded in section B. below.</t>
  </si>
  <si>
    <t>The data provided in sections A. and B. will provide the information to create the proper entry for the conversion worksheet.</t>
  </si>
  <si>
    <t>Indicate to which function the new claims and judgments listed in step 2 apply. The sum of the amounts below must equal the amount in the corresponding step above. Indicate to which function the payment was charged in step 3. Indicate to which function any adjustments noted in step 4 should be recorded. Indicate any amounts that should be reported as special or extraordinary items.</t>
  </si>
  <si>
    <r>
      <t xml:space="preserve">Indicate the amount of </t>
    </r>
    <r>
      <rPr>
        <u/>
        <sz val="10"/>
        <rFont val="Arial"/>
        <family val="2"/>
      </rPr>
      <t>payments</t>
    </r>
    <r>
      <rPr>
        <sz val="10"/>
        <rFont val="Arial"/>
        <family val="2"/>
      </rPr>
      <t xml:space="preserve"> made on other long-term liabilities.</t>
    </r>
  </si>
  <si>
    <r>
      <t xml:space="preserve">Ending balance for other long-term liabilities for the current year. - </t>
    </r>
    <r>
      <rPr>
        <sz val="8"/>
        <color indexed="10"/>
        <rFont val="Arial"/>
        <family val="2"/>
      </rPr>
      <t>calculated</t>
    </r>
  </si>
  <si>
    <t>Interfund balances between governmental funds must be eliminated for purposes of presenting the government-wide Statements. Only those net balances between governmental and business type activities will remain and they will be classified as internal balances. Interfund transfers  must be consolidated to arrive at net transfers between governmental and business type activities. Reclassifications to programs or to current versus long-term assets and liabilities may also be necessary. These are the final steps to produce the trial balance that will become the government-wide statements. Entries are posted only to the conversion worksheet.</t>
  </si>
  <si>
    <t>What is the accumulated depreciation at the beginning of the year for the asset sold in a. above?</t>
  </si>
  <si>
    <t>c.</t>
  </si>
  <si>
    <r>
      <t>Of any assets donated above, what is the net book value (</t>
    </r>
    <r>
      <rPr>
        <i/>
        <sz val="10"/>
        <rFont val="Arial"/>
        <family val="2"/>
      </rPr>
      <t>cost less total accum. deprec. for all asset classes)</t>
    </r>
    <r>
      <rPr>
        <sz val="10"/>
        <rFont val="Arial"/>
        <family val="2"/>
      </rPr>
      <t xml:space="preserve"> of any assets </t>
    </r>
    <r>
      <rPr>
        <b/>
        <sz val="10"/>
        <rFont val="Arial"/>
        <family val="2"/>
      </rPr>
      <t>donated to</t>
    </r>
    <r>
      <rPr>
        <sz val="10"/>
        <rFont val="Arial"/>
        <family val="2"/>
      </rPr>
      <t xml:space="preserve"> the Enterprise Funds or an Internal Service Fund reported in Business-type activities?</t>
    </r>
  </si>
  <si>
    <t>This amount will be classified as a "transfer in" for the governmental activities column. It should also be included as a reconciling item to the fund statements.</t>
  </si>
  <si>
    <t xml:space="preserve">Adjustments to Other Liability and Expense Accounts </t>
  </si>
  <si>
    <t>Work Section for Conversion entry J</t>
  </si>
  <si>
    <t>Reclassify any interest expense or investment income that should be related to a specific program.</t>
  </si>
  <si>
    <t>Other financing source - sale of capital assets</t>
  </si>
  <si>
    <r>
      <t xml:space="preserve">OFS - Sale of capital assets </t>
    </r>
    <r>
      <rPr>
        <sz val="8"/>
        <color indexed="10"/>
        <rFont val="Arial"/>
        <family val="2"/>
      </rPr>
      <t>- other financing source</t>
    </r>
  </si>
  <si>
    <t>Advance funding of pension occurs when the benefit plan has a negative net pension obligation. A net pension obligation (liability - which is the normal case) should be addressed in worksheet J.</t>
  </si>
  <si>
    <t>Indicate to which function the net change in prepaid expenses applies. The sum of the amounts below must equal the amount in the net change field above .</t>
  </si>
  <si>
    <t>Eliminate the "doubling up effect" that may occur with inter-function activities when expenditures have been recorded twice.</t>
  </si>
  <si>
    <t>Due from fiduciary funds</t>
  </si>
  <si>
    <t>Due to fiduciary funds</t>
  </si>
  <si>
    <t>Journal entry for conversion worksheet to record additions and reductions in outstanding debt.   [Entry J.1]</t>
  </si>
  <si>
    <t>Reclassification of</t>
  </si>
  <si>
    <t>Revenues by Function</t>
  </si>
  <si>
    <r>
      <t xml:space="preserve">Conversion worksheet: </t>
    </r>
    <r>
      <rPr>
        <sz val="10"/>
        <rFont val="Arial"/>
        <family val="2"/>
      </rPr>
      <t xml:space="preserve">includes trial balances for all governmental funds, columns for prior year capital assets and long-term debt balances, and columns for posting the various reclassification, conversion, elimination and consolidation entries resulting in the final numbers for governmental activities for the statements. </t>
    </r>
  </si>
  <si>
    <t>This workbook is set up in a series of worksheets that address the various entries required to convert from modified to full accrual. Some entries must be initially recorded, some are simple reclassifications, and others are allocations to programs or functions. The workbook is based on the premise of answering a series of questions for those areas where modified and full accrual differ in their treatment of a transaction. The answers to these questions will generate accounting entries which are automatically mapped or linked to the conversion worksheet. Many entries are recorded only in this conversion worksheet and are not to be recorded in the general ledger but some effect permanent accounts like capital assets, depreciation, and liabilities. These entries must be posted to the unit's ledger accounts in order to properly reflect the beginning balances for the next year. In each case, the specific instructions to the individual worksheets indicate whether an entry to the permanent accounts is required.</t>
  </si>
  <si>
    <t>8.</t>
  </si>
  <si>
    <r>
      <t xml:space="preserve">General Government </t>
    </r>
    <r>
      <rPr>
        <sz val="8"/>
        <color indexed="10"/>
        <rFont val="Arial"/>
        <family val="2"/>
      </rPr>
      <t>- expense</t>
    </r>
  </si>
  <si>
    <r>
      <t>Other revenues not previously covered that require adjustment from modified to full accrual -</t>
    </r>
    <r>
      <rPr>
        <sz val="10"/>
        <rFont val="Arial"/>
        <family val="2"/>
      </rPr>
      <t xml:space="preserve"> </t>
    </r>
    <r>
      <rPr>
        <sz val="8"/>
        <rFont val="Arial"/>
        <family val="2"/>
      </rPr>
      <t>including misc. charges, services &amp; fees</t>
    </r>
  </si>
  <si>
    <t>Final Entry for Conversion Worksheet   [Entry B.1 and B.2]</t>
  </si>
  <si>
    <t>Entry A</t>
  </si>
  <si>
    <t>Entry E</t>
  </si>
  <si>
    <t>Entry F</t>
  </si>
  <si>
    <t>Entry G</t>
  </si>
  <si>
    <t>Other program 1 - charge for service</t>
  </si>
  <si>
    <t>Other program 1 - operating grants &amp; contributions</t>
  </si>
  <si>
    <t>Other program 1 - capital grants &amp; contributions</t>
  </si>
  <si>
    <t>Operating grants and contributions</t>
  </si>
  <si>
    <t>Capital grants and contributions</t>
  </si>
  <si>
    <t>Cultural and recreation</t>
  </si>
  <si>
    <t>Human Services</t>
  </si>
  <si>
    <t>Total program revenues</t>
  </si>
  <si>
    <t>General government - Charges for services</t>
  </si>
  <si>
    <t>General government - Operating grants and contributions</t>
  </si>
  <si>
    <t>d.</t>
  </si>
  <si>
    <t>Building</t>
  </si>
  <si>
    <t>Improvement</t>
  </si>
  <si>
    <t>Vehicles +</t>
  </si>
  <si>
    <t>Mot. Equip</t>
  </si>
  <si>
    <t>Miscellaneous Revenue</t>
  </si>
  <si>
    <t>Net book value of capital assets sold</t>
  </si>
  <si>
    <t>Gain / loss qualifying as special item</t>
  </si>
  <si>
    <t>Gain / loss on sale of assets</t>
  </si>
  <si>
    <t>The journal entry for the conversion worksheet, to reclassify these expenditures and other financing sources to increases and decreases in the proper liability accounts will be automatically created.</t>
  </si>
  <si>
    <t>What was the accrued interest at the end of the year under full accrual?</t>
  </si>
  <si>
    <t>Entry H</t>
  </si>
  <si>
    <t>Both amounts should be net of estimated uncollectible amounts.</t>
  </si>
  <si>
    <t>This amount will be classified as a "transfer out" for the governmental activities column, it should also be included as a reconciling item to the fund statements.</t>
  </si>
  <si>
    <t>OFU - Transfer Out</t>
  </si>
  <si>
    <t>OFS - Transfer In</t>
  </si>
  <si>
    <t>Permits and fess</t>
  </si>
  <si>
    <r>
      <t xml:space="preserve">WORK SECTION - </t>
    </r>
    <r>
      <rPr>
        <sz val="11"/>
        <rFont val="Arial"/>
        <family val="2"/>
      </rPr>
      <t>Entries for each step above</t>
    </r>
    <r>
      <rPr>
        <b/>
        <sz val="11"/>
        <rFont val="Arial"/>
        <family val="2"/>
      </rPr>
      <t>.</t>
    </r>
  </si>
  <si>
    <t>General government - charge for service</t>
  </si>
  <si>
    <t>Public Safety - charge for service</t>
  </si>
  <si>
    <t>Transportation - charge for service</t>
  </si>
  <si>
    <t>Economic &amp; physical development - charge for service</t>
  </si>
  <si>
    <t>Environmental protection - charge for service</t>
  </si>
  <si>
    <t>Human services - charge for service</t>
  </si>
  <si>
    <t>Cultural and recreation - charge for service</t>
  </si>
  <si>
    <t>j</t>
  </si>
  <si>
    <t>k</t>
  </si>
  <si>
    <t>Public Safety - capital grants &amp; contributions</t>
  </si>
  <si>
    <t>Transportation - capital grants and contributions</t>
  </si>
  <si>
    <r>
      <t>Governmental funds have the option to record inventories and prepaid expenses using the purchases method; i.e. recognizing an expenditure at the time of purchase rather than based on consumption. GASB 34 requires that inventories and prepaid expenses be accounted for as assets regardless of their treatment in the fund financial statements</t>
    </r>
    <r>
      <rPr>
        <sz val="10"/>
        <rFont val="Arial"/>
        <family val="2"/>
      </rPr>
      <t xml:space="preserve"> </t>
    </r>
    <r>
      <rPr>
        <u/>
        <sz val="10"/>
        <rFont val="Arial"/>
        <family val="2"/>
      </rPr>
      <t>if material</t>
    </r>
    <r>
      <rPr>
        <sz val="10"/>
        <rFont val="Arial"/>
        <family val="2"/>
      </rPr>
      <t>. Therefore balances remaining in inventories or prepaid expenses must be recorded as assets for the government-wide statements and the corresponding expenditures must be reduced.</t>
    </r>
  </si>
  <si>
    <r>
      <t xml:space="preserve">Misc. Revenue - </t>
    </r>
    <r>
      <rPr>
        <sz val="8"/>
        <color indexed="10"/>
        <rFont val="Arial"/>
        <family val="2"/>
      </rPr>
      <t>[Net Income (loss) in joint venture]</t>
    </r>
  </si>
  <si>
    <r>
      <t>Misc. Rev</t>
    </r>
    <r>
      <rPr>
        <sz val="8"/>
        <color indexed="10"/>
        <rFont val="Arial"/>
        <family val="2"/>
      </rPr>
      <t>-Net Inc/(loss) in joint venture</t>
    </r>
  </si>
  <si>
    <t xml:space="preserve">Compensated absences earned during the current period must be reported as an expense under full accrual accounting. This may be a number that is not easily determined. Typically, you will know the beginning and ending balances and either the leave earned during the current year (Method 1) or the leave used during the current year (Method 2).  Choose ONE of the tables below in Section A. Enter the data in the yellow fields. The cells in blue with the red caption will be calculated. The information must be entered by function in order to calculate functional expense for the current year and prior years. This data will provide the information to create the entry to record current year expense and  the entry to eliminate expenditures related to prior years. (Choose only one method, if data is entered into both tables the resulting entry will be overstated.) </t>
  </si>
  <si>
    <t>Under the full accrual basis of accounting, accrued interest on uncollected taxes should be recognized as revenue after adjusting for uncollectible amounts. It may be necessary to estimate the amount of that receivable. Penalties that are known at year-end should already be recorded in taxes receivable. Penalties related to discoveries should be recorded when the discovery occurs.</t>
  </si>
  <si>
    <r>
      <t xml:space="preserve">Compensated Absences - What are current and prior year expenses under full accrual?   </t>
    </r>
    <r>
      <rPr>
        <b/>
        <sz val="10"/>
        <color indexed="10"/>
        <rFont val="Arial"/>
        <family val="2"/>
      </rPr>
      <t xml:space="preserve">(Choose Method 1 </t>
    </r>
    <r>
      <rPr>
        <b/>
        <u/>
        <sz val="10"/>
        <color indexed="10"/>
        <rFont val="Arial"/>
        <family val="2"/>
      </rPr>
      <t>or</t>
    </r>
    <r>
      <rPr>
        <b/>
        <sz val="10"/>
        <color indexed="10"/>
        <rFont val="Arial"/>
        <family val="2"/>
      </rPr>
      <t xml:space="preserve">  2)</t>
    </r>
  </si>
  <si>
    <r>
      <t xml:space="preserve">Capital Outlay: </t>
    </r>
    <r>
      <rPr>
        <sz val="10"/>
        <rFont val="Arial"/>
        <family val="2"/>
      </rPr>
      <t>converts capital outlay expenditures for items above the capitalization threshold to the proper asset class and reduces respective program/function expenditures.</t>
    </r>
  </si>
  <si>
    <r>
      <t xml:space="preserve">Other Capital Asset Entries: </t>
    </r>
    <r>
      <rPr>
        <sz val="10"/>
        <rFont val="Arial"/>
        <family val="2"/>
      </rPr>
      <t>addresses all other capital asset entries, sales, trades, retirements, donations, etc. and generates the correct entry to asset classes, programs/functions, and revenue or expenditure accounts.</t>
    </r>
  </si>
  <si>
    <r>
      <t xml:space="preserve">Debt Service: </t>
    </r>
    <r>
      <rPr>
        <sz val="10"/>
        <rFont val="Arial"/>
        <family val="2"/>
      </rPr>
      <t>converts debt service expenditures to the proper reductions in liability accounts.</t>
    </r>
  </si>
  <si>
    <r>
      <t xml:space="preserve">Debt Issues: </t>
    </r>
    <r>
      <rPr>
        <sz val="10"/>
        <rFont val="Arial"/>
        <family val="2"/>
      </rPr>
      <t>addresses all other debt transactions including new debt issues, refunding, and amortization.</t>
    </r>
  </si>
  <si>
    <r>
      <t xml:space="preserve">Other Asset Entries: </t>
    </r>
    <r>
      <rPr>
        <sz val="10"/>
        <rFont val="Arial"/>
        <family val="2"/>
      </rPr>
      <t>addresses the asset accounts, equity interest in joint venture, prepaid expenses, inventory, and advance funding of pensions.</t>
    </r>
  </si>
  <si>
    <r>
      <t xml:space="preserve">Most of the workbook is protected to prevent accidental changes in formulas and the mapping of cells.  The </t>
    </r>
    <r>
      <rPr>
        <b/>
        <sz val="10"/>
        <rFont val="Arial"/>
        <family val="2"/>
      </rPr>
      <t xml:space="preserve">password </t>
    </r>
    <r>
      <rPr>
        <sz val="10"/>
        <rFont val="Arial"/>
        <family val="2"/>
      </rPr>
      <t>to unlock the workbook is</t>
    </r>
    <r>
      <rPr>
        <b/>
        <sz val="10"/>
        <rFont val="Arial"/>
        <family val="2"/>
      </rPr>
      <t xml:space="preserve"> gasb34</t>
    </r>
    <r>
      <rPr>
        <sz val="10"/>
        <rFont val="Arial"/>
        <family val="2"/>
      </rPr>
      <t xml:space="preserve"> (must be entered in lower case, no spaces).  Only users with advanced Excel skills should attempt to change the workbook by releasing the protection.</t>
    </r>
  </si>
  <si>
    <t xml:space="preserve">What expenditures classified as "capital outlay" were spent for assets where the county does not hold title to the asset, (e.g. school construction)? </t>
  </si>
  <si>
    <t>If positive, an excess charge will be allocated; if negative, a loss or undercharge will be allocated to the functions that used the service.</t>
  </si>
  <si>
    <t>Entry must balance !</t>
  </si>
  <si>
    <t>Internal balances  *</t>
  </si>
  <si>
    <t>Net</t>
  </si>
  <si>
    <t>Unexpended</t>
  </si>
  <si>
    <t>Unearned</t>
  </si>
  <si>
    <t>Restricted</t>
  </si>
  <si>
    <t>Governmental Activities By Function</t>
  </si>
  <si>
    <t>Cash</t>
  </si>
  <si>
    <t>Income</t>
  </si>
  <si>
    <t>Economic and physical development</t>
  </si>
  <si>
    <t>Debt service</t>
  </si>
  <si>
    <t>Accounts</t>
  </si>
  <si>
    <t>Business Type Activities</t>
  </si>
  <si>
    <t>Receivable</t>
  </si>
  <si>
    <t>Payable</t>
  </si>
  <si>
    <t>Water</t>
  </si>
  <si>
    <t>Sewer</t>
  </si>
  <si>
    <t>Solid Waste</t>
  </si>
  <si>
    <t>Parking</t>
  </si>
  <si>
    <r>
      <t xml:space="preserve">Enter the cost by function for the increment above, e.g. for Retirees Healthcare. If plans exist covering employees then their respective function should be charged. The total for the detail in step 3 must equal the amount in step 2. </t>
    </r>
    <r>
      <rPr>
        <sz val="8"/>
        <color indexed="10"/>
        <rFont val="Arial"/>
        <family val="2"/>
      </rPr>
      <t>(If the change above is negative, the sum of step 3 should also be negative.)</t>
    </r>
  </si>
  <si>
    <t>Other program 2</t>
  </si>
  <si>
    <t>Total of incremental net OPEB costs</t>
  </si>
  <si>
    <t>t</t>
  </si>
  <si>
    <t>Expenses need to be accrued for those liabilities incurred during the period which are not normally paid with current available resources. This includes items such as compensated absences, claims and judgments, landfill closure and post-closure costs, the net pension cost of unit managed benefit plans, any other postemployment benefits or other long-term liabilities. The results will need to be posted to permanent accounts for next year's beginning balances.</t>
  </si>
  <si>
    <r>
      <t xml:space="preserve">The net pension obligation has always been calculated for the note disclosure if the unit had an actuarial study performed. If material, most units also recorded the amount in the General Long Term Debt account. The beginning balance was recorded earlier when the capital assets and long term debt accounts were recorded. The information to be recorded in Section C is the incremental change in the current year. If the pension obligation has been advance funded, please complete the questions on the Worksheet </t>
    </r>
    <r>
      <rPr>
        <sz val="11"/>
        <rFont val="Times New Roman"/>
        <family val="1"/>
      </rPr>
      <t>I</t>
    </r>
    <r>
      <rPr>
        <sz val="10"/>
        <rFont val="Arial"/>
        <family val="2"/>
      </rPr>
      <t xml:space="preserve"> and leave this section blank.</t>
    </r>
  </si>
  <si>
    <r>
      <t xml:space="preserve">The other post-employment benefits (OPEB) may be calculated through an actuarial study or by calculations using the alternative method.  All units must record the amount in their General Long Term Debt account, if the benefits are offered. The information to be recorded here is the incremental change in the current year, based on beginning and ending computed liabilities.  If the OPEB obligation has been advance funded, please complete the questions on the Worksheet </t>
    </r>
    <r>
      <rPr>
        <sz val="11"/>
        <rFont val="Times New Roman"/>
        <family val="1"/>
      </rPr>
      <t>I</t>
    </r>
    <r>
      <rPr>
        <sz val="10"/>
        <rFont val="Arial"/>
        <family val="2"/>
      </rPr>
      <t xml:space="preserve"> and leave this section blank.</t>
    </r>
  </si>
  <si>
    <r>
      <t xml:space="preserve">OFS - Capital leases </t>
    </r>
    <r>
      <rPr>
        <sz val="8"/>
        <color indexed="10"/>
        <rFont val="Arial"/>
        <family val="2"/>
      </rPr>
      <t>(proceeds)</t>
    </r>
  </si>
  <si>
    <r>
      <t xml:space="preserve">OFS - Installment purchases/COPS </t>
    </r>
    <r>
      <rPr>
        <sz val="8"/>
        <color indexed="10"/>
        <rFont val="Arial"/>
        <family val="2"/>
      </rPr>
      <t>(proceeds)</t>
    </r>
  </si>
  <si>
    <r>
      <t xml:space="preserve">OFS - Premiums on debt issued </t>
    </r>
    <r>
      <rPr>
        <sz val="8"/>
        <color indexed="10"/>
        <rFont val="Arial"/>
        <family val="2"/>
      </rPr>
      <t>- other financing source</t>
    </r>
  </si>
  <si>
    <r>
      <t xml:space="preserve">Discounts on debt issued </t>
    </r>
    <r>
      <rPr>
        <sz val="8"/>
        <color indexed="10"/>
        <rFont val="Arial"/>
        <family val="2"/>
      </rPr>
      <t>- contra-liability</t>
    </r>
  </si>
  <si>
    <r>
      <t>OFU - Discount on debt issued -</t>
    </r>
    <r>
      <rPr>
        <sz val="8"/>
        <color indexed="10"/>
        <rFont val="Arial"/>
        <family val="2"/>
      </rPr>
      <t xml:space="preserve"> other financing use</t>
    </r>
  </si>
  <si>
    <r>
      <t xml:space="preserve">Premium on debt issued </t>
    </r>
    <r>
      <rPr>
        <sz val="8"/>
        <color indexed="10"/>
        <rFont val="Arial"/>
        <family val="2"/>
      </rPr>
      <t>- liability</t>
    </r>
  </si>
  <si>
    <r>
      <t xml:space="preserve">Capital leases </t>
    </r>
    <r>
      <rPr>
        <sz val="8"/>
        <color indexed="10"/>
        <rFont val="Arial"/>
        <family val="2"/>
      </rPr>
      <t xml:space="preserve"> - liability</t>
    </r>
  </si>
  <si>
    <r>
      <t>OFS - Capital leases</t>
    </r>
    <r>
      <rPr>
        <sz val="8"/>
        <color indexed="10"/>
        <rFont val="Arial"/>
        <family val="2"/>
      </rPr>
      <t xml:space="preserve"> (proceeds)</t>
    </r>
  </si>
  <si>
    <r>
      <t>OFS - Installment purchases/COPS</t>
    </r>
    <r>
      <rPr>
        <sz val="8"/>
        <color indexed="10"/>
        <rFont val="Arial"/>
        <family val="2"/>
      </rPr>
      <t xml:space="preserve"> (proceeds)</t>
    </r>
  </si>
  <si>
    <r>
      <t xml:space="preserve">OFS - Bond issued </t>
    </r>
    <r>
      <rPr>
        <sz val="8"/>
        <color indexed="10"/>
        <rFont val="Arial"/>
        <family val="2"/>
      </rPr>
      <t>(proceeds)</t>
    </r>
  </si>
  <si>
    <r>
      <t>General Instructions:</t>
    </r>
    <r>
      <rPr>
        <sz val="10"/>
        <rFont val="Arial"/>
        <family val="2"/>
      </rPr>
      <t xml:space="preserve"> synopsis and general guidelines for use of the workbook. </t>
    </r>
  </si>
  <si>
    <r>
      <t xml:space="preserve">Property taxes:  </t>
    </r>
    <r>
      <rPr>
        <sz val="10"/>
        <rFont val="Arial"/>
        <family val="2"/>
      </rPr>
      <t>addresses the prior year and current year revenue recognition for ad valorem taxes.</t>
    </r>
  </si>
  <si>
    <r>
      <t xml:space="preserve">Other revenues: </t>
    </r>
    <r>
      <rPr>
        <sz val="10"/>
        <rFont val="Arial"/>
        <family val="2"/>
      </rPr>
      <t>addresses the prior year and current year revenue recognition for all other revenue.</t>
    </r>
  </si>
  <si>
    <r>
      <t xml:space="preserve">Depreciation: </t>
    </r>
    <r>
      <rPr>
        <sz val="10"/>
        <rFont val="Arial"/>
        <family val="2"/>
      </rPr>
      <t>records depreciation expense for all asset classes by program/function and records unallocated amounts.</t>
    </r>
  </si>
  <si>
    <t>Reclassify capital outlay expenditures where county does not hold title to assets:</t>
  </si>
  <si>
    <t>What is the depreciation expense for the current year up to the
 date of sale for the assets above?</t>
  </si>
  <si>
    <t>Indicate revenue account to which items were recorded?</t>
  </si>
  <si>
    <t xml:space="preserve">What is the original cost at the beginning of the year for assets traded-in during current year? </t>
  </si>
  <si>
    <t>What is the accumulated depreciation at the beginning of the year for the assets traded-in a. above?</t>
  </si>
  <si>
    <t>What is the depreciation expense for the current year up to the
 date of trade-in for the asset above?</t>
  </si>
  <si>
    <t>Net book value of capital assets traded</t>
  </si>
  <si>
    <t>Review the various governmental funds, including capital projects, and identify capital outlay expenditures that should be capitalized and recorded as capital assets in the county's permanent records . Accumulate by function for entry to Section A below. The amount for capital outlay for schools or other parties where title to the property is not held by the county will be excluded from this entry and reclassified as a functional expenditure in worksheet F.</t>
  </si>
  <si>
    <r>
      <t xml:space="preserve">* Special item - Subject to management control and unusual in nature (possessing a high degree of abnormality and clearly unrelated to ordinary or typical activity) </t>
    </r>
    <r>
      <rPr>
        <i/>
        <u/>
        <sz val="10"/>
        <rFont val="Arial"/>
        <family val="2"/>
      </rPr>
      <t>or</t>
    </r>
    <r>
      <rPr>
        <i/>
        <sz val="10"/>
        <rFont val="Arial"/>
        <family val="2"/>
      </rPr>
      <t xml:space="preserve"> infrequent in occurrence; should be a material amount to justify such treatment. </t>
    </r>
  </si>
  <si>
    <t>Determine the function / program to which the revenue applies for those revenues which are program specific. Note that special assessments in section F. and G. have additional questions regarding new levies for the current year and current year collections.</t>
  </si>
  <si>
    <t xml:space="preserve">Conversion entries to convert from modified accrual to full accrual are generated from the worksheets B through J. </t>
  </si>
  <si>
    <r>
      <t xml:space="preserve">What was the amount of transfers between governmental funds? The amount transferred in and out will be the same.  </t>
    </r>
    <r>
      <rPr>
        <sz val="8"/>
        <rFont val="Arial"/>
        <family val="2"/>
      </rPr>
      <t>(Includes General fund, special revenue funds, capital projects, debt service, and permanent funds)</t>
    </r>
    <r>
      <rPr>
        <sz val="10"/>
        <rFont val="Arial"/>
        <family val="2"/>
      </rPr>
      <t>.</t>
    </r>
  </si>
  <si>
    <t>Consolidation, Elimination and Reclassification Entries</t>
  </si>
  <si>
    <t>L.1</t>
  </si>
  <si>
    <t>OFS - Transfers in</t>
  </si>
  <si>
    <t>OFU - Transfers out</t>
  </si>
  <si>
    <t>L.2</t>
  </si>
  <si>
    <t>L.3</t>
  </si>
  <si>
    <r>
      <t xml:space="preserve">   activity</t>
    </r>
    <r>
      <rPr>
        <sz val="10"/>
        <rFont val="Arial"/>
        <family val="2"/>
      </rPr>
      <t xml:space="preserve"> </t>
    </r>
  </si>
  <si>
    <t>E.1</t>
  </si>
  <si>
    <t>Calculated   -        Do not enter data into both tables !</t>
  </si>
  <si>
    <t>Expenditures for prior years</t>
  </si>
  <si>
    <t>Expenditures for this year</t>
  </si>
  <si>
    <t xml:space="preserve">   Accrued vacation/compensated absences</t>
  </si>
  <si>
    <t>Internal balances</t>
  </si>
  <si>
    <r>
      <t xml:space="preserve">   Investment Earnings - </t>
    </r>
    <r>
      <rPr>
        <sz val="8"/>
        <color indexed="10"/>
        <rFont val="Arial"/>
        <family val="2"/>
      </rPr>
      <t>General revenue</t>
    </r>
  </si>
  <si>
    <t>Economic &amp; physical development - capital grants &amp; contributions</t>
  </si>
  <si>
    <t>Environmental protection - capital grants &amp; contributions</t>
  </si>
  <si>
    <t>Reclasses external</t>
  </si>
  <si>
    <t>receivables &amp; payables</t>
  </si>
  <si>
    <t>of interfunction activity</t>
  </si>
  <si>
    <t>Eliminates doubling up effect</t>
  </si>
  <si>
    <t>Reclass program revenue</t>
  </si>
  <si>
    <t>not adjusted previously</t>
  </si>
  <si>
    <t>Record internal service</t>
  </si>
  <si>
    <t xml:space="preserve">fund allocation where </t>
  </si>
  <si>
    <t>business type is dominant</t>
  </si>
  <si>
    <t>Classify for liquidity</t>
  </si>
  <si>
    <t>General government -operating grants &amp; contributions</t>
  </si>
  <si>
    <t>Public Safety-operating grants &amp; contributions</t>
  </si>
  <si>
    <t>Transportation-operating grants &amp; contributions</t>
  </si>
  <si>
    <t>Economic &amp; physical development-operating grts &amp; contrib.</t>
  </si>
  <si>
    <t>Environmental protection-operating grants &amp; contributions</t>
  </si>
  <si>
    <t>Human services-operating grants &amp; contributions</t>
  </si>
  <si>
    <t>Cultural and recreation-operating grants &amp; contributions</t>
  </si>
  <si>
    <t>Other program 1-operating grants &amp; contributions</t>
  </si>
  <si>
    <t>General government-capital grants &amp; contributions</t>
  </si>
  <si>
    <t>Public Safety-capital grants &amp; contributions</t>
  </si>
  <si>
    <t>Transportation-capital grants &amp; contributions</t>
  </si>
  <si>
    <r>
      <t xml:space="preserve">The Predominant Activity Type is 
(business or governmental):  --  </t>
    </r>
    <r>
      <rPr>
        <sz val="8"/>
        <color indexed="10"/>
        <rFont val="Arial"/>
        <family val="2"/>
      </rPr>
      <t xml:space="preserve">automatic calculation   </t>
    </r>
  </si>
  <si>
    <t>Environmental protection - Capital grants and contributions</t>
  </si>
  <si>
    <t>Economic and physical development - Charges for services</t>
  </si>
  <si>
    <t>Pre-closing trial balance entered at the function level for each governmental fund (for the fund balance number - use ending fund balance from prior year).</t>
  </si>
  <si>
    <t>Economic and physical development - Operating grants and contributions</t>
  </si>
  <si>
    <t>Economic and physical development - Capital grants and contributions</t>
  </si>
  <si>
    <t>Human services - Charges for services</t>
  </si>
  <si>
    <t>Human services - Operating grants and contributions</t>
  </si>
  <si>
    <t>Human services - Capital grants and contributions</t>
  </si>
  <si>
    <t>Cultural and recreation - Charges for services</t>
  </si>
  <si>
    <t>Cultural and recreation - Operating grants and contributions</t>
  </si>
  <si>
    <t>Cultural and recreation - Capital grants and contributions</t>
  </si>
  <si>
    <t>Other Improvements</t>
  </si>
  <si>
    <t>Vehicles &amp; Motorized Equipment</t>
  </si>
  <si>
    <t>Accumulated depreciation - Buildings</t>
  </si>
  <si>
    <r>
      <t>Complete section A below indicating the amount of revenue in all governmental funds which should be noted as program specific on the Statement of Activities.  Note that items that are classified as special or extraordinary at the fund level typically will be classified as such when viewed at the government-wide level although there could be</t>
    </r>
    <r>
      <rPr>
        <sz val="10"/>
        <rFont val="Arial"/>
        <family val="2"/>
      </rPr>
      <t xml:space="preserve"> </t>
    </r>
    <r>
      <rPr>
        <u/>
        <sz val="10"/>
        <rFont val="Arial"/>
        <family val="2"/>
      </rPr>
      <t>rare occurrences</t>
    </r>
    <r>
      <rPr>
        <sz val="10"/>
        <rFont val="Arial"/>
        <family val="2"/>
      </rPr>
      <t xml:space="preserve"> when special and/or extraordinary items at the fund level will not be treated as such on the government-wide statements.</t>
    </r>
  </si>
  <si>
    <r>
      <t xml:space="preserve">Were there any </t>
    </r>
    <r>
      <rPr>
        <u/>
        <sz val="10"/>
        <rFont val="Arial"/>
        <family val="2"/>
      </rPr>
      <t>adjustments</t>
    </r>
    <r>
      <rPr>
        <sz val="10"/>
        <rFont val="Arial"/>
        <family val="2"/>
      </rPr>
      <t xml:space="preserve"> in the current year for prior year claims?  
</t>
    </r>
    <r>
      <rPr>
        <sz val="8"/>
        <color indexed="10"/>
        <rFont val="Arial"/>
        <family val="2"/>
      </rPr>
      <t>Please enter reductions as negative amounts and increases as positive amounts.</t>
    </r>
  </si>
  <si>
    <r>
      <t xml:space="preserve">Were there any </t>
    </r>
    <r>
      <rPr>
        <u/>
        <sz val="10"/>
        <rFont val="Arial"/>
        <family val="2"/>
      </rPr>
      <t>adjustments</t>
    </r>
    <r>
      <rPr>
        <sz val="10"/>
        <rFont val="Arial"/>
        <family val="2"/>
      </rPr>
      <t xml:space="preserve"> to these account balances during the year? </t>
    </r>
    <r>
      <rPr>
        <sz val="8"/>
        <color indexed="10"/>
        <rFont val="Arial"/>
        <family val="2"/>
      </rPr>
      <t xml:space="preserve"> Please enter reductions as negative amounts and increases as positive amounts.</t>
    </r>
  </si>
  <si>
    <t>A</t>
  </si>
  <si>
    <t>B</t>
  </si>
  <si>
    <t>C</t>
  </si>
  <si>
    <t>D</t>
  </si>
  <si>
    <t>E</t>
  </si>
  <si>
    <t>F</t>
  </si>
  <si>
    <t>G</t>
  </si>
  <si>
    <t>H</t>
  </si>
  <si>
    <t>I</t>
  </si>
  <si>
    <t>From Section Above</t>
  </si>
  <si>
    <t>General government - capital grants &amp; contributions</t>
  </si>
  <si>
    <t>l</t>
  </si>
  <si>
    <t>Public Safety - operating grants &amp; contributions</t>
  </si>
  <si>
    <t>Installment purchases/COPS</t>
  </si>
  <si>
    <t>H.1</t>
  </si>
  <si>
    <t>OFS - Sale of capital assets</t>
  </si>
  <si>
    <t>Deferred Charges - refunding</t>
  </si>
  <si>
    <t xml:space="preserve">Deferred Charges - refunding </t>
  </si>
  <si>
    <t>Premium - GO Bonds</t>
  </si>
  <si>
    <t>J.1</t>
  </si>
  <si>
    <t xml:space="preserve">   Notes and loans payable</t>
  </si>
  <si>
    <t>Notes and loans payable</t>
  </si>
  <si>
    <r>
      <t xml:space="preserve">   Fund balance - </t>
    </r>
    <r>
      <rPr>
        <sz val="8"/>
        <color indexed="10"/>
        <rFont val="Arial"/>
        <family val="2"/>
      </rPr>
      <t>Beginning balance</t>
    </r>
  </si>
  <si>
    <t xml:space="preserve">   Interest and fees </t>
  </si>
  <si>
    <t>What is the amount of interfund receivables and payables between governmental funds in the "advances to/from" account?  This is the amount only between governmental funds. Do not include any advances to/from between governmental and enterprise funds.</t>
  </si>
  <si>
    <t>Economic &amp; physical development-capital grts &amp; cont.</t>
  </si>
  <si>
    <t>Environmental protection-capital grants &amp; contributions</t>
  </si>
  <si>
    <t>Human services-capital grants &amp; contributions</t>
  </si>
  <si>
    <t>Cultural and recreation-capital grants &amp; contributions</t>
  </si>
  <si>
    <r>
      <t>k</t>
    </r>
    <r>
      <rPr>
        <sz val="10"/>
        <rFont val="Arial"/>
        <family val="2"/>
      </rPr>
      <t xml:space="preserve"> </t>
    </r>
    <r>
      <rPr>
        <b/>
        <sz val="10"/>
        <rFont val="Arial"/>
        <family val="2"/>
      </rPr>
      <t>The method used throughout this worksheet differs from the GAAFR</t>
    </r>
    <r>
      <rPr>
        <sz val="10"/>
        <rFont val="Arial"/>
        <family val="2"/>
      </rPr>
      <t xml:space="preserve"> by using beginning fund balance rather than ending balance. This method generates a calculation for beginning equity on the full accrual basis of accounting.</t>
    </r>
  </si>
  <si>
    <r>
      <t>k</t>
    </r>
    <r>
      <rPr>
        <sz val="12"/>
        <rFont val="Wingdings 2"/>
        <family val="1"/>
        <charset val="2"/>
      </rPr>
      <t xml:space="preserve"> </t>
    </r>
    <r>
      <rPr>
        <b/>
        <sz val="10"/>
        <rFont val="Arial"/>
        <family val="2"/>
      </rPr>
      <t>The method used throughout this worksheet</t>
    </r>
    <r>
      <rPr>
        <sz val="10"/>
        <rFont val="Arial"/>
        <family val="2"/>
      </rPr>
      <t xml:space="preserve"> </t>
    </r>
    <r>
      <rPr>
        <b/>
        <sz val="10"/>
        <rFont val="Arial"/>
        <family val="2"/>
      </rPr>
      <t>differs from the GAAFR</t>
    </r>
    <r>
      <rPr>
        <sz val="10"/>
        <rFont val="Arial"/>
        <family val="2"/>
      </rPr>
      <t xml:space="preserve"> by using beginning fund balance rather than ending balance. This method generates a calculation for beginning equity on the full accrual basis of accounting.</t>
    </r>
  </si>
  <si>
    <t xml:space="preserve">Capital Assets &amp; Long-term Debt accounts are those previously carried in the General Fixed Asset Account Group (GFAAG) and the General Long Term Debt Account Group (GLTDAG) plus the respective accumulated depreciation and the category of infrastructure (according to the phased implementation rules of GASB 34). </t>
  </si>
  <si>
    <r>
      <t xml:space="preserve">The amounts recorded are the ending balances from the prior year (this year's beginning balances.) </t>
    </r>
    <r>
      <rPr>
        <b/>
        <sz val="10"/>
        <rFont val="Arial"/>
        <family val="2"/>
      </rPr>
      <t>Current year activity will be recorded in a later step.</t>
    </r>
  </si>
  <si>
    <t>Please note that the numbers in this column will not be included in the reconciliation from modified to full accrual.</t>
  </si>
  <si>
    <r>
      <t xml:space="preserve">Revenue by function : </t>
    </r>
    <r>
      <rPr>
        <sz val="10"/>
        <rFont val="Arial"/>
        <family val="2"/>
      </rPr>
      <t>allocates revenue to the proper government-wide financial statement categories (Charges for Services, Operating Grants and contributions, and Capital grants and contributions) and their respective programs/functions for presentation on the Statement of Activities. Note that these reclassification entries only change the presentation of revenue and will not be a factor in the reconciliation from modified to full accrual.</t>
    </r>
  </si>
  <si>
    <t>Loss on disposal of assets (or transfer out)</t>
  </si>
  <si>
    <t>*  This amount will become the reconciling amount to be entered in Section C, steps 1 &amp; 2 for the next year. In subsequent years the amount for Section C becomes cumulative, with year 1's balance added to year 2 etc. over time.</t>
  </si>
  <si>
    <t>Accum. Depreciation - Buildings</t>
  </si>
  <si>
    <t>-- Computed --</t>
  </si>
  <si>
    <r>
      <t xml:space="preserve">What was the balance at the end of the </t>
    </r>
    <r>
      <rPr>
        <u/>
        <sz val="10"/>
        <rFont val="Arial"/>
        <family val="2"/>
      </rPr>
      <t>prior year</t>
    </r>
    <r>
      <rPr>
        <sz val="10"/>
        <rFont val="Arial"/>
        <family val="2"/>
      </rPr>
      <t xml:space="preserve"> for other long-term liabilities?</t>
    </r>
  </si>
  <si>
    <t>General Instructions for Use</t>
  </si>
  <si>
    <t>K.</t>
  </si>
  <si>
    <t>L.</t>
  </si>
  <si>
    <t>M.</t>
  </si>
  <si>
    <t>What was discount on the new debt?</t>
  </si>
  <si>
    <t>What was the premium on the new debt?</t>
  </si>
  <si>
    <t>Payments to Escrow Agent:</t>
  </si>
  <si>
    <t xml:space="preserve">Indicate the function to which the expenditures in 1 above apply. </t>
  </si>
  <si>
    <t>Cultural and recreational</t>
  </si>
  <si>
    <r>
      <t>Compute the adjustment to the expenses in the functional categories by multiplying the proportionate participation percentage determined in Step A</t>
    </r>
    <r>
      <rPr>
        <b/>
        <i/>
        <sz val="10"/>
        <rFont val="Arial"/>
        <family val="2"/>
      </rPr>
      <t xml:space="preserve"> </t>
    </r>
    <r>
      <rPr>
        <b/>
        <sz val="10"/>
        <rFont val="Arial"/>
        <family val="2"/>
      </rPr>
      <t>by the amount of profit or loss to be allocated as calculated in Step D</t>
    </r>
    <r>
      <rPr>
        <b/>
        <i/>
        <sz val="10"/>
        <rFont val="Arial"/>
        <family val="2"/>
      </rPr>
      <t>.</t>
    </r>
  </si>
  <si>
    <t>Charges for services</t>
  </si>
  <si>
    <t>Amount</t>
  </si>
  <si>
    <t>Restricted intergovernmental</t>
  </si>
  <si>
    <t>Sales &amp; Services</t>
  </si>
  <si>
    <t>Debit</t>
  </si>
  <si>
    <t>Credit</t>
  </si>
  <si>
    <t>Total revenue to be reclassified</t>
  </si>
  <si>
    <t>*</t>
  </si>
  <si>
    <t>1.</t>
  </si>
  <si>
    <t>2.</t>
  </si>
  <si>
    <t>3.</t>
  </si>
  <si>
    <t>Working Column</t>
  </si>
  <si>
    <r>
      <t>Depreciation for shared capital assets should be allocated over the functions/programs based on usage, square footage, etc. Depreciation for capital assets that essentially serve all functions can be reported as a separate line entitled "unallocated depreciation" or charged to General Government</t>
    </r>
    <r>
      <rPr>
        <sz val="10"/>
        <rFont val="Arial"/>
        <family val="2"/>
      </rPr>
      <t xml:space="preserve">.  Unallocated depreciation should be a rare exception. The depreciation on infrastructure must follow the same principles and be charged to the function where repairs and maintenance are charged, e.g., the depreciation on streets would be charged to Transportation. Please remember that depreciation must be posted to the unit's permanent accounts in order to correctly reflect next year's beginning balances, but will not be shown in the fund statements. </t>
    </r>
  </si>
  <si>
    <r>
      <t xml:space="preserve">Eliminations - Consolidations: </t>
    </r>
    <r>
      <rPr>
        <sz val="10"/>
        <rFont val="Arial"/>
        <family val="2"/>
      </rPr>
      <t>addresses</t>
    </r>
    <r>
      <rPr>
        <b/>
        <sz val="10"/>
        <rFont val="Arial"/>
        <family val="2"/>
      </rPr>
      <t xml:space="preserve"> </t>
    </r>
    <r>
      <rPr>
        <sz val="10"/>
        <rFont val="Arial"/>
        <family val="2"/>
      </rPr>
      <t>all elimination and consolidation entries related to interfund payables, receivables, transfers, creates the entries for recording the current portion of long-term liabilities, and records internal service funds for which business-type activities are the predominant user.</t>
    </r>
  </si>
  <si>
    <r>
      <t>Specific Instructions</t>
    </r>
    <r>
      <rPr>
        <sz val="10"/>
        <rFont val="Arial"/>
        <family val="2"/>
      </rPr>
      <t xml:space="preserve"> - </t>
    </r>
    <r>
      <rPr>
        <sz val="9"/>
        <rFont val="Arial"/>
        <family val="2"/>
      </rPr>
      <t>continued</t>
    </r>
  </si>
  <si>
    <r>
      <t xml:space="preserve">What was the prior year internal balance entry for internal service funds allocation for business type activity? </t>
    </r>
    <r>
      <rPr>
        <sz val="8"/>
        <color indexed="10"/>
        <rFont val="Arial"/>
        <family val="2"/>
      </rPr>
      <t>Indicate sign - this amount will be negative if business type activities owe (have a balance payable to) government type activities and positive if business type activities have a balance receivable from government type activities.</t>
    </r>
  </si>
  <si>
    <r>
      <t>Miscellaneous general revenue [</t>
    </r>
    <r>
      <rPr>
        <i/>
        <sz val="10"/>
        <rFont val="Arial"/>
        <family val="2"/>
      </rPr>
      <t xml:space="preserve">gain (loss) on sale] </t>
    </r>
    <r>
      <rPr>
        <sz val="12"/>
        <rFont val="Wingdings 2"/>
        <family val="1"/>
        <charset val="2"/>
      </rPr>
      <t xml:space="preserve"> k</t>
    </r>
  </si>
  <si>
    <t>Sales of assets are assumed to generate gains which post to miscellaneous revenue. If losses result the number will appear as a debit. Material losses should be reported as a General Government expense unless they qualify as a "special" item expense. Reclassification of these material losses will be made during the final stages in worksheet L - entry L.10.</t>
  </si>
  <si>
    <t>Special items are assumed to be gains and posted as such. If a loss results then the amount posted will be a debit.</t>
  </si>
  <si>
    <r>
      <t xml:space="preserve">Miscellaneous general revenue </t>
    </r>
    <r>
      <rPr>
        <sz val="8"/>
        <color indexed="10"/>
        <rFont val="Arial"/>
        <family val="2"/>
      </rPr>
      <t>(gain or loss on sale)</t>
    </r>
  </si>
  <si>
    <r>
      <t xml:space="preserve">Miscellaneous revenue  </t>
    </r>
    <r>
      <rPr>
        <i/>
        <sz val="10"/>
        <rFont val="Arial"/>
        <family val="2"/>
      </rPr>
      <t>(</t>
    </r>
    <r>
      <rPr>
        <sz val="8"/>
        <color indexed="10"/>
        <rFont val="Arial"/>
        <family val="2"/>
      </rPr>
      <t>fund statements)</t>
    </r>
  </si>
  <si>
    <t>Entry for Conversion worksheet to record depreciation expense.       [Entry D.1]</t>
  </si>
  <si>
    <t>Journal entry for conversion worksheet to capitalize capital outlay expenditures.   [Entry E.1]</t>
  </si>
  <si>
    <t>Miscellaneous revenue</t>
  </si>
  <si>
    <t xml:space="preserve">Miscellaneous revenue </t>
  </si>
  <si>
    <t>F.2</t>
  </si>
  <si>
    <t>F.1</t>
  </si>
  <si>
    <t>G.1</t>
  </si>
  <si>
    <t>G.2</t>
  </si>
  <si>
    <t>G.3</t>
  </si>
  <si>
    <r>
      <t xml:space="preserve">Entry for conversion worksheet to record reductions in outstanding debt and interest expense and liability. </t>
    </r>
    <r>
      <rPr>
        <b/>
        <sz val="8"/>
        <rFont val="Arial"/>
        <family val="2"/>
      </rPr>
      <t>[Entry G.1, G.2 &amp; G.3]</t>
    </r>
  </si>
  <si>
    <t>Entry for conversion worksheet to record additions to outstanding debt and all refunding activity.   [Entry H.1]</t>
  </si>
  <si>
    <t>Other program 1-capital grants &amp; contributions</t>
  </si>
  <si>
    <t>lines to which entries are posted.</t>
  </si>
  <si>
    <t>A.</t>
  </si>
  <si>
    <t>B.</t>
  </si>
  <si>
    <t>4.</t>
  </si>
  <si>
    <t>5.</t>
  </si>
  <si>
    <t xml:space="preserve">Unearned revenue  </t>
  </si>
  <si>
    <t>Sample workbooks are available for Carolina County, City of Dogwood, and Carolina Board of Education. Refer to the proper workbook for your particular unit type. Please note that in some cases immaterial amounts have been used to demonstrate a transaction in the three examples above.  For your statements, determine materiality by the proper criteria and please do not be mislead by the small amounts in our examples.</t>
  </si>
  <si>
    <t>Education - Charges for services</t>
  </si>
  <si>
    <t>Education - Operating grants and contributions</t>
  </si>
  <si>
    <t>Education - Capital grants and contributions</t>
  </si>
  <si>
    <t>Accum. Depreciation - other asset class 1</t>
  </si>
  <si>
    <t>Accum. Depreciation - other asset class 2</t>
  </si>
  <si>
    <t>from Section A above</t>
  </si>
  <si>
    <t>from Section B above</t>
  </si>
  <si>
    <t>from the Conversion worksheet</t>
  </si>
  <si>
    <t>If proceeds received then treat transaction as a sale and enter in section A. above</t>
  </si>
  <si>
    <r>
      <t xml:space="preserve">Controlled Substance Abuse Tax  </t>
    </r>
    <r>
      <rPr>
        <b/>
        <sz val="9"/>
        <rFont val="Arial"/>
        <family val="2"/>
      </rPr>
      <t>(Restricted governmental for Modified Accrual  --  Public Safety - operating for Full Accrual)</t>
    </r>
  </si>
  <si>
    <r>
      <t xml:space="preserve">Telecommunications Tax  </t>
    </r>
    <r>
      <rPr>
        <b/>
        <sz val="9"/>
        <rFont val="Arial"/>
        <family val="2"/>
      </rPr>
      <t>(Unrestricted governmental for Modified Accrual  --  Unrestricted - General for Full Accrual)</t>
    </r>
  </si>
  <si>
    <r>
      <t xml:space="preserve">Special Assessments - No new asset on unit's books -  </t>
    </r>
    <r>
      <rPr>
        <b/>
        <sz val="9"/>
        <rFont val="Arial"/>
        <family val="2"/>
      </rPr>
      <t>(Miscellaneous revenue for Modified Accrual)
                                                                                                 (Program revenue - charge for service for Full Accrual)</t>
    </r>
  </si>
  <si>
    <t>Other long-term debt #1</t>
  </si>
  <si>
    <t>Restricted for Economic Development</t>
  </si>
  <si>
    <t>Restricted for Other restrictions #1</t>
  </si>
  <si>
    <t>Restricted for Other restrictions #2</t>
  </si>
  <si>
    <t>Restricted for Other restrictions #3</t>
  </si>
  <si>
    <r>
      <t xml:space="preserve">What is debt related to capital assets </t>
    </r>
    <r>
      <rPr>
        <u/>
        <sz val="10"/>
        <rFont val="Arial"/>
        <family val="2"/>
      </rPr>
      <t>excluding unexpended debt proceeds</t>
    </r>
    <r>
      <rPr>
        <sz val="10"/>
        <rFont val="Arial"/>
        <family val="2"/>
      </rPr>
      <t>?</t>
    </r>
  </si>
  <si>
    <t xml:space="preserve">        Government-wide Statement</t>
  </si>
  <si>
    <t>Compute if not separately disclosed</t>
  </si>
  <si>
    <t>K.1</t>
  </si>
  <si>
    <t>Other program 1 - Charges for services</t>
  </si>
  <si>
    <t>Other program 1 - Operating grants and contributions</t>
  </si>
  <si>
    <t>Other program 1 - Capital grants and contributions</t>
  </si>
  <si>
    <t>* Interest is typically a general revenue but if earned on investments legally restricted for a specific program it will follow the initial revenue source as in this capital grant.</t>
  </si>
  <si>
    <t>Taxes - ad valorem*</t>
  </si>
  <si>
    <t>Taxes - Ad valorem*</t>
  </si>
  <si>
    <t xml:space="preserve">Work Section to compile numbers for entry in Section E - </t>
  </si>
  <si>
    <r>
      <t xml:space="preserve">Sale of assets:          </t>
    </r>
    <r>
      <rPr>
        <b/>
        <sz val="10"/>
        <color indexed="17"/>
        <rFont val="Arial"/>
        <family val="2"/>
      </rPr>
      <t/>
    </r>
  </si>
  <si>
    <t>Adjust Other Revenues From Modified Accrual to Full Accrual</t>
  </si>
  <si>
    <t>Enter the amounts as positive numbers in the debit or credit columns for the internal balance and the functions noted below. This entry was generated in the internal service fund allocation worksheet for business type activities elsewhere on the website. The entry must balance. If multiple internal service funds exist with dominant user of business type, please add the entries together to arrive at the net debit or credit.</t>
  </si>
  <si>
    <t>Notes:</t>
  </si>
  <si>
    <t>What is the amount of interfund receivables and payables between governmental funds in the "due to/from account"?  This is the amount only between governmental funds. Do not include any due to/due froms between governmental and enterprise funds.</t>
  </si>
  <si>
    <t>Major Fund #2</t>
  </si>
  <si>
    <t>Major Fund #3</t>
  </si>
  <si>
    <t>Capital Reserve</t>
  </si>
  <si>
    <t>Fire District</t>
  </si>
  <si>
    <t>School Capital Project</t>
  </si>
  <si>
    <t>Other Non-Major #1</t>
  </si>
  <si>
    <t>Other Non-Major #2</t>
  </si>
  <si>
    <t>Other long-term debt #2</t>
  </si>
  <si>
    <t>Other long-term debt liabilities - What are adjustments to expenses and liabilities?</t>
  </si>
  <si>
    <r>
      <t xml:space="preserve">What was the amount of </t>
    </r>
    <r>
      <rPr>
        <u/>
        <sz val="10"/>
        <rFont val="Arial"/>
        <family val="2"/>
      </rPr>
      <t>new claims</t>
    </r>
    <r>
      <rPr>
        <sz val="10"/>
        <rFont val="Arial"/>
        <family val="2"/>
      </rPr>
      <t xml:space="preserve"> incurred during this current year?</t>
    </r>
  </si>
  <si>
    <t>Adjustments</t>
  </si>
  <si>
    <t xml:space="preserve">OFS - Transfers in </t>
  </si>
  <si>
    <r>
      <t xml:space="preserve">OFS - Installment purchase/COPS </t>
    </r>
    <r>
      <rPr>
        <sz val="8"/>
        <color indexed="10"/>
        <rFont val="Arial"/>
        <family val="2"/>
      </rPr>
      <t>(proceeds)</t>
    </r>
  </si>
  <si>
    <t>It is assumed that the balance at the beginning of the year for construction in progress for projects that were completed during the year has been reclassified to the appropriate category.</t>
  </si>
  <si>
    <t>Entry prepared assuming that Special Assessments were charged appropriately to program revenue in worksheet A.</t>
  </si>
  <si>
    <t xml:space="preserve">Any expenditures during the year on completed projects at year end should be recorded in the appropriate category rather than in construction in progress. </t>
  </si>
  <si>
    <t>Enter the  function which paid the amount above. For the amount for the Law Enforcement Officer's Separation Allowance, the  Public Safety function would have made the overpayment. If multiple functions contribute to other plans, the overpayment may be prorated based on total payments. The sum of these amounts must equal the  amount in the change in pension obligation field above.</t>
  </si>
  <si>
    <r>
      <t xml:space="preserve">Indicate the amount of </t>
    </r>
    <r>
      <rPr>
        <u/>
        <sz val="10"/>
        <rFont val="Arial"/>
        <family val="2"/>
      </rPr>
      <t>payments</t>
    </r>
    <r>
      <rPr>
        <sz val="10"/>
        <rFont val="Arial"/>
        <family val="2"/>
      </rPr>
      <t xml:space="preserve"> made on claims &amp; judgments during current year.</t>
    </r>
  </si>
  <si>
    <t>Calculated based on mark-up, e.g. if mark up is 10% then cost for revenue of $330 is $300.</t>
  </si>
  <si>
    <t xml:space="preserve">Adjustment to
Governmental
Activities  </t>
  </si>
  <si>
    <t>Adjustment to
Business-type
Activities</t>
  </si>
  <si>
    <t>Total Allocations</t>
  </si>
  <si>
    <t>Cash &amp; cash equivalents</t>
  </si>
  <si>
    <t>Vehicles</t>
  </si>
  <si>
    <t xml:space="preserve">   Buildings - Accum. Depreciation</t>
  </si>
  <si>
    <t xml:space="preserve">   Equipment - Accum. Depreciation</t>
  </si>
  <si>
    <t xml:space="preserve">   Vehicles - Accum. Depreciation</t>
  </si>
  <si>
    <t xml:space="preserve">   Accounts Payable</t>
  </si>
  <si>
    <t xml:space="preserve">   Charges for service - General government</t>
  </si>
  <si>
    <t xml:space="preserve">   Direct expenses - General government</t>
  </si>
  <si>
    <t>General government expenditures</t>
  </si>
  <si>
    <t>Public safety expenditures</t>
  </si>
  <si>
    <t>Transportation expenditures</t>
  </si>
  <si>
    <t>Environmental protection expenditures</t>
  </si>
  <si>
    <t>Culture and recreation expenditures</t>
  </si>
  <si>
    <t>Business-type Activities Adjustments:</t>
  </si>
  <si>
    <t>Water and sewer expenses</t>
  </si>
  <si>
    <t>Electric expenses</t>
  </si>
  <si>
    <t>Charges to external customers</t>
  </si>
  <si>
    <t>Intangible Asset - Advance Funding of Pension - (net negative pension obligation. -  Net pension liability found on Worksheet J.)</t>
  </si>
  <si>
    <t>Based on the computation in 5.b above. Enter the gain or loss against the proper accounts below:</t>
  </si>
  <si>
    <r>
      <t xml:space="preserve">If there is a </t>
    </r>
    <r>
      <rPr>
        <b/>
        <sz val="10"/>
        <rFont val="Arial"/>
        <family val="2"/>
      </rPr>
      <t>net gain</t>
    </r>
    <r>
      <rPr>
        <sz val="10"/>
        <rFont val="Arial"/>
        <family val="2"/>
      </rPr>
      <t xml:space="preserve">, is it an extraordinary gain or miscellaneous revenue? </t>
    </r>
    <r>
      <rPr>
        <b/>
        <sz val="10"/>
        <color indexed="10"/>
        <rFont val="Arial"/>
        <family val="2"/>
      </rPr>
      <t>Can only be one, not both</t>
    </r>
    <r>
      <rPr>
        <sz val="10"/>
        <rFont val="Arial"/>
        <family val="2"/>
      </rPr>
      <t>.</t>
    </r>
  </si>
  <si>
    <t>Extraordinary gain</t>
  </si>
  <si>
    <r>
      <t xml:space="preserve">If there is a </t>
    </r>
    <r>
      <rPr>
        <b/>
        <sz val="10"/>
        <rFont val="Arial"/>
        <family val="2"/>
      </rPr>
      <t>net loss</t>
    </r>
    <r>
      <rPr>
        <sz val="10"/>
        <rFont val="Arial"/>
        <family val="2"/>
      </rPr>
      <t xml:space="preserve">, is it an extraordinary loss or a program expense? (GASB definition for extraordinary loss can be found in the authoritative literature.) </t>
    </r>
    <r>
      <rPr>
        <b/>
        <sz val="10"/>
        <color indexed="10"/>
        <rFont val="Arial"/>
        <family val="2"/>
      </rPr>
      <t>Enter amount as negative number.</t>
    </r>
  </si>
  <si>
    <t>Extraordinary loss</t>
  </si>
  <si>
    <t xml:space="preserve">Total for 6a and 6b above </t>
  </si>
  <si>
    <t>Final Entry to Conversion Worksheet for sales, disposals, donations to the unit of capital assets and asset impairment loss:   [Entry F.1, 2, 3 &amp; 4]</t>
  </si>
  <si>
    <t>F.4</t>
  </si>
  <si>
    <t>OFS - Insurance recovery</t>
  </si>
  <si>
    <t>Extraordinary gain/ioss</t>
  </si>
  <si>
    <t>Total of F.1, F.2, F.3 and F.4</t>
  </si>
  <si>
    <t>--------------------     Asset  impairment Loss  Entry     --------------------</t>
  </si>
  <si>
    <r>
      <t xml:space="preserve">In order to present the net cost per function in the Statement of Activities, any "doubling up" of expenditures or revenues must be eliminated. This occurs when administrative activities such as printing, data processing, accounting staff, etc. are accounted for in function/fund #1 and charged out or allocated to other functions or funds </t>
    </r>
    <r>
      <rPr>
        <u/>
        <sz val="10"/>
        <rFont val="Arial"/>
        <family val="2"/>
      </rPr>
      <t>where the payment for the service is treated as revenue in function #1.</t>
    </r>
    <r>
      <rPr>
        <sz val="10"/>
        <rFont val="Arial"/>
        <family val="2"/>
      </rPr>
      <t xml:space="preserve"> In this scenario, the expenditures are presented twice and the revenues are overstated for governmental activities. In this case, the costs should be presented in the functions that were charged and the revenue and expense in function/fund #1 must be eliminated. </t>
    </r>
    <r>
      <rPr>
        <b/>
        <sz val="10"/>
        <rFont val="Arial"/>
        <family val="2"/>
      </rPr>
      <t>IF THE PAYMENTS FROM THE USERS ARE TREATED AS A REIMBURSEMENT</t>
    </r>
    <r>
      <rPr>
        <sz val="10"/>
        <rFont val="Arial"/>
        <family val="2"/>
      </rPr>
      <t xml:space="preserve"> </t>
    </r>
    <r>
      <rPr>
        <b/>
        <sz val="10"/>
        <rFont val="Arial"/>
        <family val="2"/>
      </rPr>
      <t>(the expenditure in function/fund #1 is reduced by payment from the user function),  NO ADJUSTMENT IS NECESSARY.</t>
    </r>
    <r>
      <rPr>
        <sz val="10"/>
        <rFont val="Arial"/>
        <family val="2"/>
      </rPr>
      <t xml:space="preserve"> The entry created will reduce revenues and expenses in function/fund #1 for the expenditure amount allocated to other functions. Profits or losses are presumed to be immaterial in this entry. If material, any profit or loss must be allocated back to the functions using the service by a manual entry to the worksheet.</t>
    </r>
  </si>
  <si>
    <t>Capital assets, all governmental activities</t>
  </si>
  <si>
    <t>Gross Capital</t>
  </si>
  <si>
    <t>Net Capital Assets</t>
  </si>
  <si>
    <t>Accum.</t>
  </si>
  <si>
    <t xml:space="preserve">Net Capital </t>
  </si>
  <si>
    <t xml:space="preserve">  Unmerited liabilities related to debt</t>
  </si>
  <si>
    <t xml:space="preserve">  Unmerited assets related to debt</t>
  </si>
  <si>
    <t>K.1-3</t>
  </si>
  <si>
    <t>Other enterprise #1</t>
  </si>
  <si>
    <t>Other enterprise #2</t>
  </si>
  <si>
    <t>The entry is automatically generated from all the data provided and mapped to the Reclassifications and Eliminations column of the Conversion Worksheet as entry K.1-3. Additional worksheets are provided for other internal service funds and their entries are mapped together such that K.1 + K.2 + K.3 results in the final K.1-3 entry. Please note that if rounding causes a slight inaccuracy, adjustments can be made.</t>
  </si>
  <si>
    <t>Must be manually posted to business type worksheet elsewhere on the website.</t>
  </si>
  <si>
    <t>Examine the trial balance and summary reports of revenues by function and by source code to determine which revenue items need to be reclassified. If units do not have a chart of accounts that breaks out revenues by functional source codes, a manual classification of revenues must be prepared. A worksheet to assist you is available at this website.</t>
  </si>
  <si>
    <r>
      <t xml:space="preserve">From the financial records, indicate the appropriate program classification to which the revenue should be reclassified.
</t>
    </r>
    <r>
      <rPr>
        <sz val="10"/>
        <rFont val="Arial"/>
        <family val="2"/>
      </rPr>
      <t>The total of Section B must agree to the total of Section A above.</t>
    </r>
  </si>
  <si>
    <t>Assets</t>
  </si>
  <si>
    <t>Liabilities</t>
  </si>
  <si>
    <t>The staff has tried to anticipate the most likely scenarios for governments in North Carolina . However, it is impossible for us to anticipate every unique situation that exists in our local governments. If you need assistance with your particular data, please call and we will make every attempt to help you enter the data into the workbook. However, some instances will exist for which the workbook will not make the necessary calculation. The "manual entry" columns on the summary worksheet are there for this purpose. The user can determine the necessary entry and post it in these columns to the appropriate accounts. Be especially aware of extraordinary and special items that have not been handled elsewhere in the workbook.</t>
  </si>
  <si>
    <t xml:space="preserve">In addition to the elimination and consolidation entries made below, it may be necessary to record manual entries in the "Other Miscellaneous Entries As Needed" column. These would be conversion or reclassification entries that are unique for your unit which have not been previously handled throughout the workbook. This is especially true of any special or extraordinary revenue or expense items. The special and extraordinary item accounts are at the end of the trial balance in the Conversion Worksheet. Remember that any manual entries posted to these columns must have balanced debits and credits.  </t>
  </si>
  <si>
    <r>
      <t xml:space="preserve">Cross-referencing has been used throughout the workbook to tie together relevant numbers and or comments to better clarify an entry. In each case we have used the following denotation </t>
    </r>
    <r>
      <rPr>
        <sz val="11"/>
        <rFont val="Wingdings 2"/>
        <family val="1"/>
        <charset val="2"/>
      </rPr>
      <t>j k l</t>
    </r>
    <r>
      <rPr>
        <sz val="10"/>
        <rFont val="Arial"/>
        <family val="2"/>
      </rPr>
      <t xml:space="preserve"> (circled numbers) which uses the font type "Wingdings2." If your computer does not support this font you may see Greek alphabetic characters or some other notation. We apologize for any confusion but notes and numbers will still cross-reference consistently by whatever character your computer displays.</t>
    </r>
  </si>
  <si>
    <t>What is the amount of other long-term debt #1 that will be due and payable within one year?</t>
  </si>
  <si>
    <t>What is the amount of other long-term debt #2 that will be due and payable within one year?</t>
  </si>
  <si>
    <t xml:space="preserve">What is the amount of Bonds payable that will be due and payable within one year? </t>
  </si>
  <si>
    <t>What is the amount of notes payable that will be due and payable within one year?</t>
  </si>
  <si>
    <r>
      <t xml:space="preserve">Classify current portion of long-term liabilities.   </t>
    </r>
    <r>
      <rPr>
        <b/>
        <sz val="8"/>
        <color indexed="10"/>
        <rFont val="Arial"/>
        <family val="2"/>
      </rPr>
      <t>(Leave the cell blank if account does not apply or classification has been handled previously.)</t>
    </r>
  </si>
  <si>
    <t>presentation</t>
  </si>
  <si>
    <t>Other long-term liability #1</t>
  </si>
  <si>
    <t>Other long-term liability #2</t>
  </si>
  <si>
    <t>Notes payable</t>
  </si>
  <si>
    <t>Bonds payable</t>
  </si>
  <si>
    <t>COPs payable</t>
  </si>
  <si>
    <t>Claims payable</t>
  </si>
  <si>
    <t>Claims payable - current</t>
  </si>
  <si>
    <t>COPs payable - current</t>
  </si>
  <si>
    <t>Bonds payable - current</t>
  </si>
  <si>
    <t>Notes payable - current</t>
  </si>
  <si>
    <t>Capital leases - current</t>
  </si>
  <si>
    <t>Other long-term liability #2 - current</t>
  </si>
  <si>
    <t>Other long-term liability #1 - current</t>
  </si>
  <si>
    <t xml:space="preserve">What are net capital assets (capital assets less accumulated depreciation.) </t>
  </si>
  <si>
    <t>Restricted for:</t>
  </si>
  <si>
    <t>Capital projects</t>
  </si>
  <si>
    <t>Economic Development</t>
  </si>
  <si>
    <t>Other restrictions #1</t>
  </si>
  <si>
    <t>Other restrictions #2</t>
  </si>
  <si>
    <t>Unrestricted:</t>
  </si>
  <si>
    <t>Sales that qualify as a "special item" for statement presentation:*</t>
  </si>
  <si>
    <r>
      <t>General Government [</t>
    </r>
    <r>
      <rPr>
        <i/>
        <sz val="8"/>
        <rFont val="Arial"/>
        <family val="2"/>
      </rPr>
      <t>Loss on disposal</t>
    </r>
    <r>
      <rPr>
        <sz val="10"/>
        <rFont val="Arial"/>
        <family val="2"/>
      </rPr>
      <t>]</t>
    </r>
  </si>
  <si>
    <r>
      <t>General Government…….</t>
    </r>
    <r>
      <rPr>
        <sz val="8"/>
        <color indexed="10"/>
        <rFont val="Arial"/>
        <family val="2"/>
      </rPr>
      <t>loss on disposal</t>
    </r>
  </si>
  <si>
    <t>Retiring, scrapping or donating Capital assets:</t>
  </si>
  <si>
    <r>
      <t xml:space="preserve">Retiring, scrapping and donating capital assets (with no proceeds): </t>
    </r>
    <r>
      <rPr>
        <b/>
        <sz val="12"/>
        <rFont val="Arial"/>
        <family val="2"/>
      </rPr>
      <t xml:space="preserve"> </t>
    </r>
    <r>
      <rPr>
        <b/>
        <sz val="12"/>
        <rFont val="Wingdings 2"/>
        <family val="1"/>
        <charset val="2"/>
      </rPr>
      <t>j</t>
    </r>
    <r>
      <rPr>
        <b/>
        <sz val="10"/>
        <rFont val="Arial"/>
        <family val="2"/>
      </rPr>
      <t xml:space="preserve">   </t>
    </r>
  </si>
  <si>
    <t xml:space="preserve">j  </t>
  </si>
  <si>
    <t xml:space="preserve">Record any entries from Internal Service Fund Allocation where the Business type activity was dominant. </t>
  </si>
  <si>
    <t>What is the amount in "Due to other funds" that is due to fiduciary funds?</t>
  </si>
  <si>
    <t>Interest Expense</t>
  </si>
  <si>
    <t>Internal balance</t>
  </si>
  <si>
    <t>---  Computed  ---</t>
  </si>
  <si>
    <t>There may be instances in the individual worksheets where negative debits or credits are generated in an entry and we did not create formulas to reclassify as a positive number. If this occurs do not be alarmed, it will be corrected in the final columns of the Conversion Worksheet.</t>
  </si>
  <si>
    <t>Indicate to which function the new "other liabilities" listed in step 2 apply. The sum of the amounts below must equal the amount in the corresponding step above. Indicate to which function the payment was charged in step 3. Indicate to which function any adjustments noted in step 4 should be recorded. Indicate any amounts that should be reported as special or extraordinary items.</t>
  </si>
  <si>
    <t>p</t>
  </si>
  <si>
    <t>q</t>
  </si>
  <si>
    <t>r</t>
  </si>
  <si>
    <t>s</t>
  </si>
  <si>
    <t>Final Entry for Conversion Worksheet   [Entry L.1 to L.9]</t>
  </si>
  <si>
    <t>consolidation entries - Worksheets K &amp; L</t>
  </si>
  <si>
    <t>Other financing source - Sale of assets</t>
  </si>
  <si>
    <t>Class #1</t>
  </si>
  <si>
    <t>Class #2</t>
  </si>
  <si>
    <t>Other asset class #1</t>
  </si>
  <si>
    <t>Other asset class #2</t>
  </si>
  <si>
    <t>Indicate amount of revenue recorded for sale.</t>
  </si>
  <si>
    <t>Entry B</t>
  </si>
  <si>
    <t>Entry C</t>
  </si>
  <si>
    <t>Entry D</t>
  </si>
  <si>
    <t>Totals</t>
  </si>
  <si>
    <t>Other non-depreciable assets</t>
  </si>
  <si>
    <t>What was the amount outstanding for the old debt at the time it was refunded?</t>
  </si>
  <si>
    <t>Units may elect to amortize the discount or premium on bonds and the deferred charge (loss) on refunding using the straight-line method or the effective interest rate amortization method.</t>
  </si>
  <si>
    <t>Review all governmental funds for sales of assets. For those items that meet the definition of a special item* enter the amounts by asset class for each question in section A.1. Typically there would not be more than one sale that qualified under the definition of special item. Enter the amounts under the proper asset class.</t>
  </si>
  <si>
    <t>Other</t>
  </si>
  <si>
    <t>Other asset</t>
  </si>
  <si>
    <t>For those items sold that qualify as a regular sale of assets, enter the amounts by asset class for each question in section A.2</t>
  </si>
  <si>
    <t>Trade-in of Capital assets:</t>
  </si>
  <si>
    <t xml:space="preserve">What is the original cost at the beginning of the year for assets sold during current year? </t>
  </si>
  <si>
    <t>What is the amount of claims payable that will be due and payable within one year?</t>
  </si>
  <si>
    <t xml:space="preserve">What is the amount of capital leases payable that will be due and payable within one year? </t>
  </si>
  <si>
    <t>Determine the proportionate participation of each function by matching the charge for service with the functional category and determine which activity primarily benefits from the internal service fund - governmental or business type in Step A. If business type activity is determined as the primary beneficiary, please delete data from this form and enter it in the business type worksheet provided on the website.</t>
  </si>
  <si>
    <t>Internal balances *</t>
  </si>
  <si>
    <t>From fund Statement of Revenues, Expenses, and</t>
  </si>
  <si>
    <t>Beginning fund balance from fund statement</t>
  </si>
  <si>
    <t>Sales and services</t>
  </si>
  <si>
    <t>F.</t>
  </si>
  <si>
    <t>G.</t>
  </si>
  <si>
    <t>Other taxes and licenses</t>
  </si>
  <si>
    <t>Intergovernmental - restricted</t>
  </si>
  <si>
    <t>Intergovernmental - unrestricted</t>
  </si>
  <si>
    <t>Other revenue 1</t>
  </si>
  <si>
    <t>Other revenue 2</t>
  </si>
  <si>
    <t>Operating Accounts - Expenditures</t>
  </si>
  <si>
    <t>Other financing sources (uses)</t>
  </si>
  <si>
    <t>Special item</t>
  </si>
  <si>
    <t>Extraordinary item</t>
  </si>
  <si>
    <t>Other program 1</t>
  </si>
  <si>
    <t>See Memos # 949 and #964 for discussion of the proper recognition of revenue under modified accrual and full accrual for GASB 33 and 34.</t>
  </si>
  <si>
    <t>Investment in joint venture</t>
  </si>
  <si>
    <t>Net investment in joint venture</t>
  </si>
  <si>
    <t>Equity in joint ventures is defined by GASB 14 and should be recorded as an asset if there is an underlying contract which creates an explicit, measurable equity interest. The increase (or decrease) will be recognized as revenue (or loss) on the Statement of Activities.</t>
  </si>
  <si>
    <t>I.1</t>
  </si>
  <si>
    <t>Fund balance</t>
  </si>
  <si>
    <t>Other Enterprise 1</t>
  </si>
  <si>
    <t>Other Enterprise 2</t>
  </si>
  <si>
    <t>Other enterprise 1</t>
  </si>
  <si>
    <t>Other enterprise 2</t>
  </si>
  <si>
    <r>
      <t xml:space="preserve">What was the amount of capital outlay to be capitalized by function in all governmental funds? </t>
    </r>
    <r>
      <rPr>
        <b/>
        <i/>
        <sz val="10"/>
        <color indexed="10"/>
        <rFont val="Arial"/>
        <family val="2"/>
      </rPr>
      <t xml:space="preserve"> This includes expenditures related to impairment losses.</t>
    </r>
  </si>
  <si>
    <r>
      <t xml:space="preserve">Identify assets by function and calculate the annual depreciation in section A below. For those items that are shared and no clear allocation method is available, place those figures into General Government or the unallocated depreciation line </t>
    </r>
    <r>
      <rPr>
        <sz val="8"/>
        <rFont val="Arial"/>
        <family val="2"/>
      </rPr>
      <t xml:space="preserve">(use of "unallocated depreciation" will typically be the exception). </t>
    </r>
  </si>
  <si>
    <r>
      <t xml:space="preserve">Compute and record asset impairment loss or gain per GASB Statement 42 for physical damage:   </t>
    </r>
    <r>
      <rPr>
        <b/>
        <sz val="10"/>
        <color indexed="10"/>
        <rFont val="Arial"/>
        <family val="2"/>
      </rPr>
      <t>(Asset must have been restored or be planned for restoration otherwise asset is written off.)</t>
    </r>
  </si>
  <si>
    <t xml:space="preserve">Revenues must be adjusted to the full accrual basis of accounting on the Statement of Activities. Under modified accrual, taxes must be both measurable and available (for full accrual they are measurable and earned.)  This means that some revenue received in the current year may have actually  been earned in the prior year and some revenue deferred for the current year due to unavailability may actually be earned for full accrual. Taxes collected in advance of the period the taxes are intended to finance will be "unearned revenue" under both full and modified accrual. Estimates for uncollectibles is the same for both methods, if material.  </t>
  </si>
  <si>
    <r>
      <t xml:space="preserve">Piped Natural Gas Tax  </t>
    </r>
    <r>
      <rPr>
        <b/>
        <sz val="9"/>
        <rFont val="Arial"/>
        <family val="2"/>
      </rPr>
      <t xml:space="preserve"> (Unrestricted intergovernmental for Modified Accrual  --  Unrestricted - General for Full Accrual)</t>
    </r>
  </si>
  <si>
    <t>Cultural and Recreation</t>
  </si>
  <si>
    <t>What is (or was) the restoration cost ? (Amount would have been included in the capital outlay entry - Tab E - if spent in the same fiscal year.)</t>
  </si>
  <si>
    <r>
      <t xml:space="preserve">Answer either a. or b. </t>
    </r>
    <r>
      <rPr>
        <sz val="10"/>
        <rFont val="Arial"/>
        <family val="2"/>
      </rPr>
      <t>below,</t>
    </r>
    <r>
      <rPr>
        <sz val="10"/>
        <color indexed="10"/>
        <rFont val="Arial"/>
        <family val="2"/>
      </rPr>
      <t xml:space="preserve"> </t>
    </r>
    <r>
      <rPr>
        <b/>
        <sz val="10"/>
        <color indexed="10"/>
        <rFont val="Arial"/>
        <family val="2"/>
      </rPr>
      <t>but not both</t>
    </r>
    <r>
      <rPr>
        <sz val="10"/>
        <rFont val="Arial"/>
        <family val="2"/>
      </rPr>
      <t xml:space="preserve"> - (either the replacement cost method or the deflation factor method is used to calculate loss.)</t>
    </r>
  </si>
  <si>
    <t>What is the replacement cost for a new asset of the type damaged in 1a. Above?</t>
  </si>
  <si>
    <t>Restoration cost ratio</t>
  </si>
  <si>
    <t>based on replacement cost</t>
  </si>
  <si>
    <t xml:space="preserve">either or </t>
  </si>
  <si>
    <t>What is the appropriate deflation factor to use if replacement cost is not known?</t>
  </si>
  <si>
    <t>Deflated restoration cost</t>
  </si>
  <si>
    <t>based on deflation factor</t>
  </si>
  <si>
    <t>Impairment Loss Calculation</t>
  </si>
  <si>
    <t>3a. Replacement cost method</t>
  </si>
  <si>
    <t xml:space="preserve"> 3.b  Deflator method</t>
  </si>
  <si>
    <t>Indicate to which asset class the loss in 3a or 3b should be credited. Should be same class as that indicated in 1 above.</t>
  </si>
  <si>
    <t>Equipment and Furniture</t>
  </si>
  <si>
    <t>Vehicles and Motorized Equipment</t>
  </si>
  <si>
    <t>Indicate insurance recovery amount if received in this fiscal year?</t>
  </si>
  <si>
    <t>Other financing source - insurance recovery</t>
  </si>
  <si>
    <t>Net Gain / loss on insurance recovery</t>
  </si>
  <si>
    <t>Asset Impariment Loss - continued</t>
  </si>
  <si>
    <r>
      <t>Note</t>
    </r>
    <r>
      <rPr>
        <sz val="10"/>
        <rFont val="Arial"/>
        <family val="2"/>
      </rPr>
      <t xml:space="preserve">: </t>
    </r>
    <r>
      <rPr>
        <i/>
        <sz val="10"/>
        <rFont val="Arial"/>
        <family val="2"/>
      </rPr>
      <t>If the composite method is used for computing depreciation and useful life, no gain or loss should be recognized. The proceeds received upon the asset's removal reduces the amount that would have been charged to accumulated depreciation. For the case where the composite method is used, adjust accumulated depreciation such that gain/loss computes as zero ($0).</t>
    </r>
  </si>
  <si>
    <t>Total of principal payments</t>
  </si>
  <si>
    <t>Accrued interest receivable</t>
  </si>
  <si>
    <t>What is the accumulated depreciation at the beginning of the year for the assets sold in a. above?</t>
  </si>
  <si>
    <t>Adjust Debt Service Expenditures Under Modified Accrual to Full Accrual</t>
  </si>
  <si>
    <t>Review the various governmental funds and identify debt service expenditures that should be recorded as a reduction to a liability as principal is paid down. Enter information in Section A below.</t>
  </si>
  <si>
    <t>Enter the amount of principal paid as debt service in all governmental funds for the categories below?</t>
  </si>
  <si>
    <t>Capital leases</t>
  </si>
  <si>
    <t>What was the amount of debt service paid by category of debt for all governmental funds?</t>
  </si>
  <si>
    <t>Used*</t>
  </si>
  <si>
    <t>Earned*</t>
  </si>
  <si>
    <t>F.3</t>
  </si>
  <si>
    <t>Capital outlay</t>
  </si>
  <si>
    <t>What was the amount to be capitalized by asset class?</t>
  </si>
  <si>
    <r>
      <t xml:space="preserve">Infrastructure </t>
    </r>
    <r>
      <rPr>
        <i/>
        <sz val="8"/>
        <rFont val="Arial"/>
        <family val="2"/>
      </rPr>
      <t>(e.g. street improvements)</t>
    </r>
  </si>
  <si>
    <t>Other debt not issued for capital, including hospital debt</t>
  </si>
  <si>
    <t>Register of Deeds</t>
  </si>
  <si>
    <t>The entry is automatically generated from all the data provided and mapped to the Reclassifications and Eliminations column of the Conversion Worksheet as entry K.1-3. Additional worksheets are provided for other internal service funds and their entries are mapped together such that K.1 + K.2 + K.3 results in the final K.1-3 entry. Please note that if rounding causes a slight inaccuracy, minor adjustments can be made.</t>
  </si>
  <si>
    <r>
      <t xml:space="preserve">     Proof Total - </t>
    </r>
    <r>
      <rPr>
        <sz val="8"/>
        <color indexed="10"/>
        <rFont val="Arial"/>
        <family val="2"/>
      </rPr>
      <t>(debits and credits should balance)</t>
    </r>
  </si>
  <si>
    <t>What are the accrued investment earnings at the end of the current year?</t>
  </si>
  <si>
    <t>Indicate by amount the appropriate full accrual revenue classification. The sum of amounts in step 3 must equal the amount in step 2.</t>
  </si>
  <si>
    <t>What was the amount of the net negative pension obligation at the beginning of the year. If multiple benefit plans are involved enter the sum of all plans.</t>
  </si>
  <si>
    <t>Intangible asset - advance funding of pension</t>
  </si>
  <si>
    <t>Proceeds of New Debt:</t>
  </si>
  <si>
    <t>H.</t>
  </si>
  <si>
    <t>J.</t>
  </si>
  <si>
    <t>What was the accrued investment earnings at the end of the prior year?</t>
  </si>
  <si>
    <t>Entry J</t>
  </si>
  <si>
    <t>Any investment earnings that should be reclassified as program revenue will be adjusted in worksheet L.</t>
  </si>
  <si>
    <t>Fund balance - beginning</t>
  </si>
  <si>
    <t>What is the amount of the unit's equity interest in all joint ventures at the end of the prior year (beginning balance.)</t>
  </si>
  <si>
    <t>What is the amount of the unit's equity interest in all joint ventures at the end of the current year (ending balance.)</t>
  </si>
  <si>
    <r>
      <t xml:space="preserve">Equity interest in joint ventures  -  </t>
    </r>
    <r>
      <rPr>
        <b/>
        <sz val="8"/>
        <rFont val="Arial"/>
        <family val="2"/>
      </rPr>
      <t xml:space="preserve">( Underlying contract creates explicit, measurable equity interest - otherwise note disclosure only) </t>
    </r>
  </si>
  <si>
    <t>Total of pension over funding</t>
  </si>
  <si>
    <t>Special and extraordinary items</t>
  </si>
  <si>
    <t>Extraordinary item - expenditure</t>
  </si>
  <si>
    <t>Extraordinary item - revenue</t>
  </si>
  <si>
    <r>
      <t>Miscellaneous……………………</t>
    </r>
    <r>
      <rPr>
        <sz val="8"/>
        <color indexed="10"/>
        <rFont val="Arial"/>
        <family val="2"/>
      </rPr>
      <t>(Typically general)</t>
    </r>
  </si>
  <si>
    <t>Transfers that occur during the year between governmental funds and between enterprise funds must be eliminated. Only transfers between governmental and enterprise funds remain. Transfers to/from discretely presented component units should now be reported as revenue and expenditures in the appropriate governmental fund and will not need reclassification. The transfers between governmental funds and the internal service funds must be eliminated for any internal service fund that has been consolidated with the governmental activities. After these entries, the remaining transfers should be those between business type activities or fiduciary funds.</t>
  </si>
  <si>
    <t>Revenues are reclassified from the summary levels in the fund statements to the classification required for the Statement of Activities in Worksheet A. A separate worksheet on the website is available to assist with this allocation.</t>
  </si>
  <si>
    <t>C.</t>
  </si>
  <si>
    <t>Ad Valorem taxes:</t>
  </si>
  <si>
    <t>Accrued interest rec. on ad valorem - "beginning of year"</t>
  </si>
  <si>
    <t>Adjust Capital Outlay Expenditures Under Modified Accrual to Full Accrual</t>
  </si>
  <si>
    <t>Environmental protection</t>
  </si>
  <si>
    <t xml:space="preserve">3. </t>
  </si>
  <si>
    <t>D.</t>
  </si>
  <si>
    <t>Vehicles and motorized equipment</t>
  </si>
  <si>
    <t>Equipment</t>
  </si>
  <si>
    <t>Infrastructure</t>
  </si>
  <si>
    <t>Land</t>
  </si>
  <si>
    <t>Buildings</t>
  </si>
  <si>
    <t>Other Improvement</t>
  </si>
  <si>
    <t>Construction in Progress</t>
  </si>
  <si>
    <t>Economic and Physical Development</t>
  </si>
  <si>
    <t>Economic &amp; physical development</t>
  </si>
  <si>
    <t>Adjust Other Capital Asset Entries to Full Accrual</t>
  </si>
  <si>
    <t>Depreciation</t>
  </si>
  <si>
    <t xml:space="preserve">Other </t>
  </si>
  <si>
    <t>Trade-in of capital assets.</t>
  </si>
  <si>
    <t>Vehicles &amp; motorized equip.</t>
  </si>
  <si>
    <t>N/A</t>
  </si>
  <si>
    <t>E.</t>
  </si>
  <si>
    <t>Construction in progress</t>
  </si>
  <si>
    <t>Record permanent balance sheet accounts.</t>
  </si>
  <si>
    <t>Enter unallocated amounts</t>
  </si>
  <si>
    <t xml:space="preserve">Interest expense </t>
  </si>
  <si>
    <t xml:space="preserve">As previously stated, revenues that result in the ownership of a capital asset are classified as capital. If no capital asset results, the revenue should be classified as operating. </t>
  </si>
  <si>
    <r>
      <t xml:space="preserve">Extraordinary item  </t>
    </r>
    <r>
      <rPr>
        <i/>
        <sz val="10"/>
        <rFont val="Arial"/>
        <family val="2"/>
      </rPr>
      <t>(revenue)</t>
    </r>
  </si>
  <si>
    <t>What is the depreciation expense for the current year up to the date of sale for the asset above?</t>
  </si>
  <si>
    <t>Improvements</t>
  </si>
  <si>
    <t>Vehicles + Mot. Equip</t>
  </si>
  <si>
    <t>…. Automatically computed ….</t>
  </si>
  <si>
    <t>Advances from other funds</t>
  </si>
  <si>
    <t>Advances to other funds</t>
  </si>
  <si>
    <t>What is the current year annual amortization for deferred charge (loss) from refunding?</t>
  </si>
  <si>
    <t>Indicate the amount of any distributions during the current year that were recognized as revenue under modified accrual.</t>
  </si>
  <si>
    <t>Net change for the year</t>
  </si>
  <si>
    <t>Net Change amount</t>
  </si>
  <si>
    <t>Net Change Amount</t>
  </si>
  <si>
    <t>What was the amount of the Reserve for Prepaid Expenses at the end of the prior year?</t>
  </si>
  <si>
    <t>What was the amount of Reserve for Prepaid Expenses at the end of the current year?</t>
  </si>
  <si>
    <t>Change in reserve for prepaid expenses</t>
  </si>
  <si>
    <t>Change in reserve for inventories</t>
  </si>
  <si>
    <t>What was the amount of Reserve for Inventory at the end of the prior year?</t>
  </si>
  <si>
    <r>
      <t xml:space="preserve">What was the amount of Reserve for inventory </t>
    </r>
    <r>
      <rPr>
        <sz val="10"/>
        <rFont val="Arial"/>
        <family val="2"/>
      </rPr>
      <t>at the end of the current year?</t>
    </r>
  </si>
  <si>
    <t>Review the governmental funds for expenditures made during the year for claims &amp; judgments. Enter the payment amounts in section B.1 below. Also, determine additions to claims &amp; judgments from management. Enter the amounts of the new liability by function in section B.2.</t>
  </si>
  <si>
    <t>Review the governmental funds to determine the amount of interest paid under modified accrual. Also estimate the amount of accrued interest payable at the beginning of the year and for the end of the year under the full accrual basis of accounting.</t>
  </si>
  <si>
    <t>What was the amount of the pension obligation at the end of the year. If multiple benefit plans are involved enter the sum of all plans.</t>
  </si>
  <si>
    <t>Accum. Depreciation - Vehicles + Mot. Equip</t>
  </si>
  <si>
    <t>Fund Equity - Beginning</t>
  </si>
  <si>
    <r>
      <t xml:space="preserve">Miscellaneous revenue </t>
    </r>
    <r>
      <rPr>
        <sz val="8"/>
        <color indexed="10"/>
        <rFont val="Arial"/>
        <family val="2"/>
      </rPr>
      <t>- not program specific</t>
    </r>
  </si>
  <si>
    <r>
      <t xml:space="preserve">What is the amount of expenditures incurred and revenues collected that is truly a cost of the user function, e.g. services such as data processing, printing, accounting, garage, etc. </t>
    </r>
    <r>
      <rPr>
        <u/>
        <sz val="10"/>
        <rFont val="Arial"/>
        <family val="2"/>
      </rPr>
      <t>For this entry to be required, revenue has been recorded in the function providing the service</t>
    </r>
    <r>
      <rPr>
        <sz val="10"/>
        <rFont val="Arial"/>
        <family val="2"/>
      </rPr>
      <t xml:space="preserve">. Indicate the amount by function below. Include charges to and revenues collected from business type activities. </t>
    </r>
    <r>
      <rPr>
        <sz val="8"/>
        <color indexed="10"/>
        <rFont val="Arial"/>
        <family val="2"/>
      </rPr>
      <t>Assumption is that expenditures and revenue are equal and there is no material profit or loss to be allocated</t>
    </r>
    <r>
      <rPr>
        <sz val="10"/>
        <rFont val="Arial"/>
        <family val="2"/>
      </rPr>
      <t xml:space="preserve">.  </t>
    </r>
    <r>
      <rPr>
        <b/>
        <sz val="8"/>
        <color indexed="10"/>
        <rFont val="Arial"/>
        <family val="2"/>
      </rPr>
      <t>If reimbursement method was used, leave this section blank</t>
    </r>
    <r>
      <rPr>
        <sz val="10"/>
        <rFont val="Arial"/>
        <family val="2"/>
      </rPr>
      <t>.</t>
    </r>
  </si>
  <si>
    <t>Enter the dollar amount of revenues paid by each function to the internal service fund. The percentage of total internal charges will be automatically calculated. This will provide the information to determine the primary activity type. The activity which is the primary beneficiary will be the activity to which balance sheet accounts are recorded later in the entry.</t>
  </si>
  <si>
    <t>Accumulated depreciation - Other asset class #1</t>
  </si>
  <si>
    <t>Accumulated depreciation - Other asset class #2</t>
  </si>
  <si>
    <t>6.</t>
  </si>
  <si>
    <t>Entry A.1</t>
  </si>
  <si>
    <t>Entry A.2</t>
  </si>
  <si>
    <t xml:space="preserve">Debit </t>
  </si>
  <si>
    <t>General obligation bonds payable</t>
  </si>
  <si>
    <t>Bond anticipation notes payable</t>
  </si>
  <si>
    <t>Installment purchases/COPs payable</t>
  </si>
  <si>
    <t>Review the governmental funds for additions to the various debt categories which would have been recorded as an other financing source - debt proceeds. Enter information in Section B below. New issuance of refunding bonds will be handled in section B.</t>
  </si>
  <si>
    <t>Debt Issues and Other Debt Related Transactions</t>
  </si>
  <si>
    <t>Enter the face amount of newly issued debt and any discount, premium or issuance cost for all governmental funds by the categories below?</t>
  </si>
  <si>
    <t>What was issuance cost for new debt?</t>
  </si>
  <si>
    <t>Complete the questions below regarding bond refunding.</t>
  </si>
  <si>
    <t>Old Debt:</t>
  </si>
  <si>
    <t>Unamortized assets related to capital debt</t>
  </si>
  <si>
    <t xml:space="preserve">    Unamortized liabilities related to capital debt</t>
  </si>
  <si>
    <r>
      <t xml:space="preserve">What is the fair value of </t>
    </r>
    <r>
      <rPr>
        <u/>
        <sz val="10"/>
        <rFont val="Arial"/>
        <family val="2"/>
      </rPr>
      <t>all</t>
    </r>
    <r>
      <rPr>
        <sz val="10"/>
        <rFont val="Arial"/>
        <family val="2"/>
      </rPr>
      <t xml:space="preserve"> the assets donated to the unit?  Enter the amounts in the appropriate asset class.</t>
    </r>
  </si>
  <si>
    <r>
      <t xml:space="preserve">The following entries will be done in two stages. The first journal entry will reverse the beginning of year entry and restate fund balance. The second entry will reverse the ending balance and recognize revenue on the full accrual basis. </t>
    </r>
    <r>
      <rPr>
        <b/>
        <sz val="10"/>
        <rFont val="Arial"/>
        <family val="2"/>
      </rPr>
      <t>It is posted only to the conversion worksheet, not to the general ledger or accounting system.</t>
    </r>
    <r>
      <rPr>
        <sz val="10"/>
        <rFont val="Arial"/>
        <family val="2"/>
      </rPr>
      <t xml:space="preserve"> Unearned revenue for prepaid taxes at year end will not be adjusted.</t>
    </r>
  </si>
  <si>
    <t>L.4</t>
  </si>
  <si>
    <t>L.5</t>
  </si>
  <si>
    <t xml:space="preserve">Transportation - charge for service </t>
  </si>
  <si>
    <t>L.6</t>
  </si>
  <si>
    <t>Compensated absences - current</t>
  </si>
  <si>
    <t>L.7</t>
  </si>
  <si>
    <t>Capital related</t>
  </si>
  <si>
    <t>Operating</t>
  </si>
  <si>
    <t xml:space="preserve">General government </t>
  </si>
  <si>
    <t>L.8</t>
  </si>
  <si>
    <t>Human services - capital grants &amp; contributions</t>
  </si>
  <si>
    <t>Cultural and recreation - capital grants &amp; contributions</t>
  </si>
  <si>
    <t>Accrued interest rec. on ad valorem - "end of year"</t>
  </si>
  <si>
    <t>Indicate the annual depreciation expense by function:</t>
  </si>
  <si>
    <t>Indicate the appropriate asset class for the depreciation amount computed in section A above.</t>
  </si>
  <si>
    <t>Investment earnings</t>
  </si>
  <si>
    <t>Workbook Contents:</t>
  </si>
  <si>
    <t xml:space="preserve">  Total debt, gross</t>
  </si>
  <si>
    <t>School debt for assets to which the county does not hold title</t>
  </si>
  <si>
    <t>Community college debt for assets to which the county does not hold title</t>
  </si>
  <si>
    <t>Unexpended proceeds</t>
  </si>
  <si>
    <t>Note 5: Conversion and annual accruals</t>
  </si>
  <si>
    <t>Note 6: Reclassifications, eliminations, and</t>
  </si>
  <si>
    <r>
      <t xml:space="preserve">Capital Outlay </t>
    </r>
    <r>
      <rPr>
        <i/>
        <sz val="9"/>
        <rFont val="Arial"/>
        <family val="2"/>
      </rPr>
      <t>(capital projects)</t>
    </r>
  </si>
  <si>
    <t>Other asset class 1</t>
  </si>
  <si>
    <t>Other asset class 2</t>
  </si>
  <si>
    <t>Other sales of assets that do not qualify as special items:</t>
  </si>
  <si>
    <t>Liabilities payable from restricted assets</t>
  </si>
  <si>
    <t>Compensated absences payable</t>
  </si>
  <si>
    <t>Capital leases payable</t>
  </si>
  <si>
    <t>Operating Accounts - Revenues</t>
  </si>
  <si>
    <t>General Government</t>
  </si>
  <si>
    <t>Charges for Services</t>
  </si>
  <si>
    <t>Conversion Entries</t>
  </si>
  <si>
    <t>Total</t>
  </si>
  <si>
    <t>Statement of</t>
  </si>
  <si>
    <t>Activities</t>
  </si>
  <si>
    <t>Permits and Fees</t>
  </si>
  <si>
    <t>Investment Earnings</t>
  </si>
  <si>
    <t>Miscellaneous</t>
  </si>
  <si>
    <t>General Fund</t>
  </si>
  <si>
    <t xml:space="preserve">Dr </t>
  </si>
  <si>
    <t>Emergency Telephone</t>
  </si>
  <si>
    <t>Subtotal Non-Major</t>
  </si>
  <si>
    <t>Governmental Funds</t>
  </si>
  <si>
    <r>
      <t xml:space="preserve">Ending balance for claims &amp; judgments for the current year. </t>
    </r>
    <r>
      <rPr>
        <sz val="8"/>
        <color indexed="10"/>
        <rFont val="Arial"/>
        <family val="2"/>
      </rPr>
      <t>- calculated</t>
    </r>
  </si>
  <si>
    <t>From the financial records, determine the amount in the following categories that must be reclassified to functional revenues, special or extraordinary items.  Also, include any items that were special or extraordinary items at the fund level that will be general revenues in the government-wide statements.</t>
  </si>
  <si>
    <t>Investment earnings*</t>
  </si>
  <si>
    <t xml:space="preserve">   Accrued vacation/Compensated absences</t>
  </si>
  <si>
    <t xml:space="preserve">   Claims and judgments</t>
  </si>
  <si>
    <t xml:space="preserve">   Bonds, notes and loans payable</t>
  </si>
  <si>
    <t xml:space="preserve">    Entries must net to zero.</t>
  </si>
  <si>
    <t>Expenditures for capital outlay where title is held by other parties must be reclassified as a functional expenditure. A prime example of this situation is the expenditure for school construction where the Board of Education holds title to the property. In Section E, indicate the amount of capital outlay that must be reclassified and indicate the function to which it should be charged.</t>
  </si>
  <si>
    <t>Complete explanations and instructions are presented on each of the worksheets following the Conversion Worksheet. A brief synopsis is presented below.</t>
  </si>
  <si>
    <t>Cultural and recreation - operating grants &amp; contributions</t>
  </si>
  <si>
    <t>Current year collections</t>
  </si>
  <si>
    <r>
      <t xml:space="preserve">Misc. Rev. </t>
    </r>
    <r>
      <rPr>
        <sz val="8"/>
        <color indexed="10"/>
        <rFont val="Arial"/>
        <family val="2"/>
      </rPr>
      <t>not program specific</t>
    </r>
  </si>
  <si>
    <r>
      <t xml:space="preserve">What is the amount of payables -"due to other funds" due to the business type activities from the governmental activities? </t>
    </r>
    <r>
      <rPr>
        <sz val="8"/>
        <color indexed="10"/>
        <rFont val="Arial"/>
        <family val="2"/>
      </rPr>
      <t>Follow the directions in step 1 above - entering the number from the Conversion worksheet - exclude fiduciary funds portion.</t>
    </r>
  </si>
  <si>
    <r>
      <t xml:space="preserve">What is the amount of receivables-"Advances to other funds" due to the governmental activities from business type activities?  </t>
    </r>
    <r>
      <rPr>
        <sz val="8"/>
        <color indexed="10"/>
        <rFont val="Arial"/>
        <family val="2"/>
      </rPr>
      <t>Follow the directions in step 1 above - entering the number from the Conversion worksheet - exclude fiduciary funds portion.</t>
    </r>
  </si>
  <si>
    <r>
      <t xml:space="preserve"> If the</t>
    </r>
    <r>
      <rPr>
        <b/>
        <sz val="9"/>
        <color indexed="10"/>
        <rFont val="Arial"/>
        <family val="2"/>
      </rPr>
      <t xml:space="preserve"> predominant activity is business type</t>
    </r>
    <r>
      <rPr>
        <sz val="9"/>
        <color indexed="10"/>
        <rFont val="Arial"/>
        <family val="2"/>
      </rPr>
      <t xml:space="preserve">, please copy your numbers into the business type activities worksheet contained in the conversion worksheet for business type activities and </t>
    </r>
    <r>
      <rPr>
        <b/>
        <u/>
        <sz val="9"/>
        <color indexed="10"/>
        <rFont val="Arial"/>
        <family val="2"/>
      </rPr>
      <t>delete</t>
    </r>
    <r>
      <rPr>
        <sz val="9"/>
        <color indexed="10"/>
        <rFont val="Arial"/>
        <family val="2"/>
      </rPr>
      <t xml:space="preserve"> them here. </t>
    </r>
  </si>
  <si>
    <t>General government - Capital grants and contributions</t>
  </si>
  <si>
    <t>Public safety - Charges for services</t>
  </si>
  <si>
    <t>Public safety - Operating grants and contributions</t>
  </si>
  <si>
    <t>What is the face amount of the new debt issued?</t>
  </si>
  <si>
    <t>What is the current year annual amortization for discounts?</t>
  </si>
  <si>
    <t>What is the current year annual amortization for premiums?</t>
  </si>
  <si>
    <t>Bond issuance costs</t>
  </si>
  <si>
    <t>Advance refunding escrow</t>
  </si>
  <si>
    <t>What was the payment to the escrow agent to defease old debt?</t>
  </si>
  <si>
    <t>7.</t>
  </si>
  <si>
    <t>Unamortized
Discount =</t>
  </si>
  <si>
    <t>Unamortized
Premium =</t>
  </si>
  <si>
    <t>Were there any additional payments to the escrow agent charged to debt service?</t>
  </si>
  <si>
    <t xml:space="preserve">Deferred Charge - refunding </t>
  </si>
  <si>
    <t>OFU - Payment to escrow agent</t>
  </si>
  <si>
    <t>Reclassifications and</t>
  </si>
  <si>
    <t>Eliminations</t>
  </si>
  <si>
    <r>
      <t>Charges for Services</t>
    </r>
    <r>
      <rPr>
        <b/>
        <sz val="10"/>
        <color indexed="10"/>
        <rFont val="Arial"/>
        <family val="2"/>
      </rPr>
      <t xml:space="preserve"> *</t>
    </r>
  </si>
  <si>
    <r>
      <t xml:space="preserve">Special items </t>
    </r>
    <r>
      <rPr>
        <sz val="8"/>
        <color indexed="10"/>
        <rFont val="Arial"/>
        <family val="2"/>
      </rPr>
      <t>- government-wide</t>
    </r>
  </si>
  <si>
    <r>
      <t xml:space="preserve">Extraordinary items </t>
    </r>
    <r>
      <rPr>
        <sz val="8"/>
        <color indexed="10"/>
        <rFont val="Arial"/>
        <family val="2"/>
      </rPr>
      <t>- government-wide</t>
    </r>
  </si>
  <si>
    <r>
      <t xml:space="preserve">Special item </t>
    </r>
    <r>
      <rPr>
        <sz val="8"/>
        <color indexed="10"/>
        <rFont val="Arial"/>
        <family val="2"/>
      </rPr>
      <t>- fund statements</t>
    </r>
  </si>
  <si>
    <r>
      <t xml:space="preserve">Extraordinary item </t>
    </r>
    <r>
      <rPr>
        <sz val="8"/>
        <color indexed="10"/>
        <rFont val="Arial"/>
        <family val="2"/>
      </rPr>
      <t xml:space="preserve"> - fund statements</t>
    </r>
  </si>
  <si>
    <r>
      <t>*</t>
    </r>
    <r>
      <rPr>
        <sz val="9"/>
        <rFont val="Arial"/>
        <family val="2"/>
      </rPr>
      <t xml:space="preserve">  would include sales and services and permits and fees</t>
    </r>
  </si>
  <si>
    <t>Govt-wide</t>
  </si>
  <si>
    <t>Unrestricted</t>
  </si>
  <si>
    <r>
      <t xml:space="preserve">What was the amount of the net pension obligation at the beginning of the year. If multiple benefit plans are involved enter the sum of all plans. </t>
    </r>
    <r>
      <rPr>
        <sz val="8"/>
        <color indexed="10"/>
        <rFont val="Arial"/>
        <family val="2"/>
      </rPr>
      <t>(Beginning balances were recorded in Columns V &amp; W in the main Conversion Worksheet.)</t>
    </r>
  </si>
  <si>
    <t>Working</t>
  </si>
  <si>
    <t>Subtotal</t>
  </si>
  <si>
    <t>Adjust Property Tax Revenue From Modified Accrual to Full Accrual</t>
  </si>
  <si>
    <t>Fund Balance - beginning</t>
  </si>
  <si>
    <t>Enter the amount of the new levy in the function below where the proceeds will be/have been expended. The sum below, must equal the amount listed in step 2 above.</t>
  </si>
  <si>
    <t xml:space="preserve">Add any additional assessments made in the current year in the cell to the right. </t>
  </si>
  <si>
    <r>
      <t xml:space="preserve">What is the amount of compensated absences that will be due and payable within one year?    </t>
    </r>
    <r>
      <rPr>
        <sz val="8"/>
        <color indexed="10"/>
        <rFont val="Arial"/>
        <family val="2"/>
      </rPr>
      <t>(Use of the</t>
    </r>
    <r>
      <rPr>
        <sz val="10"/>
        <rFont val="Arial"/>
        <family val="2"/>
      </rPr>
      <t xml:space="preserve"> </t>
    </r>
    <r>
      <rPr>
        <sz val="8"/>
        <color indexed="10"/>
        <rFont val="Arial"/>
        <family val="2"/>
      </rPr>
      <t>FIFO assumption will be based on average leave taken over the years. Typically, use of the LIFO method will not have a current portion.)</t>
    </r>
  </si>
  <si>
    <t xml:space="preserve">  Vehicles and other motorized equipment</t>
  </si>
  <si>
    <t xml:space="preserve">  Infrastructure</t>
  </si>
  <si>
    <t xml:space="preserve">  Asset class 1</t>
  </si>
  <si>
    <t xml:space="preserve">  Asset class 2</t>
  </si>
  <si>
    <t xml:space="preserve">  Construction in progress</t>
  </si>
  <si>
    <t>Net fixed assets</t>
  </si>
  <si>
    <t>Capital debt calculation</t>
  </si>
  <si>
    <t xml:space="preserve">  Total capital debt, gross</t>
  </si>
  <si>
    <t>Add:</t>
  </si>
  <si>
    <t>Total capital debt</t>
  </si>
  <si>
    <t>Capital assets net of related debt</t>
  </si>
  <si>
    <t>Landfill or</t>
  </si>
  <si>
    <t>Business Type</t>
  </si>
  <si>
    <t>Water and</t>
  </si>
  <si>
    <t>Other Business</t>
  </si>
  <si>
    <t xml:space="preserve">Internal </t>
  </si>
  <si>
    <t>Sewer Fund</t>
  </si>
  <si>
    <t>Fund</t>
  </si>
  <si>
    <t>Type Fund</t>
  </si>
  <si>
    <t>Service Fund</t>
  </si>
  <si>
    <t>Total fixed assets, all business-type activities</t>
  </si>
  <si>
    <t xml:space="preserve">Less: </t>
  </si>
  <si>
    <t xml:space="preserve">  Accumulated depreciation, 6/30/02</t>
  </si>
  <si>
    <t>Less:</t>
  </si>
  <si>
    <t xml:space="preserve">  Unspent proceeds of debt</t>
  </si>
  <si>
    <t>Operating Grants &amp; Contributions</t>
  </si>
  <si>
    <t>Capital Grants &amp; Contributions</t>
  </si>
  <si>
    <t>Public Safety</t>
  </si>
  <si>
    <t>Transportation</t>
  </si>
  <si>
    <t xml:space="preserve">Enter the amount of the new levy in the function below where the proceeds will be/have been expended. The sum below must equal the amount in step 2. </t>
  </si>
  <si>
    <t>Review the different revenue accounts - any amounts earned but not available under modified accrual should be adjusted if not previously covered in this worksheet or in the Property Taxes Revenue worksheet ( Worksheet B.) Any amount not earned at year end would not be adjusted.</t>
  </si>
  <si>
    <t>Indicate the amount by program/function for interest expense or investment earnings that should be included with program cost or revenue due to being integral to the operation or required by a third party restriction. If the investment earnings were classified as anything other than general revenues in worksheet A no additional entry to adjust revenue is necessary on this worksheet.</t>
  </si>
  <si>
    <t>I.</t>
  </si>
  <si>
    <t>L.9</t>
  </si>
  <si>
    <t>Restricted for capital projects</t>
  </si>
  <si>
    <t>Restricted for Debt Service</t>
  </si>
  <si>
    <t>Restricted for Transportation</t>
  </si>
  <si>
    <t>Restricted for Public Safety</t>
  </si>
  <si>
    <t>Other transactions affecting capital assets must also be adjusted from their treatment under modified accrual to full accrual for the government-wide financial statements. This covers the  disposal of assets such as the sales, trade-ins or the scrapping of fully depreciated assets, and the donations of capital assets. Please be aware that in addition to posting to the conversion worksheets, capital assets eventually must be added to the unit's permanent accounts for recording capital assets in order to have proper beginning balances for next year's statements.  (Capital assets acquired through leases should have been recorded in the capital outlay worksheet; the debt side of the entry will be made later. Depreciation expense was calculated in a previous worksheet.)</t>
  </si>
  <si>
    <t>Cash and cash equivalents</t>
  </si>
  <si>
    <t>Intangible asset - advance funding of pension obligation</t>
  </si>
  <si>
    <r>
      <t xml:space="preserve">Inventory </t>
    </r>
    <r>
      <rPr>
        <sz val="10"/>
        <rFont val="Arial"/>
        <family val="2"/>
      </rPr>
      <t>- if recorded at the fund level using the purchases method</t>
    </r>
  </si>
  <si>
    <r>
      <t xml:space="preserve">Sum of amounts in step 2. </t>
    </r>
    <r>
      <rPr>
        <sz val="8"/>
        <color indexed="10"/>
        <rFont val="Arial"/>
        <family val="2"/>
      </rPr>
      <t>- calculated</t>
    </r>
    <r>
      <rPr>
        <sz val="10"/>
        <rFont val="Arial"/>
        <family val="2"/>
      </rPr>
      <t xml:space="preserve"> </t>
    </r>
  </si>
  <si>
    <r>
      <t xml:space="preserve">Amount to be allocated </t>
    </r>
    <r>
      <rPr>
        <sz val="8"/>
        <color indexed="10"/>
        <rFont val="Arial"/>
        <family val="2"/>
      </rPr>
      <t xml:space="preserve"> - calculated</t>
    </r>
  </si>
  <si>
    <r>
      <t xml:space="preserve">Enter the amount of the </t>
    </r>
    <r>
      <rPr>
        <u/>
        <sz val="10"/>
        <rFont val="Arial"/>
        <family val="2"/>
      </rPr>
      <t>current year collections</t>
    </r>
    <r>
      <rPr>
        <sz val="10"/>
        <rFont val="Arial"/>
        <family val="2"/>
      </rPr>
      <t xml:space="preserve"> in the function where the proceeds will be/have been expended. The sum of the amounts entered must equal the calculated amount for current collections. </t>
    </r>
  </si>
  <si>
    <t>The journal entry will reverse the original entry in the trial balance and credit an entry by function and revenue category. It is posted only to the conversion worksheet not to the general ledger or accounting system.</t>
  </si>
  <si>
    <t>Cultural &amp; recreation</t>
  </si>
  <si>
    <t>Unallocated depreciation</t>
  </si>
  <si>
    <t>Annual</t>
  </si>
  <si>
    <t>Expense</t>
  </si>
  <si>
    <r>
      <t>Sales &amp; services…………….</t>
    </r>
    <r>
      <rPr>
        <sz val="8"/>
        <color indexed="10"/>
        <rFont val="Arial"/>
        <family val="2"/>
      </rPr>
      <t>(Charges for services)</t>
    </r>
  </si>
  <si>
    <r>
      <t>Taxes - Ad valorem    …………………...</t>
    </r>
    <r>
      <rPr>
        <sz val="8"/>
        <color indexed="10"/>
        <rFont val="Arial"/>
        <family val="2"/>
      </rPr>
      <t>(General)</t>
    </r>
  </si>
  <si>
    <r>
      <t>Other taxes &amp; licenses…………………..</t>
    </r>
    <r>
      <rPr>
        <sz val="8"/>
        <color indexed="10"/>
        <rFont val="Arial"/>
        <family val="2"/>
      </rPr>
      <t>(General)</t>
    </r>
  </si>
  <si>
    <r>
      <t>Permits and fees…………….</t>
    </r>
    <r>
      <rPr>
        <sz val="8"/>
        <color indexed="10"/>
        <rFont val="Arial"/>
        <family val="2"/>
      </rPr>
      <t>(Charges for services)</t>
    </r>
  </si>
  <si>
    <r>
      <t>Investment earnings……………..</t>
    </r>
    <r>
      <rPr>
        <sz val="8"/>
        <color indexed="10"/>
        <rFont val="Arial"/>
        <family val="2"/>
      </rPr>
      <t>(Typically general)</t>
    </r>
  </si>
  <si>
    <t>Modified Accrual Revenue Class</t>
  </si>
  <si>
    <t>Public safety</t>
  </si>
  <si>
    <r>
      <t xml:space="preserve">OFS - Bonds issued </t>
    </r>
    <r>
      <rPr>
        <sz val="8"/>
        <color indexed="10"/>
        <rFont val="Arial"/>
        <family val="2"/>
      </rPr>
      <t>(proceeds)</t>
    </r>
  </si>
  <si>
    <t xml:space="preserve">OFS - Premiums on debt issued </t>
  </si>
  <si>
    <t>OFU - Discounts on debt issued</t>
  </si>
  <si>
    <t>OFU - Payments to escrow agent</t>
  </si>
  <si>
    <t>Retiring/scrapping or donating assets is a matter of removing those amounts from the capital asset accounts including removing the related accumulated depreciation. Enter amounts by asset class in section C.</t>
  </si>
  <si>
    <r>
      <t xml:space="preserve">Final entry for Conversion worksheet - [Entry K.1]  - </t>
    </r>
    <r>
      <rPr>
        <sz val="10"/>
        <rFont val="Arial"/>
        <family val="2"/>
      </rPr>
      <t>Posted to the Reclassification &amp; Elimination Column</t>
    </r>
  </si>
  <si>
    <t xml:space="preserve">    Economic &amp; physical development</t>
  </si>
  <si>
    <t>Permanent balance sheet accounts</t>
  </si>
  <si>
    <t>Compensated absences</t>
  </si>
  <si>
    <t>Claims &amp; Judgments</t>
  </si>
  <si>
    <t>What was accrued interest at the beginning of the year under full accrual?</t>
  </si>
  <si>
    <t>Face</t>
  </si>
  <si>
    <t>Discount</t>
  </si>
  <si>
    <t>Premium</t>
  </si>
  <si>
    <r>
      <t xml:space="preserve">Discount - GO Bonds </t>
    </r>
    <r>
      <rPr>
        <sz val="8"/>
        <color indexed="10"/>
        <rFont val="Arial"/>
        <family val="2"/>
      </rPr>
      <t>- contra-liability</t>
    </r>
  </si>
  <si>
    <t xml:space="preserve">Work Section </t>
  </si>
  <si>
    <t>Debt service - interest and fees</t>
  </si>
  <si>
    <t>Other Misc Entries</t>
  </si>
  <si>
    <t>The user should download a blank workbook appropriate for his/her unit of government and save it permanently on a local computer. It would be best to then make another copy for the current year's data. If for whatever reason the current file becomes corrupted, the user should reload the blank copy from their local computer (or download another from the web) and begin again. For maximum protection, users should save their work frequently as they enter data.</t>
  </si>
  <si>
    <t>Computer Software</t>
  </si>
  <si>
    <t>Accum. Depreciation - computer software</t>
  </si>
  <si>
    <t>Accum Depreciation - asset class 1</t>
  </si>
  <si>
    <t>Restricted for Stabilization by State Statute</t>
  </si>
  <si>
    <t>Stabilization by State statute</t>
  </si>
  <si>
    <t>Restricted for Stabilization by State statute</t>
  </si>
  <si>
    <t>Other Non-Major #3</t>
  </si>
  <si>
    <t>Mental Health Programs</t>
  </si>
  <si>
    <t>Reserved for Stabilization of State Statute</t>
  </si>
  <si>
    <t>Emergency Telephone System and Fire District Special Revenue Funds *</t>
  </si>
  <si>
    <t>Northwest Capital Projects Fund *, **</t>
  </si>
  <si>
    <t>School Capital Projects Fund; assumed all cash on hand is unspent sales tax revenue. *</t>
  </si>
  <si>
    <t>**</t>
  </si>
  <si>
    <r>
      <t xml:space="preserve">Receivables </t>
    </r>
    <r>
      <rPr>
        <b/>
        <sz val="10"/>
        <color indexed="10"/>
        <rFont val="Arial"/>
        <family val="2"/>
      </rPr>
      <t>*</t>
    </r>
  </si>
  <si>
    <r>
      <t xml:space="preserve">Payables </t>
    </r>
    <r>
      <rPr>
        <b/>
        <sz val="10"/>
        <color indexed="10"/>
        <rFont val="Arial"/>
        <family val="2"/>
      </rPr>
      <t>**</t>
    </r>
  </si>
  <si>
    <t>Deferred Outflows of Resources</t>
  </si>
  <si>
    <t>Unavailable revenue</t>
  </si>
  <si>
    <t>Unavailable revenue (ad valorem tax) - "beginning of year"</t>
  </si>
  <si>
    <t>Unavailable revenue (ad valorem tax) - "end of year"</t>
  </si>
  <si>
    <t>Unavailable Revenues*</t>
  </si>
  <si>
    <r>
      <t xml:space="preserve">Indicate the amount of special assessments included in unavailable revenue utilizing the modified accrual basis of accounting at the end of the </t>
    </r>
    <r>
      <rPr>
        <u/>
        <sz val="10"/>
        <rFont val="Arial"/>
        <family val="2"/>
      </rPr>
      <t>current year</t>
    </r>
    <r>
      <rPr>
        <sz val="10"/>
        <rFont val="Arial"/>
        <family val="2"/>
      </rPr>
      <t>.</t>
    </r>
  </si>
  <si>
    <t>Net Investment in Capital Assets</t>
  </si>
  <si>
    <t>Less Net Investment in Capital Assets</t>
  </si>
  <si>
    <t>Net investment in capital assets</t>
  </si>
  <si>
    <t>Receivables offset by unavailable revenues should not be included in the Receivable column.</t>
  </si>
  <si>
    <t>Calculation of Net Position-Governmental Activities</t>
  </si>
  <si>
    <t>Calculation of Net Position</t>
  </si>
  <si>
    <t>Total Net Position</t>
  </si>
  <si>
    <t>Less Restricted Net Position</t>
  </si>
  <si>
    <t>The balances remaining after eliminating the activity between governmental funds should be the activity between governmental activities and business-type activities. These reciprocal balances between activity types must be eliminated and reclassified as internal balances. The numbers for the entry will be pulled from the Conversion worksheet by going to the appropriate account and looking for the balance reported in the Statement of Net Position column. Once the entries in Section C and D have posted to the worksheet, all of these accounts should have a zero balance and an "internal balance" account should remain with the net difference.</t>
  </si>
  <si>
    <t xml:space="preserve">The Statement of Net Position should be presented in order of liquidity and the current portion of long-term liabilities such as bonds and notes payable, compensated liabilities, and other long-term liabilities must be identified separately. For compensated absences, this will depend on the assumption of FIFO or LIFO as the method for computing leave to be taken. For the FIFO method, typically the estimate will be based on expected leave or average leave taken over the last several years. Indicate the amount to be paid from current resources in Section F below. If the LIFO method is used, the assumption is made that typically employees take leave as it is earned and that there is no current portion. If the portion payable and due within one year for other liability accounts has been handled elsewhere, the question can be left blank. </t>
  </si>
  <si>
    <r>
      <t xml:space="preserve">Fund balance must be reclassified to the net position categories required for the presentation on the government-wide statements. Data for this entry is entered manually to avoid circular logic. </t>
    </r>
    <r>
      <rPr>
        <b/>
        <sz val="10"/>
        <rFont val="Arial"/>
        <family val="2"/>
      </rPr>
      <t>It should be one of the last steps performed.</t>
    </r>
    <r>
      <rPr>
        <sz val="10"/>
        <rFont val="Arial"/>
        <family val="2"/>
      </rPr>
      <t xml:space="preserve"> Worksheet M has been presented to help you calculate the correct amounts to entered into Section J. below.</t>
    </r>
  </si>
  <si>
    <r>
      <t xml:space="preserve">What is the amount of receivables -"due from other funds" due to the governmental activities from business type activities? </t>
    </r>
    <r>
      <rPr>
        <sz val="8"/>
        <color indexed="10"/>
        <rFont val="Arial"/>
        <family val="2"/>
      </rPr>
      <t>Go to the conversion worksheet and look at the balance in the Statement of Net Position column for this account. Enter the amount (less any portion for fiduciary funds) in the box to the right.</t>
    </r>
  </si>
  <si>
    <t>Net position - unrestricted</t>
  </si>
  <si>
    <r>
      <t xml:space="preserve">Reclassify fund balance to net position.    </t>
    </r>
    <r>
      <rPr>
        <b/>
        <sz val="8"/>
        <color indexed="10"/>
        <rFont val="Arial"/>
        <family val="2"/>
      </rPr>
      <t xml:space="preserve"> (See worksheet M for assistance with computation of this entry.) </t>
    </r>
  </si>
  <si>
    <r>
      <t>Total net position</t>
    </r>
    <r>
      <rPr>
        <sz val="10"/>
        <rFont val="Arial"/>
        <family val="2"/>
      </rPr>
      <t xml:space="preserve"> ……….  </t>
    </r>
    <r>
      <rPr>
        <sz val="8"/>
        <rFont val="Arial"/>
        <family val="2"/>
      </rPr>
      <t>(from entries above)</t>
    </r>
  </si>
  <si>
    <t xml:space="preserve">Classifies net position and maps to the Statement of Net Position Column </t>
  </si>
  <si>
    <t>Determine the proportionate participation of each function by matching the charge for service with the functional category and determine which activity primarily benefits from the internal service fund - governmental or business-type in Step A. If business type activity is determined as the primary beneficiary, please delete data from this form and enter it in the business-type worksheet provided on the website.</t>
  </si>
  <si>
    <t>Enter the amounts in Step B for the permanent balance sheet accounts for the given internal service fund. These amounts will be posted to the governmental activity column as determined in Step A to be the primary beneficiary of the internal service fund's activities. This worksheet will handle only those funds determined to benefit governmental activities. In step 2 of Section B enter the amounts that must be excluded from the allocation. These amounts come directly from the fund statements. Also, in step 3 enter the change in net position from the income statement for the fund being allocated.</t>
  </si>
  <si>
    <r>
      <t xml:space="preserve">Adjust for the prior year's internal balance in Step C. This adjusts beginning net position to match the government-wide presentation. </t>
    </r>
    <r>
      <rPr>
        <sz val="13"/>
        <rFont val="Wingdings 2"/>
        <family val="1"/>
        <charset val="2"/>
      </rPr>
      <t>k</t>
    </r>
    <r>
      <rPr>
        <sz val="10"/>
        <rFont val="Arial"/>
        <family val="2"/>
      </rPr>
      <t xml:space="preserve"> 
</t>
    </r>
  </si>
  <si>
    <t>Section D is the actual allocation of the residual profit or loss computation. These are the amounts that will be included in your reconciliation from the fund balance on the fund statements to the government-wide net position amount.</t>
  </si>
  <si>
    <t>Record the trial balance for permanent balance sheet accounts of the internal service fund. Amounts should be ending balances except for net position (fund balance.) It should be recorded at the beginning amount for the fiscal year. In step 2 enter the amounts for those items which should be eliminated when allocating the Internal Service fund's net profit or loss. In step 3 enter the amount for "Change in Net Position" from the income statement.</t>
  </si>
  <si>
    <r>
      <t xml:space="preserve">   Net position - </t>
    </r>
    <r>
      <rPr>
        <sz val="8"/>
        <color indexed="10"/>
        <rFont val="Arial"/>
        <family val="2"/>
      </rPr>
      <t>Beginning balance</t>
    </r>
  </si>
  <si>
    <t>From fund Statement of Net Position at end of year</t>
  </si>
  <si>
    <t>Changes in Net Position</t>
  </si>
  <si>
    <r>
      <t xml:space="preserve">Enter the fund's "change in net position"    </t>
    </r>
    <r>
      <rPr>
        <sz val="8"/>
        <rFont val="Arial"/>
        <family val="2"/>
      </rPr>
      <t>Enter a positive amount for income; enter a negative amount for a loss.</t>
    </r>
  </si>
  <si>
    <t>From fund Statement of Revenues, Expenses, and Changes in Net Position</t>
  </si>
  <si>
    <r>
      <t xml:space="preserve">Adjust beginning net position (fund balance) for prior year consolidation of internal service funds. (This amount will be the Internal balance amount created from last year's final entry for this fund.) 
</t>
    </r>
    <r>
      <rPr>
        <b/>
        <sz val="10"/>
        <color indexed="10"/>
        <rFont val="Arial"/>
        <family val="2"/>
      </rPr>
      <t>This will not be an issue in year 1 of implementation. It will only be required in later years.</t>
    </r>
  </si>
  <si>
    <r>
      <t xml:space="preserve">What was the prior year internal balance entry for the internal service fund allocation for governmental type activity? </t>
    </r>
    <r>
      <rPr>
        <sz val="8"/>
        <color indexed="10"/>
        <rFont val="Arial"/>
        <family val="2"/>
      </rPr>
      <t>Indicate sign - this amount will be negative if government activities owe (have a balance payable to) business type activities, and positive if government type activities have a balance receivable from business-type activities.</t>
    </r>
  </si>
  <si>
    <t xml:space="preserve">For other long term liabilities, the incremental changes will need to be recorded charging the expense to the corresponding function. For counties with landfills in the general fund who have a liability for post-closure cost, use the other liability accounts in Section E.  The function to be affected for the changes is the function in which the unit accounts for the landfill. </t>
  </si>
  <si>
    <t>What is the current year annual amortization for prepaid insurance costs?</t>
  </si>
  <si>
    <t>Amortize deferred charges and prepaid insurance costs for the current year.</t>
  </si>
  <si>
    <t>Deferred Charges - prepaid insurance cost</t>
  </si>
  <si>
    <t xml:space="preserve">Trade-ins of equipment or vehicles should also be recorded and treated similarly to sales of assets. Any expenditure made as part of the trade-in transaction was recorded with the capital outlay entry. Now we must remove the old asset from the capital asset accounts and adjust the true cost of the newly acquired asset.  Enter the amounts by asset class in section B of the worksheet below. For question d, please enter the net book value of the old asset in the cell for the asset class of the new asset, e.g., if a vehicle is traded for another vehicle then the number would be placed in the field for the same asset class "vehicles", however if a vehicle is traded for equipment place the number in the asset class of the new asset "equipment". Trading across asset classes will be rare but the worksheet should accommodate the entry. </t>
  </si>
  <si>
    <t>Donations of assets and transfers in from an enterprise or internal service fund reported as business-type activity are not recorded in the fund statements; however, this data would have been picked up previously in the capital asset note under additions. For reporting on the government-wide statements, the donations must be reflected as revenue and as an increase to the specific asset account. The revenue amount will be reflected in "miscellaneous general revenues" or as a special item if appropriate. The transfers in of capital assets from business type activities must be reported as transfers.  Enter amounts in section D below.</t>
  </si>
  <si>
    <t xml:space="preserve">Also be aware that some expenditures may fall below the capitalization threshold that the Governing Board has set for your unit. If certain purchases fall below the capitalization threshold,  a legitimate balance may remain in Capital Outlay after this adjustment. For example, if the unit has chosen $1,000 as the minimum for capitalization, then any items purchased costing less than that amount would remain as an expenditure with no addition made to the various capital asset accounts. Only those items above the unit's capitalization threshold would be adjusted and reported as capital assets in the government-wide statement of net position.  </t>
  </si>
  <si>
    <r>
      <t xml:space="preserve">Indicate the amount of special assessments included in unavailable revenue utilizing the modified accrual basis of accounting at the end of the </t>
    </r>
    <r>
      <rPr>
        <u/>
        <sz val="10"/>
        <rFont val="Arial"/>
        <family val="2"/>
      </rPr>
      <t>prior year</t>
    </r>
    <r>
      <rPr>
        <sz val="10"/>
        <rFont val="Arial"/>
        <family val="2"/>
      </rPr>
      <t>.</t>
    </r>
  </si>
  <si>
    <r>
      <t xml:space="preserve">Indicate the amount of other revenues included in unavailable revenue utilizing the modified accrual basis of accounting at the end of the </t>
    </r>
    <r>
      <rPr>
        <u/>
        <sz val="10"/>
        <rFont val="Arial"/>
        <family val="2"/>
      </rPr>
      <t xml:space="preserve">prior year </t>
    </r>
    <r>
      <rPr>
        <sz val="10"/>
        <rFont val="Arial"/>
        <family val="2"/>
      </rPr>
      <t>that were not recognized as revenue because they were not considered available.</t>
    </r>
    <r>
      <rPr>
        <sz val="10"/>
        <rFont val="Arial"/>
        <family val="2"/>
      </rPr>
      <t xml:space="preserve"> Also, indicate by amount the appropriate full accrual revenue classification.</t>
    </r>
  </si>
  <si>
    <r>
      <t xml:space="preserve">Indicate the amount of other revenues included in unavailable revenue utilizing the modified accrual basis of accounting at the end of the </t>
    </r>
    <r>
      <rPr>
        <u/>
        <sz val="10"/>
        <rFont val="Arial"/>
        <family val="2"/>
      </rPr>
      <t>current year</t>
    </r>
    <r>
      <rPr>
        <sz val="10"/>
        <rFont val="Arial"/>
        <family val="2"/>
      </rPr>
      <t xml:space="preserve"> that were not recognized as revenue because they were not considered available</t>
    </r>
    <r>
      <rPr>
        <sz val="10"/>
        <rFont val="Arial"/>
        <family val="2"/>
      </rPr>
      <t>. Be careful not to duplicate unavailable revenues that have been handled in previous entries.</t>
    </r>
  </si>
  <si>
    <t>Net Position</t>
  </si>
  <si>
    <r>
      <t xml:space="preserve">Net Position Calculation: </t>
    </r>
    <r>
      <rPr>
        <sz val="10"/>
        <rFont val="Arial"/>
        <family val="2"/>
      </rPr>
      <t>facilitates the determination of the net position equity section. The resulting numbers are not mapped but are provided for manual entry into worksheet L to avoid circular logic.</t>
    </r>
  </si>
  <si>
    <r>
      <t>Program revenues must be reclassified for presentation on the Statement of Activities to report</t>
    </r>
    <r>
      <rPr>
        <sz val="10"/>
        <rFont val="Arial"/>
        <family val="2"/>
      </rPr>
      <t xml:space="preserve"> revenues by function (program)</t>
    </r>
    <r>
      <rPr>
        <sz val="10"/>
        <rFont val="Arial"/>
        <family val="2"/>
      </rPr>
      <t xml:space="preserve">. Ad valorem taxes and other revenues that will be classified as general revenue will not be affected in this entry. These program revenues will be categorized into charges for services, operating grants and contributions, and capital grants and contributions. In order for grants or contributions to be classified as capital in nature, the </t>
    </r>
    <r>
      <rPr>
        <u/>
        <sz val="10"/>
        <rFont val="Arial"/>
        <family val="2"/>
      </rPr>
      <t>unit must own the asset</t>
    </r>
    <r>
      <rPr>
        <sz val="10"/>
        <rFont val="Arial"/>
        <family val="2"/>
      </rPr>
      <t>. Grants that can be considered either operating or capital at the recipient's discretion are classified as operating grants.</t>
    </r>
  </si>
  <si>
    <t>What was the amount in unavailable tax receipts at the beginning of the year?  -  (Exclude prepaid taxes.)
What was the amount of accrued interest receivable on tax receipts at the beginning of the year?</t>
  </si>
  <si>
    <t>In addition to ad valorem taxes, other revenues must be adjusted to reflect the full accrual basis of accounting on the Statement of Activities. The availability criteria is not considered for revenue recognition under full accrual accounting.  This means that some unavailable revenue at year end under modified accrual will be recognized as revenue under full accrual on the Statement of Activities. Also, revenues recorded under modified accrual in the current year which were unavailable from the prior year were already recognized as revenue under full accrual in the prior year. Receipts that have not been earned at year end will not be recognized as revenue under the full accrual basis of accounting.</t>
  </si>
  <si>
    <t>It is presumed that unavailable revenues not recorded on the fund's modified accrual statements because of materiality, will not be material on the government-wide statements. A work section, presented in this spreadsheet following the final entry, shows the individual entries for each section in Worksheet C. It is not included in the normal print range. If you wish to print the work section, you will need to adjust the print range.</t>
  </si>
  <si>
    <t>Determine ending balance from prior fiscal year (or beginning of year balances) in unavailable revenue for each revenue source below. Enter the amount in question 1 of each section below.</t>
  </si>
  <si>
    <t>Determine end of current year balances for unavailable revenue for all revenue sources listed below. Enter those amounts for question 2 in each section below.</t>
  </si>
  <si>
    <r>
      <t xml:space="preserve">Alcoholic Beverage Tax  </t>
    </r>
    <r>
      <rPr>
        <b/>
        <sz val="9"/>
        <rFont val="Arial"/>
        <family val="2"/>
      </rPr>
      <t xml:space="preserve"> (Unrestricted intergovernmental for Modified Accrual -- Unrestricted - General for Full Accrual)</t>
    </r>
  </si>
  <si>
    <r>
      <t xml:space="preserve">Indicate the amount of alcoholic beverage tax included in unavailable revenue utilizing the modified accrual basis of accounting at the end of the </t>
    </r>
    <r>
      <rPr>
        <u/>
        <sz val="10"/>
        <rFont val="Arial"/>
        <family val="2"/>
      </rPr>
      <t>prior year</t>
    </r>
    <r>
      <rPr>
        <sz val="10"/>
        <rFont val="Arial"/>
        <family val="2"/>
      </rPr>
      <t>.</t>
    </r>
  </si>
  <si>
    <r>
      <t xml:space="preserve">Indicate the amount of alcoholic beverage tax included in unavailable revenue utilizing the modified accrual basis of accounting at the end of the </t>
    </r>
    <r>
      <rPr>
        <u/>
        <sz val="10"/>
        <rFont val="Arial"/>
        <family val="2"/>
      </rPr>
      <t>current year.</t>
    </r>
  </si>
  <si>
    <r>
      <t xml:space="preserve">Indicate the amount of piped natural gas tax included in unavailable revenue utilizing the modified accrual basis of accounting at the end of the </t>
    </r>
    <r>
      <rPr>
        <u/>
        <sz val="10"/>
        <rFont val="Arial"/>
        <family val="2"/>
      </rPr>
      <t>prior year</t>
    </r>
    <r>
      <rPr>
        <sz val="10"/>
        <rFont val="Arial"/>
        <family val="2"/>
      </rPr>
      <t>.</t>
    </r>
  </si>
  <si>
    <r>
      <t xml:space="preserve">Indicate the amount of piped natural gas tax included in unavailable revenue utilizing the modified accrual basis of accounting at the end of the </t>
    </r>
    <r>
      <rPr>
        <u/>
        <sz val="10"/>
        <rFont val="Arial"/>
        <family val="2"/>
      </rPr>
      <t>current year</t>
    </r>
    <r>
      <rPr>
        <sz val="10"/>
        <rFont val="Arial"/>
        <family val="2"/>
      </rPr>
      <t>.</t>
    </r>
  </si>
  <si>
    <r>
      <t xml:space="preserve">Indicate the amount of controlled substance tax included in unavailable revenue utilizing the modified accrual basis of accounting at the end of the </t>
    </r>
    <r>
      <rPr>
        <u/>
        <sz val="10"/>
        <rFont val="Arial"/>
        <family val="2"/>
      </rPr>
      <t>prior year</t>
    </r>
    <r>
      <rPr>
        <sz val="10"/>
        <rFont val="Arial"/>
        <family val="2"/>
      </rPr>
      <t>.</t>
    </r>
  </si>
  <si>
    <r>
      <t xml:space="preserve">Indicate the amount of controlled substance tax included in unavailable revenue utilizing the modified accrual basis of accounting at the end of the </t>
    </r>
    <r>
      <rPr>
        <u/>
        <sz val="10"/>
        <rFont val="Arial"/>
        <family val="2"/>
      </rPr>
      <t>current year</t>
    </r>
    <r>
      <rPr>
        <sz val="10"/>
        <rFont val="Arial"/>
        <family val="2"/>
      </rPr>
      <t>.</t>
    </r>
  </si>
  <si>
    <r>
      <t xml:space="preserve">Indicate the amount of Telecommunications tax included in unavailable revenue utilizing the modified accrual basis of accounting at the end of the </t>
    </r>
    <r>
      <rPr>
        <u/>
        <sz val="10"/>
        <rFont val="Arial"/>
        <family val="2"/>
      </rPr>
      <t>prior year</t>
    </r>
    <r>
      <rPr>
        <sz val="10"/>
        <rFont val="Arial"/>
        <family val="2"/>
      </rPr>
      <t>.</t>
    </r>
  </si>
  <si>
    <r>
      <t xml:space="preserve">Indicate the amount of Telecommunications tax included in unavailable revenue utilizing the modified accrual basis of accounting at the end of the </t>
    </r>
    <r>
      <rPr>
        <u/>
        <sz val="10"/>
        <rFont val="Arial"/>
        <family val="2"/>
      </rPr>
      <t>current year</t>
    </r>
    <r>
      <rPr>
        <sz val="10"/>
        <rFont val="Arial"/>
        <family val="2"/>
      </rPr>
      <t>.</t>
    </r>
  </si>
  <si>
    <r>
      <t xml:space="preserve">Franchise Utilities Tax   </t>
    </r>
    <r>
      <rPr>
        <b/>
        <sz val="9"/>
        <rFont val="Arial"/>
        <family val="2"/>
      </rPr>
      <t>(Unrestricted governmental for Modified Accrual  --  Unrestricted - General for Full Accrual)</t>
    </r>
    <r>
      <rPr>
        <b/>
        <sz val="10"/>
        <rFont val="Arial"/>
        <family val="2"/>
      </rPr>
      <t xml:space="preserve">    </t>
    </r>
  </si>
  <si>
    <r>
      <t xml:space="preserve">Indicate the amount of franchise utilities tax included in unavailable revenue utilizing the modified accrual basis of accounting at the end of the </t>
    </r>
    <r>
      <rPr>
        <u/>
        <sz val="10"/>
        <rFont val="Arial"/>
        <family val="2"/>
      </rPr>
      <t>prior year</t>
    </r>
    <r>
      <rPr>
        <sz val="10"/>
        <rFont val="Arial"/>
        <family val="2"/>
      </rPr>
      <t>.</t>
    </r>
  </si>
  <si>
    <r>
      <t xml:space="preserve">Indicate the amount of franchise utilities tax included in unavailable revenue utilizing the modified accrual basis of accounting at the end of the </t>
    </r>
    <r>
      <rPr>
        <u/>
        <sz val="10"/>
        <rFont val="Arial"/>
        <family val="2"/>
      </rPr>
      <t>current year</t>
    </r>
    <r>
      <rPr>
        <sz val="10"/>
        <rFont val="Arial"/>
        <family val="2"/>
      </rPr>
      <t>.</t>
    </r>
  </si>
  <si>
    <t xml:space="preserve">Depreciation expense must be calculated and reported in relation to all of the unit's depreciable capital assets. Some units may have a capital asset software system that can easily calculate annual depreciation expense. Others may need to calculate the expense manually. This function has previously been done for all the proprietary or business-type activities funds. It has now been expanded to general capital assets.  The challenge may be the requirement to record the expense by function, e.g. the depreciation for police cars must be charged to public safety. If function or department codes are not currently in the capital asset system, perhaps location can identify the function. Capital assets that can be specifically identified with a function or program will have their depreciation charged respectively. For those units that prepare CAFRs the capital asset schedules required for that publication should give you helpful information about classifying your capital assets by function. </t>
  </si>
  <si>
    <r>
      <t xml:space="preserve">See Memo #934 for further discussion of depreciation particularly as related to long lived assets like infrastructure. Note that infrastructure previously held does not have to be recorded in year 1 of implementation, for governments implementing in 2002 (phase 1) or 2003 (phase II). These phase I and II governments had 4 years to get all their existing infrastructure properly recorded.  Governments implementing in 2004 (phase III) were not required to record their old infrastructure. </t>
    </r>
    <r>
      <rPr>
        <b/>
        <sz val="10"/>
        <color indexed="10"/>
        <rFont val="Arial"/>
        <family val="2"/>
      </rPr>
      <t>All governments must begin to record new additions to infrastructure in year 1 of implementation.</t>
    </r>
  </si>
  <si>
    <t>Review the accounts for deferred charges from refunding and prepaid insurance cost and any discounts or premiums that must be amortized over the life of the debt. Indicate the amount for the annual expense.</t>
  </si>
  <si>
    <t>Prepaid</t>
  </si>
  <si>
    <t xml:space="preserve"> Insurance</t>
  </si>
  <si>
    <t>Debt service - prepaid insurance cost</t>
  </si>
  <si>
    <t>Prepaid insurance costs</t>
  </si>
  <si>
    <t>Debt service - prepaid insurance costs</t>
  </si>
  <si>
    <t>Deferred Charges - Prepaid insurance cost</t>
  </si>
  <si>
    <r>
      <t>Prepaid expenses  -</t>
    </r>
    <r>
      <rPr>
        <sz val="10"/>
        <rFont val="Arial"/>
        <family val="2"/>
      </rPr>
      <t xml:space="preserve"> if recorded at the fund level using the purchases method.  This does not include prepaid insurance costs associated with bond refundings.  </t>
    </r>
  </si>
  <si>
    <t>Fund balance must be reclassified to a Net Position presentation for the government-wide statements. This worksheet will assist you in the calculation of the numbers that must be entered manually into worksheet L. Worksheet L creates the entry that posts to the conversion worksheet to reclassify net position. It was not automatically generated in order to avoid circular logic. This step will be one of the last performed in finalizing data in the conversion worksheet.</t>
  </si>
  <si>
    <t>Restricted Net Position - Data From Fund Statements</t>
  </si>
  <si>
    <t>Position</t>
  </si>
  <si>
    <t>Unamortized Prepaid Insurance Cost =</t>
  </si>
  <si>
    <t>What was the amount of any unamortized discount, premium or prepaid insurance cost on the old debt?</t>
  </si>
  <si>
    <t>Determine beginning of year balances for unavailable (previously non-cash deferred revenue) revenue and accrued interest receivable of ad valorem taxes. Enter those amounts in section A below.</t>
  </si>
  <si>
    <t>Determine end of year balances for unavailable (previously non-cash deferred revenue) revenue and accrued interest receivable on ad valorem taxes. Enter those amounts in section B below.</t>
  </si>
  <si>
    <t>What was amount in unavailable tax receipts at the end of the year?  -  (Exclude prepaid taxes.)
What was the amount of accrued interest receivable on tax receipts at the end of the year?</t>
  </si>
  <si>
    <t>Debt activity under the modified accrual basis of accounting is treated as an expenditure or as an other financing source - debt proceeds. For the full accrual basis of accounting used on the government-wide statements, these debt service expenditures must be adjusted to report the reduction in the principal balance for the permanent liability account. New debt issued during the year will be addressed in Schedule H. Interest expense will be determined by the period the debt is outstanding rather than by the cash payment. Refunding bonds will also be addressed in Schedule H. Please note that these adjustments to debt accounts must be posted to the unit's permanent accounts for debt in order to have proper beginning balances for next year.</t>
  </si>
  <si>
    <t>The issuance of debt needs to be reflected in the proper liability accounts rather than as other financing sources in order to prepare the government-wide Statement of Net Position. Also, corresponding transactions for premiums, discounts, and prepaid insurance costs must be adjusted from other financing uses to assets, liabilities, contra-liabilities, and deferred inflows of resources. Refunding bonds must also be adjusted to the proper permanent accounts. Refunding bonds and their corresponding defeased debt will be handled together in the same section below. Prepaid insurance costs and deferred charges must be amortized over the life of any debt issued from the year of implementation forward to correctly state expenses on the Statement of Activities. All bond issuance costs, other than prepaid insurance, are to be expensed.  The unit's permanent accounts will need to be adjusted to properly reflect next year's beginning balances for debt related accounts.</t>
  </si>
  <si>
    <r>
      <t xml:space="preserve">Adjust beginning net position (fund balance) for prior year consolidation(s) of internal service funds. (This amount will be the Internal balance amount created from last year's final entry for this fund and will become cumulative over time.) 
</t>
    </r>
    <r>
      <rPr>
        <b/>
        <sz val="10"/>
        <color indexed="10"/>
        <rFont val="Arial"/>
        <family val="2"/>
      </rPr>
      <t>This will not be an issue in year 1 of implementation. It will only be required in later years.</t>
    </r>
  </si>
  <si>
    <t xml:space="preserve">Enter the amounts in Step B for the permanent balance sheet accounts for the given internal service fund. These amounts will be posted to the governmental activity column as determined in Step A to be the primary beneficiary of the internal service fund's activities. This worksheet will handle only those determined to benefit governmental activities. In step 2 of Section B enter the amounts that must be excluded from the allocation. These amounts come directly from the fund statements. Also, in step 3 enter the change in net position from the income statement for the fund being allocated. </t>
  </si>
  <si>
    <t>Section D is the actual allocation of the residual profit or loss computation. These are the amounts that will be included in your reconciliation from the fund balance to the government-wide net position amount.</t>
  </si>
  <si>
    <t>From fund Statement of Net position at end of year</t>
  </si>
  <si>
    <t>Unrestricted Net Position</t>
  </si>
  <si>
    <t>Change in Net Position</t>
  </si>
  <si>
    <t>Proof totals for Net Position</t>
  </si>
  <si>
    <t xml:space="preserve">     Change in net position</t>
  </si>
  <si>
    <t xml:space="preserve">     Reclassification to net position</t>
  </si>
  <si>
    <t xml:space="preserve">When you have worked through all the other worksheets (A-M), this sheet will have your government-wide numbers for the governmental activities column of the Statement of Net Position and the Statement of Activities. You may change fund titles as you see fit but if you unprotect the sheet and add lines or columns, formulas will be effected. Please do not do so unless you have strong Excel skills. Some "other" asset and "other" liability accounts have been added to handle the case where you need another account. These titles can be changed but should then be used consistently throughout the workbook. </t>
  </si>
  <si>
    <t>Deferred Inflows of Resources</t>
  </si>
  <si>
    <t>Unavailable revenue (previously non-cash deferred revenue). Unearned revenues ( from cash receipts) typically found below</t>
  </si>
  <si>
    <t>Capital asset data pulled from the St. of Net Position Column in Conversion Worksheet</t>
  </si>
  <si>
    <t>Payables are included in the payables column up to the amount that will not make row for Restricted Net Position negative</t>
  </si>
  <si>
    <t>Deferred Outflows Of Resources</t>
  </si>
  <si>
    <t>Deferred Inflows Of Resources</t>
  </si>
  <si>
    <t>Pension Expense</t>
  </si>
  <si>
    <t>Agency Number</t>
  </si>
  <si>
    <t>Agency</t>
  </si>
  <si>
    <t>Net Pension Liability - End of Year</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</si>
  <si>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</si>
  <si>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</si>
  <si>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</si>
  <si>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</si>
  <si>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</si>
  <si>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</si>
  <si>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</si>
  <si>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Eastern Band Of Cherokee Indians</t>
  </si>
  <si>
    <t>Misenheimer, Village Of</t>
  </si>
  <si>
    <t>Piedmont Triad Airport Authority</t>
  </si>
  <si>
    <t>Sparta, Town Of</t>
  </si>
  <si>
    <t>Yancey County</t>
  </si>
  <si>
    <t>Yancey Soil &amp; Water Conservation District</t>
  </si>
  <si>
    <t>Burnsville, Town Of</t>
  </si>
  <si>
    <t>Martin-Tyrell-Washington D.H.D</t>
  </si>
  <si>
    <t xml:space="preserve">Toe River District Health Department </t>
  </si>
  <si>
    <t>Appalachian District Health Department</t>
  </si>
  <si>
    <t>Alamance County</t>
  </si>
  <si>
    <t>Burlington, City Of</t>
  </si>
  <si>
    <t>Mebane, Town Of</t>
  </si>
  <si>
    <t>Graham, City Of</t>
  </si>
  <si>
    <t>Elon College, Town Of</t>
  </si>
  <si>
    <t>Haw River, Town Of</t>
  </si>
  <si>
    <t>Alamance, Village Of</t>
  </si>
  <si>
    <t>Green Level, Town Of</t>
  </si>
  <si>
    <t>Alexander County</t>
  </si>
  <si>
    <t>Alexander County Health Department</t>
  </si>
  <si>
    <t>Alexander County Library</t>
  </si>
  <si>
    <t>Alexander County Welfare Department</t>
  </si>
  <si>
    <t>Taylorsville, Town Of</t>
  </si>
  <si>
    <t>Alleghany County</t>
  </si>
  <si>
    <t>Northwestern Regional Library</t>
  </si>
  <si>
    <t>Sparta A.B.C. Board</t>
  </si>
  <si>
    <t>Anson County</t>
  </si>
  <si>
    <t>Wadesboro, Town Of</t>
  </si>
  <si>
    <t>Wadesboro Housing Authority</t>
  </si>
  <si>
    <t>Wadesboro A.B.C. Board</t>
  </si>
  <si>
    <t>Lilesville, Town Of</t>
  </si>
  <si>
    <t>Polkton, Town Of</t>
  </si>
  <si>
    <t>Peachland, Town Of</t>
  </si>
  <si>
    <t>Ansonville, Town Of</t>
  </si>
  <si>
    <t>Morven, Town Of</t>
  </si>
  <si>
    <t>Ashe County</t>
  </si>
  <si>
    <t>WEST JEFFERSON ABC BOARD</t>
  </si>
  <si>
    <t>Jefferson, Town Of</t>
  </si>
  <si>
    <t>West Jefferson, Town Of</t>
  </si>
  <si>
    <t>Avery County</t>
  </si>
  <si>
    <t>Avery-Mitchell-Yancey Dist. Library</t>
  </si>
  <si>
    <t>Banner Elk, Town Of</t>
  </si>
  <si>
    <t>High Country Municipal A.B.C. Board</t>
  </si>
  <si>
    <t>Newland, Town Of</t>
  </si>
  <si>
    <t>Beech Mountain, Town Of</t>
  </si>
  <si>
    <t>Elk Park, Town Of</t>
  </si>
  <si>
    <t>Sugar Mountain, Town Of</t>
  </si>
  <si>
    <t>Beaufort County</t>
  </si>
  <si>
    <t>Beaufort County A.B.C. Board</t>
  </si>
  <si>
    <t>B.H.M. Regional Library</t>
  </si>
  <si>
    <t>Washington, City Of</t>
  </si>
  <si>
    <t>Aurora, Town Of</t>
  </si>
  <si>
    <t>Belhaven, Town Of</t>
  </si>
  <si>
    <t>Washington Park, Town Of</t>
  </si>
  <si>
    <t>Chocowinity, Town Of</t>
  </si>
  <si>
    <t>Bertie County</t>
  </si>
  <si>
    <t>Bertie County A.B.C. Board</t>
  </si>
  <si>
    <t>Albemarle Regional Library</t>
  </si>
  <si>
    <t>Bertie-Martin Regional Jail Comm</t>
  </si>
  <si>
    <t>Aulander, Town Of</t>
  </si>
  <si>
    <t>Windsor, Town Of</t>
  </si>
  <si>
    <t>Colerain, Town Of</t>
  </si>
  <si>
    <t>Lewiston-Woodville, Town Of</t>
  </si>
  <si>
    <t>Bladen County</t>
  </si>
  <si>
    <t>Elizabethtown, Town Of</t>
  </si>
  <si>
    <t>Elizabethtown A.B.C. Board</t>
  </si>
  <si>
    <t>Southeastern Economic Develop. Com</t>
  </si>
  <si>
    <t>White Lake, Town Of</t>
  </si>
  <si>
    <t>Clarkton, Town Of</t>
  </si>
  <si>
    <t>Bladenboro, Town Of</t>
  </si>
  <si>
    <t>Brunswick County</t>
  </si>
  <si>
    <t>Leland, Town Of</t>
  </si>
  <si>
    <t>Brunswick County Health Department</t>
  </si>
  <si>
    <t>Brunswick County A.B.C. Board</t>
  </si>
  <si>
    <t>Calabash A.B.C. Board</t>
  </si>
  <si>
    <t>Cape Fear Council Of Governments</t>
  </si>
  <si>
    <t>Brunswick County Tourism Develop. Authority</t>
  </si>
  <si>
    <t>Calabash, Town Of</t>
  </si>
  <si>
    <t>Southport, City Of</t>
  </si>
  <si>
    <t>Northwest, City Of</t>
  </si>
  <si>
    <t>Holden Beach, Town Of</t>
  </si>
  <si>
    <t>Southport A.B.C. Board</t>
  </si>
  <si>
    <t>Belville, Town Of</t>
  </si>
  <si>
    <t>Oak Island, Town Of</t>
  </si>
  <si>
    <t>Carolina Shores, Town of</t>
  </si>
  <si>
    <t>TOWN OF NAVASSA</t>
  </si>
  <si>
    <t>Oak Island A.B.C. Board</t>
  </si>
  <si>
    <t>St. James, Town Of</t>
  </si>
  <si>
    <t>Sunset Beach, Town Of</t>
  </si>
  <si>
    <t>Sunset Beach A.B.C. Board</t>
  </si>
  <si>
    <t>Caswell Beach, Town Of</t>
  </si>
  <si>
    <t>Shallotte A.B.C. Board</t>
  </si>
  <si>
    <t>Ocean Isle Beach, Town Of</t>
  </si>
  <si>
    <t>Ocean Isle A.B.C. Board</t>
  </si>
  <si>
    <t>Boiling Spring Lakes, City Of</t>
  </si>
  <si>
    <t>Boiling Spring Lakes A.B.C. Board</t>
  </si>
  <si>
    <t>Shallotte, Town Of</t>
  </si>
  <si>
    <t>Bald Head Island, Village Of</t>
  </si>
  <si>
    <t>Buncombe County</t>
  </si>
  <si>
    <t>Land-Of-Sky Regional Council</t>
  </si>
  <si>
    <t>Woodfin ABC Commission</t>
  </si>
  <si>
    <t>Western NC Regional Air Pollution Control</t>
  </si>
  <si>
    <t>Metro Sewerage Dist Of Buncombe County</t>
  </si>
  <si>
    <t>Woodfin Sanitary Water &amp; Sewer District</t>
  </si>
  <si>
    <t>Biltmore Forest, Town Of</t>
  </si>
  <si>
    <t>WESTERN HIGHLAND AREA AUTHORITY</t>
  </si>
  <si>
    <t>West Buncombe Fire Department</t>
  </si>
  <si>
    <t>Asheville, City Of</t>
  </si>
  <si>
    <t>Asheville A.B.C. Board</t>
  </si>
  <si>
    <t>Asheville Regional Airport Authority</t>
  </si>
  <si>
    <t>Skyland Volunteer Fire Department</t>
  </si>
  <si>
    <t>Weaverville, Town Of</t>
  </si>
  <si>
    <t>Weaverville A.B.C. Board</t>
  </si>
  <si>
    <t>Black Mountain, Town Of</t>
  </si>
  <si>
    <t>Black Mountain A.B.C. Board</t>
  </si>
  <si>
    <t>Montreat, Town Of</t>
  </si>
  <si>
    <t>Woodfin, Town Of</t>
  </si>
  <si>
    <t>Burke County</t>
  </si>
  <si>
    <t>Burke-Catawba Dist. Confinement Fa</t>
  </si>
  <si>
    <t>Burke County Health Department</t>
  </si>
  <si>
    <t xml:space="preserve">Burke County Tourism Development Authority </t>
  </si>
  <si>
    <t>Valdese, Town Of</t>
  </si>
  <si>
    <t>Valdese Housing Authority</t>
  </si>
  <si>
    <t>Rutherford College, Town of</t>
  </si>
  <si>
    <t>Morganton A.B.C. Board</t>
  </si>
  <si>
    <t>Drexel, Town Of</t>
  </si>
  <si>
    <t>Morganton, City Of</t>
  </si>
  <si>
    <t>Morganton Housing Authority</t>
  </si>
  <si>
    <t>Glen Alpine, Town Of</t>
  </si>
  <si>
    <t>Hildebrand, Town Of</t>
  </si>
  <si>
    <t>Connelly Springs, Town Of</t>
  </si>
  <si>
    <t>Cabarrus County</t>
  </si>
  <si>
    <t>Water &amp; Sewer Authority Of Cabarrus County</t>
  </si>
  <si>
    <t>Cabarrus Co. Public Health Auth</t>
  </si>
  <si>
    <t>Cabarrus Co. Tourism Auth</t>
  </si>
  <si>
    <t>Concord, City Of</t>
  </si>
  <si>
    <t>Concord A.B.C. Board</t>
  </si>
  <si>
    <t>Mount Pleasant, Town Of</t>
  </si>
  <si>
    <t>Mt. Pleasant A.B.C. Board</t>
  </si>
  <si>
    <t>Kannapolis, Town Of</t>
  </si>
  <si>
    <t>Midland, Town of</t>
  </si>
  <si>
    <t>Caldwell County</t>
  </si>
  <si>
    <t>Granite Falls, Town Of</t>
  </si>
  <si>
    <t>Granite Falls A.B.C. Board</t>
  </si>
  <si>
    <t>Sawmills, Town Of</t>
  </si>
  <si>
    <t>Lenoir Housing Authority</t>
  </si>
  <si>
    <t>Hudson, Town Of</t>
  </si>
  <si>
    <t>Harrisburg, Town Of</t>
  </si>
  <si>
    <t>Lenoir, City Of</t>
  </si>
  <si>
    <t>Lenoir A.B.C. Board</t>
  </si>
  <si>
    <t>Cajah's Mountain, Town Of</t>
  </si>
  <si>
    <t>Camden County</t>
  </si>
  <si>
    <t>Camden County A.B.C. Board</t>
  </si>
  <si>
    <t>Carteret County</t>
  </si>
  <si>
    <t>Carteret County A.B.C. Board</t>
  </si>
  <si>
    <t>Western Cartert Interlocal Agency</t>
  </si>
  <si>
    <t>Morehead City, Town Of</t>
  </si>
  <si>
    <t>Newport, Town Of</t>
  </si>
  <si>
    <t>Beaufort, Town Of</t>
  </si>
  <si>
    <t>Beaufort Housing Authority</t>
  </si>
  <si>
    <t>Pine Knoll Shores, Town Of</t>
  </si>
  <si>
    <t>Emerald Isle, Town Of</t>
  </si>
  <si>
    <t>Indian Beach, Town Of</t>
  </si>
  <si>
    <t>Cape Carteret, Town Of</t>
  </si>
  <si>
    <t>Atlantic Beach, Town Of</t>
  </si>
  <si>
    <t>Cedar Point, Town Of</t>
  </si>
  <si>
    <t>Caswell County</t>
  </si>
  <si>
    <t>Caswell County A.B.C. Board</t>
  </si>
  <si>
    <t>Yanceyville, Town Of</t>
  </si>
  <si>
    <t>Catawba County</t>
  </si>
  <si>
    <t>Catawba County A.B.C. Board</t>
  </si>
  <si>
    <t>Hickory, City Of</t>
  </si>
  <si>
    <t>Hickory/Conover Tourism Dev. Authority</t>
  </si>
  <si>
    <t>Hickory Housing Authority</t>
  </si>
  <si>
    <t>Western Piedmont Council of Governments</t>
  </si>
  <si>
    <t>Western Piedmont Regional Transit Authority</t>
  </si>
  <si>
    <t>Claremont, Town Of</t>
  </si>
  <si>
    <t>Maiden, Town Of</t>
  </si>
  <si>
    <t>Long View, Town Of</t>
  </si>
  <si>
    <t>Conover, Town Of</t>
  </si>
  <si>
    <t>Brookford, Town Of</t>
  </si>
  <si>
    <t>Newton, Town Of</t>
  </si>
  <si>
    <t>Catawba, Town Of</t>
  </si>
  <si>
    <t>Chatham County</t>
  </si>
  <si>
    <t>Chatham County Housing Authority</t>
  </si>
  <si>
    <t>Chatham County A.B.C. Board</t>
  </si>
  <si>
    <t>Goldston-Gulf Sanitary District</t>
  </si>
  <si>
    <t>Siler City, Town Of</t>
  </si>
  <si>
    <t>Siler City A.B.C. Board</t>
  </si>
  <si>
    <t>Pittsboro, Town Of</t>
  </si>
  <si>
    <t>Cherokee County</t>
  </si>
  <si>
    <t>Nantahala Regional Library</t>
  </si>
  <si>
    <t>Murphy, Town Of</t>
  </si>
  <si>
    <t>Murphy A.B.C. Board</t>
  </si>
  <si>
    <t>Andrews, Town Of</t>
  </si>
  <si>
    <t>Chowan County</t>
  </si>
  <si>
    <t>Chowan County A.B.C. Board</t>
  </si>
  <si>
    <t>Albemarle Regional Plan. &amp; Develop. Com</t>
  </si>
  <si>
    <t>Edenton, Town Of</t>
  </si>
  <si>
    <t>The New Edenton Housing Authority</t>
  </si>
  <si>
    <t>Clay County</t>
  </si>
  <si>
    <t>Cleveland County</t>
  </si>
  <si>
    <t>Cleveland County Sanitary District</t>
  </si>
  <si>
    <t>Shelby, City Of</t>
  </si>
  <si>
    <t>Shelby A.B.C. Board</t>
  </si>
  <si>
    <t>Kings Mountain, City Of</t>
  </si>
  <si>
    <t>Kings Mountain A.B.C. Board</t>
  </si>
  <si>
    <t>Boiling Springs, Town Of</t>
  </si>
  <si>
    <t>Lawndale, Town Of</t>
  </si>
  <si>
    <t>Grover, Town Of</t>
  </si>
  <si>
    <t>Columbus County</t>
  </si>
  <si>
    <t>Whiteville Housing Authority</t>
  </si>
  <si>
    <t>Whiteville, City Of</t>
  </si>
  <si>
    <t>TOWN OF BOLTON</t>
  </si>
  <si>
    <t>Whiteville A.B.C. Board</t>
  </si>
  <si>
    <t>Brunswick, Town Of</t>
  </si>
  <si>
    <t>Lake Waccamaw A.B.C. Board</t>
  </si>
  <si>
    <t>Fair Bluff, Town Of</t>
  </si>
  <si>
    <t>Chadbourn, Town Of</t>
  </si>
  <si>
    <t>Tabor City, Town Of</t>
  </si>
  <si>
    <t>Lake Woccamaw, Town Of</t>
  </si>
  <si>
    <t>Craven County</t>
  </si>
  <si>
    <t>First Craven Sanitary District</t>
  </si>
  <si>
    <t>Craven County A.B.C. Board</t>
  </si>
  <si>
    <t>Craven-Pamlico-Carteret Regional Library</t>
  </si>
  <si>
    <t>Craven County Airport Authority</t>
  </si>
  <si>
    <t>Neuse River Council Of Governments</t>
  </si>
  <si>
    <t>Coastal Regional Waste Management Authority</t>
  </si>
  <si>
    <t>New Bern, City Of</t>
  </si>
  <si>
    <t>Trent Woods, Town Of</t>
  </si>
  <si>
    <t>Havelock, City Of</t>
  </si>
  <si>
    <t>River Bend, Town Of</t>
  </si>
  <si>
    <t>Vanceboro, Town Of</t>
  </si>
  <si>
    <t>Bridgeton, Town Of</t>
  </si>
  <si>
    <t>Cove City, Town Of</t>
  </si>
  <si>
    <t>Cumberland County</t>
  </si>
  <si>
    <t>Westarea Volunteer Fire Department</t>
  </si>
  <si>
    <t>Cumberland County A.B.C. Board</t>
  </si>
  <si>
    <t>Cumberland Memorial Auditorium Com</t>
  </si>
  <si>
    <t>Fayetteville, City Of</t>
  </si>
  <si>
    <t>Fayetteville Metro. Housing Authority</t>
  </si>
  <si>
    <t>Fayetteville Public Works Commission</t>
  </si>
  <si>
    <t>Stedman, Town Of</t>
  </si>
  <si>
    <t>Hope Mills, Town Of</t>
  </si>
  <si>
    <t>Wade, Town Of</t>
  </si>
  <si>
    <t>Linden, Town Of</t>
  </si>
  <si>
    <t>Spring Lake, Town Of</t>
  </si>
  <si>
    <t>Falcon, Town Of</t>
  </si>
  <si>
    <t>Eastover, Town Of</t>
  </si>
  <si>
    <t>Currituck County</t>
  </si>
  <si>
    <t>Currituck County A.B.C. Board</t>
  </si>
  <si>
    <t>Dare County</t>
  </si>
  <si>
    <t>Dare County Tourism Board</t>
  </si>
  <si>
    <t>Dare County A.B.C. Board</t>
  </si>
  <si>
    <t>Nags Head, Town Of</t>
  </si>
  <si>
    <t>Kill Devil Hills, Town Of</t>
  </si>
  <si>
    <t>Manteo, Town Of</t>
  </si>
  <si>
    <t>Southern Shores, Town Of</t>
  </si>
  <si>
    <t>Kitty Hawk, Town Of</t>
  </si>
  <si>
    <t>Duck, Town Of</t>
  </si>
  <si>
    <t>Davidson County</t>
  </si>
  <si>
    <t>Thomasville, City Of</t>
  </si>
  <si>
    <t>Thomasville Housing Authority</t>
  </si>
  <si>
    <t>Lexington A.B.C. Board</t>
  </si>
  <si>
    <t>Denton, Town Of</t>
  </si>
  <si>
    <t>Lexington, City Of</t>
  </si>
  <si>
    <t>TOWN OF MIDWAY</t>
  </si>
  <si>
    <t>Davie County</t>
  </si>
  <si>
    <t>Davie Soil &amp; Water Conservation District</t>
  </si>
  <si>
    <t>Mocksville, Town Of</t>
  </si>
  <si>
    <t>Bermuda Run, Town Of</t>
  </si>
  <si>
    <t>Cooleemee A.B.C. Board</t>
  </si>
  <si>
    <t>Cooleemee, Town Of</t>
  </si>
  <si>
    <t>Duplin County</t>
  </si>
  <si>
    <t>Beulaville, Town Of</t>
  </si>
  <si>
    <t>Kenansville, Town Of</t>
  </si>
  <si>
    <t>Kenansville A.B.C. Board</t>
  </si>
  <si>
    <t>Warsaw, Town Of</t>
  </si>
  <si>
    <t>Warsaw A.B.C. Board</t>
  </si>
  <si>
    <t>Faison, Town Of</t>
  </si>
  <si>
    <t>Wallace, Town Of</t>
  </si>
  <si>
    <t>Wallace A.B.C. Board</t>
  </si>
  <si>
    <t>Rose Hill, Town Of</t>
  </si>
  <si>
    <t>Calypso, Town Of</t>
  </si>
  <si>
    <t>Teachey, Town Of</t>
  </si>
  <si>
    <t>Magnolia, Town Of</t>
  </si>
  <si>
    <t>Durham County</t>
  </si>
  <si>
    <t>Parkwood Fire Department</t>
  </si>
  <si>
    <t>Durham County A.B.C. Board</t>
  </si>
  <si>
    <t>Alliance Behavioral Healthcare</t>
  </si>
  <si>
    <t>Durham, City Of</t>
  </si>
  <si>
    <t>Durham Convention and Visitors Bureau</t>
  </si>
  <si>
    <t>Triangle J Council Of Governments</t>
  </si>
  <si>
    <t>Edgecombe County</t>
  </si>
  <si>
    <t>Edgecombe County A.B.C. Board</t>
  </si>
  <si>
    <t>Edgecombe-Nash Memorial Library</t>
  </si>
  <si>
    <t>Tarboro, Town Of</t>
  </si>
  <si>
    <t>Tarboro Redevelopment Commission</t>
  </si>
  <si>
    <t>Rocky Mount, City Of</t>
  </si>
  <si>
    <t>Rocky Mount-Wilson Airport Authority</t>
  </si>
  <si>
    <t>Pinetops, Town Of</t>
  </si>
  <si>
    <t>Rocky Mount Housing Authority</t>
  </si>
  <si>
    <t>Macclesfield, Town Of</t>
  </si>
  <si>
    <t>Princeville, Town Of</t>
  </si>
  <si>
    <t>Forsyth County</t>
  </si>
  <si>
    <t>Airport Commission Of Forsyth County</t>
  </si>
  <si>
    <t>Piedmont Triad Regional Council</t>
  </si>
  <si>
    <t>Winston-Salem, City Of</t>
  </si>
  <si>
    <t>Winston-Salem Housing Authority</t>
  </si>
  <si>
    <t>Kernersville, Town Of</t>
  </si>
  <si>
    <t>Rural Hall, Town Of</t>
  </si>
  <si>
    <t>Clemmons,  Village Of</t>
  </si>
  <si>
    <t>Clemmons Fire Department</t>
  </si>
  <si>
    <t>Lewisville, Town Of</t>
  </si>
  <si>
    <t>Walkertown, Town Of</t>
  </si>
  <si>
    <t>Tobaccoville,  Village Of</t>
  </si>
  <si>
    <t>Franklin County</t>
  </si>
  <si>
    <t>Franklinton, Town Of</t>
  </si>
  <si>
    <t>Franklinton A.B.C. Board</t>
  </si>
  <si>
    <t>Louisburg, Town Of</t>
  </si>
  <si>
    <t>Louisburg A.B.C. Board</t>
  </si>
  <si>
    <t>Bunn, Town Of</t>
  </si>
  <si>
    <t>Bunn A.B.C. Board</t>
  </si>
  <si>
    <t>Youngsville, Town Of</t>
  </si>
  <si>
    <t>Gaston County</t>
  </si>
  <si>
    <t>Stanley, Town Of</t>
  </si>
  <si>
    <t>Mcadenville, Town Of</t>
  </si>
  <si>
    <t>Gastonia, City Of</t>
  </si>
  <si>
    <t>Gastonia A.B.C. Board</t>
  </si>
  <si>
    <t>Gaston Co. Economic Dev. Commission</t>
  </si>
  <si>
    <t>Belmont, City Of</t>
  </si>
  <si>
    <t>Belmont Housing Authority</t>
  </si>
  <si>
    <t>Cramerton, Town Of</t>
  </si>
  <si>
    <t>Cherryville, City Of</t>
  </si>
  <si>
    <t>Cherryville A.B.C. Board</t>
  </si>
  <si>
    <t>Dallas, Town Of</t>
  </si>
  <si>
    <t>Lowell, Town Of</t>
  </si>
  <si>
    <t>Bessemer City, City Of</t>
  </si>
  <si>
    <t>BESSEMER CITY A.B.C. BOARD</t>
  </si>
  <si>
    <t>Ranlo, Town Of</t>
  </si>
  <si>
    <t>Mt. Holly, City Of</t>
  </si>
  <si>
    <t>Gates County</t>
  </si>
  <si>
    <t>Gates County A.B.C. Board</t>
  </si>
  <si>
    <t>Graham County</t>
  </si>
  <si>
    <t>Graham County Health Department</t>
  </si>
  <si>
    <t>Robbinsville, Town of</t>
  </si>
  <si>
    <t>Granville County</t>
  </si>
  <si>
    <t>Granville County A.B.C. Board</t>
  </si>
  <si>
    <t>Granville County Hospital</t>
  </si>
  <si>
    <t>Granville-Vance Health District</t>
  </si>
  <si>
    <t>South Granville Water and Sewer Authority</t>
  </si>
  <si>
    <t>Oxford, City Of</t>
  </si>
  <si>
    <t>Oxford Housing Authority</t>
  </si>
  <si>
    <t>Stovall, Town Of</t>
  </si>
  <si>
    <t>Creedmoor, City Of</t>
  </si>
  <si>
    <t>Butner, Town Of</t>
  </si>
  <si>
    <t>Greene County</t>
  </si>
  <si>
    <t>Maury Sanitary Land District</t>
  </si>
  <si>
    <t>Greene County A.B.C. Board</t>
  </si>
  <si>
    <t>Neuse Regional Library - Greene County</t>
  </si>
  <si>
    <t>Hookerton, Town Of</t>
  </si>
  <si>
    <t>Snow Hill, Town Of</t>
  </si>
  <si>
    <t>Walstonburg, Town Of</t>
  </si>
  <si>
    <t>Guilford, County Of</t>
  </si>
  <si>
    <t>Guil-Rand Fire Department</t>
  </si>
  <si>
    <t>Pinecroft-Sedgefield Fire District</t>
  </si>
  <si>
    <t>Alamance Community Fire Dist.,Inc</t>
  </si>
  <si>
    <t>Greensboro, City Of</t>
  </si>
  <si>
    <t>Piedmont Triad Regional Water Authority</t>
  </si>
  <si>
    <t>Greensboro A.B.C. Board</t>
  </si>
  <si>
    <t>Guilford Fire District</t>
  </si>
  <si>
    <t>High Point, City Of</t>
  </si>
  <si>
    <t>High Point A.B.C. Board</t>
  </si>
  <si>
    <t>Jamestown, Town Of</t>
  </si>
  <si>
    <t>Gibsonville, Town Of</t>
  </si>
  <si>
    <t>Gibsonville A.B.C. Board</t>
  </si>
  <si>
    <t>Oak Ridge, Town Of</t>
  </si>
  <si>
    <t>Colfax Volunteer Fire Department</t>
  </si>
  <si>
    <t>Summerfield, Town Of</t>
  </si>
  <si>
    <t>Summerfield Fire District</t>
  </si>
  <si>
    <t>Halifax County</t>
  </si>
  <si>
    <t>Halifax County A.B.C. Board</t>
  </si>
  <si>
    <t>Halifax County Tourism Development Authority</t>
  </si>
  <si>
    <t>Roanoke Rapids Sanitary District</t>
  </si>
  <si>
    <t>Enfield, Town Of</t>
  </si>
  <si>
    <t>Roanoke Rapids, City Of</t>
  </si>
  <si>
    <t>Weldon, Town Of</t>
  </si>
  <si>
    <t>Scotland Neck, Town Of</t>
  </si>
  <si>
    <t>Hobgood, Town Of</t>
  </si>
  <si>
    <t>Littleton, Town Of</t>
  </si>
  <si>
    <t>Harnett County</t>
  </si>
  <si>
    <t>Dunn, Town Of</t>
  </si>
  <si>
    <t>Dunn Housing Authority</t>
  </si>
  <si>
    <t>Dunn A.B.C. Board</t>
  </si>
  <si>
    <t>Lillington, Town Of</t>
  </si>
  <si>
    <t>Erwin, Town Of</t>
  </si>
  <si>
    <t>Coats, Town Of</t>
  </si>
  <si>
    <t>Angier A.B.C. Board</t>
  </si>
  <si>
    <t>Angier, Town Of</t>
  </si>
  <si>
    <t>Haywood County</t>
  </si>
  <si>
    <t>Haywood Medical Center</t>
  </si>
  <si>
    <t>Junaluska Sanitary District</t>
  </si>
  <si>
    <t>Waynesville, Town Of</t>
  </si>
  <si>
    <t>Waynesville A.B.C. Board</t>
  </si>
  <si>
    <t>Maggie Valley, Town Of</t>
  </si>
  <si>
    <t>Maggie Valley A.B.C. Board</t>
  </si>
  <si>
    <t>Maggie Valley Sanitary District</t>
  </si>
  <si>
    <t>Canton, Town Of</t>
  </si>
  <si>
    <t>Canton A.B.C. Board</t>
  </si>
  <si>
    <t>Henderson County</t>
  </si>
  <si>
    <t>Hendersonville, City Of</t>
  </si>
  <si>
    <t>Hendersonville Water Commission</t>
  </si>
  <si>
    <t>Hendersonville A.B.C. Board</t>
  </si>
  <si>
    <t>Laurel Park, Town Of</t>
  </si>
  <si>
    <t>Laurel Park A.B.C. Board</t>
  </si>
  <si>
    <t>Flat Rock, Village Of</t>
  </si>
  <si>
    <t>Blue Ridge Fire Department</t>
  </si>
  <si>
    <t>Fletcher, Town Of</t>
  </si>
  <si>
    <t>Fletcher A.B.C. Board</t>
  </si>
  <si>
    <t>Mills River, Town Of</t>
  </si>
  <si>
    <t>Hertford County</t>
  </si>
  <si>
    <t>Hertford County A.B.C. Board</t>
  </si>
  <si>
    <t>Hertford County Public Health Authority</t>
  </si>
  <si>
    <t>Ahoskie, Town Of</t>
  </si>
  <si>
    <t>Murfreesboro, Town Of</t>
  </si>
  <si>
    <t>Winton, Town Of</t>
  </si>
  <si>
    <t>Cofield, Town Of</t>
  </si>
  <si>
    <t>Hoke County</t>
  </si>
  <si>
    <t>Hoke County A.B.C. Board</t>
  </si>
  <si>
    <t>Raeford, Town Of</t>
  </si>
  <si>
    <t>Hyde County</t>
  </si>
  <si>
    <t>Hyde County A.B.C. Board</t>
  </si>
  <si>
    <t>Ocracoke Sanitary District</t>
  </si>
  <si>
    <t>Iredell County</t>
  </si>
  <si>
    <t>Greater Statesville Development Co</t>
  </si>
  <si>
    <t>Statesville, City Of</t>
  </si>
  <si>
    <t>Statesville A.B.C. Board</t>
  </si>
  <si>
    <t>Mooresville, City Of</t>
  </si>
  <si>
    <t>Mooresville Housing Authority</t>
  </si>
  <si>
    <t>Mooresville A.B.C. Board</t>
  </si>
  <si>
    <t>Troutman, Town Of</t>
  </si>
  <si>
    <t>MI Connection Communications System</t>
  </si>
  <si>
    <t>Jackson County</t>
  </si>
  <si>
    <t>Tuckaseigee Water And Sewer Auth</t>
  </si>
  <si>
    <t>Fontana Regional Library</t>
  </si>
  <si>
    <t>Southwestern Plan. &amp; Econ. Dev. Co</t>
  </si>
  <si>
    <t>Smoky Mountain Mental Health Center</t>
  </si>
  <si>
    <t>Sylva, Town Of</t>
  </si>
  <si>
    <t>Johnston County</t>
  </si>
  <si>
    <t>Benson Housing Authority</t>
  </si>
  <si>
    <t>Johnston County A.B.C. Board</t>
  </si>
  <si>
    <t>Johnston County Public Library</t>
  </si>
  <si>
    <t>Archer Lodge, Town Of</t>
  </si>
  <si>
    <t>Smithfield, Town Of</t>
  </si>
  <si>
    <t>Smithfield Housing Authority</t>
  </si>
  <si>
    <t>Selma, Town Of</t>
  </si>
  <si>
    <t>Micro, Town of</t>
  </si>
  <si>
    <t>Selma Housing Authority</t>
  </si>
  <si>
    <t>Clayton, Town Of</t>
  </si>
  <si>
    <t>Benson, Town Of</t>
  </si>
  <si>
    <t>Four Oaks, Town Of</t>
  </si>
  <si>
    <t>Pine Level, Town Of</t>
  </si>
  <si>
    <t>Kenly, Town Of</t>
  </si>
  <si>
    <t>Princeton, Town Of</t>
  </si>
  <si>
    <t>Wilson's Mills, Town Of</t>
  </si>
  <si>
    <t>Jones County</t>
  </si>
  <si>
    <t>Jones County A.B.C. Board</t>
  </si>
  <si>
    <t>Neuse Regional Library - Jones County</t>
  </si>
  <si>
    <t>Pollocksville, Town Of</t>
  </si>
  <si>
    <t>Maysville, Town Of</t>
  </si>
  <si>
    <t>Lee County</t>
  </si>
  <si>
    <t>Sanford, City Of</t>
  </si>
  <si>
    <t>Sanford A.B.C. Board</t>
  </si>
  <si>
    <t>Broadway, Town Of</t>
  </si>
  <si>
    <t>Lenoir County</t>
  </si>
  <si>
    <t>Lenoir County A.B.C. Board</t>
  </si>
  <si>
    <t>Neuse Regional Library</t>
  </si>
  <si>
    <t>Kinston, City Of</t>
  </si>
  <si>
    <t>Global Transpark Development Comm</t>
  </si>
  <si>
    <t>Kinston Housing Authority</t>
  </si>
  <si>
    <t>Kinston-Lenoir County Library</t>
  </si>
  <si>
    <t>Pink Hill, Town Of</t>
  </si>
  <si>
    <t>Lagrange, Town Of</t>
  </si>
  <si>
    <t>Lincoln County</t>
  </si>
  <si>
    <t>Lincoln County A.B.C. Board</t>
  </si>
  <si>
    <t>Lincolnton, City Of</t>
  </si>
  <si>
    <t>Lincolnton Housing Authority</t>
  </si>
  <si>
    <t>Lincolnton A.B.C. Board</t>
  </si>
  <si>
    <t>Macon County</t>
  </si>
  <si>
    <t>Franklin, Town Of</t>
  </si>
  <si>
    <t>Highlands A.B.C. Board</t>
  </si>
  <si>
    <t>Highlands, Town Of</t>
  </si>
  <si>
    <t>Madison County</t>
  </si>
  <si>
    <t>Mars Hill, Town Of</t>
  </si>
  <si>
    <t>Marshall, Town Of</t>
  </si>
  <si>
    <t>Hot Springs Housing Authority</t>
  </si>
  <si>
    <t>Martin County</t>
  </si>
  <si>
    <t>Martin County Travel &amp; Tourism Authority</t>
  </si>
  <si>
    <t>Martin County A B C Board</t>
  </si>
  <si>
    <t>Williamston, City Of</t>
  </si>
  <si>
    <t>Williamston Housing Authority</t>
  </si>
  <si>
    <t>Oak City, Town Of</t>
  </si>
  <si>
    <t>Hamilton, Town Of</t>
  </si>
  <si>
    <t>Jamesville, Town Of</t>
  </si>
  <si>
    <t>Robersonville, Town Of</t>
  </si>
  <si>
    <t>Robersonville Housing Authority</t>
  </si>
  <si>
    <t>Pleasant Garden Fire Department</t>
  </si>
  <si>
    <t>Marion, Town Of</t>
  </si>
  <si>
    <t>Marion A.B.C. Board</t>
  </si>
  <si>
    <t>Old Fort, Town Of</t>
  </si>
  <si>
    <t>Mecklenburg County</t>
  </si>
  <si>
    <t>Charlott Housing Authority</t>
  </si>
  <si>
    <t>Mecklenburg County A.B.C. Board</t>
  </si>
  <si>
    <t>Charlotte-Mecklenburg Public Libra</t>
  </si>
  <si>
    <t>Mecklenburg County Ems Agency</t>
  </si>
  <si>
    <t>Centralina Council Of Governments</t>
  </si>
  <si>
    <t>Charlotte, City Of</t>
  </si>
  <si>
    <t>Charlotte Fire Ret Sys Board of Trust</t>
  </si>
  <si>
    <t>Pineville, Town Of</t>
  </si>
  <si>
    <t>Mint Hill, Town Of</t>
  </si>
  <si>
    <t>Huntersville, Town Of</t>
  </si>
  <si>
    <t>Cornelius, Town Of</t>
  </si>
  <si>
    <t>Stallings, Town Of</t>
  </si>
  <si>
    <t>Matthews, Town Of</t>
  </si>
  <si>
    <t>Davidson, Town Of</t>
  </si>
  <si>
    <t>Mitchell County</t>
  </si>
  <si>
    <t>Mitchell Soil &amp; Water Conserv. District</t>
  </si>
  <si>
    <t>Spruce Pine, Town Of</t>
  </si>
  <si>
    <t>Bakersville, Town Of</t>
  </si>
  <si>
    <t>Montgomery County</t>
  </si>
  <si>
    <t>Montgomery-Municipal A.B.C. Board</t>
  </si>
  <si>
    <t>Star, Town Of</t>
  </si>
  <si>
    <t>Troy, Town Of</t>
  </si>
  <si>
    <t>Biscoe, Town Of</t>
  </si>
  <si>
    <t>Candor, Town Of</t>
  </si>
  <si>
    <t>Mount Gilead, Town Of</t>
  </si>
  <si>
    <t>Moore County</t>
  </si>
  <si>
    <t>Taylortown, Town Of</t>
  </si>
  <si>
    <t>Moore County A.B.C. Board</t>
  </si>
  <si>
    <t>Moore County Tourism Develop. Auth.</t>
  </si>
  <si>
    <t>Moore County Airport Authority</t>
  </si>
  <si>
    <t>Southern Pines, Town Of</t>
  </si>
  <si>
    <t>Cameron, Town Of</t>
  </si>
  <si>
    <t>Vass, Town Of</t>
  </si>
  <si>
    <t>Aberdeen, Town Of</t>
  </si>
  <si>
    <t>Robbins, Town Of</t>
  </si>
  <si>
    <t>Pinehurst, Village Of</t>
  </si>
  <si>
    <t>Pinebluff, Town Of</t>
  </si>
  <si>
    <t>Whispering Pines, Village Of</t>
  </si>
  <si>
    <t>Foxfire Village</t>
  </si>
  <si>
    <t>Carthage, Town Of</t>
  </si>
  <si>
    <t>Nash County</t>
  </si>
  <si>
    <t>Nash County A.B.C. Board</t>
  </si>
  <si>
    <t>Braswell Memorial Library</t>
  </si>
  <si>
    <t>Spring Hope, Town Of</t>
  </si>
  <si>
    <t>Nashville, Town Of</t>
  </si>
  <si>
    <t>Middlesex, Town Of</t>
  </si>
  <si>
    <t>Whitakers, Town Of</t>
  </si>
  <si>
    <t>Bailey, Town Of</t>
  </si>
  <si>
    <t>Sharpsburg, Town of</t>
  </si>
  <si>
    <t>New Hanover County</t>
  </si>
  <si>
    <t>New Hanover Airport Authority</t>
  </si>
  <si>
    <t>Wilmington Housing Authority</t>
  </si>
  <si>
    <t>New Hanover County A.B.C. Board</t>
  </si>
  <si>
    <t>Cape Fear Public Utility Authority</t>
  </si>
  <si>
    <t>Lower Cape Fear Water &amp; Sewer Auth</t>
  </si>
  <si>
    <t>Wrightsville Beach, Town Of</t>
  </si>
  <si>
    <t>Cape Fear Public Transportation Authority</t>
  </si>
  <si>
    <t>Coastal Care</t>
  </si>
  <si>
    <t>Carolina Beach, Town Of</t>
  </si>
  <si>
    <t>Wilmington, City Of</t>
  </si>
  <si>
    <t>Kure Beach, Town Of</t>
  </si>
  <si>
    <t>Northampton County</t>
  </si>
  <si>
    <t>Northampton County A.B.C. Board</t>
  </si>
  <si>
    <t>Rich Square, Town Of</t>
  </si>
  <si>
    <t>Choanoke Public Transportation Authority</t>
  </si>
  <si>
    <t>Woodland, Town Of</t>
  </si>
  <si>
    <t>Garysburg, Town Of</t>
  </si>
  <si>
    <t>Conway, Town Of</t>
  </si>
  <si>
    <t>Gaston, Town Of</t>
  </si>
  <si>
    <t>Jackson, Town Of</t>
  </si>
  <si>
    <t>Severn, Town Of</t>
  </si>
  <si>
    <t>Seaboard, Town Of</t>
  </si>
  <si>
    <t>Onslow County</t>
  </si>
  <si>
    <t>Onslow County A.B.C. Board</t>
  </si>
  <si>
    <t>Onslow Water &amp; Sewage Authority</t>
  </si>
  <si>
    <t>Jacksonville, City Of</t>
  </si>
  <si>
    <t>Swansboro, Town Of</t>
  </si>
  <si>
    <t>Holly Ridge, Town Of</t>
  </si>
  <si>
    <t>Holly Ridge Housing Authority</t>
  </si>
  <si>
    <t>Richlands, Town Of</t>
  </si>
  <si>
    <t>North Topsail Beach, Town Of</t>
  </si>
  <si>
    <t>Orange County</t>
  </si>
  <si>
    <t>Orange County A.B.C. Board</t>
  </si>
  <si>
    <t>Orange Water &amp; Sewer Authority</t>
  </si>
  <si>
    <t>Chapel Hill, Town Of</t>
  </si>
  <si>
    <t>Carrboro, Town Of</t>
  </si>
  <si>
    <t>Hillsborough, Town Of</t>
  </si>
  <si>
    <t>Pamlico County</t>
  </si>
  <si>
    <t>Bayboro, Town Of</t>
  </si>
  <si>
    <t>Oriental, Town Of</t>
  </si>
  <si>
    <t>Bay River Metro Sewerage District</t>
  </si>
  <si>
    <t>Pasquotank County</t>
  </si>
  <si>
    <t>Pasquotank-Camden Ambulance Service</t>
  </si>
  <si>
    <t>Pasquotank County A.B.C Board</t>
  </si>
  <si>
    <t>East Albemarle Regional Library</t>
  </si>
  <si>
    <t>Albemarle District Jail Commission</t>
  </si>
  <si>
    <t>Albemarle Hospital Authority</t>
  </si>
  <si>
    <t>Elizabeth City</t>
  </si>
  <si>
    <t>Elizabeth-Pasquotank Co Airport Au</t>
  </si>
  <si>
    <t>Elizabeth City - Pasquotank Co. Tourism Dev. Auth.</t>
  </si>
  <si>
    <t>Pasquotank-Camden Library</t>
  </si>
  <si>
    <t>Elizabeth-Pasquotank Co Ind Dev Co</t>
  </si>
  <si>
    <t>Pender County</t>
  </si>
  <si>
    <t>Pender County A.B.C. Board</t>
  </si>
  <si>
    <t>Burgaw, Town Of</t>
  </si>
  <si>
    <t>Topsail Beach, Town Of</t>
  </si>
  <si>
    <t>Surf City</t>
  </si>
  <si>
    <t>Perquimans County</t>
  </si>
  <si>
    <t>Hertford, Town Of</t>
  </si>
  <si>
    <t>Hertford Housing Authority</t>
  </si>
  <si>
    <t>Hertford A.B.C. Board</t>
  </si>
  <si>
    <t>Winfall, Town Of</t>
  </si>
  <si>
    <t>Person County</t>
  </si>
  <si>
    <t>Person County A.B.C. Board</t>
  </si>
  <si>
    <t>Roxboro, City Of</t>
  </si>
  <si>
    <t>Pitt County</t>
  </si>
  <si>
    <t>Pitt-Greenville Convention &amp; Visitors Authority</t>
  </si>
  <si>
    <t>Pitt County A.B.C. Board</t>
  </si>
  <si>
    <t>Sheppard Memorial Library</t>
  </si>
  <si>
    <t>Greenville, City Of</t>
  </si>
  <si>
    <t>Greenville Utilities Commission</t>
  </si>
  <si>
    <t>Greenville Housing Authority</t>
  </si>
  <si>
    <t>Farmville, City Of</t>
  </si>
  <si>
    <t>Farmville Housing Authority</t>
  </si>
  <si>
    <t>Grifton, Town Of</t>
  </si>
  <si>
    <t>Bethel, Town Of</t>
  </si>
  <si>
    <t>Winterville, Town Of</t>
  </si>
  <si>
    <t>Ayden, Town Of</t>
  </si>
  <si>
    <t>Ayden Housing Authority</t>
  </si>
  <si>
    <t>Grimesland, Town Of</t>
  </si>
  <si>
    <t>Simpson, Village Of</t>
  </si>
  <si>
    <t>Fountain, Town of</t>
  </si>
  <si>
    <t>Polk County</t>
  </si>
  <si>
    <t>Tryon, Town Of</t>
  </si>
  <si>
    <t>Columbus, Town Of</t>
  </si>
  <si>
    <t>Saluda, Town Of</t>
  </si>
  <si>
    <t>Randolph County</t>
  </si>
  <si>
    <t>Asheboro A.B.C. Board</t>
  </si>
  <si>
    <t>Asheboro, City Of</t>
  </si>
  <si>
    <t>Asheboro Housing Authority</t>
  </si>
  <si>
    <t>Randleman, City Of</t>
  </si>
  <si>
    <t>Randleman Housing Authority</t>
  </si>
  <si>
    <t>Randleman A.B.C. Board</t>
  </si>
  <si>
    <t>Liberty, Town Of</t>
  </si>
  <si>
    <t>Liberty A.B.C. Board</t>
  </si>
  <si>
    <t>Ramseur, Town Of</t>
  </si>
  <si>
    <t>Archdale, City Of</t>
  </si>
  <si>
    <t>Trinity, City Of</t>
  </si>
  <si>
    <t>Richmond County</t>
  </si>
  <si>
    <t>Sandhill Regional Library</t>
  </si>
  <si>
    <t>Rockingham, City Of</t>
  </si>
  <si>
    <t>Rockingham Housing Authority</t>
  </si>
  <si>
    <t>Hamlet A.B.C. Board</t>
  </si>
  <si>
    <t>Hamlet, City Of</t>
  </si>
  <si>
    <t>Rockingham A.B.C. Board</t>
  </si>
  <si>
    <t>Ellerbe, Town Of</t>
  </si>
  <si>
    <t>Robeson County</t>
  </si>
  <si>
    <t>Lumber River Council Of Governments</t>
  </si>
  <si>
    <t>Robeson County Housing Authority</t>
  </si>
  <si>
    <t>Robeson County Public Library</t>
  </si>
  <si>
    <t>Lumberton, City Of</t>
  </si>
  <si>
    <t>Lumberton A.B.C. Board</t>
  </si>
  <si>
    <t>Lumberton Airport Commission</t>
  </si>
  <si>
    <t>Fairmont, Town Of</t>
  </si>
  <si>
    <t>Fairmont Housing Authority</t>
  </si>
  <si>
    <t>St. Pauls, Town Of</t>
  </si>
  <si>
    <t>Saint Paul's A.B.C. Board</t>
  </si>
  <si>
    <t>Maxton, Town Of</t>
  </si>
  <si>
    <t>Maxton A.B.C. Board</t>
  </si>
  <si>
    <t>Pembroke, Town Of</t>
  </si>
  <si>
    <t>Pembroke Housing Authority</t>
  </si>
  <si>
    <t>Rowland, Town Of</t>
  </si>
  <si>
    <t>Red Springs, Town of</t>
  </si>
  <si>
    <t>Red Springs A.B.C. Board</t>
  </si>
  <si>
    <t>Rockingham County</t>
  </si>
  <si>
    <t>Reidsville, Town Of</t>
  </si>
  <si>
    <t>New Reidsville Housing Authority</t>
  </si>
  <si>
    <t>Reidsville A.B.C. Board</t>
  </si>
  <si>
    <t>Mayodan, Town Of</t>
  </si>
  <si>
    <t>Stoneville, Town Of</t>
  </si>
  <si>
    <t>Madison, Town Of</t>
  </si>
  <si>
    <t>Madison A.B.C. Board</t>
  </si>
  <si>
    <t>Madison-Mayodan Recreation Comm</t>
  </si>
  <si>
    <t>Eden, City Of</t>
  </si>
  <si>
    <t>Eden A.B.C. Board</t>
  </si>
  <si>
    <t>Rowan County</t>
  </si>
  <si>
    <t>Rowan County Housing Authority</t>
  </si>
  <si>
    <t>Rowan County A.B.C. Board</t>
  </si>
  <si>
    <t>Rowan Soil and Water Conservation. Dist</t>
  </si>
  <si>
    <t>Salisbury, City Of</t>
  </si>
  <si>
    <t>Salisbury Housing Authority</t>
  </si>
  <si>
    <t>East Spencer, Town Of</t>
  </si>
  <si>
    <t>East Spencer Housing Authority</t>
  </si>
  <si>
    <t>Spencer, Town Of</t>
  </si>
  <si>
    <t>China Grove, Town Of</t>
  </si>
  <si>
    <t>Landis, Town Of</t>
  </si>
  <si>
    <t>Granite Quarry, Town Of</t>
  </si>
  <si>
    <t>Rockwell, Town Of</t>
  </si>
  <si>
    <t>Faith, Town Of</t>
  </si>
  <si>
    <t>Cleveland, Town Of</t>
  </si>
  <si>
    <t>Rutherford County</t>
  </si>
  <si>
    <t>Broad River Water Authority</t>
  </si>
  <si>
    <t>Rutherford-Polk-Mc Dowell D.H.D</t>
  </si>
  <si>
    <t>Forest City A.B.C. Board</t>
  </si>
  <si>
    <t>Isothermal Planning &amp; Develop Comm</t>
  </si>
  <si>
    <t>Forest City</t>
  </si>
  <si>
    <t>Forest City Housing Authority</t>
  </si>
  <si>
    <t>Spindale, Town Of</t>
  </si>
  <si>
    <t>Lake Lure, Town Of</t>
  </si>
  <si>
    <t>Rutherfordton, Town Of</t>
  </si>
  <si>
    <t>Rutherfordton A.B.C. Board</t>
  </si>
  <si>
    <t>Ellenboro, Town Of</t>
  </si>
  <si>
    <t>Sampson County</t>
  </si>
  <si>
    <t>J.C. Holliday Memorial Library</t>
  </si>
  <si>
    <t>Clinton, City Of</t>
  </si>
  <si>
    <t>Clinton A.B.C. Board</t>
  </si>
  <si>
    <t>Salemburg, Town Of</t>
  </si>
  <si>
    <t>Newton Grove, Town Of</t>
  </si>
  <si>
    <t>Roseboro A.B.C. Board</t>
  </si>
  <si>
    <t>Garland, Town Of</t>
  </si>
  <si>
    <t>Turkey, Town Of</t>
  </si>
  <si>
    <t>Roseboro, Town Of</t>
  </si>
  <si>
    <t>Autryville, Town Of</t>
  </si>
  <si>
    <t>Scotland County</t>
  </si>
  <si>
    <t>Scotland County A.B.C. Board</t>
  </si>
  <si>
    <t>Laurinburg-Maxton Airport Commission</t>
  </si>
  <si>
    <t>Laurinburg, City Of</t>
  </si>
  <si>
    <t>Laurenburg Housing Authority</t>
  </si>
  <si>
    <t>Wagram, Town Of</t>
  </si>
  <si>
    <t>Gibson, Town Of</t>
  </si>
  <si>
    <t>Stanly County</t>
  </si>
  <si>
    <t>Albemarle, City Of</t>
  </si>
  <si>
    <t>Albemarle A.B.C. Board</t>
  </si>
  <si>
    <t>Norwood, Town Of</t>
  </si>
  <si>
    <t>Norwood A.B.C. Board</t>
  </si>
  <si>
    <t>Locust, City Of</t>
  </si>
  <si>
    <t>Oakboro, Town Of</t>
  </si>
  <si>
    <t>Badin, Town Of</t>
  </si>
  <si>
    <t>Stanfield, Town Of</t>
  </si>
  <si>
    <t>Stokes County</t>
  </si>
  <si>
    <t>Walnut Cove, Town Of</t>
  </si>
  <si>
    <t>Walnut Cove A.B.C. Board</t>
  </si>
  <si>
    <t>King, Town Of</t>
  </si>
  <si>
    <t>Surry County</t>
  </si>
  <si>
    <t>Pilot Mountain A.B.C. Board</t>
  </si>
  <si>
    <t>Yadkin Valley Sewer Authority</t>
  </si>
  <si>
    <t>Pilot Mountain, Town Of</t>
  </si>
  <si>
    <t>Dobson, Town Of</t>
  </si>
  <si>
    <t>Dobson A.B.C. Board</t>
  </si>
  <si>
    <t>Mount Airy, Town Of</t>
  </si>
  <si>
    <t>Mt. Airy Alcoholic Board Of Control</t>
  </si>
  <si>
    <t>Elkin, Town Of</t>
  </si>
  <si>
    <t>Elkin A.B.C. Board</t>
  </si>
  <si>
    <t>Swain County</t>
  </si>
  <si>
    <t>Bryson City, Town Of</t>
  </si>
  <si>
    <t>Bryson City A.B.C. Board</t>
  </si>
  <si>
    <t>Transylvania County</t>
  </si>
  <si>
    <t>Brevard, City Of</t>
  </si>
  <si>
    <t>Brevard A.B.C. Board</t>
  </si>
  <si>
    <t>Tyrrell County</t>
  </si>
  <si>
    <t>Tyrrell County A.B.C. Board</t>
  </si>
  <si>
    <t>Columbia, Town Of</t>
  </si>
  <si>
    <t>Union County</t>
  </si>
  <si>
    <t>Monroe, City Of</t>
  </si>
  <si>
    <t>Monroe Housing Authority</t>
  </si>
  <si>
    <t>Monroe A.B.C. Board</t>
  </si>
  <si>
    <t>Marshville, Town Of</t>
  </si>
  <si>
    <t>TOWN OF MINERAL SPRINGS</t>
  </si>
  <si>
    <t>Wingate, Town Of</t>
  </si>
  <si>
    <t>Waxhaw, Town Of</t>
  </si>
  <si>
    <t>Waxhaw A.B.C. Board</t>
  </si>
  <si>
    <t>Indian Trail, Town Of</t>
  </si>
  <si>
    <t>Unionville, Town of</t>
  </si>
  <si>
    <t>Weddington, Town Of</t>
  </si>
  <si>
    <t>Marvin, Village Of</t>
  </si>
  <si>
    <t>Wesley Chapel, Village Of</t>
  </si>
  <si>
    <t>Vance County</t>
  </si>
  <si>
    <t>Vance County A.B.C. Board</t>
  </si>
  <si>
    <t>Kerr-Tar Regional Council Of Governments</t>
  </si>
  <si>
    <t>Kerr-Area Transportation Authority</t>
  </si>
  <si>
    <t>Henderson, City Of</t>
  </si>
  <si>
    <t>Wake County</t>
  </si>
  <si>
    <t>Holly Springs, Town Of</t>
  </si>
  <si>
    <t>Rolesville, Town Of</t>
  </si>
  <si>
    <t>Wake County A.B.C. Board</t>
  </si>
  <si>
    <t>Morrisville, Town Of</t>
  </si>
  <si>
    <t>Wake County Housing Authority</t>
  </si>
  <si>
    <t>Bayleaf Fire Department</t>
  </si>
  <si>
    <t>Electricities Of N.C., Inc</t>
  </si>
  <si>
    <t>Raleigh, City Of</t>
  </si>
  <si>
    <t>Durham Highway Fire Protection Age</t>
  </si>
  <si>
    <t>Raleigh Housing Authority</t>
  </si>
  <si>
    <t>Raleigh-Durham Airport Authority</t>
  </si>
  <si>
    <t>Cary, Town Of</t>
  </si>
  <si>
    <t>Centennial Authority, The</t>
  </si>
  <si>
    <t>Wendell, Town Of</t>
  </si>
  <si>
    <t>Zebulon, Town Of</t>
  </si>
  <si>
    <t>Garner, Town Of</t>
  </si>
  <si>
    <t>Garner Fire Department</t>
  </si>
  <si>
    <t>Fuquay-Varina, Town Of</t>
  </si>
  <si>
    <t>Apex, Town Of</t>
  </si>
  <si>
    <t>Wake Forest, Town Of</t>
  </si>
  <si>
    <t>Knightdale, Town Of</t>
  </si>
  <si>
    <t>Warren County</t>
  </si>
  <si>
    <t>Warren County A.B.C. Board</t>
  </si>
  <si>
    <t>Norlina, Town Of</t>
  </si>
  <si>
    <t>Warrenton, Town Of</t>
  </si>
  <si>
    <t>Washington County</t>
  </si>
  <si>
    <t>Washington County A.B.C. Board</t>
  </si>
  <si>
    <t>Pettigrew Regional Library</t>
  </si>
  <si>
    <t>Plymouth, Town Of</t>
  </si>
  <si>
    <t>Plymouth Housing Authority</t>
  </si>
  <si>
    <t>Roper, Town Of</t>
  </si>
  <si>
    <t>Creswell, Town Of</t>
  </si>
  <si>
    <t>Watauga County</t>
  </si>
  <si>
    <t>Region D Council Of Governments</t>
  </si>
  <si>
    <t>Blowing Rock Tourism Development Authority</t>
  </si>
  <si>
    <t>Watauga County Tourism Develop. Auth.</t>
  </si>
  <si>
    <t>Boone, Town Of</t>
  </si>
  <si>
    <t>Blowing Rock, Town Of</t>
  </si>
  <si>
    <t>Blowing Rock A.B.C. Board</t>
  </si>
  <si>
    <t>Seven Devils, Town Of</t>
  </si>
  <si>
    <t>Wayne County</t>
  </si>
  <si>
    <t>Fork Township Sanitary District</t>
  </si>
  <si>
    <t>Eastern Carolina Reg. Housing Auth</t>
  </si>
  <si>
    <t>Wayne County A.B.C. Board</t>
  </si>
  <si>
    <t>Southern Wayne Sanitary District</t>
  </si>
  <si>
    <t>Eastern Wayne Sanitary District</t>
  </si>
  <si>
    <t>Goldsboro, City Of</t>
  </si>
  <si>
    <t>Mount Olive, Town Of</t>
  </si>
  <si>
    <t>Mount Olive Housing Authority</t>
  </si>
  <si>
    <t>Fremont, Town Of</t>
  </si>
  <si>
    <t>Pikeville, Town Of</t>
  </si>
  <si>
    <t>Walnut Creek, Village Of</t>
  </si>
  <si>
    <t>Wilkes County</t>
  </si>
  <si>
    <t>Appalachian Regional Library</t>
  </si>
  <si>
    <t>North Wilkesboro, Town Of</t>
  </si>
  <si>
    <t>North Wilkesboro A.B.C. Board</t>
  </si>
  <si>
    <t>Wilkesboro, Town Of</t>
  </si>
  <si>
    <t>Wilkesboro A.B.C. Board</t>
  </si>
  <si>
    <t>Wilson County</t>
  </si>
  <si>
    <t>Wilson County Tourism Develop. Authority</t>
  </si>
  <si>
    <t>Wilson County A.B.C. Board</t>
  </si>
  <si>
    <t>Wilson, City Of</t>
  </si>
  <si>
    <t>Wilson Economic Development Council</t>
  </si>
  <si>
    <t>City of Wilson Cemetery Commission</t>
  </si>
  <si>
    <t>Stantonsburg, Town Of</t>
  </si>
  <si>
    <t>Black Creek, Town Of</t>
  </si>
  <si>
    <t>Lucama, Town Of</t>
  </si>
  <si>
    <t>Elm City, Town Of</t>
  </si>
  <si>
    <t>Yadkin County</t>
  </si>
  <si>
    <t>Yadkinville, Town Of</t>
  </si>
  <si>
    <t>Jonesville, Town Of</t>
  </si>
  <si>
    <t>East Bend, Town Of</t>
  </si>
  <si>
    <t>Boonville, Town Of</t>
  </si>
  <si>
    <t>N.C. Association Of County Comm</t>
  </si>
  <si>
    <t>N.C. League Of Municipalities</t>
  </si>
  <si>
    <t>TOTAL</t>
  </si>
  <si>
    <t>GASB 68 Entries - LGERS</t>
  </si>
  <si>
    <t>Agency Name (select from drop-down list)</t>
  </si>
  <si>
    <t>Net Pension Liability</t>
  </si>
  <si>
    <t>debit</t>
  </si>
  <si>
    <t>credit</t>
  </si>
  <si>
    <t>Deferred Outflow - Measurement Period Contributions</t>
  </si>
  <si>
    <r>
      <t xml:space="preserve">Entry for Conversion worksheet to record proportionate share of net pensions liability, pension expense, and deferred outflows and deferred inflows of resources related to pensions.  (Entry </t>
    </r>
    <r>
      <rPr>
        <b/>
        <sz val="10"/>
        <rFont val="Times New Roman"/>
        <family val="1"/>
      </rPr>
      <t>N1</t>
    </r>
    <r>
      <rPr>
        <b/>
        <sz val="10"/>
        <rFont val="Arial"/>
        <family val="2"/>
      </rPr>
      <t>)</t>
    </r>
  </si>
  <si>
    <t>Governmental Activities allocation percentage</t>
  </si>
  <si>
    <t>County Name</t>
  </si>
  <si>
    <t>GASB 68 Entries - ROD</t>
  </si>
  <si>
    <t>Select your county from the drop down list in the highlighted cell.</t>
  </si>
  <si>
    <r>
      <t xml:space="preserve">Entry for Conversion worksheet to record proportionate share of net pensions liability, pension expense, and deferred outflows and deferred inflows of resources related to pensions.  (Entry </t>
    </r>
    <r>
      <rPr>
        <b/>
        <sz val="10"/>
        <rFont val="Times New Roman"/>
        <family val="1"/>
      </rPr>
      <t>N2</t>
    </r>
    <r>
      <rPr>
        <b/>
        <sz val="10"/>
        <rFont val="Arial"/>
        <family val="2"/>
      </rPr>
      <t>)</t>
    </r>
  </si>
  <si>
    <t>GASB 68 Entries - FRSWPF</t>
  </si>
  <si>
    <t>This worksheet prepares the journal entry to record the entity's proportionate share of the net pension expense and related revenue of the Firefighters' and Rescue Squad Workers' Pension Fund (FRSWPF) in accordance with GASB 68.  Note that the FRSWPF is a special funding situation in which the State makes contributions on behalf of employers participating in the plan, and that the employers therefore record no pension liability, deferred outlfows, or deferred inflows.  Participating employers should record their proportionate share of the pension expense and the related revenue for the support provided by the State.</t>
  </si>
  <si>
    <t xml:space="preserve">     Revenue - Support from the State</t>
  </si>
  <si>
    <r>
      <t xml:space="preserve">Entry for Conversion worksheet to record proportionate share of net pension expense and revenue related to support received from the State.  (Entry </t>
    </r>
    <r>
      <rPr>
        <b/>
        <sz val="10"/>
        <rFont val="Times New Roman"/>
        <family val="1"/>
      </rPr>
      <t>N3</t>
    </r>
    <r>
      <rPr>
        <b/>
        <sz val="10"/>
        <rFont val="Arial"/>
        <family val="2"/>
      </rPr>
      <t>)</t>
    </r>
  </si>
  <si>
    <t>Pensions - Current Year Contributions</t>
  </si>
  <si>
    <t>Deferred Outflows for LGERS pension contributions made during the year.</t>
  </si>
  <si>
    <t>What is the allocation percentage for governmental activities?</t>
  </si>
  <si>
    <t>Deferred Outflows for ROD pension contributions made during the year.</t>
  </si>
  <si>
    <t>Deferred outflows - pensions</t>
  </si>
  <si>
    <t>N.1</t>
  </si>
  <si>
    <t>N.2</t>
  </si>
  <si>
    <t>N.3</t>
  </si>
  <si>
    <t>Enterprise Funds - pension allocation percentage</t>
  </si>
  <si>
    <t>Total (should = 100%)</t>
  </si>
  <si>
    <t>General Government allocation percentage</t>
  </si>
  <si>
    <t>Public Safety allocation percentage</t>
  </si>
  <si>
    <t>Transportation allocation percentage</t>
  </si>
  <si>
    <t>Economic and Physical Development allocation percentage</t>
  </si>
  <si>
    <t>Enviromental Protection allocation percentage</t>
  </si>
  <si>
    <t>Human Services allocation percentage</t>
  </si>
  <si>
    <t>Cultural and Recreation allocation percentage</t>
  </si>
  <si>
    <t>Education allocation percentage</t>
  </si>
  <si>
    <t>Other program 1 allocation percentage</t>
  </si>
  <si>
    <t>(percentages entered in this section should be percentages of the whole government, not percentages of the Governmental Activities)</t>
  </si>
  <si>
    <t>Total (should = Governmental Activities Allocation)</t>
  </si>
  <si>
    <t>Pension Expense - Governmental Activities</t>
  </si>
  <si>
    <t>Pension Expense - Public Safety</t>
  </si>
  <si>
    <t>Pension Expense - Transportation</t>
  </si>
  <si>
    <t>Pension Expense - Economic and Physical Development</t>
  </si>
  <si>
    <t>Pension Expense - Environmental Protection</t>
  </si>
  <si>
    <t>Pension Expense - Cultural and Recreation</t>
  </si>
  <si>
    <t>Pension Expense - Other program 1</t>
  </si>
  <si>
    <t>Working Subtotal</t>
  </si>
  <si>
    <t>Work Section for Conversion entry N1</t>
  </si>
  <si>
    <t>Work Section for Conversion entry N2</t>
  </si>
  <si>
    <t>Enter the appropriate allocations</t>
  </si>
  <si>
    <t>Entry to reclassify out of pension expense and into deferred outflows - pensions</t>
  </si>
  <si>
    <t>Enter the number of your FRSWPF plan eligible employees for the current fiscal year</t>
  </si>
  <si>
    <t>Current fiscal year FRSWPF eligible employees</t>
  </si>
  <si>
    <t>Current fiscal year FRSWPF pension expense per eligible employee</t>
  </si>
  <si>
    <t>K. 1-3</t>
  </si>
  <si>
    <t xml:space="preserve">Contributions made to the LGERS pension plan on the full accrual basis subsequent to the measurement date are presented as deferred outflows of resources.  The contributions made for the current fiscal year should be allocated among all applicable functions or departments.  </t>
  </si>
  <si>
    <t>What is the amount of contributions made to LGERS for the curernt fiscal year?</t>
  </si>
  <si>
    <t>What is the amount of contributions made to ROD in the current fiscal year?</t>
  </si>
  <si>
    <t xml:space="preserve">What is the addition to the LEO net pension obligation for the year?   </t>
  </si>
  <si>
    <t>Mebane</t>
  </si>
  <si>
    <t>Additional Agency Name (if applicable)</t>
  </si>
  <si>
    <t>No additional agency chosen</t>
  </si>
  <si>
    <t>Current Proportional Share</t>
  </si>
  <si>
    <t>Prior Proportional Share</t>
  </si>
  <si>
    <t>Change in Proportional Share</t>
  </si>
  <si>
    <t>ORBIT Unit Contributions to Plan in Measurement Year</t>
  </si>
  <si>
    <t>Net Pension Liability BOY</t>
  </si>
  <si>
    <t>Net Pension Liability EOY</t>
  </si>
  <si>
    <t>Total Employer Pension Expense*</t>
  </si>
  <si>
    <t>CURRENT YEAR</t>
  </si>
  <si>
    <t>Total All Employer Agencies</t>
  </si>
  <si>
    <t>PRIOR YEAR</t>
  </si>
  <si>
    <t>Net Pension Asset</t>
  </si>
  <si>
    <t>Deferred Outlfow - Net Difference Between Projected and Actual Investment Earnings on Plan Investments - All Years</t>
  </si>
  <si>
    <t>AVERY COUNTY FIRE COMMISSION</t>
  </si>
  <si>
    <t>DUPLIN COUNTY TOURISM DEVELOPMENT AUTHORITY</t>
  </si>
  <si>
    <t>Aberdeen</t>
  </si>
  <si>
    <t>Ahoskie</t>
  </si>
  <si>
    <t>Alamance</t>
  </si>
  <si>
    <t>Albemarle</t>
  </si>
  <si>
    <t>Andrews</t>
  </si>
  <si>
    <t>Angier</t>
  </si>
  <si>
    <t>Ansonville</t>
  </si>
  <si>
    <t>Apex</t>
  </si>
  <si>
    <t>Archdale</t>
  </si>
  <si>
    <t>Archer Lodge</t>
  </si>
  <si>
    <t>Asheboro</t>
  </si>
  <si>
    <t>Asheville</t>
  </si>
  <si>
    <t>Atlantic Beach</t>
  </si>
  <si>
    <t>Aulander</t>
  </si>
  <si>
    <t>Aurora</t>
  </si>
  <si>
    <t>Autryville</t>
  </si>
  <si>
    <t>Ayden</t>
  </si>
  <si>
    <t>Badin</t>
  </si>
  <si>
    <t>Bailey</t>
  </si>
  <si>
    <t>Bakersville</t>
  </si>
  <si>
    <t>Bald Head Island</t>
  </si>
  <si>
    <t>Banner Elk</t>
  </si>
  <si>
    <t>Bayboro</t>
  </si>
  <si>
    <t>Beaufort</t>
  </si>
  <si>
    <t>Beech Mountain</t>
  </si>
  <si>
    <t>Belhaven</t>
  </si>
  <si>
    <t>Belmont</t>
  </si>
  <si>
    <t>Belville</t>
  </si>
  <si>
    <t>Benson</t>
  </si>
  <si>
    <t>Bermuda Run</t>
  </si>
  <si>
    <t>Bessemer City</t>
  </si>
  <si>
    <t>Bessemer City ABC Board</t>
  </si>
  <si>
    <t>Bethel</t>
  </si>
  <si>
    <t>Beulaville</t>
  </si>
  <si>
    <t>Biltmore Forest</t>
  </si>
  <si>
    <t>Biscoe</t>
  </si>
  <si>
    <t>Black Creek</t>
  </si>
  <si>
    <t>Black Mountain</t>
  </si>
  <si>
    <t>Bladenboro</t>
  </si>
  <si>
    <t>Blowing Rock</t>
  </si>
  <si>
    <t>Boiling Springs</t>
  </si>
  <si>
    <t>Bolton</t>
  </si>
  <si>
    <t>Boone</t>
  </si>
  <si>
    <t>Boonville</t>
  </si>
  <si>
    <t>Brevard</t>
  </si>
  <si>
    <t>Bridgeton</t>
  </si>
  <si>
    <t>Broadway</t>
  </si>
  <si>
    <t>Brookford</t>
  </si>
  <si>
    <t>Brunswick</t>
  </si>
  <si>
    <t>Bryson City</t>
  </si>
  <si>
    <t>Bunn</t>
  </si>
  <si>
    <t>Burgaw</t>
  </si>
  <si>
    <t>Burlington</t>
  </si>
  <si>
    <t>Burnsville</t>
  </si>
  <si>
    <t>Butner</t>
  </si>
  <si>
    <t>Calabash</t>
  </si>
  <si>
    <t>Calypso</t>
  </si>
  <si>
    <t>Cameron</t>
  </si>
  <si>
    <t>Candor</t>
  </si>
  <si>
    <t>Canton</t>
  </si>
  <si>
    <t>Cape Carteret</t>
  </si>
  <si>
    <t>Carolina Beach</t>
  </si>
  <si>
    <t>Carolina Shores</t>
  </si>
  <si>
    <t>Carrboro</t>
  </si>
  <si>
    <t>Carthage</t>
  </si>
  <si>
    <t>Cary</t>
  </si>
  <si>
    <t>Caswell Beach</t>
  </si>
  <si>
    <t>Catawba</t>
  </si>
  <si>
    <t>Cedar Point</t>
  </si>
  <si>
    <t>Chadbourn</t>
  </si>
  <si>
    <t>Chapel Hill</t>
  </si>
  <si>
    <t>Charlotte</t>
  </si>
  <si>
    <t>Cherryville</t>
  </si>
  <si>
    <t>China Grove</t>
  </si>
  <si>
    <t>Chocowinity</t>
  </si>
  <si>
    <t>Claremont</t>
  </si>
  <si>
    <t>Clarkton</t>
  </si>
  <si>
    <t>Clayton</t>
  </si>
  <si>
    <t>Clemmons</t>
  </si>
  <si>
    <t>Cleveland</t>
  </si>
  <si>
    <t>Clinton</t>
  </si>
  <si>
    <t>Coats</t>
  </si>
  <si>
    <t>Cofield</t>
  </si>
  <si>
    <t>Colerain</t>
  </si>
  <si>
    <t>Columbia</t>
  </si>
  <si>
    <t>Columbus</t>
  </si>
  <si>
    <t>Concord</t>
  </si>
  <si>
    <t>Connelly Springs</t>
  </si>
  <si>
    <t>Conover</t>
  </si>
  <si>
    <t>Conway</t>
  </si>
  <si>
    <t>Cooleemee</t>
  </si>
  <si>
    <t>Cornelius</t>
  </si>
  <si>
    <t>Cove City</t>
  </si>
  <si>
    <t>Cramerton</t>
  </si>
  <si>
    <t>Creedmoor</t>
  </si>
  <si>
    <t>Creswell</t>
  </si>
  <si>
    <t>Dallas</t>
  </si>
  <si>
    <t>Davidson</t>
  </si>
  <si>
    <t>Denton</t>
  </si>
  <si>
    <t>Dobson</t>
  </si>
  <si>
    <t>Drexel</t>
  </si>
  <si>
    <t>Duck</t>
  </si>
  <si>
    <t>Dunn</t>
  </si>
  <si>
    <t>Duplin County Tourism Development Authority</t>
  </si>
  <si>
    <t>Durham</t>
  </si>
  <si>
    <t>East Bend</t>
  </si>
  <si>
    <t>East Spencer</t>
  </si>
  <si>
    <t>Eastover</t>
  </si>
  <si>
    <t>Eden</t>
  </si>
  <si>
    <t>Edenton</t>
  </si>
  <si>
    <t>Elizabethtown</t>
  </si>
  <si>
    <t>Elk Park</t>
  </si>
  <si>
    <t>Elkin</t>
  </si>
  <si>
    <t>Ellenboro</t>
  </si>
  <si>
    <t>Ellerbe</t>
  </si>
  <si>
    <t>Elm City</t>
  </si>
  <si>
    <t>Emerald Isle</t>
  </si>
  <si>
    <t>Enfield</t>
  </si>
  <si>
    <t>Erwin</t>
  </si>
  <si>
    <t>Fair Bluff</t>
  </si>
  <si>
    <t>Fairmont</t>
  </si>
  <si>
    <t>Faison</t>
  </si>
  <si>
    <t>Faith</t>
  </si>
  <si>
    <t>Falcon</t>
  </si>
  <si>
    <t>Farmville</t>
  </si>
  <si>
    <t>Fayetteville</t>
  </si>
  <si>
    <t>Flat Rock</t>
  </si>
  <si>
    <t>Fletcher</t>
  </si>
  <si>
    <t>Four Oaks</t>
  </si>
  <si>
    <t>Franklin</t>
  </si>
  <si>
    <t>Franklinton</t>
  </si>
  <si>
    <t>Fremont</t>
  </si>
  <si>
    <t>Fuquay-Varina</t>
  </si>
  <si>
    <t>Garland</t>
  </si>
  <si>
    <t>Garner</t>
  </si>
  <si>
    <t>Garysburg</t>
  </si>
  <si>
    <t>Gaston</t>
  </si>
  <si>
    <t>Gastonia</t>
  </si>
  <si>
    <t>Gibson</t>
  </si>
  <si>
    <t>Gibsonville</t>
  </si>
  <si>
    <t>Glen Alpine</t>
  </si>
  <si>
    <t>Goldsboro</t>
  </si>
  <si>
    <t>Graham</t>
  </si>
  <si>
    <t>Granite Falls</t>
  </si>
  <si>
    <t>Granite Quarry</t>
  </si>
  <si>
    <t>Green Level</t>
  </si>
  <si>
    <t>Greensboro</t>
  </si>
  <si>
    <t>Greenville</t>
  </si>
  <si>
    <t>Grifton</t>
  </si>
  <si>
    <t>Grimesland</t>
  </si>
  <si>
    <t>Grover</t>
  </si>
  <si>
    <t>Guilford County</t>
  </si>
  <si>
    <t>Hamilton</t>
  </si>
  <si>
    <t>Hamlet</t>
  </si>
  <si>
    <t>Harrisburg</t>
  </si>
  <si>
    <t>Havelock</t>
  </si>
  <si>
    <t>Haw River</t>
  </si>
  <si>
    <t>Henderson</t>
  </si>
  <si>
    <t>Hendersonville</t>
  </si>
  <si>
    <t>Hertford</t>
  </si>
  <si>
    <t>Hickory</t>
  </si>
  <si>
    <t>Highlands</t>
  </si>
  <si>
    <t>Hillsborough</t>
  </si>
  <si>
    <t>Hobgood</t>
  </si>
  <si>
    <t>Holden Beach</t>
  </si>
  <si>
    <t>Holly Ridge</t>
  </si>
  <si>
    <t>Holly Springs</t>
  </si>
  <si>
    <t>Hookerton</t>
  </si>
  <si>
    <t>Hope Mills</t>
  </si>
  <si>
    <t>Hudson</t>
  </si>
  <si>
    <t>Huntersville</t>
  </si>
  <si>
    <t>Indian Beach</t>
  </si>
  <si>
    <t>Indian Trail</t>
  </si>
  <si>
    <t>Jackson</t>
  </si>
  <si>
    <t>Jacksonville</t>
  </si>
  <si>
    <t>Jamestown</t>
  </si>
  <si>
    <t>Jamesville</t>
  </si>
  <si>
    <t>Jefferson</t>
  </si>
  <si>
    <t>Jonesville</t>
  </si>
  <si>
    <t>Kannapolis</t>
  </si>
  <si>
    <t>Kenansville</t>
  </si>
  <si>
    <t>Kenly</t>
  </si>
  <si>
    <t>Kernersville</t>
  </si>
  <si>
    <t>Kill Devil Hills</t>
  </si>
  <si>
    <t>King</t>
  </si>
  <si>
    <t>Kinston</t>
  </si>
  <si>
    <t>Kitty Hawk</t>
  </si>
  <si>
    <t>Knightdale</t>
  </si>
  <si>
    <t>Kure Beach</t>
  </si>
  <si>
    <t>Lagrange</t>
  </si>
  <si>
    <t>Lake Lure</t>
  </si>
  <si>
    <t>Landis</t>
  </si>
  <si>
    <t>Laurel Park</t>
  </si>
  <si>
    <t>Laurinburg</t>
  </si>
  <si>
    <t>Lawndale</t>
  </si>
  <si>
    <t>Leland</t>
  </si>
  <si>
    <t>Lenoir</t>
  </si>
  <si>
    <t>Lewisville</t>
  </si>
  <si>
    <t>Lexington</t>
  </si>
  <si>
    <t>Liberty</t>
  </si>
  <si>
    <t>Lilesville</t>
  </si>
  <si>
    <t>Lillington</t>
  </si>
  <si>
    <t>Lincolnton</t>
  </si>
  <si>
    <t>Linden</t>
  </si>
  <si>
    <t>Littleton</t>
  </si>
  <si>
    <t>Locust</t>
  </si>
  <si>
    <t>Louisburg</t>
  </si>
  <si>
    <t>Lowell</t>
  </si>
  <si>
    <t>Lucama</t>
  </si>
  <si>
    <t>Lumberton</t>
  </si>
  <si>
    <t>Macclesfield</t>
  </si>
  <si>
    <t>Madison</t>
  </si>
  <si>
    <t>Maggie Valley</t>
  </si>
  <si>
    <t>Magnolia</t>
  </si>
  <si>
    <t>Maiden</t>
  </si>
  <si>
    <t>Manteo</t>
  </si>
  <si>
    <t>Marion</t>
  </si>
  <si>
    <t>Mars Hill</t>
  </si>
  <si>
    <t>Marshall</t>
  </si>
  <si>
    <t>Marshville</t>
  </si>
  <si>
    <t>Marvin</t>
  </si>
  <si>
    <t>Matthews</t>
  </si>
  <si>
    <t>Maxton</t>
  </si>
  <si>
    <t>Mayodan</t>
  </si>
  <si>
    <t>Maysville</t>
  </si>
  <si>
    <t>Mcadenville</t>
  </si>
  <si>
    <t>Micro</t>
  </si>
  <si>
    <t>Middlesex</t>
  </si>
  <si>
    <t>Midland</t>
  </si>
  <si>
    <t>Midway</t>
  </si>
  <si>
    <t>Mills River</t>
  </si>
  <si>
    <t>Mineral Springs</t>
  </si>
  <si>
    <t>Mint Hill</t>
  </si>
  <si>
    <t>Misenheimer</t>
  </si>
  <si>
    <t>Mocksville</t>
  </si>
  <si>
    <t>Monroe</t>
  </si>
  <si>
    <t>Montreat</t>
  </si>
  <si>
    <t>Mooresville</t>
  </si>
  <si>
    <t>Morehead City</t>
  </si>
  <si>
    <t>Morganton</t>
  </si>
  <si>
    <t>Morrisville</t>
  </si>
  <si>
    <t>Morven</t>
  </si>
  <si>
    <t>Mount Gilead</t>
  </si>
  <si>
    <t>Mount Olive</t>
  </si>
  <si>
    <t>Mount Pleasant</t>
  </si>
  <si>
    <t>Murfreesboro</t>
  </si>
  <si>
    <t>Murphy</t>
  </si>
  <si>
    <t>Nags Head</t>
  </si>
  <si>
    <t>Nashville</t>
  </si>
  <si>
    <t>Navassa</t>
  </si>
  <si>
    <t>Newland</t>
  </si>
  <si>
    <t>Newport</t>
  </si>
  <si>
    <t>Newton</t>
  </si>
  <si>
    <t>Newton Grove</t>
  </si>
  <si>
    <t>Norlina</t>
  </si>
  <si>
    <t>North Topsail Beach</t>
  </si>
  <si>
    <t>North Wilkesboro</t>
  </si>
  <si>
    <t>Northwest</t>
  </si>
  <si>
    <t>Norwood</t>
  </si>
  <si>
    <t>Oak City</t>
  </si>
  <si>
    <t>Oak Island</t>
  </si>
  <si>
    <t>Oak Ridge</t>
  </si>
  <si>
    <t>Oakboro</t>
  </si>
  <si>
    <t>Ocean Isle Beach</t>
  </si>
  <si>
    <t>Old Fort</t>
  </si>
  <si>
    <t>Oriental</t>
  </si>
  <si>
    <t>Oxford</t>
  </si>
  <si>
    <t>Peachland</t>
  </si>
  <si>
    <t>Pembroke</t>
  </si>
  <si>
    <t>Pikeville</t>
  </si>
  <si>
    <t>Pilot Mountain</t>
  </si>
  <si>
    <t>Pine Knoll Shores</t>
  </si>
  <si>
    <t>Pine Level</t>
  </si>
  <si>
    <t>Pinebluff</t>
  </si>
  <si>
    <t>Pinehurst</t>
  </si>
  <si>
    <t>Pinetops</t>
  </si>
  <si>
    <t>Pineville</t>
  </si>
  <si>
    <t>Pink Hill</t>
  </si>
  <si>
    <t>Pittsboro</t>
  </si>
  <si>
    <t>Plymouth</t>
  </si>
  <si>
    <t>Polkton</t>
  </si>
  <si>
    <t>Pollocksville</t>
  </si>
  <si>
    <t>Princeton</t>
  </si>
  <si>
    <t>Princeville</t>
  </si>
  <si>
    <t>Raeford</t>
  </si>
  <si>
    <t>Raleigh</t>
  </si>
  <si>
    <t>Ramseur</t>
  </si>
  <si>
    <t>Randleman</t>
  </si>
  <si>
    <t>Ranlo</t>
  </si>
  <si>
    <t>Red Springs</t>
  </si>
  <si>
    <t>Reidsville</t>
  </si>
  <si>
    <t>Rich Square</t>
  </si>
  <si>
    <t>Richlands</t>
  </si>
  <si>
    <t>River Bend</t>
  </si>
  <si>
    <t>Robbins</t>
  </si>
  <si>
    <t>Robbinsville</t>
  </si>
  <si>
    <t>Robersonville</t>
  </si>
  <si>
    <t>Rockingham</t>
  </si>
  <si>
    <t>Rockwell</t>
  </si>
  <si>
    <t>Rolesville</t>
  </si>
  <si>
    <t>Roper</t>
  </si>
  <si>
    <t>Rose Hill</t>
  </si>
  <si>
    <t>Roseboro</t>
  </si>
  <si>
    <t>Rowland</t>
  </si>
  <si>
    <t>Roxboro</t>
  </si>
  <si>
    <t>Rural Hall</t>
  </si>
  <si>
    <t>Rutherford College</t>
  </si>
  <si>
    <t>Rutherfordton</t>
  </si>
  <si>
    <t>Salemburg</t>
  </si>
  <si>
    <t>Salisbury</t>
  </si>
  <si>
    <t>Saluda</t>
  </si>
  <si>
    <t>Sanford</t>
  </si>
  <si>
    <t>Sawmills</t>
  </si>
  <si>
    <t>Scotland Neck</t>
  </si>
  <si>
    <t>Seaboard</t>
  </si>
  <si>
    <t>Selma</t>
  </si>
  <si>
    <t>Seven Devils</t>
  </si>
  <si>
    <t>Severn</t>
  </si>
  <si>
    <t>Shallotte</t>
  </si>
  <si>
    <t>Sharpsburg</t>
  </si>
  <si>
    <t>Shelby</t>
  </si>
  <si>
    <t>Siler City</t>
  </si>
  <si>
    <t>Simpson</t>
  </si>
  <si>
    <t>Smithfield</t>
  </si>
  <si>
    <t>Snow Hill</t>
  </si>
  <si>
    <t>Southern Pines</t>
  </si>
  <si>
    <t>Southern Shores</t>
  </si>
  <si>
    <t>Southport</t>
  </si>
  <si>
    <t>Sparta</t>
  </si>
  <si>
    <t>Spencer</t>
  </si>
  <si>
    <t>Spindale</t>
  </si>
  <si>
    <t>Spring Hope</t>
  </si>
  <si>
    <t>Spring Lake</t>
  </si>
  <si>
    <t>Spruce Pine</t>
  </si>
  <si>
    <t>Stallings</t>
  </si>
  <si>
    <t>Stanfield</t>
  </si>
  <si>
    <t>Stanley</t>
  </si>
  <si>
    <t>Stantonsburg</t>
  </si>
  <si>
    <t>Star</t>
  </si>
  <si>
    <t>Statesville</t>
  </si>
  <si>
    <t>Stedman</t>
  </si>
  <si>
    <t>Stoneville</t>
  </si>
  <si>
    <t>Stovall</t>
  </si>
  <si>
    <t>Sugar Mountain</t>
  </si>
  <si>
    <t>Summerfield</t>
  </si>
  <si>
    <t>Sunset Beach</t>
  </si>
  <si>
    <t>Swansboro</t>
  </si>
  <si>
    <t>Sylva</t>
  </si>
  <si>
    <t>Tabor City</t>
  </si>
  <si>
    <t>Tarboro</t>
  </si>
  <si>
    <t>Taylorsville</t>
  </si>
  <si>
    <t>Taylortown</t>
  </si>
  <si>
    <t>Teachey</t>
  </si>
  <si>
    <t>Thomasville</t>
  </si>
  <si>
    <t>Tobaccoville</t>
  </si>
  <si>
    <t>Topsail Beach</t>
  </si>
  <si>
    <t>Trent Woods</t>
  </si>
  <si>
    <t>Trinity</t>
  </si>
  <si>
    <t>Troutman</t>
  </si>
  <si>
    <t>Troy</t>
  </si>
  <si>
    <t>Tryon</t>
  </si>
  <si>
    <t>Turkey</t>
  </si>
  <si>
    <t>Unionville</t>
  </si>
  <si>
    <t>Valdese</t>
  </si>
  <si>
    <t>Vanceboro</t>
  </si>
  <si>
    <t>Vass</t>
  </si>
  <si>
    <t>Wade</t>
  </si>
  <si>
    <t>Wadesboro</t>
  </si>
  <si>
    <t>Wagram</t>
  </si>
  <si>
    <t>Wake Forest</t>
  </si>
  <si>
    <t>Walkertown</t>
  </si>
  <si>
    <t>Wallace</t>
  </si>
  <si>
    <t>Walnut Cove</t>
  </si>
  <si>
    <t>Walnut Creek</t>
  </si>
  <si>
    <t>Walstonburg</t>
  </si>
  <si>
    <t>Warrenton</t>
  </si>
  <si>
    <t>Warsaw</t>
  </si>
  <si>
    <t>Washington</t>
  </si>
  <si>
    <t>Washington Park</t>
  </si>
  <si>
    <t>Waxhaw</t>
  </si>
  <si>
    <t>Waynesville</t>
  </si>
  <si>
    <t>Weaverville</t>
  </si>
  <si>
    <t>Weddington</t>
  </si>
  <si>
    <t>Weldon</t>
  </si>
  <si>
    <t>Wendell</t>
  </si>
  <si>
    <t>Wesley Chapel</t>
  </si>
  <si>
    <t>West Jefferson</t>
  </si>
  <si>
    <t>Western Highland Area Authority</t>
  </si>
  <si>
    <t>Whispering Pines</t>
  </si>
  <si>
    <t>Whitakers</t>
  </si>
  <si>
    <t>White Lake</t>
  </si>
  <si>
    <t>Whiteville</t>
  </si>
  <si>
    <t>Wilkesboro</t>
  </si>
  <si>
    <t>Williamston</t>
  </si>
  <si>
    <t>Wilmington</t>
  </si>
  <si>
    <t>Wilson</t>
  </si>
  <si>
    <t>Windsor</t>
  </si>
  <si>
    <t>Winfall</t>
  </si>
  <si>
    <t>Wingate</t>
  </si>
  <si>
    <t>Winston-Salem</t>
  </si>
  <si>
    <t>Winterville</t>
  </si>
  <si>
    <t>Winton</t>
  </si>
  <si>
    <t>Woodfin</t>
  </si>
  <si>
    <t>Woodland</t>
  </si>
  <si>
    <t>Wrightsville Beach</t>
  </si>
  <si>
    <t>Yadkinville</t>
  </si>
  <si>
    <t>Yanceyville</t>
  </si>
  <si>
    <t>Youngsville</t>
  </si>
  <si>
    <t>Zebulon</t>
  </si>
  <si>
    <t>YADKIN</t>
  </si>
  <si>
    <t>COUNTY</t>
  </si>
  <si>
    <t>CY Contributions</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</si>
  <si>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</si>
  <si>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</si>
  <si>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</si>
  <si>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</si>
  <si>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</si>
  <si>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</si>
  <si>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</si>
  <si>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</si>
  <si>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</si>
  <si>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</si>
  <si>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</si>
  <si>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</si>
  <si>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</si>
  <si>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</si>
  <si>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</si>
  <si>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</si>
  <si>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</si>
  <si>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</si>
  <si>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</si>
  <si>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</si>
  <si>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</si>
  <si>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</si>
  <si>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</si>
  <si>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</si>
  <si>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</si>
  <si>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</si>
  <si>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</si>
  <si>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</si>
  <si>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</si>
  <si>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</si>
  <si>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</si>
  <si>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</si>
  <si>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</si>
  <si>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</si>
  <si>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</si>
  <si>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</si>
  <si>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</si>
  <si>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</si>
  <si>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</si>
  <si>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</si>
  <si>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</si>
  <si>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</si>
  <si>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</si>
  <si>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 CO</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</si>
  <si>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</si>
  <si>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</si>
  <si>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</si>
  <si>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</si>
  <si>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</si>
  <si>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</si>
  <si>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</si>
  <si>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</si>
  <si>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</si>
  <si>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</si>
  <si>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</si>
  <si>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</si>
  <si>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</si>
  <si>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</si>
  <si>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</si>
  <si>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</si>
  <si>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</si>
  <si>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</si>
  <si>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</si>
  <si>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</si>
  <si>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</si>
  <si>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</si>
  <si>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</si>
  <si>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</si>
  <si>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</si>
  <si>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</si>
  <si>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</si>
  <si>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</si>
  <si>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</si>
  <si>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</si>
  <si>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</si>
  <si>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</si>
  <si>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</si>
  <si>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</si>
  <si>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</si>
  <si>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</si>
  <si>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</si>
  <si>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</si>
  <si>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</si>
  <si>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</si>
  <si>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</si>
  <si>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</si>
  <si>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</si>
  <si>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</si>
  <si>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</si>
  <si>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</si>
  <si>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</si>
  <si>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</si>
  <si>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</si>
  <si>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</si>
  <si>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</si>
  <si>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</si>
  <si>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</si>
  <si>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</si>
  <si>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YANCEY</t>
  </si>
  <si>
    <t>Net pension asset - LGERS</t>
  </si>
  <si>
    <t>Net pension asset - ROD</t>
  </si>
  <si>
    <t>Net pension liability - LGERS</t>
  </si>
  <si>
    <t>Net pension obligation - LEO</t>
  </si>
  <si>
    <t>Deferred outflows - pensions - ROD</t>
  </si>
  <si>
    <t>Deferred outflows - pensions - LGERS</t>
  </si>
  <si>
    <t>Adjustment to Beginning Fund Equity for Pension Accts</t>
  </si>
  <si>
    <t>Capital Assets, Long-term Debt</t>
  </si>
  <si>
    <t>Carolina County</t>
  </si>
  <si>
    <t>9xxxy</t>
  </si>
  <si>
    <t>CAROLINA COUNTY</t>
  </si>
  <si>
    <t>Net Pension obligation (LEO)</t>
  </si>
  <si>
    <t>source : LGERS GASB 68 FYE2017 - Client</t>
  </si>
  <si>
    <t>Contributions - July 1, 2015 through June 30, 2016</t>
  </si>
  <si>
    <t>Net Pension Liability - Beginning of the Year</t>
  </si>
  <si>
    <t>THE EASTERN BAND OF CHEROKEE INDIANS</t>
  </si>
  <si>
    <t>VILLAGE OF MISENHEIMER</t>
  </si>
  <si>
    <t>PIEDMONT TRIAD AIRPORT AUTHORITY</t>
  </si>
  <si>
    <t>TOWN OF SPARTA</t>
  </si>
  <si>
    <t>YANCEY COUNTY</t>
  </si>
  <si>
    <t>YANCEY SOIL &amp; WATER CONS</t>
  </si>
  <si>
    <t>TOWN OF BURNSVILLE</t>
  </si>
  <si>
    <t>MARTIN-TYRRELL-WASHINGTON DIST HEALTH DEPT</t>
  </si>
  <si>
    <t>ALBEMARLE REGIONAL HEALTH SERVICES</t>
  </si>
  <si>
    <t>TOE RIVER HEALTH DISTRICT</t>
  </si>
  <si>
    <t>APPALACHIAN DISTRICT HEALTH DEPT</t>
  </si>
  <si>
    <t>ALAMANCE COUNTY</t>
  </si>
  <si>
    <t>CITY OF BURLINGTON</t>
  </si>
  <si>
    <t>CITY OF MEBANE</t>
  </si>
  <si>
    <t>ALAMANCE MUNICIPAL ABC BOARD</t>
  </si>
  <si>
    <t>CITY OF GRAHAM</t>
  </si>
  <si>
    <t>TOWN OF ELON</t>
  </si>
  <si>
    <t>TOWN OF HAW RIVER</t>
  </si>
  <si>
    <t>VILLAGE OF ALAMANCE</t>
  </si>
  <si>
    <t>TOWN OF GREEN LEVEL</t>
  </si>
  <si>
    <t>ALEXANDER COUNTY</t>
  </si>
  <si>
    <t>ALEXANDER COUNTY HEALTH DEPT</t>
  </si>
  <si>
    <t>ALEXANDER COUNTY PUBLIC LIBRARY</t>
  </si>
  <si>
    <t>ALEXANDER COUNTY DEPT OF S S</t>
  </si>
  <si>
    <t>TOWN OF TAYLORSVILLE</t>
  </si>
  <si>
    <t>ALLEGHANY COUNTY</t>
  </si>
  <si>
    <t>NORTHWESTERN REGIONAL LIBRARY</t>
  </si>
  <si>
    <t>TOWN OF SPARTA ABC BOARD</t>
  </si>
  <si>
    <t>ANSON COUNTY</t>
  </si>
  <si>
    <t>TOWN OF WADESBORO</t>
  </si>
  <si>
    <t>WADESBORO HOUSING AUTHORITY</t>
  </si>
  <si>
    <t>WADESBORO ABC BOARD</t>
  </si>
  <si>
    <t>TOWN OF LILESVILLE</t>
  </si>
  <si>
    <t>TOWN OF POLKTON</t>
  </si>
  <si>
    <t>TOWN OF PEACHLAND</t>
  </si>
  <si>
    <t>TOWN OF ANSONVILLE</t>
  </si>
  <si>
    <t>TOWN OF MORVEN</t>
  </si>
  <si>
    <t>ASHE COUNTY</t>
  </si>
  <si>
    <t>TOWN OF JEFFERSON</t>
  </si>
  <si>
    <t>TOWN OF WEST JEFFERSON</t>
  </si>
  <si>
    <t>AVERY COUNTY</t>
  </si>
  <si>
    <t>AVERY-MITCHELL-YANCEY REG LIBRARY</t>
  </si>
  <si>
    <t>TOWN OF BANNER ELK</t>
  </si>
  <si>
    <t>HIGH COUNTRY ABC BOARD</t>
  </si>
  <si>
    <t>TOWN OF NEWLAND</t>
  </si>
  <si>
    <t>TOWN OF BEECH MOUNTAIN</t>
  </si>
  <si>
    <t>TOWN OF ELK PARK</t>
  </si>
  <si>
    <t>TOWN OF SUGAR MOUNTAIN</t>
  </si>
  <si>
    <t>COUNTY OF BEAUFORT</t>
  </si>
  <si>
    <t>BEAUFORT COUNTY ABC BOARD</t>
  </si>
  <si>
    <t>B H M REGIONAL LIBRARY</t>
  </si>
  <si>
    <t>MIDEAST COMMISSION</t>
  </si>
  <si>
    <t>CITY OF WASHINGTON</t>
  </si>
  <si>
    <t>TOWN OF AURORA</t>
  </si>
  <si>
    <t>TOWN OF BELHAVEN</t>
  </si>
  <si>
    <t>TOWN OF WASHINGTON PARK</t>
  </si>
  <si>
    <t>TOWN OF CHOCOWINITY</t>
  </si>
  <si>
    <t>BERTIE COUNTY</t>
  </si>
  <si>
    <t>BERTIE COUNTY ABC BOARD</t>
  </si>
  <si>
    <t>ALBEMARLE REGIONAL LIBRARY</t>
  </si>
  <si>
    <t>BERTIE-MARTIN REGIONAL JAIL COMM</t>
  </si>
  <si>
    <t>TOWN OF AULANDER</t>
  </si>
  <si>
    <t>TOWN OF WINDSOR</t>
  </si>
  <si>
    <t>TOWN OF COLERAIN</t>
  </si>
  <si>
    <t>TOWN OF LEWISTON WOODVILLE</t>
  </si>
  <si>
    <t>BLADEN COUNTY</t>
  </si>
  <si>
    <t>TOWN OF ELIZABETHTOWN</t>
  </si>
  <si>
    <t>ELIZABETHTOWN ABC BOARD</t>
  </si>
  <si>
    <t>SOUTH EASTERN ECONOMIC DEVELOPMENT COMM</t>
  </si>
  <si>
    <t>TOWN OF WHITE LAKE</t>
  </si>
  <si>
    <t>TOWN OF CLARKTON</t>
  </si>
  <si>
    <t>TOWN OF BLADENBORO</t>
  </si>
  <si>
    <t>BRUNSWICK COUNTY</t>
  </si>
  <si>
    <t>TOWN OF LELAND</t>
  </si>
  <si>
    <t>BRUNSWICK CO HEALTH DEPT</t>
  </si>
  <si>
    <t>BRUNSWICK COUNTY ABC BOARD</t>
  </si>
  <si>
    <t>BRUNSWICK CO DEPT OF SOCIAL SERVICES</t>
  </si>
  <si>
    <t>CALABASH ABC BOARD</t>
  </si>
  <si>
    <t>CAPE FEAR COUNCIL OF GOVERNMENTS</t>
  </si>
  <si>
    <t>BRUNSWICK COUNTY TOURISM AUTHORITY</t>
  </si>
  <si>
    <t>TOWN OF CALABASH</t>
  </si>
  <si>
    <t>CITY OF SOUTHPORT</t>
  </si>
  <si>
    <t>CITY OF NORTHWEST</t>
  </si>
  <si>
    <t>SOUTHEAST BRUNSWICK SANITARY DISTRICT</t>
  </si>
  <si>
    <t>TOWN OF HOLDEN BEACH</t>
  </si>
  <si>
    <t>CITY OF SOUTHPORT ABC BOARD</t>
  </si>
  <si>
    <t>TOWN OF BELVILLE</t>
  </si>
  <si>
    <t>TOWN OF OAK ISLAND</t>
  </si>
  <si>
    <t>TOWN OF CAROLINA SHORES</t>
  </si>
  <si>
    <t>OAK ISLAND ABC BD</t>
  </si>
  <si>
    <t>TOWN OF ST JAMES</t>
  </si>
  <si>
    <t>TOWN OF SUNSET BEACH</t>
  </si>
  <si>
    <t>BRUNSWICK REGIONAL WATER AND SEWER H2GO</t>
  </si>
  <si>
    <t>TOWN OF SUNSET BEACH ABC BOARD</t>
  </si>
  <si>
    <t>TOWN OF CASWELL BEACH</t>
  </si>
  <si>
    <t>SHALLOTTE ABC BOARD</t>
  </si>
  <si>
    <t>TOWN OF OCEAN ISLE BEACH</t>
  </si>
  <si>
    <t>OCEAN ISLE BEACH ABC BOARD</t>
  </si>
  <si>
    <t>CITY OF BOILING SPRG LAKES</t>
  </si>
  <si>
    <t>BOILING SPRING LAKES ABC BOARD</t>
  </si>
  <si>
    <t>TOWN OF SHALLOTTE</t>
  </si>
  <si>
    <t>VILLAGE OF BALD HEAD ISLAND</t>
  </si>
  <si>
    <t>BUNCOMBE COUNTY</t>
  </si>
  <si>
    <t>LAND-OF-SKY REGIONAL COUNCIL</t>
  </si>
  <si>
    <t>WOODFIN ABC COMMISSION</t>
  </si>
  <si>
    <t>WESTERN AIR POLLUTION CTL</t>
  </si>
  <si>
    <t>METRO SEWERAGE DIST OF BUNCOMBE COUNTY</t>
  </si>
  <si>
    <t>WOODFIN SANITARY WATER AND SEWER DIST</t>
  </si>
  <si>
    <t>TOWN OF BILTMORE FOREST</t>
  </si>
  <si>
    <t>WEST BUNCOMBE FIRE DEPT</t>
  </si>
  <si>
    <t>CITY OF ASHEVILLE</t>
  </si>
  <si>
    <t>ASHEVILLE ABC BOARD</t>
  </si>
  <si>
    <t>ASHEVILLE REGIONAL AIRPORT AUTHORITY</t>
  </si>
  <si>
    <t>SKYLAND VOL FIRE DEPT</t>
  </si>
  <si>
    <t>TOWN OF WEAVERVILLE</t>
  </si>
  <si>
    <t>WEAVERVILLE ABC BOARD</t>
  </si>
  <si>
    <t>TOWN OF BLACK MOUNTAIN</t>
  </si>
  <si>
    <t>BLACK MTN ABC BOARD</t>
  </si>
  <si>
    <t>TOWN OF MONTREAT</t>
  </si>
  <si>
    <t>TOWN OF WOODFIN</t>
  </si>
  <si>
    <t>BURKE COUNTY</t>
  </si>
  <si>
    <t>BURKE-CATAWBA DIST CONFINEMENT</t>
  </si>
  <si>
    <t>BURKE CO HEALTH DEPT</t>
  </si>
  <si>
    <t>BURKE CO DEPT OF SOCIAL SERVICES</t>
  </si>
  <si>
    <t>BURKE COUNTY TOURISM DEV. AUTHORITY</t>
  </si>
  <si>
    <t>TOWN OF VALDESE</t>
  </si>
  <si>
    <t>VALDESE HOUSING AUTHORITY</t>
  </si>
  <si>
    <t>TOWN OF RUTHERFORD COLLEGE</t>
  </si>
  <si>
    <t>MORGANTON ABC BOARD</t>
  </si>
  <si>
    <t>TOWN OF DREXEL</t>
  </si>
  <si>
    <t>CITY OF MORGANTON</t>
  </si>
  <si>
    <t>MORGANTON HOUSING AUTHORITY</t>
  </si>
  <si>
    <t>TOWN OF GLEN ALPINE</t>
  </si>
  <si>
    <t>TOWN OF HILDEBRAN</t>
  </si>
  <si>
    <t>TOWN OF CONNELLY SPRINGS</t>
  </si>
  <si>
    <t>CABARRUS COUNTY</t>
  </si>
  <si>
    <t>WATER &amp; SEWER AUTH CABARRUS CNTY</t>
  </si>
  <si>
    <t>CABARRUS CO PUBLIC HEALTH AUTH</t>
  </si>
  <si>
    <t>CABARRUS COUNTY TOURISM AUTHORITY</t>
  </si>
  <si>
    <t>CITY OF CONCORD</t>
  </si>
  <si>
    <t>CONCORD ABC BOARD</t>
  </si>
  <si>
    <t>TOWN OF MOUNT PLEASANT</t>
  </si>
  <si>
    <t>MT PLEASANT ABC BOARD</t>
  </si>
  <si>
    <t>CITY OF KANNAPOLIS</t>
  </si>
  <si>
    <t>TOWN OF MIDLAND</t>
  </si>
  <si>
    <t>CALDWELL COUNTY</t>
  </si>
  <si>
    <t>TOWN OF GRANITE FALLS</t>
  </si>
  <si>
    <t>GRANITE FALLS ABC BOARD</t>
  </si>
  <si>
    <t>TOWN OF SAWMILLS</t>
  </si>
  <si>
    <t>LENOIR HOUSING AUTHORITY</t>
  </si>
  <si>
    <t>TOWN OF HUDSON</t>
  </si>
  <si>
    <t>TOWN OF HARRISBURG</t>
  </si>
  <si>
    <t>CITY OF LENOIR</t>
  </si>
  <si>
    <t>CITY OF LENOIR ABC BRD</t>
  </si>
  <si>
    <t>TOWN OF CAJAH'S MOUNTAIN</t>
  </si>
  <si>
    <t>CAMDEN COUNTY</t>
  </si>
  <si>
    <t>CAMDEN COUNTY ABC BOARD</t>
  </si>
  <si>
    <t>CARTERET COUNTY</t>
  </si>
  <si>
    <t>CARTERET COUNTY ABC BOARD</t>
  </si>
  <si>
    <t>WESTERN CARTERET INTERLOCAL COOPERATION AGENCY</t>
  </si>
  <si>
    <t>TOWN OF MOREHEAD CITY</t>
  </si>
  <si>
    <t>TOWN OF NEWPORT</t>
  </si>
  <si>
    <t>TOWN OF BEAUFORT</t>
  </si>
  <si>
    <t>BEAUFORT HOUSING AUTH</t>
  </si>
  <si>
    <t>TOWN OF PINE KNOLL SHORES</t>
  </si>
  <si>
    <t>TOWN OF EMERALD ISLE</t>
  </si>
  <si>
    <t>TOWN OF INDIAN BEACH</t>
  </si>
  <si>
    <t>TOWN OF CAPE CARTERET</t>
  </si>
  <si>
    <t>TOWN OF ATLANTIC BEACH</t>
  </si>
  <si>
    <t>TOWN OF CEDAR POINT</t>
  </si>
  <si>
    <t>CASWELL COUNTY</t>
  </si>
  <si>
    <t>CASWELL COUNTY ABC BOARD</t>
  </si>
  <si>
    <t>CASWELL CO DEPT OF SOCIAL SERVICES</t>
  </si>
  <si>
    <t>TOWN OF YANCEYVILLE</t>
  </si>
  <si>
    <t>CATAWBA COUNTY</t>
  </si>
  <si>
    <t>CATAWBA COUNTY ABC BOARD</t>
  </si>
  <si>
    <t>CITY OF HICKORY</t>
  </si>
  <si>
    <t>HICKORY CONOVER TOURISM DEV AUTH</t>
  </si>
  <si>
    <t>HICKORY PUBLIC HOUSING AUTHORITY</t>
  </si>
  <si>
    <t>WESTERN PIEDMONT COUNCIL OF GVMTS</t>
  </si>
  <si>
    <t>WESTERN PIEDMONT REGIONAL TRANSIT AUTHORITY</t>
  </si>
  <si>
    <t>CITY OF CLAREMONT</t>
  </si>
  <si>
    <t>TOWN OF MAIDEN</t>
  </si>
  <si>
    <t>THE TOWN OF LONGVIEW</t>
  </si>
  <si>
    <t>TOWN OF CONOVER</t>
  </si>
  <si>
    <t>TOWN OF BROOKFORD</t>
  </si>
  <si>
    <t>CITY OF NEWTON</t>
  </si>
  <si>
    <t>TOWN OF CATAWBA</t>
  </si>
  <si>
    <t>CHATHAM COUNTY</t>
  </si>
  <si>
    <t>CHATHAM CO HOUSING AUTH</t>
  </si>
  <si>
    <t>CHATHAM COUNTY ABC BOARD</t>
  </si>
  <si>
    <t>GOLDSTON-GULF SANITARY DISTRICT</t>
  </si>
  <si>
    <t>TOWN OF SILER CITY</t>
  </si>
  <si>
    <t>SILER CITY ABC BOARD</t>
  </si>
  <si>
    <t>TOWN OF PITTSBORO</t>
  </si>
  <si>
    <t>CHEROKEE COUNTY</t>
  </si>
  <si>
    <t>NANTAHALA REGIONAL LIBRARY</t>
  </si>
  <si>
    <t>TOWN OF MURPHY</t>
  </si>
  <si>
    <t>MURPHY ABC BOARD</t>
  </si>
  <si>
    <t>TOWN OF ANDREWS</t>
  </si>
  <si>
    <t>CHOWAN COUNTY</t>
  </si>
  <si>
    <t>CHOWAN COUNTY ABC BOARD</t>
  </si>
  <si>
    <t>ALBEMARLE REGNL PLANNING &amp; DEVELOPMENT COMM</t>
  </si>
  <si>
    <t>TOWN OF EDENTON</t>
  </si>
  <si>
    <t>THE NEW EDENTON HOUSING AUTH</t>
  </si>
  <si>
    <t>CLAY COUNTY</t>
  </si>
  <si>
    <t>CLEVELAND COUNTY</t>
  </si>
  <si>
    <t>CLEVELAND CO SANITARY DIST</t>
  </si>
  <si>
    <t>CITY OF SHELBY</t>
  </si>
  <si>
    <t>SHELBY ABC BOARD</t>
  </si>
  <si>
    <t>CITY OF KINGS MOUNTAIN</t>
  </si>
  <si>
    <t>KINGS MOUNTAIN ABC BOARD</t>
  </si>
  <si>
    <t>TOWN OF BOILING SPRINGS</t>
  </si>
  <si>
    <t>TOWN OF LAWNDALE</t>
  </si>
  <si>
    <t>TOWN OF GROVER</t>
  </si>
  <si>
    <t>COLUMBUS COUNTY</t>
  </si>
  <si>
    <t>WHITEVILLE HOUSING AUTHORITY</t>
  </si>
  <si>
    <t>CITY OF WHITEVILLE</t>
  </si>
  <si>
    <t>WHITEVILLE ABC BOARD</t>
  </si>
  <si>
    <t>TOWN OF BRUNSWICK</t>
  </si>
  <si>
    <t>LAKE WACCAMAW ABC BOARD</t>
  </si>
  <si>
    <t>TOWN OF FAIR BLUFF</t>
  </si>
  <si>
    <t>TOWN OF CHADBOURN</t>
  </si>
  <si>
    <t>WEST COLUMBUS ABC BOARD</t>
  </si>
  <si>
    <t>TOWN OF TABOR CITY</t>
  </si>
  <si>
    <t>TOWN OF LAKE WACCAMAW</t>
  </si>
  <si>
    <t>CRAVEN COUNTY</t>
  </si>
  <si>
    <t>FIRST CRAVEN SANITARY DIST</t>
  </si>
  <si>
    <t>CRAVEN CO ABC BD</t>
  </si>
  <si>
    <t>CRAVEN-PAMLICO-CARTERET REGIONAL LIBRARY</t>
  </si>
  <si>
    <t>COASTAL CAROLINA REGIONAL AIRPORT</t>
  </si>
  <si>
    <t>NEUSE RIVER COUNCIL OF GOVERNMENTS</t>
  </si>
  <si>
    <t>COASTAL REGIONAL SOLID WASTE MNGT AUTH</t>
  </si>
  <si>
    <t>EAST CAROLINA BEHAVORIAL HEALTHCARE</t>
  </si>
  <si>
    <t>CITY OF NEW BERN</t>
  </si>
  <si>
    <t>TRILLIUM HEALTH RESOURCES</t>
  </si>
  <si>
    <t>TOWN OF TRENT WOODS</t>
  </si>
  <si>
    <t>CITY OF HAVELOCK</t>
  </si>
  <si>
    <t>TOWN OF RIVER BEND</t>
  </si>
  <si>
    <t>TOWN OF VANCEBORO</t>
  </si>
  <si>
    <t>TOWN OF BRIDGETON</t>
  </si>
  <si>
    <t>TOWN OF COVE CITY</t>
  </si>
  <si>
    <t>CUMBERLAND COUNTY</t>
  </si>
  <si>
    <t>WESTAREA VOLUNTEER FIRE DEPT</t>
  </si>
  <si>
    <t>CUMBERLAND CO ABC BOARD</t>
  </si>
  <si>
    <t>MID-CAROLINA COUNCIL OF GOVERNMENTS</t>
  </si>
  <si>
    <t>CUMBERLAND MEMORIAL AUDITORIUM COM</t>
  </si>
  <si>
    <t>CITY OF FAYETTEVILLE</t>
  </si>
  <si>
    <t>FAYETTEVILLE METROPOLITAN HOUSING AUTH</t>
  </si>
  <si>
    <t>PUBLIC WORKS COMM CTY OF FAYETTEVILLE</t>
  </si>
  <si>
    <t>TOWN OF STEDMAN</t>
  </si>
  <si>
    <t>TOWN OF HOPE MILLS</t>
  </si>
  <si>
    <t>TOWN OF WADE</t>
  </si>
  <si>
    <t>TOWN OF LINDEN</t>
  </si>
  <si>
    <t>TOWN OF SPRING LAKE</t>
  </si>
  <si>
    <t>TOWN OF FALCON</t>
  </si>
  <si>
    <t>TOWN OF EASTOVER</t>
  </si>
  <si>
    <t>CURRITUCK COUNTY</t>
  </si>
  <si>
    <t>CURRITUCK CO ABC BOARD</t>
  </si>
  <si>
    <t>DARE COUNTY</t>
  </si>
  <si>
    <t>DARE COUNTY TOURISM BOARD</t>
  </si>
  <si>
    <t>DARE COUNTY ABC BOARD</t>
  </si>
  <si>
    <t>TOWN OF NAGS HEAD</t>
  </si>
  <si>
    <t>TOWN OF KILL DEVIL HILLS</t>
  </si>
  <si>
    <t>TOWN OF MANTEO</t>
  </si>
  <si>
    <t>TOWN OF SOUTHERN SHORES</t>
  </si>
  <si>
    <t>TOWN OF KITTY HAWK</t>
  </si>
  <si>
    <t>TOWN OF DUCK</t>
  </si>
  <si>
    <t>DAVIDSON COUNTY</t>
  </si>
  <si>
    <t>CITY OF THOMASVILLE</t>
  </si>
  <si>
    <t>THOMASVILLE HOUSING AUTHORITY</t>
  </si>
  <si>
    <t>LEXINGTON ABC BOARD</t>
  </si>
  <si>
    <t>TOWN OF DENTON</t>
  </si>
  <si>
    <t>CITY OF LEXINGTON</t>
  </si>
  <si>
    <t>DAVIE COUNTY</t>
  </si>
  <si>
    <t>DAVIE SOIL AND WATER CONSERVATION DIST</t>
  </si>
  <si>
    <t>TOWN OF MOCKSVILLE</t>
  </si>
  <si>
    <t>TOWN OF BERMUDA RUN</t>
  </si>
  <si>
    <t>COOLEEMEE ABC BOARD</t>
  </si>
  <si>
    <t>TOWN OF COOLEEMEE</t>
  </si>
  <si>
    <t>DUPLIN COUNTY</t>
  </si>
  <si>
    <t>EASTPOINTE HUMAN SERVICES</t>
  </si>
  <si>
    <t>TOWN OF BEULAVILLE</t>
  </si>
  <si>
    <t>TOWN OF KENANSVILLE</t>
  </si>
  <si>
    <t>KENANSVILLE ABC BOARD</t>
  </si>
  <si>
    <t>TOWN OF WARSAW</t>
  </si>
  <si>
    <t>WARSAW ABC BOARD</t>
  </si>
  <si>
    <t>TOWN OF FAISON</t>
  </si>
  <si>
    <t>TOWN OF WALLACE</t>
  </si>
  <si>
    <t>WALLACE ABC BD</t>
  </si>
  <si>
    <t>TOWN OF ROSE HILL</t>
  </si>
  <si>
    <t>TOWN OF CALYPSO</t>
  </si>
  <si>
    <t>TOWN OF TEACHEY</t>
  </si>
  <si>
    <t>TOWN OF MAGNOLIA</t>
  </si>
  <si>
    <t>DURHAM COUNTY</t>
  </si>
  <si>
    <t>PARKWOOD FIRE DEPARTMENT</t>
  </si>
  <si>
    <t>DURHAM COUNTY ABC BOARD</t>
  </si>
  <si>
    <t>ALLIANCE BEHAVIORAL HEALTHCRE</t>
  </si>
  <si>
    <t>CITY OF DURHAM</t>
  </si>
  <si>
    <t>DURHAM CONVENTION &amp; VISITORS BUREAU</t>
  </si>
  <si>
    <t>TRIANGLE J COUNCIL OF GOVERNMENTS</t>
  </si>
  <si>
    <t>EDGECOMBE COUNTY</t>
  </si>
  <si>
    <t>EDGECOMBE COUNTY ABC BOARD</t>
  </si>
  <si>
    <t>EDGECOMBE COUNTY MEMORIAL LIBRARY</t>
  </si>
  <si>
    <t>UPPER COASTAL PLAIN COUNCIL OF GOVERNMENTS</t>
  </si>
  <si>
    <t>TOWN OF TARBORO</t>
  </si>
  <si>
    <t>TARBORO REDEVELOPMENT COMMISSION</t>
  </si>
  <si>
    <t>CITY OF ROCKY MOUNT</t>
  </si>
  <si>
    <t>ROCKY MOUNT-WILSON AIRPORT AUTHORITY</t>
  </si>
  <si>
    <t>TOWN OF PINETOPS</t>
  </si>
  <si>
    <t>ROCKY MT HOUSING AUTHORITY</t>
  </si>
  <si>
    <t>TOWN OF MACCLESFIELD</t>
  </si>
  <si>
    <t>TOWN OF PRINCEVILLE</t>
  </si>
  <si>
    <t>FORSYTH COUNTY</t>
  </si>
  <si>
    <t>AIRPORT COMMISSION OF FORSYTH COUNTY</t>
  </si>
  <si>
    <t>PIEDMONT TRIAD REGIONAL COUNCIL</t>
  </si>
  <si>
    <t>CENTERPOINT HUMAN SERVICES</t>
  </si>
  <si>
    <t>CITY OF WINSTON-SALEM</t>
  </si>
  <si>
    <t>WINSTON-SALEM HOUSING AUTHORITY</t>
  </si>
  <si>
    <t>TRIAD MUNICIPAL ABC BOARD</t>
  </si>
  <si>
    <t>TOWN OF KERNERSVILLE</t>
  </si>
  <si>
    <t>TOWN OF RURAL HALL</t>
  </si>
  <si>
    <t>VILLAGE OF CLEMMONS</t>
  </si>
  <si>
    <t>CLEMMONS FIRE DEPARTMENT</t>
  </si>
  <si>
    <t>TOWN OF LEWISVILLE</t>
  </si>
  <si>
    <t>TOWN OF WALKERTOWN</t>
  </si>
  <si>
    <t>VILLAGE OF TOBACCOVILLE</t>
  </si>
  <si>
    <t>FRANKLIN COUNTY</t>
  </si>
  <si>
    <t>TOWN OF FRANKLINTON</t>
  </si>
  <si>
    <t>FRANKLINTON ABC BOARD</t>
  </si>
  <si>
    <t>TOWN OF LOUISBURG</t>
  </si>
  <si>
    <t>LOUISBURG ABC BOARD</t>
  </si>
  <si>
    <t>TOWN OF BUNN</t>
  </si>
  <si>
    <t>ABC BOARD - TOWN OF BUNN</t>
  </si>
  <si>
    <t>TOWN OF YOUNGSVILLE</t>
  </si>
  <si>
    <t>GASTON COUNTY</t>
  </si>
  <si>
    <t>TOWN OF STANLEY</t>
  </si>
  <si>
    <t>PARTNERS BEHAVIORAL HEALTH MANAGEMENT</t>
  </si>
  <si>
    <t>TOWN OF MCADENVILLE</t>
  </si>
  <si>
    <t>CITY OF GASTONIA</t>
  </si>
  <si>
    <t>GASTONIA ABC BOARD</t>
  </si>
  <si>
    <t>GASTON COUNTY ECONOMIC DEV. COMMISSION</t>
  </si>
  <si>
    <t>CITY OF BELMONT</t>
  </si>
  <si>
    <t>BELMONT HOUSING AUTHORITY</t>
  </si>
  <si>
    <t>TOWN OF CRAMERTON</t>
  </si>
  <si>
    <t>CITY OF CHERRYVILLE</t>
  </si>
  <si>
    <t>CHERRYVILLE ABC BOARD</t>
  </si>
  <si>
    <t>TOWN OF DALLAS</t>
  </si>
  <si>
    <t>CITY OF LOWELL</t>
  </si>
  <si>
    <t>BESSEMER CITY</t>
  </si>
  <si>
    <t>TOWN OF RANLO</t>
  </si>
  <si>
    <t>CITY OF MOUNT HOLLY</t>
  </si>
  <si>
    <t>COUNTY OF GATES</t>
  </si>
  <si>
    <t>GATES COUNTY ABC BOARD</t>
  </si>
  <si>
    <t>GRAHAM COUNTY</t>
  </si>
  <si>
    <t>GRAHAM CO HEALTH DEPT</t>
  </si>
  <si>
    <t>GRAHAM COUNTY DEPT OF S S</t>
  </si>
  <si>
    <t>TOWN OF ROBBINSVILLE</t>
  </si>
  <si>
    <t>GRANVILLE COUNTY</t>
  </si>
  <si>
    <t>GRANVILLE CO ABC BD</t>
  </si>
  <si>
    <t>GRANVILLE COUNTY HOSPITAL</t>
  </si>
  <si>
    <t>GRANVILLE-VANCE HEALTH DIST</t>
  </si>
  <si>
    <t>SOUTH GRANVILLE WATER AND SEWER AUTHORITY</t>
  </si>
  <si>
    <t>CITY OF OXFORD</t>
  </si>
  <si>
    <t>OXFORD HOUSING AUTHORITY</t>
  </si>
  <si>
    <t>TOWN OF STOVALL</t>
  </si>
  <si>
    <t>CITY OF CREEDMOOR</t>
  </si>
  <si>
    <t>TOWN OF BUTNER</t>
  </si>
  <si>
    <t>GREENE COUNTY</t>
  </si>
  <si>
    <t>MAURY SANITARY LAND DISTRICT</t>
  </si>
  <si>
    <t>GREENE COUNTY ABC BOARD</t>
  </si>
  <si>
    <t>NEUSE REGIONAL LIBRARY-GREENE COUNTY</t>
  </si>
  <si>
    <t>TOWN OF HOOKERTON</t>
  </si>
  <si>
    <t>TOWN OF SNOW HILL</t>
  </si>
  <si>
    <t>TOWN OF WALSTONBURG</t>
  </si>
  <si>
    <t>GUILFORD COUNTY</t>
  </si>
  <si>
    <t>GUIL-RAND FIRE DEPARTMENT</t>
  </si>
  <si>
    <t>PINECROFT-SEDGEFIELD FIRE DIST INC</t>
  </si>
  <si>
    <t>ALAMANCE COMM FIRE DIST</t>
  </si>
  <si>
    <t>CITY OF GREENSBORO</t>
  </si>
  <si>
    <t>PIEDMONT TRIAD REG WATER AUTH</t>
  </si>
  <si>
    <t>GREENSBORO ABC BD</t>
  </si>
  <si>
    <t>GUILFORD FIRE DISTRICT # 13 INC</t>
  </si>
  <si>
    <t>CITY OF HIGH POINT</t>
  </si>
  <si>
    <t>HIGH POINT ABC BD</t>
  </si>
  <si>
    <t>TOWN OF JAMESTOWN</t>
  </si>
  <si>
    <t>TOWN OF GIBSONVILLE</t>
  </si>
  <si>
    <t>GIBSONVILLE ABC BOARD</t>
  </si>
  <si>
    <t>TOWN OF OAK RIDGE</t>
  </si>
  <si>
    <t>COLFAX VOLUNTEER FIRE DEPARTMENT</t>
  </si>
  <si>
    <t>TOWN OF SUMMERFIELD</t>
  </si>
  <si>
    <t>SUMMERFIELD FIRE DISTRICT</t>
  </si>
  <si>
    <t>HALIFAX COUNTY</t>
  </si>
  <si>
    <t>HALIFAX COUNTY ABC BOARD</t>
  </si>
  <si>
    <t>HALIFAX COUNTY TOURISM DEVELOPMENT AUTHORITY</t>
  </si>
  <si>
    <t>ROANOKE RAPIDS SANITARY DISTRICT</t>
  </si>
  <si>
    <t>TOWN OF ENFIELD</t>
  </si>
  <si>
    <t>CITY OF ROANOKE RAPIDS</t>
  </si>
  <si>
    <t>TOWN OF WELDON</t>
  </si>
  <si>
    <t>TOWN OF SCOTLAND NECK</t>
  </si>
  <si>
    <t>TOWN OF HOBGOOD</t>
  </si>
  <si>
    <t>TOWN OF LITTLETON</t>
  </si>
  <si>
    <t>HARNETT COUNTY</t>
  </si>
  <si>
    <t>CITY OF DUNN</t>
  </si>
  <si>
    <t>DUNN HOUSING AUTHORITY</t>
  </si>
  <si>
    <t>DUNN ABC BOARD</t>
  </si>
  <si>
    <t>TOWN OF LILLINGTON</t>
  </si>
  <si>
    <t>TOWN OF ERWIN</t>
  </si>
  <si>
    <t>TOWN OF COATS</t>
  </si>
  <si>
    <t>TOWN OF ANGIER ABC BOARD</t>
  </si>
  <si>
    <t>TOWN OF ANGIER</t>
  </si>
  <si>
    <t>HAYWOOD MEDICAL CENTER</t>
  </si>
  <si>
    <t>JUNALUSKA SANITARY DISTRICT</t>
  </si>
  <si>
    <t>TOWN OF WAYNESVILLE</t>
  </si>
  <si>
    <t>WAYNESVILLE ABC BOARD</t>
  </si>
  <si>
    <t>TOWN OF MAGGIE VALLEY</t>
  </si>
  <si>
    <t>MAGGIE VALLEY ABC BOARD</t>
  </si>
  <si>
    <t>MAGGIE VALLEY SANITARY DIST</t>
  </si>
  <si>
    <t>TOWN OF CANTON</t>
  </si>
  <si>
    <t>CANTON ABC BOARD</t>
  </si>
  <si>
    <t>COUNTY OF HENDERSON</t>
  </si>
  <si>
    <t>CITY OF HENDERSONVILLE</t>
  </si>
  <si>
    <t>HENDERSONVILLE WATER COMMISSION</t>
  </si>
  <si>
    <t>HENDERSONVILLE ABC BD</t>
  </si>
  <si>
    <t>TOWN OF LAUREL PARK</t>
  </si>
  <si>
    <t>LAUREL PARK ABC BOARD</t>
  </si>
  <si>
    <t>THE VILLAGE OF FLAT ROCK</t>
  </si>
  <si>
    <t>BLUE RIDGE FIRE DEPARTMENT</t>
  </si>
  <si>
    <t>TOWN OF FLETCHER</t>
  </si>
  <si>
    <t>FLETCHER ABC BOARD</t>
  </si>
  <si>
    <t>TOWN OF MILLS RIVER</t>
  </si>
  <si>
    <t>HERTFORD COUNTY</t>
  </si>
  <si>
    <t>HERTFORD COUNTY ABC BOARD</t>
  </si>
  <si>
    <t>HERTFORD COUNTY PUBLIC HEALTH AUTHORITY</t>
  </si>
  <si>
    <t>TOWN OF AHOSKIE</t>
  </si>
  <si>
    <t>TOWN OF MURFREESBORO</t>
  </si>
  <si>
    <t>TOWN OF WINTON</t>
  </si>
  <si>
    <t>TOWN OF COFIELD</t>
  </si>
  <si>
    <t>HOKE COUNTY</t>
  </si>
  <si>
    <t>HOKE COUNTY ABC BOARD</t>
  </si>
  <si>
    <t>TOWN OF RAEFORD</t>
  </si>
  <si>
    <t>HYDE COUNTY</t>
  </si>
  <si>
    <t>HYDE COUNTY ABC BOARD</t>
  </si>
  <si>
    <t>OCRACOKE SANITARY DIST</t>
  </si>
  <si>
    <t>IREDELL COUNTY</t>
  </si>
  <si>
    <t>GREATER STATESVILLE DEVELOPMENT CORP</t>
  </si>
  <si>
    <t>CITY OF STATESVILLE</t>
  </si>
  <si>
    <t>STATESVILLE ABC BOARD</t>
  </si>
  <si>
    <t>CITY OF MOORESVILLE</t>
  </si>
  <si>
    <t>MOORESVILLE HOUSING AUTHORITY</t>
  </si>
  <si>
    <t>MOORESVILLE ABC BOARD</t>
  </si>
  <si>
    <t>TOWN OF TROUTMAN</t>
  </si>
  <si>
    <t>MI CONNECTION COMMUNICATIONS SYSTEM</t>
  </si>
  <si>
    <t>JACKSON COUNTY</t>
  </si>
  <si>
    <t>TUCKASEIGEE WATER AUTHORITY</t>
  </si>
  <si>
    <t>FONTANA REGIONAL LIBRARY</t>
  </si>
  <si>
    <t>SOUTHWESTERN NC PLANNING &amp; ECON.DEV.COMMIS.</t>
  </si>
  <si>
    <t>SMOKY MOUNTAIN M H C</t>
  </si>
  <si>
    <t>TOWN OF SYLVA</t>
  </si>
  <si>
    <t>JACKSON COUNTY ABC BOARD</t>
  </si>
  <si>
    <t>JOHNSTON COUNTY</t>
  </si>
  <si>
    <t>BENSON HOUSING AUTHORITY</t>
  </si>
  <si>
    <t>JOHNSTON COUNTY ABC BOARD</t>
  </si>
  <si>
    <t>PUBLIC LIBRARY OF JOHNSTON CO AND SMITHFIELD</t>
  </si>
  <si>
    <t>TOWN OF ARCHER LODGE</t>
  </si>
  <si>
    <t>JOHNSTON HEALTH CENTER</t>
  </si>
  <si>
    <t>TOWN OF SMITHFIELD</t>
  </si>
  <si>
    <t>SMITHFIELD HOUSING AUTHORITY</t>
  </si>
  <si>
    <t>TOWN OF SELMA</t>
  </si>
  <si>
    <t>TOWN OF MICRO</t>
  </si>
  <si>
    <t>SELMA HOUSING AUTHORITY</t>
  </si>
  <si>
    <t>TOWN OF CLAYTON</t>
  </si>
  <si>
    <t>TOWN OF BENSON</t>
  </si>
  <si>
    <t>TOWN OF FOUR OAKS</t>
  </si>
  <si>
    <t>TOWN OF PINE LEVEL</t>
  </si>
  <si>
    <t>TOWN OF KENLY</t>
  </si>
  <si>
    <t>TOWN OF PRINCETON</t>
  </si>
  <si>
    <t>TOWN OF WILSON'S MILLS</t>
  </si>
  <si>
    <t>JONES COUNTY</t>
  </si>
  <si>
    <t>JONES COUNTY ABC BOARD</t>
  </si>
  <si>
    <t>NEUSE REGIONAL LIBRARY-JONES COUNTY</t>
  </si>
  <si>
    <t>TOWN OF POLLOCKSVILLE</t>
  </si>
  <si>
    <t>TOWN OF MAYSVILLE</t>
  </si>
  <si>
    <t>LEE COUNTY</t>
  </si>
  <si>
    <t>CITY OF SANFORD</t>
  </si>
  <si>
    <t>SANFORD ABC BOARD</t>
  </si>
  <si>
    <t>TOWN OF BROADWAY</t>
  </si>
  <si>
    <t>LENOIR COUNTY</t>
  </si>
  <si>
    <t>LENOIR COUNTY ABC BOARD</t>
  </si>
  <si>
    <t>NEUSE REGIONAL LIBRARY</t>
  </si>
  <si>
    <t>CITY OF KINSTON</t>
  </si>
  <si>
    <t>GLOBAL TRANSPARK DEVELOPMENT COMM</t>
  </si>
  <si>
    <t>HOUSING AUTH FOR THE CTY OF KINSTON</t>
  </si>
  <si>
    <t>KINSTON-LENOIR CO PUB LIBRARY</t>
  </si>
  <si>
    <t>TOWN OF PINK HILL</t>
  </si>
  <si>
    <t>TOWN OF LAGRANGE</t>
  </si>
  <si>
    <t>LINCOLN COUNTY</t>
  </si>
  <si>
    <t>LINCOLN COUNTY ABC BOARD</t>
  </si>
  <si>
    <t>CITY OF LINCOLNTON</t>
  </si>
  <si>
    <t>LINCOLNTON HOUSING AUTHORITY</t>
  </si>
  <si>
    <t>TOWN OF LINCOLNTON ABC BOARD</t>
  </si>
  <si>
    <t>MACON COUNTY</t>
  </si>
  <si>
    <t>TOWN OF FRANKLIN</t>
  </si>
  <si>
    <t>HIGHLANDS ABC BOARD</t>
  </si>
  <si>
    <t>TOWN OF HIGHLANDS</t>
  </si>
  <si>
    <t>MADISON COUNTY</t>
  </si>
  <si>
    <t>TOWN OF MARS HILL</t>
  </si>
  <si>
    <t>TOWN OF MARSHALL</t>
  </si>
  <si>
    <t>HOT SPRINGS HOUSING AUTHORITY</t>
  </si>
  <si>
    <t>MARTIN COUNTY</t>
  </si>
  <si>
    <t>MARTIN CO TRAVEL &amp; TOURISM AUTH</t>
  </si>
  <si>
    <t>MARTIN COUNTY ABC BOARD</t>
  </si>
  <si>
    <t>TOWN OF WILLIAMSTON</t>
  </si>
  <si>
    <t>WILLIAMSTON HOUSING AUTHORITY</t>
  </si>
  <si>
    <t>TOWN OF OAK CITY</t>
  </si>
  <si>
    <t>TOWN OF HAMILTON</t>
  </si>
  <si>
    <t>TOWN OF JAMESVILLE</t>
  </si>
  <si>
    <t>TOWN OF ROBERSONVILLE</t>
  </si>
  <si>
    <t>ROBERSONVILLE HOUSING AUTHORITY</t>
  </si>
  <si>
    <t>MCDOWELL COUNTY</t>
  </si>
  <si>
    <t>PLEASANT GARDEN FIRE DEPT</t>
  </si>
  <si>
    <t>TOWN OF MARION</t>
  </si>
  <si>
    <t>MARION ABC BOARD</t>
  </si>
  <si>
    <t>TOWN OF OLD FORT</t>
  </si>
  <si>
    <t>MECKLENBURG COUNTY</t>
  </si>
  <si>
    <t>CHARLOTTE HOUSING AUTHORITY</t>
  </si>
  <si>
    <t>MECKLENBURG COUNTY ABC BOARD</t>
  </si>
  <si>
    <t>CHARLOTTE MECKLENBURG PUBLIC LIBRARY</t>
  </si>
  <si>
    <t>MECKLENBURG EMER MED SVCS AGCY</t>
  </si>
  <si>
    <t>CENTRALINA COUNCIL OF GOVERNMENTS</t>
  </si>
  <si>
    <t>CITY OF CHARLOTTE</t>
  </si>
  <si>
    <t>CHARLOTTE REGIONAL VISITORS AUTHORITY</t>
  </si>
  <si>
    <t>CHARLOTTE FIREMEN'S RET SYS</t>
  </si>
  <si>
    <t>TOWN OF PINEVILLE</t>
  </si>
  <si>
    <t>TOWN OF MINT HILL</t>
  </si>
  <si>
    <t>TOWN OF HUNTERSVILLE</t>
  </si>
  <si>
    <t>TOWN OF CORNELIUS</t>
  </si>
  <si>
    <t>TOWN OF STALLINGS</t>
  </si>
  <si>
    <t>TOWN OF MATTHEWS</t>
  </si>
  <si>
    <t>TOWN OF DAVIDSON</t>
  </si>
  <si>
    <t>MITCHELL COUNTY</t>
  </si>
  <si>
    <t>MITCHELL SOIL &amp; WATER CONSERVATION DIST</t>
  </si>
  <si>
    <t>TOWN OF SPRUCE PINE</t>
  </si>
  <si>
    <t>TOWN OF BAKERSVILLE</t>
  </si>
  <si>
    <t>MONTGOMERY COUNTY</t>
  </si>
  <si>
    <t>MONTGOMERY-MUNICIPAL ABC BOARD</t>
  </si>
  <si>
    <t>TOWN OF STAR</t>
  </si>
  <si>
    <t>TOWN OF TROY</t>
  </si>
  <si>
    <t>TOWN OF BISCOE</t>
  </si>
  <si>
    <t>TOWN OF CANDOR</t>
  </si>
  <si>
    <t>TOWN OF MOUNT GILEAD</t>
  </si>
  <si>
    <t>MOORE COUNTY</t>
  </si>
  <si>
    <t>TOWN OF TAYLORTOWN</t>
  </si>
  <si>
    <t>MOORE COUNTY ABC BOARD</t>
  </si>
  <si>
    <t>MOORE COUNTY TOURISM DEVELOPMENT AUTHORITY</t>
  </si>
  <si>
    <t>MOORE COUNTY AIRPORT AUTHORITY</t>
  </si>
  <si>
    <t>TOWN OF SOUTHERN PINES</t>
  </si>
  <si>
    <t>TOWN OF CAMERON</t>
  </si>
  <si>
    <t>SANDHILLS CENTER</t>
  </si>
  <si>
    <t>TOWN OF VASS</t>
  </si>
  <si>
    <t>TOWN OF ABERDEEN</t>
  </si>
  <si>
    <t>TOWN OF ROBBINS</t>
  </si>
  <si>
    <t>VILLAGE OF PINEHURST</t>
  </si>
  <si>
    <t>TOWN OF PINEBLUFF</t>
  </si>
  <si>
    <t>VILLAGE OF WHISPERING PINES</t>
  </si>
  <si>
    <t>FOXFIRE VILLAGE</t>
  </si>
  <si>
    <t>TOWN OF CARTHAGE</t>
  </si>
  <si>
    <t>NASH COUNTY</t>
  </si>
  <si>
    <t>NASH COUNTY ABC BOARD</t>
  </si>
  <si>
    <t>BRASWELL MEMORIAL LIBRARY</t>
  </si>
  <si>
    <t>TOWN OF SPRING HOPE</t>
  </si>
  <si>
    <t>TOWN OF NASHVILLE</t>
  </si>
  <si>
    <t>TOWN OF MIDDLESEX</t>
  </si>
  <si>
    <t>TOWN OF WHITAKERS</t>
  </si>
  <si>
    <t>TOWN OF BAILEY</t>
  </si>
  <si>
    <t>TOWN OF SHARPSBURG</t>
  </si>
  <si>
    <t>NEW HANOVER COUNTY</t>
  </si>
  <si>
    <t>NEW HANOVER AIRPORT AUTH</t>
  </si>
  <si>
    <t>HOUSING AUTH OF THE CITY OF WILMINGTON</t>
  </si>
  <si>
    <t>NEW HANOVER COUNTY ABC BOARD</t>
  </si>
  <si>
    <t>CAPE FEAR PUBLIC UTILITY AUTHORITY</t>
  </si>
  <si>
    <t>LOWER CAPE FEAR WATER &amp; SEWER AUTH</t>
  </si>
  <si>
    <t>TOWN OF WRIGHTSVILLE BEACH</t>
  </si>
  <si>
    <t>CAPE FEAR PUBLIC TRANSPORTATION AUTHORITY</t>
  </si>
  <si>
    <t>COASTALCARE</t>
  </si>
  <si>
    <t>TOWN OF CAROLINA BEACH</t>
  </si>
  <si>
    <t>CITY OF WILMINGTON</t>
  </si>
  <si>
    <t>TOWN OF KURE BEACH</t>
  </si>
  <si>
    <t>NORTHAMPTON COUNTY</t>
  </si>
  <si>
    <t>NORTHAMPTON COUNTY ABC BOARD</t>
  </si>
  <si>
    <t>TOWN OF RICH SQUARE</t>
  </si>
  <si>
    <t>CHOANOKE PUBLIC TRANSPORTATION AUTH</t>
  </si>
  <si>
    <t>TOWN OF WOODLAND</t>
  </si>
  <si>
    <t>TOWN OF GARYSBURG</t>
  </si>
  <si>
    <t>TOWN OF CONWAY</t>
  </si>
  <si>
    <t>TOWN OF GASTON</t>
  </si>
  <si>
    <t>TOWN OF JACKSON</t>
  </si>
  <si>
    <t>TOWN OF SEVERN</t>
  </si>
  <si>
    <t>TOWN OF SEABOARD</t>
  </si>
  <si>
    <t>ONSLOW COUNTY</t>
  </si>
  <si>
    <t>ONSLOW COUNTY ABC BOARD</t>
  </si>
  <si>
    <t>ONSLOW WATER &amp; SEWER AUTHORITY</t>
  </si>
  <si>
    <t>CITY OF JACKSONVILLE</t>
  </si>
  <si>
    <t>TOWN OF SWANSBORO</t>
  </si>
  <si>
    <t>TOWN OF HOLLY RIDGE</t>
  </si>
  <si>
    <t>HOLLY RIDGE HOUSING AUTHORITY</t>
  </si>
  <si>
    <t>TOWN OF RICHLANDS</t>
  </si>
  <si>
    <t>TOWN OF N TOPSAIL BEACH</t>
  </si>
  <si>
    <t>ORANGE COUNTY</t>
  </si>
  <si>
    <t>ORANGE COUNTY ABC BOARD</t>
  </si>
  <si>
    <t>ORANGE WATER AND SEWER AUTHORITY</t>
  </si>
  <si>
    <t>TOWN OF CHAPEL HILL</t>
  </si>
  <si>
    <t>TOWN OF CARRBORO</t>
  </si>
  <si>
    <t>TOWN OF HILLSBOROUGH</t>
  </si>
  <si>
    <t>PAMLICO COUNTY</t>
  </si>
  <si>
    <t>TOWN OF BAYBORO</t>
  </si>
  <si>
    <t>TOWN OF ORIENTAL</t>
  </si>
  <si>
    <t>BAY RIVER METRO SEWERAGE DISTRICT</t>
  </si>
  <si>
    <t>PASQUOTANK COUNTY</t>
  </si>
  <si>
    <t>PASQUOTANK-CAMDEN AMBULANCE SERVICE</t>
  </si>
  <si>
    <t>PASQUOTANK CO ABC BOARD</t>
  </si>
  <si>
    <t>EAST ALBEMARLE REGIONAL LIBRARY</t>
  </si>
  <si>
    <t>ALBEMARLE DISTRICT JAIL COMMISSION</t>
  </si>
  <si>
    <t>ALBEMARLE HOSPITAL AUTHORITY</t>
  </si>
  <si>
    <t>ELIZABETH CITY</t>
  </si>
  <si>
    <t>ELIZABETH CITY-PASQUOTANK CO AIRPORT AUTH</t>
  </si>
  <si>
    <t>ELIZABETH CITY PASQUOTANK COUNTY TDA</t>
  </si>
  <si>
    <t>PASQUOTANK-CAMDEN LIBRARY</t>
  </si>
  <si>
    <t>ELIZABETH CTY-PASQUOTANK CO INDUSTRL DEVELOPMENT C</t>
  </si>
  <si>
    <t>PENDER COUNTY</t>
  </si>
  <si>
    <t>PENDER COUNTY ABC BOARD</t>
  </si>
  <si>
    <t>TOWN OF BURGAW</t>
  </si>
  <si>
    <t>TOWN OF TOPSAIL BEACH</t>
  </si>
  <si>
    <t>TOWN OF SURF CITY</t>
  </si>
  <si>
    <t>PERQUIMANS COUNTY</t>
  </si>
  <si>
    <t>TOWN OF HERTFORD</t>
  </si>
  <si>
    <t>HERTFORD HOUSING AUTH</t>
  </si>
  <si>
    <t>TOWN OF HERTFORD ABC BOARD</t>
  </si>
  <si>
    <t>TOWN OF WINFALL</t>
  </si>
  <si>
    <t>PERSON COUNTY</t>
  </si>
  <si>
    <t>PERSON CO ABC BD</t>
  </si>
  <si>
    <t>CITY OF ROXBORO</t>
  </si>
  <si>
    <t>PITT COUNTY</t>
  </si>
  <si>
    <t>PITT-GREENVILLE CONV &amp; VISTORS</t>
  </si>
  <si>
    <t>PITT COUNTY ABC BOARD</t>
  </si>
  <si>
    <t>SHEPPARD MEMORIAL LIBRARY</t>
  </si>
  <si>
    <t>CONTENNEA METROPOLITAN SEWERAGE DIST</t>
  </si>
  <si>
    <t>CITY OF GREENVILLE</t>
  </si>
  <si>
    <t>GREENVILLE UTILITIES COMMISSION</t>
  </si>
  <si>
    <t>GREENVILLE HOUSING AUTHORITY</t>
  </si>
  <si>
    <t>TOWN OF FARMVILLE</t>
  </si>
  <si>
    <t>FARMVILLE HOUSING AUTHORITY</t>
  </si>
  <si>
    <t>TOWN OF GRIFTON</t>
  </si>
  <si>
    <t>TOWN OF BETHEL</t>
  </si>
  <si>
    <t>TOWN OF WINTERVILLE</t>
  </si>
  <si>
    <t>TOWN OF AYDEN</t>
  </si>
  <si>
    <t>AYDEN HOUSING AUTHORITY</t>
  </si>
  <si>
    <t>TOWN OF GRIMESLAND</t>
  </si>
  <si>
    <t>VILLAGE OF SIMPSON</t>
  </si>
  <si>
    <t>FOUNTAIN, TOWN OF</t>
  </si>
  <si>
    <t>POLK COUNTY</t>
  </si>
  <si>
    <t>TOWN OF TRYON</t>
  </si>
  <si>
    <t>TOWN OF COLUMBUS</t>
  </si>
  <si>
    <t>CITY OF SALUDA</t>
  </si>
  <si>
    <t>RANDOLPH COUNTY</t>
  </si>
  <si>
    <t>ASHEBORO ABC BOARD</t>
  </si>
  <si>
    <t>CITY OF ASHEBORO</t>
  </si>
  <si>
    <t>ASHEBORO HOUSING AUTH</t>
  </si>
  <si>
    <t>CITY OF RANDLEMAN</t>
  </si>
  <si>
    <t>CITY OF RANDLEMAN HOUSING AUTHORITY</t>
  </si>
  <si>
    <t>CITY OF RANDLEMAN ABC BOARD</t>
  </si>
  <si>
    <t>TOWN OF LIBERTY</t>
  </si>
  <si>
    <t>LIBERTY ABC BOARD</t>
  </si>
  <si>
    <t>TOWN OF RAMSEUR</t>
  </si>
  <si>
    <t>CITY OF ARCHDALE</t>
  </si>
  <si>
    <t>CITY OF TRINITY</t>
  </si>
  <si>
    <t>RICHMOND COUNTY</t>
  </si>
  <si>
    <t>SANDHILL REGIONAL LIBRARY</t>
  </si>
  <si>
    <t>CITY OF ROCKINGHAM</t>
  </si>
  <si>
    <t>ROCKINGHAM HOUSING AUTHORITY</t>
  </si>
  <si>
    <t>HAMLET ABC BOARD</t>
  </si>
  <si>
    <t>CITY OF HAMLET</t>
  </si>
  <si>
    <t>CITY OF ROCKINGHAM ABC BOARD</t>
  </si>
  <si>
    <t>TOWN OF ELLERBE</t>
  </si>
  <si>
    <t>COUNTY OF ROBESON</t>
  </si>
  <si>
    <t>LUMBER RIVER COUNCIL OF GOVERNMENTS</t>
  </si>
  <si>
    <t>ROBESON COUNTY HOUSING AUTHORITY</t>
  </si>
  <si>
    <t>ROBESON COUNTY PUBLIC LIBRARY</t>
  </si>
  <si>
    <t>CITY OF LUMBERTON</t>
  </si>
  <si>
    <t>LUMBERTON ABC BOARD</t>
  </si>
  <si>
    <t>LUMBERTON AIRPORT COMM</t>
  </si>
  <si>
    <t>TOWN OF FAIRMONT</t>
  </si>
  <si>
    <t>FAIRMONT HOUSING AUTHORITY</t>
  </si>
  <si>
    <t>TOWN OF ST PAULS</t>
  </si>
  <si>
    <t>ST PAUL'S BRD OF ALCOHOLIC CTL</t>
  </si>
  <si>
    <t>TOWN OF MAXTON</t>
  </si>
  <si>
    <t>TOWN OF PARKTON</t>
  </si>
  <si>
    <t>MAXTON ABC BOARD</t>
  </si>
  <si>
    <t>TOWN OF PEMBROKE</t>
  </si>
  <si>
    <t>PEMBROKE HOUSING AUTHORITY</t>
  </si>
  <si>
    <t>TOWN OF ROWLAND</t>
  </si>
  <si>
    <t>TOWN OF RED SPRINGS</t>
  </si>
  <si>
    <t>RED SPRINGS ABC BOARD</t>
  </si>
  <si>
    <t>ROCKINGHAM COUNTY</t>
  </si>
  <si>
    <t>CITY OF REIDSVILLE</t>
  </si>
  <si>
    <t>THE NEW REIDSVILLE HOUSING AUTH</t>
  </si>
  <si>
    <t>REIDSVILLE ABC BOARD</t>
  </si>
  <si>
    <t>TOWN OF MAYODAN</t>
  </si>
  <si>
    <t>TOWN OF STONEVILLE</t>
  </si>
  <si>
    <t>TOWN OF MADISON</t>
  </si>
  <si>
    <t>MADISON ABC BOARD</t>
  </si>
  <si>
    <t>MADISON-MAYODAN RECREATION COMM</t>
  </si>
  <si>
    <t>CITY OF EDEN</t>
  </si>
  <si>
    <t>EDEN ABC BOARD</t>
  </si>
  <si>
    <t>ROWAN COUNTY</t>
  </si>
  <si>
    <t>ROWAN CONVENTION &amp; VISTORS BUREAU</t>
  </si>
  <si>
    <t>ROWAN CO HOUSING AUTHORITY</t>
  </si>
  <si>
    <t>ROWAN COUNTY ABC BOARD</t>
  </si>
  <si>
    <t>ROWAN CO SOIL &amp; WATER CONV DIST</t>
  </si>
  <si>
    <t>CITY OF SALISBURY</t>
  </si>
  <si>
    <t>HOUSING AUTH OF THE CTY OF SALISBURY</t>
  </si>
  <si>
    <t>TOWN OF EAST SPENCER</t>
  </si>
  <si>
    <t>EAST SPENCER HOUSING AUTHORITY</t>
  </si>
  <si>
    <t>TOWN OF SPENCER</t>
  </si>
  <si>
    <t>TOWN OF CHINA GROVE</t>
  </si>
  <si>
    <t>TOWN OF LANDIS</t>
  </si>
  <si>
    <t>TOWN OF GRANITE QUARRY</t>
  </si>
  <si>
    <t>TOWN OF ROCKWELL</t>
  </si>
  <si>
    <t>TOWN OF FAITH</t>
  </si>
  <si>
    <t>TOWN OF CLEVELAND</t>
  </si>
  <si>
    <t>RUTHERFORD COUNTY</t>
  </si>
  <si>
    <t>BROAD RIVER WATER AUTHORITY</t>
  </si>
  <si>
    <t>RUTHERFORD POLK MCDOWELL DIST BRD OF HEALTH</t>
  </si>
  <si>
    <t>FOREST CITY ABC BOARD 168</t>
  </si>
  <si>
    <t>ISOTHERMAL PLANNING AND DEV COMM</t>
  </si>
  <si>
    <t>TOWN OF FOREST CITY</t>
  </si>
  <si>
    <t>FOREST CITY HOUSING AUTHORITY</t>
  </si>
  <si>
    <t>TOWN OF SPINDALE</t>
  </si>
  <si>
    <t>TOWN OF LAKE LURE</t>
  </si>
  <si>
    <t>TOWN OF RUTHERFORDTON</t>
  </si>
  <si>
    <t>TOWN OF RUTHERFORDTON ABC BRD</t>
  </si>
  <si>
    <t>TOWN OF ELLENBORO</t>
  </si>
  <si>
    <t>SAMPSON COUNTY</t>
  </si>
  <si>
    <t>J C HOLIDAY MEM LIBRARY</t>
  </si>
  <si>
    <t>CITY OF CLINTON</t>
  </si>
  <si>
    <t>CLINTON ABC BOARD</t>
  </si>
  <si>
    <t>TOWN OF SALEMBURG</t>
  </si>
  <si>
    <t>TOWN OF NEWTON GROVE</t>
  </si>
  <si>
    <t>ROSEBORO ABC BOARD</t>
  </si>
  <si>
    <t>TOWN OF GARLAND</t>
  </si>
  <si>
    <t>TOWN OF TURKEY</t>
  </si>
  <si>
    <t>TOWN OF ROSEBORO</t>
  </si>
  <si>
    <t>TOWN OF AUTRYVILLE</t>
  </si>
  <si>
    <t>SCOTLAND COUNTY</t>
  </si>
  <si>
    <t>SCOTLAND COUNTY ABC BOARD</t>
  </si>
  <si>
    <t>LAURINBURG-MAXTON AIRPORT COMMISSION</t>
  </si>
  <si>
    <t>CITY OF LAURINBURG</t>
  </si>
  <si>
    <t>LAURINBURG HOUSING AUTHORITY</t>
  </si>
  <si>
    <t>TOWN OF WAGRAM</t>
  </si>
  <si>
    <t>TOWN OF GIBSON</t>
  </si>
  <si>
    <t>STANLY COUNTY</t>
  </si>
  <si>
    <t>CITY OF ALBEMARLE</t>
  </si>
  <si>
    <t>ALBEMARLE ABC BOARD</t>
  </si>
  <si>
    <t>TOWN OF NORWOOD</t>
  </si>
  <si>
    <t>NORWOOD ABC BD</t>
  </si>
  <si>
    <t>CITY OF LOCUST</t>
  </si>
  <si>
    <t>TOWN OF OAKBORO</t>
  </si>
  <si>
    <t>TOWN OF BADIN</t>
  </si>
  <si>
    <t>TOWN OF STANFIELD</t>
  </si>
  <si>
    <t>STOKES COUNTY</t>
  </si>
  <si>
    <t>TOWN OF WALNUT COVE</t>
  </si>
  <si>
    <t>WALNUT COVE ABC BOARD</t>
  </si>
  <si>
    <t>CITY OF KING</t>
  </si>
  <si>
    <t>SURRY COUNTY</t>
  </si>
  <si>
    <t>YADKIN VALLEY ABC BOARD</t>
  </si>
  <si>
    <t>PILOT MOUNTAIN ABC BOARD</t>
  </si>
  <si>
    <t>YADKIN VALLEY SEWER AUTHORITY</t>
  </si>
  <si>
    <t>TOWN OF PILOT MOUNTAIN</t>
  </si>
  <si>
    <t>TOWN OF DOBSON</t>
  </si>
  <si>
    <t>DOBSON ABC BD</t>
  </si>
  <si>
    <t>CITY OF MOUNT AIRY</t>
  </si>
  <si>
    <t>MOUNT AIRY ALCOHOLIC BOARD OF CONTROL</t>
  </si>
  <si>
    <t>TOWN OF ELKIN</t>
  </si>
  <si>
    <t>ELKIN ABC BOARD</t>
  </si>
  <si>
    <t>SWAIN COUNTY</t>
  </si>
  <si>
    <t>TOWN OF BRYSON CITY</t>
  </si>
  <si>
    <t>BRYSON CITY ABC BOARD</t>
  </si>
  <si>
    <t>TRANSYLVANIA COUNTY</t>
  </si>
  <si>
    <t>CITY OF BREVARD</t>
  </si>
  <si>
    <t>BREVARD ABC BOARD</t>
  </si>
  <si>
    <t>TYRRELL COUNTY</t>
  </si>
  <si>
    <t>TYRRELL CO ABC BOARD</t>
  </si>
  <si>
    <t>TOWN OF COLUMBIA</t>
  </si>
  <si>
    <t>UNION COUNTY</t>
  </si>
  <si>
    <t>CITY OF MONROE</t>
  </si>
  <si>
    <t>CITY OF MONROE HOUSING AUTHORITY</t>
  </si>
  <si>
    <t>INDIAN TRAIL ABC BOARD</t>
  </si>
  <si>
    <t>MONROE ABC BOARD</t>
  </si>
  <si>
    <t>TOWN OF MARSHVILLE</t>
  </si>
  <si>
    <t>TOWN OF WINGATE</t>
  </si>
  <si>
    <t>TOWN OF WAXHAW</t>
  </si>
  <si>
    <t>WAXHAW ABC BOARD</t>
  </si>
  <si>
    <t>TOWN OF INDIAN TRAIL</t>
  </si>
  <si>
    <t>TOWN OF UNIONVILLE</t>
  </si>
  <si>
    <t>TOWN OF WEDDINGTON</t>
  </si>
  <si>
    <t>VILLAGE OF MARVIN</t>
  </si>
  <si>
    <t>VILLAGE OF WESLEY CHAPEL</t>
  </si>
  <si>
    <t>VANCE COUNTY</t>
  </si>
  <si>
    <t>VANCE COUNTY ABC BD</t>
  </si>
  <si>
    <t>KERR-TAR REGIONAL COUNCIL OF GOVTS</t>
  </si>
  <si>
    <t>KERR AREA TRANSPORTATION AUTHORITY</t>
  </si>
  <si>
    <t>CITY OF HENDERSON</t>
  </si>
  <si>
    <t>WAKE COUNTY</t>
  </si>
  <si>
    <t>TOWN OF HOLLY SPRINGS</t>
  </si>
  <si>
    <t>TOWN OF ROLESVILLE</t>
  </si>
  <si>
    <t>WAKE COUNTY ABC BOARD</t>
  </si>
  <si>
    <t>TOWN OF MORRISVILLE</t>
  </si>
  <si>
    <t>HOUSING AUTHORITY OF THE COUNTY OF WAKE</t>
  </si>
  <si>
    <t>BAYLEAF FIRE DEPARTMENT</t>
  </si>
  <si>
    <t>ELECTRICITIES OF NC</t>
  </si>
  <si>
    <t>CITY OF RALEIGH</t>
  </si>
  <si>
    <t>DURHAM HWY FIRE PROTECTION ASSOC</t>
  </si>
  <si>
    <t>CITY OF RALEIGH HOUSING AUTHORITY</t>
  </si>
  <si>
    <t>RALEIGH-DURHAM AIRPORT AUTHORITY</t>
  </si>
  <si>
    <t>TOWN OF CARY</t>
  </si>
  <si>
    <t>CENTENNIAL AUTHORITY</t>
  </si>
  <si>
    <t>TOWN OF WENDELL</t>
  </si>
  <si>
    <t>TOWN OF ZEBULON</t>
  </si>
  <si>
    <t>TOWN OF GARNER</t>
  </si>
  <si>
    <t>GARNER FIRE DEPT</t>
  </si>
  <si>
    <t>TOWN OF FUQUAY-VARINA</t>
  </si>
  <si>
    <t>TOWN OF APEX</t>
  </si>
  <si>
    <t>TOWN OF WAKE FOREST</t>
  </si>
  <si>
    <t>TOWN OF KNIGHTDALE</t>
  </si>
  <si>
    <t>WARREN COUNTY</t>
  </si>
  <si>
    <t>WARREN COUNTY ABC BOARD</t>
  </si>
  <si>
    <t>TOWN OF NORLINA</t>
  </si>
  <si>
    <t>TOWN OF WARRENTON</t>
  </si>
  <si>
    <t>WASHINGTON COUNTY</t>
  </si>
  <si>
    <t>WASHINGTON COUNTY ABC BOARD</t>
  </si>
  <si>
    <t>PETTIGREW REGIONAL LIBRARY</t>
  </si>
  <si>
    <t>TOWN OF PLYMOUTH</t>
  </si>
  <si>
    <t>PLYMOUTH HOUSING AUTHORITY</t>
  </si>
  <si>
    <t>TOWN OF ROPER</t>
  </si>
  <si>
    <t>TOWN OF CRESWELL</t>
  </si>
  <si>
    <t>WATAUGA COUNTY</t>
  </si>
  <si>
    <t>REGION D COUNCIL OF GOVERNMENTS</t>
  </si>
  <si>
    <t>BLOWING ROCK TOURISM DEVELOPMENT AUTHORITY</t>
  </si>
  <si>
    <t>WATAUGA COUNTY DISTRICT U TDA</t>
  </si>
  <si>
    <t>TOWN OF BOONE</t>
  </si>
  <si>
    <t>TOWN OF BLOWING ROCK</t>
  </si>
  <si>
    <t>BLOWING ROCK ABC BD</t>
  </si>
  <si>
    <t>TOWN OF SEVEN DEVILS</t>
  </si>
  <si>
    <t>WAYNE COUNTY</t>
  </si>
  <si>
    <t>FORK TOWNSHIP SANITARY DIST</t>
  </si>
  <si>
    <t>EASTERN CAROLINA REG'L HOUSING AUTH</t>
  </si>
  <si>
    <t>WAYNE COUNTY ABC BOARD</t>
  </si>
  <si>
    <t>SOUTHERN WAYNE SANITARY DISTRICT</t>
  </si>
  <si>
    <t>EASTERN WAYNE SANITARY DIST</t>
  </si>
  <si>
    <t>CITY OF GOLDSBORO</t>
  </si>
  <si>
    <t>HOUSING AUTHORITY OF GOLDSBORO</t>
  </si>
  <si>
    <t>TOWN OF MOUNT OLIVE</t>
  </si>
  <si>
    <t>MT OLIVE HOUSING AUTHORITY</t>
  </si>
  <si>
    <t>TOWN OF FREMONT</t>
  </si>
  <si>
    <t>TOWN OF PIKEVILLE</t>
  </si>
  <si>
    <t>VILLAGE OF WALNUT CREEK</t>
  </si>
  <si>
    <t>WILKES COUNTY</t>
  </si>
  <si>
    <t>APPALACHIAN REGIONAL LIBRARY</t>
  </si>
  <si>
    <t>TOWN OF N WILKESBORO</t>
  </si>
  <si>
    <t>TOWN OF N WILKESBORO ABC BOARD</t>
  </si>
  <si>
    <t>TOWN OF WILKESBORO</t>
  </si>
  <si>
    <t>WILKESBORO ABC BOARD</t>
  </si>
  <si>
    <t>WILSON COUNTY</t>
  </si>
  <si>
    <t>WILSON COUNTY TOURISM DEVELOPMENT AUTH</t>
  </si>
  <si>
    <t>WILSON COUNTY ABC BOARD</t>
  </si>
  <si>
    <t>CITY OF WILSON</t>
  </si>
  <si>
    <t>WILSON ECONOMIC DEV COUNCIL</t>
  </si>
  <si>
    <t>CITY OF WILSON CEMETERY COMMISSION</t>
  </si>
  <si>
    <t>TOWN OF STANTONSBURG</t>
  </si>
  <si>
    <t>TOWN OF BLACK CREEK</t>
  </si>
  <si>
    <t>TOWN OF LUCAMA</t>
  </si>
  <si>
    <t>TOWN OF ELM CITY</t>
  </si>
  <si>
    <t>YADKIN COUNTY</t>
  </si>
  <si>
    <t>TOWN OF YADKINVILLE</t>
  </si>
  <si>
    <t>TOWN OF JONESVILLE</t>
  </si>
  <si>
    <t>TOWN OF EAST BEND</t>
  </si>
  <si>
    <t>TOWN OF BOONVILLE</t>
  </si>
  <si>
    <t>N C ASSOC OF CO COMMISSIONERS</t>
  </si>
  <si>
    <t>N C LEAGUE OF MUNICIPALITIES</t>
  </si>
  <si>
    <t>Alamance Municipal ABC Board</t>
  </si>
  <si>
    <t>Albemarle Regional Health Services</t>
  </si>
  <si>
    <t>Brunswick County Dept of Social Services</t>
  </si>
  <si>
    <t>Brunswick Regional Water and Sewer H2GO</t>
  </si>
  <si>
    <t>Burke County Dept of Social Services</t>
  </si>
  <si>
    <t>Caswell County Dept of Social Services</t>
  </si>
  <si>
    <t>Centerpoint Human Services</t>
  </si>
  <si>
    <t>Charlotte Regional Visitors Authority</t>
  </si>
  <si>
    <t>Contennea Metro Sewer District</t>
  </si>
  <si>
    <t>East Carolina Behavorial Healthcare</t>
  </si>
  <si>
    <t>Eastpointe Human Services</t>
  </si>
  <si>
    <t>Goldsboro Housing Authority</t>
  </si>
  <si>
    <t>Graham County Dept of Social Services</t>
  </si>
  <si>
    <t>Indian Trail ABC Board</t>
  </si>
  <si>
    <t>Jackson County ABC Board</t>
  </si>
  <si>
    <t>Johnston Health Center</t>
  </si>
  <si>
    <t>McDowell County</t>
  </si>
  <si>
    <t>Mid-Carolina Council of Governments</t>
  </si>
  <si>
    <t>Mideast Commission</t>
  </si>
  <si>
    <t>Mineral Springs, Town of</t>
  </si>
  <si>
    <t>Parkton, Town of</t>
  </si>
  <si>
    <t>Partners Behavioral Health Management</t>
  </si>
  <si>
    <t>Rowan Convention and Visitors Bureau</t>
  </si>
  <si>
    <t>Sandhills Center</t>
  </si>
  <si>
    <t>Southeast Brunswick Sanitary District</t>
  </si>
  <si>
    <t>Triad Municipal ABC Board</t>
  </si>
  <si>
    <t>Trillium Health Resources</t>
  </si>
  <si>
    <t>Upper Coastal Plain Council of Governments</t>
  </si>
  <si>
    <t>West Columbus ABC Board</t>
  </si>
  <si>
    <t>Yadkin Valley ABC Board</t>
  </si>
  <si>
    <t>To select your agency from the drop down list, click in cell C13 and choose your unit name.</t>
  </si>
  <si>
    <t>Beginning DO(DI) for Earnings</t>
  </si>
  <si>
    <t>Beginning NPL</t>
  </si>
  <si>
    <t>Ending NPL</t>
  </si>
  <si>
    <t>Pension Expense - Actuary</t>
  </si>
  <si>
    <t>Beginning DO - Experience</t>
  </si>
  <si>
    <t>Beginning DO - Earnings</t>
  </si>
  <si>
    <t>Beginning DO - Assumptions</t>
  </si>
  <si>
    <t>Beginning DO - Employer proportions</t>
  </si>
  <si>
    <t>Beginning DI - Experience</t>
  </si>
  <si>
    <t>Beginning DI - Earnings</t>
  </si>
  <si>
    <t>Beginning DI - Assumptions</t>
  </si>
  <si>
    <t>Beginning DI - Employer Proportions</t>
  </si>
  <si>
    <t>Ending DO - Experience</t>
  </si>
  <si>
    <t>Ending DO - Earnings</t>
  </si>
  <si>
    <t>Ending DO - Assumptions</t>
  </si>
  <si>
    <t>Ending DO - Employer proportions</t>
  </si>
  <si>
    <t>Ending DI - Experience</t>
  </si>
  <si>
    <t>Ending DI - Earnings</t>
  </si>
  <si>
    <t>Ending DI - Assumptions</t>
  </si>
  <si>
    <t>Ending DI - Employer Proportions</t>
  </si>
  <si>
    <t>Beginning DO - Contributions subsequent to PY measurement date</t>
  </si>
  <si>
    <t>Pension Expense - Measurement period contributions b/w Actuary and Agency</t>
  </si>
  <si>
    <t>Pension Expense - Rounding</t>
  </si>
  <si>
    <t xml:space="preserve">Deferred Outflow - Differences Between Expected and Actual Experience </t>
  </si>
  <si>
    <t xml:space="preserve">Deferred Outflow - Changes in Assumptions </t>
  </si>
  <si>
    <t xml:space="preserve">Deferred Outflow - Changes in Proportion and Differences Between Employer Contributions and Proportionate Share of Contributions </t>
  </si>
  <si>
    <t xml:space="preserve">Deferred Inflow - Differences Between Expected and Actual Experience </t>
  </si>
  <si>
    <t xml:space="preserve">Deferred Inflow - Net Difference Between Projected and Actual Investment Earnings on Plan Investments </t>
  </si>
  <si>
    <t xml:space="preserve">Deferred Inflow - Changes in Assumptions </t>
  </si>
  <si>
    <t>Deferred Inflow - Changes in Proportion and Differences Between Employer Contributions and Proportionate Share of Contributions</t>
  </si>
  <si>
    <t>Total pension liability - LEO</t>
  </si>
  <si>
    <t>Net Pension Asset BOY</t>
  </si>
  <si>
    <t>Net Pension Asset EOY</t>
  </si>
  <si>
    <t>Net Pension Liability(Asset) BOY</t>
  </si>
  <si>
    <t>Net Pension Liability(Asset) EOY</t>
  </si>
  <si>
    <t>Beginning NPA</t>
  </si>
  <si>
    <t>Ending NPA</t>
  </si>
  <si>
    <t>Pension Expense - Human Resources</t>
  </si>
  <si>
    <t>Pension Expense - Education</t>
  </si>
  <si>
    <t>GASB 73 Entries - LEO</t>
  </si>
  <si>
    <t>Enter amounts below from the actuarial report.</t>
  </si>
  <si>
    <t>Total Pension Liability - Beginning of Year</t>
  </si>
  <si>
    <t>Total Pension Liability - End of Year</t>
  </si>
  <si>
    <t>From "Reconciliation of Total Pension Liability" table in Actuary Report</t>
  </si>
  <si>
    <t>From "Pension Expense" table in Actuary Report</t>
  </si>
  <si>
    <t>From "Amortization of the Change due to the Difference between Expected and Actual Experience" table in Actuary Report</t>
  </si>
  <si>
    <t>From "Amortization of the Change due to Assumption Changes" table in Actuary Report</t>
  </si>
  <si>
    <t>Enter amounts below per your financial records</t>
  </si>
  <si>
    <t>Ending total pension liability</t>
  </si>
  <si>
    <t>Deferred outflows of resources - Difference b/w Expected and Actual Experience BEG ($0 in year 1)</t>
  </si>
  <si>
    <t>Deferred outflows of resources - Difference b/w Expected and Actual Experience END</t>
  </si>
  <si>
    <t>Deferred inflows of resources - Difference b/w Expected and Actual Experience BEG ($0 in year 1)</t>
  </si>
  <si>
    <t>Deferred inflows of resources - Difference b/w Expected and Actual Experience END</t>
  </si>
  <si>
    <t>Deferred outflows of resources - Change of Assumptions BEG ($0 in year 1)</t>
  </si>
  <si>
    <t>Deferred outflows of resources - Change of Assumptions END</t>
  </si>
  <si>
    <t>Deferred inflows of resources - Change of Assumptions BEG ($0 in year 1)</t>
  </si>
  <si>
    <t>Deferred inflows of resources - Change of Assumptions END</t>
  </si>
  <si>
    <t>Deferred outflows of resources - Employer benefit payments for the measurement period (in year 1, record to Fund Balance Restatement)</t>
  </si>
  <si>
    <t>To record current year activity from actuary report</t>
  </si>
  <si>
    <t>Deferred outflows of resources - employer benefit payments after the measurement date thru FYE</t>
  </si>
  <si>
    <t>To record deferred outflows of resources for benefit payments subsequent to measurement date</t>
  </si>
  <si>
    <t>Deferred outflows of resources - Pension administration costs subsequent to the measurement date thru FYE</t>
  </si>
  <si>
    <t>To record deferred outflows of resources for administration costs subsequent to the measurement date</t>
  </si>
  <si>
    <t>Entry for Conversion worksheet to record total pension liability, pension expense, and deferred outflows and deferred inflows of resources related to pensions.  (Entry O1)</t>
  </si>
  <si>
    <t>Deferred Outflow - Benefit Payments and Administrative Costs subsequent to the measurement date</t>
  </si>
  <si>
    <t>Work Section for Conversion entry O1</t>
  </si>
  <si>
    <t>O.1</t>
  </si>
  <si>
    <t xml:space="preserve">This worksheet prepares the journal entry to record the entity's proportionate share of the net pension liability, pension expense, and deferred outflows of the Registers of Deeds' Supplemental Pension Fund (ROD) in accordance with GASB 68, with the exception of the accounting for current year contributions to the ROD plan.  See J. for accounting for current year contributions to the ROD plan.
</t>
  </si>
  <si>
    <t>Amount to reclassify out of pension contributions - governmental activities and into deferred outflows - pensions</t>
  </si>
  <si>
    <t>Register of Deeds' pension plan</t>
  </si>
  <si>
    <t>GASB 75 Entries - OPEB</t>
  </si>
  <si>
    <t>OPEB Expense</t>
  </si>
  <si>
    <t>Ending total OPEB liability</t>
  </si>
  <si>
    <t>Deferred outflows of resources -OPEB administration costs subsequent to the measurement date thru FYE</t>
  </si>
  <si>
    <t>(Note:  Percentages entered in the section below should equal the Governmental Activities allocation percentage in Cell D13.)</t>
  </si>
  <si>
    <t>General Government OPEB contributions/benefit payments</t>
  </si>
  <si>
    <t>Public Safety OPEB contributions/benefit payment</t>
  </si>
  <si>
    <t>Transportation OPEB contributions/benefit payment</t>
  </si>
  <si>
    <t>Economic and Physical Development OPEB contributions/benefit payment</t>
  </si>
  <si>
    <t>Enviromental Protection  OPEB contributions/benefit payment</t>
  </si>
  <si>
    <t>Human Services OPEB contributions/benefit payment</t>
  </si>
  <si>
    <t>Cultural and Recreation OPEB contributions/benefit payment</t>
  </si>
  <si>
    <t>Education OPEB contributions/benefit payment</t>
  </si>
  <si>
    <t>Other program 1 OPEB contributions/benefit payment</t>
  </si>
  <si>
    <t>Total (should = Governmental Activities Allocation Above)</t>
  </si>
  <si>
    <t>Deferred inflows of resources - Earnings BEG ($0 in year 1)</t>
  </si>
  <si>
    <t>Deferred outflows of resources - Earnings BEG ($0 in year 1)</t>
  </si>
  <si>
    <t>Deferred inflows of resources - Earnings END</t>
  </si>
  <si>
    <t>Deferred outflows of resources - Earnings END</t>
  </si>
  <si>
    <t>General Government OPEB Administration costs</t>
  </si>
  <si>
    <t>Public Safety OPEB Administration costs</t>
  </si>
  <si>
    <t>Transportation OPEB Administration costs</t>
  </si>
  <si>
    <t>Economic and Physical Development OPEB Administration costs</t>
  </si>
  <si>
    <t>Environmental Protection OPEB Administration costs</t>
  </si>
  <si>
    <t>Human Services OPEB Administration costs</t>
  </si>
  <si>
    <t>Cultural andReceation OPEB Administration costs</t>
  </si>
  <si>
    <t>Eduucation OPEB Administration costs</t>
  </si>
  <si>
    <t>Other program 1 OPEB Administration costs</t>
  </si>
  <si>
    <t xml:space="preserve">1. Determine the appropriate allocations for your government based upon your OPEB plan.  Percentages used here are for illustrative purposes ONLY. </t>
  </si>
  <si>
    <t>Note:  May need to allocate if have more than one Enterprise Fund.</t>
  </si>
  <si>
    <t>Prior year Outflow/(Inflow) Deferred Balance - Difference b/w Expected and Actual Experience</t>
  </si>
  <si>
    <t>Prior year Outflow/(Inflow) Deferred Balance - Assumption Changes</t>
  </si>
  <si>
    <t>OPEB Expense (includes administrative expenses)</t>
  </si>
  <si>
    <t>Deferred Outflow - Administrative Costs made subsequent to the measurement date</t>
  </si>
  <si>
    <t>Measurement date 6/30/2017</t>
  </si>
  <si>
    <t>Recognition period - 5.00 years</t>
  </si>
  <si>
    <t>Total Deferred Outflows of Resources</t>
  </si>
  <si>
    <t>Total Deferred Inflows of Resources</t>
  </si>
  <si>
    <t>TOWN OF SEAGROVE</t>
  </si>
  <si>
    <t>BEAUFORT COUNTY</t>
  </si>
  <si>
    <t>WESTERN NC REGIONAL AIR QUALITY</t>
  </si>
  <si>
    <t>WATER &amp; SEWER AUTH OF CABARRUS CNTY</t>
  </si>
  <si>
    <t>CLEVELAND COUNTY WATER</t>
  </si>
  <si>
    <t>THOMASVILLE ABC BOARD</t>
  </si>
  <si>
    <t>GATES COUNTY</t>
  </si>
  <si>
    <t>GRANVILLE-VANCE PUBLIC HEALTH</t>
  </si>
  <si>
    <t>HAYWOOD COUNTY</t>
  </si>
  <si>
    <t>HAYWOOD COUNTY TOURISM DEVELOPMENT AUTHORITY</t>
  </si>
  <si>
    <t>VAYA HEALTH</t>
  </si>
  <si>
    <t>WILMINGTON HOUSING AUTHORITY</t>
  </si>
  <si>
    <t>ROBESON COUNTY</t>
  </si>
  <si>
    <t>LOCUST ABC BOARD</t>
  </si>
  <si>
    <t>WAKE COUNTY HOUSING AUTHORITY</t>
  </si>
  <si>
    <t>Alamance Comm Fire Dist</t>
  </si>
  <si>
    <t>Albemarle ABC Board</t>
  </si>
  <si>
    <t>Albemarle Regnl Planning &amp; Development Comm</t>
  </si>
  <si>
    <t>Alexander County Dept Of S S</t>
  </si>
  <si>
    <t>Alexander County Health Dept</t>
  </si>
  <si>
    <t>Alexander County Public Library</t>
  </si>
  <si>
    <t>Alliance Behavioral Healthcre</t>
  </si>
  <si>
    <t>Angier ABC Board</t>
  </si>
  <si>
    <t>Appalachian District Health Dept</t>
  </si>
  <si>
    <t>Asheboro ABC Board</t>
  </si>
  <si>
    <t>Asheboro Housing Auth</t>
  </si>
  <si>
    <t>Asheville ABC Board</t>
  </si>
  <si>
    <t>Avery County Fire Commission</t>
  </si>
  <si>
    <t>Avery-Mitchell-Yancey Reg Library</t>
  </si>
  <si>
    <t>B H M Regional Library</t>
  </si>
  <si>
    <t>Beaufort County ABC Board</t>
  </si>
  <si>
    <t>Beaufort Housing Auth</t>
  </si>
  <si>
    <t>Bertie County ABC Board</t>
  </si>
  <si>
    <t>Black Mtn ABC Board</t>
  </si>
  <si>
    <t>Blowing Rock ABC Bd</t>
  </si>
  <si>
    <t>Boiling Sprg Lakes</t>
  </si>
  <si>
    <t>Boiling Spring Lakes ABC Board</t>
  </si>
  <si>
    <t>Brevard ABC Board</t>
  </si>
  <si>
    <t>Brunswick Co Dept Of Social Services</t>
  </si>
  <si>
    <t>Brunswick Co Health Dept</t>
  </si>
  <si>
    <t>Brunswick County ABC Board</t>
  </si>
  <si>
    <t>Brunswick County Tourism Authority</t>
  </si>
  <si>
    <t>Brunswick Regional Water And Sewer H2Go</t>
  </si>
  <si>
    <t>Bryson City ABC Board</t>
  </si>
  <si>
    <t>Bunn ABC Board</t>
  </si>
  <si>
    <t>Burke Co Dept Of Social Services</t>
  </si>
  <si>
    <t>Burke Co Health Dept</t>
  </si>
  <si>
    <t>Burke County Tourism Dev. Authority</t>
  </si>
  <si>
    <t>Burke-Catawba Dist Confinement</t>
  </si>
  <si>
    <t>Cabarrus Co Public Health Auth</t>
  </si>
  <si>
    <t>Cabarrus County Tourism Authority</t>
  </si>
  <si>
    <t>Cajah'S Mountain</t>
  </si>
  <si>
    <t>Calabash ABC Board</t>
  </si>
  <si>
    <t>Camden County ABC Board</t>
  </si>
  <si>
    <t>Canton ABC Board</t>
  </si>
  <si>
    <t>Carteret County ABC Board</t>
  </si>
  <si>
    <t>Caswell Co Dept Of Social Services</t>
  </si>
  <si>
    <t>Caswell County ABC Board</t>
  </si>
  <si>
    <t>Catawba County ABC Board</t>
  </si>
  <si>
    <t>Centennial Authority</t>
  </si>
  <si>
    <t>Charlotte Firemen'S Ret Sys</t>
  </si>
  <si>
    <t>Charlotte Housing Authority</t>
  </si>
  <si>
    <t>Charlotte Mecklenburg Public Library</t>
  </si>
  <si>
    <t>Chatham Co Housing Auth</t>
  </si>
  <si>
    <t>Chatham County ABC Board</t>
  </si>
  <si>
    <t>Cherryville ABC Board</t>
  </si>
  <si>
    <t>Choanoke Public Transportation Auth</t>
  </si>
  <si>
    <t>Chowan County Abc Board</t>
  </si>
  <si>
    <t>Cleveland County Water</t>
  </si>
  <si>
    <t>Clinton ABC Board</t>
  </si>
  <si>
    <t>Coastal Carolina Regional Airport</t>
  </si>
  <si>
    <t>Coastal Regional Solid Waste Mngt Auth</t>
  </si>
  <si>
    <t>Concord ABC Board</t>
  </si>
  <si>
    <t>Contennea Metropolitan Sewerage Dist</t>
  </si>
  <si>
    <t>Cooleemee ABC Board</t>
  </si>
  <si>
    <t>County Of Henderson</t>
  </si>
  <si>
    <t>Craven Co ABC Bd</t>
  </si>
  <si>
    <t>Cumberland Co ABC Board</t>
  </si>
  <si>
    <t>Currituck Co ABC Board</t>
  </si>
  <si>
    <t>Dare County ABC Board</t>
  </si>
  <si>
    <t>Davie Soil And Water Conservation Dist</t>
  </si>
  <si>
    <t>Dobson ABC Bd</t>
  </si>
  <si>
    <t>Dunn ABC Board</t>
  </si>
  <si>
    <t>Durham Convention &amp; Visitors Bureau</t>
  </si>
  <si>
    <t>Durham County ABC Board</t>
  </si>
  <si>
    <t>Durham Hwy Fire Protection Assoc</t>
  </si>
  <si>
    <t>Eastern Carolina Reg'L Housing Auth</t>
  </si>
  <si>
    <t>Eastern Wayne Sanitary Dist</t>
  </si>
  <si>
    <t>Eden ABC Board</t>
  </si>
  <si>
    <t>Edgecombe County ABC Board</t>
  </si>
  <si>
    <t>Edgecombe County Memorial Library</t>
  </si>
  <si>
    <t>Electricities Of Nc</t>
  </si>
  <si>
    <t>Elizabeth City Pasquotank County Tda</t>
  </si>
  <si>
    <t>Elizabeth City-Pasquotank Co Airport Auth</t>
  </si>
  <si>
    <t>Elizabeth Cty-Pasquotank Co Industrl Development C</t>
  </si>
  <si>
    <t>Elizabethtown ABC Board</t>
  </si>
  <si>
    <t>Elon</t>
  </si>
  <si>
    <t>Fayetteville Metropolitan Housing Auth</t>
  </si>
  <si>
    <t>First Craven Sanitary Dist</t>
  </si>
  <si>
    <t>Fletcher ABC Board</t>
  </si>
  <si>
    <t>Forest City ABC Board 168</t>
  </si>
  <si>
    <t>Fork Township Sanitary Dist</t>
  </si>
  <si>
    <t>Fountain, Town Of</t>
  </si>
  <si>
    <t>Franklinton ABC Board</t>
  </si>
  <si>
    <t>Garner Fire Dept</t>
  </si>
  <si>
    <t>Gaston County Economic Dev. Commission</t>
  </si>
  <si>
    <t>Gastonia ABC Board</t>
  </si>
  <si>
    <t>Gates County ABC Board</t>
  </si>
  <si>
    <t>Gibsonville ABC Board</t>
  </si>
  <si>
    <t>Graham Co Health Dept</t>
  </si>
  <si>
    <t>Graham County Dept Of S S</t>
  </si>
  <si>
    <t>Granite Falls ABC Board</t>
  </si>
  <si>
    <t>Granville Co ABC Bd</t>
  </si>
  <si>
    <t>Granville-Vance Public Health</t>
  </si>
  <si>
    <t>Greater Statesville Development Corp</t>
  </si>
  <si>
    <t>Greene County ABC Board</t>
  </si>
  <si>
    <t>Greensboro ABC Bd</t>
  </si>
  <si>
    <t>Guilford Fire District # 13 Inc</t>
  </si>
  <si>
    <t>Halifax County ABC Board</t>
  </si>
  <si>
    <t>Hamlet ABC Board</t>
  </si>
  <si>
    <t>Haywood County Tourism Development Authority</t>
  </si>
  <si>
    <t>Hendersonville ABC Bd</t>
  </si>
  <si>
    <t>Hertford ABC Board</t>
  </si>
  <si>
    <t>Hertford County ABC Board</t>
  </si>
  <si>
    <t>Hertford Housing Auth</t>
  </si>
  <si>
    <t>Hickory Conover Tourism Dev Auth</t>
  </si>
  <si>
    <t>Hickory Public Housing Authority</t>
  </si>
  <si>
    <t>High Country ABC Board</t>
  </si>
  <si>
    <t>High Point ABC Bd</t>
  </si>
  <si>
    <t>Highlands ABC Board</t>
  </si>
  <si>
    <t>HighPoint</t>
  </si>
  <si>
    <t>Hildebran</t>
  </si>
  <si>
    <t>Hoke County ABC Board</t>
  </si>
  <si>
    <t>Housing Auth For The Cty Of Kinston</t>
  </si>
  <si>
    <t>Housing Auth Of The Cty Of Salisbury</t>
  </si>
  <si>
    <t>Housing Authority Of Goldsboro</t>
  </si>
  <si>
    <t>Hyde County ABC Board</t>
  </si>
  <si>
    <t>Isothermal Planning And Dev Comm</t>
  </si>
  <si>
    <t>J C Holiday Mem Library</t>
  </si>
  <si>
    <t>Johnston County ABC Board</t>
  </si>
  <si>
    <t>Jones County ABC Board</t>
  </si>
  <si>
    <t>Kenansville ABC Board</t>
  </si>
  <si>
    <t>Kerr Area Transportation Authority</t>
  </si>
  <si>
    <t>Kerr-Tar Regional Council Of Govts</t>
  </si>
  <si>
    <t>Kings Mountain ABC Board</t>
  </si>
  <si>
    <t>KingsMountain</t>
  </si>
  <si>
    <t>Kinston-Lenoir Co Pub Library</t>
  </si>
  <si>
    <t>Lake Waccamaw</t>
  </si>
  <si>
    <t>Lake Waccamaw ABC Board</t>
  </si>
  <si>
    <t>Laurel Park ABC Board</t>
  </si>
  <si>
    <t>Laurinburg Housing Authority</t>
  </si>
  <si>
    <t>Lenoir County ABC Board</t>
  </si>
  <si>
    <t>LenoirABCBoard</t>
  </si>
  <si>
    <t>Lewiston Woodville</t>
  </si>
  <si>
    <t>Lexington ABC Board</t>
  </si>
  <si>
    <t>Liberty ABC Board</t>
  </si>
  <si>
    <t>Lincoln County ABC Board</t>
  </si>
  <si>
    <t>Lincolnton ABC Board</t>
  </si>
  <si>
    <t>Locust ABC Board</t>
  </si>
  <si>
    <t>Longview</t>
  </si>
  <si>
    <t>Louisburg ABC Board</t>
  </si>
  <si>
    <t>Lumberton ABC Board</t>
  </si>
  <si>
    <t>Lumberton Airport Comm</t>
  </si>
  <si>
    <t>Madison ABC Board</t>
  </si>
  <si>
    <t>Maggie Valley ABC Board</t>
  </si>
  <si>
    <t>Maggie Valley Sanitary Dist</t>
  </si>
  <si>
    <t>Marion ABC Board</t>
  </si>
  <si>
    <t>Martin Co Travel &amp; Tourism Auth</t>
  </si>
  <si>
    <t>Martin County ABC Board</t>
  </si>
  <si>
    <t>Martin-Tyrrell-Washington Dist Health Dept</t>
  </si>
  <si>
    <t>Maxton ABC Board</t>
  </si>
  <si>
    <t>Mcdowell County</t>
  </si>
  <si>
    <t>Mecklenburg County ABC Board</t>
  </si>
  <si>
    <t>Mecklenburg Emer Med Svcs Agcy</t>
  </si>
  <si>
    <t>Mi Connection Communications System</t>
  </si>
  <si>
    <t>Mid-Carolina Council Of Governments</t>
  </si>
  <si>
    <t>Mitchell Soil &amp; Water Conservation Dist</t>
  </si>
  <si>
    <t>Monroe ABC Board</t>
  </si>
  <si>
    <t>MonroeHousingAuthority</t>
  </si>
  <si>
    <t>Montgomery-Municipal ABC Board</t>
  </si>
  <si>
    <t>Moore County ABC Board</t>
  </si>
  <si>
    <t>Moore County Tourism Development Authority</t>
  </si>
  <si>
    <t>Mooresville ABC Board</t>
  </si>
  <si>
    <t>Morganton ABC Board</t>
  </si>
  <si>
    <t>Mount Airy Alcoholic Board Of Control</t>
  </si>
  <si>
    <t>MountAiry</t>
  </si>
  <si>
    <t>MountHolly</t>
  </si>
  <si>
    <t>Mt Olive Housing Authority</t>
  </si>
  <si>
    <t>Mt Pleasant ABC Board</t>
  </si>
  <si>
    <t>Murphy ABC Board</t>
  </si>
  <si>
    <t>N C Assoc Of Co Commissioners</t>
  </si>
  <si>
    <t>N C League Of Municipalities</t>
  </si>
  <si>
    <t>Nash County ABC Board</t>
  </si>
  <si>
    <t>Neuse Regional Library-Greene County</t>
  </si>
  <si>
    <t>Neuse Regional Library-Jones County</t>
  </si>
  <si>
    <t>New Edenton Housing Auth</t>
  </si>
  <si>
    <t>New Hanover Airport Auth</t>
  </si>
  <si>
    <t>New Hanover County ABC Board</t>
  </si>
  <si>
    <t>New Reidsville Housing Auth</t>
  </si>
  <si>
    <t>NewBern</t>
  </si>
  <si>
    <t>North Wilkesboro ABC Board</t>
  </si>
  <si>
    <t>Northampton County ABC Board</t>
  </si>
  <si>
    <t>Norwood ABC Bd</t>
  </si>
  <si>
    <t>Oak Island ABC Bd</t>
  </si>
  <si>
    <t>Ocean Isle Beach ABC Board</t>
  </si>
  <si>
    <t>Ocracoke Sanitary Dist</t>
  </si>
  <si>
    <t>Onslow County ABC Board</t>
  </si>
  <si>
    <t>Onslow Water &amp; Sewer Authority</t>
  </si>
  <si>
    <t>Orange County ABC Board</t>
  </si>
  <si>
    <t>Orange Water And Sewer Authority</t>
  </si>
  <si>
    <t>Parkton</t>
  </si>
  <si>
    <t>Pasquotank Co ABC Board</t>
  </si>
  <si>
    <t>Pender County ABC Board</t>
  </si>
  <si>
    <t>Person Co ABC Bd</t>
  </si>
  <si>
    <t>Piedmont Triad Reg Water Auth</t>
  </si>
  <si>
    <t>Pilot Mountain ABC Board</t>
  </si>
  <si>
    <t>Pinecroft-Sedgefield Fire Dist Inc</t>
  </si>
  <si>
    <t>Pitt County ABC Board</t>
  </si>
  <si>
    <t>Pitt-Greenville Conv &amp; Vistors</t>
  </si>
  <si>
    <t>Pleasant Garden Fire Dept</t>
  </si>
  <si>
    <t>Public Library Of Johnston Co And Smithfield</t>
  </si>
  <si>
    <t>Public Works Comm Cty Of Fayetteville</t>
  </si>
  <si>
    <t>RaleighHousingAuthority</t>
  </si>
  <si>
    <t>RandlemanABCBoard</t>
  </si>
  <si>
    <t>RandlemanHousingAuthority</t>
  </si>
  <si>
    <t>Red Springs ABC Board</t>
  </si>
  <si>
    <t>Reidsville ABC Board</t>
  </si>
  <si>
    <t>RoanokeRapids</t>
  </si>
  <si>
    <t>RockinghamABCBoard</t>
  </si>
  <si>
    <t>Rocky Mt Housing Authority</t>
  </si>
  <si>
    <t>RockyMount</t>
  </si>
  <si>
    <t>Roseboro ABC Board</t>
  </si>
  <si>
    <t>Rowan Co Housing Authority</t>
  </si>
  <si>
    <t>Rowan Co Soil &amp; Water Conv Dist</t>
  </si>
  <si>
    <t>Rowan Convention &amp; Vistors Bureau</t>
  </si>
  <si>
    <t>Rowan County ABC Board</t>
  </si>
  <si>
    <t>Rutherford Polk Mcdowell Dist Brd Of Health</t>
  </si>
  <si>
    <t>Rutherfordton ABC Brd</t>
  </si>
  <si>
    <t>Sanford ABC Board</t>
  </si>
  <si>
    <t>Scotland County ABC Board</t>
  </si>
  <si>
    <t>Seagrove</t>
  </si>
  <si>
    <t>Shallotte ABC Board</t>
  </si>
  <si>
    <t>Shelby ABC Board</t>
  </si>
  <si>
    <t>Siler City ABC Board</t>
  </si>
  <si>
    <t>Skyland Vol Fire Dept</t>
  </si>
  <si>
    <t>South Eastern Economic Development Comm</t>
  </si>
  <si>
    <t>South Granville Water And Sewer Authority</t>
  </si>
  <si>
    <t>SouthportABCBoard</t>
  </si>
  <si>
    <t>Southwestern Nc Planning &amp; Econ.Dev.Commis.</t>
  </si>
  <si>
    <t>Sparta ABC Board</t>
  </si>
  <si>
    <t>St James</t>
  </si>
  <si>
    <t>St Pauls</t>
  </si>
  <si>
    <t>St Paul'S Brd Of Alcoholic Ctl</t>
  </si>
  <si>
    <t>Statesville ABC Board</t>
  </si>
  <si>
    <t>Sunset Beach ABC Board</t>
  </si>
  <si>
    <t>Thomasville ABC Board</t>
  </si>
  <si>
    <t>Toe River Health District</t>
  </si>
  <si>
    <t>Tuckaseigee Water Authority</t>
  </si>
  <si>
    <t>Tyrrell Co ABC Board</t>
  </si>
  <si>
    <t>Upper Coastal Plain Council Of Governments</t>
  </si>
  <si>
    <t>Vance County ABC Bd</t>
  </si>
  <si>
    <t>Vaya Health</t>
  </si>
  <si>
    <t>Wadesboro ABC Board</t>
  </si>
  <si>
    <t>Wake County ABC Board</t>
  </si>
  <si>
    <t>Wallace ABC Bd</t>
  </si>
  <si>
    <t>Walnut Cove ABC Board</t>
  </si>
  <si>
    <t>Warren County ABC Board</t>
  </si>
  <si>
    <t>Warsaw ABC Board</t>
  </si>
  <si>
    <t>Washington County ABC Board</t>
  </si>
  <si>
    <t>Watauga County District U Tda</t>
  </si>
  <si>
    <t>Water &amp; Sewer Auth Of Cabarrus Cnty</t>
  </si>
  <si>
    <t>Waxhaw ABC Board</t>
  </si>
  <si>
    <t>Wayne County ABC Board</t>
  </si>
  <si>
    <t>Waynesville ABC Board</t>
  </si>
  <si>
    <t>Weaverville ABC Board</t>
  </si>
  <si>
    <t>West Buncombe Fire Dept</t>
  </si>
  <si>
    <t>West Jefferson ABC Board</t>
  </si>
  <si>
    <t>Westarea Volunteer Fire Dept</t>
  </si>
  <si>
    <t>Western Carteret Interlocal Cooperation Agency</t>
  </si>
  <si>
    <t>Western Nc Regional Air Quality</t>
  </si>
  <si>
    <t>Western Piedmont Council Of Gvmts</t>
  </si>
  <si>
    <t>Whiteville ABC Board</t>
  </si>
  <si>
    <t>Wilkesboro ABC Board</t>
  </si>
  <si>
    <t>Wilson Cemetery Commission</t>
  </si>
  <si>
    <t>Wilson County ABC Board</t>
  </si>
  <si>
    <t>Wilson County Tourism Development Auth</t>
  </si>
  <si>
    <t>Wilson Economic Dev Council</t>
  </si>
  <si>
    <t>Wilson'S Mills</t>
  </si>
  <si>
    <t>Woodfin Sanitary Water And Sewer Dist</t>
  </si>
  <si>
    <t>Yancey Soil &amp; Water Cons</t>
  </si>
  <si>
    <t>Contributions to plan</t>
  </si>
  <si>
    <t xml:space="preserve">                   -    </t>
  </si>
  <si>
    <t>Public Safety OPEB Expense</t>
  </si>
  <si>
    <t>Transportation OPEB Expense</t>
  </si>
  <si>
    <t>Economic and Physical Development OPEB Expense</t>
  </si>
  <si>
    <t>Environmental Protection OPEB Expense</t>
  </si>
  <si>
    <t>Cultural and Recreation OPEB Expense</t>
  </si>
  <si>
    <t>Education OPEB Expense</t>
  </si>
  <si>
    <t>Other program 1 OPEB Expense</t>
  </si>
  <si>
    <t>Enter amounts below per your financial records.  [Note:   Entries reclassify governmental activities portion of current year activitity out of OPEB contributions and administrative costs into Deferred Outflows - OPEB]</t>
  </si>
  <si>
    <t>Recognition period - 3.00 years</t>
  </si>
  <si>
    <t xml:space="preserve">Total Benefit Payments </t>
  </si>
  <si>
    <t>As part of GASB 73 implementation, the beginning balance of the LEO net pension obligation will be restated in the fiscal year.  See tab O for GASB 73 entries for the LEO pension plan.</t>
  </si>
  <si>
    <r>
      <t xml:space="preserve">What was the amount of the net OPEB obligation at the end of the year? If multiple benefit plans are involved enter the sum of all plans. </t>
    </r>
    <r>
      <rPr>
        <sz val="8"/>
        <color indexed="10"/>
        <rFont val="Arial"/>
        <family val="2"/>
      </rPr>
      <t>Only include the portion related to Governmental Funds.</t>
    </r>
  </si>
  <si>
    <t>Change in OPEB obligation during the year</t>
  </si>
  <si>
    <t>Education OPEB Administration costs</t>
  </si>
  <si>
    <t>Entries from Worksheets B - J, N1-N3, O, and P</t>
  </si>
  <si>
    <t>OPEB - Current Year Contributions</t>
  </si>
  <si>
    <t>2017 Ending Net OPEB</t>
  </si>
  <si>
    <t>*Carolina County's ending</t>
  </si>
  <si>
    <t>Percentage to Reduce  Actuarial Numbers</t>
  </si>
  <si>
    <t>Beaufort Co Schools' Share</t>
  </si>
  <si>
    <t>from RHBF 2017 Report</t>
  </si>
  <si>
    <t>Reduction rate</t>
  </si>
  <si>
    <t>Total OPEB Liability</t>
  </si>
  <si>
    <t>Service Cost</t>
  </si>
  <si>
    <t>Interest</t>
  </si>
  <si>
    <t>Change of benefit terms</t>
  </si>
  <si>
    <t>Differences between expected and actual experience</t>
  </si>
  <si>
    <t>Changes of Assumptions</t>
  </si>
  <si>
    <t>Benefit payments, including refunds of member contrib.</t>
  </si>
  <si>
    <t>Net change in total OPEB liability</t>
  </si>
  <si>
    <t>Total OPEB Liability, Beg</t>
  </si>
  <si>
    <t>Total OPEB Liability, End</t>
  </si>
  <si>
    <t>Plan fiduciary net position</t>
  </si>
  <si>
    <t>Contributions</t>
  </si>
  <si>
    <t>Net investment income</t>
  </si>
  <si>
    <t>Benefit payments</t>
  </si>
  <si>
    <t>Administrative expense</t>
  </si>
  <si>
    <t>Net change in plan fiduciary net position</t>
  </si>
  <si>
    <t>Plan fiduciary net position - beginning</t>
  </si>
  <si>
    <t>Plan fiduciary net position - ending</t>
  </si>
  <si>
    <t>County's net OPEB liability - ending</t>
  </si>
  <si>
    <t>Plan fiduciary net position as a percentage of the total OPEB liability</t>
  </si>
  <si>
    <t>Covered payroll</t>
  </si>
  <si>
    <t>County's net OPEB liability as a percentage of covered payroll</t>
  </si>
  <si>
    <t>Restatement of 2017 Illustrative per RHBF Valuation Report</t>
  </si>
  <si>
    <t>OPEB DI Schedule</t>
  </si>
  <si>
    <t>Pensions - Change in Proportion and Differences in Employer Contributions and Proportionate Share of Contributions</t>
  </si>
  <si>
    <t>Human Services OPEB Expense</t>
  </si>
  <si>
    <t>Cultural and Receation OPEB Administration costs</t>
  </si>
  <si>
    <t>General Government OPEB Expense</t>
  </si>
  <si>
    <t>Register of Deeds' pension plan (for ROD asset)</t>
  </si>
  <si>
    <t xml:space="preserve">Pensions - Change in Proportion and Differences in Employer Contributions and Proportionate Share of Contributions </t>
  </si>
  <si>
    <t>OPEB - Differences Between Actual and Expected Experience</t>
  </si>
  <si>
    <t>Pensions - Differences Between Actual and Expected Experience</t>
  </si>
  <si>
    <t>Pensions - Changes in Assumptions</t>
  </si>
  <si>
    <t>OPEB - Changes in Assumptions</t>
  </si>
  <si>
    <t>Pensions - Net Difference Between Actual and Expected Earnings on Plan Investments</t>
  </si>
  <si>
    <t>P.1</t>
  </si>
  <si>
    <t>P.2</t>
  </si>
  <si>
    <t>P.3</t>
  </si>
  <si>
    <t>OPEB - Difference between projected and actual investment earnings</t>
  </si>
  <si>
    <t>OPEB  - Changes in Assumptions</t>
  </si>
  <si>
    <t>OPEB  - Differences Between Actual and Expected Experience</t>
  </si>
  <si>
    <t>and Beginning Pension &amp; OPEB Accounts</t>
  </si>
  <si>
    <t>General Government OPEB benefit payments</t>
  </si>
  <si>
    <t>Public Safety OPEB benefit payment</t>
  </si>
  <si>
    <t>Transportation OPEB benefit payment</t>
  </si>
  <si>
    <t>Economic and Physical Development OPEB benefit payment</t>
  </si>
  <si>
    <t>Enviromental Protection OPEB benefit payment</t>
  </si>
  <si>
    <t>Human Services OPEB benefit payment</t>
  </si>
  <si>
    <t>Cultural and Recreation OPEB benefit payment</t>
  </si>
  <si>
    <t>Education OPEB benefit payment</t>
  </si>
  <si>
    <t>Other program 1 OPEB benefit payment</t>
  </si>
  <si>
    <t xml:space="preserve"> LEOSSA administration costs that were recorded as a deferred outflows of resources for contributions subsequent to the measurement date in your prior year's audited financial statements</t>
  </si>
  <si>
    <t xml:space="preserve"> LEOSSA administration costs that were made between the prior fiscal year end and the current year's measurement date</t>
  </si>
  <si>
    <t xml:space="preserve">Deferred outflows of resources - Employer benefit payments for the measurement period </t>
  </si>
  <si>
    <t xml:space="preserve">From prior year.  </t>
  </si>
  <si>
    <t xml:space="preserve">From prior year. </t>
  </si>
  <si>
    <t>Ending (Inflow)/Outflow Deferred Balance - Difference b/w Expected and Actual Experience</t>
  </si>
  <si>
    <t>Ending (Inflow)/Outflow Deferred Balance - Assumption Changes</t>
  </si>
  <si>
    <t>Beginning (Inflow)/Outflow Deferred Balance - Difference b/w Expected and Actual Experience</t>
  </si>
  <si>
    <t>Deferred outflows of resources - administration costs for the measurement period</t>
  </si>
  <si>
    <t>Benefit payments paid from prior fiscal year end to measurement date</t>
  </si>
  <si>
    <t>Administration costs paid from prior fiscal year end to measurement date</t>
  </si>
  <si>
    <t xml:space="preserve">Beginning total pension liability </t>
  </si>
  <si>
    <t>Adjustment to Beginning Fund Equity for LEOSSA</t>
  </si>
  <si>
    <t>Ending Total Pension Liability</t>
  </si>
  <si>
    <t xml:space="preserve">Please read descriptions carefully.  Depending on the measurement date, you may not have to fill out all cells. </t>
  </si>
  <si>
    <t>Employer benefit payments that were recorded as a deferred outflows of resources for contributions subsequent to the measurement date in your prior year's audited financial statements</t>
  </si>
  <si>
    <t>Employer benefit payments that were made between the prior fiscal year end and the current year's measurement date</t>
  </si>
  <si>
    <t xml:space="preserve">Enter amounts below from the actuarial report. </t>
  </si>
  <si>
    <t xml:space="preserve">Deferred Outflows - Benefit Payments and Administrative Costs for the measurement period </t>
  </si>
  <si>
    <t>Note that the beginning asset and liability balances related to pensions, including deferred inflows and outflows, have been mapped to the Capital Assets, Long-term Debt and Beginning Pension Balances columns AF and AG (Conversion Worksheet tab) from the N tabs.  Cell C17 on tab N.1 and C16 on N.2 must be completed as part of the population of the beginning balances in the Conversion Worksheet tab.  As the conversion worksheet converts all governmental funds into governmental activities for the full accrual statement of activities and statement of net position, allocating the beginning pension asset and liability balances between governmental funds is not necessary.</t>
  </si>
  <si>
    <t>OPEB administrative expense only</t>
  </si>
  <si>
    <t>Beginning (Inflow)/Outflow Deferred Balance - Assumption Changes</t>
  </si>
  <si>
    <t xml:space="preserve">This worksheet prepares the journal entry to record the entity's total pension liability, pension expense, deferred outflows, and deferred inflows of the Law Enforcement Officers Pension Plan (LEO) in accordance with GASB 73. 
</t>
  </si>
  <si>
    <t>Administrative costs</t>
  </si>
  <si>
    <t>Admin costs made subsequent to the measurement date</t>
  </si>
  <si>
    <t>Note 3 - Some Data must be Entered below to the proper accounts. Cells related to pension and OPEB are linked to other worksheets.</t>
  </si>
  <si>
    <t>Total OPEB Liability  (Asset)- Beginning of Year</t>
  </si>
  <si>
    <t>Total OPEB Liability (Asset) - End of Year</t>
  </si>
  <si>
    <t>Beginning total OPEB liability (in year 1, record to Total Position Restatement)</t>
  </si>
  <si>
    <t>Ending Total OPEB Liability</t>
  </si>
  <si>
    <t>Benefit payments for Measurement Period</t>
  </si>
  <si>
    <t>Entry for Conversion worksheet to record Total OPEB liability, OPEB expense, and deferred outflows and deferred inflows of resources related to OPEB.</t>
  </si>
  <si>
    <t>Enterprise Funds - OPEB allocation percentage</t>
  </si>
  <si>
    <t>Deferred Outflow - Benefit payments subsequent to the measurement date</t>
  </si>
  <si>
    <t>Allocation of OPEB Expenses, Current year Benefits Paid, and Administrative Costs</t>
  </si>
  <si>
    <t>Total OPEB obligation</t>
  </si>
  <si>
    <t xml:space="preserve">   Total OPEB liability</t>
  </si>
  <si>
    <r>
      <t xml:space="preserve">Other Liability &amp; Expenses: </t>
    </r>
    <r>
      <rPr>
        <sz val="10"/>
        <rFont val="Arial"/>
        <family val="2"/>
      </rPr>
      <t>addresses compensated absences, claims &amp; judgments, net pension obligation, total OPEB liability and other long-term liabilities.</t>
    </r>
  </si>
  <si>
    <r>
      <t xml:space="preserve">What was the amount of the Total OPEB obligation at the beginning of the year? If multiple benefit plans are involved enter the sum of all plans. </t>
    </r>
    <r>
      <rPr>
        <sz val="8"/>
        <color indexed="10"/>
        <rFont val="Arial"/>
        <family val="2"/>
      </rPr>
      <t>(Beginning balances for Governmntal Funds only were recorded in Columns AF &amp; AG in the main Conversion Worksheet.)</t>
    </r>
  </si>
  <si>
    <t>As part of GASB 75 implementation, the total OPEB obligation balance will be included in the restatement in the fiscal year.  See tab P.1 - P.3 for GASB 75 entries for the OPEB plan.</t>
  </si>
  <si>
    <r>
      <t xml:space="preserve">What is the Total OPEB obligation for the year for the Total Governmental Funds portion?   </t>
    </r>
    <r>
      <rPr>
        <sz val="8"/>
        <color indexed="10"/>
        <rFont val="Arial"/>
        <family val="2"/>
      </rPr>
      <t>Please refer to Memorandum #2010-1 for a journal entry overview.</t>
    </r>
  </si>
  <si>
    <t>Total OPEB liability - #1</t>
  </si>
  <si>
    <t>Total OPEB liability - #2</t>
  </si>
  <si>
    <t>Total OPEB liability - #3</t>
  </si>
  <si>
    <t>Adjustment to Beginning Fund Equity for OPEB #1</t>
  </si>
  <si>
    <t>Adjustment to Beginning Fund Equity for OPEB #2</t>
  </si>
  <si>
    <t>Adjustment to Beginning Fund Equity for OPEB #3</t>
  </si>
  <si>
    <t>NO COUNTY CHOSEN</t>
  </si>
  <si>
    <t>Change in Net OPEB Liability</t>
  </si>
  <si>
    <t xml:space="preserve">Deferred Outflow - Benefit payments </t>
  </si>
  <si>
    <t>General Government Benefit payments paid from prior FYE  to measurement date</t>
  </si>
  <si>
    <t>Public Safety Benefit payments paid from prior FYE to measurement date</t>
  </si>
  <si>
    <t>Transportation Benefit payments paid from prior FYE to measurement date</t>
  </si>
  <si>
    <t>Economic and Physical DevelopmentBenefit payments paid from prior FYE to measurement date</t>
  </si>
  <si>
    <t>Environmental Protection Benefit payments paid from prior FYE to measurement date</t>
  </si>
  <si>
    <t>Human Services Benefit payments paid from prior FYE to measurement date</t>
  </si>
  <si>
    <t>Cultural and Recreation Benefit payments paid from prior FYE to measurement date</t>
  </si>
  <si>
    <t>Education Benefit payments paid from prior FYE to measurement date</t>
  </si>
  <si>
    <t>Other program 1 Benefit payments paid from prior FYE to measurement date</t>
  </si>
  <si>
    <t>Measurement date 6/30/2018</t>
  </si>
  <si>
    <t>97463M</t>
  </si>
  <si>
    <t>section C was for the GASBS 75 implementaiton year (OPEB)</t>
  </si>
  <si>
    <t/>
  </si>
  <si>
    <t>County</t>
  </si>
  <si>
    <t>Net Pension Liability (Asset)</t>
  </si>
  <si>
    <t>Net Difference Between Projected and Actual Investments Earnings on Plan Investments</t>
  </si>
  <si>
    <t>2.75% Sensitivity</t>
  </si>
  <si>
    <t>4.75% Sensitivity</t>
  </si>
  <si>
    <t>NO AGENCY CHOSEN</t>
  </si>
  <si>
    <t>2018 Contributions</t>
  </si>
  <si>
    <t>HAYWOOD</t>
  </si>
  <si>
    <t>`+</t>
  </si>
  <si>
    <t xml:space="preserve">This worksheet prepares the journal entry to record the entity's Total OPEB liability  OPEB expense, and deferrals for the OPEB plan in accordance with GASB 75.  
</t>
  </si>
  <si>
    <t>YANCEY SOIL AND WATER CONSERVATION</t>
  </si>
  <si>
    <t>MARTIN-TYRRELL-WASHINGTON DISTRICT HEALTH DEPT</t>
  </si>
  <si>
    <t>APPALACHIAN DISTRICT HEALTH DEPARTMENT</t>
  </si>
  <si>
    <t>ALEXANDER COUNTY HEALTH DEPARTMENT</t>
  </si>
  <si>
    <t>ALEXANDER COUNTY DEPT OF SOCIAL SERVICES</t>
  </si>
  <si>
    <t>AVERY-MITCHELL-YANCEY REGIONAL LIBRARY</t>
  </si>
  <si>
    <t>BERTIE-MARTIN REGIONAL JAIL COMMISSION</t>
  </si>
  <si>
    <t>SOUTH EASTERN ECONOMIC DEVELOPMENT COMMISSION</t>
  </si>
  <si>
    <t>BRUNSWICK COUNTY HEALTH DEPARTMENT</t>
  </si>
  <si>
    <t>BRUNSWICK COUNTY DEPARTMENT OF SOCIAL SERVICES</t>
  </si>
  <si>
    <t>CAPE FEAR REGIONAL JETPORT</t>
  </si>
  <si>
    <t>OAK ISLAND ABC BOARD</t>
  </si>
  <si>
    <t>CITY OF BOILING SPRING LAKES</t>
  </si>
  <si>
    <t>WESTERN NORTH CAROLINA REGIONAL AIR QUALITY</t>
  </si>
  <si>
    <t>METRO SEWERAGE DISTRICT OF BUNCOMBE COUNTY</t>
  </si>
  <si>
    <t>WOODFIN SANITARY WATER AND SEWER DISTRICT</t>
  </si>
  <si>
    <t xml:space="preserve">WEST BUNCOMBE FIRE DEPARTMENT </t>
  </si>
  <si>
    <t>SKYLAND VOLUNTEER FIRE DEPARTMENT</t>
  </si>
  <si>
    <t>BLACK MOUNTAIN ABC BOARD</t>
  </si>
  <si>
    <t>BURKE-CATAWBA DISTRICT CONFINEMENT</t>
  </si>
  <si>
    <t>BURKE COUNTY HEALTH DEPARTMENT</t>
  </si>
  <si>
    <t>BURKE COUNTY DEPTARTMENT OF SOCIAL SERVICES</t>
  </si>
  <si>
    <t>BURKE COUNTY TOURISM DEVELOPMENT AUTHORITY</t>
  </si>
  <si>
    <t>WATER AND SEWER AUTH OF CABARRUS COUNTY</t>
  </si>
  <si>
    <t>CABARRUS COUNTY PUBLIC HEALTH AUTHORITY</t>
  </si>
  <si>
    <t>MOUNT PLEASANT ABC BOARD</t>
  </si>
  <si>
    <t>TOWN OF RHODHISS</t>
  </si>
  <si>
    <t>CITY OF LENOIR ABC BOARD</t>
  </si>
  <si>
    <t>BEAUFORT HOUSING AUTHORITY</t>
  </si>
  <si>
    <t>CASWELL COUNTY DEPTARTMENT OF SOCIAL SERVICES</t>
  </si>
  <si>
    <t>HICKORY CONOVER TOURISM DEVELOPMENT AUTHORITY</t>
  </si>
  <si>
    <t>WESTERN PIEDMONT COUNCIL OF GOVERNMENTS</t>
  </si>
  <si>
    <t>CHATHAM COUNTY HOUSING AUTHORITY</t>
  </si>
  <si>
    <t>ALBEMARLE REGIONAL PLANNING AND DEV COMMISSION</t>
  </si>
  <si>
    <t>THE NEW EDENTON HOUSING AUTHORITY</t>
  </si>
  <si>
    <t>CLAY COUNTY ABC BOARD</t>
  </si>
  <si>
    <t>FIRST CRAVEN SANITARY DISTRICT</t>
  </si>
  <si>
    <t>CRAVEN COUNTY ABC BOARD</t>
  </si>
  <si>
    <t>COASTAL REGIONAL SOLID WASTE MANAGEMENT AUTH</t>
  </si>
  <si>
    <t>WESTAREA VOLUNTEER FIRE DEPARTMENT</t>
  </si>
  <si>
    <t>CUMBERLAND COUNTY ABC BOARD</t>
  </si>
  <si>
    <t>FAYETTEVILLE METROPOLITAN HOUSING AUTHORITY</t>
  </si>
  <si>
    <t>PUBLIC WORKS COMMISSION CITY OF FAYETTEVILLE</t>
  </si>
  <si>
    <t>CURRITUCK COUNTY ABC BOARD</t>
  </si>
  <si>
    <t>DAVIE SOIL AND WATER CONSERVATION DISTRICT</t>
  </si>
  <si>
    <t>MOCKSVILLE-COOLEEMEE ABC BOARD</t>
  </si>
  <si>
    <t>WALLACE ABC BOARD</t>
  </si>
  <si>
    <t>DURHAM CONVENTION AND VISITORS BUREAU</t>
  </si>
  <si>
    <t>ROCKY MOUNT HOUSING AUTHORITY</t>
  </si>
  <si>
    <t>CRAMERTON ABC BOARD</t>
  </si>
  <si>
    <t>GASTON COUNTY ECONOMIC DEVELOPMENT COMMISSION</t>
  </si>
  <si>
    <t>GRAHAM COUNTY HEALTH DEPARTMENT</t>
  </si>
  <si>
    <t>GRAHAM COUNTY DEPARTMENT OF SOCIAL SERVICES</t>
  </si>
  <si>
    <t>GRANVILLE COUNTY ABC BOARD</t>
  </si>
  <si>
    <t>PINECROFT-SEDGEFIELD FIRE DISTRICT INC</t>
  </si>
  <si>
    <t>ALAMANCE COMMUNITY FIRE DISTRICT</t>
  </si>
  <si>
    <t>PIEDMONT TRIAD REGIONAL WATER AUTHORITY</t>
  </si>
  <si>
    <t>GREENSBORO ABC BOARD</t>
  </si>
  <si>
    <t>HIGH POINT ABC BOARD</t>
  </si>
  <si>
    <t>MAGGIE VALLEY SANITARY DISTRICT</t>
  </si>
  <si>
    <t>HENDERSONVILLE ABC BOARD</t>
  </si>
  <si>
    <t>OCRACOKE SANITARY DISTRICT</t>
  </si>
  <si>
    <t>GREATER STATESVILLE DEVELOPMENT CORPORATION</t>
  </si>
  <si>
    <t>TOWN OF TROUTMAN ABC BOARD</t>
  </si>
  <si>
    <t>VALDESE ABC BOARD</t>
  </si>
  <si>
    <t>SOUTHWESTERN NC PLANNING &amp; ECONOMIC DEV COMM</t>
  </si>
  <si>
    <t>PUBLIC LIBRARY OF JOHNSTON COUNTY AND SMITHFIELD</t>
  </si>
  <si>
    <t>HOUSING AUTHORITY FOR THE CITY OF KINSTON</t>
  </si>
  <si>
    <t>KINSTON-LENOIR COUNTY PUBLIC LIBRARY</t>
  </si>
  <si>
    <t>MARTIN COUNTY TRAVEL AND TOURISM AUTHORITY</t>
  </si>
  <si>
    <t>PLEASANT GARDEN FIRE DEPARTMENT</t>
  </si>
  <si>
    <t>MECKLENBURG EMERGENCY MEDICAL SERVICES AGENCY</t>
  </si>
  <si>
    <t>CHARLOTTE FIREMEN'S RETIREMENT SYSTEM</t>
  </si>
  <si>
    <t>MITCHELL SOIL &amp; WATER CONSERVATION DISTRICT</t>
  </si>
  <si>
    <t>NEW HANOVER AIRPORT AUTHORITY</t>
  </si>
  <si>
    <t>LOWER CAPE FEAR WATER AND SEWER AUTHORITY</t>
  </si>
  <si>
    <t>CHOANOKE PUBLIC TRANSPORTATION AUTHORITY</t>
  </si>
  <si>
    <t>TOWN OF NORTH TOPSAIL BEACH</t>
  </si>
  <si>
    <t>PASQUOTANK COUNTY ABC BOARD</t>
  </si>
  <si>
    <t>ELIZABETH CITY-PASQUOTANK COUNTY AIRPORT AUTH</t>
  </si>
  <si>
    <t>ELIZABETH CITY-PASQUOTANK COUNTY IND DEV COMM</t>
  </si>
  <si>
    <t>HERTFORD HOUSING AUTHORITY</t>
  </si>
  <si>
    <t>ROXBORO HOUSING AUTHORITY</t>
  </si>
  <si>
    <t>PITT-GREENVILLE CONVENTION AND VISTORS</t>
  </si>
  <si>
    <t>CONTENNEA METROPOLITAN SEWERAGE DISTRICT</t>
  </si>
  <si>
    <t>COLUMBUS ABC BOARD</t>
  </si>
  <si>
    <t>ASHEBORO HOUSING AUTHORITY</t>
  </si>
  <si>
    <t>LUMBERTON AIRPORT COMMISSION</t>
  </si>
  <si>
    <t>ST PAUL'S BOARD OF ALCOHOLIC CONTROL</t>
  </si>
  <si>
    <t>THE NEW REIDSVILLE HOUSING AUTHORITY</t>
  </si>
  <si>
    <t>MADISON-MAYODAN RECREATION COMMISSION</t>
  </si>
  <si>
    <t>ROWAN COUNTY HOUSING AUTHORITY</t>
  </si>
  <si>
    <t>ROWAN COUNTY SOIL &amp; WATER CONSERVATION DISTRICT</t>
  </si>
  <si>
    <t>HOUSING AUTHORITY OF THE CITY OF SALISBURY</t>
  </si>
  <si>
    <t>RUTHERFORD POLK MCDOWELL DIST BOARD OF HEALTH</t>
  </si>
  <si>
    <t>ISOTHERMAL PLANNING AND DEV COMMISSION</t>
  </si>
  <si>
    <t>J C HOLIDAY MEMORIAL LIBRARY</t>
  </si>
  <si>
    <t>NORWOOD ABC BOARD</t>
  </si>
  <si>
    <t>TOWN OF NEW LONDON</t>
  </si>
  <si>
    <t>DOBSON ABC BOARD</t>
  </si>
  <si>
    <t>TYRRELL COUNTY ABC BOARD</t>
  </si>
  <si>
    <t>VANCE COUNTY ABC BOARD</t>
  </si>
  <si>
    <t>KERR-TAR REGIONAL COUNCIL OF GOVERNMENTS</t>
  </si>
  <si>
    <t>ELECTRICITIES OF NORTH CAROLINA</t>
  </si>
  <si>
    <t>DURHAM HIGHWAY FIRE PROTECTION ASSOCIATION</t>
  </si>
  <si>
    <t>GARNER FIRE DEPARTMENT</t>
  </si>
  <si>
    <t>WATAUGA COUNTY DISTRICT U TOURISM DEV AUTH</t>
  </si>
  <si>
    <t>BLOWING ROCK ABC BOARD</t>
  </si>
  <si>
    <t>FORK TOWNSHIP SANITARY DISTRICT</t>
  </si>
  <si>
    <t>EASTERN CAROLINA REGIONAL HOUSING AUTHORITY</t>
  </si>
  <si>
    <t>EASTERN WAYNE SANITARY DISTRICT</t>
  </si>
  <si>
    <t>MOUNT OLIVE HOUSING AUTHORITY</t>
  </si>
  <si>
    <t>TOWN OF NORTH WILKESBORO</t>
  </si>
  <si>
    <t>TOWN OF NORTH WILKESBORO ABC BOARD</t>
  </si>
  <si>
    <t>WILSON COUNTY TOURISM DEVELOPMENT AUTHORITY</t>
  </si>
  <si>
    <t>WILSON ECONOMIC DEVELOPMENT COUNCIL</t>
  </si>
  <si>
    <t>NORTH CAROLINA ASSOC OF COUNTY COMMISSIONERS</t>
  </si>
  <si>
    <t>NORTH CAROLINA LEAGUE OF MUNICIPALITIES</t>
  </si>
  <si>
    <t>Data Validation for Info tab Chose Your Agency, Additional Agency, Agency Number: C20, C21,C23,C24</t>
  </si>
  <si>
    <t>ABERDEEN</t>
  </si>
  <si>
    <t>AHOSKIE</t>
  </si>
  <si>
    <t>ALBEMARLE</t>
  </si>
  <si>
    <t>ANDREWS</t>
  </si>
  <si>
    <t>ANGIER</t>
  </si>
  <si>
    <t>ANGIER ABC BOARD</t>
  </si>
  <si>
    <t>ANSONVILLE</t>
  </si>
  <si>
    <t>APEX</t>
  </si>
  <si>
    <t>ARCHDALE</t>
  </si>
  <si>
    <t>ARCHER LODGE</t>
  </si>
  <si>
    <t>ASHEBORO</t>
  </si>
  <si>
    <t>ASHEVILLE</t>
  </si>
  <si>
    <t>ATLANTIC BEACH</t>
  </si>
  <si>
    <t>AULANDER</t>
  </si>
  <si>
    <t>AURORA</t>
  </si>
  <si>
    <t>AUTRYVILLE</t>
  </si>
  <si>
    <t>AYDEN</t>
  </si>
  <si>
    <t>BADIN</t>
  </si>
  <si>
    <t>BAILEY</t>
  </si>
  <si>
    <t>BAKERSVILLE</t>
  </si>
  <si>
    <t>BALD HEAD ISLAND</t>
  </si>
  <si>
    <t>BANNER ELK</t>
  </si>
  <si>
    <t>BAYBORO</t>
  </si>
  <si>
    <t>BEECH MOUNTAIN</t>
  </si>
  <si>
    <t>BELHAVEN</t>
  </si>
  <si>
    <t>BELMONT</t>
  </si>
  <si>
    <t>BELVILLE</t>
  </si>
  <si>
    <t>BENSON</t>
  </si>
  <si>
    <t>BERMUDA RUN</t>
  </si>
  <si>
    <t>BESSEMER CITY ABC BOARD</t>
  </si>
  <si>
    <t>BETHEL</t>
  </si>
  <si>
    <t>BEULAVILLE</t>
  </si>
  <si>
    <t>BILTMORE FOREST</t>
  </si>
  <si>
    <t>BISCOE</t>
  </si>
  <si>
    <t>BLACK CREEK</t>
  </si>
  <si>
    <t>BLACK MOUNTAIN</t>
  </si>
  <si>
    <t>BLADENBORO</t>
  </si>
  <si>
    <t>BLOWING ROCK</t>
  </si>
  <si>
    <t>BOILING SPRING LAKES</t>
  </si>
  <si>
    <t>BOILING SPRINGS</t>
  </si>
  <si>
    <t>BOLTON</t>
  </si>
  <si>
    <t>BOONE</t>
  </si>
  <si>
    <t>BOONVILLE</t>
  </si>
  <si>
    <t>BREVARD</t>
  </si>
  <si>
    <t>BRIDGETON</t>
  </si>
  <si>
    <t>BROADWAY</t>
  </si>
  <si>
    <t>BROOKFORD</t>
  </si>
  <si>
    <t>BRUNSWICK COUNTY DEPT OF SOCIAL SERVICES</t>
  </si>
  <si>
    <t>BRUNSWICK COUNTY HEALTH DEPT</t>
  </si>
  <si>
    <t>BRYSON CITY</t>
  </si>
  <si>
    <t>BUNN</t>
  </si>
  <si>
    <t>BUNN ABC BOARD</t>
  </si>
  <si>
    <t>BURGAW</t>
  </si>
  <si>
    <t>BURKE COUNTY DEPT OF SOCIAL SERVICES</t>
  </si>
  <si>
    <t>BURKE COUNTY HEALTH DEPT</t>
  </si>
  <si>
    <t>BURLINGTON</t>
  </si>
  <si>
    <t>BURNSVILLE</t>
  </si>
  <si>
    <t>BUTNER</t>
  </si>
  <si>
    <t>CAJAH'S MOUNTAIN</t>
  </si>
  <si>
    <t>CALABASH</t>
  </si>
  <si>
    <t>CALYPSO</t>
  </si>
  <si>
    <t>CAMERON</t>
  </si>
  <si>
    <t>CANDOR</t>
  </si>
  <si>
    <t>CANTON</t>
  </si>
  <si>
    <t>CAPE CARTERET</t>
  </si>
  <si>
    <t>CAROLINA BEACH</t>
  </si>
  <si>
    <t>CAROLINA SHORES</t>
  </si>
  <si>
    <t>CARRBORO</t>
  </si>
  <si>
    <t>CARTHAGE</t>
  </si>
  <si>
    <t>CARY</t>
  </si>
  <si>
    <t>CASWELL BEACH</t>
  </si>
  <si>
    <t>CASWELL COUNTY DEPT OF SOCIAL SERVICES</t>
  </si>
  <si>
    <t>CEDAR POINT</t>
  </si>
  <si>
    <t>CHADBOURN</t>
  </si>
  <si>
    <t>CHAPEL HILL</t>
  </si>
  <si>
    <t>CHARLOTTE</t>
  </si>
  <si>
    <t>CHERRYVILLE</t>
  </si>
  <si>
    <t>CHINA GROVE</t>
  </si>
  <si>
    <t>CHOCOWINITY</t>
  </si>
  <si>
    <t>CLAREMONT</t>
  </si>
  <si>
    <t>CLARKTON</t>
  </si>
  <si>
    <t>CLAYTON</t>
  </si>
  <si>
    <t>CLEMMONS</t>
  </si>
  <si>
    <t>CLINTON</t>
  </si>
  <si>
    <t>COASTAL REGIONAL SOLID WASTE MNGT AUTHORITY</t>
  </si>
  <si>
    <t>COATS</t>
  </si>
  <si>
    <t>COFIELD</t>
  </si>
  <si>
    <t>COLERAIN</t>
  </si>
  <si>
    <t>COLUMBIA</t>
  </si>
  <si>
    <t>CONCORD</t>
  </si>
  <si>
    <t>CONNELLY SPRINGS</t>
  </si>
  <si>
    <t>CONOVER</t>
  </si>
  <si>
    <t>CONWAY</t>
  </si>
  <si>
    <t>COOLEEMEE</t>
  </si>
  <si>
    <t>CORNELIUS</t>
  </si>
  <si>
    <t>COVE CITY</t>
  </si>
  <si>
    <t>CRAMERTON</t>
  </si>
  <si>
    <t>CREEDMOOR</t>
  </si>
  <si>
    <t>CRESWELL</t>
  </si>
  <si>
    <t>DALLAS</t>
  </si>
  <si>
    <t>DENTON</t>
  </si>
  <si>
    <t>DOBSON</t>
  </si>
  <si>
    <t>DREXEL</t>
  </si>
  <si>
    <t>DUCK</t>
  </si>
  <si>
    <t>DUNN</t>
  </si>
  <si>
    <t>EAST BEND</t>
  </si>
  <si>
    <t>EAST SPENCER</t>
  </si>
  <si>
    <t>EASTERN BAND OF CHEROKEE INDIANS</t>
  </si>
  <si>
    <t>EASTERN CAROLINA REG'L HOUSING AUTHORITY</t>
  </si>
  <si>
    <t>EASTOVER</t>
  </si>
  <si>
    <t>EDEN</t>
  </si>
  <si>
    <t>EDENTON</t>
  </si>
  <si>
    <t>ELIZABETH CITY-PASQUOTANK CO AIRPORT AUTHORITY</t>
  </si>
  <si>
    <t>ELIZABETHTOWN</t>
  </si>
  <si>
    <t>ELK PARK</t>
  </si>
  <si>
    <t>ELKIN</t>
  </si>
  <si>
    <t>ELKIN ABC BOARD (merged with Yadkin Valley ABC Board)</t>
  </si>
  <si>
    <t>98647M</t>
  </si>
  <si>
    <t>ELLENBORO</t>
  </si>
  <si>
    <t>ELLERBE</t>
  </si>
  <si>
    <t>ELM CITY</t>
  </si>
  <si>
    <t>ELON</t>
  </si>
  <si>
    <t>EMERALD ISLE</t>
  </si>
  <si>
    <t>ENFIELD</t>
  </si>
  <si>
    <t>ERWIN</t>
  </si>
  <si>
    <t>FAIR BLUFF</t>
  </si>
  <si>
    <t>FAIRMONT</t>
  </si>
  <si>
    <t>FAISON</t>
  </si>
  <si>
    <t>FAITH</t>
  </si>
  <si>
    <t>FALCON</t>
  </si>
  <si>
    <t>FARMVILLE</t>
  </si>
  <si>
    <t>FAYETTEVILLE</t>
  </si>
  <si>
    <t>FAYETTEVILLE PUBLIC WORKS COMMISSION</t>
  </si>
  <si>
    <t>FLAT ROCK</t>
  </si>
  <si>
    <t>FLETCHER</t>
  </si>
  <si>
    <t>FOREST CITY</t>
  </si>
  <si>
    <t>FOUNTAIN</t>
  </si>
  <si>
    <t>FOUR OAKS</t>
  </si>
  <si>
    <t>FRANKLINTON</t>
  </si>
  <si>
    <t>FREMONT</t>
  </si>
  <si>
    <t>FUQUAY-VARINA</t>
  </si>
  <si>
    <t>GARLAND</t>
  </si>
  <si>
    <t>GARNER</t>
  </si>
  <si>
    <t>GARYSBURG</t>
  </si>
  <si>
    <t>GASTONIA</t>
  </si>
  <si>
    <t>GIBSON</t>
  </si>
  <si>
    <t>GIBSONVILLE</t>
  </si>
  <si>
    <t>GLEN ALPINE</t>
  </si>
  <si>
    <t>GOLDSBORO</t>
  </si>
  <si>
    <t xml:space="preserve">GOLDSBORO HOUSING AUTHORITY </t>
  </si>
  <si>
    <t>GRANITE FALLS</t>
  </si>
  <si>
    <t>GRANITE QUARRY</t>
  </si>
  <si>
    <t>GRANVILLE CO ABC BOARD</t>
  </si>
  <si>
    <t>GREEN LEVEL</t>
  </si>
  <si>
    <t>GREENSBORO</t>
  </si>
  <si>
    <t>GREENVILLE</t>
  </si>
  <si>
    <t>GRIFTON</t>
  </si>
  <si>
    <t>GRIMESLAND</t>
  </si>
  <si>
    <t>GROVER</t>
  </si>
  <si>
    <t>HAMILTON</t>
  </si>
  <si>
    <t>HAMLET</t>
  </si>
  <si>
    <t>HARRISBURG</t>
  </si>
  <si>
    <t>HAVELOCK</t>
  </si>
  <si>
    <t>HAW RIVER</t>
  </si>
  <si>
    <t>HENDERSON COUNTY</t>
  </si>
  <si>
    <t>HENDERSONVILLE</t>
  </si>
  <si>
    <t>HERTFORD ABC BOARD</t>
  </si>
  <si>
    <t>HICKORY</t>
  </si>
  <si>
    <t>HICKORY CONOVER TOURISM DEV AUTHORITY</t>
  </si>
  <si>
    <t>HIGH POINT</t>
  </si>
  <si>
    <t>HIGHLANDS</t>
  </si>
  <si>
    <t>HILDEBRAN</t>
  </si>
  <si>
    <t>HILLSBOROUGH</t>
  </si>
  <si>
    <t>HOBGOOD</t>
  </si>
  <si>
    <t>HOLDEN BEACH</t>
  </si>
  <si>
    <t>HOLLY RIDGE</t>
  </si>
  <si>
    <t>HOLLY SPRINGS</t>
  </si>
  <si>
    <t>HOOKERTON</t>
  </si>
  <si>
    <t>HOPE MILLS</t>
  </si>
  <si>
    <t>HUDSON</t>
  </si>
  <si>
    <t>HUNTERSVILLE</t>
  </si>
  <si>
    <t>INDIAN BEACH</t>
  </si>
  <si>
    <t>INDIAN TRAIL</t>
  </si>
  <si>
    <t>JACKSONVILLE</t>
  </si>
  <si>
    <t>JAMESTOWN</t>
  </si>
  <si>
    <t>JAMESVILLE</t>
  </si>
  <si>
    <t>JEFFERSON</t>
  </si>
  <si>
    <t>JONESVILLE</t>
  </si>
  <si>
    <t>KANNAPOLIS</t>
  </si>
  <si>
    <t>KENANSVILLE</t>
  </si>
  <si>
    <t>KENLY</t>
  </si>
  <si>
    <t>KERNERSVILLE</t>
  </si>
  <si>
    <t>KILL DEVIL HILLS</t>
  </si>
  <si>
    <t>KING</t>
  </si>
  <si>
    <t>KINGS MOUNTAIN</t>
  </si>
  <si>
    <t>KINSTON</t>
  </si>
  <si>
    <t xml:space="preserve">KINSTON HOUSING AUTHORITY </t>
  </si>
  <si>
    <t>KINSTON-LENOIR CO PUBLIC LIBRARY</t>
  </si>
  <si>
    <t>KITTY HAWK</t>
  </si>
  <si>
    <t>KNIGHTDALE</t>
  </si>
  <si>
    <t>KURE BEACH</t>
  </si>
  <si>
    <t>LAGRANGE</t>
  </si>
  <si>
    <t>LAKE LURE</t>
  </si>
  <si>
    <t>LAKE WACCAMAW</t>
  </si>
  <si>
    <t>LANDIS</t>
  </si>
  <si>
    <t>LAUREL PARK</t>
  </si>
  <si>
    <t>LAURINBURG</t>
  </si>
  <si>
    <t>LAWNDALE</t>
  </si>
  <si>
    <t>LELAND</t>
  </si>
  <si>
    <t>LENOIR ABC BOARD</t>
  </si>
  <si>
    <t>LEWISTON WOODVILLE</t>
  </si>
  <si>
    <t>LEWISVILLE</t>
  </si>
  <si>
    <t>LEXINGTON</t>
  </si>
  <si>
    <t>LIBERTY</t>
  </si>
  <si>
    <t>LILESVILLE</t>
  </si>
  <si>
    <t>LILLINGTON</t>
  </si>
  <si>
    <t>LINCOLNTON</t>
  </si>
  <si>
    <t>LINCOLNTON ABC BOARD</t>
  </si>
  <si>
    <t>LINDEN</t>
  </si>
  <si>
    <t>LITTLETON</t>
  </si>
  <si>
    <t>LOCUST</t>
  </si>
  <si>
    <t>LONGVIEW</t>
  </si>
  <si>
    <t>LOUISBURG</t>
  </si>
  <si>
    <t>LOWELL</t>
  </si>
  <si>
    <t>LOWER CAPE FEAR WATER &amp; SEWER AUTHORITY</t>
  </si>
  <si>
    <t>LUCAMA</t>
  </si>
  <si>
    <t>LUMBERTON</t>
  </si>
  <si>
    <t>MACCLESFIELD</t>
  </si>
  <si>
    <t>MAGGIE VALLEY</t>
  </si>
  <si>
    <t>MAGNOLIA</t>
  </si>
  <si>
    <t>MAIDEN</t>
  </si>
  <si>
    <t>MANTEO</t>
  </si>
  <si>
    <t>MARION</t>
  </si>
  <si>
    <t>MARS HILL</t>
  </si>
  <si>
    <t>MARSHALL</t>
  </si>
  <si>
    <t>MARSHVILLE</t>
  </si>
  <si>
    <t>MARTIN CO TRAVEL &amp; TOURISM AUTHORITY</t>
  </si>
  <si>
    <t>MARVIN</t>
  </si>
  <si>
    <t>MATTHEWS</t>
  </si>
  <si>
    <t>MAXTON</t>
  </si>
  <si>
    <t>MAYODAN</t>
  </si>
  <si>
    <t>MAYSVILLE</t>
  </si>
  <si>
    <t>MCADENVILLE</t>
  </si>
  <si>
    <t>MEBANE</t>
  </si>
  <si>
    <t>MECKLENBURG EMERGENCY MEDICAL SVCS AGCY</t>
  </si>
  <si>
    <t>MICRO</t>
  </si>
  <si>
    <t>MIDDLESEX</t>
  </si>
  <si>
    <t>MIDLAND</t>
  </si>
  <si>
    <t>MIDWAY</t>
  </si>
  <si>
    <t>MILLS RIVER</t>
  </si>
  <si>
    <t>MINERAL SPRINGS</t>
  </si>
  <si>
    <t>MINT HILL</t>
  </si>
  <si>
    <t>MISENHEIMER</t>
  </si>
  <si>
    <t>MOCKSVILLE</t>
  </si>
  <si>
    <t>MONROE</t>
  </si>
  <si>
    <t>MONROE HOUSING AUTHORITY</t>
  </si>
  <si>
    <t>MONTREAT</t>
  </si>
  <si>
    <t>MOORESVILLE</t>
  </si>
  <si>
    <t>MOREHEAD CITY</t>
  </si>
  <si>
    <t>MORGANTON</t>
  </si>
  <si>
    <t>MORRISVILLE</t>
  </si>
  <si>
    <t>MORVEN</t>
  </si>
  <si>
    <t>MOUNT AIRY</t>
  </si>
  <si>
    <t>MOUNT GILEAD</t>
  </si>
  <si>
    <t>MOUNT HOLLY</t>
  </si>
  <si>
    <t>MOUNT OLIVE</t>
  </si>
  <si>
    <t>MOUNT PLEASANT</t>
  </si>
  <si>
    <t>MURFREESBORO</t>
  </si>
  <si>
    <t>MURPHY</t>
  </si>
  <si>
    <t>NAGS HEAD</t>
  </si>
  <si>
    <t>NASHVILLE</t>
  </si>
  <si>
    <t>NAVASSA</t>
  </si>
  <si>
    <t>NEW BERN</t>
  </si>
  <si>
    <t>NEW EDENTON HOUSING AUTHORITY</t>
  </si>
  <si>
    <t>NEW LONDON</t>
  </si>
  <si>
    <t>NEW REIDSVILLE HOUSING AUTHORITY</t>
  </si>
  <si>
    <t>NEWLAND</t>
  </si>
  <si>
    <t>NEWPORT</t>
  </si>
  <si>
    <t>NEWTON</t>
  </si>
  <si>
    <t>NEWTON GROVE</t>
  </si>
  <si>
    <t>NORLINA</t>
  </si>
  <si>
    <t>NORTH TOPSAIL BEACH</t>
  </si>
  <si>
    <t>NORTH WILKESBORO</t>
  </si>
  <si>
    <t>NORTH WILKESBORO ABC BOARD</t>
  </si>
  <si>
    <t>NORTHWEST</t>
  </si>
  <si>
    <t>NORWOOD</t>
  </si>
  <si>
    <t>OAK CITY</t>
  </si>
  <si>
    <t>OAK ISLAND</t>
  </si>
  <si>
    <t>OAK RIDGE</t>
  </si>
  <si>
    <t>OAKBORO</t>
  </si>
  <si>
    <t>OCEAN ISLE BEACH</t>
  </si>
  <si>
    <t>OLD FORT</t>
  </si>
  <si>
    <t>ORIENTAL</t>
  </si>
  <si>
    <t>OXFORD</t>
  </si>
  <si>
    <t>PARKTON</t>
  </si>
  <si>
    <t>PEACHLAND</t>
  </si>
  <si>
    <t>PEMBROKE</t>
  </si>
  <si>
    <t>PERSON CO ABC BOARD</t>
  </si>
  <si>
    <t>PIEDMONT TRIAD REG WATER AUTHORITY</t>
  </si>
  <si>
    <t>PIKEVILLE</t>
  </si>
  <si>
    <t>PILOT MOUNTAIN</t>
  </si>
  <si>
    <t>PINE KNOLL SHORES</t>
  </si>
  <si>
    <t>PINE LEVEL</t>
  </si>
  <si>
    <t>PINEBLUFF</t>
  </si>
  <si>
    <t>PINEHURST</t>
  </si>
  <si>
    <t>PINETOPS</t>
  </si>
  <si>
    <t>PINEVILLE</t>
  </si>
  <si>
    <t>PINK HILL</t>
  </si>
  <si>
    <t>PITT-GREENVILLE CONVENTION &amp; VISTORS BUREAU</t>
  </si>
  <si>
    <t>PITTSBORO</t>
  </si>
  <si>
    <t>PLYMOUTH</t>
  </si>
  <si>
    <t>POLKTON</t>
  </si>
  <si>
    <t>POLLOCKSVILLE</t>
  </si>
  <si>
    <t>PRINCETON</t>
  </si>
  <si>
    <t>PRINCEVILLE</t>
  </si>
  <si>
    <t>RAEFORD</t>
  </si>
  <si>
    <t>RALEIGH</t>
  </si>
  <si>
    <t>RALEIGH HOUSING AUTHORITY</t>
  </si>
  <si>
    <t>RAMSEUR</t>
  </si>
  <si>
    <t>RANDLEMAN</t>
  </si>
  <si>
    <t>RANDLEMAN ABC BOARD</t>
  </si>
  <si>
    <t>RANDLEMAN HOUSING AUTHORITY</t>
  </si>
  <si>
    <t>RANLO</t>
  </si>
  <si>
    <t>RED SPRINGS</t>
  </si>
  <si>
    <t>REIDSVILLE</t>
  </si>
  <si>
    <t>RICH SQUARE</t>
  </si>
  <si>
    <t>RICHLANDS</t>
  </si>
  <si>
    <t>RIVER BEND</t>
  </si>
  <si>
    <t>ROANOKE RAPIDS</t>
  </si>
  <si>
    <t>ROBBINS</t>
  </si>
  <si>
    <t>ROBBINSVILLE</t>
  </si>
  <si>
    <t>ROBERSONVILLE</t>
  </si>
  <si>
    <t>ROCKINGHAM ABC BOARD</t>
  </si>
  <si>
    <t>ROCKWELL</t>
  </si>
  <si>
    <t>ROCKY MOUNT</t>
  </si>
  <si>
    <t>ROLESVILLE</t>
  </si>
  <si>
    <t>ROPER</t>
  </si>
  <si>
    <t>ROSE HILL</t>
  </si>
  <si>
    <t>ROSEBORO</t>
  </si>
  <si>
    <t>ROWAN CO SOIL &amp; WATER CONV DISTRICT</t>
  </si>
  <si>
    <t>ROWLAND</t>
  </si>
  <si>
    <t>ROXBORO</t>
  </si>
  <si>
    <t>RURAL HALL</t>
  </si>
  <si>
    <t>RUTHERFORD COLLEGE</t>
  </si>
  <si>
    <t>RUTHERFORDTON</t>
  </si>
  <si>
    <t>RUTHERFORDTON ABC BOARD</t>
  </si>
  <si>
    <t>SAINT JAMES</t>
  </si>
  <si>
    <t>SAINT PAULS</t>
  </si>
  <si>
    <t>SAINT PAUL'S BOARD OF ALCOHOLIC CONTROL</t>
  </si>
  <si>
    <t>SALEMBURG</t>
  </si>
  <si>
    <t>SALISBURY</t>
  </si>
  <si>
    <t xml:space="preserve">SALISBURY HOUSING AUTHORITY </t>
  </si>
  <si>
    <t>SALUDA</t>
  </si>
  <si>
    <t>SANFORD</t>
  </si>
  <si>
    <t>SAWMILLS</t>
  </si>
  <si>
    <t>SCOTLAND NECK</t>
  </si>
  <si>
    <t>SEABOARD</t>
  </si>
  <si>
    <t>SEAGROVE</t>
  </si>
  <si>
    <t>SELMA</t>
  </si>
  <si>
    <t>SEVEN DEVILS</t>
  </si>
  <si>
    <t>SEVERN</t>
  </si>
  <si>
    <t>SHALLOTTE</t>
  </si>
  <si>
    <t>SHARPSBURG</t>
  </si>
  <si>
    <t>SHELBY</t>
  </si>
  <si>
    <t>SILER CITY</t>
  </si>
  <si>
    <t>SIMPSON</t>
  </si>
  <si>
    <t>SMITHFIELD</t>
  </si>
  <si>
    <t>SNOW HILL</t>
  </si>
  <si>
    <t>SOUTHERN PINES</t>
  </si>
  <si>
    <t>SOUTHERN SHORES</t>
  </si>
  <si>
    <t>SOUTHPORT</t>
  </si>
  <si>
    <t>SOUTHPORT ABC BOARD</t>
  </si>
  <si>
    <t>SPARTA</t>
  </si>
  <si>
    <t>SPARTA ABC BOARD</t>
  </si>
  <si>
    <t>SPENCER</t>
  </si>
  <si>
    <t>SPINDALE</t>
  </si>
  <si>
    <t>SPRING HOPE</t>
  </si>
  <si>
    <t>SPRING LAKE</t>
  </si>
  <si>
    <t>SPRUCE PINE</t>
  </si>
  <si>
    <t>STALLINGS</t>
  </si>
  <si>
    <t>STANFIELD</t>
  </si>
  <si>
    <t>STANLEY</t>
  </si>
  <si>
    <t>STANTONSBURG</t>
  </si>
  <si>
    <t>STAR</t>
  </si>
  <si>
    <t>STATESVILLE</t>
  </si>
  <si>
    <t>STEDMAN</t>
  </si>
  <si>
    <t>STONEVILLE</t>
  </si>
  <si>
    <t>STOVALL</t>
  </si>
  <si>
    <t>SUGAR MOUNTAIN</t>
  </si>
  <si>
    <t>SUMMERFIELD</t>
  </si>
  <si>
    <t>SUNSET BEACH</t>
  </si>
  <si>
    <t>SUNSET BEACH ABC BOARD</t>
  </si>
  <si>
    <t>SURF CITY</t>
  </si>
  <si>
    <t>SWANSBORO</t>
  </si>
  <si>
    <t>SYLVA</t>
  </si>
  <si>
    <t>TABOR CITY</t>
  </si>
  <si>
    <t>TARBORO</t>
  </si>
  <si>
    <t>TAYLORSVILLE</t>
  </si>
  <si>
    <t>TAYLORTOWN</t>
  </si>
  <si>
    <t>TEACHEY</t>
  </si>
  <si>
    <t>THOMASVILLE</t>
  </si>
  <si>
    <t>TOBACCOVILLE</t>
  </si>
  <si>
    <t>TOPSAIL BEACH</t>
  </si>
  <si>
    <t>TRENT WOODS</t>
  </si>
  <si>
    <t>TRINITY</t>
  </si>
  <si>
    <t>TROUTMAN</t>
  </si>
  <si>
    <t>TROUTMAN ABC BOARD</t>
  </si>
  <si>
    <t>TROY</t>
  </si>
  <si>
    <t>TRYON</t>
  </si>
  <si>
    <t>TURKEY</t>
  </si>
  <si>
    <t>UNIONVILLE</t>
  </si>
  <si>
    <t>VALDESE</t>
  </si>
  <si>
    <t>VANCEBORO</t>
  </si>
  <si>
    <t>VASS</t>
  </si>
  <si>
    <t>WADE</t>
  </si>
  <si>
    <t>WADESBORO</t>
  </si>
  <si>
    <t>WAGRAM</t>
  </si>
  <si>
    <t>WAKE FOREST</t>
  </si>
  <si>
    <t>WALKERTOWN</t>
  </si>
  <si>
    <t>WALLACE</t>
  </si>
  <si>
    <t>WALNUT COVE</t>
  </si>
  <si>
    <t>WALNUT CREEK</t>
  </si>
  <si>
    <t>WALSTONBURG</t>
  </si>
  <si>
    <t>WARRENTON</t>
  </si>
  <si>
    <t>WARSAW</t>
  </si>
  <si>
    <t>WASHINGTON PARK</t>
  </si>
  <si>
    <t>WATER &amp; SEWER AUTHORITY OF CABARRUS COUNTY</t>
  </si>
  <si>
    <t>WAXHAW</t>
  </si>
  <si>
    <t>WAYNESVILLE</t>
  </si>
  <si>
    <t>WEAVERVILLE</t>
  </si>
  <si>
    <t>WEDDINGTON</t>
  </si>
  <si>
    <t>WELDON</t>
  </si>
  <si>
    <t>WENDELL</t>
  </si>
  <si>
    <t>WESLEY CHAPEL</t>
  </si>
  <si>
    <t>WEST JEFFERSON</t>
  </si>
  <si>
    <t>WHISPERING PINES</t>
  </si>
  <si>
    <t>WHITAKERS</t>
  </si>
  <si>
    <t>WHITE LAKE</t>
  </si>
  <si>
    <t>WHITEVILLE</t>
  </si>
  <si>
    <t>WILKESBORO</t>
  </si>
  <si>
    <t>WILLIAMSTON</t>
  </si>
  <si>
    <t>WILMINGTON</t>
  </si>
  <si>
    <t>WILSON CEMETERY COMMISSION</t>
  </si>
  <si>
    <t>WILSON'S MILLS</t>
  </si>
  <si>
    <t>WINDSOR</t>
  </si>
  <si>
    <t>WINFALL</t>
  </si>
  <si>
    <t>WINGATE</t>
  </si>
  <si>
    <t>WINSTON-SALEM</t>
  </si>
  <si>
    <t>WINTERVILLE</t>
  </si>
  <si>
    <t>WINTON</t>
  </si>
  <si>
    <t>WOODFIN</t>
  </si>
  <si>
    <t>WOODLAND</t>
  </si>
  <si>
    <t>WRIGHTSVILLE BEACH</t>
  </si>
  <si>
    <t>YADKIN VALLEY ABC BOARD (includes Elkin ABC Board)</t>
  </si>
  <si>
    <t>YADKINVILLE</t>
  </si>
  <si>
    <t>YANCEY SOIL &amp; WATER CONSERVATION DISTRICT</t>
  </si>
  <si>
    <t>YANCEYVILLE</t>
  </si>
  <si>
    <t>YOUNGSVILLE</t>
  </si>
  <si>
    <t>ZEBULON</t>
  </si>
  <si>
    <t>FY 2019 Total Contributions</t>
  </si>
  <si>
    <t>Alexander</t>
  </si>
  <si>
    <t>Alleghany</t>
  </si>
  <si>
    <t>Anson</t>
  </si>
  <si>
    <t>Ashe</t>
  </si>
  <si>
    <t>Avery</t>
  </si>
  <si>
    <t>Bertie</t>
  </si>
  <si>
    <t>Bladen</t>
  </si>
  <si>
    <t>Buncombe</t>
  </si>
  <si>
    <t>Burke</t>
  </si>
  <si>
    <t>Cabarrus</t>
  </si>
  <si>
    <t>Caldwell</t>
  </si>
  <si>
    <t>Camden</t>
  </si>
  <si>
    <t>Carteret</t>
  </si>
  <si>
    <t>Caswell</t>
  </si>
  <si>
    <t>Chatham</t>
  </si>
  <si>
    <t>Cherokee</t>
  </si>
  <si>
    <t>Chowan</t>
  </si>
  <si>
    <t>Clay</t>
  </si>
  <si>
    <t>Craven</t>
  </si>
  <si>
    <t>Cumberland</t>
  </si>
  <si>
    <t>Currituck</t>
  </si>
  <si>
    <t>Dare</t>
  </si>
  <si>
    <t>Davie</t>
  </si>
  <si>
    <t>Duplin</t>
  </si>
  <si>
    <t>Edgecombe</t>
  </si>
  <si>
    <t>Forsyth</t>
  </si>
  <si>
    <t>Gates</t>
  </si>
  <si>
    <t>Granville</t>
  </si>
  <si>
    <t>Greene</t>
  </si>
  <si>
    <t>Guilford</t>
  </si>
  <si>
    <t>Halifax</t>
  </si>
  <si>
    <t>Harnett</t>
  </si>
  <si>
    <t xml:space="preserve">Haywood </t>
  </si>
  <si>
    <t>Hoke</t>
  </si>
  <si>
    <t>Hyde</t>
  </si>
  <si>
    <t>Iredell</t>
  </si>
  <si>
    <t>Johnston</t>
  </si>
  <si>
    <t>Jones</t>
  </si>
  <si>
    <t>Lee</t>
  </si>
  <si>
    <t>Lincoln</t>
  </si>
  <si>
    <t>Macon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</si>
  <si>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</si>
  <si>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</si>
  <si>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</si>
  <si>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</si>
  <si>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</si>
  <si>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</si>
  <si>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</si>
  <si>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</si>
  <si>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</si>
  <si>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</si>
  <si>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</si>
  <si>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</si>
  <si>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</si>
  <si>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</si>
  <si>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</si>
  <si>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</si>
  <si>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</si>
  <si>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</si>
  <si>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</si>
  <si>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</si>
  <si>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</si>
  <si>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Rowan</t>
  </si>
  <si>
    <t>Rutherford</t>
  </si>
  <si>
    <t>Sampson</t>
  </si>
  <si>
    <t>Scotland</t>
  </si>
  <si>
    <t>Stanly</t>
  </si>
  <si>
    <t>Stokes</t>
  </si>
  <si>
    <t>Surry</t>
  </si>
  <si>
    <t>Swain</t>
  </si>
  <si>
    <t>Transylvania</t>
  </si>
  <si>
    <t>Tyrrell</t>
  </si>
  <si>
    <t>Union</t>
  </si>
  <si>
    <t>Vance</t>
  </si>
  <si>
    <t>Wake</t>
  </si>
  <si>
    <t>Warren</t>
  </si>
  <si>
    <t>Watauga</t>
  </si>
  <si>
    <t>Wayne</t>
  </si>
  <si>
    <t>Wilkes</t>
  </si>
  <si>
    <t>Yadkin</t>
  </si>
  <si>
    <t>Yancey</t>
  </si>
  <si>
    <t>Measurement date 6/30/2019</t>
  </si>
  <si>
    <t>TOTALS</t>
  </si>
  <si>
    <t>County A6:A106 = Data Validation on Info tab Chose Your Agency: C17</t>
  </si>
  <si>
    <t>Measurement date June 30, 2019</t>
  </si>
  <si>
    <t>Total Plan - FYE 2020</t>
  </si>
  <si>
    <r>
      <t xml:space="preserve">This worksheet prepares the journal entry to record the entity's proportionate share of the net pension liability, pension expense, and deferred outflows of the Local Governmental Employees' Retirement System (LGERS) in accordance with GASB 68, with the exception of the accounting for current year contributions to the LGERS plan.  See Tab </t>
    </r>
    <r>
      <rPr>
        <i/>
        <sz val="10"/>
        <color rgb="FF000000"/>
        <rFont val="Arial"/>
        <family val="2"/>
      </rPr>
      <t>J. Other Liability &amp; Expenses</t>
    </r>
    <r>
      <rPr>
        <sz val="10"/>
        <color rgb="FF000000"/>
        <rFont val="Arial"/>
        <family val="2"/>
      </rPr>
      <t xml:space="preserve"> for accounting for current year contributions to the LGERS plan.
</t>
    </r>
  </si>
  <si>
    <t>From Actuarial Valuation report</t>
  </si>
  <si>
    <t>Benefit payments that were made between the current year's measurement date and the current fiscal year end (reporting date)</t>
  </si>
  <si>
    <t>OPEB administration costs that were made between the current year's measurement date and the current fiscal year end (reporting date)</t>
  </si>
  <si>
    <t xml:space="preserve">Employer benefit payments made subsequent to the measurement date (obtain date from your actuarial report - i.e. June 30, 2019) through the end of your FYE </t>
  </si>
  <si>
    <t xml:space="preserve">LEOSSA administration costs incurred subsequent to the measurement date (obtain from your actuarial report i.e. June 30, 2019) through the end of your FYE </t>
  </si>
  <si>
    <r>
      <t>Current year Outflow/(Inflow) Deferred Balance - Difference b/w Expected and Actual Experience                  (</t>
    </r>
    <r>
      <rPr>
        <i/>
        <sz val="10"/>
        <color theme="1"/>
        <rFont val="Arial"/>
        <family val="2"/>
      </rPr>
      <t xml:space="preserve">Net the Deferred Outflows &amp; Deferred Inflows for </t>
    </r>
    <r>
      <rPr>
        <b/>
        <i/>
        <sz val="10"/>
        <color theme="1"/>
        <rFont val="Arial"/>
        <family val="2"/>
      </rPr>
      <t>Difference b/w Expected and Actual Experience</t>
    </r>
    <r>
      <rPr>
        <i/>
        <sz val="10"/>
        <color theme="1"/>
        <rFont val="Arial"/>
        <family val="2"/>
      </rPr>
      <t xml:space="preserve"> if both are present for current year in actuarial report</t>
    </r>
    <r>
      <rPr>
        <sz val="10"/>
        <color theme="1"/>
        <rFont val="Arial"/>
        <family val="2"/>
      </rPr>
      <t>)</t>
    </r>
  </si>
  <si>
    <r>
      <t>Current year Outflow/(Inflow) Deferred Balance - Assumption Changes                                                                                (</t>
    </r>
    <r>
      <rPr>
        <i/>
        <sz val="10"/>
        <color theme="1"/>
        <rFont val="Arial"/>
        <family val="2"/>
      </rPr>
      <t xml:space="preserve">Net the Deferred Outflows &amp; Deferred Inflows for </t>
    </r>
    <r>
      <rPr>
        <b/>
        <i/>
        <sz val="10"/>
        <color theme="1"/>
        <rFont val="Arial"/>
        <family val="2"/>
      </rPr>
      <t>Assumption changes</t>
    </r>
    <r>
      <rPr>
        <i/>
        <sz val="10"/>
        <color theme="1"/>
        <rFont val="Arial"/>
        <family val="2"/>
      </rPr>
      <t xml:space="preserve"> if both are present for current year in actuarial report</t>
    </r>
    <r>
      <rPr>
        <sz val="10"/>
        <color theme="1"/>
        <rFont val="Arial"/>
        <family val="2"/>
      </rPr>
      <t>)</t>
    </r>
  </si>
  <si>
    <r>
      <t>Current year Outflow/(Inflow) Deferred Balance - Difference b/w Expected and Actual Experience                     (</t>
    </r>
    <r>
      <rPr>
        <i/>
        <sz val="10"/>
        <color theme="1"/>
        <rFont val="Arial"/>
        <family val="2"/>
      </rPr>
      <t xml:space="preserve">Net the Deferred Outflows &amp; Deferred Inflows for </t>
    </r>
    <r>
      <rPr>
        <b/>
        <i/>
        <sz val="10"/>
        <color theme="1"/>
        <rFont val="Arial"/>
        <family val="2"/>
      </rPr>
      <t>Difference b/w Expected and Actual Experience</t>
    </r>
    <r>
      <rPr>
        <i/>
        <sz val="10"/>
        <color theme="1"/>
        <rFont val="Arial"/>
        <family val="2"/>
      </rPr>
      <t xml:space="preserve"> if both are present for current year in actuarial report</t>
    </r>
    <r>
      <rPr>
        <sz val="10"/>
        <color theme="1"/>
        <rFont val="Arial"/>
        <family val="2"/>
      </rPr>
      <t>)</t>
    </r>
  </si>
  <si>
    <r>
      <t>Current year Outflow/(Inflow) Deferred Balance - Difference b/w Expected and Actual Experience                    (</t>
    </r>
    <r>
      <rPr>
        <i/>
        <sz val="10"/>
        <color theme="1"/>
        <rFont val="Arial"/>
        <family val="2"/>
      </rPr>
      <t xml:space="preserve">Net the Deferred Outflows &amp; Deferred Inflows for </t>
    </r>
    <r>
      <rPr>
        <b/>
        <i/>
        <sz val="10"/>
        <color theme="1"/>
        <rFont val="Arial"/>
        <family val="2"/>
      </rPr>
      <t>Difference b/w Expected and Actual Experience</t>
    </r>
    <r>
      <rPr>
        <i/>
        <sz val="10"/>
        <color theme="1"/>
        <rFont val="Arial"/>
        <family val="2"/>
      </rPr>
      <t xml:space="preserve"> if both are present for current year in actuarial report</t>
    </r>
    <r>
      <rPr>
        <sz val="10"/>
        <color theme="1"/>
        <rFont val="Arial"/>
        <family val="2"/>
      </rPr>
      <t>)</t>
    </r>
  </si>
  <si>
    <r>
      <t xml:space="preserve">Current year Outflow/(Inflow) Deferred Balance - Assumption Changes                                                                                </t>
    </r>
    <r>
      <rPr>
        <i/>
        <sz val="10"/>
        <color theme="1"/>
        <rFont val="Arial"/>
        <family val="2"/>
      </rPr>
      <t xml:space="preserve">(Net the Deferred Outflows &amp; Deferred Inflows for </t>
    </r>
    <r>
      <rPr>
        <b/>
        <i/>
        <sz val="10"/>
        <color theme="1"/>
        <rFont val="Arial"/>
        <family val="2"/>
      </rPr>
      <t>Assumption changes</t>
    </r>
    <r>
      <rPr>
        <i/>
        <sz val="10"/>
        <color theme="1"/>
        <rFont val="Arial"/>
        <family val="2"/>
      </rPr>
      <t xml:space="preserve"> if both are present for current year in actuarial report)</t>
    </r>
  </si>
  <si>
    <r>
      <t xml:space="preserve">Percentages on </t>
    </r>
    <r>
      <rPr>
        <b/>
        <i/>
        <sz val="11"/>
        <color rgb="FFFF0000"/>
        <rFont val="Arial"/>
        <family val="2"/>
      </rPr>
      <t xml:space="preserve">Tab J. Other Liability &amp; Expenses </t>
    </r>
    <r>
      <rPr>
        <b/>
        <sz val="11"/>
        <color rgb="FFFF0000"/>
        <rFont val="Arial"/>
        <family val="2"/>
      </rPr>
      <t>must be completed before GASB 68 LGERS Journal entries will appear</t>
    </r>
  </si>
  <si>
    <t>zeros</t>
  </si>
  <si>
    <t>merged with another unit</t>
  </si>
  <si>
    <t>Check total</t>
  </si>
  <si>
    <t>JACKSON COUNTY TOURISM DEVELOPMENT AUTHORITY</t>
  </si>
  <si>
    <t>Measurement date 6/30/2020</t>
  </si>
  <si>
    <t>Note:  The number entered below should not include volunteers.  The number entered below should also exclude employees who were not eligible to participate in the FRSWPF plan during FY 2021.</t>
  </si>
  <si>
    <t>2021 complete</t>
  </si>
  <si>
    <t>FY 2020 Total Contributions</t>
  </si>
  <si>
    <t>Enter the amount of contributions subsequent to the measurement date that you recorded as a deferred outflow of resources in your June 30, 2020 financial statement for LGERS</t>
  </si>
  <si>
    <t>Enter the amount of contributions subsequent to the measurement date that you recorded as a deferred outflow of resources in your June 30, 2020 financial statement for ROD</t>
  </si>
  <si>
    <t>Measurement date June 30, 2020</t>
  </si>
  <si>
    <t>Total Plan - FYE 2021</t>
  </si>
  <si>
    <t>Agency Num</t>
  </si>
  <si>
    <t>Agency Name</t>
  </si>
  <si>
    <t>(Normal Contributions, Plus Liability Contributions, net of Court Costs Offsets)</t>
  </si>
  <si>
    <t>VILLAGE OF SUGAR MOUNTAIN</t>
  </si>
  <si>
    <t>ALLIANCE HEALTH</t>
  </si>
  <si>
    <t>IREDELL ECONOMIC DEVELOPMENT</t>
  </si>
  <si>
    <t>INLIVIAN HOUSING</t>
  </si>
  <si>
    <t>CHARLOTTE REGIONAL VISITORS AUTH.</t>
  </si>
  <si>
    <t>FOOTHILLS HEALTH DISTRICT</t>
  </si>
  <si>
    <t>WAKE COUNTY GOVERMENT</t>
  </si>
  <si>
    <t xml:space="preserve">Following participants have been added by LGC for consistency - </t>
  </si>
  <si>
    <t>Memorandum #2022-01 Firefighters’ and Rescue Squad Workers’ Pension Fund disclosure amounts</t>
  </si>
  <si>
    <t>merged with another unit?</t>
  </si>
  <si>
    <t>CUMBERLAND MEMORIAL AUDITORIUM COMMISSION</t>
  </si>
  <si>
    <t>GLOBAL TRANSPARK DEVELOPMENT COMMISSION</t>
  </si>
  <si>
    <t>TOWN OF FOUNTAIN</t>
  </si>
  <si>
    <t>PERSON COUNTY ABC BOARD</t>
  </si>
  <si>
    <t>NOT on 2018 list but on 2019 from FOD</t>
  </si>
  <si>
    <t>name from FOD different</t>
  </si>
  <si>
    <t>on 2018 list but NOT on 2019 from FOD</t>
  </si>
  <si>
    <t>97461M</t>
  </si>
  <si>
    <t>Name different on FOD</t>
  </si>
  <si>
    <t>Plan Total for 6/30/2020 Measurement Date</t>
  </si>
  <si>
    <t>Plan total for 6/30/2019 Measurement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</si>
</sst>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_);_(* \(#,##0\);_(* &quot;-&quot;??_);_(@_)"/>
    <numFmt numFmtId="166" formatCode="_(&quot;$&quot;* #,##0_);_(&quot;$&quot;* \(#,##0\);_(&quot;$&quot;* &quot;-&quot;??_);_(@_)"/>
    <numFmt numFmtId="167" formatCode="0.0%"/>
    <numFmt numFmtId="168" formatCode="0.0000"/>
    <numFmt numFmtId="169" formatCode="0.00000"/>
    <numFmt numFmtId="170" formatCode="_(* #,##0_);_(* \(#,##0\);_(* &quot;-&quot;????_);_(@_)"/>
    <numFmt numFmtId="171" formatCode="0.00000%"/>
    <numFmt numFmtId="172" formatCode="_(* #,##0.0000_);_(* \(#,##0.0000\);_(* &quot;-&quot;??_);_(@_)"/>
    <numFmt numFmtId="173" formatCode="_(* #,##0.0000000000_);_(* \(#,##0.0000000000\);_(* &quot;-&quot;??_);_(@_)"/>
    <numFmt numFmtId="174" formatCode="0.0000000%"/>
    <numFmt numFmtId="175" formatCode="_(* #,##0.00000_);_(* \(#,##0.00000\);_(* &quot;-&quot;??_);_(@_)"/>
    <numFmt numFmtId="176" formatCode="_(* #,##0.0000000_);_(* \(#,##0.0000000\);_(* &quot;-&quot;??_);_(@_)"/>
  </numFmts>
  <fonts count="10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10"/>
      <name val="Arial"/>
      <family val="2"/>
    </font>
    <font>
      <b/>
      <sz val="10"/>
      <name val="Arial"/>
      <family val="2"/>
    </font>
    <font>
      <sz val="8"/>
      <color indexed="10"/>
      <name val="Arial"/>
      <family val="2"/>
    </font>
    <font>
      <sz val="10"/>
      <name val="Arial"/>
      <family val="2"/>
    </font>
    <font>
      <sz val="8"/>
      <name val="Arial"/>
      <family val="2"/>
    </font>
    <font>
      <sz val="8"/>
      <color indexed="81"/>
      <name val="Tahoma"/>
      <family val="2"/>
    </font>
    <font>
      <b/>
      <sz val="8"/>
      <color indexed="81"/>
      <name val="Tahoma"/>
      <family val="2"/>
    </font>
    <font>
      <b/>
      <sz val="14"/>
      <name val="Arial"/>
      <family val="2"/>
    </font>
    <font>
      <sz val="10"/>
      <color indexed="12"/>
      <name val="Arial"/>
      <family val="2"/>
    </font>
    <font>
      <b/>
      <sz val="10"/>
      <color indexed="10"/>
      <name val="Arial"/>
      <family val="2"/>
    </font>
    <font>
      <i/>
      <sz val="10"/>
      <color indexed="10"/>
      <name val="Arial"/>
      <family val="2"/>
    </font>
    <font>
      <i/>
      <sz val="10"/>
      <name val="Arial"/>
      <family val="2"/>
    </font>
    <font>
      <sz val="12"/>
      <name val="Wingdings 2"/>
      <family val="1"/>
      <charset val="2"/>
    </font>
    <font>
      <b/>
      <sz val="10"/>
      <color indexed="17"/>
      <name val="Arial"/>
      <family val="2"/>
    </font>
    <font>
      <u/>
      <sz val="10"/>
      <name val="Arial"/>
      <family val="2"/>
    </font>
    <font>
      <sz val="11"/>
      <name val="Wingdings 2"/>
      <family val="1"/>
      <charset val="2"/>
    </font>
    <font>
      <b/>
      <sz val="10"/>
      <color indexed="10"/>
      <name val="Comic Sans MS"/>
      <family val="4"/>
    </font>
    <font>
      <i/>
      <sz val="8"/>
      <name val="Arial"/>
      <family val="2"/>
    </font>
    <font>
      <i/>
      <u/>
      <sz val="10"/>
      <name val="Arial"/>
      <family val="2"/>
    </font>
    <font>
      <b/>
      <sz val="12"/>
      <name val="Arial"/>
      <family val="2"/>
    </font>
    <font>
      <b/>
      <sz val="9"/>
      <color indexed="10"/>
      <name val="Arial"/>
      <family val="2"/>
    </font>
    <font>
      <b/>
      <sz val="10"/>
      <color indexed="12"/>
      <name val="Arial"/>
      <family val="2"/>
    </font>
    <font>
      <i/>
      <sz val="9"/>
      <name val="Arial"/>
      <family val="2"/>
    </font>
    <font>
      <b/>
      <sz val="12"/>
      <name val="Wingdings 2"/>
      <family val="1"/>
      <charset val="2"/>
    </font>
    <font>
      <sz val="9"/>
      <name val="Arial"/>
      <family val="2"/>
    </font>
    <font>
      <b/>
      <sz val="9"/>
      <name val="Arial"/>
      <family val="2"/>
    </font>
    <font>
      <sz val="8"/>
      <color indexed="10"/>
      <name val="Comic Sans MS"/>
      <family val="4"/>
    </font>
    <font>
      <b/>
      <sz val="8"/>
      <name val="Arial"/>
      <family val="2"/>
    </font>
    <font>
      <sz val="9"/>
      <color indexed="10"/>
      <name val="Arial"/>
      <family val="2"/>
    </font>
    <font>
      <sz val="11"/>
      <name val="Arial"/>
      <family val="2"/>
    </font>
    <font>
      <b/>
      <sz val="11"/>
      <name val="Arial"/>
      <family val="2"/>
    </font>
    <font>
      <b/>
      <u/>
      <sz val="10"/>
      <color indexed="10"/>
      <name val="Arial"/>
      <family val="2"/>
    </font>
    <font>
      <sz val="10"/>
      <name val="Times New Roman"/>
      <family val="1"/>
    </font>
    <font>
      <b/>
      <sz val="10"/>
      <name val="Times New Roman"/>
      <family val="1"/>
    </font>
    <font>
      <b/>
      <sz val="10"/>
      <color indexed="57"/>
      <name val="Arial"/>
      <family val="2"/>
    </font>
    <font>
      <b/>
      <i/>
      <sz val="10"/>
      <name val="Arial"/>
      <family val="2"/>
    </font>
    <font>
      <sz val="9"/>
      <name val="Times New Roman"/>
      <family val="1"/>
    </font>
    <font>
      <b/>
      <sz val="8"/>
      <color indexed="10"/>
      <name val="Arial"/>
      <family val="2"/>
    </font>
    <font>
      <b/>
      <sz val="9"/>
      <color indexed="12"/>
      <name val="Arial"/>
      <family val="2"/>
    </font>
    <font>
      <sz val="11"/>
      <name val="Times New Roman"/>
      <family val="1"/>
    </font>
    <font>
      <sz val="13"/>
      <name val="Wingdings 2"/>
      <family val="1"/>
      <charset val="2"/>
    </font>
    <font>
      <b/>
      <sz val="11"/>
      <name val="Times New Roman"/>
      <family val="1"/>
    </font>
    <font>
      <b/>
      <u/>
      <sz val="10"/>
      <name val="Arial"/>
      <family val="2"/>
    </font>
    <font>
      <sz val="10"/>
      <color indexed="10"/>
      <name val="Arial"/>
      <family val="2"/>
    </font>
    <font>
      <sz val="10"/>
      <color indexed="10"/>
      <name val="Times New Roman"/>
      <family val="1"/>
    </font>
    <font>
      <b/>
      <sz val="10"/>
      <color indexed="14"/>
      <name val="Arial"/>
      <family val="2"/>
    </font>
    <font>
      <sz val="10"/>
      <color indexed="14"/>
      <name val="Arial"/>
      <family val="2"/>
    </font>
    <font>
      <b/>
      <sz val="16"/>
      <name val="Arial"/>
      <family val="2"/>
    </font>
    <font>
      <sz val="10"/>
      <name val="Wingdings 2"/>
      <family val="1"/>
      <charset val="2"/>
    </font>
    <font>
      <sz val="9"/>
      <color indexed="8"/>
      <name val="Arial"/>
      <family val="2"/>
    </font>
    <font>
      <b/>
      <sz val="11"/>
      <color indexed="10"/>
      <name val="Arial"/>
      <family val="2"/>
    </font>
    <font>
      <sz val="10"/>
      <name val="Wingdings"/>
      <charset val="2"/>
    </font>
    <font>
      <b/>
      <u/>
      <sz val="9"/>
      <color indexed="10"/>
      <name val="Arial"/>
      <family val="2"/>
    </font>
    <font>
      <sz val="8"/>
      <color indexed="10"/>
      <name val="Arial"/>
      <family val="2"/>
    </font>
    <font>
      <b/>
      <i/>
      <sz val="10"/>
      <color indexed="10"/>
      <name val="Arial"/>
      <family val="2"/>
    </font>
    <font>
      <sz val="10"/>
      <name val="Arial"/>
      <family val="2"/>
    </font>
    <font>
      <b/>
      <sz val="11"/>
      <color theme="1"/>
      <name val="Calibri"/>
      <family val="2"/>
      <scheme val="minor"/>
    </font>
    <font>
      <sz val="12"/>
      <color rgb="FFFF0000"/>
      <name val="Arial"/>
      <family val="2"/>
    </font>
    <font>
      <b/>
      <sz val="11"/>
      <color rgb="FF000000"/>
      <name val="Calibri"/>
      <family val="2"/>
      <scheme val="minor"/>
    </font>
    <font>
      <sz val="11"/>
      <color rgb="FF000000"/>
      <name val="Calibri"/>
      <family val="2"/>
      <scheme val="minor"/>
    </font>
    <font>
      <sz val="10"/>
      <color rgb="FF000000"/>
      <name val="Arial"/>
      <family val="2"/>
    </font>
    <font>
      <sz val="10"/>
      <color rgb="FFFF0000"/>
      <name val="Arial"/>
      <family val="2"/>
    </font>
    <font>
      <sz val="10"/>
      <color theme="0"/>
      <name val="Arial"/>
      <family val="2"/>
    </font>
    <font>
      <b/>
      <i/>
      <sz val="10"/>
      <color rgb="FFFF0000"/>
      <name val="Arial"/>
      <family val="2"/>
    </font>
    <font>
      <b/>
      <sz val="10"/>
      <color rgb="FFFF0000"/>
      <name val="Arial"/>
      <family val="2"/>
    </font>
    <font>
      <b/>
      <sz val="11"/>
      <color rgb="FFFF0000"/>
      <name val="Calibri"/>
      <family val="2"/>
      <scheme val="minor"/>
    </font>
    <font>
      <sz val="11"/>
      <name val="Calibri"/>
      <family val="2"/>
      <scheme val="minor"/>
    </font>
    <font>
      <b/>
      <sz val="11"/>
      <name val="Calibri"/>
      <family val="2"/>
      <scheme val="minor"/>
    </font>
    <font>
      <sz val="11"/>
      <color theme="1"/>
      <name val="Arial"/>
      <family val="2"/>
    </font>
    <font>
      <sz val="10"/>
      <color theme="1"/>
      <name val="Arial"/>
      <family val="2"/>
    </font>
    <font>
      <sz val="11"/>
      <name val="Calibri"/>
      <family val="2"/>
    </font>
    <font>
      <b/>
      <sz val="11"/>
      <name val="Calibri"/>
      <family val="2"/>
    </font>
    <font>
      <sz val="8"/>
      <color rgb="FFFF0000"/>
      <name val="Arial"/>
      <family val="2"/>
    </font>
    <font>
      <b/>
      <sz val="12"/>
      <color theme="1"/>
      <name val="Calibri"/>
      <family val="2"/>
      <scheme val="minor"/>
    </font>
    <font>
      <b/>
      <sz val="9"/>
      <color indexed="81"/>
      <name val="Tahoma"/>
      <family val="2"/>
    </font>
    <font>
      <sz val="9"/>
      <color indexed="81"/>
      <name val="Tahoma"/>
      <family val="2"/>
    </font>
    <font>
      <sz val="11"/>
      <color theme="0"/>
      <name val="Calibri"/>
      <family val="2"/>
      <scheme val="minor"/>
    </font>
    <font>
      <sz val="11"/>
      <color rgb="FF000000"/>
      <name val="Calibri"/>
      <family val="2"/>
    </font>
    <font>
      <sz val="11"/>
      <color theme="1"/>
      <name val="Calibri"/>
      <family val="2"/>
    </font>
    <font>
      <i/>
      <sz val="10"/>
      <color rgb="FF000000"/>
      <name val="Arial"/>
      <family val="2"/>
    </font>
    <font>
      <b/>
      <sz val="11"/>
      <color rgb="FFFF0000"/>
      <name val="Arial"/>
      <family val="2"/>
    </font>
    <font>
      <b/>
      <i/>
      <sz val="11"/>
      <color rgb="FFFF0000"/>
      <name val="Arial"/>
      <family val="2"/>
    </font>
    <font>
      <u/>
      <sz val="10"/>
      <color theme="10"/>
      <name val="Arial"/>
      <family val="2"/>
    </font>
    <font>
      <i/>
      <sz val="10"/>
      <color theme="1"/>
      <name val="Arial"/>
      <family val="2"/>
    </font>
    <font>
      <b/>
      <i/>
      <sz val="10"/>
      <color theme="1"/>
      <name val="Arial"/>
      <family val="2"/>
    </font>
    <font>
      <b/>
      <sz val="11"/>
      <color rgb="FF000000"/>
      <name val="Calibri"/>
      <family val="2"/>
    </font>
  </fonts>
  <fills count="29">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indexed="47"/>
        <bgColor indexed="64"/>
      </patternFill>
    </fill>
    <fill>
      <patternFill patternType="solid">
        <fgColor indexed="43"/>
        <bgColor indexed="64"/>
      </patternFill>
    </fill>
    <fill>
      <patternFill patternType="solid">
        <fgColor indexed="45"/>
        <bgColor indexed="64"/>
      </patternFill>
    </fill>
    <fill>
      <patternFill patternType="solid">
        <fgColor indexed="51"/>
        <bgColor indexed="64"/>
      </patternFill>
    </fill>
    <fill>
      <patternFill patternType="solid">
        <fgColor theme="9" tint="0.59999389629810485"/>
        <bgColor indexed="64"/>
      </patternFill>
    </fill>
    <fill>
      <patternFill patternType="solid">
        <fgColor theme="0"/>
        <bgColor indexed="64"/>
      </patternFill>
    </fill>
    <fill>
      <patternFill patternType="solid">
        <fgColor rgb="FFFFCC99"/>
        <bgColor indexed="64"/>
      </patternFill>
    </fill>
    <fill>
      <patternFill patternType="solid">
        <fgColor rgb="FFFFFF99"/>
        <bgColor indexed="64"/>
      </patternFill>
    </fill>
    <fill>
      <patternFill patternType="solid">
        <fgColor rgb="FFFFFF00"/>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D9D9D9"/>
        <bgColor rgb="FF000000"/>
      </patternFill>
    </fill>
    <fill>
      <patternFill patternType="solid">
        <fgColor rgb="FFCCFFFF"/>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bgColor indexed="64"/>
      </patternFill>
    </fill>
    <fill>
      <patternFill patternType="solid">
        <fgColor theme="7" tint="0.39997558519241921"/>
        <bgColor indexed="64"/>
      </patternFill>
    </fill>
    <fill>
      <patternFill patternType="solid">
        <fgColor theme="6" tint="-0.499984740745262"/>
        <bgColor indexed="64"/>
      </patternFill>
    </fill>
    <fill>
      <patternFill patternType="solid">
        <fgColor theme="6"/>
        <bgColor indexed="64"/>
      </patternFill>
    </fill>
    <fill>
      <patternFill patternType="solid">
        <fgColor theme="5" tint="0.59999389629810485"/>
        <bgColor indexed="64"/>
      </patternFill>
    </fill>
    <fill>
      <patternFill patternType="solid">
        <fgColor rgb="FFFFC000"/>
        <bgColor indexed="64"/>
      </patternFill>
    </fill>
    <fill>
      <patternFill patternType="solid">
        <fgColor theme="3" tint="0.39997558519241921"/>
        <bgColor indexed="64"/>
      </patternFill>
    </fill>
    <fill>
      <patternFill patternType="solid">
        <fgColor rgb="FFFF0000"/>
        <bgColor indexed="64"/>
      </patternFill>
    </fill>
  </fills>
  <borders count="53">
    <border>
      <left/>
      <right/>
      <top/>
      <bottom/>
      <diagonal/>
    </border>
    <border>
      <left/>
      <right/>
      <top/>
      <bottom style="thin">
        <color indexed="64"/>
      </bottom>
      <diagonal/>
    </border>
    <border>
      <left style="thin">
        <color indexed="64"/>
      </left>
      <right/>
      <top/>
      <bottom/>
      <diagonal/>
    </border>
    <border>
      <left/>
      <right/>
      <top/>
      <bottom style="medium">
        <color indexed="64"/>
      </bottom>
      <diagonal/>
    </border>
    <border>
      <left/>
      <right/>
      <top style="medium">
        <color indexed="64"/>
      </top>
      <bottom/>
      <diagonal/>
    </border>
    <border>
      <left/>
      <right/>
      <top style="thin">
        <color indexed="64"/>
      </top>
      <bottom style="double">
        <color indexed="64"/>
      </bottom>
      <diagonal/>
    </border>
    <border>
      <left/>
      <right style="medium">
        <color indexed="64"/>
      </right>
      <top/>
      <bottom/>
      <diagonal/>
    </border>
    <border>
      <left/>
      <right/>
      <top style="thin">
        <color indexed="64"/>
      </top>
      <bottom style="thin">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bottom style="medium">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bottom style="double">
        <color indexed="64"/>
      </bottom>
      <diagonal/>
    </border>
    <border>
      <left/>
      <right style="medium">
        <color indexed="64"/>
      </right>
      <top style="thin">
        <color indexed="64"/>
      </top>
      <bottom style="thin">
        <color indexed="64"/>
      </bottom>
      <diagonal/>
    </border>
    <border>
      <left style="thin">
        <color indexed="64"/>
      </left>
      <right/>
      <top/>
      <bottom style="double">
        <color indexed="64"/>
      </bottom>
      <diagonal/>
    </border>
    <border>
      <left/>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double">
        <color indexed="52"/>
      </left>
      <right/>
      <top style="double">
        <color indexed="52"/>
      </top>
      <bottom style="double">
        <color indexed="52"/>
      </bottom>
      <diagonal/>
    </border>
    <border>
      <left/>
      <right/>
      <top style="double">
        <color indexed="52"/>
      </top>
      <bottom style="double">
        <color indexed="52"/>
      </bottom>
      <diagonal/>
    </border>
    <border>
      <left/>
      <right style="double">
        <color indexed="52"/>
      </right>
      <top style="double">
        <color indexed="52"/>
      </top>
      <bottom style="double">
        <color indexed="52"/>
      </bottom>
      <diagonal/>
    </border>
    <border>
      <left/>
      <right style="thick">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indexed="64"/>
      </right>
      <top style="medium">
        <color indexed="64"/>
      </top>
      <bottom style="medium">
        <color indexed="64"/>
      </bottom>
      <diagonal/>
    </border>
    <border>
      <left/>
      <right/>
      <top/>
      <bottom style="thin">
        <color theme="1"/>
      </bottom>
      <diagonal/>
    </border>
  </borders>
  <cellStyleXfs count="63">
    <xf numFmtId="0" fontId="0" fillId="0" borderId="0"/>
    <xf numFmtId="43" fontId="14" fillId="0" borderId="0" applyFont="0" applyFill="0" applyBorder="0" applyAlignment="0" applyProtection="0"/>
    <xf numFmtId="44"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0" fontId="10" fillId="0" borderId="0"/>
    <xf numFmtId="43" fontId="10" fillId="0" borderId="0" applyFont="0" applyFill="0" applyBorder="0" applyAlignment="0" applyProtection="0"/>
    <xf numFmtId="0" fontId="14" fillId="0" borderId="0"/>
    <xf numFmtId="0" fontId="9" fillId="0" borderId="0"/>
    <xf numFmtId="43" fontId="9"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97" fillId="0" borderId="0" applyNumberForma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39" fontId="14" fillId="0" borderId="0"/>
    <xf numFmtId="0" fontId="2" fillId="0" borderId="0"/>
    <xf numFmtId="43" fontId="2" fillId="0" borderId="0" applyFont="0" applyFill="0" applyBorder="0" applyAlignment="0" applyProtection="0"/>
    <xf numFmtId="0" fontId="2" fillId="0" borderId="0"/>
    <xf numFmtId="0" fontId="1" fillId="0" borderId="0"/>
    <xf numFmtId="9" fontId="1" fillId="0" borderId="0" applyFont="0" applyFill="0" applyBorder="0" applyAlignment="0" applyProtection="0"/>
    <xf numFmtId="43" fontId="1" fillId="0" borderId="0" applyFont="0" applyFill="0" applyBorder="0" applyAlignment="0" applyProtection="0"/>
  </cellStyleXfs>
  <cellXfs count="1672">
    <xf numFmtId="0" fontId="0" fillId="0" borderId="0" xfId="0"/>
    <xf numFmtId="165" fontId="14" fillId="0" borderId="0" xfId="1" applyNumberFormat="1"/>
    <xf numFmtId="0" fontId="15" fillId="0" borderId="0" xfId="0" applyFont="1"/>
    <xf numFmtId="0" fontId="0" fillId="0" borderId="1" xfId="0" applyBorder="1" applyAlignment="1">
      <alignment horizontal="center"/>
    </xf>
    <xf numFmtId="0" fontId="16" fillId="0" borderId="0" xfId="0" applyFont="1"/>
    <xf numFmtId="165" fontId="0" fillId="0" borderId="0" xfId="0" applyNumberFormat="1"/>
    <xf numFmtId="0" fontId="17" fillId="0" borderId="0" xfId="0" applyFont="1"/>
    <xf numFmtId="0" fontId="0" fillId="0" borderId="2" xfId="0" applyBorder="1"/>
    <xf numFmtId="0" fontId="0" fillId="0" borderId="1" xfId="0" applyBorder="1"/>
    <xf numFmtId="165" fontId="0" fillId="0" borderId="2" xfId="0" applyNumberFormat="1" applyBorder="1"/>
    <xf numFmtId="165" fontId="0" fillId="0" borderId="0" xfId="0" applyNumberFormat="1" applyFill="1" applyBorder="1"/>
    <xf numFmtId="165" fontId="14" fillId="0" borderId="0" xfId="1" applyNumberFormat="1" applyBorder="1"/>
    <xf numFmtId="165" fontId="0" fillId="0" borderId="0" xfId="0" applyNumberFormat="1" applyBorder="1"/>
    <xf numFmtId="0" fontId="0" fillId="0" borderId="0" xfId="0" applyFill="1"/>
    <xf numFmtId="0" fontId="0" fillId="0" borderId="0" xfId="0" applyBorder="1"/>
    <xf numFmtId="165" fontId="0" fillId="2" borderId="0" xfId="0" applyNumberFormat="1" applyFill="1" applyBorder="1"/>
    <xf numFmtId="0" fontId="0" fillId="0" borderId="3" xfId="0" applyBorder="1"/>
    <xf numFmtId="0" fontId="0" fillId="0" borderId="4" xfId="0" applyBorder="1"/>
    <xf numFmtId="165" fontId="0" fillId="0" borderId="2" xfId="0" applyNumberFormat="1" applyFill="1" applyBorder="1"/>
    <xf numFmtId="0" fontId="0" fillId="0" borderId="0" xfId="0" applyAlignment="1">
      <alignment horizontal="right"/>
    </xf>
    <xf numFmtId="165" fontId="0" fillId="0" borderId="5" xfId="0" applyNumberFormat="1" applyBorder="1"/>
    <xf numFmtId="0" fontId="0" fillId="0" borderId="6" xfId="0" applyBorder="1"/>
    <xf numFmtId="0" fontId="0" fillId="0" borderId="6" xfId="0" applyFill="1" applyBorder="1" applyAlignment="1"/>
    <xf numFmtId="0" fontId="0" fillId="3" borderId="7" xfId="0" applyFill="1" applyBorder="1"/>
    <xf numFmtId="0" fontId="0" fillId="3" borderId="7" xfId="0" applyFill="1" applyBorder="1" applyAlignment="1">
      <alignment horizontal="center"/>
    </xf>
    <xf numFmtId="0" fontId="0" fillId="0" borderId="8" xfId="0" applyBorder="1"/>
    <xf numFmtId="0" fontId="0" fillId="0" borderId="9" xfId="0" applyBorder="1"/>
    <xf numFmtId="0" fontId="0" fillId="0" borderId="10" xfId="0" applyBorder="1"/>
    <xf numFmtId="0" fontId="0" fillId="0" borderId="11" xfId="0" applyBorder="1"/>
    <xf numFmtId="0" fontId="15" fillId="0" borderId="0" xfId="0" applyFont="1" applyFill="1"/>
    <xf numFmtId="165" fontId="14" fillId="0" borderId="0" xfId="1" applyNumberFormat="1" applyFill="1" applyBorder="1"/>
    <xf numFmtId="0" fontId="0" fillId="0" borderId="0" xfId="0" applyFill="1" applyBorder="1"/>
    <xf numFmtId="165" fontId="0" fillId="0" borderId="0" xfId="0" applyNumberFormat="1" applyFill="1"/>
    <xf numFmtId="0" fontId="0" fillId="0" borderId="8" xfId="0" applyFill="1" applyBorder="1"/>
    <xf numFmtId="0" fontId="0" fillId="0" borderId="0" xfId="0" applyAlignment="1">
      <alignment wrapText="1"/>
    </xf>
    <xf numFmtId="0" fontId="0" fillId="0" borderId="0" xfId="0" applyAlignment="1"/>
    <xf numFmtId="165" fontId="0" fillId="0" borderId="0" xfId="1" applyNumberFormat="1" applyFont="1"/>
    <xf numFmtId="165" fontId="0" fillId="0" borderId="5" xfId="1" applyNumberFormat="1" applyFont="1" applyBorder="1"/>
    <xf numFmtId="0" fontId="16" fillId="0" borderId="0" xfId="0" applyFont="1" applyAlignment="1">
      <alignment horizontal="center"/>
    </xf>
    <xf numFmtId="0" fontId="0" fillId="0" borderId="0" xfId="0" quotePrefix="1"/>
    <xf numFmtId="0" fontId="0" fillId="0" borderId="0" xfId="0" quotePrefix="1" applyAlignment="1">
      <alignment wrapText="1"/>
    </xf>
    <xf numFmtId="0" fontId="16" fillId="0" borderId="0" xfId="0" quotePrefix="1" applyFont="1" applyAlignment="1">
      <alignment wrapText="1"/>
    </xf>
    <xf numFmtId="0" fontId="23" fillId="0" borderId="0" xfId="0" applyFont="1"/>
    <xf numFmtId="0" fontId="25" fillId="0" borderId="0" xfId="0" applyFont="1"/>
    <xf numFmtId="0" fontId="16" fillId="0" borderId="0" xfId="0" applyFont="1" applyFill="1" applyBorder="1"/>
    <xf numFmtId="0" fontId="0" fillId="0" borderId="0" xfId="0" applyAlignment="1">
      <alignment horizontal="center"/>
    </xf>
    <xf numFmtId="0" fontId="0" fillId="0" borderId="0" xfId="0" applyBorder="1" applyAlignment="1">
      <alignment horizontal="center"/>
    </xf>
    <xf numFmtId="165" fontId="0" fillId="0" borderId="0" xfId="1" applyNumberFormat="1" applyFont="1" applyFill="1" applyBorder="1"/>
    <xf numFmtId="165" fontId="0" fillId="0" borderId="0" xfId="1" applyNumberFormat="1" applyFont="1" applyBorder="1"/>
    <xf numFmtId="0" fontId="16" fillId="0" borderId="1" xfId="0" applyFont="1" applyBorder="1" applyAlignment="1">
      <alignment horizontal="center"/>
    </xf>
    <xf numFmtId="0" fontId="27" fillId="0" borderId="0" xfId="0" applyFont="1" applyAlignment="1">
      <alignment horizontal="left"/>
    </xf>
    <xf numFmtId="0" fontId="16" fillId="0" borderId="0" xfId="0" applyFont="1" applyFill="1" applyBorder="1" applyAlignment="1">
      <alignment horizontal="center"/>
    </xf>
    <xf numFmtId="0" fontId="16" fillId="0" borderId="0" xfId="0" applyFont="1" applyFill="1" applyBorder="1" applyAlignment="1"/>
    <xf numFmtId="0" fontId="24" fillId="0" borderId="0" xfId="0" applyFont="1"/>
    <xf numFmtId="0" fontId="30" fillId="0" borderId="0" xfId="0" applyFont="1"/>
    <xf numFmtId="166" fontId="0" fillId="0" borderId="0" xfId="2" applyNumberFormat="1" applyFont="1" applyBorder="1"/>
    <xf numFmtId="166" fontId="14" fillId="0" borderId="0" xfId="2" applyNumberFormat="1" applyBorder="1"/>
    <xf numFmtId="0" fontId="16" fillId="0" borderId="0" xfId="0" applyFont="1" applyBorder="1" applyAlignment="1">
      <alignment horizontal="center"/>
    </xf>
    <xf numFmtId="0" fontId="31" fillId="0" borderId="0" xfId="0" applyFont="1"/>
    <xf numFmtId="166" fontId="0" fillId="0" borderId="1" xfId="2" applyNumberFormat="1" applyFont="1" applyBorder="1" applyAlignment="1">
      <alignment horizontal="center"/>
    </xf>
    <xf numFmtId="0" fontId="0" fillId="0" borderId="0" xfId="0" applyFill="1" applyAlignment="1"/>
    <xf numFmtId="0" fontId="22" fillId="0" borderId="0" xfId="0" applyFont="1" applyFill="1" applyBorder="1" applyAlignment="1">
      <alignment horizontal="center"/>
    </xf>
    <xf numFmtId="0" fontId="0" fillId="0" borderId="2" xfId="0" applyFill="1" applyBorder="1"/>
    <xf numFmtId="165" fontId="31" fillId="0" borderId="0" xfId="1" applyNumberFormat="1" applyFont="1" applyBorder="1"/>
    <xf numFmtId="0" fontId="16" fillId="0" borderId="0" xfId="0" quotePrefix="1" applyFont="1"/>
    <xf numFmtId="165" fontId="19" fillId="0" borderId="0" xfId="1" applyNumberFormat="1" applyFont="1" applyAlignment="1">
      <alignment horizontal="center"/>
    </xf>
    <xf numFmtId="165" fontId="0" fillId="0" borderId="7" xfId="1" applyNumberFormat="1" applyFont="1" applyBorder="1"/>
    <xf numFmtId="0" fontId="16" fillId="0" borderId="1" xfId="0" applyFont="1" applyFill="1" applyBorder="1" applyAlignment="1">
      <alignment horizontal="center"/>
    </xf>
    <xf numFmtId="0" fontId="0" fillId="0" borderId="0" xfId="0" applyFill="1" applyAlignment="1">
      <alignment wrapText="1"/>
    </xf>
    <xf numFmtId="0" fontId="0" fillId="0" borderId="1" xfId="0" applyFill="1"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165" fontId="0" fillId="2" borderId="7" xfId="1" applyNumberFormat="1" applyFont="1" applyFill="1" applyBorder="1"/>
    <xf numFmtId="0" fontId="0" fillId="2" borderId="7" xfId="0" applyFill="1" applyBorder="1"/>
    <xf numFmtId="165" fontId="0" fillId="2" borderId="5" xfId="1" applyNumberFormat="1" applyFont="1" applyFill="1" applyBorder="1"/>
    <xf numFmtId="0" fontId="0" fillId="2" borderId="5" xfId="0" applyFill="1" applyBorder="1"/>
    <xf numFmtId="165" fontId="19" fillId="0" borderId="0" xfId="1" applyNumberFormat="1" applyFont="1" applyFill="1" applyAlignment="1">
      <alignment horizontal="center"/>
    </xf>
    <xf numFmtId="165" fontId="0" fillId="2" borderId="0" xfId="0" applyNumberFormat="1" applyFill="1"/>
    <xf numFmtId="0" fontId="0" fillId="2" borderId="0" xfId="0" applyFill="1"/>
    <xf numFmtId="165" fontId="0" fillId="2" borderId="5" xfId="0" applyNumberFormat="1" applyFill="1" applyBorder="1"/>
    <xf numFmtId="166" fontId="0" fillId="2" borderId="5" xfId="2" applyNumberFormat="1" applyFont="1" applyFill="1" applyBorder="1"/>
    <xf numFmtId="165" fontId="19" fillId="0" borderId="0" xfId="1" applyNumberFormat="1" applyFont="1" applyFill="1" applyBorder="1" applyAlignment="1">
      <alignment horizontal="center"/>
    </xf>
    <xf numFmtId="165" fontId="0" fillId="2" borderId="0" xfId="1" applyNumberFormat="1" applyFont="1" applyFill="1"/>
    <xf numFmtId="165" fontId="14" fillId="2" borderId="0" xfId="1" applyNumberFormat="1" applyFill="1"/>
    <xf numFmtId="166" fontId="14" fillId="2" borderId="5" xfId="2" applyNumberFormat="1" applyFill="1" applyBorder="1"/>
    <xf numFmtId="165" fontId="0" fillId="2" borderId="15" xfId="1" applyNumberFormat="1" applyFont="1" applyFill="1" applyBorder="1"/>
    <xf numFmtId="165" fontId="0" fillId="2" borderId="15" xfId="0" applyNumberFormat="1" applyFill="1" applyBorder="1"/>
    <xf numFmtId="166" fontId="14" fillId="0" borderId="0" xfId="2" applyNumberFormat="1" applyFill="1" applyBorder="1"/>
    <xf numFmtId="0" fontId="0" fillId="0" borderId="1" xfId="0" applyBorder="1" applyAlignment="1">
      <alignment horizontal="center" wrapText="1"/>
    </xf>
    <xf numFmtId="0" fontId="27" fillId="0" borderId="0" xfId="0" applyFont="1"/>
    <xf numFmtId="165" fontId="14" fillId="2" borderId="15" xfId="1" applyNumberFormat="1" applyFill="1" applyBorder="1"/>
    <xf numFmtId="165" fontId="14" fillId="2" borderId="5" xfId="1" applyNumberFormat="1" applyFill="1" applyBorder="1"/>
    <xf numFmtId="165" fontId="14" fillId="0" borderId="0" xfId="1" applyNumberFormat="1" applyFill="1"/>
    <xf numFmtId="165" fontId="0" fillId="0" borderId="0" xfId="1" applyNumberFormat="1" applyFont="1" applyFill="1"/>
    <xf numFmtId="0" fontId="0" fillId="2" borderId="16" xfId="0" applyFill="1" applyBorder="1" applyAlignment="1">
      <alignment horizontal="center"/>
    </xf>
    <xf numFmtId="0" fontId="0" fillId="2" borderId="13" xfId="0" applyFill="1" applyBorder="1" applyAlignment="1">
      <alignment horizontal="center"/>
    </xf>
    <xf numFmtId="0" fontId="0" fillId="2" borderId="1" xfId="0" applyFill="1" applyBorder="1" applyAlignment="1">
      <alignment horizontal="center"/>
    </xf>
    <xf numFmtId="0" fontId="0" fillId="0" borderId="0" xfId="0" applyFill="1" applyBorder="1" applyAlignment="1">
      <alignment wrapText="1"/>
    </xf>
    <xf numFmtId="0" fontId="0" fillId="0" borderId="0" xfId="0" applyFill="1" applyBorder="1" applyAlignment="1">
      <alignment horizontal="center"/>
    </xf>
    <xf numFmtId="165" fontId="31" fillId="0" borderId="0" xfId="1" applyNumberFormat="1" applyFont="1" applyFill="1" applyBorder="1"/>
    <xf numFmtId="0" fontId="24" fillId="2" borderId="14" xfId="0" applyFont="1" applyFill="1" applyBorder="1" applyAlignment="1">
      <alignment horizontal="center"/>
    </xf>
    <xf numFmtId="0" fontId="18" fillId="2" borderId="14" xfId="0" applyFont="1" applyFill="1" applyBorder="1" applyAlignment="1">
      <alignment horizontal="center"/>
    </xf>
    <xf numFmtId="0" fontId="24" fillId="2" borderId="13" xfId="0" applyFont="1" applyFill="1" applyBorder="1" applyAlignment="1">
      <alignment horizontal="center"/>
    </xf>
    <xf numFmtId="0" fontId="24" fillId="0" borderId="0" xfId="0" applyFont="1" applyFill="1" applyBorder="1"/>
    <xf numFmtId="0" fontId="24" fillId="0" borderId="0" xfId="0" applyFont="1" applyAlignment="1">
      <alignment horizontal="right"/>
    </xf>
    <xf numFmtId="165" fontId="14" fillId="0" borderId="0" xfId="1" applyNumberFormat="1" applyAlignment="1">
      <alignment horizontal="center"/>
    </xf>
    <xf numFmtId="0" fontId="0" fillId="0" borderId="5" xfId="0" applyBorder="1"/>
    <xf numFmtId="0" fontId="0" fillId="4" borderId="0" xfId="0" applyFill="1"/>
    <xf numFmtId="165" fontId="14" fillId="0" borderId="1" xfId="1" applyNumberFormat="1" applyBorder="1" applyAlignment="1">
      <alignment horizontal="center"/>
    </xf>
    <xf numFmtId="165" fontId="14" fillId="0" borderId="14" xfId="1" applyNumberFormat="1" applyFont="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165" fontId="0" fillId="0" borderId="17" xfId="1" applyNumberFormat="1" applyFont="1" applyBorder="1"/>
    <xf numFmtId="165" fontId="0" fillId="0" borderId="2" xfId="1" applyNumberFormat="1" applyFont="1" applyBorder="1"/>
    <xf numFmtId="165" fontId="0" fillId="0" borderId="18" xfId="0" applyNumberFormat="1" applyBorder="1"/>
    <xf numFmtId="165" fontId="14" fillId="0" borderId="1" xfId="1" applyNumberFormat="1" applyFill="1" applyBorder="1"/>
    <xf numFmtId="0" fontId="16" fillId="2" borderId="0" xfId="0" applyFont="1" applyFill="1" applyAlignment="1">
      <alignment horizontal="center"/>
    </xf>
    <xf numFmtId="165" fontId="16" fillId="2" borderId="0" xfId="0" applyNumberFormat="1" applyFont="1" applyFill="1" applyAlignment="1">
      <alignment horizontal="center"/>
    </xf>
    <xf numFmtId="0" fontId="36" fillId="0" borderId="0" xfId="0" applyFont="1"/>
    <xf numFmtId="0" fontId="27" fillId="0" borderId="0" xfId="0" applyFont="1" applyAlignment="1"/>
    <xf numFmtId="0" fontId="26" fillId="0" borderId="0" xfId="0" applyFont="1"/>
    <xf numFmtId="0" fontId="31" fillId="0" borderId="0" xfId="0" applyFont="1" applyAlignment="1">
      <alignment wrapText="1"/>
    </xf>
    <xf numFmtId="0" fontId="18" fillId="0" borderId="13" xfId="0" applyFont="1" applyBorder="1" applyAlignment="1">
      <alignment horizontal="center"/>
    </xf>
    <xf numFmtId="0" fontId="18" fillId="0" borderId="14" xfId="0" applyFont="1" applyBorder="1" applyAlignment="1">
      <alignment horizontal="center"/>
    </xf>
    <xf numFmtId="0" fontId="0" fillId="0" borderId="17" xfId="0" applyBorder="1"/>
    <xf numFmtId="0" fontId="0" fillId="0" borderId="13" xfId="0" applyBorder="1"/>
    <xf numFmtId="0" fontId="0" fillId="0" borderId="19" xfId="0" applyBorder="1"/>
    <xf numFmtId="165" fontId="0" fillId="0" borderId="20" xfId="0" applyNumberFormat="1" applyBorder="1"/>
    <xf numFmtId="0" fontId="0" fillId="0" borderId="14" xfId="0" applyBorder="1"/>
    <xf numFmtId="165" fontId="14" fillId="0" borderId="2" xfId="1" applyNumberFormat="1" applyFill="1" applyBorder="1"/>
    <xf numFmtId="165" fontId="14" fillId="0" borderId="13" xfId="1" applyNumberFormat="1" applyFill="1" applyBorder="1"/>
    <xf numFmtId="165" fontId="0" fillId="0" borderId="21" xfId="0" applyNumberFormat="1" applyBorder="1"/>
    <xf numFmtId="0" fontId="0" fillId="0" borderId="0" xfId="0" applyFill="1" applyBorder="1" applyAlignment="1"/>
    <xf numFmtId="166" fontId="14" fillId="0" borderId="0" xfId="2" applyNumberFormat="1" applyFill="1"/>
    <xf numFmtId="0" fontId="27" fillId="0" borderId="0" xfId="0" applyFont="1" applyAlignment="1">
      <alignment horizontal="right"/>
    </xf>
    <xf numFmtId="0" fontId="39" fillId="0" borderId="0" xfId="0" applyFont="1" applyAlignment="1">
      <alignment wrapText="1"/>
    </xf>
    <xf numFmtId="0" fontId="39" fillId="0" borderId="1" xfId="0" applyFont="1" applyBorder="1" applyAlignment="1">
      <alignment horizontal="center" wrapText="1"/>
    </xf>
    <xf numFmtId="0" fontId="40" fillId="0" borderId="0" xfId="0" applyFont="1" applyAlignment="1">
      <alignment horizontal="center" wrapText="1"/>
    </xf>
    <xf numFmtId="0" fontId="42" fillId="0" borderId="0" xfId="0" applyFont="1" applyAlignment="1">
      <alignment horizontal="center" wrapText="1"/>
    </xf>
    <xf numFmtId="166" fontId="41" fillId="0" borderId="0" xfId="2" applyNumberFormat="1" applyFont="1" applyFill="1" applyBorder="1" applyAlignment="1">
      <alignment wrapText="1"/>
    </xf>
    <xf numFmtId="0" fontId="39" fillId="0" borderId="0" xfId="0" applyFont="1"/>
    <xf numFmtId="0" fontId="27" fillId="0" borderId="0" xfId="0" applyFont="1" applyFill="1" applyAlignment="1">
      <alignment horizontal="right"/>
    </xf>
    <xf numFmtId="0" fontId="0" fillId="0" borderId="1" xfId="0" applyBorder="1" applyAlignment="1"/>
    <xf numFmtId="165" fontId="0" fillId="0" borderId="0" xfId="1" applyNumberFormat="1" applyFont="1" applyBorder="1" applyAlignment="1">
      <alignment horizontal="center"/>
    </xf>
    <xf numFmtId="165" fontId="0" fillId="0" borderId="0" xfId="1" applyNumberFormat="1" applyFont="1" applyFill="1" applyBorder="1" applyAlignment="1">
      <alignment horizontal="center"/>
    </xf>
    <xf numFmtId="0" fontId="41" fillId="0" borderId="0" xfId="0" applyFont="1" applyAlignment="1">
      <alignment wrapText="1"/>
    </xf>
    <xf numFmtId="0" fontId="16" fillId="0" borderId="0" xfId="0" applyFont="1" applyFill="1"/>
    <xf numFmtId="165" fontId="14" fillId="2" borderId="7" xfId="1" applyNumberFormat="1" applyFill="1" applyBorder="1"/>
    <xf numFmtId="165" fontId="18" fillId="0" borderId="0" xfId="1" applyNumberFormat="1" applyFont="1" applyBorder="1"/>
    <xf numFmtId="165" fontId="14" fillId="0" borderId="0" xfId="1" applyNumberFormat="1" applyFont="1" applyBorder="1" applyAlignment="1">
      <alignment horizontal="center"/>
    </xf>
    <xf numFmtId="165" fontId="14" fillId="0" borderId="0" xfId="1" applyNumberFormat="1" applyFill="1" applyBorder="1" applyAlignment="1">
      <alignment horizontal="center"/>
    </xf>
    <xf numFmtId="165" fontId="14" fillId="0" borderId="0" xfId="1" applyNumberFormat="1" applyFont="1" applyFill="1" applyBorder="1" applyAlignment="1">
      <alignment horizontal="center"/>
    </xf>
    <xf numFmtId="165" fontId="14" fillId="0" borderId="1" xfId="1" applyNumberFormat="1" applyFont="1" applyBorder="1" applyAlignment="1">
      <alignment horizontal="center"/>
    </xf>
    <xf numFmtId="165" fontId="14" fillId="0" borderId="1" xfId="1" applyNumberFormat="1" applyFont="1" applyFill="1" applyBorder="1" applyAlignment="1">
      <alignment horizontal="center"/>
    </xf>
    <xf numFmtId="0" fontId="47" fillId="0" borderId="0" xfId="0" applyFont="1"/>
    <xf numFmtId="0" fontId="17" fillId="0" borderId="0" xfId="0" applyFont="1" applyBorder="1"/>
    <xf numFmtId="0" fontId="17" fillId="0" borderId="0" xfId="0" applyFont="1" applyAlignment="1">
      <alignment wrapText="1"/>
    </xf>
    <xf numFmtId="165" fontId="14" fillId="0" borderId="0" xfId="1" applyNumberFormat="1" applyBorder="1" applyAlignment="1">
      <alignment horizontal="center"/>
    </xf>
    <xf numFmtId="0" fontId="27" fillId="0" borderId="0" xfId="0" applyFont="1" applyFill="1"/>
    <xf numFmtId="0" fontId="44" fillId="0" borderId="0" xfId="0" applyFont="1"/>
    <xf numFmtId="0" fontId="18" fillId="0" borderId="0" xfId="0" applyFont="1" applyBorder="1" applyAlignment="1">
      <alignment horizontal="left" wrapText="1"/>
    </xf>
    <xf numFmtId="0" fontId="16" fillId="0" borderId="0" xfId="0" applyFont="1" applyBorder="1" applyAlignment="1">
      <alignment horizontal="left"/>
    </xf>
    <xf numFmtId="0" fontId="16" fillId="0" borderId="0" xfId="0" applyFont="1" applyBorder="1"/>
    <xf numFmtId="9" fontId="14" fillId="0" borderId="0" xfId="3"/>
    <xf numFmtId="9" fontId="14" fillId="0" borderId="1" xfId="3" applyBorder="1" applyAlignment="1">
      <alignment horizontal="center"/>
    </xf>
    <xf numFmtId="9" fontId="14" fillId="0" borderId="0" xfId="3" applyBorder="1" applyAlignment="1">
      <alignment horizontal="center"/>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9" fontId="14" fillId="0" borderId="0" xfId="3" applyFont="1"/>
    <xf numFmtId="165" fontId="14" fillId="0" borderId="0" xfId="1" applyNumberFormat="1" applyFont="1" applyBorder="1"/>
    <xf numFmtId="9" fontId="14" fillId="0" borderId="0" xfId="3" applyBorder="1"/>
    <xf numFmtId="0" fontId="0" fillId="0" borderId="0" xfId="0" applyAlignment="1">
      <alignment horizontal="left" indent="4"/>
    </xf>
    <xf numFmtId="0" fontId="26" fillId="0" borderId="0" xfId="0" applyFont="1" applyAlignment="1"/>
    <xf numFmtId="165" fontId="18" fillId="0" borderId="0" xfId="1" applyNumberFormat="1" applyFont="1" applyBorder="1" applyAlignment="1">
      <alignment horizontal="center"/>
    </xf>
    <xf numFmtId="165" fontId="18" fillId="0" borderId="0" xfId="1" applyNumberFormat="1" applyFont="1" applyFill="1" applyBorder="1" applyAlignment="1">
      <alignment horizontal="center"/>
    </xf>
    <xf numFmtId="165" fontId="18" fillId="0" borderId="0" xfId="1" applyNumberFormat="1" applyFont="1"/>
    <xf numFmtId="0" fontId="18" fillId="0" borderId="0" xfId="0" applyFont="1" applyBorder="1" applyAlignment="1">
      <alignment horizontal="center" wrapText="1"/>
    </xf>
    <xf numFmtId="0" fontId="16" fillId="0" borderId="0" xfId="0" applyFont="1" applyBorder="1" applyAlignment="1">
      <alignment horizontal="left" wrapText="1"/>
    </xf>
    <xf numFmtId="0" fontId="18" fillId="0" borderId="1" xfId="0" applyFont="1" applyBorder="1" applyAlignment="1">
      <alignment horizontal="center" wrapText="1"/>
    </xf>
    <xf numFmtId="0" fontId="16" fillId="0" borderId="0" xfId="0" applyFont="1" applyAlignment="1">
      <alignment horizontal="left"/>
    </xf>
    <xf numFmtId="41" fontId="0" fillId="0" borderId="0" xfId="0" applyNumberFormat="1" applyFill="1" applyBorder="1" applyAlignment="1">
      <alignment horizontal="center"/>
    </xf>
    <xf numFmtId="42" fontId="0" fillId="0" borderId="0" xfId="0" applyNumberFormat="1" applyFill="1" applyBorder="1" applyAlignment="1">
      <alignment horizontal="center"/>
    </xf>
    <xf numFmtId="166" fontId="14" fillId="2" borderId="7" xfId="2" applyNumberFormat="1" applyFill="1" applyBorder="1"/>
    <xf numFmtId="9" fontId="27" fillId="0" borderId="0" xfId="3" applyFont="1" applyFill="1" applyBorder="1"/>
    <xf numFmtId="166" fontId="14" fillId="2" borderId="15" xfId="2" applyNumberFormat="1" applyFill="1" applyBorder="1"/>
    <xf numFmtId="165" fontId="16" fillId="2" borderId="22" xfId="1" applyNumberFormat="1" applyFont="1" applyFill="1" applyBorder="1" applyAlignment="1">
      <alignment horizontal="center"/>
    </xf>
    <xf numFmtId="0" fontId="19" fillId="0" borderId="0" xfId="0" applyFont="1" applyAlignment="1">
      <alignment wrapText="1"/>
    </xf>
    <xf numFmtId="9" fontId="17" fillId="0" borderId="0" xfId="3" applyFont="1" applyBorder="1" applyAlignment="1">
      <alignment horizontal="left" wrapText="1"/>
    </xf>
    <xf numFmtId="9" fontId="17" fillId="0" borderId="0" xfId="3" applyFont="1" applyFill="1" applyBorder="1" applyAlignment="1">
      <alignment horizontal="left" wrapText="1"/>
    </xf>
    <xf numFmtId="0" fontId="49" fillId="0" borderId="0" xfId="0" applyFont="1"/>
    <xf numFmtId="165" fontId="0" fillId="0" borderId="20" xfId="0" applyNumberFormat="1" applyFill="1" applyBorder="1"/>
    <xf numFmtId="9" fontId="15" fillId="0" borderId="0" xfId="3" applyFont="1"/>
    <xf numFmtId="0" fontId="45" fillId="0" borderId="0" xfId="0" applyFont="1"/>
    <xf numFmtId="0" fontId="18" fillId="0" borderId="0" xfId="0" applyFont="1" applyFill="1" applyBorder="1" applyAlignment="1">
      <alignment horizontal="left" wrapText="1"/>
    </xf>
    <xf numFmtId="0" fontId="24" fillId="0" borderId="0" xfId="0" applyFont="1" applyAlignment="1">
      <alignment horizontal="center" wrapText="1"/>
    </xf>
    <xf numFmtId="0" fontId="18" fillId="0" borderId="0" xfId="0" applyFont="1"/>
    <xf numFmtId="165" fontId="0" fillId="2" borderId="1" xfId="0" applyNumberFormat="1" applyFill="1" applyBorder="1"/>
    <xf numFmtId="0" fontId="18" fillId="0" borderId="0" xfId="0" quotePrefix="1" applyFont="1"/>
    <xf numFmtId="165" fontId="17" fillId="0" borderId="0" xfId="1" applyNumberFormat="1" applyFont="1" applyBorder="1" applyAlignment="1">
      <alignment wrapText="1"/>
    </xf>
    <xf numFmtId="0" fontId="0" fillId="0" borderId="19" xfId="0" applyBorder="1" applyAlignment="1">
      <alignment horizontal="center"/>
    </xf>
    <xf numFmtId="165" fontId="27" fillId="0" borderId="0" xfId="1" applyNumberFormat="1" applyFont="1" applyBorder="1" applyAlignment="1">
      <alignment horizontal="left"/>
    </xf>
    <xf numFmtId="165" fontId="27" fillId="0" borderId="0" xfId="1" applyNumberFormat="1" applyFont="1" applyBorder="1" applyAlignment="1">
      <alignment horizontal="right"/>
    </xf>
    <xf numFmtId="0" fontId="16" fillId="2" borderId="23" xfId="0" applyFont="1" applyFill="1" applyBorder="1" applyAlignment="1"/>
    <xf numFmtId="0" fontId="16" fillId="2" borderId="7" xfId="0" applyFont="1" applyFill="1" applyBorder="1" applyAlignment="1"/>
    <xf numFmtId="0" fontId="16" fillId="2" borderId="24" xfId="0" applyFont="1" applyFill="1" applyBorder="1" applyAlignment="1"/>
    <xf numFmtId="165" fontId="14" fillId="2" borderId="1" xfId="1" applyNumberFormat="1" applyFill="1" applyBorder="1"/>
    <xf numFmtId="165" fontId="14" fillId="4" borderId="0" xfId="1" applyNumberFormat="1" applyFill="1"/>
    <xf numFmtId="0" fontId="22" fillId="4" borderId="0" xfId="0" applyFont="1" applyFill="1"/>
    <xf numFmtId="0" fontId="0" fillId="0" borderId="2" xfId="0" applyBorder="1" applyAlignment="1">
      <alignment horizontal="center"/>
    </xf>
    <xf numFmtId="0" fontId="0" fillId="0" borderId="20" xfId="0" applyBorder="1" applyAlignment="1">
      <alignment horizontal="center"/>
    </xf>
    <xf numFmtId="0" fontId="0" fillId="0" borderId="2" xfId="0" applyFill="1" applyBorder="1" applyAlignment="1">
      <alignment horizontal="center"/>
    </xf>
    <xf numFmtId="0" fontId="0" fillId="0" borderId="20" xfId="0" applyFill="1" applyBorder="1" applyAlignment="1">
      <alignment horizontal="center"/>
    </xf>
    <xf numFmtId="0" fontId="0" fillId="0" borderId="1" xfId="0" applyFill="1" applyBorder="1"/>
    <xf numFmtId="0" fontId="0" fillId="2" borderId="25" xfId="0" applyFill="1" applyBorder="1" applyAlignment="1">
      <alignment horizontal="center"/>
    </xf>
    <xf numFmtId="0" fontId="0" fillId="2" borderId="0" xfId="0" applyFill="1" applyBorder="1" applyAlignment="1">
      <alignment horizontal="center"/>
    </xf>
    <xf numFmtId="0" fontId="0" fillId="0" borderId="7" xfId="0" applyFill="1" applyBorder="1"/>
    <xf numFmtId="165" fontId="14" fillId="0" borderId="7" xfId="1" applyNumberFormat="1" applyFill="1" applyBorder="1"/>
    <xf numFmtId="41" fontId="14" fillId="0" borderId="0" xfId="2" applyNumberFormat="1" applyFill="1"/>
    <xf numFmtId="42" fontId="0" fillId="2" borderId="0" xfId="0" applyNumberFormat="1" applyFill="1" applyBorder="1" applyAlignment="1">
      <alignment horizontal="center"/>
    </xf>
    <xf numFmtId="165" fontId="17" fillId="0" borderId="0" xfId="1" applyNumberFormat="1" applyFont="1" applyBorder="1" applyAlignment="1">
      <alignment horizontal="right" wrapText="1"/>
    </xf>
    <xf numFmtId="165" fontId="27" fillId="0" borderId="0" xfId="1" applyNumberFormat="1" applyFont="1" applyBorder="1" applyAlignment="1"/>
    <xf numFmtId="0" fontId="43" fillId="0" borderId="0" xfId="0" applyFont="1"/>
    <xf numFmtId="0" fontId="0" fillId="0" borderId="0" xfId="0" applyAlignment="1">
      <alignment horizontal="left"/>
    </xf>
    <xf numFmtId="165" fontId="0" fillId="2" borderId="1" xfId="0" applyNumberFormat="1" applyFill="1" applyBorder="1" applyAlignment="1">
      <alignment horizontal="left" indent="2"/>
    </xf>
    <xf numFmtId="165" fontId="14" fillId="0" borderId="1" xfId="1" applyNumberFormat="1" applyBorder="1"/>
    <xf numFmtId="9" fontId="17" fillId="0" borderId="0" xfId="3" applyFont="1"/>
    <xf numFmtId="41" fontId="0" fillId="2" borderId="5" xfId="0" applyNumberFormat="1" applyFill="1" applyBorder="1"/>
    <xf numFmtId="165" fontId="17" fillId="0" borderId="0" xfId="1" applyNumberFormat="1" applyFont="1"/>
    <xf numFmtId="9" fontId="27" fillId="0" borderId="0" xfId="3" applyFont="1" applyFill="1" applyBorder="1" applyAlignment="1">
      <alignment horizontal="left"/>
    </xf>
    <xf numFmtId="165" fontId="19" fillId="0" borderId="0" xfId="1" applyNumberFormat="1" applyFont="1" applyAlignment="1">
      <alignment wrapText="1"/>
    </xf>
    <xf numFmtId="165" fontId="52" fillId="0" borderId="0" xfId="1" applyNumberFormat="1" applyFont="1"/>
    <xf numFmtId="165" fontId="15" fillId="0" borderId="0" xfId="1" applyNumberFormat="1" applyFont="1" applyBorder="1"/>
    <xf numFmtId="0" fontId="0" fillId="0" borderId="5" xfId="0" applyFill="1" applyBorder="1"/>
    <xf numFmtId="0" fontId="53" fillId="0" borderId="0" xfId="0" applyFont="1" applyFill="1"/>
    <xf numFmtId="0" fontId="40" fillId="0" borderId="0" xfId="0" applyFont="1" applyFill="1"/>
    <xf numFmtId="0" fontId="16" fillId="2" borderId="0" xfId="0" applyFont="1" applyFill="1" applyBorder="1" applyAlignment="1">
      <alignment horizontal="center"/>
    </xf>
    <xf numFmtId="165" fontId="18" fillId="2" borderId="0" xfId="0" applyNumberFormat="1" applyFont="1" applyFill="1" applyBorder="1" applyAlignment="1">
      <alignment horizontal="center"/>
    </xf>
    <xf numFmtId="165" fontId="0" fillId="2" borderId="5" xfId="1" applyNumberFormat="1" applyFont="1" applyFill="1" applyBorder="1" applyAlignment="1">
      <alignment horizontal="left" indent="2"/>
    </xf>
    <xf numFmtId="165" fontId="27" fillId="0" borderId="0" xfId="1" applyNumberFormat="1" applyFont="1" applyBorder="1" applyAlignment="1">
      <alignment horizontal="center"/>
    </xf>
    <xf numFmtId="165" fontId="14" fillId="0" borderId="1" xfId="1" applyNumberFormat="1" applyFont="1" applyBorder="1"/>
    <xf numFmtId="165" fontId="39" fillId="0" borderId="1" xfId="1" applyNumberFormat="1" applyFont="1" applyBorder="1"/>
    <xf numFmtId="0" fontId="18" fillId="0" borderId="0" xfId="0" applyFont="1" applyAlignment="1">
      <alignment horizontal="center"/>
    </xf>
    <xf numFmtId="165" fontId="55" fillId="0" borderId="0" xfId="1" applyNumberFormat="1" applyFont="1" applyBorder="1" applyAlignment="1">
      <alignment horizontal="center"/>
    </xf>
    <xf numFmtId="0" fontId="56" fillId="0" borderId="0" xfId="0" applyFont="1"/>
    <xf numFmtId="165" fontId="24" fillId="0" borderId="0" xfId="1" applyNumberFormat="1" applyFont="1" applyFill="1"/>
    <xf numFmtId="0" fontId="0" fillId="5" borderId="6" xfId="0" applyFill="1" applyBorder="1"/>
    <xf numFmtId="0" fontId="0" fillId="5" borderId="0" xfId="0" applyFill="1" applyBorder="1"/>
    <xf numFmtId="0" fontId="0" fillId="5" borderId="0" xfId="0" applyFill="1"/>
    <xf numFmtId="0" fontId="18" fillId="5" borderId="0" xfId="0" applyFont="1" applyFill="1"/>
    <xf numFmtId="165" fontId="0" fillId="2" borderId="0" xfId="1" applyNumberFormat="1" applyFont="1" applyFill="1" applyBorder="1"/>
    <xf numFmtId="165" fontId="14" fillId="2" borderId="0" xfId="1" applyNumberFormat="1" applyFont="1" applyFill="1"/>
    <xf numFmtId="0" fontId="0" fillId="0" borderId="26" xfId="0" applyBorder="1"/>
    <xf numFmtId="0" fontId="16" fillId="5" borderId="6" xfId="0" applyFont="1" applyFill="1" applyBorder="1"/>
    <xf numFmtId="0" fontId="15" fillId="0" borderId="6" xfId="0" applyFont="1" applyBorder="1"/>
    <xf numFmtId="0" fontId="0" fillId="0" borderId="27" xfId="0" applyBorder="1" applyAlignment="1">
      <alignment horizontal="center"/>
    </xf>
    <xf numFmtId="0" fontId="0" fillId="3" borderId="12" xfId="0" applyFill="1" applyBorder="1" applyAlignment="1">
      <alignment horizontal="center"/>
    </xf>
    <xf numFmtId="0" fontId="0" fillId="3" borderId="25" xfId="0" applyFill="1" applyBorder="1" applyAlignment="1">
      <alignment horizontal="center"/>
    </xf>
    <xf numFmtId="0" fontId="0" fillId="3" borderId="16" xfId="0" applyFill="1" applyBorder="1" applyAlignment="1">
      <alignment horizontal="center"/>
    </xf>
    <xf numFmtId="0" fontId="0" fillId="3" borderId="0" xfId="0" applyFill="1"/>
    <xf numFmtId="165" fontId="0" fillId="3" borderId="0" xfId="0" applyNumberFormat="1" applyFill="1"/>
    <xf numFmtId="165" fontId="0" fillId="3" borderId="5" xfId="0" applyNumberFormat="1" applyFill="1" applyBorder="1"/>
    <xf numFmtId="165" fontId="0" fillId="0" borderId="2" xfId="1" applyNumberFormat="1" applyFont="1" applyFill="1" applyBorder="1"/>
    <xf numFmtId="165" fontId="0" fillId="0" borderId="13" xfId="1" applyNumberFormat="1" applyFont="1" applyFill="1" applyBorder="1"/>
    <xf numFmtId="0" fontId="17" fillId="0" borderId="0" xfId="0" applyFont="1" applyBorder="1" applyAlignment="1">
      <alignment textRotation="90"/>
    </xf>
    <xf numFmtId="0" fontId="16" fillId="3" borderId="28" xfId="0" applyFont="1" applyFill="1" applyBorder="1"/>
    <xf numFmtId="0" fontId="15" fillId="0" borderId="0" xfId="0" applyFont="1" applyBorder="1"/>
    <xf numFmtId="0" fontId="17" fillId="5" borderId="0" xfId="0" applyFont="1" applyFill="1" applyBorder="1"/>
    <xf numFmtId="0" fontId="16" fillId="0" borderId="0" xfId="0" applyFont="1" applyBorder="1" applyAlignment="1"/>
    <xf numFmtId="0" fontId="16" fillId="0" borderId="8" xfId="0" applyFont="1" applyFill="1" applyBorder="1"/>
    <xf numFmtId="0" fontId="16" fillId="5" borderId="0" xfId="0" applyFont="1" applyFill="1" applyBorder="1"/>
    <xf numFmtId="0" fontId="0" fillId="0" borderId="29" xfId="0" applyBorder="1"/>
    <xf numFmtId="0" fontId="16" fillId="0" borderId="0" xfId="0" applyFont="1" applyFill="1" applyBorder="1" applyAlignment="1">
      <alignment wrapText="1"/>
    </xf>
    <xf numFmtId="165" fontId="0" fillId="2" borderId="18" xfId="1" applyNumberFormat="1" applyFont="1" applyFill="1" applyBorder="1"/>
    <xf numFmtId="165" fontId="0" fillId="2" borderId="1" xfId="1" applyNumberFormat="1" applyFont="1" applyFill="1" applyBorder="1"/>
    <xf numFmtId="0" fontId="15" fillId="0" borderId="0" xfId="0" applyFont="1" applyAlignment="1">
      <alignment horizontal="center"/>
    </xf>
    <xf numFmtId="0" fontId="15" fillId="0" borderId="0" xfId="0" applyFont="1" applyFill="1" applyAlignment="1">
      <alignment horizontal="center"/>
    </xf>
    <xf numFmtId="0" fontId="58" fillId="0" borderId="0" xfId="0" applyFont="1" applyAlignment="1">
      <alignment horizontal="center"/>
    </xf>
    <xf numFmtId="0" fontId="59" fillId="0" borderId="0" xfId="0" applyFont="1" applyAlignment="1">
      <alignment horizontal="center"/>
    </xf>
    <xf numFmtId="0" fontId="17" fillId="0" borderId="0" xfId="0" applyFont="1" applyAlignment="1">
      <alignment horizontal="center" wrapText="1"/>
    </xf>
    <xf numFmtId="0" fontId="60" fillId="0" borderId="0" xfId="0" applyFont="1"/>
    <xf numFmtId="165" fontId="18" fillId="2" borderId="0" xfId="0" applyNumberFormat="1" applyFont="1" applyFill="1" applyAlignment="1">
      <alignment horizontal="center"/>
    </xf>
    <xf numFmtId="165" fontId="0" fillId="2" borderId="21" xfId="1" applyNumberFormat="1" applyFont="1" applyFill="1" applyBorder="1"/>
    <xf numFmtId="165" fontId="0" fillId="0" borderId="1" xfId="1" applyNumberFormat="1" applyFont="1" applyFill="1" applyBorder="1"/>
    <xf numFmtId="165" fontId="14" fillId="2" borderId="0" xfId="1" applyNumberFormat="1" applyFill="1" applyAlignment="1">
      <alignment horizontal="right"/>
    </xf>
    <xf numFmtId="165" fontId="60" fillId="0" borderId="0" xfId="0" applyNumberFormat="1" applyFont="1"/>
    <xf numFmtId="0" fontId="16" fillId="0" borderId="12" xfId="0" applyFont="1" applyBorder="1" applyAlignment="1">
      <alignment horizontal="center"/>
    </xf>
    <xf numFmtId="0" fontId="16" fillId="0" borderId="0" xfId="0" applyFont="1" applyAlignment="1">
      <alignment wrapText="1"/>
    </xf>
    <xf numFmtId="0" fontId="16" fillId="0" borderId="19" xfId="0" applyFont="1" applyBorder="1" applyAlignment="1">
      <alignment horizontal="center"/>
    </xf>
    <xf numFmtId="0" fontId="0" fillId="0" borderId="30" xfId="0" applyBorder="1"/>
    <xf numFmtId="0" fontId="0" fillId="0" borderId="25" xfId="0" applyBorder="1"/>
    <xf numFmtId="0" fontId="16" fillId="0" borderId="16" xfId="0" applyFont="1" applyBorder="1"/>
    <xf numFmtId="0" fontId="18" fillId="0" borderId="25" xfId="0" applyFont="1" applyBorder="1" applyAlignment="1">
      <alignment horizontal="left"/>
    </xf>
    <xf numFmtId="0" fontId="63" fillId="0" borderId="0" xfId="0" applyFont="1"/>
    <xf numFmtId="0" fontId="18" fillId="0" borderId="16" xfId="0" applyFont="1" applyBorder="1" applyAlignment="1">
      <alignment horizontal="left"/>
    </xf>
    <xf numFmtId="0" fontId="16" fillId="0" borderId="30" xfId="0" applyFont="1" applyBorder="1" applyAlignment="1">
      <alignment horizontal="center"/>
    </xf>
    <xf numFmtId="0" fontId="16" fillId="0" borderId="25" xfId="0" applyFont="1" applyBorder="1" applyAlignment="1">
      <alignment horizontal="center"/>
    </xf>
    <xf numFmtId="0" fontId="16" fillId="0" borderId="16" xfId="0" applyFont="1" applyBorder="1" applyAlignment="1">
      <alignment horizontal="left"/>
    </xf>
    <xf numFmtId="0" fontId="16" fillId="0" borderId="16" xfId="0" applyFont="1" applyBorder="1" applyAlignment="1">
      <alignment horizontal="center"/>
    </xf>
    <xf numFmtId="0" fontId="16" fillId="0" borderId="25" xfId="0" applyFont="1" applyBorder="1" applyAlignment="1">
      <alignment horizontal="left"/>
    </xf>
    <xf numFmtId="0" fontId="0" fillId="0" borderId="16" xfId="0" applyBorder="1"/>
    <xf numFmtId="0" fontId="0" fillId="0" borderId="22" xfId="0" applyBorder="1"/>
    <xf numFmtId="0" fontId="0" fillId="0" borderId="12" xfId="0" applyBorder="1"/>
    <xf numFmtId="0" fontId="0" fillId="0" borderId="0" xfId="0" applyAlignment="1">
      <alignment horizontal="centerContinuous"/>
    </xf>
    <xf numFmtId="0" fontId="16" fillId="0" borderId="0" xfId="0" applyFont="1" applyBorder="1" applyAlignment="1">
      <alignment wrapText="1"/>
    </xf>
    <xf numFmtId="0" fontId="16" fillId="0" borderId="30" xfId="0" applyFont="1" applyBorder="1" applyAlignment="1">
      <alignment wrapText="1"/>
    </xf>
    <xf numFmtId="0" fontId="16" fillId="0" borderId="20" xfId="0" applyFont="1" applyBorder="1" applyAlignment="1">
      <alignment horizontal="center"/>
    </xf>
    <xf numFmtId="0" fontId="16" fillId="0" borderId="14" xfId="0" applyFont="1" applyBorder="1" applyAlignment="1">
      <alignment horizontal="center"/>
    </xf>
    <xf numFmtId="0" fontId="0" fillId="0" borderId="25" xfId="0" applyBorder="1" applyAlignment="1">
      <alignment wrapText="1"/>
    </xf>
    <xf numFmtId="0" fontId="16" fillId="0" borderId="25" xfId="0" applyFont="1" applyBorder="1"/>
    <xf numFmtId="0" fontId="0" fillId="0" borderId="25" xfId="0" applyBorder="1" applyAlignment="1"/>
    <xf numFmtId="0" fontId="0" fillId="0" borderId="16" xfId="0" applyBorder="1" applyAlignment="1">
      <alignment wrapText="1"/>
    </xf>
    <xf numFmtId="38" fontId="0" fillId="2" borderId="0" xfId="0" applyNumberFormat="1" applyFill="1" applyAlignment="1">
      <alignment wrapText="1"/>
    </xf>
    <xf numFmtId="38" fontId="0" fillId="2" borderId="1" xfId="0" applyNumberFormat="1" applyFill="1" applyBorder="1" applyAlignment="1">
      <alignment wrapText="1"/>
    </xf>
    <xf numFmtId="0" fontId="62" fillId="0" borderId="0" xfId="0" applyFont="1" applyFill="1" applyBorder="1" applyAlignment="1">
      <alignment horizontal="center"/>
    </xf>
    <xf numFmtId="0" fontId="34" fillId="0" borderId="0" xfId="0" applyFont="1" applyBorder="1" applyAlignment="1">
      <alignment horizontal="centerContinuous"/>
    </xf>
    <xf numFmtId="0" fontId="52" fillId="5" borderId="0" xfId="0" applyFont="1" applyFill="1" applyAlignment="1">
      <alignment wrapText="1"/>
    </xf>
    <xf numFmtId="0" fontId="48" fillId="0" borderId="0" xfId="0" applyFont="1"/>
    <xf numFmtId="0" fontId="17" fillId="0" borderId="0" xfId="0" applyFont="1" applyBorder="1" applyAlignment="1">
      <alignment horizontal="left" indent="1"/>
    </xf>
    <xf numFmtId="0" fontId="16" fillId="0" borderId="25" xfId="0" applyFont="1" applyBorder="1" applyAlignment="1">
      <alignment wrapText="1"/>
    </xf>
    <xf numFmtId="38" fontId="0" fillId="0" borderId="1" xfId="0" applyNumberFormat="1" applyFill="1" applyBorder="1" applyAlignment="1">
      <alignment horizontal="center"/>
    </xf>
    <xf numFmtId="38" fontId="0" fillId="2" borderId="0" xfId="0" applyNumberFormat="1" applyFill="1" applyBorder="1"/>
    <xf numFmtId="38" fontId="0" fillId="2" borderId="12" xfId="0" applyNumberFormat="1" applyFill="1" applyBorder="1"/>
    <xf numFmtId="38" fontId="0" fillId="2" borderId="1" xfId="0" applyNumberFormat="1" applyFill="1" applyBorder="1"/>
    <xf numFmtId="38" fontId="0" fillId="2" borderId="31" xfId="0" applyNumberFormat="1" applyFill="1" applyBorder="1"/>
    <xf numFmtId="0" fontId="16" fillId="0" borderId="1" xfId="0" applyFont="1" applyBorder="1"/>
    <xf numFmtId="0" fontId="0" fillId="0" borderId="0" xfId="0" applyBorder="1" applyAlignment="1">
      <alignment wrapText="1"/>
    </xf>
    <xf numFmtId="0" fontId="0" fillId="0" borderId="0" xfId="0" applyBorder="1" applyAlignment="1">
      <alignment horizontal="left" wrapText="1" indent="4"/>
    </xf>
    <xf numFmtId="165" fontId="14" fillId="2" borderId="5" xfId="1" applyNumberFormat="1" applyFont="1" applyFill="1" applyBorder="1"/>
    <xf numFmtId="38" fontId="0" fillId="2" borderId="32" xfId="0" applyNumberFormat="1" applyFill="1" applyBorder="1"/>
    <xf numFmtId="0" fontId="0" fillId="0" borderId="0" xfId="0" applyFill="1" applyAlignment="1">
      <alignment horizontal="left" indent="1"/>
    </xf>
    <xf numFmtId="165" fontId="14" fillId="2" borderId="5" xfId="1" applyNumberFormat="1" applyFill="1" applyBorder="1" applyAlignment="1">
      <alignment horizontal="left" indent="2"/>
    </xf>
    <xf numFmtId="0" fontId="16" fillId="3" borderId="0" xfId="0" applyFont="1" applyFill="1" applyBorder="1" applyAlignment="1">
      <alignment horizontal="center"/>
    </xf>
    <xf numFmtId="0" fontId="34" fillId="0" borderId="0" xfId="0" applyFont="1" applyFill="1" applyBorder="1" applyAlignment="1">
      <alignment horizontal="center"/>
    </xf>
    <xf numFmtId="0" fontId="44" fillId="0" borderId="0" xfId="0" applyFont="1" applyFill="1"/>
    <xf numFmtId="0" fontId="0" fillId="0" borderId="0" xfId="0" applyBorder="1" applyProtection="1">
      <protection locked="0"/>
    </xf>
    <xf numFmtId="165" fontId="0" fillId="0" borderId="0" xfId="1" applyNumberFormat="1" applyFont="1" applyBorder="1" applyProtection="1">
      <protection locked="0"/>
    </xf>
    <xf numFmtId="165" fontId="14" fillId="0" borderId="0" xfId="1" applyNumberFormat="1" applyBorder="1" applyProtection="1">
      <protection locked="0"/>
    </xf>
    <xf numFmtId="165" fontId="0" fillId="0" borderId="0" xfId="1" applyNumberFormat="1" applyFont="1" applyFill="1" applyBorder="1" applyProtection="1">
      <protection locked="0"/>
    </xf>
    <xf numFmtId="165" fontId="14" fillId="0" borderId="0" xfId="1" applyNumberFormat="1" applyFill="1" applyBorder="1" applyProtection="1">
      <protection locked="0"/>
    </xf>
    <xf numFmtId="0" fontId="0" fillId="0" borderId="0" xfId="0" applyFill="1" applyBorder="1" applyProtection="1">
      <protection locked="0"/>
    </xf>
    <xf numFmtId="165" fontId="0" fillId="6" borderId="0" xfId="1" applyNumberFormat="1" applyFont="1" applyFill="1" applyBorder="1" applyProtection="1">
      <protection locked="0"/>
    </xf>
    <xf numFmtId="0" fontId="0" fillId="6" borderId="0" xfId="0" applyFill="1" applyProtection="1">
      <protection locked="0"/>
    </xf>
    <xf numFmtId="165" fontId="0" fillId="6" borderId="0" xfId="1" applyNumberFormat="1" applyFont="1" applyFill="1" applyProtection="1">
      <protection locked="0"/>
    </xf>
    <xf numFmtId="165" fontId="0" fillId="6" borderId="0" xfId="1" quotePrefix="1" applyNumberFormat="1" applyFont="1" applyFill="1" applyProtection="1">
      <protection locked="0"/>
    </xf>
    <xf numFmtId="165" fontId="19" fillId="0" borderId="0" xfId="1" applyNumberFormat="1" applyFont="1" applyFill="1" applyBorder="1" applyAlignment="1" applyProtection="1">
      <alignment horizontal="center"/>
      <protection locked="0"/>
    </xf>
    <xf numFmtId="166" fontId="0" fillId="6" borderId="0" xfId="2" applyNumberFormat="1" applyFont="1" applyFill="1" applyProtection="1">
      <protection locked="0"/>
    </xf>
    <xf numFmtId="165" fontId="14" fillId="0" borderId="0" xfId="1" applyNumberFormat="1" applyProtection="1">
      <protection locked="0"/>
    </xf>
    <xf numFmtId="165" fontId="14" fillId="6" borderId="0" xfId="1" applyNumberFormat="1" applyFill="1" applyProtection="1">
      <protection locked="0"/>
    </xf>
    <xf numFmtId="41" fontId="14" fillId="6" borderId="0" xfId="2" applyNumberFormat="1" applyFill="1" applyProtection="1">
      <protection locked="0"/>
    </xf>
    <xf numFmtId="41" fontId="14" fillId="0" borderId="0" xfId="2" applyNumberFormat="1" applyFill="1" applyProtection="1">
      <protection locked="0"/>
    </xf>
    <xf numFmtId="41" fontId="0" fillId="6" borderId="0" xfId="0" applyNumberFormat="1" applyFill="1" applyProtection="1">
      <protection locked="0"/>
    </xf>
    <xf numFmtId="165" fontId="0" fillId="6" borderId="1" xfId="1" applyNumberFormat="1" applyFont="1" applyFill="1" applyBorder="1" applyProtection="1">
      <protection locked="0"/>
    </xf>
    <xf numFmtId="0" fontId="0" fillId="0" borderId="0" xfId="0" applyProtection="1">
      <protection locked="0"/>
    </xf>
    <xf numFmtId="165" fontId="0" fillId="0" borderId="0" xfId="1" applyNumberFormat="1" applyFont="1" applyProtection="1">
      <protection locked="0"/>
    </xf>
    <xf numFmtId="165" fontId="14" fillId="6" borderId="0" xfId="1" applyNumberFormat="1" applyFill="1" applyBorder="1" applyProtection="1">
      <protection locked="0"/>
    </xf>
    <xf numFmtId="165" fontId="0" fillId="6" borderId="0" xfId="0" applyNumberFormat="1" applyFill="1" applyProtection="1">
      <protection locked="0"/>
    </xf>
    <xf numFmtId="165" fontId="0" fillId="0" borderId="0" xfId="0" applyNumberFormat="1" applyProtection="1">
      <protection locked="0"/>
    </xf>
    <xf numFmtId="165" fontId="14" fillId="6" borderId="1" xfId="1" applyNumberFormat="1" applyFill="1" applyBorder="1" applyProtection="1">
      <protection locked="0"/>
    </xf>
    <xf numFmtId="165" fontId="0" fillId="6" borderId="2" xfId="1" applyNumberFormat="1" applyFont="1" applyFill="1" applyBorder="1" applyProtection="1">
      <protection locked="0"/>
    </xf>
    <xf numFmtId="165" fontId="0" fillId="6" borderId="13" xfId="1" applyNumberFormat="1" applyFont="1" applyFill="1" applyBorder="1" applyProtection="1">
      <protection locked="0"/>
    </xf>
    <xf numFmtId="165" fontId="18" fillId="6" borderId="0" xfId="1" applyNumberFormat="1" applyFont="1" applyFill="1" applyBorder="1" applyProtection="1">
      <protection locked="0"/>
    </xf>
    <xf numFmtId="165" fontId="18" fillId="0" borderId="0" xfId="1" applyNumberFormat="1" applyFont="1" applyFill="1" applyBorder="1" applyProtection="1">
      <protection locked="0"/>
    </xf>
    <xf numFmtId="166" fontId="14" fillId="6" borderId="0" xfId="2" applyNumberFormat="1" applyFill="1" applyProtection="1">
      <protection locked="0"/>
    </xf>
    <xf numFmtId="165" fontId="14" fillId="6" borderId="0" xfId="1" applyNumberFormat="1" applyFont="1" applyFill="1" applyProtection="1">
      <protection locked="0"/>
    </xf>
    <xf numFmtId="165" fontId="0" fillId="6" borderId="0" xfId="1" applyNumberFormat="1" applyFont="1" applyFill="1" applyBorder="1" applyAlignment="1" applyProtection="1">
      <alignment horizontal="center"/>
      <protection locked="0"/>
    </xf>
    <xf numFmtId="165" fontId="14" fillId="6" borderId="0" xfId="1" applyNumberFormat="1" applyFill="1" applyBorder="1" applyAlignment="1" applyProtection="1">
      <alignment horizontal="center"/>
      <protection locked="0"/>
    </xf>
    <xf numFmtId="164" fontId="0" fillId="6" borderId="0" xfId="1" applyNumberFormat="1" applyFont="1" applyFill="1" applyProtection="1">
      <protection locked="0"/>
    </xf>
    <xf numFmtId="0" fontId="16" fillId="3" borderId="30" xfId="0" applyFont="1" applyFill="1" applyBorder="1" applyAlignment="1">
      <alignment horizontal="center"/>
    </xf>
    <xf numFmtId="0" fontId="16" fillId="3" borderId="25" xfId="0" applyFont="1" applyFill="1" applyBorder="1" applyAlignment="1">
      <alignment horizontal="center"/>
    </xf>
    <xf numFmtId="0" fontId="16" fillId="3" borderId="16" xfId="0" applyFont="1" applyFill="1" applyBorder="1" applyAlignment="1">
      <alignment horizontal="center"/>
    </xf>
    <xf numFmtId="0" fontId="16" fillId="3" borderId="1" xfId="0" applyFont="1" applyFill="1" applyBorder="1" applyAlignment="1">
      <alignment horizontal="center"/>
    </xf>
    <xf numFmtId="0" fontId="0" fillId="6" borderId="22" xfId="0" applyFill="1" applyBorder="1"/>
    <xf numFmtId="0" fontId="16" fillId="5" borderId="0" xfId="0" applyFont="1" applyFill="1" applyBorder="1" applyProtection="1">
      <protection locked="0"/>
    </xf>
    <xf numFmtId="0" fontId="0" fillId="0" borderId="0" xfId="0" applyFill="1" applyProtection="1">
      <protection locked="0"/>
    </xf>
    <xf numFmtId="0" fontId="16" fillId="0" borderId="0" xfId="0" applyFont="1" applyBorder="1" applyAlignment="1" applyProtection="1">
      <protection locked="0"/>
    </xf>
    <xf numFmtId="0" fontId="0" fillId="0" borderId="0" xfId="0" applyProtection="1"/>
    <xf numFmtId="0" fontId="39" fillId="0" borderId="0" xfId="0" applyFont="1" applyProtection="1">
      <protection locked="0"/>
    </xf>
    <xf numFmtId="0" fontId="16" fillId="0" borderId="0" xfId="0" applyFont="1" applyAlignment="1" applyProtection="1">
      <alignment horizontal="center"/>
      <protection locked="0"/>
    </xf>
    <xf numFmtId="0" fontId="16" fillId="0" borderId="0" xfId="0" applyFont="1" applyFill="1" applyBorder="1" applyAlignment="1" applyProtection="1">
      <alignment horizontal="center"/>
      <protection locked="0"/>
    </xf>
    <xf numFmtId="0" fontId="16" fillId="0" borderId="1" xfId="0" applyFont="1" applyFill="1" applyBorder="1" applyAlignment="1" applyProtection="1">
      <alignment horizontal="center"/>
      <protection locked="0"/>
    </xf>
    <xf numFmtId="0" fontId="42" fillId="0" borderId="0" xfId="0" applyFont="1" applyAlignment="1" applyProtection="1">
      <alignment horizontal="center" wrapText="1"/>
      <protection locked="0"/>
    </xf>
    <xf numFmtId="0" fontId="0" fillId="0" borderId="0" xfId="0" applyAlignment="1" applyProtection="1">
      <alignment horizontal="left" indent="2"/>
      <protection locked="0"/>
    </xf>
    <xf numFmtId="0" fontId="0" fillId="0" borderId="0" xfId="0" applyAlignment="1" applyProtection="1">
      <alignment horizontal="left" indent="1"/>
      <protection locked="0"/>
    </xf>
    <xf numFmtId="0" fontId="18" fillId="0" borderId="25" xfId="0" applyFont="1" applyBorder="1" applyAlignment="1" applyProtection="1">
      <alignment horizontal="left"/>
      <protection locked="0"/>
    </xf>
    <xf numFmtId="0" fontId="0" fillId="0" borderId="0" xfId="0" applyBorder="1" applyAlignment="1" applyProtection="1">
      <alignment wrapText="1"/>
      <protection locked="0"/>
    </xf>
    <xf numFmtId="0" fontId="27" fillId="0" borderId="0" xfId="0" applyFont="1" applyBorder="1" applyAlignment="1">
      <alignment horizontal="right"/>
    </xf>
    <xf numFmtId="165" fontId="0" fillId="6" borderId="16" xfId="1" applyNumberFormat="1" applyFont="1" applyFill="1" applyBorder="1" applyProtection="1">
      <protection locked="0"/>
    </xf>
    <xf numFmtId="165" fontId="0" fillId="6" borderId="22" xfId="1" applyNumberFormat="1" applyFont="1" applyFill="1" applyBorder="1" applyProtection="1">
      <protection locked="0"/>
    </xf>
    <xf numFmtId="165" fontId="39" fillId="2" borderId="30" xfId="1" applyNumberFormat="1" applyFont="1" applyFill="1" applyBorder="1"/>
    <xf numFmtId="165" fontId="18" fillId="2" borderId="25" xfId="1" applyNumberFormat="1" applyFont="1" applyFill="1" applyBorder="1"/>
    <xf numFmtId="165" fontId="18" fillId="2" borderId="16" xfId="1" applyNumberFormat="1" applyFont="1" applyFill="1" applyBorder="1"/>
    <xf numFmtId="0" fontId="16" fillId="0" borderId="0" xfId="0" applyFont="1" applyBorder="1" applyAlignment="1">
      <alignment horizontal="left" wrapText="1" indent="1"/>
    </xf>
    <xf numFmtId="0" fontId="16" fillId="0" borderId="6" xfId="0" applyFont="1" applyFill="1" applyBorder="1"/>
    <xf numFmtId="0" fontId="0" fillId="3" borderId="33" xfId="0" applyFill="1" applyBorder="1"/>
    <xf numFmtId="0" fontId="16" fillId="0" borderId="0" xfId="0" applyFont="1" applyAlignment="1"/>
    <xf numFmtId="165" fontId="14" fillId="0" borderId="0" xfId="1" applyNumberFormat="1" applyFont="1" applyAlignment="1">
      <alignment horizontal="center"/>
    </xf>
    <xf numFmtId="165" fontId="18" fillId="0" borderId="0" xfId="1" applyNumberFormat="1" applyFont="1" applyAlignment="1">
      <alignment horizontal="center"/>
    </xf>
    <xf numFmtId="0" fontId="0" fillId="0" borderId="0" xfId="0" applyBorder="1" applyAlignment="1">
      <alignment horizontal="left" wrapText="1" indent="1"/>
    </xf>
    <xf numFmtId="0" fontId="0" fillId="0" borderId="0" xfId="0" applyBorder="1" applyAlignment="1">
      <alignment horizontal="left" indent="1"/>
    </xf>
    <xf numFmtId="38" fontId="0" fillId="0" borderId="0" xfId="0" applyNumberFormat="1" applyBorder="1"/>
    <xf numFmtId="38" fontId="0" fillId="6" borderId="0" xfId="0" applyNumberFormat="1" applyFill="1" applyBorder="1" applyProtection="1">
      <protection locked="0"/>
    </xf>
    <xf numFmtId="0" fontId="52" fillId="0" borderId="0" xfId="0" applyFont="1" applyFill="1" applyAlignment="1">
      <alignment wrapText="1"/>
    </xf>
    <xf numFmtId="165" fontId="18" fillId="0" borderId="1" xfId="1" applyNumberFormat="1" applyFont="1" applyBorder="1" applyAlignment="1">
      <alignment horizontal="center"/>
    </xf>
    <xf numFmtId="0" fontId="18" fillId="0" borderId="0" xfId="0" applyFont="1" applyFill="1" applyBorder="1"/>
    <xf numFmtId="0" fontId="17" fillId="0" borderId="0" xfId="0" applyFont="1" applyAlignment="1">
      <alignment horizontal="left" indent="1"/>
    </xf>
    <xf numFmtId="0" fontId="0" fillId="7" borderId="0" xfId="0" applyFill="1"/>
    <xf numFmtId="165" fontId="0" fillId="7" borderId="0" xfId="0" applyNumberFormat="1" applyFill="1"/>
    <xf numFmtId="165" fontId="0" fillId="7" borderId="0" xfId="1" applyNumberFormat="1" applyFont="1" applyFill="1"/>
    <xf numFmtId="0" fontId="16" fillId="7" borderId="0" xfId="0" applyFont="1" applyFill="1"/>
    <xf numFmtId="0" fontId="39" fillId="7" borderId="0" xfId="0" applyFont="1" applyFill="1"/>
    <xf numFmtId="0" fontId="45" fillId="3" borderId="30" xfId="0" quotePrefix="1" applyFont="1" applyFill="1" applyBorder="1" applyAlignment="1">
      <alignment horizontal="center"/>
    </xf>
    <xf numFmtId="0" fontId="34" fillId="3" borderId="30" xfId="0" quotePrefix="1" applyFont="1" applyFill="1" applyBorder="1" applyAlignment="1">
      <alignment horizontal="center"/>
    </xf>
    <xf numFmtId="0" fontId="34" fillId="3" borderId="12" xfId="0" quotePrefix="1" applyFont="1" applyFill="1" applyBorder="1" applyAlignment="1">
      <alignment horizontal="center"/>
    </xf>
    <xf numFmtId="0" fontId="0" fillId="8" borderId="22" xfId="0" applyFill="1" applyBorder="1"/>
    <xf numFmtId="165" fontId="0" fillId="8" borderId="16" xfId="1" applyNumberFormat="1" applyFont="1" applyFill="1" applyBorder="1"/>
    <xf numFmtId="38" fontId="0" fillId="8" borderId="34" xfId="0" applyNumberFormat="1" applyFill="1" applyBorder="1"/>
    <xf numFmtId="38" fontId="0" fillId="8" borderId="7" xfId="0" applyNumberFormat="1" applyFill="1" applyBorder="1"/>
    <xf numFmtId="165" fontId="0" fillId="8" borderId="5" xfId="1" applyNumberFormat="1" applyFont="1" applyFill="1" applyBorder="1" applyAlignment="1">
      <alignment wrapText="1"/>
    </xf>
    <xf numFmtId="38" fontId="0" fillId="0" borderId="0" xfId="0" applyNumberFormat="1" applyFill="1" applyBorder="1" applyProtection="1">
      <protection locked="0"/>
    </xf>
    <xf numFmtId="0" fontId="18" fillId="0" borderId="16" xfId="0" applyFont="1" applyBorder="1" applyAlignment="1">
      <alignment horizontal="left" indent="2"/>
    </xf>
    <xf numFmtId="0" fontId="66" fillId="0" borderId="0" xfId="0" applyFont="1"/>
    <xf numFmtId="165" fontId="17" fillId="0" borderId="0" xfId="1" applyNumberFormat="1" applyFont="1" applyFill="1" applyBorder="1" applyAlignment="1">
      <alignment wrapText="1"/>
    </xf>
    <xf numFmtId="165" fontId="0" fillId="0" borderId="0" xfId="1" applyNumberFormat="1" applyFont="1" applyFill="1" applyProtection="1">
      <protection locked="0"/>
    </xf>
    <xf numFmtId="0" fontId="19" fillId="0" borderId="0" xfId="0" applyFont="1"/>
    <xf numFmtId="0" fontId="34" fillId="4" borderId="7" xfId="0" applyFont="1" applyFill="1" applyBorder="1"/>
    <xf numFmtId="0" fontId="34" fillId="4" borderId="24" xfId="0" applyFont="1" applyFill="1" applyBorder="1"/>
    <xf numFmtId="165" fontId="17" fillId="0" borderId="0" xfId="1" applyNumberFormat="1" applyFont="1" applyAlignment="1">
      <alignment wrapText="1"/>
    </xf>
    <xf numFmtId="0" fontId="0" fillId="0" borderId="0" xfId="0" quotePrefix="1" applyAlignment="1">
      <alignment horizontal="center"/>
    </xf>
    <xf numFmtId="165" fontId="0" fillId="0" borderId="0" xfId="1" applyNumberFormat="1" applyFont="1" applyAlignment="1">
      <alignment horizontal="left" indent="1"/>
    </xf>
    <xf numFmtId="165" fontId="0" fillId="0" borderId="0" xfId="1" applyNumberFormat="1" applyFont="1" applyAlignment="1">
      <alignment horizontal="right" wrapText="1"/>
    </xf>
    <xf numFmtId="41" fontId="0" fillId="2" borderId="7" xfId="1" applyNumberFormat="1" applyFont="1" applyFill="1" applyBorder="1"/>
    <xf numFmtId="41" fontId="0" fillId="2" borderId="7" xfId="0" applyNumberFormat="1" applyFill="1" applyBorder="1"/>
    <xf numFmtId="41" fontId="0" fillId="0" borderId="0" xfId="1" applyNumberFormat="1" applyFont="1" applyFill="1" applyBorder="1"/>
    <xf numFmtId="165" fontId="0" fillId="0" borderId="0" xfId="1" applyNumberFormat="1" applyFont="1" applyFill="1" applyAlignment="1">
      <alignment horizontal="right"/>
    </xf>
    <xf numFmtId="41" fontId="0" fillId="0" borderId="0" xfId="0" applyNumberFormat="1" applyFill="1"/>
    <xf numFmtId="0" fontId="0" fillId="0" borderId="0" xfId="0" applyAlignment="1">
      <alignment horizontal="left" wrapText="1"/>
    </xf>
    <xf numFmtId="0" fontId="68" fillId="0" borderId="0" xfId="0" applyFont="1" applyAlignment="1">
      <alignment wrapText="1"/>
    </xf>
    <xf numFmtId="0" fontId="16" fillId="0" borderId="0" xfId="0" quotePrefix="1" applyFont="1" applyFill="1" applyBorder="1"/>
    <xf numFmtId="41" fontId="0" fillId="0" borderId="7" xfId="0" applyNumberFormat="1" applyFill="1" applyBorder="1"/>
    <xf numFmtId="165" fontId="0" fillId="0" borderId="0" xfId="1" applyNumberFormat="1" applyFont="1" applyFill="1" applyProtection="1"/>
    <xf numFmtId="41" fontId="16" fillId="6" borderId="35" xfId="1" applyNumberFormat="1" applyFont="1" applyFill="1" applyBorder="1" applyAlignment="1">
      <alignment horizontal="center"/>
    </xf>
    <xf numFmtId="41" fontId="16" fillId="6" borderId="35" xfId="0" applyNumberFormat="1" applyFont="1" applyFill="1" applyBorder="1" applyAlignment="1">
      <alignment horizontal="center"/>
    </xf>
    <xf numFmtId="41" fontId="19" fillId="6" borderId="4" xfId="1" applyNumberFormat="1" applyFont="1" applyFill="1" applyBorder="1" applyAlignment="1"/>
    <xf numFmtId="41" fontId="19" fillId="6" borderId="4" xfId="0" applyNumberFormat="1" applyFont="1" applyFill="1" applyBorder="1" applyAlignment="1"/>
    <xf numFmtId="41" fontId="16" fillId="3" borderId="11" xfId="0" applyNumberFormat="1" applyFont="1" applyFill="1" applyBorder="1" applyAlignment="1">
      <alignment horizontal="center"/>
    </xf>
    <xf numFmtId="41" fontId="0" fillId="3" borderId="9" xfId="0" applyNumberFormat="1" applyFill="1" applyBorder="1" applyAlignment="1"/>
    <xf numFmtId="0" fontId="0" fillId="0" borderId="8" xfId="0" applyFill="1" applyBorder="1" applyProtection="1"/>
    <xf numFmtId="0" fontId="15" fillId="0" borderId="0" xfId="0" applyFont="1" applyFill="1" applyBorder="1" applyProtection="1"/>
    <xf numFmtId="0" fontId="0" fillId="0" borderId="0" xfId="0" applyFill="1" applyBorder="1" applyProtection="1"/>
    <xf numFmtId="0" fontId="0" fillId="0" borderId="0" xfId="0" applyFill="1" applyProtection="1"/>
    <xf numFmtId="41" fontId="19" fillId="2" borderId="11" xfId="0" applyNumberFormat="1" applyFont="1" applyFill="1" applyBorder="1"/>
    <xf numFmtId="41" fontId="0" fillId="2" borderId="9" xfId="0" applyNumberFormat="1" applyFill="1" applyBorder="1"/>
    <xf numFmtId="41" fontId="52" fillId="6" borderId="4" xfId="0" applyNumberFormat="1" applyFont="1" applyFill="1" applyBorder="1" applyAlignment="1">
      <alignment horizontal="centerContinuous"/>
    </xf>
    <xf numFmtId="41" fontId="0" fillId="2" borderId="4" xfId="0" applyNumberFormat="1" applyFill="1" applyBorder="1"/>
    <xf numFmtId="41" fontId="0" fillId="2" borderId="9" xfId="1" applyNumberFormat="1" applyFont="1" applyFill="1" applyBorder="1"/>
    <xf numFmtId="41" fontId="14" fillId="6" borderId="26" xfId="1" applyNumberFormat="1" applyFill="1" applyBorder="1"/>
    <xf numFmtId="41" fontId="14" fillId="6" borderId="3" xfId="1" applyNumberFormat="1" applyFill="1" applyBorder="1"/>
    <xf numFmtId="41" fontId="0" fillId="6" borderId="3" xfId="0" applyNumberFormat="1" applyFill="1" applyBorder="1"/>
    <xf numFmtId="41" fontId="0" fillId="6" borderId="10" xfId="0" applyNumberFormat="1" applyFill="1" applyBorder="1"/>
    <xf numFmtId="41" fontId="0" fillId="6" borderId="0" xfId="0" applyNumberFormat="1" applyFill="1" applyBorder="1"/>
    <xf numFmtId="41" fontId="0" fillId="6" borderId="0" xfId="1" applyNumberFormat="1" applyFont="1" applyFill="1" applyBorder="1"/>
    <xf numFmtId="41" fontId="52" fillId="6" borderId="3" xfId="0" applyNumberFormat="1" applyFont="1" applyFill="1" applyBorder="1" applyAlignment="1">
      <alignment horizontal="centerContinuous"/>
    </xf>
    <xf numFmtId="41" fontId="0" fillId="2" borderId="26" xfId="1" applyNumberFormat="1" applyFont="1" applyFill="1" applyBorder="1"/>
    <xf numFmtId="41" fontId="19" fillId="2" borderId="10" xfId="1" applyNumberFormat="1" applyFont="1" applyFill="1" applyBorder="1" applyAlignment="1">
      <alignment horizontal="centerContinuous"/>
    </xf>
    <xf numFmtId="41" fontId="0" fillId="2" borderId="0" xfId="0" applyNumberFormat="1" applyFill="1" applyBorder="1"/>
    <xf numFmtId="41" fontId="0" fillId="2" borderId="0" xfId="1" applyNumberFormat="1" applyFont="1" applyFill="1" applyBorder="1"/>
    <xf numFmtId="41" fontId="0" fillId="2" borderId="10" xfId="1" applyNumberFormat="1" applyFont="1" applyFill="1" applyBorder="1"/>
    <xf numFmtId="41" fontId="39" fillId="3" borderId="11" xfId="0" applyNumberFormat="1" applyFont="1" applyFill="1" applyBorder="1" applyAlignment="1">
      <alignment horizontal="center"/>
    </xf>
    <xf numFmtId="41" fontId="0" fillId="3" borderId="4" xfId="1" applyNumberFormat="1" applyFont="1" applyFill="1" applyBorder="1"/>
    <xf numFmtId="41" fontId="0" fillId="3" borderId="4" xfId="0" applyNumberFormat="1" applyFill="1" applyBorder="1"/>
    <xf numFmtId="41" fontId="39" fillId="3" borderId="4" xfId="0" applyNumberFormat="1" applyFont="1" applyFill="1" applyBorder="1" applyAlignment="1">
      <alignment horizontal="center"/>
    </xf>
    <xf numFmtId="41" fontId="0" fillId="3" borderId="9" xfId="1" applyNumberFormat="1" applyFont="1" applyFill="1" applyBorder="1"/>
    <xf numFmtId="41" fontId="16" fillId="6" borderId="0" xfId="0" applyNumberFormat="1" applyFont="1" applyFill="1" applyBorder="1" applyAlignment="1">
      <alignment horizontal="centerContinuous"/>
    </xf>
    <xf numFmtId="41" fontId="16" fillId="6" borderId="9" xfId="0" applyNumberFormat="1" applyFont="1" applyFill="1" applyBorder="1" applyAlignment="1">
      <alignment horizontal="centerContinuous"/>
    </xf>
    <xf numFmtId="41" fontId="16" fillId="3" borderId="0" xfId="1" applyNumberFormat="1" applyFont="1" applyFill="1" applyBorder="1" applyAlignment="1">
      <alignment horizontal="center"/>
    </xf>
    <xf numFmtId="41" fontId="16" fillId="6" borderId="6" xfId="0" applyNumberFormat="1" applyFont="1" applyFill="1" applyBorder="1" applyAlignment="1">
      <alignment horizontal="centerContinuous"/>
    </xf>
    <xf numFmtId="41" fontId="14" fillId="0" borderId="26" xfId="1" applyNumberFormat="1" applyFont="1" applyBorder="1" applyAlignment="1">
      <alignment horizontal="center"/>
    </xf>
    <xf numFmtId="41" fontId="14" fillId="0" borderId="3" xfId="1" applyNumberFormat="1" applyFont="1" applyBorder="1" applyAlignment="1">
      <alignment horizontal="center"/>
    </xf>
    <xf numFmtId="41" fontId="0" fillId="0" borderId="36" xfId="0" applyNumberFormat="1" applyBorder="1" applyAlignment="1">
      <alignment horizontal="center"/>
    </xf>
    <xf numFmtId="41" fontId="0" fillId="0" borderId="37" xfId="0" applyNumberFormat="1" applyBorder="1" applyAlignment="1">
      <alignment horizontal="center"/>
    </xf>
    <xf numFmtId="41" fontId="0" fillId="0" borderId="10" xfId="0" applyNumberFormat="1" applyBorder="1" applyAlignment="1">
      <alignment horizontal="center"/>
    </xf>
    <xf numFmtId="41" fontId="0" fillId="0" borderId="0" xfId="0" applyNumberFormat="1" applyBorder="1" applyAlignment="1">
      <alignment horizontal="center"/>
    </xf>
    <xf numFmtId="41" fontId="0" fillId="0" borderId="2" xfId="0" applyNumberFormat="1" applyBorder="1" applyAlignment="1">
      <alignment horizontal="center"/>
    </xf>
    <xf numFmtId="41" fontId="0" fillId="0" borderId="2" xfId="1" applyNumberFormat="1" applyFont="1" applyBorder="1" applyAlignment="1">
      <alignment horizontal="center"/>
    </xf>
    <xf numFmtId="41" fontId="0" fillId="0" borderId="0" xfId="1" applyNumberFormat="1" applyFont="1" applyBorder="1" applyAlignment="1">
      <alignment horizontal="center"/>
    </xf>
    <xf numFmtId="41" fontId="0" fillId="3" borderId="26" xfId="0" applyNumberFormat="1" applyFill="1" applyBorder="1" applyAlignment="1">
      <alignment horizontal="center"/>
    </xf>
    <xf numFmtId="41" fontId="0" fillId="3" borderId="10" xfId="0" applyNumberFormat="1" applyFill="1" applyBorder="1" applyAlignment="1">
      <alignment horizontal="center"/>
    </xf>
    <xf numFmtId="41" fontId="16" fillId="3" borderId="26" xfId="0" applyNumberFormat="1" applyFont="1" applyFill="1" applyBorder="1" applyAlignment="1">
      <alignment horizontal="center"/>
    </xf>
    <xf numFmtId="41" fontId="16" fillId="3" borderId="10" xfId="0" applyNumberFormat="1" applyFont="1" applyFill="1" applyBorder="1" applyAlignment="1">
      <alignment horizontal="center"/>
    </xf>
    <xf numFmtId="41" fontId="16" fillId="6" borderId="3" xfId="0" applyNumberFormat="1" applyFont="1" applyFill="1" applyBorder="1" applyAlignment="1">
      <alignment horizontal="center"/>
    </xf>
    <xf numFmtId="41" fontId="16" fillId="6" borderId="10" xfId="0" applyNumberFormat="1" applyFont="1" applyFill="1" applyBorder="1" applyAlignment="1">
      <alignment horizontal="center"/>
    </xf>
    <xf numFmtId="41" fontId="39" fillId="3" borderId="26" xfId="0" applyNumberFormat="1" applyFont="1" applyFill="1" applyBorder="1" applyAlignment="1">
      <alignment horizontal="center"/>
    </xf>
    <xf numFmtId="41" fontId="16" fillId="3" borderId="3" xfId="1" applyNumberFormat="1" applyFont="1" applyFill="1" applyBorder="1" applyAlignment="1">
      <alignment horizontal="center"/>
    </xf>
    <xf numFmtId="41" fontId="16" fillId="3" borderId="3" xfId="0" applyNumberFormat="1" applyFont="1" applyFill="1" applyBorder="1" applyAlignment="1">
      <alignment horizontal="center"/>
    </xf>
    <xf numFmtId="41" fontId="39" fillId="3" borderId="3" xfId="0" applyNumberFormat="1" applyFont="1" applyFill="1" applyBorder="1" applyAlignment="1">
      <alignment horizontal="center"/>
    </xf>
    <xf numFmtId="41" fontId="16" fillId="3" borderId="10" xfId="1" applyNumberFormat="1" applyFont="1" applyFill="1" applyBorder="1" applyAlignment="1">
      <alignment horizontal="center"/>
    </xf>
    <xf numFmtId="41" fontId="16" fillId="6" borderId="3" xfId="1" applyNumberFormat="1" applyFont="1" applyFill="1" applyBorder="1" applyAlignment="1">
      <alignment horizontal="center"/>
    </xf>
    <xf numFmtId="41" fontId="16" fillId="6" borderId="10" xfId="1" applyNumberFormat="1" applyFont="1" applyFill="1" applyBorder="1" applyAlignment="1">
      <alignment horizontal="center"/>
    </xf>
    <xf numFmtId="41" fontId="16" fillId="3" borderId="26" xfId="1" applyNumberFormat="1" applyFont="1" applyFill="1" applyBorder="1" applyAlignment="1">
      <alignment horizontal="center"/>
    </xf>
    <xf numFmtId="41" fontId="18" fillId="0" borderId="11" xfId="1" applyNumberFormat="1" applyFont="1" applyBorder="1" applyAlignment="1">
      <alignment horizontal="center"/>
    </xf>
    <xf numFmtId="41" fontId="18" fillId="0" borderId="9" xfId="1" applyNumberFormat="1" applyFont="1" applyBorder="1" applyAlignment="1">
      <alignment horizontal="center"/>
    </xf>
    <xf numFmtId="41" fontId="0" fillId="0" borderId="4" xfId="0" applyNumberFormat="1" applyBorder="1"/>
    <xf numFmtId="41" fontId="0" fillId="0" borderId="9" xfId="0" applyNumberFormat="1" applyBorder="1"/>
    <xf numFmtId="41" fontId="0" fillId="0" borderId="0" xfId="0" applyNumberFormat="1" applyBorder="1"/>
    <xf numFmtId="41" fontId="0" fillId="0" borderId="0" xfId="1" applyNumberFormat="1" applyFont="1" applyBorder="1"/>
    <xf numFmtId="41" fontId="0" fillId="0" borderId="2" xfId="0" applyNumberFormat="1" applyBorder="1"/>
    <xf numFmtId="41" fontId="0" fillId="0" borderId="8" xfId="0" applyNumberFormat="1" applyBorder="1"/>
    <xf numFmtId="41" fontId="0" fillId="0" borderId="11" xfId="0" applyNumberFormat="1" applyBorder="1"/>
    <xf numFmtId="41" fontId="39" fillId="0" borderId="4" xfId="0" applyNumberFormat="1" applyFont="1" applyBorder="1" applyAlignment="1">
      <alignment horizontal="center"/>
    </xf>
    <xf numFmtId="41" fontId="0" fillId="0" borderId="4" xfId="1" applyNumberFormat="1" applyFont="1" applyBorder="1"/>
    <xf numFmtId="41" fontId="39" fillId="0" borderId="11" xfId="0" applyNumberFormat="1" applyFont="1" applyBorder="1" applyAlignment="1">
      <alignment horizontal="center"/>
    </xf>
    <xf numFmtId="41" fontId="0" fillId="6" borderId="0" xfId="0" applyNumberFormat="1" applyFill="1" applyBorder="1" applyProtection="1">
      <protection locked="0"/>
    </xf>
    <xf numFmtId="41" fontId="0" fillId="6" borderId="9" xfId="0" applyNumberFormat="1" applyFill="1" applyBorder="1" applyProtection="1">
      <protection locked="0"/>
    </xf>
    <xf numFmtId="41" fontId="0" fillId="0" borderId="9" xfId="1" applyNumberFormat="1" applyFont="1" applyBorder="1"/>
    <xf numFmtId="41" fontId="18" fillId="0" borderId="8" xfId="1" applyNumberFormat="1" applyFont="1" applyBorder="1" applyAlignment="1" applyProtection="1">
      <alignment horizontal="center"/>
      <protection locked="0"/>
    </xf>
    <xf numFmtId="41" fontId="18" fillId="0" borderId="6" xfId="1" applyNumberFormat="1" applyFont="1" applyBorder="1" applyAlignment="1" applyProtection="1">
      <alignment horizontal="center"/>
      <protection locked="0"/>
    </xf>
    <xf numFmtId="41" fontId="0" fillId="0" borderId="0" xfId="0" applyNumberFormat="1" applyBorder="1" applyProtection="1">
      <protection locked="0"/>
    </xf>
    <xf numFmtId="41" fontId="0" fillId="0" borderId="6" xfId="0" applyNumberFormat="1" applyBorder="1" applyProtection="1">
      <protection locked="0"/>
    </xf>
    <xf numFmtId="41" fontId="0" fillId="0" borderId="0" xfId="1" applyNumberFormat="1" applyFont="1" applyBorder="1" applyProtection="1">
      <protection locked="0"/>
    </xf>
    <xf numFmtId="41" fontId="0" fillId="0" borderId="6" xfId="0" applyNumberFormat="1" applyBorder="1"/>
    <xf numFmtId="41" fontId="39" fillId="0" borderId="0" xfId="0" applyNumberFormat="1" applyFont="1" applyBorder="1" applyAlignment="1">
      <alignment horizontal="center"/>
    </xf>
    <xf numFmtId="41" fontId="39" fillId="0" borderId="8" xfId="0" applyNumberFormat="1" applyFont="1" applyBorder="1" applyAlignment="1">
      <alignment horizontal="center"/>
    </xf>
    <xf numFmtId="41" fontId="0" fillId="0" borderId="6" xfId="1" applyNumberFormat="1" applyFont="1" applyBorder="1"/>
    <xf numFmtId="41" fontId="0" fillId="6" borderId="0" xfId="1" applyNumberFormat="1" applyFont="1" applyFill="1" applyBorder="1" applyProtection="1">
      <protection locked="0"/>
    </xf>
    <xf numFmtId="41" fontId="0" fillId="6" borderId="6" xfId="1" applyNumberFormat="1" applyFont="1" applyFill="1" applyBorder="1" applyProtection="1">
      <protection locked="0"/>
    </xf>
    <xf numFmtId="41" fontId="14" fillId="0" borderId="8" xfId="1" applyNumberFormat="1" applyBorder="1" applyProtection="1">
      <protection locked="0"/>
    </xf>
    <xf numFmtId="41" fontId="14" fillId="0" borderId="6" xfId="1" applyNumberFormat="1" applyBorder="1" applyProtection="1">
      <protection locked="0"/>
    </xf>
    <xf numFmtId="41" fontId="0" fillId="0" borderId="0" xfId="1" applyNumberFormat="1" applyFont="1" applyFill="1" applyBorder="1" applyProtection="1">
      <protection locked="0"/>
    </xf>
    <xf numFmtId="41" fontId="0" fillId="0" borderId="0" xfId="0" applyNumberFormat="1" applyFill="1" applyBorder="1" applyProtection="1">
      <protection locked="0"/>
    </xf>
    <xf numFmtId="41" fontId="0" fillId="0" borderId="2" xfId="0" applyNumberFormat="1" applyFill="1" applyBorder="1"/>
    <xf numFmtId="41" fontId="19" fillId="0" borderId="0" xfId="0" applyNumberFormat="1" applyFont="1" applyBorder="1" applyAlignment="1">
      <alignment horizontal="center"/>
    </xf>
    <xf numFmtId="41" fontId="14" fillId="0" borderId="8" xfId="1" applyNumberFormat="1" applyFill="1" applyBorder="1" applyProtection="1">
      <protection locked="0"/>
    </xf>
    <xf numFmtId="41" fontId="14" fillId="0" borderId="6" xfId="1" applyNumberFormat="1" applyFill="1" applyBorder="1" applyProtection="1">
      <protection locked="0"/>
    </xf>
    <xf numFmtId="41" fontId="0" fillId="0" borderId="6" xfId="0" applyNumberFormat="1" applyFill="1" applyBorder="1" applyProtection="1">
      <protection locked="0"/>
    </xf>
    <xf numFmtId="41" fontId="0" fillId="0" borderId="8" xfId="0" applyNumberFormat="1" applyFill="1" applyBorder="1"/>
    <xf numFmtId="41" fontId="0" fillId="0" borderId="6" xfId="0" applyNumberFormat="1" applyFill="1" applyBorder="1"/>
    <xf numFmtId="41" fontId="39" fillId="0" borderId="0" xfId="0" applyNumberFormat="1" applyFont="1" applyFill="1" applyBorder="1" applyAlignment="1">
      <alignment horizontal="center"/>
    </xf>
    <xf numFmtId="41" fontId="0" fillId="0" borderId="0" xfId="0" applyNumberFormat="1" applyFill="1" applyBorder="1"/>
    <xf numFmtId="41" fontId="0" fillId="0" borderId="6" xfId="1" applyNumberFormat="1" applyFont="1" applyFill="1" applyBorder="1"/>
    <xf numFmtId="41" fontId="39" fillId="0" borderId="8" xfId="0" applyNumberFormat="1" applyFont="1" applyFill="1" applyBorder="1" applyAlignment="1">
      <alignment horizontal="center"/>
    </xf>
    <xf numFmtId="41" fontId="14" fillId="5" borderId="8" xfId="1" applyNumberFormat="1" applyFill="1" applyBorder="1" applyProtection="1">
      <protection locked="0"/>
    </xf>
    <xf numFmtId="41" fontId="14" fillId="5" borderId="6" xfId="1" applyNumberFormat="1" applyFill="1" applyBorder="1" applyProtection="1">
      <protection locked="0"/>
    </xf>
    <xf numFmtId="41" fontId="0" fillId="5" borderId="0" xfId="0" applyNumberFormat="1" applyFill="1" applyBorder="1" applyProtection="1">
      <protection locked="0"/>
    </xf>
    <xf numFmtId="41" fontId="0" fillId="5" borderId="6" xfId="0" applyNumberFormat="1" applyFill="1" applyBorder="1" applyProtection="1">
      <protection locked="0"/>
    </xf>
    <xf numFmtId="41" fontId="0" fillId="5" borderId="0" xfId="1" applyNumberFormat="1" applyFont="1" applyFill="1" applyBorder="1" applyProtection="1">
      <protection locked="0"/>
    </xf>
    <xf numFmtId="41" fontId="0" fillId="5" borderId="2" xfId="0" applyNumberFormat="1" applyFill="1" applyBorder="1"/>
    <xf numFmtId="41" fontId="0" fillId="5" borderId="0" xfId="0" applyNumberFormat="1" applyFill="1" applyBorder="1"/>
    <xf numFmtId="41" fontId="0" fillId="5" borderId="8" xfId="0" applyNumberFormat="1" applyFill="1" applyBorder="1"/>
    <xf numFmtId="41" fontId="0" fillId="5" borderId="6" xfId="0" applyNumberFormat="1" applyFill="1" applyBorder="1"/>
    <xf numFmtId="41" fontId="39" fillId="5" borderId="0" xfId="0" applyNumberFormat="1" applyFont="1" applyFill="1" applyBorder="1" applyAlignment="1">
      <alignment horizontal="center"/>
    </xf>
    <xf numFmtId="41" fontId="0" fillId="5" borderId="0" xfId="1" applyNumberFormat="1" applyFont="1" applyFill="1" applyBorder="1"/>
    <xf numFmtId="41" fontId="39" fillId="5" borderId="8" xfId="0" applyNumberFormat="1" applyFont="1" applyFill="1" applyBorder="1" applyAlignment="1">
      <alignment horizontal="center"/>
    </xf>
    <xf numFmtId="41" fontId="0" fillId="5" borderId="6" xfId="1" applyNumberFormat="1" applyFont="1" applyFill="1" applyBorder="1"/>
    <xf numFmtId="41" fontId="19" fillId="5" borderId="8" xfId="0" applyNumberFormat="1" applyFont="1" applyFill="1" applyBorder="1" applyAlignment="1">
      <alignment horizontal="center"/>
    </xf>
    <xf numFmtId="41" fontId="19" fillId="5" borderId="0" xfId="0" applyNumberFormat="1" applyFont="1" applyFill="1" applyBorder="1" applyAlignment="1">
      <alignment horizontal="center"/>
    </xf>
    <xf numFmtId="41" fontId="0" fillId="6" borderId="8" xfId="1" applyNumberFormat="1" applyFont="1" applyFill="1" applyBorder="1" applyProtection="1">
      <protection locked="0"/>
    </xf>
    <xf numFmtId="41" fontId="51" fillId="0" borderId="0" xfId="0" applyNumberFormat="1" applyFont="1" applyFill="1" applyBorder="1" applyAlignment="1">
      <alignment horizontal="center"/>
    </xf>
    <xf numFmtId="41" fontId="19" fillId="0" borderId="8" xfId="0" applyNumberFormat="1" applyFont="1" applyBorder="1" applyAlignment="1">
      <alignment horizontal="center"/>
    </xf>
    <xf numFmtId="41" fontId="51" fillId="0" borderId="0" xfId="0" applyNumberFormat="1" applyFont="1" applyBorder="1" applyAlignment="1">
      <alignment horizontal="center"/>
    </xf>
    <xf numFmtId="41" fontId="39" fillId="5" borderId="0" xfId="0" applyNumberFormat="1" applyFont="1" applyFill="1" applyAlignment="1">
      <alignment horizontal="center"/>
    </xf>
    <xf numFmtId="41" fontId="0" fillId="5" borderId="0" xfId="1" applyNumberFormat="1" applyFont="1" applyFill="1"/>
    <xf numFmtId="41" fontId="19" fillId="0" borderId="0" xfId="0" applyNumberFormat="1" applyFont="1" applyFill="1" applyBorder="1"/>
    <xf numFmtId="41" fontId="0" fillId="0" borderId="6" xfId="1" applyNumberFormat="1" applyFont="1" applyFill="1" applyBorder="1" applyProtection="1">
      <protection locked="0"/>
    </xf>
    <xf numFmtId="41" fontId="0" fillId="5" borderId="0" xfId="0" applyNumberFormat="1" applyFill="1" applyProtection="1">
      <protection locked="0"/>
    </xf>
    <xf numFmtId="41" fontId="51" fillId="5" borderId="0" xfId="0" applyNumberFormat="1" applyFont="1" applyFill="1" applyBorder="1" applyAlignment="1">
      <alignment horizontal="center"/>
    </xf>
    <xf numFmtId="41" fontId="14" fillId="5" borderId="0" xfId="1" applyNumberFormat="1" applyFill="1" applyBorder="1" applyProtection="1">
      <protection locked="0"/>
    </xf>
    <xf numFmtId="41" fontId="14" fillId="0" borderId="0" xfId="1" applyNumberFormat="1" applyBorder="1" applyProtection="1">
      <protection locked="0"/>
    </xf>
    <xf numFmtId="41" fontId="39" fillId="0" borderId="0" xfId="0" applyNumberFormat="1" applyFont="1" applyAlignment="1">
      <alignment horizontal="center"/>
    </xf>
    <xf numFmtId="41" fontId="0" fillId="0" borderId="0" xfId="1" applyNumberFormat="1" applyFont="1"/>
    <xf numFmtId="41" fontId="0" fillId="7" borderId="7" xfId="1" applyNumberFormat="1" applyFont="1" applyFill="1" applyBorder="1"/>
    <xf numFmtId="41" fontId="0" fillId="7" borderId="33" xfId="1" applyNumberFormat="1" applyFont="1" applyFill="1" applyBorder="1"/>
    <xf numFmtId="41" fontId="0" fillId="0" borderId="8" xfId="1" applyNumberFormat="1" applyFont="1" applyFill="1" applyBorder="1"/>
    <xf numFmtId="41" fontId="61" fillId="0" borderId="6" xfId="0" applyNumberFormat="1" applyFont="1" applyFill="1" applyBorder="1"/>
    <xf numFmtId="41" fontId="0" fillId="0" borderId="8" xfId="1" applyNumberFormat="1" applyFont="1" applyBorder="1"/>
    <xf numFmtId="41" fontId="19" fillId="0" borderId="0" xfId="0" applyNumberFormat="1" applyFont="1" applyFill="1" applyBorder="1" applyAlignment="1">
      <alignment horizontal="center"/>
    </xf>
    <xf numFmtId="41" fontId="0" fillId="5" borderId="8" xfId="1" applyNumberFormat="1" applyFont="1" applyFill="1" applyBorder="1"/>
    <xf numFmtId="41" fontId="0" fillId="0" borderId="0" xfId="0" applyNumberFormat="1"/>
    <xf numFmtId="41" fontId="18" fillId="0" borderId="6" xfId="0" applyNumberFormat="1" applyFont="1" applyBorder="1" applyProtection="1">
      <protection locked="0"/>
    </xf>
    <xf numFmtId="41" fontId="18" fillId="0" borderId="0" xfId="0" applyNumberFormat="1" applyFont="1" applyBorder="1" applyProtection="1">
      <protection locked="0"/>
    </xf>
    <xf numFmtId="41" fontId="39" fillId="0" borderId="0" xfId="0" applyNumberFormat="1" applyFont="1" applyFill="1" applyAlignment="1">
      <alignment horizontal="center"/>
    </xf>
    <xf numFmtId="41" fontId="0" fillId="0" borderId="0" xfId="1" applyNumberFormat="1" applyFont="1" applyFill="1"/>
    <xf numFmtId="41" fontId="19" fillId="0" borderId="8" xfId="0" applyNumberFormat="1" applyFont="1" applyFill="1" applyBorder="1" applyAlignment="1">
      <alignment horizontal="center"/>
    </xf>
    <xf numFmtId="41" fontId="14" fillId="0" borderId="8" xfId="1" applyNumberFormat="1" applyFill="1" applyBorder="1" applyProtection="1"/>
    <xf numFmtId="41" fontId="14" fillId="0" borderId="6" xfId="1" applyNumberFormat="1" applyFill="1" applyBorder="1" applyProtection="1"/>
    <xf numFmtId="41" fontId="0" fillId="0" borderId="0" xfId="0" applyNumberFormat="1" applyFill="1" applyBorder="1" applyProtection="1"/>
    <xf numFmtId="41" fontId="0" fillId="0" borderId="6" xfId="0" applyNumberFormat="1" applyFill="1" applyBorder="1" applyProtection="1"/>
    <xf numFmtId="41" fontId="0" fillId="0" borderId="0" xfId="1" applyNumberFormat="1" applyFont="1" applyFill="1" applyBorder="1" applyProtection="1"/>
    <xf numFmtId="41" fontId="0" fillId="0" borderId="2" xfId="0" applyNumberFormat="1" applyFill="1" applyBorder="1" applyProtection="1"/>
    <xf numFmtId="41" fontId="0" fillId="0" borderId="8" xfId="0" applyNumberFormat="1" applyFill="1" applyBorder="1" applyProtection="1"/>
    <xf numFmtId="41" fontId="39" fillId="0" borderId="0" xfId="0" applyNumberFormat="1" applyFont="1" applyFill="1" applyBorder="1" applyAlignment="1" applyProtection="1">
      <alignment horizontal="center"/>
    </xf>
    <xf numFmtId="41" fontId="39" fillId="0" borderId="8" xfId="0" applyNumberFormat="1" applyFont="1" applyFill="1" applyBorder="1" applyAlignment="1" applyProtection="1">
      <alignment horizontal="center"/>
    </xf>
    <xf numFmtId="41" fontId="0" fillId="0" borderId="6" xfId="1" applyNumberFormat="1" applyFont="1" applyFill="1" applyBorder="1" applyProtection="1"/>
    <xf numFmtId="41" fontId="0" fillId="0" borderId="8" xfId="1" applyNumberFormat="1" applyFont="1" applyFill="1" applyBorder="1" applyProtection="1"/>
    <xf numFmtId="41" fontId="14" fillId="7" borderId="38" xfId="1" applyNumberFormat="1" applyFill="1" applyBorder="1"/>
    <xf numFmtId="41" fontId="14" fillId="7" borderId="39" xfId="1" applyNumberFormat="1" applyFill="1" applyBorder="1"/>
    <xf numFmtId="41" fontId="14" fillId="7" borderId="5" xfId="1" applyNumberFormat="1" applyFill="1" applyBorder="1"/>
    <xf numFmtId="41" fontId="0" fillId="7" borderId="18" xfId="0" applyNumberFormat="1" applyFill="1" applyBorder="1"/>
    <xf numFmtId="41" fontId="0" fillId="7" borderId="38" xfId="0" applyNumberFormat="1" applyFill="1" applyBorder="1"/>
    <xf numFmtId="41" fontId="0" fillId="7" borderId="39" xfId="0" applyNumberFormat="1" applyFill="1" applyBorder="1"/>
    <xf numFmtId="41" fontId="0" fillId="7" borderId="5" xfId="1" applyNumberFormat="1" applyFont="1" applyFill="1" applyBorder="1"/>
    <xf numFmtId="41" fontId="0" fillId="7" borderId="39" xfId="1" applyNumberFormat="1" applyFont="1" applyFill="1" applyBorder="1"/>
    <xf numFmtId="41" fontId="14" fillId="0" borderId="8" xfId="1" applyNumberFormat="1" applyBorder="1"/>
    <xf numFmtId="41" fontId="14" fillId="0" borderId="6" xfId="1" applyNumberFormat="1" applyBorder="1"/>
    <xf numFmtId="41" fontId="14" fillId="0" borderId="0" xfId="1" applyNumberFormat="1" applyBorder="1"/>
    <xf numFmtId="41" fontId="0" fillId="2" borderId="8" xfId="0" applyNumberFormat="1" applyFill="1" applyBorder="1"/>
    <xf numFmtId="41" fontId="0" fillId="2" borderId="6" xfId="0" applyNumberFormat="1" applyFill="1" applyBorder="1"/>
    <xf numFmtId="41" fontId="14" fillId="0" borderId="26" xfId="1" applyNumberFormat="1" applyBorder="1"/>
    <xf numFmtId="41" fontId="14" fillId="0" borderId="10" xfId="1" applyNumberFormat="1" applyBorder="1"/>
    <xf numFmtId="41" fontId="14" fillId="0" borderId="3" xfId="1" applyNumberFormat="1" applyBorder="1"/>
    <xf numFmtId="41" fontId="0" fillId="0" borderId="3" xfId="1" applyNumberFormat="1" applyFont="1" applyBorder="1"/>
    <xf numFmtId="41" fontId="0" fillId="0" borderId="3" xfId="0" applyNumberFormat="1" applyBorder="1"/>
    <xf numFmtId="41" fontId="0" fillId="0" borderId="36" xfId="0" applyNumberFormat="1" applyBorder="1"/>
    <xf numFmtId="41" fontId="0" fillId="0" borderId="26" xfId="0" applyNumberFormat="1" applyBorder="1"/>
    <xf numFmtId="41" fontId="0" fillId="0" borderId="10" xfId="0" applyNumberFormat="1" applyBorder="1"/>
    <xf numFmtId="41" fontId="39" fillId="0" borderId="3" xfId="0" applyNumberFormat="1" applyFont="1" applyBorder="1" applyAlignment="1">
      <alignment horizontal="center"/>
    </xf>
    <xf numFmtId="41" fontId="39" fillId="0" borderId="26" xfId="0" applyNumberFormat="1" applyFont="1" applyBorder="1" applyAlignment="1">
      <alignment horizontal="center"/>
    </xf>
    <xf numFmtId="41" fontId="0" fillId="0" borderId="3" xfId="0" applyNumberFormat="1" applyFill="1" applyBorder="1"/>
    <xf numFmtId="41" fontId="0" fillId="0" borderId="10" xfId="0" applyNumberFormat="1" applyFill="1" applyBorder="1"/>
    <xf numFmtId="41" fontId="0" fillId="0" borderId="3" xfId="1" applyNumberFormat="1" applyFont="1" applyFill="1" applyBorder="1"/>
    <xf numFmtId="41" fontId="0" fillId="0" borderId="10" xfId="1" applyNumberFormat="1" applyFont="1" applyBorder="1"/>
    <xf numFmtId="41" fontId="14" fillId="0" borderId="0" xfId="1" applyNumberFormat="1"/>
    <xf numFmtId="41" fontId="24" fillId="0" borderId="0" xfId="1" applyNumberFormat="1" applyFont="1"/>
    <xf numFmtId="41" fontId="24" fillId="0" borderId="0" xfId="0" applyNumberFormat="1" applyFont="1" applyBorder="1"/>
    <xf numFmtId="41" fontId="35" fillId="0" borderId="0" xfId="0" applyNumberFormat="1" applyFont="1" applyBorder="1" applyAlignment="1">
      <alignment horizontal="center"/>
    </xf>
    <xf numFmtId="41" fontId="24" fillId="0" borderId="0" xfId="1" applyNumberFormat="1" applyFont="1" applyBorder="1"/>
    <xf numFmtId="41" fontId="24" fillId="0" borderId="0" xfId="1" applyNumberFormat="1" applyFont="1" applyFill="1" applyBorder="1"/>
    <xf numFmtId="41" fontId="16" fillId="0" borderId="0" xfId="1" applyNumberFormat="1" applyFont="1" applyFill="1" applyBorder="1"/>
    <xf numFmtId="41" fontId="15" fillId="0" borderId="0" xfId="1" applyNumberFormat="1" applyFont="1"/>
    <xf numFmtId="41" fontId="36" fillId="0" borderId="0" xfId="1" applyNumberFormat="1" applyFont="1"/>
    <xf numFmtId="41" fontId="36" fillId="0" borderId="0" xfId="0" applyNumberFormat="1" applyFont="1"/>
    <xf numFmtId="41" fontId="53" fillId="0" borderId="0" xfId="0" applyNumberFormat="1" applyFont="1" applyAlignment="1">
      <alignment horizontal="center"/>
    </xf>
    <xf numFmtId="41" fontId="0" fillId="0" borderId="0" xfId="1" applyNumberFormat="1" applyFont="1" applyAlignment="1">
      <alignment wrapText="1"/>
    </xf>
    <xf numFmtId="41" fontId="0" fillId="0" borderId="0" xfId="0" applyNumberFormat="1" applyAlignment="1">
      <alignment wrapText="1"/>
    </xf>
    <xf numFmtId="41" fontId="24" fillId="0" borderId="0" xfId="0" applyNumberFormat="1" applyFont="1"/>
    <xf numFmtId="41" fontId="35" fillId="0" borderId="0" xfId="0" applyNumberFormat="1" applyFont="1" applyAlignment="1">
      <alignment horizontal="center"/>
    </xf>
    <xf numFmtId="41" fontId="24" fillId="0" borderId="0" xfId="1" applyNumberFormat="1" applyFont="1" applyFill="1"/>
    <xf numFmtId="167" fontId="14" fillId="2" borderId="0" xfId="3" applyNumberFormat="1" applyFill="1" applyAlignment="1">
      <alignment horizontal="right"/>
    </xf>
    <xf numFmtId="167" fontId="0" fillId="2" borderId="5" xfId="0" applyNumberFormat="1" applyFill="1" applyBorder="1"/>
    <xf numFmtId="0" fontId="0" fillId="0" borderId="0" xfId="0" quotePrefix="1" applyAlignment="1">
      <alignment vertical="top"/>
    </xf>
    <xf numFmtId="165" fontId="18" fillId="2" borderId="5" xfId="1" applyNumberFormat="1" applyFont="1" applyFill="1" applyBorder="1" applyProtection="1">
      <protection locked="0"/>
    </xf>
    <xf numFmtId="0" fontId="18" fillId="5" borderId="0" xfId="0" applyFont="1" applyFill="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27" fillId="0" borderId="0" xfId="0" applyFont="1" applyBorder="1" applyAlignment="1">
      <alignment horizontal="right" vertical="top"/>
    </xf>
    <xf numFmtId="0" fontId="18" fillId="0" borderId="0" xfId="0" applyFont="1" applyBorder="1"/>
    <xf numFmtId="0" fontId="72" fillId="0" borderId="0" xfId="0" applyFont="1" applyBorder="1" applyAlignment="1">
      <alignment horizontal="right" vertical="top"/>
    </xf>
    <xf numFmtId="0" fontId="72" fillId="0" borderId="0" xfId="0" applyFont="1" applyFill="1" applyBorder="1" applyAlignment="1">
      <alignment horizontal="right" vertical="top"/>
    </xf>
    <xf numFmtId="0" fontId="18" fillId="0" borderId="0" xfId="0" applyFont="1" applyFill="1" applyBorder="1" applyAlignment="1">
      <alignment horizontal="center"/>
    </xf>
    <xf numFmtId="0" fontId="18" fillId="0" borderId="0" xfId="0" applyFont="1" applyAlignment="1">
      <alignment wrapText="1"/>
    </xf>
    <xf numFmtId="0" fontId="18" fillId="0" borderId="0" xfId="0" applyFont="1" applyFill="1"/>
    <xf numFmtId="41" fontId="70" fillId="0" borderId="0" xfId="1" applyNumberFormat="1" applyFont="1" applyFill="1" applyBorder="1" applyProtection="1">
      <protection locked="0"/>
    </xf>
    <xf numFmtId="41" fontId="70" fillId="0" borderId="0" xfId="1" applyNumberFormat="1" applyFont="1" applyFill="1" applyBorder="1"/>
    <xf numFmtId="41" fontId="70" fillId="0" borderId="6" xfId="1" applyNumberFormat="1" applyFont="1" applyFill="1" applyBorder="1"/>
    <xf numFmtId="0" fontId="18" fillId="5" borderId="0" xfId="0" applyFont="1" applyFill="1" applyBorder="1"/>
    <xf numFmtId="0" fontId="0" fillId="0" borderId="0" xfId="0" applyFont="1" applyFill="1" applyBorder="1"/>
    <xf numFmtId="0" fontId="0" fillId="0" borderId="0" xfId="0" applyFill="1" applyAlignment="1" applyProtection="1">
      <alignment horizontal="left" indent="1"/>
      <protection locked="0"/>
    </xf>
    <xf numFmtId="0" fontId="17" fillId="0" borderId="0" xfId="0" applyFont="1" applyFill="1"/>
    <xf numFmtId="0" fontId="0" fillId="9" borderId="0" xfId="0" applyFill="1" applyBorder="1"/>
    <xf numFmtId="41" fontId="14" fillId="9" borderId="8" xfId="1" applyNumberFormat="1" applyFill="1" applyBorder="1" applyProtection="1">
      <protection locked="0"/>
    </xf>
    <xf numFmtId="41" fontId="14" fillId="9" borderId="6" xfId="1" applyNumberFormat="1" applyFill="1" applyBorder="1" applyProtection="1">
      <protection locked="0"/>
    </xf>
    <xf numFmtId="41" fontId="0" fillId="9" borderId="0" xfId="0" applyNumberFormat="1" applyFill="1" applyBorder="1" applyProtection="1">
      <protection locked="0"/>
    </xf>
    <xf numFmtId="41" fontId="0" fillId="9" borderId="6" xfId="0" applyNumberFormat="1" applyFill="1" applyBorder="1" applyProtection="1">
      <protection locked="0"/>
    </xf>
    <xf numFmtId="41" fontId="70" fillId="9" borderId="0" xfId="1" applyNumberFormat="1" applyFont="1" applyFill="1" applyBorder="1" applyProtection="1">
      <protection locked="0"/>
    </xf>
    <xf numFmtId="41" fontId="0" fillId="9" borderId="2" xfId="0" applyNumberFormat="1" applyFill="1" applyBorder="1"/>
    <xf numFmtId="41" fontId="0" fillId="9" borderId="0" xfId="0" applyNumberFormat="1" applyFill="1" applyBorder="1"/>
    <xf numFmtId="41" fontId="0" fillId="9" borderId="8" xfId="0" applyNumberFormat="1" applyFill="1" applyBorder="1"/>
    <xf numFmtId="41" fontId="0" fillId="9" borderId="6" xfId="0" applyNumberFormat="1" applyFill="1" applyBorder="1"/>
    <xf numFmtId="41" fontId="39" fillId="9" borderId="0" xfId="0" applyNumberFormat="1" applyFont="1" applyFill="1" applyBorder="1" applyAlignment="1">
      <alignment horizontal="center"/>
    </xf>
    <xf numFmtId="41" fontId="70" fillId="9" borderId="0" xfId="1" applyNumberFormat="1" applyFont="1" applyFill="1" applyBorder="1"/>
    <xf numFmtId="41" fontId="39" fillId="9" borderId="8" xfId="0" applyNumberFormat="1" applyFont="1" applyFill="1" applyBorder="1" applyAlignment="1">
      <alignment horizontal="center"/>
    </xf>
    <xf numFmtId="41" fontId="70" fillId="9" borderId="6" xfId="1" applyNumberFormat="1" applyFont="1" applyFill="1" applyBorder="1"/>
    <xf numFmtId="0" fontId="0" fillId="0" borderId="0" xfId="0"/>
    <xf numFmtId="165" fontId="17" fillId="0" borderId="0" xfId="1" applyNumberFormat="1" applyFont="1" applyBorder="1" applyAlignment="1">
      <alignment wrapText="1"/>
    </xf>
    <xf numFmtId="165" fontId="17" fillId="0" borderId="0" xfId="1" applyNumberFormat="1" applyFont="1" applyBorder="1" applyAlignment="1">
      <alignment horizontal="center" wrapText="1"/>
    </xf>
    <xf numFmtId="165" fontId="17" fillId="0" borderId="1" xfId="1" applyNumberFormat="1" applyFont="1" applyBorder="1" applyAlignment="1">
      <alignment wrapText="1"/>
    </xf>
    <xf numFmtId="0" fontId="71" fillId="0" borderId="1" xfId="0" applyFont="1" applyBorder="1" applyAlignment="1">
      <alignment horizontal="centerContinuous"/>
    </xf>
    <xf numFmtId="0" fontId="73" fillId="0" borderId="0" xfId="0" applyFont="1" applyFill="1" applyBorder="1" applyAlignment="1">
      <alignment horizontal="center" wrapText="1"/>
    </xf>
    <xf numFmtId="0" fontId="16" fillId="0" borderId="0" xfId="0" applyFont="1" applyAlignment="1">
      <alignment horizontal="right"/>
    </xf>
    <xf numFmtId="0" fontId="76" fillId="2" borderId="22" xfId="0" applyFont="1" applyFill="1" applyBorder="1" applyAlignment="1"/>
    <xf numFmtId="0" fontId="72" fillId="0" borderId="0" xfId="0" applyFont="1" applyFill="1" applyBorder="1" applyAlignment="1"/>
    <xf numFmtId="0" fontId="0" fillId="0" borderId="20" xfId="0" applyFill="1" applyBorder="1"/>
    <xf numFmtId="43" fontId="0" fillId="0" borderId="0" xfId="1" applyFont="1" applyFill="1" applyBorder="1"/>
    <xf numFmtId="0" fontId="0" fillId="0" borderId="0" xfId="0" applyFill="1" applyBorder="1" applyAlignment="1">
      <alignment vertical="top"/>
    </xf>
    <xf numFmtId="0" fontId="0" fillId="0" borderId="0" xfId="0" applyAlignment="1">
      <alignment vertical="top"/>
    </xf>
    <xf numFmtId="43" fontId="0" fillId="0" borderId="0" xfId="1" applyFont="1"/>
    <xf numFmtId="0" fontId="16" fillId="0" borderId="0" xfId="0" applyFont="1" applyAlignment="1">
      <alignment horizontal="right" vertical="top"/>
    </xf>
    <xf numFmtId="0" fontId="16" fillId="0" borderId="0" xfId="0" applyFont="1" applyFill="1" applyBorder="1" applyAlignment="1">
      <alignment horizontal="left"/>
    </xf>
    <xf numFmtId="43" fontId="18" fillId="0" borderId="0" xfId="1" applyFont="1" applyAlignment="1">
      <alignment horizontal="center"/>
    </xf>
    <xf numFmtId="43" fontId="0" fillId="0" borderId="0" xfId="0" applyNumberFormat="1"/>
    <xf numFmtId="165" fontId="14" fillId="2" borderId="5" xfId="1" applyNumberFormat="1" applyFill="1" applyBorder="1" applyAlignment="1">
      <alignment horizontal="right"/>
    </xf>
    <xf numFmtId="0" fontId="77" fillId="0" borderId="0" xfId="0" applyFont="1" applyAlignment="1">
      <alignment horizontal="center"/>
    </xf>
    <xf numFmtId="43" fontId="77" fillId="0" borderId="0" xfId="1" applyFont="1"/>
    <xf numFmtId="43" fontId="77" fillId="0" borderId="0" xfId="0" applyNumberFormat="1" applyFont="1"/>
    <xf numFmtId="0" fontId="0" fillId="0" borderId="0" xfId="0"/>
    <xf numFmtId="0" fontId="0" fillId="0" borderId="0" xfId="0" applyFill="1" applyBorder="1"/>
    <xf numFmtId="165" fontId="0" fillId="2" borderId="0" xfId="0" applyNumberFormat="1" applyFill="1"/>
    <xf numFmtId="0" fontId="14" fillId="0" borderId="0" xfId="0" applyFont="1" applyAlignment="1">
      <alignment horizontal="left"/>
    </xf>
    <xf numFmtId="0" fontId="14" fillId="0" borderId="0" xfId="0" applyFont="1"/>
    <xf numFmtId="44" fontId="0" fillId="0" borderId="0" xfId="2" applyNumberFormat="1" applyFont="1"/>
    <xf numFmtId="0" fontId="14" fillId="0" borderId="0" xfId="0" applyFont="1" applyAlignment="1">
      <alignment horizontal="center"/>
    </xf>
    <xf numFmtId="165" fontId="14" fillId="10" borderId="0" xfId="1" applyNumberFormat="1" applyFill="1" applyBorder="1" applyProtection="1">
      <protection locked="0"/>
    </xf>
    <xf numFmtId="9" fontId="14" fillId="6" borderId="0" xfId="3" applyFill="1" applyBorder="1" applyProtection="1">
      <protection locked="0"/>
    </xf>
    <xf numFmtId="0" fontId="14" fillId="0" borderId="13" xfId="0" applyFont="1" applyFill="1" applyBorder="1" applyAlignment="1">
      <alignment horizontal="center"/>
    </xf>
    <xf numFmtId="0" fontId="14" fillId="0" borderId="14" xfId="0" applyFont="1" applyFill="1" applyBorder="1" applyAlignment="1">
      <alignment horizontal="center"/>
    </xf>
    <xf numFmtId="0" fontId="0" fillId="0" borderId="0" xfId="0"/>
    <xf numFmtId="0" fontId="78" fillId="0" borderId="0" xfId="0" applyFont="1" applyFill="1" applyBorder="1" applyAlignment="1">
      <alignment horizontal="left"/>
    </xf>
    <xf numFmtId="10" fontId="16" fillId="0" borderId="0" xfId="3" applyNumberFormat="1" applyFont="1" applyFill="1" applyBorder="1" applyAlignment="1">
      <alignment horizontal="center"/>
    </xf>
    <xf numFmtId="0" fontId="0" fillId="9" borderId="0" xfId="0" applyFill="1" applyBorder="1" applyAlignment="1">
      <alignment wrapText="1"/>
    </xf>
    <xf numFmtId="0" fontId="76" fillId="0" borderId="0" xfId="0" applyFont="1" applyFill="1" applyBorder="1" applyAlignment="1"/>
    <xf numFmtId="0" fontId="14" fillId="0" borderId="0" xfId="0" applyFont="1" applyAlignment="1">
      <alignment wrapText="1"/>
    </xf>
    <xf numFmtId="0" fontId="22" fillId="0" borderId="0" xfId="0" applyFont="1" applyFill="1" applyAlignment="1"/>
    <xf numFmtId="0" fontId="22" fillId="0" borderId="0" xfId="0" applyFont="1" applyFill="1" applyAlignment="1">
      <alignment horizontal="left" vertical="center"/>
    </xf>
    <xf numFmtId="0" fontId="22" fillId="0" borderId="17" xfId="0" applyFont="1" applyFill="1" applyBorder="1" applyAlignment="1">
      <alignment horizontal="left" vertical="center"/>
    </xf>
    <xf numFmtId="43" fontId="14" fillId="0" borderId="13" xfId="1" applyFont="1" applyFill="1" applyBorder="1" applyAlignment="1">
      <alignment horizontal="center"/>
    </xf>
    <xf numFmtId="0" fontId="22" fillId="0" borderId="12" xfId="0" applyFont="1" applyFill="1" applyBorder="1" applyAlignment="1">
      <alignment horizontal="left" vertical="center"/>
    </xf>
    <xf numFmtId="0" fontId="0" fillId="3" borderId="30" xfId="0" applyFill="1" applyBorder="1" applyAlignment="1">
      <alignment horizontal="center"/>
    </xf>
    <xf numFmtId="165" fontId="0" fillId="3" borderId="25" xfId="1" applyNumberFormat="1" applyFont="1" applyFill="1" applyBorder="1" applyAlignment="1">
      <alignment horizontal="center"/>
    </xf>
    <xf numFmtId="165" fontId="0" fillId="3" borderId="22" xfId="1" applyNumberFormat="1" applyFont="1" applyFill="1" applyBorder="1" applyAlignment="1">
      <alignment horizontal="center"/>
    </xf>
    <xf numFmtId="165" fontId="0" fillId="0" borderId="20" xfId="1" applyNumberFormat="1" applyFont="1" applyBorder="1"/>
    <xf numFmtId="165" fontId="0" fillId="0" borderId="23" xfId="0" applyNumberFormat="1" applyFill="1" applyBorder="1"/>
    <xf numFmtId="165" fontId="0" fillId="0" borderId="24" xfId="0" applyNumberFormat="1" applyFill="1" applyBorder="1"/>
    <xf numFmtId="0" fontId="0" fillId="0" borderId="0" xfId="0" applyFill="1" applyBorder="1"/>
    <xf numFmtId="0" fontId="16" fillId="0" borderId="0" xfId="0" applyFont="1" applyFill="1" applyBorder="1"/>
    <xf numFmtId="165" fontId="17" fillId="0" borderId="0" xfId="1" applyNumberFormat="1" applyFont="1" applyBorder="1" applyAlignment="1">
      <alignment wrapText="1"/>
    </xf>
    <xf numFmtId="0" fontId="16" fillId="0" borderId="0" xfId="0" applyFont="1"/>
    <xf numFmtId="0" fontId="0" fillId="0" borderId="0" xfId="0"/>
    <xf numFmtId="0" fontId="0" fillId="0" borderId="0" xfId="0" applyFill="1"/>
    <xf numFmtId="165" fontId="0" fillId="2" borderId="0" xfId="1" applyNumberFormat="1" applyFont="1" applyFill="1"/>
    <xf numFmtId="0" fontId="0" fillId="0" borderId="0" xfId="0" applyFill="1" applyBorder="1" applyAlignment="1">
      <alignment horizontal="center"/>
    </xf>
    <xf numFmtId="9" fontId="14" fillId="0" borderId="0" xfId="3" applyFill="1" applyBorder="1" applyProtection="1">
      <protection locked="0"/>
    </xf>
    <xf numFmtId="0" fontId="16" fillId="0" borderId="2" xfId="0" applyFont="1" applyFill="1" applyBorder="1" applyAlignment="1">
      <alignment horizontal="left"/>
    </xf>
    <xf numFmtId="0" fontId="16" fillId="0" borderId="20" xfId="0" applyFont="1" applyFill="1" applyBorder="1" applyAlignment="1">
      <alignment horizontal="left"/>
    </xf>
    <xf numFmtId="0" fontId="78" fillId="0" borderId="2" xfId="0" applyFont="1" applyFill="1" applyBorder="1" applyAlignment="1">
      <alignment horizontal="left"/>
    </xf>
    <xf numFmtId="0" fontId="16" fillId="0" borderId="2" xfId="0" applyFont="1" applyFill="1" applyBorder="1"/>
    <xf numFmtId="0" fontId="76" fillId="0" borderId="2" xfId="0" applyFont="1" applyFill="1" applyBorder="1" applyAlignment="1"/>
    <xf numFmtId="0" fontId="78" fillId="0" borderId="13" xfId="0" applyFont="1" applyFill="1" applyBorder="1" applyAlignment="1">
      <alignment horizontal="left"/>
    </xf>
    <xf numFmtId="10" fontId="16" fillId="0" borderId="1" xfId="3" applyNumberFormat="1" applyFont="1" applyFill="1" applyBorder="1" applyAlignment="1">
      <alignment horizontal="center"/>
    </xf>
    <xf numFmtId="0" fontId="16" fillId="0" borderId="1" xfId="0" applyFont="1" applyFill="1" applyBorder="1" applyAlignment="1">
      <alignment horizontal="left"/>
    </xf>
    <xf numFmtId="0" fontId="0" fillId="0" borderId="14" xfId="0" applyFill="1" applyBorder="1"/>
    <xf numFmtId="0" fontId="0" fillId="0" borderId="0" xfId="0"/>
    <xf numFmtId="0" fontId="14" fillId="0" borderId="0" xfId="0" applyFont="1" applyAlignment="1">
      <alignment horizontal="left" wrapText="1" indent="1"/>
    </xf>
    <xf numFmtId="0" fontId="14" fillId="0" borderId="0" xfId="0" applyFont="1" applyAlignment="1">
      <alignment horizontal="left" indent="1"/>
    </xf>
    <xf numFmtId="0" fontId="14" fillId="0" borderId="0" xfId="0" applyFont="1" applyAlignment="1">
      <alignment vertical="top" wrapText="1"/>
    </xf>
    <xf numFmtId="0" fontId="18" fillId="11" borderId="0" xfId="0" applyFont="1" applyFill="1" applyAlignment="1">
      <alignment wrapText="1"/>
    </xf>
    <xf numFmtId="0" fontId="14" fillId="0" borderId="0" xfId="0" quotePrefix="1" applyFont="1"/>
    <xf numFmtId="165" fontId="14" fillId="6" borderId="0" xfId="1" applyNumberFormat="1" applyFill="1" applyBorder="1" applyProtection="1">
      <protection locked="0"/>
    </xf>
    <xf numFmtId="0" fontId="0" fillId="0" borderId="0" xfId="0"/>
    <xf numFmtId="0" fontId="0" fillId="0" borderId="0" xfId="0" applyFill="1" applyBorder="1"/>
    <xf numFmtId="0" fontId="16" fillId="0" borderId="0" xfId="0" applyFont="1" applyFill="1" applyBorder="1"/>
    <xf numFmtId="0" fontId="0" fillId="0" borderId="0" xfId="0" applyFill="1" applyBorder="1" applyAlignment="1">
      <alignment horizontal="center"/>
    </xf>
    <xf numFmtId="10" fontId="16" fillId="12" borderId="0" xfId="3" applyNumberFormat="1" applyFont="1" applyFill="1" applyBorder="1" applyAlignment="1" applyProtection="1">
      <alignment horizontal="center"/>
      <protection locked="0"/>
    </xf>
    <xf numFmtId="0" fontId="0" fillId="12" borderId="0" xfId="0" applyFill="1" applyBorder="1" applyAlignment="1" applyProtection="1">
      <alignment horizontal="right"/>
      <protection locked="0"/>
    </xf>
    <xf numFmtId="0" fontId="0" fillId="12" borderId="0" xfId="0" applyFill="1" applyProtection="1">
      <protection locked="0"/>
    </xf>
    <xf numFmtId="0" fontId="0" fillId="0" borderId="0" xfId="0" applyAlignment="1">
      <alignment wrapText="1"/>
    </xf>
    <xf numFmtId="0" fontId="0" fillId="0" borderId="0" xfId="0"/>
    <xf numFmtId="165" fontId="0" fillId="2" borderId="0" xfId="0" applyNumberFormat="1" applyFill="1"/>
    <xf numFmtId="0" fontId="0" fillId="0" borderId="0" xfId="0" applyFill="1" applyBorder="1"/>
    <xf numFmtId="0" fontId="76" fillId="2" borderId="22" xfId="0" applyFont="1" applyFill="1" applyBorder="1" applyAlignment="1">
      <alignment wrapText="1"/>
    </xf>
    <xf numFmtId="171" fontId="0" fillId="0" borderId="0" xfId="4" applyNumberFormat="1" applyFont="1"/>
    <xf numFmtId="165" fontId="0" fillId="0" borderId="0" xfId="5" applyNumberFormat="1" applyFont="1" applyAlignment="1">
      <alignment horizontal="left"/>
    </xf>
    <xf numFmtId="165" fontId="0" fillId="0" borderId="0" xfId="5" applyNumberFormat="1" applyFont="1"/>
    <xf numFmtId="0" fontId="71" fillId="0" borderId="0" xfId="0" applyFont="1" applyAlignment="1">
      <alignment horizontal="center"/>
    </xf>
    <xf numFmtId="43" fontId="0" fillId="0" borderId="0" xfId="5" applyFont="1"/>
    <xf numFmtId="2" fontId="0" fillId="0" borderId="0" xfId="0" applyNumberFormat="1" applyFill="1" applyBorder="1"/>
    <xf numFmtId="43" fontId="14" fillId="0" borderId="0" xfId="1" applyFont="1" applyAlignment="1">
      <alignment horizontal="center"/>
    </xf>
    <xf numFmtId="43" fontId="14" fillId="0" borderId="2" xfId="1" applyFont="1" applyFill="1" applyBorder="1"/>
    <xf numFmtId="43" fontId="14" fillId="0" borderId="0" xfId="1" applyFont="1" applyFill="1" applyBorder="1"/>
    <xf numFmtId="165" fontId="14" fillId="0" borderId="19" xfId="1" applyNumberFormat="1" applyFont="1" applyBorder="1"/>
    <xf numFmtId="165" fontId="14" fillId="0" borderId="20" xfId="1" applyNumberFormat="1" applyFont="1" applyBorder="1"/>
    <xf numFmtId="165" fontId="14" fillId="0" borderId="2" xfId="1" applyNumberFormat="1" applyFont="1" applyFill="1" applyBorder="1"/>
    <xf numFmtId="10" fontId="0" fillId="0" borderId="0" xfId="0" applyNumberFormat="1"/>
    <xf numFmtId="0" fontId="81" fillId="0" borderId="0" xfId="6" applyFont="1" applyFill="1" applyBorder="1" applyAlignment="1">
      <alignment horizontal="left"/>
    </xf>
    <xf numFmtId="0" fontId="0" fillId="0" borderId="0" xfId="0"/>
    <xf numFmtId="0" fontId="81" fillId="0" borderId="0" xfId="7" applyFont="1" applyFill="1" applyBorder="1" applyAlignment="1">
      <alignment horizontal="left"/>
    </xf>
    <xf numFmtId="165" fontId="0" fillId="0" borderId="0" xfId="9" applyNumberFormat="1" applyFont="1"/>
    <xf numFmtId="14" fontId="0" fillId="0" borderId="0" xfId="0" applyNumberFormat="1"/>
    <xf numFmtId="171" fontId="0" fillId="0" borderId="0" xfId="8" applyNumberFormat="1" applyFont="1"/>
    <xf numFmtId="0" fontId="0" fillId="0" borderId="0" xfId="0"/>
    <xf numFmtId="0" fontId="0" fillId="0" borderId="0" xfId="0" applyFill="1" applyBorder="1"/>
    <xf numFmtId="0" fontId="14" fillId="5" borderId="0" xfId="0" applyFont="1" applyFill="1" applyBorder="1" applyAlignment="1">
      <alignment wrapText="1"/>
    </xf>
    <xf numFmtId="41" fontId="14" fillId="5" borderId="0" xfId="1" applyNumberFormat="1" applyFont="1" applyFill="1" applyBorder="1"/>
    <xf numFmtId="0" fontId="0" fillId="0" borderId="0" xfId="0" applyAlignment="1">
      <alignment wrapText="1"/>
    </xf>
    <xf numFmtId="0" fontId="0" fillId="0" borderId="0" xfId="0"/>
    <xf numFmtId="0" fontId="0" fillId="0" borderId="0" xfId="0" applyFill="1" applyBorder="1"/>
    <xf numFmtId="0" fontId="14" fillId="0" borderId="0" xfId="0" applyFont="1" applyAlignment="1">
      <alignment wrapText="1"/>
    </xf>
    <xf numFmtId="0" fontId="0" fillId="0" borderId="0" xfId="0" applyFill="1" applyBorder="1" applyAlignment="1">
      <alignment wrapText="1"/>
    </xf>
    <xf numFmtId="0" fontId="0" fillId="12" borderId="0" xfId="0" applyFill="1" applyBorder="1" applyProtection="1">
      <protection locked="0"/>
    </xf>
    <xf numFmtId="165" fontId="0" fillId="12" borderId="0" xfId="1" applyNumberFormat="1" applyFont="1" applyFill="1" applyBorder="1" applyProtection="1">
      <protection locked="0"/>
    </xf>
    <xf numFmtId="0" fontId="0" fillId="0" borderId="0" xfId="0"/>
    <xf numFmtId="0" fontId="0" fillId="0" borderId="0" xfId="0" applyFill="1" applyBorder="1"/>
    <xf numFmtId="165" fontId="0" fillId="2" borderId="0" xfId="0" applyNumberFormat="1" applyFill="1"/>
    <xf numFmtId="0" fontId="14" fillId="0" borderId="0" xfId="0" applyFont="1" applyAlignment="1">
      <alignment wrapText="1"/>
    </xf>
    <xf numFmtId="0" fontId="0" fillId="0" borderId="0" xfId="0" applyFill="1" applyBorder="1" applyAlignment="1">
      <alignment wrapText="1"/>
    </xf>
    <xf numFmtId="0" fontId="71" fillId="0" borderId="0" xfId="10" applyFont="1" applyFill="1"/>
    <xf numFmtId="0" fontId="11" fillId="0" borderId="0" xfId="10" applyFill="1"/>
    <xf numFmtId="0" fontId="71" fillId="0" borderId="1" xfId="10" applyFont="1" applyFill="1" applyBorder="1" applyAlignment="1">
      <alignment horizontal="centerContinuous"/>
    </xf>
    <xf numFmtId="0" fontId="73" fillId="0" borderId="0" xfId="10" applyFont="1" applyFill="1" applyBorder="1" applyAlignment="1">
      <alignment horizontal="center" wrapText="1"/>
    </xf>
    <xf numFmtId="0" fontId="74" fillId="0" borderId="0" xfId="10" applyFont="1" applyFill="1" applyBorder="1" applyAlignment="1">
      <alignment horizontal="left" wrapText="1"/>
    </xf>
    <xf numFmtId="0" fontId="81" fillId="0" borderId="0" xfId="10" applyFont="1" applyFill="1" applyBorder="1" applyAlignment="1">
      <alignment horizontal="center"/>
    </xf>
    <xf numFmtId="0" fontId="81" fillId="0" borderId="0" xfId="10" applyFont="1" applyFill="1" applyBorder="1" applyAlignment="1">
      <alignment horizontal="left"/>
    </xf>
    <xf numFmtId="171" fontId="81" fillId="0" borderId="0" xfId="11" applyNumberFormat="1" applyFont="1" applyFill="1"/>
    <xf numFmtId="165" fontId="81" fillId="0" borderId="0" xfId="12" applyNumberFormat="1" applyFont="1" applyFill="1"/>
    <xf numFmtId="170" fontId="81" fillId="0" borderId="0" xfId="10" applyNumberFormat="1" applyFont="1" applyFill="1"/>
    <xf numFmtId="165" fontId="81" fillId="0" borderId="0" xfId="10" applyNumberFormat="1" applyFont="1" applyFill="1"/>
    <xf numFmtId="0" fontId="81" fillId="0" borderId="0" xfId="10" applyFont="1" applyFill="1" applyAlignment="1">
      <alignment horizontal="center"/>
    </xf>
    <xf numFmtId="171" fontId="0" fillId="0" borderId="0" xfId="11" applyNumberFormat="1" applyFont="1" applyFill="1"/>
    <xf numFmtId="165" fontId="0" fillId="0" borderId="0" xfId="12" applyNumberFormat="1" applyFont="1" applyFill="1"/>
    <xf numFmtId="170" fontId="11" fillId="0" borderId="0" xfId="10" applyNumberFormat="1" applyFill="1"/>
    <xf numFmtId="165" fontId="11" fillId="0" borderId="0" xfId="10" applyNumberFormat="1" applyFill="1"/>
    <xf numFmtId="0" fontId="81" fillId="0" borderId="0" xfId="10" applyFont="1" applyFill="1"/>
    <xf numFmtId="171" fontId="11" fillId="0" borderId="0" xfId="11" applyNumberFormat="1" applyFont="1" applyFill="1"/>
    <xf numFmtId="165" fontId="11" fillId="0" borderId="0" xfId="12" applyNumberFormat="1" applyFont="1" applyFill="1"/>
    <xf numFmtId="170" fontId="11" fillId="0" borderId="0" xfId="12" applyNumberFormat="1" applyFont="1" applyFill="1" applyAlignment="1">
      <alignment horizontal="left"/>
    </xf>
    <xf numFmtId="0" fontId="81" fillId="0" borderId="0" xfId="13" applyFont="1" applyFill="1" applyBorder="1" applyAlignment="1">
      <alignment horizontal="center"/>
    </xf>
    <xf numFmtId="0" fontId="81" fillId="0" borderId="0" xfId="13" applyFont="1" applyFill="1" applyBorder="1" applyAlignment="1">
      <alignment horizontal="left"/>
    </xf>
    <xf numFmtId="0" fontId="82" fillId="0" borderId="0" xfId="10" applyFont="1" applyFill="1" applyBorder="1" applyAlignment="1">
      <alignment horizontal="left"/>
    </xf>
    <xf numFmtId="171" fontId="71" fillId="0" borderId="0" xfId="11" applyNumberFormat="1" applyFont="1" applyFill="1"/>
    <xf numFmtId="165" fontId="71" fillId="0" borderId="0" xfId="12" applyNumberFormat="1" applyFont="1" applyFill="1"/>
    <xf numFmtId="0" fontId="80" fillId="0" borderId="0" xfId="10" applyFont="1" applyFill="1" applyAlignment="1">
      <alignment horizontal="center"/>
    </xf>
    <xf numFmtId="0" fontId="71" fillId="0" borderId="0" xfId="10" applyFont="1" applyFill="1" applyAlignment="1">
      <alignment horizontal="center"/>
    </xf>
    <xf numFmtId="0" fontId="80" fillId="0" borderId="0" xfId="10" applyFont="1" applyFill="1" applyAlignment="1">
      <alignment horizontal="right"/>
    </xf>
    <xf numFmtId="0" fontId="11" fillId="0" borderId="0" xfId="10" applyFill="1" applyAlignment="1">
      <alignment horizontal="center"/>
    </xf>
    <xf numFmtId="43" fontId="0" fillId="0" borderId="0" xfId="0" applyNumberFormat="1" applyFill="1" applyBorder="1"/>
    <xf numFmtId="43" fontId="71" fillId="0" borderId="0" xfId="0" applyNumberFormat="1" applyFont="1" applyFill="1" applyBorder="1"/>
    <xf numFmtId="0" fontId="71" fillId="0" borderId="0" xfId="0" applyFont="1" applyFill="1" applyBorder="1"/>
    <xf numFmtId="165" fontId="0" fillId="0" borderId="0" xfId="0" applyNumberFormat="1" applyFill="1" applyBorder="1" applyAlignment="1">
      <alignment horizontal="center"/>
    </xf>
    <xf numFmtId="0" fontId="0" fillId="0" borderId="0" xfId="0" applyFill="1" applyBorder="1" applyAlignment="1">
      <alignment horizontal="right" wrapText="1"/>
    </xf>
    <xf numFmtId="0" fontId="0" fillId="0" borderId="0" xfId="0" applyFill="1" applyBorder="1" applyAlignment="1">
      <alignment horizontal="left" wrapText="1"/>
    </xf>
    <xf numFmtId="0" fontId="0" fillId="0" borderId="0" xfId="0" applyFill="1" applyBorder="1" applyAlignment="1">
      <alignment horizontal="right"/>
    </xf>
    <xf numFmtId="0" fontId="71" fillId="0" borderId="0" xfId="0" applyFont="1" applyFill="1" applyBorder="1" applyAlignment="1">
      <alignment horizontal="center" wrapText="1"/>
    </xf>
    <xf numFmtId="165" fontId="14" fillId="0" borderId="17" xfId="1" applyNumberFormat="1" applyFont="1" applyBorder="1"/>
    <xf numFmtId="165" fontId="14" fillId="0" borderId="0" xfId="1" applyNumberFormat="1" applyFont="1" applyFill="1" applyBorder="1"/>
    <xf numFmtId="165" fontId="0" fillId="0" borderId="0" xfId="0" applyNumberFormat="1" applyFill="1" applyBorder="1" applyAlignment="1">
      <alignment horizontal="right" wrapText="1"/>
    </xf>
    <xf numFmtId="0" fontId="11" fillId="0" borderId="0" xfId="13" applyFill="1"/>
    <xf numFmtId="0" fontId="71" fillId="0" borderId="1" xfId="13" applyFont="1" applyFill="1" applyBorder="1" applyAlignment="1">
      <alignment horizontal="centerContinuous"/>
    </xf>
    <xf numFmtId="0" fontId="73" fillId="0" borderId="0" xfId="13" applyFont="1" applyFill="1" applyBorder="1" applyAlignment="1">
      <alignment horizontal="center" wrapText="1"/>
    </xf>
    <xf numFmtId="172" fontId="0" fillId="0" borderId="0" xfId="12" applyNumberFormat="1" applyFont="1" applyFill="1"/>
    <xf numFmtId="170" fontId="11" fillId="0" borderId="0" xfId="13" applyNumberFormat="1" applyFill="1"/>
    <xf numFmtId="165" fontId="11" fillId="0" borderId="0" xfId="13" applyNumberFormat="1" applyFill="1"/>
    <xf numFmtId="0" fontId="71" fillId="0" borderId="0" xfId="13" applyFont="1" applyFill="1"/>
    <xf numFmtId="165" fontId="71" fillId="0" borderId="0" xfId="13" applyNumberFormat="1" applyFont="1" applyFill="1"/>
    <xf numFmtId="43" fontId="71" fillId="0" borderId="0" xfId="13" applyNumberFormat="1" applyFont="1" applyFill="1"/>
    <xf numFmtId="0" fontId="11" fillId="0" borderId="0" xfId="13" applyFill="1" applyBorder="1"/>
    <xf numFmtId="165" fontId="0" fillId="0" borderId="0" xfId="12" applyNumberFormat="1" applyFont="1" applyFill="1" applyBorder="1"/>
    <xf numFmtId="0" fontId="0" fillId="0" borderId="0" xfId="0"/>
    <xf numFmtId="0" fontId="0" fillId="0" borderId="0" xfId="0" applyFill="1" applyBorder="1"/>
    <xf numFmtId="0" fontId="0" fillId="0" borderId="0" xfId="0" applyFill="1" applyBorder="1" applyAlignment="1">
      <alignment wrapText="1"/>
    </xf>
    <xf numFmtId="165" fontId="0" fillId="0" borderId="0" xfId="9" applyNumberFormat="1" applyFont="1" applyFill="1" applyBorder="1"/>
    <xf numFmtId="43" fontId="0" fillId="0" borderId="0" xfId="9" applyFont="1" applyFill="1" applyBorder="1"/>
    <xf numFmtId="0" fontId="14" fillId="0" borderId="0" xfId="0" applyFont="1" applyFill="1" applyBorder="1" applyAlignment="1">
      <alignment wrapText="1"/>
    </xf>
    <xf numFmtId="165" fontId="0" fillId="3" borderId="20" xfId="1" applyNumberFormat="1" applyFont="1" applyFill="1" applyBorder="1" applyAlignment="1">
      <alignment horizontal="center"/>
    </xf>
    <xf numFmtId="165" fontId="14" fillId="0" borderId="20" xfId="1" applyNumberFormat="1" applyFont="1" applyFill="1" applyBorder="1"/>
    <xf numFmtId="0" fontId="83" fillId="0" borderId="0" xfId="14" applyFont="1"/>
    <xf numFmtId="165" fontId="14" fillId="0" borderId="0" xfId="15" applyNumberFormat="1" applyFont="1"/>
    <xf numFmtId="165" fontId="14" fillId="0" borderId="0" xfId="1" applyNumberFormat="1" applyFont="1"/>
    <xf numFmtId="165" fontId="14" fillId="0" borderId="12" xfId="15" applyNumberFormat="1" applyFont="1" applyBorder="1"/>
    <xf numFmtId="165" fontId="14" fillId="0" borderId="0" xfId="15" applyNumberFormat="1" applyFont="1" applyFill="1"/>
    <xf numFmtId="165" fontId="14" fillId="2" borderId="0" xfId="1" applyNumberFormat="1" applyFont="1" applyFill="1" applyAlignment="1">
      <alignment horizontal="right"/>
    </xf>
    <xf numFmtId="43" fontId="14" fillId="0" borderId="0" xfId="1" applyFont="1"/>
    <xf numFmtId="165" fontId="14" fillId="2" borderId="5" xfId="1" applyNumberFormat="1" applyFont="1" applyFill="1" applyBorder="1" applyAlignment="1">
      <alignment horizontal="right"/>
    </xf>
    <xf numFmtId="0" fontId="14" fillId="3" borderId="30" xfId="0" applyFont="1" applyFill="1" applyBorder="1" applyAlignment="1">
      <alignment horizontal="center"/>
    </xf>
    <xf numFmtId="0" fontId="14" fillId="3" borderId="25" xfId="0" applyFont="1" applyFill="1" applyBorder="1" applyAlignment="1">
      <alignment horizontal="center"/>
    </xf>
    <xf numFmtId="0" fontId="14" fillId="0" borderId="0" xfId="0" applyFont="1" applyFill="1" applyBorder="1"/>
    <xf numFmtId="0" fontId="14" fillId="0" borderId="2" xfId="0" applyFont="1" applyBorder="1" applyAlignment="1">
      <alignment horizontal="center"/>
    </xf>
    <xf numFmtId="0" fontId="14" fillId="0" borderId="20" xfId="0" applyFont="1" applyBorder="1" applyAlignment="1">
      <alignment horizontal="center"/>
    </xf>
    <xf numFmtId="0" fontId="14" fillId="3" borderId="16" xfId="0" applyFont="1" applyFill="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165" fontId="14" fillId="3" borderId="25" xfId="1" applyNumberFormat="1" applyFont="1" applyFill="1" applyBorder="1" applyAlignment="1">
      <alignment horizontal="center"/>
    </xf>
    <xf numFmtId="165" fontId="14" fillId="0" borderId="2" xfId="1" applyNumberFormat="1" applyFont="1" applyBorder="1"/>
    <xf numFmtId="165" fontId="14" fillId="0" borderId="23" xfId="0" applyNumberFormat="1" applyFont="1" applyFill="1" applyBorder="1"/>
    <xf numFmtId="165" fontId="14" fillId="0" borderId="24" xfId="0" applyNumberFormat="1" applyFont="1" applyFill="1" applyBorder="1"/>
    <xf numFmtId="165" fontId="14" fillId="3" borderId="22" xfId="1" applyNumberFormat="1" applyFont="1" applyFill="1" applyBorder="1" applyAlignment="1">
      <alignment horizontal="center"/>
    </xf>
    <xf numFmtId="41" fontId="0" fillId="9" borderId="0" xfId="1" applyNumberFormat="1" applyFont="1" applyFill="1" applyBorder="1"/>
    <xf numFmtId="41" fontId="0" fillId="9" borderId="6" xfId="1" applyNumberFormat="1" applyFont="1" applyFill="1" applyBorder="1"/>
    <xf numFmtId="41" fontId="0" fillId="14" borderId="0" xfId="1" applyNumberFormat="1" applyFont="1" applyFill="1" applyBorder="1"/>
    <xf numFmtId="41" fontId="0" fillId="14" borderId="8" xfId="0" applyNumberFormat="1" applyFill="1" applyBorder="1"/>
    <xf numFmtId="41" fontId="0" fillId="14" borderId="6" xfId="0" applyNumberFormat="1" applyFill="1" applyBorder="1"/>
    <xf numFmtId="41" fontId="0" fillId="14" borderId="6" xfId="1" applyNumberFormat="1" applyFont="1" applyFill="1" applyBorder="1"/>
    <xf numFmtId="0" fontId="0" fillId="14" borderId="0" xfId="0" applyFill="1"/>
    <xf numFmtId="41" fontId="14" fillId="14" borderId="8" xfId="1" applyNumberFormat="1" applyFill="1" applyBorder="1" applyProtection="1">
      <protection locked="0"/>
    </xf>
    <xf numFmtId="41" fontId="14" fillId="14" borderId="6" xfId="1" applyNumberFormat="1" applyFill="1" applyBorder="1" applyProtection="1">
      <protection locked="0"/>
    </xf>
    <xf numFmtId="41" fontId="0" fillId="14" borderId="0" xfId="0" applyNumberFormat="1" applyFill="1" applyBorder="1" applyProtection="1">
      <protection locked="0"/>
    </xf>
    <xf numFmtId="41" fontId="0" fillId="14" borderId="6" xfId="0" applyNumberFormat="1" applyFill="1" applyBorder="1" applyProtection="1">
      <protection locked="0"/>
    </xf>
    <xf numFmtId="41" fontId="70" fillId="14" borderId="0" xfId="1" applyNumberFormat="1" applyFont="1" applyFill="1" applyBorder="1" applyProtection="1">
      <protection locked="0"/>
    </xf>
    <xf numFmtId="41" fontId="0" fillId="14" borderId="2" xfId="0" applyNumberFormat="1" applyFill="1" applyBorder="1"/>
    <xf numFmtId="41" fontId="0" fillId="14" borderId="0" xfId="0" applyNumberFormat="1" applyFill="1" applyBorder="1"/>
    <xf numFmtId="41" fontId="39" fillId="14" borderId="0" xfId="0" applyNumberFormat="1" applyFont="1" applyFill="1" applyBorder="1" applyAlignment="1">
      <alignment horizontal="center"/>
    </xf>
    <xf numFmtId="41" fontId="70" fillId="14" borderId="0" xfId="1" applyNumberFormat="1" applyFont="1" applyFill="1" applyBorder="1"/>
    <xf numFmtId="41" fontId="19" fillId="14" borderId="8" xfId="0" applyNumberFormat="1" applyFont="1" applyFill="1" applyBorder="1" applyAlignment="1">
      <alignment horizontal="center"/>
    </xf>
    <xf numFmtId="41" fontId="70" fillId="14" borderId="6" xfId="1" applyNumberFormat="1" applyFont="1" applyFill="1" applyBorder="1"/>
    <xf numFmtId="0" fontId="0" fillId="14" borderId="0" xfId="0" applyFill="1" applyAlignment="1">
      <alignment wrapText="1"/>
    </xf>
    <xf numFmtId="41" fontId="39" fillId="11" borderId="0" xfId="0" applyNumberFormat="1" applyFont="1" applyFill="1" applyBorder="1" applyAlignment="1">
      <alignment horizontal="center"/>
    </xf>
    <xf numFmtId="0" fontId="0" fillId="0" borderId="0" xfId="0" applyFill="1" applyBorder="1"/>
    <xf numFmtId="0" fontId="0" fillId="0" borderId="0" xfId="0" applyFill="1"/>
    <xf numFmtId="165" fontId="27" fillId="0" borderId="0" xfId="1" applyNumberFormat="1" applyFont="1" applyBorder="1" applyAlignment="1">
      <alignment horizontal="left"/>
    </xf>
    <xf numFmtId="0" fontId="0" fillId="0" borderId="0" xfId="0" applyFill="1"/>
    <xf numFmtId="165" fontId="18" fillId="0" borderId="0" xfId="1" applyNumberFormat="1" applyFont="1" applyFill="1" applyBorder="1" applyAlignment="1" applyProtection="1">
      <protection locked="0"/>
    </xf>
    <xf numFmtId="165" fontId="27" fillId="0" borderId="0" xfId="1" applyNumberFormat="1" applyFont="1" applyFill="1" applyBorder="1" applyAlignment="1">
      <alignment horizontal="left"/>
    </xf>
    <xf numFmtId="165" fontId="18" fillId="0" borderId="0" xfId="0" applyNumberFormat="1" applyFont="1" applyFill="1" applyBorder="1"/>
    <xf numFmtId="0" fontId="14" fillId="0" borderId="0" xfId="0" applyFont="1" applyFill="1"/>
    <xf numFmtId="165" fontId="14" fillId="0" borderId="0" xfId="15" applyNumberFormat="1" applyFont="1" applyBorder="1"/>
    <xf numFmtId="0" fontId="14" fillId="0" borderId="0" xfId="0" applyFont="1" applyBorder="1" applyProtection="1">
      <protection locked="0"/>
    </xf>
    <xf numFmtId="0" fontId="14" fillId="0" borderId="0" xfId="0" applyFont="1" applyFill="1" applyAlignment="1">
      <alignment wrapText="1"/>
    </xf>
    <xf numFmtId="43" fontId="14" fillId="0" borderId="25" xfId="1" applyFont="1" applyFill="1" applyBorder="1"/>
    <xf numFmtId="165" fontId="14" fillId="0" borderId="16" xfId="1" applyNumberFormat="1" applyFont="1" applyFill="1" applyBorder="1" applyAlignment="1">
      <alignment horizontal="center"/>
    </xf>
    <xf numFmtId="0" fontId="0" fillId="0" borderId="0" xfId="0" applyFill="1" applyBorder="1" applyAlignment="1">
      <alignment horizontal="left"/>
    </xf>
    <xf numFmtId="0" fontId="14" fillId="0" borderId="0" xfId="16" applyFont="1"/>
    <xf numFmtId="0" fontId="14" fillId="0" borderId="0" xfId="16"/>
    <xf numFmtId="0" fontId="16" fillId="0" borderId="0" xfId="16" applyFont="1" applyAlignment="1">
      <alignment horizontal="right"/>
    </xf>
    <xf numFmtId="0" fontId="14" fillId="0" borderId="0" xfId="16" applyFont="1" applyAlignment="1">
      <alignment horizontal="center"/>
    </xf>
    <xf numFmtId="0" fontId="16" fillId="0" borderId="0" xfId="16" applyFont="1" applyFill="1" applyBorder="1" applyAlignment="1">
      <alignment horizontal="left"/>
    </xf>
    <xf numFmtId="0" fontId="78" fillId="0" borderId="0" xfId="16" applyFont="1" applyFill="1" applyBorder="1" applyAlignment="1">
      <alignment horizontal="left"/>
    </xf>
    <xf numFmtId="0" fontId="16" fillId="0" borderId="0" xfId="16" applyFont="1" applyFill="1" applyBorder="1"/>
    <xf numFmtId="0" fontId="14" fillId="0" borderId="0" xfId="16" applyFill="1" applyBorder="1"/>
    <xf numFmtId="0" fontId="76" fillId="0" borderId="0" xfId="16" applyFont="1" applyFill="1" applyBorder="1" applyAlignment="1"/>
    <xf numFmtId="0" fontId="83" fillId="0" borderId="0" xfId="17" applyFont="1"/>
    <xf numFmtId="165" fontId="14" fillId="0" borderId="0" xfId="18" applyNumberFormat="1" applyFont="1"/>
    <xf numFmtId="0" fontId="83" fillId="0" borderId="0" xfId="17" applyFont="1" applyFill="1" applyAlignment="1">
      <alignment wrapText="1"/>
    </xf>
    <xf numFmtId="0" fontId="14" fillId="0" borderId="0" xfId="16" applyFill="1" applyBorder="1" applyAlignment="1">
      <alignment wrapText="1"/>
    </xf>
    <xf numFmtId="0" fontId="76" fillId="2" borderId="22" xfId="16" applyFont="1" applyFill="1" applyBorder="1" applyAlignment="1">
      <alignment wrapText="1"/>
    </xf>
    <xf numFmtId="0" fontId="14" fillId="0" borderId="0" xfId="16" applyFill="1" applyBorder="1" applyAlignment="1">
      <alignment horizontal="left" wrapText="1"/>
    </xf>
    <xf numFmtId="165" fontId="14" fillId="0" borderId="0" xfId="16" applyNumberFormat="1"/>
    <xf numFmtId="43" fontId="14" fillId="0" borderId="0" xfId="16" applyNumberFormat="1"/>
    <xf numFmtId="165" fontId="83" fillId="0" borderId="0" xfId="17" applyNumberFormat="1" applyFont="1"/>
    <xf numFmtId="0" fontId="83" fillId="0" borderId="0" xfId="17" applyFont="1" applyAlignment="1">
      <alignment wrapText="1"/>
    </xf>
    <xf numFmtId="165" fontId="14" fillId="0" borderId="0" xfId="18" applyNumberFormat="1" applyFont="1" applyFill="1"/>
    <xf numFmtId="0" fontId="14" fillId="0" borderId="0" xfId="16" applyFont="1" applyFill="1"/>
    <xf numFmtId="0" fontId="16" fillId="0" borderId="0" xfId="16" applyFont="1" applyAlignment="1">
      <alignment horizontal="right" vertical="top"/>
    </xf>
    <xf numFmtId="0" fontId="16" fillId="2" borderId="24" xfId="16" applyFont="1" applyFill="1" applyBorder="1" applyAlignment="1">
      <alignment horizontal="left"/>
    </xf>
    <xf numFmtId="0" fontId="14" fillId="0" borderId="0" xfId="16" applyFont="1" applyAlignment="1">
      <alignment wrapText="1"/>
    </xf>
    <xf numFmtId="0" fontId="22" fillId="4" borderId="0" xfId="16" applyFont="1" applyFill="1" applyAlignment="1">
      <alignment horizontal="left" vertical="center"/>
    </xf>
    <xf numFmtId="0" fontId="22" fillId="0" borderId="0" xfId="16" applyFont="1" applyFill="1" applyAlignment="1">
      <alignment horizontal="left" vertical="center"/>
    </xf>
    <xf numFmtId="0" fontId="14" fillId="0" borderId="17" xfId="16" applyBorder="1"/>
    <xf numFmtId="0" fontId="14" fillId="0" borderId="30" xfId="16" applyBorder="1"/>
    <xf numFmtId="0" fontId="14" fillId="3" borderId="30" xfId="16" applyFont="1" applyFill="1" applyBorder="1" applyAlignment="1">
      <alignment horizontal="center"/>
    </xf>
    <xf numFmtId="0" fontId="14" fillId="0" borderId="0" xfId="16" applyFont="1" applyFill="1" applyBorder="1" applyAlignment="1">
      <alignment wrapText="1"/>
    </xf>
    <xf numFmtId="0" fontId="14" fillId="3" borderId="25" xfId="16" applyFont="1" applyFill="1" applyBorder="1" applyAlignment="1">
      <alignment horizontal="center"/>
    </xf>
    <xf numFmtId="0" fontId="14" fillId="0" borderId="0" xfId="16" applyFont="1" applyFill="1" applyBorder="1"/>
    <xf numFmtId="0" fontId="14" fillId="0" borderId="2" xfId="16" applyFont="1" applyBorder="1" applyAlignment="1">
      <alignment horizontal="center"/>
    </xf>
    <xf numFmtId="0" fontId="14" fillId="0" borderId="20" xfId="16" applyFont="1" applyBorder="1" applyAlignment="1">
      <alignment horizontal="center"/>
    </xf>
    <xf numFmtId="0" fontId="14" fillId="3" borderId="16" xfId="16" applyFont="1" applyFill="1" applyBorder="1" applyAlignment="1">
      <alignment horizontal="center"/>
    </xf>
    <xf numFmtId="0" fontId="14" fillId="0" borderId="13" xfId="16" applyFont="1" applyBorder="1" applyAlignment="1">
      <alignment horizontal="center"/>
    </xf>
    <xf numFmtId="0" fontId="14" fillId="0" borderId="14" xfId="16" applyFont="1" applyBorder="1" applyAlignment="1">
      <alignment horizontal="center"/>
    </xf>
    <xf numFmtId="165" fontId="14" fillId="0" borderId="23" xfId="16" applyNumberFormat="1" applyFont="1" applyFill="1" applyBorder="1"/>
    <xf numFmtId="0" fontId="44" fillId="0" borderId="0" xfId="16" applyFont="1" applyFill="1"/>
    <xf numFmtId="0" fontId="44" fillId="0" borderId="0" xfId="16" applyFont="1"/>
    <xf numFmtId="0" fontId="0" fillId="0" borderId="0" xfId="0"/>
    <xf numFmtId="173" fontId="0" fillId="0" borderId="0" xfId="0" applyNumberFormat="1"/>
    <xf numFmtId="0" fontId="14" fillId="0" borderId="0" xfId="16" applyFill="1"/>
    <xf numFmtId="0" fontId="14" fillId="0" borderId="0" xfId="16" applyFont="1" applyFill="1" applyAlignment="1">
      <alignment wrapText="1"/>
    </xf>
    <xf numFmtId="0" fontId="84" fillId="0" borderId="0" xfId="17" applyFont="1"/>
    <xf numFmtId="43" fontId="83" fillId="0" borderId="0" xfId="17" applyNumberFormat="1" applyFont="1"/>
    <xf numFmtId="0" fontId="84" fillId="0" borderId="0" xfId="17" applyFont="1" applyFill="1"/>
    <xf numFmtId="165" fontId="17" fillId="0" borderId="0" xfId="1" applyNumberFormat="1" applyFont="1" applyBorder="1" applyAlignment="1">
      <alignment horizontal="left" vertical="top"/>
    </xf>
    <xf numFmtId="0" fontId="83" fillId="0" borderId="0" xfId="17" applyFont="1" applyFill="1"/>
    <xf numFmtId="0" fontId="16" fillId="2" borderId="7" xfId="16" applyFont="1" applyFill="1" applyBorder="1" applyAlignment="1">
      <alignment horizontal="left"/>
    </xf>
    <xf numFmtId="0" fontId="81" fillId="0" borderId="0" xfId="19" applyFont="1" applyFill="1"/>
    <xf numFmtId="0" fontId="81" fillId="15" borderId="0" xfId="19" applyFont="1" applyFill="1"/>
    <xf numFmtId="0" fontId="82" fillId="0" borderId="1" xfId="19" applyFont="1" applyFill="1" applyBorder="1" applyAlignment="1">
      <alignment horizontal="centerContinuous"/>
    </xf>
    <xf numFmtId="0" fontId="82" fillId="15" borderId="1" xfId="19" applyFont="1" applyFill="1" applyBorder="1" applyAlignment="1">
      <alignment horizontal="centerContinuous"/>
    </xf>
    <xf numFmtId="0" fontId="82" fillId="0" borderId="0" xfId="19" applyFont="1" applyFill="1" applyBorder="1" applyAlignment="1">
      <alignment horizontal="center" wrapText="1"/>
    </xf>
    <xf numFmtId="0" fontId="82" fillId="15" borderId="0" xfId="19" applyFont="1" applyFill="1" applyBorder="1" applyAlignment="1">
      <alignment horizontal="center" wrapText="1"/>
    </xf>
    <xf numFmtId="0" fontId="73" fillId="0" borderId="0" xfId="19" applyFont="1" applyFill="1" applyBorder="1" applyAlignment="1">
      <alignment horizontal="center" wrapText="1"/>
    </xf>
    <xf numFmtId="0" fontId="74" fillId="0" borderId="0" xfId="19" applyFont="1" applyFill="1" applyBorder="1" applyAlignment="1">
      <alignment horizontal="left" wrapText="1"/>
    </xf>
    <xf numFmtId="0" fontId="81" fillId="0" borderId="0" xfId="19" applyFont="1" applyFill="1" applyBorder="1" applyAlignment="1">
      <alignment horizontal="center"/>
    </xf>
    <xf numFmtId="0" fontId="81" fillId="0" borderId="0" xfId="19" applyFont="1" applyFill="1" applyBorder="1" applyAlignment="1">
      <alignment horizontal="left"/>
    </xf>
    <xf numFmtId="171" fontId="81" fillId="0" borderId="0" xfId="20" applyNumberFormat="1" applyFont="1" applyFill="1"/>
    <xf numFmtId="165" fontId="81" fillId="0" borderId="0" xfId="21" applyNumberFormat="1" applyFont="1" applyFill="1"/>
    <xf numFmtId="170" fontId="81" fillId="0" borderId="0" xfId="19" applyNumberFormat="1" applyFont="1" applyFill="1"/>
    <xf numFmtId="170" fontId="81" fillId="15" borderId="0" xfId="19" applyNumberFormat="1" applyFont="1" applyFill="1"/>
    <xf numFmtId="165" fontId="81" fillId="0" borderId="0" xfId="19" applyNumberFormat="1" applyFont="1" applyFill="1"/>
    <xf numFmtId="0" fontId="81" fillId="0" borderId="0" xfId="19" applyFont="1" applyFill="1" applyAlignment="1">
      <alignment horizontal="center"/>
    </xf>
    <xf numFmtId="174" fontId="81" fillId="0" borderId="0" xfId="20" applyNumberFormat="1" applyFont="1" applyFill="1"/>
    <xf numFmtId="0" fontId="82" fillId="0" borderId="0" xfId="19" applyFont="1" applyFill="1" applyBorder="1" applyAlignment="1">
      <alignment horizontal="center"/>
    </xf>
    <xf numFmtId="0" fontId="82" fillId="0" borderId="0" xfId="19" applyFont="1" applyFill="1" applyBorder="1" applyAlignment="1">
      <alignment horizontal="left"/>
    </xf>
    <xf numFmtId="171" fontId="82" fillId="0" borderId="0" xfId="20" applyNumberFormat="1" applyFont="1" applyFill="1"/>
    <xf numFmtId="165" fontId="82" fillId="0" borderId="0" xfId="21" applyNumberFormat="1" applyFont="1" applyFill="1"/>
    <xf numFmtId="170" fontId="82" fillId="0" borderId="0" xfId="19" applyNumberFormat="1" applyFont="1" applyFill="1"/>
    <xf numFmtId="170" fontId="82" fillId="15" borderId="0" xfId="19" applyNumberFormat="1" applyFont="1" applyFill="1"/>
    <xf numFmtId="0" fontId="82" fillId="0" borderId="0" xfId="19" applyFont="1" applyFill="1"/>
    <xf numFmtId="0" fontId="8" fillId="0" borderId="0" xfId="19" applyFill="1"/>
    <xf numFmtId="49" fontId="81" fillId="0" borderId="0" xfId="19" applyNumberFormat="1" applyFont="1" applyFill="1" applyBorder="1" applyAlignment="1">
      <alignment horizontal="left"/>
    </xf>
    <xf numFmtId="41" fontId="81" fillId="0" borderId="0" xfId="19" applyNumberFormat="1" applyFont="1" applyFill="1"/>
    <xf numFmtId="41" fontId="82" fillId="0" borderId="0" xfId="19" applyNumberFormat="1" applyFont="1" applyFill="1" applyBorder="1" applyAlignment="1">
      <alignment horizontal="center" wrapText="1"/>
    </xf>
    <xf numFmtId="41" fontId="82" fillId="0" borderId="0" xfId="20" applyNumberFormat="1" applyFont="1" applyFill="1"/>
    <xf numFmtId="0" fontId="85" fillId="0" borderId="0" xfId="0" applyFont="1" applyAlignment="1">
      <alignment horizontal="center"/>
    </xf>
    <xf numFmtId="0" fontId="85" fillId="0" borderId="0" xfId="0" applyFont="1" applyAlignment="1">
      <alignment horizontal="left"/>
    </xf>
    <xf numFmtId="171" fontId="85" fillId="0" borderId="0" xfId="0" applyNumberFormat="1" applyFont="1"/>
    <xf numFmtId="41" fontId="86" fillId="0" borderId="0" xfId="0" applyNumberFormat="1" applyFont="1" applyAlignment="1">
      <alignment horizontal="center" wrapText="1"/>
    </xf>
    <xf numFmtId="165" fontId="85" fillId="0" borderId="0" xfId="0" applyNumberFormat="1" applyFont="1"/>
    <xf numFmtId="170" fontId="85" fillId="0" borderId="0" xfId="0" applyNumberFormat="1" applyFont="1"/>
    <xf numFmtId="170" fontId="85" fillId="16" borderId="0" xfId="0" applyNumberFormat="1" applyFont="1" applyFill="1"/>
    <xf numFmtId="43" fontId="14" fillId="0" borderId="0" xfId="16" applyNumberFormat="1" applyFont="1"/>
    <xf numFmtId="43" fontId="14" fillId="0" borderId="0" xfId="16" applyNumberFormat="1" applyFont="1" applyFill="1"/>
    <xf numFmtId="165" fontId="14" fillId="0" borderId="0" xfId="16" applyNumberFormat="1" applyFill="1"/>
    <xf numFmtId="43" fontId="14" fillId="0" borderId="0" xfId="16" applyNumberFormat="1" applyFill="1"/>
    <xf numFmtId="165" fontId="83" fillId="0" borderId="0" xfId="17" applyNumberFormat="1" applyFont="1" applyFill="1"/>
    <xf numFmtId="165" fontId="14" fillId="0" borderId="1" xfId="16" applyNumberFormat="1" applyFill="1" applyBorder="1"/>
    <xf numFmtId="165" fontId="14" fillId="0" borderId="12" xfId="18" applyNumberFormat="1" applyFont="1" applyFill="1" applyBorder="1"/>
    <xf numFmtId="165" fontId="14" fillId="0" borderId="0" xfId="18" applyNumberFormat="1" applyFont="1" applyFill="1" applyBorder="1"/>
    <xf numFmtId="0" fontId="14" fillId="0" borderId="0" xfId="16" quotePrefix="1" applyFont="1" applyFill="1"/>
    <xf numFmtId="165" fontId="17" fillId="0" borderId="0" xfId="1" applyNumberFormat="1" applyFont="1" applyFill="1" applyBorder="1" applyAlignment="1">
      <alignment vertical="top"/>
    </xf>
    <xf numFmtId="0" fontId="14" fillId="0" borderId="0" xfId="16" applyFill="1" applyAlignment="1"/>
    <xf numFmtId="0" fontId="0" fillId="0" borderId="0" xfId="0"/>
    <xf numFmtId="165" fontId="81" fillId="0" borderId="0" xfId="1" applyNumberFormat="1" applyFont="1" applyFill="1"/>
    <xf numFmtId="165" fontId="82" fillId="0" borderId="0" xfId="1" applyNumberFormat="1" applyFont="1" applyFill="1" applyBorder="1" applyAlignment="1">
      <alignment horizontal="center" wrapText="1"/>
    </xf>
    <xf numFmtId="165" fontId="86" fillId="0" borderId="0" xfId="1" applyNumberFormat="1" applyFont="1" applyAlignment="1">
      <alignment horizontal="center" wrapText="1"/>
    </xf>
    <xf numFmtId="165" fontId="82" fillId="0" borderId="0" xfId="1" applyNumberFormat="1" applyFont="1" applyFill="1"/>
    <xf numFmtId="41" fontId="81" fillId="0" borderId="0" xfId="19" applyNumberFormat="1" applyFont="1" applyFill="1" applyBorder="1" applyAlignment="1">
      <alignment horizontal="center" wrapText="1"/>
    </xf>
    <xf numFmtId="0" fontId="81" fillId="0" borderId="0" xfId="0" applyFont="1" applyFill="1"/>
    <xf numFmtId="0" fontId="81" fillId="0" borderId="0" xfId="0" applyFont="1" applyFill="1" applyBorder="1"/>
    <xf numFmtId="0" fontId="82" fillId="0" borderId="1" xfId="0" applyFont="1" applyFill="1" applyBorder="1" applyAlignment="1">
      <alignment horizontal="centerContinuous"/>
    </xf>
    <xf numFmtId="0" fontId="82" fillId="0" borderId="0" xfId="0" applyFont="1" applyFill="1" applyBorder="1" applyAlignment="1">
      <alignment horizontal="center" wrapText="1"/>
    </xf>
    <xf numFmtId="171" fontId="81" fillId="0" borderId="0" xfId="3" applyNumberFormat="1" applyFont="1" applyFill="1"/>
    <xf numFmtId="170" fontId="81" fillId="0" borderId="0" xfId="0" applyNumberFormat="1" applyFont="1" applyFill="1"/>
    <xf numFmtId="165" fontId="81" fillId="0" borderId="0" xfId="0" applyNumberFormat="1" applyFont="1" applyFill="1"/>
    <xf numFmtId="0" fontId="81" fillId="0" borderId="0" xfId="0" applyFont="1" applyFill="1" applyBorder="1" applyAlignment="1">
      <alignment horizontal="left"/>
    </xf>
    <xf numFmtId="0" fontId="82" fillId="0" borderId="0" xfId="0" applyFont="1" applyFill="1"/>
    <xf numFmtId="165" fontId="73" fillId="0" borderId="0" xfId="0" applyNumberFormat="1" applyFont="1" applyFill="1" applyBorder="1" applyAlignment="1">
      <alignment horizontal="center" wrapText="1"/>
    </xf>
    <xf numFmtId="165" fontId="14" fillId="0" borderId="0" xfId="0" applyNumberFormat="1" applyFont="1"/>
    <xf numFmtId="43" fontId="14" fillId="0" borderId="0" xfId="0" applyNumberFormat="1" applyFont="1"/>
    <xf numFmtId="165" fontId="83" fillId="0" borderId="0" xfId="14" applyNumberFormat="1" applyFont="1"/>
    <xf numFmtId="0" fontId="0" fillId="0" borderId="0" xfId="0" applyFill="1"/>
    <xf numFmtId="41" fontId="61" fillId="0" borderId="0" xfId="0" applyNumberFormat="1" applyFont="1" applyFill="1"/>
    <xf numFmtId="41" fontId="0" fillId="12" borderId="0" xfId="1" applyNumberFormat="1" applyFont="1" applyFill="1" applyBorder="1" applyProtection="1">
      <protection locked="0"/>
    </xf>
    <xf numFmtId="41" fontId="0" fillId="12" borderId="6" xfId="1" applyNumberFormat="1" applyFont="1" applyFill="1" applyBorder="1" applyProtection="1">
      <protection locked="0"/>
    </xf>
    <xf numFmtId="0" fontId="0" fillId="0" borderId="0" xfId="0"/>
    <xf numFmtId="0" fontId="0" fillId="0" borderId="0" xfId="0" applyFill="1" applyBorder="1"/>
    <xf numFmtId="0" fontId="0" fillId="0" borderId="0" xfId="0" applyFill="1"/>
    <xf numFmtId="0" fontId="0" fillId="0" borderId="0" xfId="0"/>
    <xf numFmtId="0" fontId="0" fillId="0" borderId="0" xfId="0" applyAlignment="1">
      <alignment wrapText="1"/>
    </xf>
    <xf numFmtId="0" fontId="0" fillId="0" borderId="0" xfId="0"/>
    <xf numFmtId="0" fontId="0" fillId="0" borderId="0" xfId="0" applyFill="1" applyBorder="1"/>
    <xf numFmtId="0" fontId="16" fillId="0" borderId="0" xfId="0" applyFont="1" applyFill="1" applyBorder="1"/>
    <xf numFmtId="0" fontId="0" fillId="0" borderId="0" xfId="0" applyFill="1"/>
    <xf numFmtId="165" fontId="27" fillId="0" borderId="0" xfId="1" applyNumberFormat="1" applyFont="1" applyBorder="1" applyAlignment="1">
      <alignment horizontal="left"/>
    </xf>
    <xf numFmtId="41" fontId="0" fillId="11" borderId="0" xfId="1" applyNumberFormat="1" applyFont="1" applyFill="1"/>
    <xf numFmtId="165" fontId="14" fillId="6" borderId="0" xfId="1" applyNumberFormat="1" applyFont="1" applyFill="1" applyBorder="1" applyProtection="1">
      <protection locked="0"/>
    </xf>
    <xf numFmtId="41" fontId="0" fillId="17" borderId="0" xfId="1" applyNumberFormat="1" applyFont="1" applyFill="1" applyBorder="1"/>
    <xf numFmtId="165" fontId="14" fillId="2" borderId="15" xfId="0" applyNumberFormat="1" applyFont="1" applyFill="1" applyBorder="1"/>
    <xf numFmtId="41" fontId="0" fillId="12" borderId="8" xfId="1" applyNumberFormat="1" applyFont="1" applyFill="1" applyBorder="1" applyProtection="1">
      <protection locked="0"/>
    </xf>
    <xf numFmtId="0" fontId="0" fillId="0" borderId="0" xfId="0"/>
    <xf numFmtId="0" fontId="0" fillId="0" borderId="0" xfId="0"/>
    <xf numFmtId="0" fontId="0" fillId="0" borderId="0" xfId="0" applyFill="1" applyBorder="1"/>
    <xf numFmtId="0" fontId="0" fillId="0" borderId="0" xfId="0" applyFill="1"/>
    <xf numFmtId="0" fontId="16" fillId="0" borderId="0" xfId="0" applyFont="1"/>
    <xf numFmtId="0" fontId="0" fillId="0" borderId="0" xfId="0"/>
    <xf numFmtId="0" fontId="0" fillId="0" borderId="1" xfId="0" applyBorder="1"/>
    <xf numFmtId="0" fontId="0" fillId="0" borderId="0" xfId="0" applyFill="1"/>
    <xf numFmtId="165" fontId="0" fillId="2" borderId="0" xfId="1" applyNumberFormat="1" applyFont="1" applyFill="1"/>
    <xf numFmtId="0" fontId="0" fillId="0" borderId="0" xfId="0" applyFill="1" applyBorder="1"/>
    <xf numFmtId="0" fontId="0" fillId="0" borderId="0" xfId="0" applyAlignment="1">
      <alignment vertical="top" wrapText="1"/>
    </xf>
    <xf numFmtId="0" fontId="22" fillId="4" borderId="0" xfId="0" applyFont="1" applyFill="1" applyAlignment="1">
      <alignment horizontal="left"/>
    </xf>
    <xf numFmtId="0" fontId="14" fillId="0" borderId="0" xfId="0" applyFont="1" applyAlignment="1">
      <alignment wrapText="1"/>
    </xf>
    <xf numFmtId="10" fontId="0" fillId="0" borderId="0" xfId="3" applyNumberFormat="1" applyFont="1" applyBorder="1"/>
    <xf numFmtId="0" fontId="14" fillId="0" borderId="0" xfId="0" applyFont="1" applyProtection="1">
      <protection locked="0"/>
    </xf>
    <xf numFmtId="0" fontId="22" fillId="4" borderId="0" xfId="0" applyFont="1" applyFill="1" applyAlignment="1"/>
    <xf numFmtId="0" fontId="0" fillId="18" borderId="0" xfId="0" applyFill="1" applyBorder="1" applyAlignment="1">
      <alignment horizontal="center"/>
    </xf>
    <xf numFmtId="0" fontId="0" fillId="18" borderId="0" xfId="0" applyFill="1" applyBorder="1"/>
    <xf numFmtId="165" fontId="0" fillId="18" borderId="0" xfId="1" applyNumberFormat="1" applyFont="1" applyFill="1" applyBorder="1"/>
    <xf numFmtId="165" fontId="0" fillId="18" borderId="0" xfId="0" applyNumberFormat="1" applyFill="1" applyBorder="1"/>
    <xf numFmtId="0" fontId="0" fillId="0" borderId="20" xfId="0" applyBorder="1"/>
    <xf numFmtId="43" fontId="0" fillId="0" borderId="0" xfId="1" applyFont="1" applyBorder="1"/>
    <xf numFmtId="43" fontId="0" fillId="0" borderId="20" xfId="1" applyFont="1" applyBorder="1"/>
    <xf numFmtId="165" fontId="0" fillId="0" borderId="1" xfId="0" applyNumberFormat="1" applyBorder="1"/>
    <xf numFmtId="0" fontId="14" fillId="14" borderId="0" xfId="0" applyFont="1" applyFill="1"/>
    <xf numFmtId="0" fontId="14" fillId="14" borderId="0" xfId="0" applyFont="1" applyFill="1" applyAlignment="1">
      <alignment wrapText="1"/>
    </xf>
    <xf numFmtId="0" fontId="14" fillId="9" borderId="0" xfId="0" applyFont="1" applyFill="1" applyBorder="1" applyAlignment="1">
      <alignment wrapText="1"/>
    </xf>
    <xf numFmtId="0" fontId="0" fillId="0" borderId="0" xfId="0"/>
    <xf numFmtId="0" fontId="71" fillId="0" borderId="0" xfId="22" applyFont="1"/>
    <xf numFmtId="165" fontId="0" fillId="0" borderId="0" xfId="23" applyNumberFormat="1" applyFont="1"/>
    <xf numFmtId="0" fontId="7" fillId="0" borderId="0" xfId="22"/>
    <xf numFmtId="175" fontId="0" fillId="0" borderId="0" xfId="23" applyNumberFormat="1" applyFont="1"/>
    <xf numFmtId="0" fontId="71" fillId="20" borderId="0" xfId="22" applyFont="1" applyFill="1"/>
    <xf numFmtId="165" fontId="0" fillId="20" borderId="0" xfId="23" applyNumberFormat="1" applyFont="1" applyFill="1"/>
    <xf numFmtId="0" fontId="7" fillId="20" borderId="0" xfId="22" applyFill="1"/>
    <xf numFmtId="43" fontId="0" fillId="0" borderId="0" xfId="23" applyFont="1"/>
    <xf numFmtId="165" fontId="7" fillId="0" borderId="0" xfId="22" applyNumberFormat="1"/>
    <xf numFmtId="10" fontId="0" fillId="20" borderId="0" xfId="24" applyNumberFormat="1" applyFont="1" applyFill="1"/>
    <xf numFmtId="0" fontId="71" fillId="19" borderId="0" xfId="22" applyFont="1" applyFill="1" applyAlignment="1">
      <alignment horizontal="left"/>
    </xf>
    <xf numFmtId="165" fontId="0" fillId="19" borderId="0" xfId="23" applyNumberFormat="1" applyFont="1" applyFill="1"/>
    <xf numFmtId="0" fontId="71" fillId="19" borderId="0" xfId="22" applyFont="1" applyFill="1"/>
    <xf numFmtId="0" fontId="7" fillId="19" borderId="0" xfId="22" applyFill="1"/>
    <xf numFmtId="41" fontId="0" fillId="0" borderId="0" xfId="25" applyNumberFormat="1" applyFont="1"/>
    <xf numFmtId="43" fontId="7" fillId="0" borderId="0" xfId="22" applyNumberFormat="1"/>
    <xf numFmtId="41" fontId="0" fillId="0" borderId="0" xfId="25" applyNumberFormat="1" applyFont="1" applyBorder="1"/>
    <xf numFmtId="165" fontId="0" fillId="19" borderId="1" xfId="23" applyNumberFormat="1" applyFont="1" applyFill="1" applyBorder="1"/>
    <xf numFmtId="165" fontId="0" fillId="19" borderId="7" xfId="23" applyNumberFormat="1" applyFont="1" applyFill="1" applyBorder="1"/>
    <xf numFmtId="165" fontId="0" fillId="0" borderId="0" xfId="23" applyNumberFormat="1" applyFont="1" applyBorder="1"/>
    <xf numFmtId="165" fontId="0" fillId="19" borderId="15" xfId="23" applyNumberFormat="1" applyFont="1" applyFill="1" applyBorder="1"/>
    <xf numFmtId="0" fontId="7" fillId="0" borderId="0" xfId="22" applyBorder="1"/>
    <xf numFmtId="41" fontId="0" fillId="0" borderId="0" xfId="25" applyNumberFormat="1" applyFont="1" applyFill="1" applyBorder="1"/>
    <xf numFmtId="41" fontId="14" fillId="0" borderId="0" xfId="22" applyNumberFormat="1" applyFont="1" applyBorder="1"/>
    <xf numFmtId="165" fontId="0" fillId="19" borderId="5" xfId="23" applyNumberFormat="1" applyFont="1" applyFill="1" applyBorder="1"/>
    <xf numFmtId="41" fontId="7" fillId="0" borderId="0" xfId="22" applyNumberFormat="1" applyBorder="1"/>
    <xf numFmtId="10" fontId="0" fillId="19" borderId="0" xfId="24" applyNumberFormat="1" applyFont="1" applyFill="1"/>
    <xf numFmtId="10" fontId="0" fillId="0" borderId="0" xfId="24" applyNumberFormat="1" applyFont="1" applyBorder="1"/>
    <xf numFmtId="3" fontId="7" fillId="0" borderId="0" xfId="22" applyNumberFormat="1"/>
    <xf numFmtId="10" fontId="0" fillId="0" borderId="0" xfId="24" applyNumberFormat="1" applyFont="1"/>
    <xf numFmtId="0" fontId="0" fillId="0" borderId="0" xfId="0" applyAlignment="1">
      <alignment wrapText="1"/>
    </xf>
    <xf numFmtId="0" fontId="0" fillId="0" borderId="0" xfId="0"/>
    <xf numFmtId="0" fontId="0" fillId="0" borderId="0" xfId="0" applyFill="1"/>
    <xf numFmtId="0" fontId="0" fillId="0" borderId="0" xfId="0" applyFill="1" applyBorder="1" applyAlignment="1">
      <alignment wrapText="1"/>
    </xf>
    <xf numFmtId="0" fontId="0" fillId="0" borderId="0" xfId="0"/>
    <xf numFmtId="0" fontId="0" fillId="0" borderId="0" xfId="0" applyFill="1" applyBorder="1"/>
    <xf numFmtId="0" fontId="0" fillId="0" borderId="0" xfId="0" applyFill="1"/>
    <xf numFmtId="41" fontId="0" fillId="11" borderId="0" xfId="1" applyNumberFormat="1" applyFont="1" applyFill="1" applyBorder="1"/>
    <xf numFmtId="41" fontId="0" fillId="11" borderId="6" xfId="1" applyNumberFormat="1" applyFont="1" applyFill="1" applyBorder="1"/>
    <xf numFmtId="0" fontId="0" fillId="11" borderId="8" xfId="0" applyFill="1" applyBorder="1"/>
    <xf numFmtId="0" fontId="0" fillId="11" borderId="0" xfId="0" applyFill="1" applyBorder="1"/>
    <xf numFmtId="41" fontId="14" fillId="11" borderId="8" xfId="1" applyNumberFormat="1" applyFill="1" applyBorder="1" applyProtection="1">
      <protection locked="0"/>
    </xf>
    <xf numFmtId="41" fontId="14" fillId="11" borderId="6" xfId="1" applyNumberFormat="1" applyFill="1" applyBorder="1" applyProtection="1">
      <protection locked="0"/>
    </xf>
    <xf numFmtId="41" fontId="0" fillId="11" borderId="0" xfId="0" applyNumberFormat="1" applyFill="1" applyBorder="1" applyProtection="1">
      <protection locked="0"/>
    </xf>
    <xf numFmtId="41" fontId="0" fillId="11" borderId="6" xfId="0" applyNumberFormat="1" applyFill="1" applyBorder="1" applyProtection="1">
      <protection locked="0"/>
    </xf>
    <xf numFmtId="41" fontId="0" fillId="11" borderId="0" xfId="1" applyNumberFormat="1" applyFont="1" applyFill="1" applyBorder="1" applyProtection="1">
      <protection locked="0"/>
    </xf>
    <xf numFmtId="41" fontId="0" fillId="11" borderId="2" xfId="0" applyNumberFormat="1" applyFill="1" applyBorder="1"/>
    <xf numFmtId="41" fontId="0" fillId="11" borderId="0" xfId="0" applyNumberFormat="1" applyFill="1" applyBorder="1"/>
    <xf numFmtId="41" fontId="0" fillId="11" borderId="8" xfId="0" applyNumberFormat="1" applyFill="1" applyBorder="1"/>
    <xf numFmtId="41" fontId="0" fillId="11" borderId="6" xfId="0" applyNumberFormat="1" applyFill="1" applyBorder="1"/>
    <xf numFmtId="41" fontId="39" fillId="11" borderId="8" xfId="0" applyNumberFormat="1" applyFont="1" applyFill="1" applyBorder="1" applyAlignment="1">
      <alignment horizontal="center"/>
    </xf>
    <xf numFmtId="41" fontId="19" fillId="11" borderId="0" xfId="0" applyNumberFormat="1" applyFont="1" applyFill="1" applyBorder="1" applyAlignment="1">
      <alignment horizontal="center"/>
    </xf>
    <xf numFmtId="41" fontId="0" fillId="11" borderId="8" xfId="1" applyNumberFormat="1" applyFont="1" applyFill="1" applyBorder="1" applyProtection="1">
      <protection locked="0"/>
    </xf>
    <xf numFmtId="41" fontId="0" fillId="11" borderId="6" xfId="1" applyNumberFormat="1" applyFont="1" applyFill="1" applyBorder="1" applyProtection="1">
      <protection locked="0"/>
    </xf>
    <xf numFmtId="41" fontId="0" fillId="11" borderId="8" xfId="1" applyNumberFormat="1" applyFont="1" applyFill="1" applyBorder="1"/>
    <xf numFmtId="41" fontId="14" fillId="11" borderId="8" xfId="1" applyNumberFormat="1" applyFont="1" applyFill="1" applyBorder="1" applyProtection="1">
      <protection locked="0"/>
    </xf>
    <xf numFmtId="41" fontId="19" fillId="11" borderId="8" xfId="0" applyNumberFormat="1" applyFont="1" applyFill="1" applyBorder="1" applyAlignment="1">
      <alignment horizontal="center"/>
    </xf>
    <xf numFmtId="41" fontId="14" fillId="7" borderId="47" xfId="1" applyNumberFormat="1" applyFill="1" applyBorder="1"/>
    <xf numFmtId="41" fontId="0" fillId="7" borderId="48" xfId="0" applyNumberFormat="1" applyFill="1" applyBorder="1"/>
    <xf numFmtId="41" fontId="0" fillId="7" borderId="49" xfId="0" applyNumberFormat="1" applyFill="1" applyBorder="1"/>
    <xf numFmtId="41" fontId="0" fillId="7" borderId="50" xfId="0" applyNumberFormat="1" applyFill="1" applyBorder="1"/>
    <xf numFmtId="41" fontId="0" fillId="7" borderId="51" xfId="0" applyNumberFormat="1" applyFill="1" applyBorder="1"/>
    <xf numFmtId="165" fontId="14" fillId="0" borderId="0" xfId="16" applyNumberFormat="1" applyFont="1"/>
    <xf numFmtId="0" fontId="14" fillId="0" borderId="0" xfId="0" applyFont="1" applyAlignment="1">
      <alignment wrapText="1"/>
    </xf>
    <xf numFmtId="0" fontId="16" fillId="0" borderId="0" xfId="0" applyFont="1"/>
    <xf numFmtId="0" fontId="0" fillId="0" borderId="0" xfId="0"/>
    <xf numFmtId="0" fontId="0" fillId="0" borderId="0" xfId="0" applyFill="1"/>
    <xf numFmtId="165" fontId="0" fillId="2" borderId="0" xfId="1" applyNumberFormat="1" applyFont="1" applyFill="1"/>
    <xf numFmtId="0" fontId="14" fillId="0" borderId="0" xfId="0" applyFont="1" applyAlignment="1">
      <alignment vertical="top" wrapText="1"/>
    </xf>
    <xf numFmtId="0" fontId="14" fillId="0" borderId="0" xfId="0" applyFont="1" applyAlignment="1">
      <alignment wrapText="1"/>
    </xf>
    <xf numFmtId="165" fontId="14" fillId="0" borderId="0" xfId="16" applyNumberFormat="1" applyFont="1" applyFill="1"/>
    <xf numFmtId="0" fontId="14" fillId="0" borderId="0" xfId="0" applyFont="1" applyAlignment="1">
      <alignment wrapText="1"/>
    </xf>
    <xf numFmtId="0" fontId="0" fillId="0" borderId="0" xfId="0"/>
    <xf numFmtId="0" fontId="0" fillId="0" borderId="0" xfId="0" applyFill="1"/>
    <xf numFmtId="0" fontId="0" fillId="0" borderId="0" xfId="0" applyFill="1" applyBorder="1"/>
    <xf numFmtId="0" fontId="14" fillId="0" borderId="0" xfId="0" applyFont="1" applyAlignment="1">
      <alignment wrapText="1"/>
    </xf>
    <xf numFmtId="0" fontId="16" fillId="2" borderId="23" xfId="16" applyFont="1" applyFill="1" applyBorder="1" applyAlignment="1">
      <alignment horizontal="left"/>
    </xf>
    <xf numFmtId="165" fontId="14" fillId="3" borderId="20" xfId="1" applyNumberFormat="1" applyFont="1" applyFill="1" applyBorder="1" applyAlignment="1">
      <alignment horizontal="center"/>
    </xf>
    <xf numFmtId="165" fontId="14" fillId="0" borderId="13" xfId="1" applyNumberFormat="1" applyFont="1" applyFill="1" applyBorder="1"/>
    <xf numFmtId="165" fontId="14" fillId="0" borderId="14" xfId="1" applyNumberFormat="1" applyFont="1" applyBorder="1"/>
    <xf numFmtId="0" fontId="0" fillId="11" borderId="0" xfId="0" applyFill="1"/>
    <xf numFmtId="41" fontId="19" fillId="14" borderId="0" xfId="0" applyNumberFormat="1" applyFont="1" applyFill="1" applyBorder="1" applyAlignment="1">
      <alignment horizontal="center"/>
    </xf>
    <xf numFmtId="0" fontId="14" fillId="0" borderId="0" xfId="0" applyFont="1" applyAlignment="1">
      <alignment wrapText="1"/>
    </xf>
    <xf numFmtId="41" fontId="14" fillId="0" borderId="0" xfId="1" applyNumberFormat="1" applyFill="1" applyBorder="1" applyProtection="1">
      <protection locked="0"/>
    </xf>
    <xf numFmtId="0" fontId="14" fillId="0" borderId="0" xfId="0" applyFont="1" applyFill="1" applyBorder="1" applyProtection="1">
      <protection locked="0"/>
    </xf>
    <xf numFmtId="0" fontId="0" fillId="0" borderId="0" xfId="0" applyFill="1"/>
    <xf numFmtId="165" fontId="14" fillId="12" borderId="0" xfId="18" applyNumberFormat="1" applyFont="1" applyFill="1" applyProtection="1">
      <protection locked="0"/>
    </xf>
    <xf numFmtId="165" fontId="14" fillId="12" borderId="0" xfId="1" applyNumberFormat="1" applyFont="1" applyFill="1" applyProtection="1">
      <protection locked="0"/>
    </xf>
    <xf numFmtId="165" fontId="14" fillId="12" borderId="0" xfId="15" applyNumberFormat="1" applyFont="1" applyFill="1" applyProtection="1">
      <protection locked="0"/>
    </xf>
    <xf numFmtId="10" fontId="16" fillId="0" borderId="0" xfId="3" applyNumberFormat="1" applyFont="1" applyFill="1" applyBorder="1" applyAlignment="1" applyProtection="1">
      <alignment horizontal="center"/>
    </xf>
    <xf numFmtId="0" fontId="14" fillId="5" borderId="0" xfId="16" applyFont="1" applyFill="1" applyBorder="1" applyAlignment="1">
      <alignment wrapText="1"/>
    </xf>
    <xf numFmtId="0" fontId="0" fillId="0" borderId="0" xfId="0" applyAlignment="1">
      <alignment wrapText="1"/>
    </xf>
    <xf numFmtId="0" fontId="0" fillId="0" borderId="0" xfId="0" applyFill="1" applyBorder="1"/>
    <xf numFmtId="0" fontId="0" fillId="0" borderId="0" xfId="0" applyFill="1"/>
    <xf numFmtId="41" fontId="0" fillId="0" borderId="8" xfId="1" applyNumberFormat="1" applyFont="1" applyFill="1" applyBorder="1" applyProtection="1">
      <protection locked="0"/>
    </xf>
    <xf numFmtId="165" fontId="14" fillId="13" borderId="20" xfId="1" applyNumberFormat="1" applyFont="1" applyFill="1" applyBorder="1"/>
    <xf numFmtId="0" fontId="14" fillId="13" borderId="0" xfId="16" applyFont="1" applyFill="1" applyAlignment="1">
      <alignment wrapText="1"/>
    </xf>
    <xf numFmtId="0" fontId="16" fillId="2" borderId="23" xfId="16" applyFont="1" applyFill="1" applyBorder="1" applyAlignment="1">
      <alignment horizontal="left"/>
    </xf>
    <xf numFmtId="0" fontId="16" fillId="2" borderId="7" xfId="16" applyFont="1" applyFill="1" applyBorder="1" applyAlignment="1">
      <alignment horizontal="left"/>
    </xf>
    <xf numFmtId="0" fontId="0" fillId="0" borderId="0" xfId="0"/>
    <xf numFmtId="0" fontId="0" fillId="0" borderId="0" xfId="0" applyAlignment="1"/>
    <xf numFmtId="0" fontId="0" fillId="0" borderId="0" xfId="0" applyFill="1"/>
    <xf numFmtId="0" fontId="81" fillId="0" borderId="0" xfId="0" applyFont="1" applyFill="1" applyAlignment="1">
      <alignment horizontal="center"/>
    </xf>
    <xf numFmtId="0" fontId="82" fillId="0" borderId="0" xfId="0" quotePrefix="1" applyFont="1" applyFill="1" applyBorder="1" applyAlignment="1">
      <alignment horizontal="center"/>
    </xf>
    <xf numFmtId="0" fontId="82" fillId="0" borderId="0" xfId="0" applyFont="1" applyFill="1" applyBorder="1" applyAlignment="1">
      <alignment horizontal="center"/>
    </xf>
    <xf numFmtId="165" fontId="81" fillId="0" borderId="0" xfId="1" applyNumberFormat="1" applyFont="1" applyFill="1" applyBorder="1" applyAlignment="1">
      <alignment horizontal="center" wrapText="1"/>
    </xf>
    <xf numFmtId="171" fontId="0" fillId="0" borderId="0" xfId="3" applyNumberFormat="1" applyFont="1"/>
    <xf numFmtId="166" fontId="0" fillId="0" borderId="0" xfId="0" applyNumberFormat="1"/>
    <xf numFmtId="171" fontId="81" fillId="0" borderId="0" xfId="0" applyNumberFormat="1" applyFont="1" applyFill="1"/>
    <xf numFmtId="171" fontId="82" fillId="0" borderId="0" xfId="0" applyNumberFormat="1" applyFont="1" applyFill="1"/>
    <xf numFmtId="176" fontId="82" fillId="0" borderId="0" xfId="0" applyNumberFormat="1" applyFont="1" applyFill="1"/>
    <xf numFmtId="165" fontId="82" fillId="0" borderId="0" xfId="0" applyNumberFormat="1" applyFont="1" applyFill="1"/>
    <xf numFmtId="43" fontId="82" fillId="0" borderId="0" xfId="0" applyNumberFormat="1" applyFont="1" applyFill="1"/>
    <xf numFmtId="0" fontId="88" fillId="0" borderId="0" xfId="0" applyFont="1" applyFill="1" applyAlignment="1"/>
    <xf numFmtId="0" fontId="0" fillId="0" borderId="0" xfId="0" applyFont="1" applyFill="1" applyAlignment="1">
      <alignment horizontal="left" wrapText="1"/>
    </xf>
    <xf numFmtId="43" fontId="0" fillId="0" borderId="5" xfId="1" applyFont="1" applyBorder="1"/>
    <xf numFmtId="0" fontId="0" fillId="0" borderId="0" xfId="0" applyFont="1" applyFill="1"/>
    <xf numFmtId="9" fontId="81" fillId="0" borderId="0" xfId="3" applyFont="1" applyFill="1" applyBorder="1" applyAlignment="1">
      <alignment horizontal="center" wrapText="1"/>
    </xf>
    <xf numFmtId="0" fontId="81" fillId="0" borderId="0" xfId="3" applyNumberFormat="1" applyFont="1" applyFill="1"/>
    <xf numFmtId="0" fontId="0" fillId="0" borderId="0" xfId="1" applyNumberFormat="1" applyFont="1"/>
    <xf numFmtId="0" fontId="0" fillId="0" borderId="0" xfId="12" applyNumberFormat="1" applyFont="1" applyFill="1"/>
    <xf numFmtId="0" fontId="81" fillId="0" borderId="0" xfId="1" applyNumberFormat="1" applyFont="1" applyFill="1"/>
    <xf numFmtId="0" fontId="81" fillId="0" borderId="0" xfId="0" applyNumberFormat="1" applyFont="1" applyFill="1"/>
    <xf numFmtId="0" fontId="0" fillId="0" borderId="0" xfId="0" applyAlignment="1">
      <alignment wrapText="1"/>
    </xf>
    <xf numFmtId="0" fontId="0" fillId="0" borderId="0" xfId="0"/>
    <xf numFmtId="0" fontId="16" fillId="0" borderId="0" xfId="0" applyFont="1"/>
    <xf numFmtId="0" fontId="81" fillId="0" borderId="0" xfId="0" applyFont="1"/>
    <xf numFmtId="165" fontId="81" fillId="0" borderId="0" xfId="1" applyNumberFormat="1" applyFont="1"/>
    <xf numFmtId="170" fontId="81" fillId="0" borderId="0" xfId="0" applyNumberFormat="1" applyFont="1"/>
    <xf numFmtId="0" fontId="73" fillId="0" borderId="0" xfId="0" applyFont="1" applyAlignment="1">
      <alignment horizontal="center" wrapText="1"/>
    </xf>
    <xf numFmtId="0" fontId="75" fillId="0" borderId="0" xfId="0" applyFont="1" applyAlignment="1">
      <alignment horizontal="center"/>
    </xf>
    <xf numFmtId="0" fontId="81" fillId="0" borderId="0" xfId="0" applyFont="1" applyAlignment="1">
      <alignment horizontal="center"/>
    </xf>
    <xf numFmtId="0" fontId="81" fillId="0" borderId="0" xfId="0" applyFont="1" applyAlignment="1">
      <alignment horizontal="left"/>
    </xf>
    <xf numFmtId="0" fontId="88" fillId="0" borderId="0" xfId="49" applyFont="1"/>
    <xf numFmtId="43" fontId="88" fillId="0" borderId="0" xfId="31" applyFont="1"/>
    <xf numFmtId="0" fontId="4" fillId="0" borderId="0" xfId="49"/>
    <xf numFmtId="43" fontId="4" fillId="0" borderId="0" xfId="31" applyFont="1"/>
    <xf numFmtId="0" fontId="5" fillId="0" borderId="0" xfId="36"/>
    <xf numFmtId="165" fontId="75" fillId="0" borderId="0" xfId="31" applyNumberFormat="1" applyFont="1"/>
    <xf numFmtId="165" fontId="75" fillId="0" borderId="52" xfId="31" applyNumberFormat="1" applyFont="1" applyBorder="1"/>
    <xf numFmtId="0" fontId="81" fillId="0" borderId="0" xfId="49" applyFont="1"/>
    <xf numFmtId="9" fontId="81" fillId="0" borderId="0" xfId="49" applyNumberFormat="1" applyFont="1"/>
    <xf numFmtId="43" fontId="81" fillId="0" borderId="0" xfId="50" applyFont="1"/>
    <xf numFmtId="9" fontId="81" fillId="0" borderId="0" xfId="51" applyFont="1"/>
    <xf numFmtId="0" fontId="81" fillId="0" borderId="0" xfId="49" applyFont="1" applyAlignment="1">
      <alignment horizontal="center"/>
    </xf>
    <xf numFmtId="0" fontId="82" fillId="0" borderId="1" xfId="49" applyFont="1" applyBorder="1" applyAlignment="1">
      <alignment horizontal="centerContinuous"/>
    </xf>
    <xf numFmtId="0" fontId="82" fillId="0" borderId="0" xfId="49" quotePrefix="1" applyFont="1" applyAlignment="1">
      <alignment horizontal="centerContinuous"/>
    </xf>
    <xf numFmtId="0" fontId="82" fillId="0" borderId="0" xfId="49" applyFont="1" applyAlignment="1">
      <alignment horizontal="center" wrapText="1"/>
    </xf>
    <xf numFmtId="0" fontId="81" fillId="0" borderId="0" xfId="49" applyFont="1" applyAlignment="1">
      <alignment horizontal="left"/>
    </xf>
    <xf numFmtId="165" fontId="81" fillId="0" borderId="0" xfId="50" applyNumberFormat="1" applyFont="1" applyAlignment="1">
      <alignment horizontal="center" wrapText="1"/>
    </xf>
    <xf numFmtId="171" fontId="4" fillId="0" borderId="0" xfId="51" applyNumberFormat="1"/>
    <xf numFmtId="166" fontId="4" fillId="0" borderId="0" xfId="49" applyNumberFormat="1"/>
    <xf numFmtId="165" fontId="81" fillId="0" borderId="0" xfId="50" applyNumberFormat="1" applyFont="1"/>
    <xf numFmtId="165" fontId="4" fillId="0" borderId="0" xfId="50" applyNumberFormat="1"/>
    <xf numFmtId="167" fontId="81" fillId="0" borderId="0" xfId="49" applyNumberFormat="1" applyFont="1" applyAlignment="1">
      <alignment horizontal="left"/>
    </xf>
    <xf numFmtId="167" fontId="81" fillId="0" borderId="0" xfId="49" applyNumberFormat="1" applyFont="1"/>
    <xf numFmtId="167" fontId="0" fillId="0" borderId="0" xfId="0" applyNumberFormat="1"/>
    <xf numFmtId="171" fontId="82" fillId="0" borderId="0" xfId="49" applyNumberFormat="1" applyFont="1"/>
    <xf numFmtId="176" fontId="82" fillId="0" borderId="0" xfId="49" applyNumberFormat="1" applyFont="1"/>
    <xf numFmtId="165" fontId="82" fillId="0" borderId="0" xfId="49" applyNumberFormat="1" applyFont="1"/>
    <xf numFmtId="165" fontId="4" fillId="0" borderId="0" xfId="49" applyNumberFormat="1"/>
    <xf numFmtId="0" fontId="82" fillId="0" borderId="0" xfId="49" applyFont="1"/>
    <xf numFmtId="165" fontId="81" fillId="0" borderId="0" xfId="49" applyNumberFormat="1" applyFont="1"/>
    <xf numFmtId="43" fontId="82" fillId="0" borderId="0" xfId="49" applyNumberFormat="1" applyFont="1"/>
    <xf numFmtId="0" fontId="4" fillId="13" borderId="0" xfId="49" applyFill="1"/>
    <xf numFmtId="1" fontId="81" fillId="0" borderId="0" xfId="51" applyNumberFormat="1" applyFont="1"/>
    <xf numFmtId="1" fontId="81" fillId="0" borderId="0" xfId="50" applyNumberFormat="1" applyFont="1"/>
    <xf numFmtId="43" fontId="73" fillId="0" borderId="0" xfId="1" applyFont="1" applyAlignment="1">
      <alignment horizontal="center" wrapText="1"/>
    </xf>
    <xf numFmtId="0" fontId="71" fillId="0" borderId="0" xfId="0" applyFont="1" applyAlignment="1">
      <alignment horizontal="center" vertical="center"/>
    </xf>
    <xf numFmtId="0" fontId="73" fillId="0" borderId="0" xfId="0" applyFont="1" applyAlignment="1">
      <alignment horizontal="left" vertical="center" wrapText="1"/>
    </xf>
    <xf numFmtId="0" fontId="16" fillId="0" borderId="0" xfId="0" applyFont="1" applyAlignment="1">
      <alignment vertical="center"/>
    </xf>
    <xf numFmtId="0" fontId="45" fillId="0" borderId="0" xfId="0" applyFont="1" applyAlignment="1">
      <alignment horizontal="right" vertical="top"/>
    </xf>
    <xf numFmtId="0" fontId="45" fillId="0" borderId="0" xfId="0" applyFont="1" applyFill="1" applyBorder="1" applyAlignment="1">
      <alignment horizontal="left"/>
    </xf>
    <xf numFmtId="0" fontId="44" fillId="0" borderId="0" xfId="0" applyFont="1" applyFill="1" applyBorder="1" applyAlignment="1"/>
    <xf numFmtId="0" fontId="97" fillId="0" borderId="0" xfId="52"/>
    <xf numFmtId="0" fontId="0" fillId="0" borderId="0" xfId="0"/>
    <xf numFmtId="0" fontId="81" fillId="0" borderId="0" xfId="53" applyFont="1"/>
    <xf numFmtId="0" fontId="91" fillId="23" borderId="0" xfId="53" applyFont="1" applyFill="1"/>
    <xf numFmtId="171" fontId="81" fillId="24" borderId="0" xfId="54" applyNumberFormat="1" applyFont="1" applyFill="1" applyBorder="1" applyAlignment="1">
      <alignment wrapText="1"/>
    </xf>
    <xf numFmtId="0" fontId="81" fillId="15" borderId="0" xfId="53" applyFont="1" applyFill="1"/>
    <xf numFmtId="171" fontId="81" fillId="0" borderId="0" xfId="53" applyNumberFormat="1" applyFont="1"/>
    <xf numFmtId="170" fontId="81" fillId="0" borderId="0" xfId="53" applyNumberFormat="1" applyFont="1"/>
    <xf numFmtId="0" fontId="82" fillId="0" borderId="0" xfId="53" applyFont="1" applyAlignment="1">
      <alignment horizontal="center"/>
    </xf>
    <xf numFmtId="0" fontId="82" fillId="0" borderId="0" xfId="53" applyFont="1" applyAlignment="1">
      <alignment horizontal="left"/>
    </xf>
    <xf numFmtId="171" fontId="3" fillId="0" borderId="0" xfId="53" applyNumberFormat="1"/>
    <xf numFmtId="165" fontId="82" fillId="0" borderId="0" xfId="55" applyNumberFormat="1" applyFont="1" applyFill="1"/>
    <xf numFmtId="0" fontId="82" fillId="0" borderId="0" xfId="53" applyFont="1"/>
    <xf numFmtId="170" fontId="82" fillId="15" borderId="0" xfId="53" applyNumberFormat="1" applyFont="1" applyFill="1"/>
    <xf numFmtId="170" fontId="82" fillId="0" borderId="0" xfId="53" applyNumberFormat="1" applyFont="1"/>
    <xf numFmtId="0" fontId="3" fillId="0" borderId="0" xfId="53"/>
    <xf numFmtId="171" fontId="81" fillId="0" borderId="0" xfId="54" applyNumberFormat="1" applyFont="1" applyFill="1" applyBorder="1" applyAlignment="1"/>
    <xf numFmtId="0" fontId="82" fillId="0" borderId="1" xfId="53" applyFont="1" applyBorder="1" applyAlignment="1">
      <alignment horizontal="centerContinuous"/>
    </xf>
    <xf numFmtId="0" fontId="82" fillId="15" borderId="1" xfId="53" applyFont="1" applyFill="1" applyBorder="1" applyAlignment="1">
      <alignment horizontal="centerContinuous"/>
    </xf>
    <xf numFmtId="0" fontId="82" fillId="0" borderId="0" xfId="53" applyFont="1" applyAlignment="1">
      <alignment horizontal="center" wrapText="1"/>
    </xf>
    <xf numFmtId="0" fontId="82" fillId="15" borderId="0" xfId="53" applyFont="1" applyFill="1" applyAlignment="1">
      <alignment horizontal="center" wrapText="1"/>
    </xf>
    <xf numFmtId="0" fontId="73" fillId="0" borderId="0" xfId="53" applyFont="1" applyAlignment="1">
      <alignment horizontal="center" wrapText="1"/>
    </xf>
    <xf numFmtId="0" fontId="74" fillId="0" borderId="0" xfId="53" applyFont="1" applyAlignment="1">
      <alignment horizontal="left" wrapText="1"/>
    </xf>
    <xf numFmtId="165" fontId="92" fillId="0" borderId="0" xfId="55" applyNumberFormat="1" applyFont="1" applyFill="1" applyAlignment="1">
      <alignment horizontal="right" vertical="center" wrapText="1"/>
    </xf>
    <xf numFmtId="165" fontId="81" fillId="0" borderId="0" xfId="55" applyNumberFormat="1" applyFont="1" applyFill="1"/>
    <xf numFmtId="0" fontId="81" fillId="20" borderId="0" xfId="53" applyFont="1" applyFill="1"/>
    <xf numFmtId="0" fontId="81" fillId="21" borderId="0" xfId="53" applyFont="1" applyFill="1"/>
    <xf numFmtId="0" fontId="81" fillId="22" borderId="0" xfId="53" applyFont="1" applyFill="1"/>
    <xf numFmtId="0" fontId="81" fillId="0" borderId="0" xfId="53" applyFont="1" applyAlignment="1">
      <alignment horizontal="center"/>
    </xf>
    <xf numFmtId="171" fontId="82" fillId="0" borderId="0" xfId="54" applyNumberFormat="1" applyFont="1" applyFill="1" applyBorder="1" applyAlignment="1">
      <alignment horizontal="center"/>
    </xf>
    <xf numFmtId="49" fontId="81" fillId="0" borderId="0" xfId="53" applyNumberFormat="1" applyFont="1" applyAlignment="1">
      <alignment horizontal="left"/>
    </xf>
    <xf numFmtId="49" fontId="3" fillId="0" borderId="0" xfId="53" applyNumberFormat="1"/>
    <xf numFmtId="0" fontId="81" fillId="0" borderId="0" xfId="54" applyNumberFormat="1" applyFont="1" applyFill="1" applyBorder="1" applyAlignment="1">
      <alignment horizontal="center"/>
    </xf>
    <xf numFmtId="49" fontId="93" fillId="0" borderId="0" xfId="53" applyNumberFormat="1" applyFont="1" applyAlignment="1">
      <alignment horizontal="left"/>
    </xf>
    <xf numFmtId="49" fontId="3" fillId="0" borderId="0" xfId="53" applyNumberFormat="1" applyAlignment="1">
      <alignment horizontal="left"/>
    </xf>
    <xf numFmtId="49" fontId="81" fillId="0" borderId="0" xfId="53" applyNumberFormat="1" applyFont="1"/>
    <xf numFmtId="0" fontId="0" fillId="0" borderId="0" xfId="0"/>
    <xf numFmtId="43" fontId="81" fillId="0" borderId="0" xfId="0" applyNumberFormat="1" applyFont="1"/>
    <xf numFmtId="0" fontId="0" fillId="0" borderId="0" xfId="0"/>
    <xf numFmtId="0" fontId="93" fillId="0" borderId="0" xfId="57" applyFont="1"/>
    <xf numFmtId="43" fontId="93" fillId="0" borderId="5" xfId="58" applyFont="1" applyFill="1" applyBorder="1"/>
    <xf numFmtId="43" fontId="2" fillId="0" borderId="0" xfId="57" applyNumberFormat="1"/>
    <xf numFmtId="0" fontId="2" fillId="0" borderId="0" xfId="57"/>
    <xf numFmtId="43" fontId="0" fillId="0" borderId="0" xfId="58" applyFont="1"/>
    <xf numFmtId="0" fontId="100" fillId="0" borderId="22" xfId="57" applyFont="1" applyBorder="1"/>
    <xf numFmtId="43" fontId="100" fillId="0" borderId="22" xfId="58" applyFont="1" applyFill="1" applyBorder="1"/>
    <xf numFmtId="0" fontId="71" fillId="0" borderId="1" xfId="57" applyFont="1" applyBorder="1"/>
    <xf numFmtId="43" fontId="71" fillId="0" borderId="1" xfId="58" applyFont="1" applyBorder="1"/>
    <xf numFmtId="0" fontId="73" fillId="0" borderId="0" xfId="59" applyFont="1" applyAlignment="1">
      <alignment horizontal="center" wrapText="1"/>
    </xf>
    <xf numFmtId="0" fontId="74" fillId="0" borderId="0" xfId="59" applyFont="1" applyAlignment="1">
      <alignment horizontal="left" wrapText="1"/>
    </xf>
    <xf numFmtId="43" fontId="100" fillId="0" borderId="0" xfId="58" applyFont="1" applyFill="1" applyBorder="1"/>
    <xf numFmtId="0" fontId="71" fillId="0" borderId="0" xfId="57" applyFont="1"/>
    <xf numFmtId="43" fontId="71" fillId="0" borderId="0" xfId="58" applyFont="1"/>
    <xf numFmtId="43" fontId="93" fillId="0" borderId="0" xfId="58" applyFont="1" applyFill="1" applyBorder="1"/>
    <xf numFmtId="0" fontId="100" fillId="0" borderId="0" xfId="57" applyFont="1"/>
    <xf numFmtId="0" fontId="75" fillId="0" borderId="0" xfId="0" applyFont="1"/>
    <xf numFmtId="0" fontId="93" fillId="0" borderId="0" xfId="0" applyFont="1"/>
    <xf numFmtId="171" fontId="81" fillId="0" borderId="0" xfId="3" applyNumberFormat="1" applyFont="1" applyFill="1" applyBorder="1" applyAlignment="1"/>
    <xf numFmtId="171" fontId="71" fillId="0" borderId="0" xfId="3" applyNumberFormat="1" applyFont="1" applyFill="1"/>
    <xf numFmtId="165" fontId="71" fillId="0" borderId="0" xfId="1" applyNumberFormat="1" applyFont="1" applyFill="1"/>
    <xf numFmtId="165" fontId="81" fillId="0" borderId="0" xfId="0" applyNumberFormat="1" applyFont="1"/>
    <xf numFmtId="0" fontId="0" fillId="0" borderId="0" xfId="0"/>
    <xf numFmtId="0" fontId="81" fillId="0" borderId="0" xfId="60" applyFont="1"/>
    <xf numFmtId="0" fontId="91" fillId="23" borderId="0" xfId="60" applyFont="1" applyFill="1"/>
    <xf numFmtId="171" fontId="81" fillId="13" borderId="0" xfId="61" applyNumberFormat="1" applyFont="1" applyFill="1" applyBorder="1" applyAlignment="1">
      <alignment wrapText="1"/>
    </xf>
    <xf numFmtId="0" fontId="81" fillId="15" borderId="0" xfId="60" applyFont="1" applyFill="1"/>
    <xf numFmtId="171" fontId="81" fillId="0" borderId="0" xfId="60" applyNumberFormat="1" applyFont="1"/>
    <xf numFmtId="170" fontId="81" fillId="0" borderId="0" xfId="60" applyNumberFormat="1" applyFont="1"/>
    <xf numFmtId="0" fontId="82" fillId="0" borderId="0" xfId="60" applyFont="1" applyAlignment="1">
      <alignment horizontal="center"/>
    </xf>
    <xf numFmtId="0" fontId="82" fillId="0" borderId="0" xfId="60" applyFont="1" applyAlignment="1">
      <alignment horizontal="left"/>
    </xf>
    <xf numFmtId="171" fontId="1" fillId="0" borderId="0" xfId="60" applyNumberFormat="1"/>
    <xf numFmtId="165" fontId="82" fillId="0" borderId="0" xfId="62" applyNumberFormat="1" applyFont="1" applyFill="1"/>
    <xf numFmtId="0" fontId="82" fillId="0" borderId="0" xfId="60" applyFont="1"/>
    <xf numFmtId="165" fontId="80" fillId="0" borderId="0" xfId="62" applyNumberFormat="1" applyFont="1" applyFill="1" applyBorder="1" applyAlignment="1"/>
    <xf numFmtId="165" fontId="82" fillId="15" borderId="0" xfId="62" applyNumberFormat="1" applyFont="1" applyFill="1"/>
    <xf numFmtId="170" fontId="82" fillId="15" borderId="0" xfId="60" applyNumberFormat="1" applyFont="1" applyFill="1"/>
    <xf numFmtId="170" fontId="82" fillId="0" borderId="0" xfId="60" applyNumberFormat="1" applyFont="1"/>
    <xf numFmtId="0" fontId="1" fillId="0" borderId="0" xfId="60"/>
    <xf numFmtId="171" fontId="81" fillId="0" borderId="0" xfId="61" applyNumberFormat="1" applyFont="1" applyFill="1" applyBorder="1" applyAlignment="1"/>
    <xf numFmtId="0" fontId="82" fillId="0" borderId="1" xfId="60" applyFont="1" applyBorder="1" applyAlignment="1">
      <alignment horizontal="centerContinuous"/>
    </xf>
    <xf numFmtId="0" fontId="82" fillId="15" borderId="1" xfId="60" applyFont="1" applyFill="1" applyBorder="1" applyAlignment="1">
      <alignment horizontal="centerContinuous"/>
    </xf>
    <xf numFmtId="0" fontId="82" fillId="0" borderId="0" xfId="60" applyFont="1" applyAlignment="1">
      <alignment horizontal="center" wrapText="1"/>
    </xf>
    <xf numFmtId="0" fontId="82" fillId="15" borderId="0" xfId="60" applyFont="1" applyFill="1" applyAlignment="1">
      <alignment horizontal="center" wrapText="1"/>
    </xf>
    <xf numFmtId="0" fontId="75" fillId="20" borderId="0" xfId="60" applyFont="1" applyFill="1" applyAlignment="1">
      <alignment horizontal="center"/>
    </xf>
    <xf numFmtId="165" fontId="92" fillId="20" borderId="0" xfId="62" applyNumberFormat="1" applyFont="1" applyFill="1" applyAlignment="1">
      <alignment horizontal="left" vertical="center" wrapText="1"/>
    </xf>
    <xf numFmtId="171" fontId="81" fillId="23" borderId="0" xfId="61" applyNumberFormat="1" applyFont="1" applyFill="1" applyBorder="1" applyAlignment="1"/>
    <xf numFmtId="165" fontId="92" fillId="0" borderId="0" xfId="62" applyNumberFormat="1" applyFont="1" applyFill="1" applyAlignment="1">
      <alignment horizontal="right" vertical="center" wrapText="1"/>
    </xf>
    <xf numFmtId="165" fontId="81" fillId="0" borderId="0" xfId="62" applyNumberFormat="1" applyFont="1" applyFill="1"/>
    <xf numFmtId="0" fontId="14" fillId="25" borderId="0" xfId="60" applyFont="1" applyFill="1" applyAlignment="1">
      <alignment horizontal="center"/>
    </xf>
    <xf numFmtId="165" fontId="92" fillId="25" borderId="0" xfId="62" applyNumberFormat="1" applyFont="1" applyFill="1" applyAlignment="1">
      <alignment horizontal="left" vertical="center" wrapText="1"/>
    </xf>
    <xf numFmtId="0" fontId="14" fillId="21" borderId="0" xfId="60" applyFont="1" applyFill="1" applyAlignment="1">
      <alignment horizontal="center"/>
    </xf>
    <xf numFmtId="165" fontId="92" fillId="21" borderId="0" xfId="62" applyNumberFormat="1" applyFont="1" applyFill="1" applyAlignment="1">
      <alignment horizontal="left" vertical="center" wrapText="1"/>
    </xf>
    <xf numFmtId="0" fontId="14" fillId="13" borderId="0" xfId="60" applyFont="1" applyFill="1" applyAlignment="1">
      <alignment horizontal="center"/>
    </xf>
    <xf numFmtId="0" fontId="75" fillId="13" borderId="0" xfId="60" applyFont="1" applyFill="1" applyAlignment="1">
      <alignment horizontal="center"/>
    </xf>
    <xf numFmtId="165" fontId="92" fillId="0" borderId="0" xfId="62" applyNumberFormat="1" applyFont="1" applyFill="1" applyAlignment="1">
      <alignment horizontal="left" vertical="center" wrapText="1"/>
    </xf>
    <xf numFmtId="165" fontId="92" fillId="22" borderId="0" xfId="62" applyNumberFormat="1" applyFont="1" applyFill="1" applyAlignment="1">
      <alignment horizontal="left" vertical="center" wrapText="1"/>
    </xf>
    <xf numFmtId="0" fontId="75" fillId="0" borderId="0" xfId="60" applyFont="1" applyAlignment="1">
      <alignment horizontal="center"/>
    </xf>
    <xf numFmtId="0" fontId="81" fillId="20" borderId="0" xfId="60" applyFont="1" applyFill="1"/>
    <xf numFmtId="0" fontId="81" fillId="21" borderId="0" xfId="60" applyFont="1" applyFill="1"/>
    <xf numFmtId="0" fontId="81" fillId="22" borderId="0" xfId="60" applyFont="1" applyFill="1"/>
    <xf numFmtId="0" fontId="73" fillId="0" borderId="0" xfId="60" applyFont="1" applyAlignment="1">
      <alignment horizontal="center" wrapText="1"/>
    </xf>
    <xf numFmtId="0" fontId="74" fillId="0" borderId="0" xfId="60" applyFont="1" applyAlignment="1">
      <alignment horizontal="left" wrapText="1"/>
    </xf>
    <xf numFmtId="0" fontId="81" fillId="0" borderId="0" xfId="60" applyFont="1" applyAlignment="1">
      <alignment horizontal="center"/>
    </xf>
    <xf numFmtId="0" fontId="81" fillId="0" borderId="0" xfId="60" applyFont="1" applyAlignment="1">
      <alignment horizontal="left"/>
    </xf>
    <xf numFmtId="171" fontId="82" fillId="0" borderId="0" xfId="61" applyNumberFormat="1" applyFont="1" applyFill="1" applyBorder="1" applyAlignment="1">
      <alignment horizontal="center"/>
    </xf>
    <xf numFmtId="49" fontId="81" fillId="0" borderId="0" xfId="60" applyNumberFormat="1" applyFont="1" applyAlignment="1">
      <alignment horizontal="left"/>
    </xf>
    <xf numFmtId="49" fontId="1" fillId="0" borderId="0" xfId="60" applyNumberFormat="1"/>
    <xf numFmtId="0" fontId="81" fillId="0" borderId="0" xfId="61" applyNumberFormat="1" applyFont="1" applyFill="1" applyBorder="1" applyAlignment="1">
      <alignment horizontal="center"/>
    </xf>
    <xf numFmtId="49" fontId="93" fillId="0" borderId="0" xfId="60" applyNumberFormat="1" applyFont="1" applyAlignment="1">
      <alignment horizontal="left"/>
    </xf>
    <xf numFmtId="49" fontId="1" fillId="0" borderId="0" xfId="60" applyNumberFormat="1" applyAlignment="1">
      <alignment horizontal="left"/>
    </xf>
    <xf numFmtId="49" fontId="81" fillId="0" borderId="0" xfId="60" applyNumberFormat="1" applyFont="1"/>
    <xf numFmtId="0" fontId="93" fillId="0" borderId="0" xfId="60" applyFont="1"/>
    <xf numFmtId="43" fontId="93" fillId="0" borderId="5" xfId="62" applyFont="1" applyFill="1" applyBorder="1"/>
    <xf numFmtId="43" fontId="1" fillId="0" borderId="0" xfId="60" applyNumberFormat="1"/>
    <xf numFmtId="43" fontId="0" fillId="0" borderId="0" xfId="62" applyFont="1"/>
    <xf numFmtId="0" fontId="100" fillId="0" borderId="22" xfId="60" applyFont="1" applyBorder="1"/>
    <xf numFmtId="43" fontId="100" fillId="0" borderId="22" xfId="62" applyFont="1" applyFill="1" applyBorder="1"/>
    <xf numFmtId="0" fontId="71" fillId="0" borderId="1" xfId="60" applyFont="1" applyBorder="1"/>
    <xf numFmtId="43" fontId="71" fillId="0" borderId="1" xfId="62" applyFont="1" applyBorder="1"/>
    <xf numFmtId="0" fontId="92" fillId="0" borderId="0" xfId="60" applyFont="1" applyAlignment="1">
      <alignment horizontal="right"/>
    </xf>
    <xf numFmtId="0" fontId="92" fillId="0" borderId="0" xfId="60" applyFont="1"/>
    <xf numFmtId="43" fontId="100" fillId="0" borderId="0" xfId="62" applyFont="1" applyFill="1" applyBorder="1"/>
    <xf numFmtId="0" fontId="71" fillId="0" borderId="0" xfId="60" applyFont="1"/>
    <xf numFmtId="43" fontId="71" fillId="0" borderId="0" xfId="62" applyFont="1"/>
    <xf numFmtId="43" fontId="93" fillId="0" borderId="0" xfId="62" applyFont="1" applyFill="1" applyBorder="1"/>
    <xf numFmtId="0" fontId="1" fillId="26" borderId="0" xfId="60" applyFill="1"/>
    <xf numFmtId="43" fontId="0" fillId="26" borderId="0" xfId="62" applyFont="1" applyFill="1"/>
    <xf numFmtId="0" fontId="1" fillId="13" borderId="0" xfId="60" applyFill="1"/>
    <xf numFmtId="0" fontId="93" fillId="27" borderId="0" xfId="60" applyFont="1" applyFill="1"/>
    <xf numFmtId="43" fontId="93" fillId="27" borderId="0" xfId="62" applyFont="1" applyFill="1" applyBorder="1"/>
    <xf numFmtId="0" fontId="93" fillId="26" borderId="0" xfId="60" applyFont="1" applyFill="1"/>
    <xf numFmtId="43" fontId="93" fillId="26" borderId="0" xfId="62" applyFont="1" applyFill="1" applyBorder="1"/>
    <xf numFmtId="0" fontId="93" fillId="28" borderId="0" xfId="60" applyFont="1" applyFill="1" applyAlignment="1">
      <alignment horizontal="right"/>
    </xf>
    <xf numFmtId="0" fontId="93" fillId="28" borderId="0" xfId="60" applyFont="1" applyFill="1"/>
    <xf numFmtId="43" fontId="93" fillId="28" borderId="0" xfId="62" applyFont="1" applyFill="1" applyBorder="1"/>
    <xf numFmtId="43" fontId="93" fillId="28" borderId="5" xfId="62" applyFont="1" applyFill="1" applyBorder="1"/>
    <xf numFmtId="0" fontId="93" fillId="13" borderId="0" xfId="60" applyFont="1" applyFill="1"/>
    <xf numFmtId="43" fontId="0" fillId="13" borderId="0" xfId="62" applyFont="1" applyFill="1"/>
    <xf numFmtId="43" fontId="0" fillId="0" borderId="1" xfId="62" applyFont="1" applyBorder="1"/>
    <xf numFmtId="0" fontId="100" fillId="0" borderId="0" xfId="60" applyFont="1"/>
    <xf numFmtId="165" fontId="0" fillId="0" borderId="0" xfId="5" applyNumberFormat="1" applyFont="1" applyFill="1"/>
    <xf numFmtId="0" fontId="0" fillId="0" borderId="0" xfId="0" applyAlignment="1">
      <alignment wrapText="1"/>
    </xf>
    <xf numFmtId="0" fontId="17" fillId="0" borderId="0" xfId="0" applyFont="1" applyAlignment="1">
      <alignment wrapText="1"/>
    </xf>
    <xf numFmtId="0" fontId="16" fillId="0" borderId="0" xfId="0" applyFont="1" applyAlignment="1">
      <alignment wrapText="1"/>
    </xf>
    <xf numFmtId="0" fontId="16" fillId="0" borderId="0" xfId="0" applyFont="1"/>
    <xf numFmtId="0" fontId="16" fillId="0" borderId="0" xfId="0" applyFont="1" applyFill="1" applyAlignment="1">
      <alignment wrapText="1"/>
    </xf>
    <xf numFmtId="0" fontId="0" fillId="0" borderId="0" xfId="0"/>
    <xf numFmtId="0" fontId="14" fillId="13" borderId="0" xfId="0" applyFont="1" applyFill="1" applyAlignment="1">
      <alignment horizontal="left" vertical="top" wrapText="1"/>
    </xf>
    <xf numFmtId="0" fontId="0" fillId="13" borderId="0" xfId="0" applyFill="1" applyAlignment="1">
      <alignment horizontal="left" vertical="top" wrapText="1"/>
    </xf>
    <xf numFmtId="0" fontId="22" fillId="2" borderId="17" xfId="0" applyFont="1" applyFill="1" applyBorder="1" applyAlignment="1">
      <alignment horizontal="center"/>
    </xf>
    <xf numFmtId="0" fontId="22" fillId="2" borderId="12" xfId="0" applyFont="1" applyFill="1" applyBorder="1" applyAlignment="1">
      <alignment horizontal="center"/>
    </xf>
    <xf numFmtId="0" fontId="22" fillId="2" borderId="19" xfId="0" applyFont="1" applyFill="1" applyBorder="1" applyAlignment="1">
      <alignment horizontal="center"/>
    </xf>
    <xf numFmtId="0" fontId="22" fillId="2" borderId="13" xfId="0" applyFont="1" applyFill="1" applyBorder="1" applyAlignment="1">
      <alignment horizontal="center"/>
    </xf>
    <xf numFmtId="0" fontId="22" fillId="2" borderId="1" xfId="0" applyFont="1" applyFill="1" applyBorder="1" applyAlignment="1">
      <alignment horizontal="center"/>
    </xf>
    <xf numFmtId="0" fontId="22" fillId="2" borderId="14" xfId="0" applyFont="1" applyFill="1" applyBorder="1" applyAlignment="1">
      <alignment horizontal="center"/>
    </xf>
    <xf numFmtId="0" fontId="18" fillId="0" borderId="0" xfId="0" applyFont="1" applyFill="1" applyAlignment="1">
      <alignment wrapText="1"/>
    </xf>
    <xf numFmtId="0" fontId="0" fillId="0" borderId="0" xfId="0" applyFill="1" applyAlignment="1">
      <alignment wrapText="1"/>
    </xf>
    <xf numFmtId="41" fontId="87" fillId="6" borderId="11" xfId="0" applyNumberFormat="1" applyFont="1" applyFill="1" applyBorder="1" applyAlignment="1">
      <alignment horizontal="left" vertical="top" wrapText="1"/>
    </xf>
    <xf numFmtId="41" fontId="87" fillId="6" borderId="9" xfId="0" applyNumberFormat="1" applyFont="1" applyFill="1" applyBorder="1" applyAlignment="1">
      <alignment horizontal="left" vertical="top" wrapText="1"/>
    </xf>
    <xf numFmtId="41" fontId="87" fillId="6" borderId="26" xfId="0" applyNumberFormat="1" applyFont="1" applyFill="1" applyBorder="1" applyAlignment="1">
      <alignment horizontal="left" vertical="top" wrapText="1"/>
    </xf>
    <xf numFmtId="41" fontId="87" fillId="6" borderId="10" xfId="0" applyNumberFormat="1" applyFont="1" applyFill="1" applyBorder="1" applyAlignment="1">
      <alignment horizontal="left" vertical="top" wrapText="1"/>
    </xf>
    <xf numFmtId="41" fontId="16" fillId="6" borderId="42" xfId="0" applyNumberFormat="1" applyFont="1" applyFill="1" applyBorder="1" applyAlignment="1">
      <alignment horizontal="center"/>
    </xf>
    <xf numFmtId="41" fontId="16" fillId="6" borderId="35" xfId="0" applyNumberFormat="1" applyFont="1" applyFill="1" applyBorder="1" applyAlignment="1">
      <alignment horizontal="center"/>
    </xf>
    <xf numFmtId="41" fontId="16" fillId="3" borderId="11" xfId="0" applyNumberFormat="1" applyFont="1" applyFill="1" applyBorder="1" applyAlignment="1">
      <alignment horizontal="center"/>
    </xf>
    <xf numFmtId="41" fontId="16" fillId="3" borderId="9" xfId="0" applyNumberFormat="1" applyFont="1" applyFill="1" applyBorder="1" applyAlignment="1">
      <alignment horizontal="center"/>
    </xf>
    <xf numFmtId="41" fontId="16" fillId="3" borderId="8" xfId="0" applyNumberFormat="1" applyFont="1" applyFill="1" applyBorder="1" applyAlignment="1">
      <alignment horizontal="center"/>
    </xf>
    <xf numFmtId="41" fontId="16" fillId="3" borderId="6" xfId="0" applyNumberFormat="1" applyFont="1" applyFill="1" applyBorder="1" applyAlignment="1">
      <alignment horizontal="center"/>
    </xf>
    <xf numFmtId="41" fontId="16" fillId="0" borderId="17" xfId="0" applyNumberFormat="1" applyFont="1" applyBorder="1" applyAlignment="1" applyProtection="1">
      <alignment horizontal="center"/>
      <protection locked="0"/>
    </xf>
    <xf numFmtId="41" fontId="0" fillId="0" borderId="12" xfId="0" applyNumberFormat="1" applyBorder="1" applyAlignment="1" applyProtection="1">
      <alignment horizontal="center"/>
      <protection locked="0"/>
    </xf>
    <xf numFmtId="41" fontId="19" fillId="6" borderId="4" xfId="1" applyNumberFormat="1" applyFont="1" applyFill="1" applyBorder="1" applyAlignment="1"/>
    <xf numFmtId="41" fontId="19" fillId="6" borderId="4" xfId="0" applyNumberFormat="1" applyFont="1" applyFill="1" applyBorder="1" applyAlignment="1"/>
    <xf numFmtId="41" fontId="19" fillId="2" borderId="11" xfId="0" applyNumberFormat="1" applyFont="1" applyFill="1" applyBorder="1" applyAlignment="1">
      <alignment wrapText="1"/>
    </xf>
    <xf numFmtId="41" fontId="19" fillId="2" borderId="4" xfId="0" applyNumberFormat="1" applyFont="1" applyFill="1" applyBorder="1" applyAlignment="1">
      <alignment wrapText="1"/>
    </xf>
    <xf numFmtId="41" fontId="19" fillId="2" borderId="26" xfId="0" applyNumberFormat="1" applyFont="1" applyFill="1" applyBorder="1" applyAlignment="1">
      <alignment wrapText="1"/>
    </xf>
    <xf numFmtId="41" fontId="19" fillId="2" borderId="3" xfId="0" applyNumberFormat="1" applyFont="1" applyFill="1" applyBorder="1" applyAlignment="1">
      <alignment wrapText="1"/>
    </xf>
    <xf numFmtId="41" fontId="19" fillId="2" borderId="11" xfId="0" applyNumberFormat="1" applyFont="1" applyFill="1" applyBorder="1"/>
    <xf numFmtId="41" fontId="19" fillId="2" borderId="9" xfId="0" applyNumberFormat="1" applyFont="1" applyFill="1" applyBorder="1"/>
    <xf numFmtId="41" fontId="19" fillId="2" borderId="26" xfId="0" applyNumberFormat="1" applyFont="1" applyFill="1" applyBorder="1"/>
    <xf numFmtId="41" fontId="19" fillId="2" borderId="10" xfId="0" applyNumberFormat="1" applyFont="1" applyFill="1" applyBorder="1"/>
    <xf numFmtId="41" fontId="16" fillId="0" borderId="12" xfId="0" applyNumberFormat="1" applyFont="1" applyBorder="1" applyAlignment="1" applyProtection="1">
      <alignment horizontal="center"/>
      <protection locked="0"/>
    </xf>
    <xf numFmtId="41" fontId="19" fillId="2" borderId="11" xfId="0" applyNumberFormat="1" applyFont="1" applyFill="1" applyBorder="1" applyAlignment="1">
      <alignment horizontal="center"/>
    </xf>
    <xf numFmtId="41" fontId="19" fillId="2" borderId="4" xfId="0" applyNumberFormat="1" applyFont="1" applyFill="1" applyBorder="1" applyAlignment="1">
      <alignment horizontal="center"/>
    </xf>
    <xf numFmtId="41" fontId="19" fillId="2" borderId="9" xfId="0" applyNumberFormat="1" applyFont="1" applyFill="1" applyBorder="1" applyAlignment="1">
      <alignment horizontal="center"/>
    </xf>
    <xf numFmtId="41" fontId="19" fillId="2" borderId="26" xfId="0" applyNumberFormat="1" applyFont="1" applyFill="1" applyBorder="1" applyAlignment="1">
      <alignment horizontal="center"/>
    </xf>
    <xf numFmtId="41" fontId="19" fillId="2" borderId="3" xfId="0" applyNumberFormat="1" applyFont="1" applyFill="1" applyBorder="1" applyAlignment="1">
      <alignment horizontal="center"/>
    </xf>
    <xf numFmtId="41" fontId="19" fillId="2" borderId="10" xfId="0" applyNumberFormat="1" applyFont="1" applyFill="1" applyBorder="1" applyAlignment="1">
      <alignment horizontal="center"/>
    </xf>
    <xf numFmtId="41" fontId="0" fillId="3" borderId="6" xfId="0" applyNumberFormat="1" applyFill="1" applyBorder="1" applyAlignment="1"/>
    <xf numFmtId="165" fontId="16" fillId="12" borderId="8" xfId="0" applyNumberFormat="1" applyFont="1" applyFill="1" applyBorder="1" applyAlignment="1">
      <alignment horizontal="center"/>
    </xf>
    <xf numFmtId="165" fontId="16" fillId="12" borderId="0" xfId="0" applyNumberFormat="1" applyFont="1" applyFill="1" applyBorder="1" applyAlignment="1">
      <alignment horizontal="center"/>
    </xf>
    <xf numFmtId="165" fontId="16" fillId="12" borderId="8" xfId="0" applyNumberFormat="1" applyFont="1" applyFill="1" applyBorder="1" applyAlignment="1">
      <alignment horizontal="center" wrapText="1"/>
    </xf>
    <xf numFmtId="165" fontId="16" fillId="12" borderId="0" xfId="0" applyNumberFormat="1" applyFont="1" applyFill="1" applyBorder="1" applyAlignment="1">
      <alignment horizontal="center" wrapText="1"/>
    </xf>
    <xf numFmtId="41" fontId="16" fillId="3" borderId="6" xfId="0" applyNumberFormat="1" applyFont="1" applyFill="1" applyBorder="1" applyAlignment="1"/>
    <xf numFmtId="41" fontId="19" fillId="2" borderId="4" xfId="0" applyNumberFormat="1" applyFont="1" applyFill="1" applyBorder="1" applyAlignment="1">
      <alignment horizontal="left"/>
    </xf>
    <xf numFmtId="41" fontId="0" fillId="0" borderId="4" xfId="0" applyNumberFormat="1" applyBorder="1" applyAlignment="1">
      <alignment horizontal="left"/>
    </xf>
    <xf numFmtId="41" fontId="19" fillId="0" borderId="3" xfId="0" applyNumberFormat="1" applyFont="1" applyBorder="1" applyAlignment="1">
      <alignment horizontal="center"/>
    </xf>
    <xf numFmtId="41" fontId="0" fillId="3" borderId="9" xfId="0" applyNumberFormat="1" applyFill="1" applyBorder="1" applyAlignment="1"/>
    <xf numFmtId="41" fontId="16" fillId="3" borderId="0" xfId="0" applyNumberFormat="1" applyFont="1" applyFill="1" applyBorder="1" applyAlignment="1">
      <alignment horizontal="center"/>
    </xf>
    <xf numFmtId="41" fontId="16" fillId="0" borderId="40" xfId="1" applyNumberFormat="1" applyFont="1" applyBorder="1" applyAlignment="1" applyProtection="1">
      <alignment horizontal="center"/>
      <protection locked="0"/>
    </xf>
    <xf numFmtId="41" fontId="16" fillId="0" borderId="19" xfId="0" applyNumberFormat="1" applyFont="1" applyBorder="1" applyAlignment="1" applyProtection="1">
      <alignment horizontal="center"/>
      <protection locked="0"/>
    </xf>
    <xf numFmtId="41" fontId="16" fillId="0" borderId="41" xfId="0" applyNumberFormat="1" applyFont="1" applyBorder="1" applyAlignment="1" applyProtection="1">
      <alignment horizontal="center"/>
      <protection locked="0"/>
    </xf>
    <xf numFmtId="41" fontId="19" fillId="7" borderId="8" xfId="0" applyNumberFormat="1" applyFont="1" applyFill="1" applyBorder="1" applyAlignment="1">
      <alignment horizontal="right"/>
    </xf>
    <xf numFmtId="41" fontId="19" fillId="7" borderId="6" xfId="0" applyNumberFormat="1" applyFont="1" applyFill="1" applyBorder="1" applyAlignment="1">
      <alignment horizontal="right"/>
    </xf>
    <xf numFmtId="0" fontId="17" fillId="0" borderId="0" xfId="0" applyFont="1" applyBorder="1" applyAlignment="1">
      <alignment horizontal="center" textRotation="90"/>
    </xf>
    <xf numFmtId="41" fontId="16" fillId="0" borderId="0" xfId="0" applyNumberFormat="1" applyFont="1" applyBorder="1" applyAlignment="1" applyProtection="1">
      <alignment horizontal="center"/>
      <protection locked="0"/>
    </xf>
    <xf numFmtId="41" fontId="19" fillId="2" borderId="4" xfId="0" quotePrefix="1" applyNumberFormat="1" applyFont="1" applyFill="1" applyBorder="1" applyAlignment="1">
      <alignment horizontal="center"/>
    </xf>
    <xf numFmtId="41" fontId="19" fillId="2" borderId="11" xfId="1" quotePrefix="1" applyNumberFormat="1" applyFont="1" applyFill="1" applyBorder="1" applyAlignment="1">
      <alignment horizontal="center"/>
    </xf>
    <xf numFmtId="41" fontId="19" fillId="2" borderId="9" xfId="1" applyNumberFormat="1" applyFont="1" applyFill="1" applyBorder="1" applyAlignment="1">
      <alignment horizontal="center"/>
    </xf>
    <xf numFmtId="41" fontId="64" fillId="2" borderId="26" xfId="0" applyNumberFormat="1" applyFont="1" applyFill="1" applyBorder="1" applyAlignment="1">
      <alignment horizontal="center"/>
    </xf>
    <xf numFmtId="41" fontId="64" fillId="2" borderId="10" xfId="0" applyNumberFormat="1" applyFont="1" applyFill="1" applyBorder="1" applyAlignment="1">
      <alignment horizontal="center"/>
    </xf>
    <xf numFmtId="41" fontId="19" fillId="6" borderId="11" xfId="1" applyNumberFormat="1" applyFont="1" applyFill="1" applyBorder="1" applyAlignment="1"/>
    <xf numFmtId="41" fontId="19" fillId="6" borderId="9" xfId="0" applyNumberFormat="1" applyFont="1" applyFill="1" applyBorder="1" applyAlignment="1"/>
    <xf numFmtId="0" fontId="16" fillId="3" borderId="7" xfId="0" applyFont="1" applyFill="1" applyBorder="1"/>
    <xf numFmtId="0" fontId="16" fillId="3" borderId="33" xfId="0" applyFont="1" applyFill="1" applyBorder="1"/>
    <xf numFmtId="0" fontId="16" fillId="3" borderId="28" xfId="0" applyFont="1" applyFill="1" applyBorder="1"/>
    <xf numFmtId="0" fontId="17" fillId="0" borderId="0" xfId="0" applyFont="1" applyBorder="1" applyAlignment="1">
      <alignment textRotation="90"/>
    </xf>
    <xf numFmtId="41" fontId="16" fillId="6" borderId="42" xfId="1" applyNumberFormat="1" applyFont="1" applyFill="1" applyBorder="1" applyAlignment="1">
      <alignment horizontal="center"/>
    </xf>
    <xf numFmtId="41" fontId="16" fillId="6" borderId="35" xfId="1" applyNumberFormat="1" applyFont="1" applyFill="1" applyBorder="1" applyAlignment="1">
      <alignment horizontal="center"/>
    </xf>
    <xf numFmtId="41" fontId="16" fillId="6" borderId="43" xfId="0" applyNumberFormat="1" applyFont="1" applyFill="1" applyBorder="1" applyAlignment="1">
      <alignment horizontal="center"/>
    </xf>
    <xf numFmtId="0" fontId="0" fillId="0" borderId="1" xfId="0" applyBorder="1"/>
    <xf numFmtId="0" fontId="22" fillId="2" borderId="23" xfId="0" applyFont="1" applyFill="1" applyBorder="1" applyAlignment="1">
      <alignment horizontal="center"/>
    </xf>
    <xf numFmtId="0" fontId="22" fillId="2" borderId="7" xfId="0" applyFont="1" applyFill="1" applyBorder="1" applyAlignment="1">
      <alignment horizontal="center"/>
    </xf>
    <xf numFmtId="0" fontId="22" fillId="2" borderId="24" xfId="0" applyFont="1" applyFill="1" applyBorder="1" applyAlignment="1">
      <alignment horizontal="center"/>
    </xf>
    <xf numFmtId="0" fontId="18" fillId="0" borderId="0" xfId="0" applyFont="1" applyAlignment="1">
      <alignment wrapText="1"/>
    </xf>
    <xf numFmtId="0" fontId="0" fillId="0" borderId="0" xfId="0" applyAlignment="1"/>
    <xf numFmtId="0" fontId="16" fillId="2" borderId="23" xfId="0" applyFont="1" applyFill="1" applyBorder="1" applyAlignment="1">
      <alignment horizontal="left" wrapText="1"/>
    </xf>
    <xf numFmtId="0" fontId="16" fillId="2" borderId="7" xfId="0" applyFont="1" applyFill="1" applyBorder="1" applyAlignment="1">
      <alignment horizontal="left" wrapText="1"/>
    </xf>
    <xf numFmtId="0" fontId="16" fillId="2" borderId="24" xfId="0" applyFont="1" applyFill="1" applyBorder="1" applyAlignment="1">
      <alignment horizontal="left" wrapText="1"/>
    </xf>
    <xf numFmtId="0" fontId="16" fillId="2" borderId="23" xfId="0" applyFont="1" applyFill="1" applyBorder="1"/>
    <xf numFmtId="0" fontId="16" fillId="2" borderId="7" xfId="0" applyFont="1" applyFill="1" applyBorder="1"/>
    <xf numFmtId="0" fontId="16" fillId="2" borderId="24" xfId="0" applyFont="1" applyFill="1" applyBorder="1"/>
    <xf numFmtId="0" fontId="16" fillId="2" borderId="23" xfId="0" applyFont="1" applyFill="1" applyBorder="1" applyAlignment="1">
      <alignment wrapText="1"/>
    </xf>
    <xf numFmtId="0" fontId="41" fillId="0" borderId="0" xfId="0" applyFont="1" applyAlignment="1">
      <alignment wrapText="1"/>
    </xf>
    <xf numFmtId="0" fontId="16" fillId="2" borderId="7" xfId="0" applyFont="1" applyFill="1" applyBorder="1" applyAlignment="1">
      <alignment wrapText="1"/>
    </xf>
    <xf numFmtId="0" fontId="16" fillId="2" borderId="24" xfId="0" applyFont="1" applyFill="1" applyBorder="1" applyAlignment="1">
      <alignment wrapText="1"/>
    </xf>
    <xf numFmtId="41" fontId="14" fillId="6" borderId="0" xfId="2" applyNumberFormat="1" applyFill="1" applyProtection="1">
      <protection locked="0"/>
    </xf>
    <xf numFmtId="165" fontId="14" fillId="6" borderId="0" xfId="1" applyNumberFormat="1" applyFill="1" applyProtection="1">
      <protection locked="0"/>
    </xf>
    <xf numFmtId="41" fontId="14" fillId="6" borderId="12" xfId="2" applyNumberFormat="1" applyFill="1" applyBorder="1" applyProtection="1">
      <protection locked="0"/>
    </xf>
    <xf numFmtId="165" fontId="17" fillId="0" borderId="0" xfId="1" applyNumberFormat="1" applyFont="1" applyFill="1" applyAlignment="1">
      <alignment wrapText="1"/>
    </xf>
    <xf numFmtId="0" fontId="0" fillId="0" borderId="17" xfId="0" applyBorder="1" applyAlignment="1">
      <alignment horizontal="center"/>
    </xf>
    <xf numFmtId="0" fontId="0" fillId="0" borderId="19" xfId="0" applyBorder="1" applyAlignment="1">
      <alignment horizontal="center"/>
    </xf>
    <xf numFmtId="0" fontId="45" fillId="4" borderId="2" xfId="0" applyFont="1" applyFill="1" applyBorder="1"/>
    <xf numFmtId="0" fontId="45" fillId="4" borderId="0" xfId="0" applyFont="1" applyFill="1" applyBorder="1"/>
    <xf numFmtId="0" fontId="0" fillId="0" borderId="12" xfId="0" applyBorder="1" applyAlignment="1">
      <alignment horizontal="center"/>
    </xf>
    <xf numFmtId="166" fontId="41" fillId="0" borderId="0" xfId="2" applyNumberFormat="1" applyFont="1" applyFill="1" applyBorder="1" applyAlignment="1">
      <alignment wrapText="1"/>
    </xf>
    <xf numFmtId="0" fontId="24" fillId="2" borderId="7" xfId="0" applyFont="1" applyFill="1" applyBorder="1"/>
    <xf numFmtId="0" fontId="24" fillId="2" borderId="24" xfId="0" applyFont="1" applyFill="1" applyBorder="1"/>
    <xf numFmtId="0" fontId="15" fillId="0" borderId="0" xfId="0" applyFont="1" applyAlignment="1">
      <alignment wrapText="1"/>
    </xf>
    <xf numFmtId="166" fontId="41" fillId="0" borderId="0" xfId="2" applyNumberFormat="1" applyFont="1" applyFill="1" applyAlignment="1">
      <alignment wrapText="1"/>
    </xf>
    <xf numFmtId="0" fontId="16" fillId="2" borderId="23" xfId="0" applyFont="1" applyFill="1" applyBorder="1" applyAlignment="1"/>
    <xf numFmtId="0" fontId="16" fillId="2" borderId="7" xfId="0" applyFont="1" applyFill="1" applyBorder="1" applyAlignment="1"/>
    <xf numFmtId="0" fontId="16" fillId="2" borderId="24" xfId="0" applyFont="1" applyFill="1" applyBorder="1" applyAlignment="1"/>
    <xf numFmtId="165" fontId="17" fillId="0" borderId="0" xfId="1" applyNumberFormat="1" applyFont="1" applyAlignment="1">
      <alignment wrapText="1"/>
    </xf>
    <xf numFmtId="165" fontId="0" fillId="6" borderId="0" xfId="1" applyNumberFormat="1" applyFont="1" applyFill="1" applyProtection="1">
      <protection locked="0"/>
    </xf>
    <xf numFmtId="0" fontId="0" fillId="6" borderId="0" xfId="0" applyFill="1" applyProtection="1">
      <protection locked="0"/>
    </xf>
    <xf numFmtId="0" fontId="0" fillId="6" borderId="12" xfId="0" applyFill="1" applyBorder="1" applyProtection="1">
      <protection locked="0"/>
    </xf>
    <xf numFmtId="165" fontId="0" fillId="6" borderId="12" xfId="1" applyNumberFormat="1" applyFont="1" applyFill="1" applyBorder="1" applyProtection="1">
      <protection locked="0"/>
    </xf>
    <xf numFmtId="165" fontId="0" fillId="2" borderId="0" xfId="0" applyNumberFormat="1" applyFill="1"/>
    <xf numFmtId="0" fontId="26" fillId="0" borderId="0" xfId="0" applyFont="1" applyAlignment="1">
      <alignment wrapText="1"/>
    </xf>
    <xf numFmtId="0" fontId="0" fillId="0" borderId="12" xfId="0" applyFill="1" applyBorder="1" applyAlignment="1">
      <alignment horizontal="center"/>
    </xf>
    <xf numFmtId="0" fontId="0" fillId="0" borderId="0" xfId="0" applyFill="1"/>
    <xf numFmtId="0" fontId="16" fillId="6" borderId="0" xfId="0" applyFont="1" applyFill="1" applyBorder="1" applyProtection="1">
      <protection locked="0"/>
    </xf>
    <xf numFmtId="0" fontId="0" fillId="0" borderId="17" xfId="0" applyFill="1" applyBorder="1" applyAlignment="1">
      <alignment horizontal="center"/>
    </xf>
    <xf numFmtId="0" fontId="0" fillId="0" borderId="19" xfId="0" applyFill="1" applyBorder="1" applyAlignment="1">
      <alignment horizontal="center"/>
    </xf>
    <xf numFmtId="0" fontId="16" fillId="0" borderId="0" xfId="0" applyFont="1" applyFill="1" applyBorder="1" applyAlignment="1">
      <alignment horizontal="center"/>
    </xf>
    <xf numFmtId="0" fontId="31" fillId="0" borderId="0" xfId="0" applyFont="1" applyAlignment="1">
      <alignment wrapText="1"/>
    </xf>
    <xf numFmtId="165" fontId="0" fillId="6" borderId="0" xfId="1" applyNumberFormat="1" applyFont="1" applyFill="1" applyBorder="1" applyProtection="1">
      <protection locked="0"/>
    </xf>
    <xf numFmtId="165" fontId="17" fillId="0" borderId="0" xfId="1" applyNumberFormat="1" applyFont="1" applyFill="1" applyBorder="1" applyAlignment="1">
      <alignment wrapText="1"/>
    </xf>
    <xf numFmtId="168" fontId="0" fillId="2" borderId="0" xfId="0" applyNumberFormat="1" applyFill="1"/>
    <xf numFmtId="165" fontId="0" fillId="0" borderId="0" xfId="1" applyNumberFormat="1" applyFont="1" applyAlignment="1">
      <alignment horizontal="right" wrapText="1"/>
    </xf>
    <xf numFmtId="41" fontId="0" fillId="0" borderId="0" xfId="1" applyNumberFormat="1" applyFont="1" applyAlignment="1">
      <alignment horizontal="right"/>
    </xf>
    <xf numFmtId="0" fontId="0" fillId="0" borderId="0" xfId="0" applyAlignment="1">
      <alignment horizontal="left" wrapText="1"/>
    </xf>
    <xf numFmtId="0" fontId="68" fillId="0" borderId="0" xfId="0" applyFont="1" applyAlignment="1">
      <alignment wrapText="1"/>
    </xf>
    <xf numFmtId="168" fontId="0" fillId="2" borderId="0" xfId="1" applyNumberFormat="1" applyFont="1" applyFill="1"/>
    <xf numFmtId="169" fontId="0" fillId="6" borderId="0" xfId="1" applyNumberFormat="1" applyFont="1" applyFill="1" applyProtection="1">
      <protection locked="0"/>
    </xf>
    <xf numFmtId="165" fontId="0" fillId="2" borderId="0" xfId="1" applyNumberFormat="1" applyFont="1" applyFill="1"/>
    <xf numFmtId="0" fontId="43" fillId="0" borderId="0" xfId="0" quotePrefix="1" applyFont="1" applyBorder="1" applyAlignment="1">
      <alignment horizontal="center" textRotation="90"/>
    </xf>
    <xf numFmtId="0" fontId="43" fillId="0" borderId="0" xfId="0" applyFont="1" applyBorder="1" applyAlignment="1">
      <alignment horizontal="center" textRotation="90"/>
    </xf>
    <xf numFmtId="0" fontId="0" fillId="0" borderId="0" xfId="0" applyFill="1" applyBorder="1"/>
    <xf numFmtId="165" fontId="0" fillId="6" borderId="1" xfId="1" applyNumberFormat="1" applyFont="1" applyFill="1" applyBorder="1" applyProtection="1">
      <protection locked="0"/>
    </xf>
    <xf numFmtId="0" fontId="16" fillId="0" borderId="0" xfId="0" applyFont="1" applyFill="1" applyBorder="1"/>
    <xf numFmtId="0" fontId="34" fillId="4" borderId="23" xfId="0" applyFont="1" applyFill="1" applyBorder="1"/>
    <xf numFmtId="0" fontId="34" fillId="4" borderId="7" xfId="0" applyFont="1" applyFill="1" applyBorder="1"/>
    <xf numFmtId="165" fontId="14" fillId="6" borderId="0" xfId="1" applyNumberFormat="1" applyFill="1" applyBorder="1" applyProtection="1">
      <protection locked="0"/>
    </xf>
    <xf numFmtId="165" fontId="14" fillId="6" borderId="1" xfId="1" applyNumberFormat="1" applyFill="1" applyBorder="1" applyProtection="1">
      <protection locked="0"/>
    </xf>
    <xf numFmtId="0" fontId="39" fillId="0" borderId="0" xfId="0" applyFont="1" applyAlignment="1">
      <alignment horizontal="right" wrapText="1"/>
    </xf>
    <xf numFmtId="0" fontId="16" fillId="0" borderId="17" xfId="0" applyFont="1" applyBorder="1" applyAlignment="1">
      <alignment horizontal="center"/>
    </xf>
    <xf numFmtId="0" fontId="16" fillId="0" borderId="19" xfId="0" applyFont="1" applyBorder="1" applyAlignment="1">
      <alignment horizontal="center"/>
    </xf>
    <xf numFmtId="0" fontId="34" fillId="4" borderId="24" xfId="0" applyFont="1" applyFill="1" applyBorder="1"/>
    <xf numFmtId="0" fontId="16" fillId="0" borderId="12" xfId="0" applyFont="1" applyBorder="1" applyAlignment="1">
      <alignment horizontal="center"/>
    </xf>
    <xf numFmtId="0" fontId="18" fillId="0" borderId="0" xfId="0" applyFont="1" applyFill="1"/>
    <xf numFmtId="165" fontId="17" fillId="0" borderId="0" xfId="1" applyNumberFormat="1" applyFont="1" applyBorder="1" applyAlignment="1">
      <alignment wrapText="1"/>
    </xf>
    <xf numFmtId="0" fontId="0" fillId="2" borderId="7" xfId="0" applyFill="1" applyBorder="1"/>
    <xf numFmtId="0" fontId="0" fillId="2" borderId="24" xfId="0" applyFill="1" applyBorder="1"/>
    <xf numFmtId="0" fontId="24" fillId="0" borderId="0" xfId="0" applyFont="1"/>
    <xf numFmtId="0" fontId="0" fillId="0" borderId="0" xfId="0" applyAlignment="1">
      <alignment vertical="top" wrapText="1"/>
    </xf>
    <xf numFmtId="0" fontId="24" fillId="0" borderId="0" xfId="0" applyFont="1" applyAlignment="1">
      <alignment horizontal="center"/>
    </xf>
    <xf numFmtId="0" fontId="16" fillId="2" borderId="23" xfId="0" applyFont="1" applyFill="1" applyBorder="1" applyAlignment="1">
      <alignment vertical="top" wrapText="1"/>
    </xf>
    <xf numFmtId="0" fontId="16" fillId="2" borderId="7" xfId="0" applyFont="1" applyFill="1" applyBorder="1" applyAlignment="1">
      <alignment vertical="top" wrapText="1"/>
    </xf>
    <xf numFmtId="0" fontId="16" fillId="2" borderId="24" xfId="0" applyFont="1" applyFill="1" applyBorder="1" applyAlignment="1">
      <alignment vertical="top" wrapText="1"/>
    </xf>
    <xf numFmtId="0" fontId="14" fillId="0" borderId="0" xfId="0" applyFont="1" applyAlignment="1">
      <alignment horizontal="left" vertical="top" wrapText="1"/>
    </xf>
    <xf numFmtId="0" fontId="16" fillId="2" borderId="1" xfId="0" applyFont="1" applyFill="1" applyBorder="1" applyAlignment="1"/>
    <xf numFmtId="0" fontId="14" fillId="0" borderId="17" xfId="0" applyFont="1" applyFill="1" applyBorder="1" applyAlignment="1">
      <alignment horizontal="center"/>
    </xf>
    <xf numFmtId="165" fontId="55" fillId="0" borderId="0" xfId="1" applyNumberFormat="1" applyFont="1" applyBorder="1" applyAlignment="1">
      <alignment horizontal="center"/>
    </xf>
    <xf numFmtId="0" fontId="16" fillId="0" borderId="23" xfId="0" applyFont="1" applyBorder="1" applyAlignment="1" applyProtection="1">
      <alignment horizontal="center" wrapText="1"/>
      <protection locked="0"/>
    </xf>
    <xf numFmtId="0" fontId="16" fillId="0" borderId="7" xfId="0" applyFont="1" applyBorder="1" applyAlignment="1" applyProtection="1">
      <alignment horizontal="center" wrapText="1"/>
      <protection locked="0"/>
    </xf>
    <xf numFmtId="0" fontId="16" fillId="0" borderId="24" xfId="0" applyFont="1" applyBorder="1" applyAlignment="1" applyProtection="1">
      <alignment horizontal="center" wrapText="1"/>
      <protection locked="0"/>
    </xf>
    <xf numFmtId="165" fontId="27" fillId="0" borderId="0" xfId="1" applyNumberFormat="1" applyFont="1" applyBorder="1" applyAlignment="1">
      <alignment horizontal="right"/>
    </xf>
    <xf numFmtId="0" fontId="14" fillId="0" borderId="12" xfId="0" applyFont="1" applyFill="1" applyBorder="1" applyAlignment="1">
      <alignment horizontal="center"/>
    </xf>
    <xf numFmtId="0" fontId="0" fillId="18" borderId="0" xfId="0" applyFill="1" applyBorder="1" applyAlignment="1">
      <alignment horizontal="center"/>
    </xf>
    <xf numFmtId="165" fontId="18" fillId="6" borderId="0" xfId="1" applyNumberFormat="1" applyFont="1" applyFill="1" applyBorder="1" applyProtection="1">
      <protection locked="0"/>
    </xf>
    <xf numFmtId="0" fontId="0" fillId="0" borderId="7" xfId="0" applyBorder="1" applyAlignment="1">
      <alignment wrapText="1"/>
    </xf>
    <xf numFmtId="0" fontId="0" fillId="0" borderId="24" xfId="0" applyBorder="1" applyAlignment="1">
      <alignment wrapText="1"/>
    </xf>
    <xf numFmtId="0" fontId="14" fillId="0" borderId="0" xfId="0" applyFont="1" applyAlignment="1">
      <alignment vertical="top" wrapText="1"/>
    </xf>
    <xf numFmtId="165" fontId="14" fillId="6" borderId="0" xfId="1" applyNumberFormat="1" applyFont="1" applyFill="1" applyBorder="1" applyProtection="1">
      <protection locked="0"/>
    </xf>
    <xf numFmtId="165" fontId="14" fillId="6" borderId="1" xfId="1" applyNumberFormat="1" applyFont="1" applyFill="1" applyBorder="1" applyProtection="1">
      <protection locked="0"/>
    </xf>
    <xf numFmtId="0" fontId="14" fillId="0" borderId="0" xfId="0" applyFont="1" applyAlignment="1">
      <alignment wrapText="1"/>
    </xf>
    <xf numFmtId="0" fontId="0" fillId="0" borderId="0" xfId="0" applyFill="1" applyAlignment="1">
      <alignment vertical="top" wrapText="1"/>
    </xf>
    <xf numFmtId="0" fontId="14" fillId="0" borderId="1" xfId="0" applyFont="1" applyBorder="1" applyAlignment="1">
      <alignment vertical="top" wrapText="1"/>
    </xf>
    <xf numFmtId="0" fontId="0" fillId="0" borderId="1" xfId="0" applyBorder="1" applyAlignment="1">
      <alignment vertical="top" wrapText="1"/>
    </xf>
    <xf numFmtId="0" fontId="17" fillId="0" borderId="2" xfId="0" applyFont="1" applyBorder="1" applyAlignment="1">
      <alignment horizontal="center"/>
    </xf>
    <xf numFmtId="0" fontId="17" fillId="0" borderId="0" xfId="0" applyFont="1" applyBorder="1" applyAlignment="1">
      <alignment horizontal="center"/>
    </xf>
    <xf numFmtId="0" fontId="17" fillId="0" borderId="20" xfId="0" applyFont="1" applyBorder="1" applyAlignment="1">
      <alignment horizontal="center"/>
    </xf>
    <xf numFmtId="0" fontId="0" fillId="2" borderId="2" xfId="0" applyFill="1" applyBorder="1" applyAlignment="1">
      <alignment horizontal="center"/>
    </xf>
    <xf numFmtId="0" fontId="0" fillId="2" borderId="0" xfId="0" applyFill="1" applyBorder="1" applyAlignment="1">
      <alignment horizontal="center"/>
    </xf>
    <xf numFmtId="0" fontId="0" fillId="2" borderId="20" xfId="0" applyFill="1" applyBorder="1" applyAlignment="1">
      <alignment horizontal="center"/>
    </xf>
    <xf numFmtId="165" fontId="27" fillId="0" borderId="0" xfId="1" applyNumberFormat="1" applyFont="1" applyBorder="1" applyAlignment="1">
      <alignment horizontal="left"/>
    </xf>
    <xf numFmtId="165" fontId="17" fillId="0" borderId="0" xfId="0" applyNumberFormat="1" applyFont="1" applyAlignment="1">
      <alignment wrapText="1"/>
    </xf>
    <xf numFmtId="165" fontId="18" fillId="6" borderId="0" xfId="1" applyNumberFormat="1" applyFont="1" applyFill="1" applyProtection="1">
      <protection locked="0"/>
    </xf>
    <xf numFmtId="9" fontId="43" fillId="5" borderId="0" xfId="3" applyFont="1" applyFill="1" applyAlignment="1">
      <alignment wrapText="1"/>
    </xf>
    <xf numFmtId="0" fontId="16" fillId="0" borderId="0" xfId="0" applyFont="1" applyAlignment="1">
      <alignment horizontal="left" wrapText="1"/>
    </xf>
    <xf numFmtId="0" fontId="16" fillId="0" borderId="0" xfId="0" applyFont="1" applyAlignment="1">
      <alignment horizontal="left"/>
    </xf>
    <xf numFmtId="165" fontId="0" fillId="6" borderId="0" xfId="1" applyNumberFormat="1" applyFont="1" applyFill="1" applyAlignment="1" applyProtection="1">
      <alignment horizontal="left" indent="2"/>
      <protection locked="0"/>
    </xf>
    <xf numFmtId="0" fontId="16" fillId="2" borderId="17" xfId="0" applyFont="1" applyFill="1" applyBorder="1" applyAlignment="1">
      <alignment horizontal="left" wrapText="1"/>
    </xf>
    <xf numFmtId="0" fontId="16" fillId="2" borderId="12" xfId="0" applyFont="1" applyFill="1" applyBorder="1" applyAlignment="1">
      <alignment horizontal="left" wrapText="1"/>
    </xf>
    <xf numFmtId="0" fontId="16" fillId="2" borderId="19" xfId="0" applyFont="1" applyFill="1" applyBorder="1" applyAlignment="1">
      <alignment horizontal="left" wrapText="1"/>
    </xf>
    <xf numFmtId="0" fontId="16" fillId="2" borderId="13" xfId="0" applyFont="1" applyFill="1" applyBorder="1" applyAlignment="1">
      <alignment horizontal="left" wrapText="1"/>
    </xf>
    <xf numFmtId="0" fontId="16" fillId="2" borderId="1" xfId="0" applyFont="1" applyFill="1" applyBorder="1" applyAlignment="1">
      <alignment horizontal="left" wrapText="1"/>
    </xf>
    <xf numFmtId="0" fontId="16" fillId="2" borderId="14" xfId="0" applyFont="1" applyFill="1" applyBorder="1" applyAlignment="1">
      <alignment horizontal="left" wrapText="1"/>
    </xf>
    <xf numFmtId="0" fontId="52" fillId="5" borderId="0" xfId="0" applyFont="1" applyFill="1" applyAlignment="1">
      <alignment wrapText="1"/>
    </xf>
    <xf numFmtId="9" fontId="55" fillId="0" borderId="44" xfId="3" applyFont="1" applyFill="1" applyBorder="1" applyAlignment="1">
      <alignment horizontal="left" wrapText="1"/>
    </xf>
    <xf numFmtId="9" fontId="55" fillId="0" borderId="45" xfId="3" applyFont="1" applyFill="1" applyBorder="1" applyAlignment="1">
      <alignment horizontal="left" wrapText="1"/>
    </xf>
    <xf numFmtId="9" fontId="55" fillId="0" borderId="46" xfId="3" applyFont="1" applyFill="1" applyBorder="1" applyAlignment="1">
      <alignment horizontal="left" wrapText="1"/>
    </xf>
    <xf numFmtId="0" fontId="16" fillId="2" borderId="17" xfId="0" applyFont="1" applyFill="1" applyBorder="1" applyAlignment="1">
      <alignment wrapText="1"/>
    </xf>
    <xf numFmtId="0" fontId="16" fillId="2" borderId="12" xfId="0" applyFont="1" applyFill="1" applyBorder="1" applyAlignment="1">
      <alignment wrapText="1"/>
    </xf>
    <xf numFmtId="0" fontId="16" fillId="2" borderId="19" xfId="0" applyFont="1" applyFill="1" applyBorder="1" applyAlignment="1">
      <alignment wrapText="1"/>
    </xf>
    <xf numFmtId="0" fontId="16" fillId="2" borderId="13" xfId="0" applyFont="1" applyFill="1" applyBorder="1" applyAlignment="1">
      <alignment wrapText="1"/>
    </xf>
    <xf numFmtId="0" fontId="16" fillId="2" borderId="1" xfId="0" applyFont="1" applyFill="1" applyBorder="1" applyAlignment="1">
      <alignment wrapText="1"/>
    </xf>
    <xf numFmtId="0" fontId="16" fillId="2" borderId="14" xfId="0" applyFont="1" applyFill="1" applyBorder="1" applyAlignment="1">
      <alignment wrapText="1"/>
    </xf>
    <xf numFmtId="0" fontId="65" fillId="0" borderId="0" xfId="0" applyFont="1" applyAlignment="1">
      <alignment horizontal="center"/>
    </xf>
    <xf numFmtId="0" fontId="16" fillId="0" borderId="1" xfId="0" applyFont="1" applyBorder="1" applyAlignment="1">
      <alignment horizontal="center"/>
    </xf>
    <xf numFmtId="0" fontId="34" fillId="2" borderId="17" xfId="0" applyFont="1" applyFill="1" applyBorder="1" applyAlignment="1">
      <alignment horizontal="center"/>
    </xf>
    <xf numFmtId="0" fontId="34" fillId="2" borderId="12" xfId="0" applyFont="1" applyFill="1" applyBorder="1" applyAlignment="1">
      <alignment horizontal="center"/>
    </xf>
    <xf numFmtId="0" fontId="34" fillId="2" borderId="19" xfId="0" applyFont="1" applyFill="1" applyBorder="1" applyAlignment="1">
      <alignment horizontal="center"/>
    </xf>
    <xf numFmtId="0" fontId="34" fillId="2" borderId="13" xfId="0" applyFont="1" applyFill="1" applyBorder="1" applyAlignment="1">
      <alignment horizontal="center"/>
    </xf>
    <xf numFmtId="0" fontId="34" fillId="2" borderId="1" xfId="0" applyFont="1" applyFill="1" applyBorder="1" applyAlignment="1">
      <alignment horizontal="center"/>
    </xf>
    <xf numFmtId="0" fontId="34" fillId="2" borderId="14" xfId="0" applyFont="1" applyFill="1" applyBorder="1" applyAlignment="1">
      <alignment horizontal="center"/>
    </xf>
    <xf numFmtId="0" fontId="18" fillId="0" borderId="0" xfId="0" applyFont="1" applyFill="1" applyBorder="1" applyAlignment="1">
      <alignment horizontal="left" wrapText="1"/>
    </xf>
    <xf numFmtId="0" fontId="0" fillId="0" borderId="20" xfId="0" applyBorder="1" applyAlignment="1">
      <alignment wrapText="1"/>
    </xf>
    <xf numFmtId="165" fontId="14" fillId="6" borderId="0" xfId="1" applyNumberFormat="1" applyFill="1" applyAlignment="1" applyProtection="1">
      <alignment horizontal="left" indent="2"/>
      <protection locked="0"/>
    </xf>
    <xf numFmtId="0" fontId="45" fillId="0" borderId="0" xfId="0" applyFont="1" applyAlignment="1">
      <alignment horizontal="center"/>
    </xf>
    <xf numFmtId="0" fontId="0" fillId="0" borderId="0" xfId="0" applyAlignment="1">
      <alignment horizontal="center"/>
    </xf>
    <xf numFmtId="0" fontId="18" fillId="0" borderId="0" xfId="0" applyFont="1" applyBorder="1" applyAlignment="1">
      <alignment horizontal="left" wrapText="1"/>
    </xf>
    <xf numFmtId="0" fontId="16" fillId="0" borderId="0" xfId="0" applyFont="1" applyFill="1" applyAlignment="1">
      <alignment horizontal="left" wrapText="1"/>
    </xf>
    <xf numFmtId="0" fontId="16" fillId="0" borderId="0" xfId="0" applyFont="1" applyFill="1" applyAlignment="1">
      <alignment horizontal="left"/>
    </xf>
    <xf numFmtId="165" fontId="17" fillId="0" borderId="1" xfId="1" applyNumberFormat="1" applyFont="1" applyBorder="1" applyAlignment="1">
      <alignment wrapText="1"/>
    </xf>
    <xf numFmtId="0" fontId="27" fillId="0" borderId="44" xfId="0" applyFont="1" applyBorder="1" applyAlignment="1">
      <alignment wrapText="1"/>
    </xf>
    <xf numFmtId="0" fontId="0" fillId="0" borderId="45" xfId="0" applyBorder="1" applyAlignment="1">
      <alignment wrapText="1"/>
    </xf>
    <xf numFmtId="0" fontId="0" fillId="0" borderId="46" xfId="0" applyBorder="1" applyAlignment="1">
      <alignment wrapText="1"/>
    </xf>
    <xf numFmtId="0" fontId="16" fillId="2" borderId="1" xfId="0" applyFont="1" applyFill="1" applyBorder="1"/>
    <xf numFmtId="0" fontId="0" fillId="0" borderId="1" xfId="0" applyBorder="1" applyAlignment="1">
      <alignment horizontal="center"/>
    </xf>
    <xf numFmtId="0" fontId="17" fillId="0" borderId="0" xfId="0" applyFont="1" applyFill="1" applyAlignment="1">
      <alignment wrapText="1"/>
    </xf>
    <xf numFmtId="3" fontId="0" fillId="6" borderId="0" xfId="0" applyNumberFormat="1" applyFill="1" applyProtection="1">
      <protection locked="0"/>
    </xf>
    <xf numFmtId="0" fontId="62" fillId="2" borderId="23" xfId="0" applyFont="1" applyFill="1" applyBorder="1" applyAlignment="1">
      <alignment horizontal="center"/>
    </xf>
    <xf numFmtId="0" fontId="62" fillId="2" borderId="7" xfId="0" applyFont="1" applyFill="1" applyBorder="1" applyAlignment="1">
      <alignment horizontal="center"/>
    </xf>
    <xf numFmtId="0" fontId="62" fillId="2" borderId="24" xfId="0" applyFont="1" applyFill="1" applyBorder="1" applyAlignment="1">
      <alignment horizontal="center"/>
    </xf>
    <xf numFmtId="0" fontId="34" fillId="2" borderId="23" xfId="0" applyFont="1" applyFill="1" applyBorder="1" applyAlignment="1">
      <alignment horizontal="center"/>
    </xf>
    <xf numFmtId="0" fontId="34" fillId="2" borderId="7" xfId="0" applyFont="1" applyFill="1" applyBorder="1" applyAlignment="1">
      <alignment horizontal="center"/>
    </xf>
    <xf numFmtId="0" fontId="34" fillId="2" borderId="24" xfId="0" applyFont="1" applyFill="1" applyBorder="1" applyAlignment="1">
      <alignment horizontal="center"/>
    </xf>
    <xf numFmtId="0" fontId="15" fillId="0" borderId="12" xfId="0" applyFont="1" applyBorder="1" applyAlignment="1">
      <alignment horizontal="center"/>
    </xf>
    <xf numFmtId="0" fontId="18" fillId="0" borderId="0" xfId="0" applyFont="1" applyFill="1" applyBorder="1" applyAlignment="1">
      <alignment wrapText="1"/>
    </xf>
    <xf numFmtId="0" fontId="0" fillId="0" borderId="0" xfId="0" applyFill="1" applyBorder="1" applyAlignment="1">
      <alignment wrapText="1"/>
    </xf>
    <xf numFmtId="0" fontId="18" fillId="0" borderId="1" xfId="0" applyFont="1" applyBorder="1" applyAlignment="1">
      <alignment wrapText="1"/>
    </xf>
    <xf numFmtId="0" fontId="0" fillId="0" borderId="1" xfId="0" applyBorder="1" applyAlignment="1">
      <alignment wrapText="1"/>
    </xf>
    <xf numFmtId="0" fontId="34" fillId="2" borderId="23" xfId="0" applyFont="1" applyFill="1" applyBorder="1" applyAlignment="1">
      <alignment horizontal="center" wrapText="1"/>
    </xf>
    <xf numFmtId="0" fontId="34" fillId="2" borderId="7" xfId="0" applyFont="1" applyFill="1" applyBorder="1" applyAlignment="1">
      <alignment horizontal="center" wrapText="1"/>
    </xf>
    <xf numFmtId="0" fontId="34" fillId="2" borderId="24" xfId="0" applyFont="1" applyFill="1" applyBorder="1" applyAlignment="1">
      <alignment horizontal="center" wrapText="1"/>
    </xf>
    <xf numFmtId="0" fontId="17" fillId="0" borderId="0" xfId="0" applyFont="1" applyAlignment="1">
      <alignment horizontal="left" wrapText="1" indent="1"/>
    </xf>
    <xf numFmtId="0" fontId="17" fillId="0" borderId="0" xfId="0" applyFont="1" applyBorder="1" applyAlignment="1">
      <alignment horizontal="left" wrapText="1" indent="1"/>
    </xf>
    <xf numFmtId="0" fontId="75" fillId="0" borderId="0" xfId="0" applyFont="1" applyAlignment="1">
      <alignment horizontal="left" vertical="top" wrapText="1" readingOrder="1"/>
    </xf>
    <xf numFmtId="0" fontId="16" fillId="2" borderId="23" xfId="0" applyFont="1" applyFill="1" applyBorder="1" applyAlignment="1">
      <alignment horizontal="left"/>
    </xf>
    <xf numFmtId="0" fontId="16" fillId="2" borderId="7" xfId="0" applyFont="1" applyFill="1" applyBorder="1" applyAlignment="1">
      <alignment horizontal="left"/>
    </xf>
    <xf numFmtId="0" fontId="16" fillId="2" borderId="24" xfId="0" applyFont="1" applyFill="1" applyBorder="1" applyAlignment="1">
      <alignment horizontal="left"/>
    </xf>
    <xf numFmtId="0" fontId="95" fillId="0" borderId="17" xfId="0" applyFont="1" applyFill="1" applyBorder="1" applyAlignment="1">
      <alignment horizontal="center"/>
    </xf>
    <xf numFmtId="0" fontId="95" fillId="0" borderId="12" xfId="0" applyFont="1" applyFill="1" applyBorder="1" applyAlignment="1">
      <alignment horizontal="center"/>
    </xf>
    <xf numFmtId="0" fontId="95" fillId="0" borderId="19" xfId="0" applyFont="1" applyFill="1" applyBorder="1" applyAlignment="1">
      <alignment horizontal="center"/>
    </xf>
    <xf numFmtId="0" fontId="22" fillId="4" borderId="0" xfId="0" applyFont="1" applyFill="1" applyAlignment="1">
      <alignment horizontal="left" vertical="center"/>
    </xf>
    <xf numFmtId="0" fontId="82" fillId="0" borderId="1" xfId="0" applyFont="1" applyFill="1" applyBorder="1" applyAlignment="1">
      <alignment horizontal="center"/>
    </xf>
    <xf numFmtId="0" fontId="76" fillId="2" borderId="23" xfId="0" applyFont="1" applyFill="1" applyBorder="1" applyAlignment="1">
      <alignment horizontal="left"/>
    </xf>
    <xf numFmtId="0" fontId="76" fillId="2" borderId="24" xfId="0" applyFont="1" applyFill="1" applyBorder="1" applyAlignment="1">
      <alignment horizontal="left"/>
    </xf>
    <xf numFmtId="0" fontId="16" fillId="0" borderId="0" xfId="0" applyFont="1" applyAlignment="1">
      <alignment horizontal="left" vertical="top" wrapText="1"/>
    </xf>
    <xf numFmtId="0" fontId="83" fillId="0" borderId="0" xfId="14" applyFont="1" applyAlignment="1">
      <alignment horizontal="left" vertical="top" wrapText="1"/>
    </xf>
    <xf numFmtId="0" fontId="14" fillId="0" borderId="17" xfId="0" applyFont="1" applyBorder="1" applyAlignment="1">
      <alignment horizontal="center"/>
    </xf>
    <xf numFmtId="0" fontId="14" fillId="0" borderId="19" xfId="0" applyFont="1" applyBorder="1" applyAlignment="1">
      <alignment horizontal="center"/>
    </xf>
    <xf numFmtId="0" fontId="14" fillId="0" borderId="0" xfId="0" applyFont="1" applyAlignment="1">
      <alignment vertical="center" wrapText="1"/>
    </xf>
    <xf numFmtId="0" fontId="0" fillId="0" borderId="0" xfId="0" applyAlignment="1">
      <alignment vertical="center" wrapText="1"/>
    </xf>
    <xf numFmtId="0" fontId="76" fillId="17" borderId="23" xfId="0" applyFont="1" applyFill="1" applyBorder="1" applyAlignment="1">
      <alignment horizontal="left" vertical="top" wrapText="1"/>
    </xf>
    <xf numFmtId="0" fontId="76" fillId="17" borderId="7" xfId="0" applyFont="1" applyFill="1" applyBorder="1" applyAlignment="1">
      <alignment horizontal="left" vertical="top" wrapText="1"/>
    </xf>
    <xf numFmtId="0" fontId="76" fillId="17" borderId="24" xfId="0" applyFont="1" applyFill="1" applyBorder="1" applyAlignment="1">
      <alignment horizontal="left" vertical="top" wrapText="1"/>
    </xf>
    <xf numFmtId="0" fontId="79" fillId="0" borderId="0" xfId="0" applyFont="1" applyAlignment="1">
      <alignment horizontal="left" wrapText="1"/>
    </xf>
    <xf numFmtId="0" fontId="14" fillId="0" borderId="17" xfId="16" applyFont="1" applyBorder="1" applyAlignment="1">
      <alignment horizontal="center"/>
    </xf>
    <xf numFmtId="0" fontId="14" fillId="0" borderId="19" xfId="16" applyFont="1" applyBorder="1" applyAlignment="1">
      <alignment horizontal="center"/>
    </xf>
    <xf numFmtId="0" fontId="84" fillId="0" borderId="0" xfId="17" applyFont="1" applyAlignment="1">
      <alignment horizontal="left" vertical="center" wrapText="1"/>
    </xf>
    <xf numFmtId="0" fontId="83" fillId="0" borderId="0" xfId="17" applyFont="1" applyAlignment="1">
      <alignment horizontal="left" vertical="top" wrapText="1"/>
    </xf>
    <xf numFmtId="0" fontId="84" fillId="0" borderId="0" xfId="17" applyFont="1" applyAlignment="1">
      <alignment horizontal="left" vertical="top" wrapText="1"/>
    </xf>
    <xf numFmtId="0" fontId="34" fillId="2" borderId="23" xfId="16" applyFont="1" applyFill="1" applyBorder="1" applyAlignment="1">
      <alignment horizontal="center"/>
    </xf>
    <xf numFmtId="0" fontId="34" fillId="2" borderId="7" xfId="16" applyFont="1" applyFill="1" applyBorder="1" applyAlignment="1">
      <alignment horizontal="center"/>
    </xf>
    <xf numFmtId="0" fontId="34" fillId="2" borderId="24" xfId="16" applyFont="1" applyFill="1" applyBorder="1" applyAlignment="1">
      <alignment horizontal="center"/>
    </xf>
    <xf numFmtId="0" fontId="14" fillId="0" borderId="0" xfId="16" applyFont="1" applyAlignment="1" applyProtection="1">
      <alignment horizontal="left" vertical="top" wrapText="1" readingOrder="1"/>
      <protection locked="0"/>
    </xf>
    <xf numFmtId="0" fontId="14" fillId="0" borderId="0" xfId="16" applyFont="1" applyAlignment="1">
      <alignment horizontal="left" vertical="top" wrapText="1" readingOrder="1"/>
    </xf>
    <xf numFmtId="0" fontId="16" fillId="2" borderId="23" xfId="16" applyFont="1" applyFill="1" applyBorder="1" applyAlignment="1">
      <alignment horizontal="left"/>
    </xf>
    <xf numFmtId="0" fontId="16" fillId="2" borderId="7" xfId="16" applyFont="1" applyFill="1" applyBorder="1" applyAlignment="1">
      <alignment horizontal="left"/>
    </xf>
    <xf numFmtId="0" fontId="79" fillId="2" borderId="0" xfId="16" applyFont="1" applyFill="1" applyBorder="1" applyAlignment="1">
      <alignment wrapText="1"/>
    </xf>
    <xf numFmtId="0" fontId="16" fillId="0" borderId="0" xfId="0" applyFont="1" applyBorder="1" applyAlignment="1">
      <alignment wrapText="1"/>
    </xf>
    <xf numFmtId="0" fontId="71" fillId="19" borderId="0" xfId="22" applyFont="1" applyFill="1" applyAlignment="1">
      <alignment horizontal="center"/>
    </xf>
    <xf numFmtId="0" fontId="6" fillId="19" borderId="0" xfId="22" applyFont="1" applyFill="1" applyAlignment="1">
      <alignment horizontal="center"/>
    </xf>
    <xf numFmtId="0" fontId="7" fillId="19" borderId="0" xfId="22" applyFill="1" applyAlignment="1">
      <alignment horizontal="center"/>
    </xf>
  </cellXfs>
  <cellStyles count="63">
    <cellStyle name="Comma" xfId="1" builtinId="3"/>
    <cellStyle name="Comma 10" xfId="62" xr:uid="{956307A6-7631-4F73-8AB4-B9983188DA17}"/>
    <cellStyle name="Comma 2" xfId="5" xr:uid="{00000000-0005-0000-0000-000001000000}"/>
    <cellStyle name="Comma 2 2" xfId="27" xr:uid="{00000000-0005-0000-0000-000002000000}"/>
    <cellStyle name="Comma 3" xfId="9" xr:uid="{00000000-0005-0000-0000-000003000000}"/>
    <cellStyle name="Comma 3 2" xfId="12" xr:uid="{00000000-0005-0000-0000-000004000000}"/>
    <cellStyle name="Comma 3 2 2" xfId="34" xr:uid="{00000000-0005-0000-0000-000005000000}"/>
    <cellStyle name="Comma 3 3" xfId="31" xr:uid="{00000000-0005-0000-0000-000006000000}"/>
    <cellStyle name="Comma 4" xfId="15" xr:uid="{00000000-0005-0000-0000-000007000000}"/>
    <cellStyle name="Comma 4 2" xfId="18" xr:uid="{00000000-0005-0000-0000-000008000000}"/>
    <cellStyle name="Comma 4 2 2" xfId="39" xr:uid="{00000000-0005-0000-0000-000009000000}"/>
    <cellStyle name="Comma 4 3" xfId="37" xr:uid="{00000000-0005-0000-0000-00000A000000}"/>
    <cellStyle name="Comma 5" xfId="21" xr:uid="{00000000-0005-0000-0000-00000B000000}"/>
    <cellStyle name="Comma 5 2" xfId="42" xr:uid="{00000000-0005-0000-0000-00000C000000}"/>
    <cellStyle name="Comma 6" xfId="23" xr:uid="{00000000-0005-0000-0000-00000D000000}"/>
    <cellStyle name="Comma 6 2" xfId="44" xr:uid="{00000000-0005-0000-0000-00000E000000}"/>
    <cellStyle name="Comma 7" xfId="48" xr:uid="{6968EB08-8B9C-4CE7-A01A-B650B824D84F}"/>
    <cellStyle name="Comma 8" xfId="50" xr:uid="{8D3ADA62-03EA-4DC0-A7BA-0E4FB9C464AC}"/>
    <cellStyle name="Comma 9" xfId="55" xr:uid="{258B799E-32F5-4CC1-A765-7F7E50A04E81}"/>
    <cellStyle name="Comma 9 2" xfId="58" xr:uid="{A69D7DE6-729F-4841-96D9-2B8955411D0A}"/>
    <cellStyle name="Currency" xfId="2" builtinId="4"/>
    <cellStyle name="Currency 2" xfId="25" xr:uid="{00000000-0005-0000-0000-000010000000}"/>
    <cellStyle name="Currency 2 2" xfId="46" xr:uid="{00000000-0005-0000-0000-000011000000}"/>
    <cellStyle name="Hyperlink" xfId="52" builtinId="8"/>
    <cellStyle name="Normal" xfId="0" builtinId="0"/>
    <cellStyle name="Normal 10" xfId="49" xr:uid="{82862672-E95B-4C9B-9C4C-620E8C6BA675}"/>
    <cellStyle name="Normal 11" xfId="57" xr:uid="{E07E392B-746F-40C0-B016-A43E57A0C0A2}"/>
    <cellStyle name="Normal 12" xfId="60" xr:uid="{D97DCB5B-CF4E-4E97-8F9A-47EABF8280A1}"/>
    <cellStyle name="Normal 2" xfId="6" xr:uid="{00000000-0005-0000-0000-000013000000}"/>
    <cellStyle name="Normal 2 2" xfId="13" xr:uid="{00000000-0005-0000-0000-000014000000}"/>
    <cellStyle name="Normal 2 2 2" xfId="35" xr:uid="{00000000-0005-0000-0000-000015000000}"/>
    <cellStyle name="Normal 2 3" xfId="28" xr:uid="{00000000-0005-0000-0000-000016000000}"/>
    <cellStyle name="Normal 3" xfId="7" xr:uid="{00000000-0005-0000-0000-000017000000}"/>
    <cellStyle name="Normal 3 2" xfId="29" xr:uid="{00000000-0005-0000-0000-000018000000}"/>
    <cellStyle name="Normal 4" xfId="10" xr:uid="{00000000-0005-0000-0000-000019000000}"/>
    <cellStyle name="Normal 4 2" xfId="32" xr:uid="{00000000-0005-0000-0000-00001A000000}"/>
    <cellStyle name="Normal 5" xfId="14" xr:uid="{00000000-0005-0000-0000-00001B000000}"/>
    <cellStyle name="Normal 5 2" xfId="17" xr:uid="{00000000-0005-0000-0000-00001C000000}"/>
    <cellStyle name="Normal 5 2 2" xfId="38" xr:uid="{00000000-0005-0000-0000-00001D000000}"/>
    <cellStyle name="Normal 5 3" xfId="36" xr:uid="{00000000-0005-0000-0000-00001E000000}"/>
    <cellStyle name="Normal 5 4" xfId="56" xr:uid="{C232E3DE-A84E-4FC3-A08D-E2112AA3EDCE}"/>
    <cellStyle name="Normal 6" xfId="16" xr:uid="{00000000-0005-0000-0000-00001F000000}"/>
    <cellStyle name="Normal 7" xfId="19" xr:uid="{00000000-0005-0000-0000-000020000000}"/>
    <cellStyle name="Normal 7 2" xfId="40" xr:uid="{00000000-0005-0000-0000-000021000000}"/>
    <cellStyle name="Normal 8" xfId="22" xr:uid="{00000000-0005-0000-0000-000022000000}"/>
    <cellStyle name="Normal 8 2" xfId="43" xr:uid="{00000000-0005-0000-0000-000023000000}"/>
    <cellStyle name="Normal 9" xfId="53" xr:uid="{882E6FB7-38C6-49CE-AC09-59625555DF53}"/>
    <cellStyle name="Normal 9 2" xfId="59" xr:uid="{2C9204AD-FCE2-446B-951A-65ABA4D4A7D7}"/>
    <cellStyle name="Percent" xfId="3" builtinId="5"/>
    <cellStyle name="Percent 2" xfId="4" xr:uid="{00000000-0005-0000-0000-000025000000}"/>
    <cellStyle name="Percent 2 2" xfId="26" xr:uid="{00000000-0005-0000-0000-000026000000}"/>
    <cellStyle name="Percent 3" xfId="8" xr:uid="{00000000-0005-0000-0000-000027000000}"/>
    <cellStyle name="Percent 3 2" xfId="11" xr:uid="{00000000-0005-0000-0000-000028000000}"/>
    <cellStyle name="Percent 3 2 2" xfId="33" xr:uid="{00000000-0005-0000-0000-000029000000}"/>
    <cellStyle name="Percent 3 3" xfId="30" xr:uid="{00000000-0005-0000-0000-00002A000000}"/>
    <cellStyle name="Percent 4" xfId="20" xr:uid="{00000000-0005-0000-0000-00002B000000}"/>
    <cellStyle name="Percent 4 2" xfId="41" xr:uid="{00000000-0005-0000-0000-00002C000000}"/>
    <cellStyle name="Percent 5" xfId="24" xr:uid="{00000000-0005-0000-0000-00002D000000}"/>
    <cellStyle name="Percent 5 2" xfId="45" xr:uid="{00000000-0005-0000-0000-00002E000000}"/>
    <cellStyle name="Percent 6" xfId="47" xr:uid="{EB2AC3CB-7B5B-48D5-89D1-42C4B4E94702}"/>
    <cellStyle name="Percent 7" xfId="51" xr:uid="{94FBE917-49AC-4A8F-9A9A-342D9D576C56}"/>
    <cellStyle name="Percent 8" xfId="54" xr:uid="{15B704B6-872F-4A57-861D-8AF4E884BF6B}"/>
    <cellStyle name="Percent 9" xfId="61" xr:uid="{CBB50196-BF04-442F-A485-C22FC3F650F4}"/>
  </cellStyles>
  <dxfs count="47">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fgColor indexed="64"/>
          <bgColor indexed="65"/>
        </patternFill>
      </fill>
    </dxf>
    <dxf>
      <fill>
        <patternFill>
          <bgColor theme="6" tint="-0.24994659260841701"/>
        </patternFill>
      </fill>
    </dxf>
    <dxf>
      <fill>
        <patternFill patternType="none">
          <fgColor indexed="64"/>
          <bgColor indexed="65"/>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9" defaultPivotStyle="PivotStyleLight16"/>
  <colors>
    <mruColors>
      <color rgb="FFFFFF99"/>
      <color rgb="FFFFCC99"/>
      <color rgb="FFCCFF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5.xml"/><Relationship Id="rId50" Type="http://schemas.openxmlformats.org/officeDocument/2006/relationships/externalLink" Target="externalLinks/externalLink8.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3.xml"/><Relationship Id="rId53" Type="http://schemas.openxmlformats.org/officeDocument/2006/relationships/sharedStrings" Target="sharedStrings.xml"/><Relationship Id="rId58" Type="http://schemas.openxmlformats.org/officeDocument/2006/relationships/customXml" Target="../customXml/item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1.xml"/><Relationship Id="rId48" Type="http://schemas.openxmlformats.org/officeDocument/2006/relationships/externalLink" Target="externalLinks/externalLink6.xml"/><Relationship Id="rId56"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59"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worksheet" Target="worksheets/sheet41.xml"/><Relationship Id="rId54"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7.xml"/><Relationship Id="rId57"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styles" Target="styles.xml"/><Relationship Id="rId60" Type="http://schemas.openxmlformats.org/officeDocument/2006/relationships/customXml" Target="../customXml/item5.xml"/></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99</xdr:row>
      <xdr:rowOff>142875</xdr:rowOff>
    </xdr:from>
    <xdr:to>
      <xdr:col>11</xdr:col>
      <xdr:colOff>9525</xdr:colOff>
      <xdr:row>110</xdr:row>
      <xdr:rowOff>0</xdr:rowOff>
    </xdr:to>
    <xdr:sp macro="" textlink="">
      <xdr:nvSpPr>
        <xdr:cNvPr id="22530" name="Text Box 2">
          <a:extLst>
            <a:ext uri="{FF2B5EF4-FFF2-40B4-BE49-F238E27FC236}">
              <a16:creationId xmlns:a16="http://schemas.microsoft.com/office/drawing/2014/main" id="{00000000-0008-0000-0000-000002580000}"/>
            </a:ext>
          </a:extLst>
        </xdr:cNvPr>
        <xdr:cNvSpPr txBox="1">
          <a:spLocks noChangeArrowheads="1"/>
        </xdr:cNvSpPr>
      </xdr:nvSpPr>
      <xdr:spPr bwMode="auto">
        <a:xfrm>
          <a:off x="0" y="17297400"/>
          <a:ext cx="6877050" cy="1638300"/>
        </a:xfrm>
        <a:prstGeom prst="rect">
          <a:avLst/>
        </a:prstGeom>
        <a:solidFill>
          <a:srgbClr val="FFFFFF"/>
        </a:solidFill>
        <a:ln w="9525">
          <a:noFill/>
          <a:miter lim="800000"/>
          <a:headEnd/>
          <a:tailEnd/>
        </a:ln>
      </xdr:spPr>
      <xdr:txBody>
        <a:bodyPr vertOverflow="clip" wrap="square" lIns="27432" tIns="22860" rIns="0" bIns="0" anchor="t" upright="1"/>
        <a:lstStyle/>
        <a:p>
          <a:pPr algn="l" rtl="0">
            <a:lnSpc>
              <a:spcPts val="1100"/>
            </a:lnSpc>
            <a:defRPr sz="1000"/>
          </a:pPr>
          <a:r>
            <a:rPr lang="en-US" sz="1000" b="0" i="0" u="none" strike="noStrike" baseline="0">
              <a:solidFill>
                <a:srgbClr val="000000"/>
              </a:solidFill>
              <a:latin typeface="Arial"/>
              <a:cs typeface="Arial"/>
            </a:rPr>
            <a:t>Worksheets have been created such that they can be printed for offline review. On the Conversion worksheet, once all the detail fund data has been entered and the grand totals are as you expected, those detail fund columns can be hidden so that one sees the account titles on the left and then the column "Total Governmental Funds." By hiding detail columns you will be able to fit the conversion worksheet to legal size paper. Please note that to hide columns, you must "unlock" the worksheet. We suggest that once fund detail is verified that you unlock the worksheet, hide the detail fund columns, and then re-protect the worksheet in order not to overwrite formulas and mapping. All other worksheets fit on standard 8.5x11 paper. Some worksheets result in such complicated entries that a work section is presented below the final entry to accumulate all activity. These work sections are not defined in the normal print range. If you wish to print the work sections, you will need to select the work section for printing or redefine your print ranges. Please note that the work sections are often larger than regular 8.5x11 paper.</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328084</xdr:colOff>
      <xdr:row>30</xdr:row>
      <xdr:rowOff>42335</xdr:rowOff>
    </xdr:from>
    <xdr:to>
      <xdr:col>4</xdr:col>
      <xdr:colOff>718608</xdr:colOff>
      <xdr:row>39</xdr:row>
      <xdr:rowOff>31751</xdr:rowOff>
    </xdr:to>
    <xdr:sp macro="" textlink="">
      <xdr:nvSpPr>
        <xdr:cNvPr id="2" name="Right Brace 1">
          <a:extLst>
            <a:ext uri="{FF2B5EF4-FFF2-40B4-BE49-F238E27FC236}">
              <a16:creationId xmlns:a16="http://schemas.microsoft.com/office/drawing/2014/main" id="{27C6397E-804D-482D-8E0E-3E26B67A5754}"/>
            </a:ext>
          </a:extLst>
        </xdr:cNvPr>
        <xdr:cNvSpPr/>
      </xdr:nvSpPr>
      <xdr:spPr>
        <a:xfrm>
          <a:off x="8329084" y="5397502"/>
          <a:ext cx="390524" cy="1608666"/>
        </a:xfrm>
        <a:prstGeom prst="rightBrace">
          <a:avLst>
            <a:gd name="adj1" fmla="val 21541"/>
            <a:gd name="adj2" fmla="val 48305"/>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328084</xdr:colOff>
      <xdr:row>30</xdr:row>
      <xdr:rowOff>42335</xdr:rowOff>
    </xdr:from>
    <xdr:to>
      <xdr:col>4</xdr:col>
      <xdr:colOff>718608</xdr:colOff>
      <xdr:row>39</xdr:row>
      <xdr:rowOff>31751</xdr:rowOff>
    </xdr:to>
    <xdr:sp macro="" textlink="">
      <xdr:nvSpPr>
        <xdr:cNvPr id="3" name="Right Brace 2">
          <a:extLst>
            <a:ext uri="{FF2B5EF4-FFF2-40B4-BE49-F238E27FC236}">
              <a16:creationId xmlns:a16="http://schemas.microsoft.com/office/drawing/2014/main" id="{8A966AD7-E879-44D9-BAF3-7AF15222CE8E}"/>
            </a:ext>
          </a:extLst>
        </xdr:cNvPr>
        <xdr:cNvSpPr/>
      </xdr:nvSpPr>
      <xdr:spPr>
        <a:xfrm>
          <a:off x="8319559" y="5481110"/>
          <a:ext cx="390524" cy="1618191"/>
        </a:xfrm>
        <a:prstGeom prst="rightBrace">
          <a:avLst>
            <a:gd name="adj1" fmla="val 21541"/>
            <a:gd name="adj2" fmla="val 48305"/>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328084</xdr:colOff>
      <xdr:row>30</xdr:row>
      <xdr:rowOff>42335</xdr:rowOff>
    </xdr:from>
    <xdr:to>
      <xdr:col>4</xdr:col>
      <xdr:colOff>718608</xdr:colOff>
      <xdr:row>39</xdr:row>
      <xdr:rowOff>31751</xdr:rowOff>
    </xdr:to>
    <xdr:sp macro="" textlink="">
      <xdr:nvSpPr>
        <xdr:cNvPr id="3" name="Right Brace 2">
          <a:extLst>
            <a:ext uri="{FF2B5EF4-FFF2-40B4-BE49-F238E27FC236}">
              <a16:creationId xmlns:a16="http://schemas.microsoft.com/office/drawing/2014/main" id="{402F1C9E-1073-4454-8C36-0348A1ECBBCE}"/>
            </a:ext>
          </a:extLst>
        </xdr:cNvPr>
        <xdr:cNvSpPr/>
      </xdr:nvSpPr>
      <xdr:spPr>
        <a:xfrm>
          <a:off x="8319559" y="5481110"/>
          <a:ext cx="390524" cy="1618191"/>
        </a:xfrm>
        <a:prstGeom prst="rightBrace">
          <a:avLst>
            <a:gd name="adj1" fmla="val 21541"/>
            <a:gd name="adj2" fmla="val 48305"/>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657225</xdr:colOff>
      <xdr:row>118</xdr:row>
      <xdr:rowOff>9525</xdr:rowOff>
    </xdr:from>
    <xdr:to>
      <xdr:col>6</xdr:col>
      <xdr:colOff>95250</xdr:colOff>
      <xdr:row>122</xdr:row>
      <xdr:rowOff>9525</xdr:rowOff>
    </xdr:to>
    <xdr:sp macro="" textlink="">
      <xdr:nvSpPr>
        <xdr:cNvPr id="6353" name="AutoShape 5">
          <a:extLst>
            <a:ext uri="{FF2B5EF4-FFF2-40B4-BE49-F238E27FC236}">
              <a16:creationId xmlns:a16="http://schemas.microsoft.com/office/drawing/2014/main" id="{00000000-0008-0000-0900-0000D1180000}"/>
            </a:ext>
          </a:extLst>
        </xdr:cNvPr>
        <xdr:cNvSpPr>
          <a:spLocks/>
        </xdr:cNvSpPr>
      </xdr:nvSpPr>
      <xdr:spPr bwMode="auto">
        <a:xfrm>
          <a:off x="2714625" y="20469225"/>
          <a:ext cx="133350" cy="647700"/>
        </a:xfrm>
        <a:prstGeom prst="rightBrace">
          <a:avLst>
            <a:gd name="adj1" fmla="val 4047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0</xdr:colOff>
      <xdr:row>26</xdr:row>
      <xdr:rowOff>9525</xdr:rowOff>
    </xdr:from>
    <xdr:to>
      <xdr:col>14</xdr:col>
      <xdr:colOff>0</xdr:colOff>
      <xdr:row>35</xdr:row>
      <xdr:rowOff>9525</xdr:rowOff>
    </xdr:to>
    <xdr:sp macro="" textlink="">
      <xdr:nvSpPr>
        <xdr:cNvPr id="11675" name="AutoShape 1">
          <a:extLst>
            <a:ext uri="{FF2B5EF4-FFF2-40B4-BE49-F238E27FC236}">
              <a16:creationId xmlns:a16="http://schemas.microsoft.com/office/drawing/2014/main" id="{00000000-0008-0000-0B00-00009B2D0000}"/>
            </a:ext>
          </a:extLst>
        </xdr:cNvPr>
        <xdr:cNvSpPr>
          <a:spLocks/>
        </xdr:cNvSpPr>
      </xdr:nvSpPr>
      <xdr:spPr bwMode="auto">
        <a:xfrm>
          <a:off x="6553200" y="6257925"/>
          <a:ext cx="0" cy="1457325"/>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0</xdr:colOff>
      <xdr:row>40</xdr:row>
      <xdr:rowOff>9525</xdr:rowOff>
    </xdr:from>
    <xdr:to>
      <xdr:col>14</xdr:col>
      <xdr:colOff>0</xdr:colOff>
      <xdr:row>49</xdr:row>
      <xdr:rowOff>9525</xdr:rowOff>
    </xdr:to>
    <xdr:sp macro="" textlink="">
      <xdr:nvSpPr>
        <xdr:cNvPr id="11676" name="AutoShape 2">
          <a:extLst>
            <a:ext uri="{FF2B5EF4-FFF2-40B4-BE49-F238E27FC236}">
              <a16:creationId xmlns:a16="http://schemas.microsoft.com/office/drawing/2014/main" id="{00000000-0008-0000-0B00-00009C2D0000}"/>
            </a:ext>
          </a:extLst>
        </xdr:cNvPr>
        <xdr:cNvSpPr>
          <a:spLocks/>
        </xdr:cNvSpPr>
      </xdr:nvSpPr>
      <xdr:spPr bwMode="auto">
        <a:xfrm>
          <a:off x="6553200" y="8401050"/>
          <a:ext cx="0" cy="1457325"/>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9525</xdr:colOff>
      <xdr:row>136</xdr:row>
      <xdr:rowOff>0</xdr:rowOff>
    </xdr:from>
    <xdr:to>
      <xdr:col>7</xdr:col>
      <xdr:colOff>95250</xdr:colOff>
      <xdr:row>136</xdr:row>
      <xdr:rowOff>0</xdr:rowOff>
    </xdr:to>
    <xdr:sp macro="" textlink="">
      <xdr:nvSpPr>
        <xdr:cNvPr id="26623" name="AutoShape 1">
          <a:extLst>
            <a:ext uri="{FF2B5EF4-FFF2-40B4-BE49-F238E27FC236}">
              <a16:creationId xmlns:a16="http://schemas.microsoft.com/office/drawing/2014/main" id="{00000000-0008-0000-0C00-0000FF670000}"/>
            </a:ext>
          </a:extLst>
        </xdr:cNvPr>
        <xdr:cNvSpPr>
          <a:spLocks/>
        </xdr:cNvSpPr>
      </xdr:nvSpPr>
      <xdr:spPr bwMode="auto">
        <a:xfrm>
          <a:off x="5924550" y="22593300"/>
          <a:ext cx="85725"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19050</xdr:colOff>
      <xdr:row>130</xdr:row>
      <xdr:rowOff>19050</xdr:rowOff>
    </xdr:from>
    <xdr:to>
      <xdr:col>8</xdr:col>
      <xdr:colOff>95250</xdr:colOff>
      <xdr:row>135</xdr:row>
      <xdr:rowOff>28575</xdr:rowOff>
    </xdr:to>
    <xdr:sp macro="" textlink="">
      <xdr:nvSpPr>
        <xdr:cNvPr id="29696" name="AutoShape 3">
          <a:extLst>
            <a:ext uri="{FF2B5EF4-FFF2-40B4-BE49-F238E27FC236}">
              <a16:creationId xmlns:a16="http://schemas.microsoft.com/office/drawing/2014/main" id="{00000000-0008-0000-0C00-000000740000}"/>
            </a:ext>
          </a:extLst>
        </xdr:cNvPr>
        <xdr:cNvSpPr>
          <a:spLocks/>
        </xdr:cNvSpPr>
      </xdr:nvSpPr>
      <xdr:spPr bwMode="auto">
        <a:xfrm>
          <a:off x="6115050" y="20802600"/>
          <a:ext cx="76200" cy="1657350"/>
        </a:xfrm>
        <a:prstGeom prst="rightBrace">
          <a:avLst>
            <a:gd name="adj1" fmla="val 18125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204</xdr:row>
      <xdr:rowOff>19050</xdr:rowOff>
    </xdr:from>
    <xdr:to>
      <xdr:col>7</xdr:col>
      <xdr:colOff>85725</xdr:colOff>
      <xdr:row>213</xdr:row>
      <xdr:rowOff>0</xdr:rowOff>
    </xdr:to>
    <xdr:sp macro="" textlink="">
      <xdr:nvSpPr>
        <xdr:cNvPr id="29697" name="AutoShape 4">
          <a:extLst>
            <a:ext uri="{FF2B5EF4-FFF2-40B4-BE49-F238E27FC236}">
              <a16:creationId xmlns:a16="http://schemas.microsoft.com/office/drawing/2014/main" id="{00000000-0008-0000-0C00-000001740000}"/>
            </a:ext>
          </a:extLst>
        </xdr:cNvPr>
        <xdr:cNvSpPr>
          <a:spLocks/>
        </xdr:cNvSpPr>
      </xdr:nvSpPr>
      <xdr:spPr bwMode="auto">
        <a:xfrm>
          <a:off x="5934075" y="31584900"/>
          <a:ext cx="66675" cy="1438275"/>
        </a:xfrm>
        <a:prstGeom prst="rightBrace">
          <a:avLst>
            <a:gd name="adj1" fmla="val 17976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28575</xdr:colOff>
      <xdr:row>197</xdr:row>
      <xdr:rowOff>19050</xdr:rowOff>
    </xdr:from>
    <xdr:to>
      <xdr:col>7</xdr:col>
      <xdr:colOff>85725</xdr:colOff>
      <xdr:row>202</xdr:row>
      <xdr:rowOff>133350</xdr:rowOff>
    </xdr:to>
    <xdr:sp macro="" textlink="">
      <xdr:nvSpPr>
        <xdr:cNvPr id="29698" name="AutoShape 5">
          <a:extLst>
            <a:ext uri="{FF2B5EF4-FFF2-40B4-BE49-F238E27FC236}">
              <a16:creationId xmlns:a16="http://schemas.microsoft.com/office/drawing/2014/main" id="{00000000-0008-0000-0C00-000002740000}"/>
            </a:ext>
          </a:extLst>
        </xdr:cNvPr>
        <xdr:cNvSpPr>
          <a:spLocks/>
        </xdr:cNvSpPr>
      </xdr:nvSpPr>
      <xdr:spPr bwMode="auto">
        <a:xfrm>
          <a:off x="5943600" y="30537150"/>
          <a:ext cx="57150" cy="923925"/>
        </a:xfrm>
        <a:prstGeom prst="rightBrace">
          <a:avLst>
            <a:gd name="adj1" fmla="val 13472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161</xdr:row>
      <xdr:rowOff>9525</xdr:rowOff>
    </xdr:from>
    <xdr:to>
      <xdr:col>7</xdr:col>
      <xdr:colOff>104775</xdr:colOff>
      <xdr:row>196</xdr:row>
      <xdr:rowOff>9525</xdr:rowOff>
    </xdr:to>
    <xdr:sp macro="" textlink="">
      <xdr:nvSpPr>
        <xdr:cNvPr id="29699" name="AutoShape 6">
          <a:extLst>
            <a:ext uri="{FF2B5EF4-FFF2-40B4-BE49-F238E27FC236}">
              <a16:creationId xmlns:a16="http://schemas.microsoft.com/office/drawing/2014/main" id="{00000000-0008-0000-0C00-000003740000}"/>
            </a:ext>
          </a:extLst>
        </xdr:cNvPr>
        <xdr:cNvSpPr>
          <a:spLocks/>
        </xdr:cNvSpPr>
      </xdr:nvSpPr>
      <xdr:spPr bwMode="auto">
        <a:xfrm>
          <a:off x="5924550" y="27051000"/>
          <a:ext cx="95250" cy="3400425"/>
        </a:xfrm>
        <a:prstGeom prst="rightBrace">
          <a:avLst>
            <a:gd name="adj1" fmla="val 2975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218</xdr:row>
      <xdr:rowOff>152400</xdr:rowOff>
    </xdr:from>
    <xdr:to>
      <xdr:col>7</xdr:col>
      <xdr:colOff>123825</xdr:colOff>
      <xdr:row>225</xdr:row>
      <xdr:rowOff>9525</xdr:rowOff>
    </xdr:to>
    <xdr:sp macro="" textlink="">
      <xdr:nvSpPr>
        <xdr:cNvPr id="29700" name="AutoShape 8">
          <a:extLst>
            <a:ext uri="{FF2B5EF4-FFF2-40B4-BE49-F238E27FC236}">
              <a16:creationId xmlns:a16="http://schemas.microsoft.com/office/drawing/2014/main" id="{00000000-0008-0000-0C00-000004740000}"/>
            </a:ext>
          </a:extLst>
        </xdr:cNvPr>
        <xdr:cNvSpPr>
          <a:spLocks/>
        </xdr:cNvSpPr>
      </xdr:nvSpPr>
      <xdr:spPr bwMode="auto">
        <a:xfrm>
          <a:off x="5962650" y="33994725"/>
          <a:ext cx="76200" cy="990600"/>
        </a:xfrm>
        <a:prstGeom prst="rightBrace">
          <a:avLst>
            <a:gd name="adj1" fmla="val 108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114</xdr:row>
      <xdr:rowOff>0</xdr:rowOff>
    </xdr:from>
    <xdr:to>
      <xdr:col>7</xdr:col>
      <xdr:colOff>85725</xdr:colOff>
      <xdr:row>117</xdr:row>
      <xdr:rowOff>123825</xdr:rowOff>
    </xdr:to>
    <xdr:sp macro="" textlink="">
      <xdr:nvSpPr>
        <xdr:cNvPr id="29701" name="AutoShape 9">
          <a:extLst>
            <a:ext uri="{FF2B5EF4-FFF2-40B4-BE49-F238E27FC236}">
              <a16:creationId xmlns:a16="http://schemas.microsoft.com/office/drawing/2014/main" id="{00000000-0008-0000-0C00-000005740000}"/>
            </a:ext>
          </a:extLst>
        </xdr:cNvPr>
        <xdr:cNvSpPr>
          <a:spLocks/>
        </xdr:cNvSpPr>
      </xdr:nvSpPr>
      <xdr:spPr bwMode="auto">
        <a:xfrm>
          <a:off x="5934075" y="17316450"/>
          <a:ext cx="66675" cy="609600"/>
        </a:xfrm>
        <a:prstGeom prst="rightBrace">
          <a:avLst>
            <a:gd name="adj1" fmla="val 7619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77</xdr:row>
      <xdr:rowOff>0</xdr:rowOff>
    </xdr:from>
    <xdr:to>
      <xdr:col>7</xdr:col>
      <xdr:colOff>123825</xdr:colOff>
      <xdr:row>111</xdr:row>
      <xdr:rowOff>9525</xdr:rowOff>
    </xdr:to>
    <xdr:sp macro="" textlink="">
      <xdr:nvSpPr>
        <xdr:cNvPr id="29702" name="AutoShape 10">
          <a:extLst>
            <a:ext uri="{FF2B5EF4-FFF2-40B4-BE49-F238E27FC236}">
              <a16:creationId xmlns:a16="http://schemas.microsoft.com/office/drawing/2014/main" id="{00000000-0008-0000-0C00-000006740000}"/>
            </a:ext>
          </a:extLst>
        </xdr:cNvPr>
        <xdr:cNvSpPr>
          <a:spLocks/>
        </xdr:cNvSpPr>
      </xdr:nvSpPr>
      <xdr:spPr bwMode="auto">
        <a:xfrm>
          <a:off x="5962650" y="13658850"/>
          <a:ext cx="76200" cy="3248025"/>
        </a:xfrm>
        <a:prstGeom prst="rightBrace">
          <a:avLst>
            <a:gd name="adj1" fmla="val 35520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4</xdr:row>
      <xdr:rowOff>9525</xdr:rowOff>
    </xdr:from>
    <xdr:to>
      <xdr:col>9</xdr:col>
      <xdr:colOff>0</xdr:colOff>
      <xdr:row>13</xdr:row>
      <xdr:rowOff>38100</xdr:rowOff>
    </xdr:to>
    <xdr:sp macro="" textlink="">
      <xdr:nvSpPr>
        <xdr:cNvPr id="9227" name="Text Box 11">
          <a:extLst>
            <a:ext uri="{FF2B5EF4-FFF2-40B4-BE49-F238E27FC236}">
              <a16:creationId xmlns:a16="http://schemas.microsoft.com/office/drawing/2014/main" id="{00000000-0008-0000-0C00-00000B240000}"/>
            </a:ext>
          </a:extLst>
        </xdr:cNvPr>
        <xdr:cNvSpPr txBox="1">
          <a:spLocks noChangeArrowheads="1"/>
        </xdr:cNvSpPr>
      </xdr:nvSpPr>
      <xdr:spPr bwMode="auto">
        <a:xfrm>
          <a:off x="247650" y="771525"/>
          <a:ext cx="8248650" cy="14859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This worksheet prepares the allocation of internal service funds using the Look-back approach. Internal service funds should generally operate on a breakeven basis. Therefore when a profit or loss results from internal transactions, it should be allocated back to the funds involved based on their percentage of participation. If the Internal Service fund had a net loss, the allocation would result in a corresponding increase in expenses. Any adjustments arising from these calculations are not intended to be posted to the general ledger. They should be treated as reporting entries for purposes of reporting on the government-wide statements and will be posted only to the conversion worksheet. A separate worksheet should be prepared for each individual internal service fund. Three worksheets for internal service fund allocation have been provided and mapped to the conversion worksheet.  If more copies are needed then their resulting entries will require an entry (and mapping) to the conversion worksheet or you may choose to enter the entries directly into the yellow "Misc. Entries" column (be careful not to overwrite the data mapped from the other internal service funds.) </a:t>
          </a:r>
          <a:r>
            <a:rPr lang="en-US" sz="1000" b="0" i="0" u="none" strike="noStrike" baseline="0">
              <a:solidFill>
                <a:srgbClr val="FF0000"/>
              </a:solidFill>
              <a:latin typeface="Arial"/>
              <a:cs typeface="Arial"/>
            </a:rPr>
            <a:t>[See City of Dogwood for an example.] </a:t>
          </a:r>
          <a:r>
            <a:rPr lang="en-US" sz="1000" b="0" i="0" u="none" strike="noStrike" baseline="0">
              <a:solidFill>
                <a:srgbClr val="000000"/>
              </a:solidFill>
              <a:latin typeface="Arial"/>
              <a:cs typeface="Arial"/>
            </a:rPr>
            <a:t>      </a:t>
          </a: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2</xdr:col>
      <xdr:colOff>9525</xdr:colOff>
      <xdr:row>16</xdr:row>
      <xdr:rowOff>47625</xdr:rowOff>
    </xdr:from>
    <xdr:to>
      <xdr:col>9</xdr:col>
      <xdr:colOff>9525</xdr:colOff>
      <xdr:row>22</xdr:row>
      <xdr:rowOff>0</xdr:rowOff>
    </xdr:to>
    <xdr:sp macro="" textlink="">
      <xdr:nvSpPr>
        <xdr:cNvPr id="9228" name="Text Box 12">
          <a:extLst>
            <a:ext uri="{FF2B5EF4-FFF2-40B4-BE49-F238E27FC236}">
              <a16:creationId xmlns:a16="http://schemas.microsoft.com/office/drawing/2014/main" id="{00000000-0008-0000-0C00-00000C240000}"/>
            </a:ext>
          </a:extLst>
        </xdr:cNvPr>
        <xdr:cNvSpPr txBox="1">
          <a:spLocks noChangeArrowheads="1"/>
        </xdr:cNvSpPr>
      </xdr:nvSpPr>
      <xdr:spPr bwMode="auto">
        <a:xfrm>
          <a:off x="390525" y="2914650"/>
          <a:ext cx="8115300" cy="81915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Enter the amounts in Step B for the permanent balance sheet accounts for the given internal service fund. These amounts will be posted to the governmental activity column as determined in Step A to be the primary beneficiary of the internal service fund's activities. This worksheet will handle only those funds determined to benefit governmental activities. In step 2 of Section B enter the amounts that must be excluded from the allocation. These amounts come directly from the fund statements. Also, in step 3 enter the change in net position from the income statement for the fund being allocated.</a:t>
          </a:r>
        </a:p>
        <a:p>
          <a:pPr algn="l" rtl="0">
            <a:defRPr sz="1000"/>
          </a:pPr>
          <a:endParaRPr lang="en-US"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9525</xdr:colOff>
      <xdr:row>131</xdr:row>
      <xdr:rowOff>0</xdr:rowOff>
    </xdr:from>
    <xdr:to>
      <xdr:col>7</xdr:col>
      <xdr:colOff>95250</xdr:colOff>
      <xdr:row>131</xdr:row>
      <xdr:rowOff>0</xdr:rowOff>
    </xdr:to>
    <xdr:sp macro="" textlink="">
      <xdr:nvSpPr>
        <xdr:cNvPr id="27441" name="AutoShape 1">
          <a:extLst>
            <a:ext uri="{FF2B5EF4-FFF2-40B4-BE49-F238E27FC236}">
              <a16:creationId xmlns:a16="http://schemas.microsoft.com/office/drawing/2014/main" id="{00000000-0008-0000-0D00-0000316B0000}"/>
            </a:ext>
          </a:extLst>
        </xdr:cNvPr>
        <xdr:cNvSpPr>
          <a:spLocks/>
        </xdr:cNvSpPr>
      </xdr:nvSpPr>
      <xdr:spPr bwMode="auto">
        <a:xfrm>
          <a:off x="5924550" y="22564725"/>
          <a:ext cx="85725"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19050</xdr:colOff>
      <xdr:row>125</xdr:row>
      <xdr:rowOff>19050</xdr:rowOff>
    </xdr:from>
    <xdr:to>
      <xdr:col>8</xdr:col>
      <xdr:colOff>95250</xdr:colOff>
      <xdr:row>130</xdr:row>
      <xdr:rowOff>28575</xdr:rowOff>
    </xdr:to>
    <xdr:sp macro="" textlink="">
      <xdr:nvSpPr>
        <xdr:cNvPr id="27442" name="AutoShape 2">
          <a:extLst>
            <a:ext uri="{FF2B5EF4-FFF2-40B4-BE49-F238E27FC236}">
              <a16:creationId xmlns:a16="http://schemas.microsoft.com/office/drawing/2014/main" id="{00000000-0008-0000-0D00-0000326B0000}"/>
            </a:ext>
          </a:extLst>
        </xdr:cNvPr>
        <xdr:cNvSpPr>
          <a:spLocks/>
        </xdr:cNvSpPr>
      </xdr:nvSpPr>
      <xdr:spPr bwMode="auto">
        <a:xfrm>
          <a:off x="6115050" y="20774025"/>
          <a:ext cx="76200" cy="1657350"/>
        </a:xfrm>
        <a:prstGeom prst="rightBrace">
          <a:avLst>
            <a:gd name="adj1" fmla="val 18125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199</xdr:row>
      <xdr:rowOff>19050</xdr:rowOff>
    </xdr:from>
    <xdr:to>
      <xdr:col>7</xdr:col>
      <xdr:colOff>85725</xdr:colOff>
      <xdr:row>208</xdr:row>
      <xdr:rowOff>0</xdr:rowOff>
    </xdr:to>
    <xdr:sp macro="" textlink="">
      <xdr:nvSpPr>
        <xdr:cNvPr id="27443" name="AutoShape 3">
          <a:extLst>
            <a:ext uri="{FF2B5EF4-FFF2-40B4-BE49-F238E27FC236}">
              <a16:creationId xmlns:a16="http://schemas.microsoft.com/office/drawing/2014/main" id="{00000000-0008-0000-0D00-0000336B0000}"/>
            </a:ext>
          </a:extLst>
        </xdr:cNvPr>
        <xdr:cNvSpPr>
          <a:spLocks/>
        </xdr:cNvSpPr>
      </xdr:nvSpPr>
      <xdr:spPr bwMode="auto">
        <a:xfrm>
          <a:off x="5934075" y="31546800"/>
          <a:ext cx="66675" cy="1438275"/>
        </a:xfrm>
        <a:prstGeom prst="rightBrace">
          <a:avLst>
            <a:gd name="adj1" fmla="val 17976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28575</xdr:colOff>
      <xdr:row>192</xdr:row>
      <xdr:rowOff>19050</xdr:rowOff>
    </xdr:from>
    <xdr:to>
      <xdr:col>7</xdr:col>
      <xdr:colOff>85725</xdr:colOff>
      <xdr:row>197</xdr:row>
      <xdr:rowOff>133350</xdr:rowOff>
    </xdr:to>
    <xdr:sp macro="" textlink="">
      <xdr:nvSpPr>
        <xdr:cNvPr id="27444" name="AutoShape 4">
          <a:extLst>
            <a:ext uri="{FF2B5EF4-FFF2-40B4-BE49-F238E27FC236}">
              <a16:creationId xmlns:a16="http://schemas.microsoft.com/office/drawing/2014/main" id="{00000000-0008-0000-0D00-0000346B0000}"/>
            </a:ext>
          </a:extLst>
        </xdr:cNvPr>
        <xdr:cNvSpPr>
          <a:spLocks/>
        </xdr:cNvSpPr>
      </xdr:nvSpPr>
      <xdr:spPr bwMode="auto">
        <a:xfrm>
          <a:off x="5943600" y="30499050"/>
          <a:ext cx="57150" cy="923925"/>
        </a:xfrm>
        <a:prstGeom prst="rightBrace">
          <a:avLst>
            <a:gd name="adj1" fmla="val 13472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156</xdr:row>
      <xdr:rowOff>9525</xdr:rowOff>
    </xdr:from>
    <xdr:to>
      <xdr:col>7</xdr:col>
      <xdr:colOff>104775</xdr:colOff>
      <xdr:row>191</xdr:row>
      <xdr:rowOff>9525</xdr:rowOff>
    </xdr:to>
    <xdr:sp macro="" textlink="">
      <xdr:nvSpPr>
        <xdr:cNvPr id="27445" name="AutoShape 5">
          <a:extLst>
            <a:ext uri="{FF2B5EF4-FFF2-40B4-BE49-F238E27FC236}">
              <a16:creationId xmlns:a16="http://schemas.microsoft.com/office/drawing/2014/main" id="{00000000-0008-0000-0D00-0000356B0000}"/>
            </a:ext>
          </a:extLst>
        </xdr:cNvPr>
        <xdr:cNvSpPr>
          <a:spLocks/>
        </xdr:cNvSpPr>
      </xdr:nvSpPr>
      <xdr:spPr bwMode="auto">
        <a:xfrm>
          <a:off x="5924550" y="27012900"/>
          <a:ext cx="95250" cy="3400425"/>
        </a:xfrm>
        <a:prstGeom prst="rightBrace">
          <a:avLst>
            <a:gd name="adj1" fmla="val 2975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213</xdr:row>
      <xdr:rowOff>152400</xdr:rowOff>
    </xdr:from>
    <xdr:to>
      <xdr:col>7</xdr:col>
      <xdr:colOff>123825</xdr:colOff>
      <xdr:row>220</xdr:row>
      <xdr:rowOff>9525</xdr:rowOff>
    </xdr:to>
    <xdr:sp macro="" textlink="">
      <xdr:nvSpPr>
        <xdr:cNvPr id="27446" name="AutoShape 6">
          <a:extLst>
            <a:ext uri="{FF2B5EF4-FFF2-40B4-BE49-F238E27FC236}">
              <a16:creationId xmlns:a16="http://schemas.microsoft.com/office/drawing/2014/main" id="{00000000-0008-0000-0D00-0000366B0000}"/>
            </a:ext>
          </a:extLst>
        </xdr:cNvPr>
        <xdr:cNvSpPr>
          <a:spLocks/>
        </xdr:cNvSpPr>
      </xdr:nvSpPr>
      <xdr:spPr bwMode="auto">
        <a:xfrm>
          <a:off x="5962650" y="33956625"/>
          <a:ext cx="76200" cy="990600"/>
        </a:xfrm>
        <a:prstGeom prst="rightBrace">
          <a:avLst>
            <a:gd name="adj1" fmla="val 108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109</xdr:row>
      <xdr:rowOff>0</xdr:rowOff>
    </xdr:from>
    <xdr:to>
      <xdr:col>7</xdr:col>
      <xdr:colOff>85725</xdr:colOff>
      <xdr:row>112</xdr:row>
      <xdr:rowOff>123825</xdr:rowOff>
    </xdr:to>
    <xdr:sp macro="" textlink="">
      <xdr:nvSpPr>
        <xdr:cNvPr id="27447" name="AutoShape 7">
          <a:extLst>
            <a:ext uri="{FF2B5EF4-FFF2-40B4-BE49-F238E27FC236}">
              <a16:creationId xmlns:a16="http://schemas.microsoft.com/office/drawing/2014/main" id="{00000000-0008-0000-0D00-0000376B0000}"/>
            </a:ext>
          </a:extLst>
        </xdr:cNvPr>
        <xdr:cNvSpPr>
          <a:spLocks/>
        </xdr:cNvSpPr>
      </xdr:nvSpPr>
      <xdr:spPr bwMode="auto">
        <a:xfrm>
          <a:off x="5934075" y="17154525"/>
          <a:ext cx="66675" cy="609600"/>
        </a:xfrm>
        <a:prstGeom prst="rightBrace">
          <a:avLst>
            <a:gd name="adj1" fmla="val 7619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72</xdr:row>
      <xdr:rowOff>0</xdr:rowOff>
    </xdr:from>
    <xdr:to>
      <xdr:col>7</xdr:col>
      <xdr:colOff>123825</xdr:colOff>
      <xdr:row>106</xdr:row>
      <xdr:rowOff>9525</xdr:rowOff>
    </xdr:to>
    <xdr:sp macro="" textlink="">
      <xdr:nvSpPr>
        <xdr:cNvPr id="27448" name="AutoShape 8">
          <a:extLst>
            <a:ext uri="{FF2B5EF4-FFF2-40B4-BE49-F238E27FC236}">
              <a16:creationId xmlns:a16="http://schemas.microsoft.com/office/drawing/2014/main" id="{00000000-0008-0000-0D00-0000386B0000}"/>
            </a:ext>
          </a:extLst>
        </xdr:cNvPr>
        <xdr:cNvSpPr>
          <a:spLocks/>
        </xdr:cNvSpPr>
      </xdr:nvSpPr>
      <xdr:spPr bwMode="auto">
        <a:xfrm>
          <a:off x="5962650" y="13496925"/>
          <a:ext cx="76200" cy="3248025"/>
        </a:xfrm>
        <a:prstGeom prst="rightBrace">
          <a:avLst>
            <a:gd name="adj1" fmla="val 35520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217170</xdr:colOff>
      <xdr:row>4</xdr:row>
      <xdr:rowOff>0</xdr:rowOff>
    </xdr:from>
    <xdr:to>
      <xdr:col>8</xdr:col>
      <xdr:colOff>2392680</xdr:colOff>
      <xdr:row>13</xdr:row>
      <xdr:rowOff>0</xdr:rowOff>
    </xdr:to>
    <xdr:sp macro="" textlink="">
      <xdr:nvSpPr>
        <xdr:cNvPr id="20489" name="Text Box 9">
          <a:extLst>
            <a:ext uri="{FF2B5EF4-FFF2-40B4-BE49-F238E27FC236}">
              <a16:creationId xmlns:a16="http://schemas.microsoft.com/office/drawing/2014/main" id="{00000000-0008-0000-0D00-000009500000}"/>
            </a:ext>
          </a:extLst>
        </xdr:cNvPr>
        <xdr:cNvSpPr txBox="1">
          <a:spLocks noChangeArrowheads="1"/>
        </xdr:cNvSpPr>
      </xdr:nvSpPr>
      <xdr:spPr bwMode="auto">
        <a:xfrm>
          <a:off x="219075" y="762000"/>
          <a:ext cx="8267700" cy="1457325"/>
        </a:xfrm>
        <a:prstGeom prst="rect">
          <a:avLst/>
        </a:prstGeom>
        <a:solidFill>
          <a:srgbClr val="FFFFFF"/>
        </a:solidFill>
        <a:ln w="9525">
          <a:noFill/>
          <a:miter lim="800000"/>
          <a:headEnd/>
          <a:tailEnd/>
        </a:ln>
      </xdr:spPr>
      <xdr:txBody>
        <a:bodyPr vertOverflow="clip" wrap="square" lIns="27432" tIns="22860" rIns="0" bIns="0" anchor="t" upright="1"/>
        <a:lstStyle/>
        <a:p>
          <a:pPr algn="l" rtl="0">
            <a:lnSpc>
              <a:spcPts val="1100"/>
            </a:lnSpc>
            <a:defRPr sz="1000"/>
          </a:pPr>
          <a:r>
            <a:rPr lang="en-US" sz="1000" b="0" i="0" u="none" strike="noStrike" baseline="0">
              <a:solidFill>
                <a:srgbClr val="000000"/>
              </a:solidFill>
              <a:latin typeface="Arial"/>
              <a:cs typeface="Arial"/>
            </a:rPr>
            <a:t>This worksheet prepares the allocation of internal service funds using the Look-back approach. Internal service funds should generally operate on a breakeven basis. Therefore when a profit or loss results from internal transactions, it should be allocated back to the funds involved based on their percentage of participation. If the Internal Service fund had a net loss, the allocation would result in a corresponding increase in expenses. Any adjustments arising from these calculations are not intended to be posted to the general ledger. They should be treated as reporting entries for purposes of reporting on the government-wide statements and will be posted only to the conversion worksheet. A separate worksheet should be prepared for each individual internal service fund. Three worksheets for internal service fund allocation have been provided and mapped to the conversion worksheet. If more copies are needed then their resulting entries will required an entry (and mapping) to the conversion worksheet or you may choose to enter the entries directly into the yellow "Misc. Entries" column (be careful not to overwrite the data mapped from the other internal service funds.)       </a:t>
          </a:r>
        </a:p>
        <a:p>
          <a:pPr algn="l" rtl="0">
            <a:defRPr sz="1000"/>
          </a:pPr>
          <a:endParaRPr lang="en-US"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9525</xdr:colOff>
      <xdr:row>133</xdr:row>
      <xdr:rowOff>0</xdr:rowOff>
    </xdr:from>
    <xdr:to>
      <xdr:col>7</xdr:col>
      <xdr:colOff>95250</xdr:colOff>
      <xdr:row>133</xdr:row>
      <xdr:rowOff>0</xdr:rowOff>
    </xdr:to>
    <xdr:sp macro="" textlink="">
      <xdr:nvSpPr>
        <xdr:cNvPr id="28465" name="AutoShape 1">
          <a:extLst>
            <a:ext uri="{FF2B5EF4-FFF2-40B4-BE49-F238E27FC236}">
              <a16:creationId xmlns:a16="http://schemas.microsoft.com/office/drawing/2014/main" id="{00000000-0008-0000-0E00-0000316F0000}"/>
            </a:ext>
          </a:extLst>
        </xdr:cNvPr>
        <xdr:cNvSpPr>
          <a:spLocks/>
        </xdr:cNvSpPr>
      </xdr:nvSpPr>
      <xdr:spPr bwMode="auto">
        <a:xfrm>
          <a:off x="5924550" y="22688550"/>
          <a:ext cx="85725"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19050</xdr:colOff>
      <xdr:row>127</xdr:row>
      <xdr:rowOff>19050</xdr:rowOff>
    </xdr:from>
    <xdr:to>
      <xdr:col>8</xdr:col>
      <xdr:colOff>95250</xdr:colOff>
      <xdr:row>132</xdr:row>
      <xdr:rowOff>28575</xdr:rowOff>
    </xdr:to>
    <xdr:sp macro="" textlink="">
      <xdr:nvSpPr>
        <xdr:cNvPr id="28466" name="AutoShape 2">
          <a:extLst>
            <a:ext uri="{FF2B5EF4-FFF2-40B4-BE49-F238E27FC236}">
              <a16:creationId xmlns:a16="http://schemas.microsoft.com/office/drawing/2014/main" id="{00000000-0008-0000-0E00-0000326F0000}"/>
            </a:ext>
          </a:extLst>
        </xdr:cNvPr>
        <xdr:cNvSpPr>
          <a:spLocks/>
        </xdr:cNvSpPr>
      </xdr:nvSpPr>
      <xdr:spPr bwMode="auto">
        <a:xfrm>
          <a:off x="6115050" y="20878800"/>
          <a:ext cx="76200" cy="1676400"/>
        </a:xfrm>
        <a:prstGeom prst="rightBrace">
          <a:avLst>
            <a:gd name="adj1" fmla="val 18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203</xdr:row>
      <xdr:rowOff>19050</xdr:rowOff>
    </xdr:from>
    <xdr:to>
      <xdr:col>7</xdr:col>
      <xdr:colOff>85725</xdr:colOff>
      <xdr:row>212</xdr:row>
      <xdr:rowOff>0</xdr:rowOff>
    </xdr:to>
    <xdr:sp macro="" textlink="">
      <xdr:nvSpPr>
        <xdr:cNvPr id="28467" name="AutoShape 3">
          <a:extLst>
            <a:ext uri="{FF2B5EF4-FFF2-40B4-BE49-F238E27FC236}">
              <a16:creationId xmlns:a16="http://schemas.microsoft.com/office/drawing/2014/main" id="{00000000-0008-0000-0E00-0000336F0000}"/>
            </a:ext>
          </a:extLst>
        </xdr:cNvPr>
        <xdr:cNvSpPr>
          <a:spLocks/>
        </xdr:cNvSpPr>
      </xdr:nvSpPr>
      <xdr:spPr bwMode="auto">
        <a:xfrm>
          <a:off x="5934075" y="31670625"/>
          <a:ext cx="66675" cy="1438275"/>
        </a:xfrm>
        <a:prstGeom prst="rightBrace">
          <a:avLst>
            <a:gd name="adj1" fmla="val 17976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28575</xdr:colOff>
      <xdr:row>196</xdr:row>
      <xdr:rowOff>19050</xdr:rowOff>
    </xdr:from>
    <xdr:to>
      <xdr:col>7</xdr:col>
      <xdr:colOff>85725</xdr:colOff>
      <xdr:row>201</xdr:row>
      <xdr:rowOff>133350</xdr:rowOff>
    </xdr:to>
    <xdr:sp macro="" textlink="">
      <xdr:nvSpPr>
        <xdr:cNvPr id="28468" name="AutoShape 4">
          <a:extLst>
            <a:ext uri="{FF2B5EF4-FFF2-40B4-BE49-F238E27FC236}">
              <a16:creationId xmlns:a16="http://schemas.microsoft.com/office/drawing/2014/main" id="{00000000-0008-0000-0E00-0000346F0000}"/>
            </a:ext>
          </a:extLst>
        </xdr:cNvPr>
        <xdr:cNvSpPr>
          <a:spLocks/>
        </xdr:cNvSpPr>
      </xdr:nvSpPr>
      <xdr:spPr bwMode="auto">
        <a:xfrm>
          <a:off x="5943600" y="30622875"/>
          <a:ext cx="57150" cy="923925"/>
        </a:xfrm>
        <a:prstGeom prst="rightBrace">
          <a:avLst>
            <a:gd name="adj1" fmla="val 13472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158</xdr:row>
      <xdr:rowOff>9525</xdr:rowOff>
    </xdr:from>
    <xdr:to>
      <xdr:col>7</xdr:col>
      <xdr:colOff>104775</xdr:colOff>
      <xdr:row>195</xdr:row>
      <xdr:rowOff>9525</xdr:rowOff>
    </xdr:to>
    <xdr:sp macro="" textlink="">
      <xdr:nvSpPr>
        <xdr:cNvPr id="28469" name="AutoShape 5">
          <a:extLst>
            <a:ext uri="{FF2B5EF4-FFF2-40B4-BE49-F238E27FC236}">
              <a16:creationId xmlns:a16="http://schemas.microsoft.com/office/drawing/2014/main" id="{00000000-0008-0000-0E00-0000356F0000}"/>
            </a:ext>
          </a:extLst>
        </xdr:cNvPr>
        <xdr:cNvSpPr>
          <a:spLocks/>
        </xdr:cNvSpPr>
      </xdr:nvSpPr>
      <xdr:spPr bwMode="auto">
        <a:xfrm>
          <a:off x="5924550" y="27136725"/>
          <a:ext cx="95250" cy="3400425"/>
        </a:xfrm>
        <a:prstGeom prst="rightBrace">
          <a:avLst>
            <a:gd name="adj1" fmla="val 2975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217</xdr:row>
      <xdr:rowOff>152400</xdr:rowOff>
    </xdr:from>
    <xdr:to>
      <xdr:col>7</xdr:col>
      <xdr:colOff>123825</xdr:colOff>
      <xdr:row>224</xdr:row>
      <xdr:rowOff>9525</xdr:rowOff>
    </xdr:to>
    <xdr:sp macro="" textlink="">
      <xdr:nvSpPr>
        <xdr:cNvPr id="28470" name="AutoShape 6">
          <a:extLst>
            <a:ext uri="{FF2B5EF4-FFF2-40B4-BE49-F238E27FC236}">
              <a16:creationId xmlns:a16="http://schemas.microsoft.com/office/drawing/2014/main" id="{00000000-0008-0000-0E00-0000366F0000}"/>
            </a:ext>
          </a:extLst>
        </xdr:cNvPr>
        <xdr:cNvSpPr>
          <a:spLocks/>
        </xdr:cNvSpPr>
      </xdr:nvSpPr>
      <xdr:spPr bwMode="auto">
        <a:xfrm>
          <a:off x="5962650" y="34080450"/>
          <a:ext cx="76200" cy="1114425"/>
        </a:xfrm>
        <a:prstGeom prst="rightBrace">
          <a:avLst>
            <a:gd name="adj1" fmla="val 1218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111</xdr:row>
      <xdr:rowOff>0</xdr:rowOff>
    </xdr:from>
    <xdr:to>
      <xdr:col>7</xdr:col>
      <xdr:colOff>85725</xdr:colOff>
      <xdr:row>114</xdr:row>
      <xdr:rowOff>123825</xdr:rowOff>
    </xdr:to>
    <xdr:sp macro="" textlink="">
      <xdr:nvSpPr>
        <xdr:cNvPr id="28471" name="AutoShape 7">
          <a:extLst>
            <a:ext uri="{FF2B5EF4-FFF2-40B4-BE49-F238E27FC236}">
              <a16:creationId xmlns:a16="http://schemas.microsoft.com/office/drawing/2014/main" id="{00000000-0008-0000-0E00-0000376F0000}"/>
            </a:ext>
          </a:extLst>
        </xdr:cNvPr>
        <xdr:cNvSpPr>
          <a:spLocks/>
        </xdr:cNvSpPr>
      </xdr:nvSpPr>
      <xdr:spPr bwMode="auto">
        <a:xfrm>
          <a:off x="5934075" y="17316450"/>
          <a:ext cx="66675" cy="609600"/>
        </a:xfrm>
        <a:prstGeom prst="rightBrace">
          <a:avLst>
            <a:gd name="adj1" fmla="val 7619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72</xdr:row>
      <xdr:rowOff>0</xdr:rowOff>
    </xdr:from>
    <xdr:to>
      <xdr:col>7</xdr:col>
      <xdr:colOff>123825</xdr:colOff>
      <xdr:row>108</xdr:row>
      <xdr:rowOff>9525</xdr:rowOff>
    </xdr:to>
    <xdr:sp macro="" textlink="">
      <xdr:nvSpPr>
        <xdr:cNvPr id="28472" name="AutoShape 8">
          <a:extLst>
            <a:ext uri="{FF2B5EF4-FFF2-40B4-BE49-F238E27FC236}">
              <a16:creationId xmlns:a16="http://schemas.microsoft.com/office/drawing/2014/main" id="{00000000-0008-0000-0E00-0000386F0000}"/>
            </a:ext>
          </a:extLst>
        </xdr:cNvPr>
        <xdr:cNvSpPr>
          <a:spLocks/>
        </xdr:cNvSpPr>
      </xdr:nvSpPr>
      <xdr:spPr bwMode="auto">
        <a:xfrm>
          <a:off x="5962650" y="13658850"/>
          <a:ext cx="76200" cy="3248025"/>
        </a:xfrm>
        <a:prstGeom prst="rightBrace">
          <a:avLst>
            <a:gd name="adj1" fmla="val 35520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3</xdr:row>
      <xdr:rowOff>1457325</xdr:rowOff>
    </xdr:from>
    <xdr:to>
      <xdr:col>9</xdr:col>
      <xdr:colOff>9525</xdr:colOff>
      <xdr:row>13</xdr:row>
      <xdr:rowOff>0</xdr:rowOff>
    </xdr:to>
    <xdr:sp macro="" textlink="">
      <xdr:nvSpPr>
        <xdr:cNvPr id="21513" name="Text Box 9">
          <a:extLst>
            <a:ext uri="{FF2B5EF4-FFF2-40B4-BE49-F238E27FC236}">
              <a16:creationId xmlns:a16="http://schemas.microsoft.com/office/drawing/2014/main" id="{00000000-0008-0000-0E00-000009540000}"/>
            </a:ext>
          </a:extLst>
        </xdr:cNvPr>
        <xdr:cNvSpPr txBox="1">
          <a:spLocks noChangeArrowheads="1"/>
        </xdr:cNvSpPr>
      </xdr:nvSpPr>
      <xdr:spPr bwMode="auto">
        <a:xfrm>
          <a:off x="238125" y="742950"/>
          <a:ext cx="8267700" cy="14573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This worksheet prepares the allocation of internal service funds using the Look-back approach. Internal service funds should generally operate on a breakeven basis. Therefore when a profit or loss results from internal transactions, it should be allocated back to the funds involved based on their percentage of participation. If the Internal Service fund had a net loss, the allocation would result in a corresponding increase in expenses. Any adjustments arising from these calculations are not intended to be posted to the general ledger. They should be treated as reporting entries for purposes of reporting on the government-wide statements and will be posted only to the conversion worksheet. A separate worksheet should be prepared for each individual internal service fund. Three worksheets for internal service fund allocation have been provided and mapped to the conversion worksheet. If more copies are needed then their resulting entries will require an entry (and mapping) to the conversion worksheet or you may choose to enter the entries directly into the yellow "Misc. Entries" column (be careful  not to overwrite the data mapped from the other internal service funds.)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47625</xdr:colOff>
      <xdr:row>195</xdr:row>
      <xdr:rowOff>0</xdr:rowOff>
    </xdr:from>
    <xdr:to>
      <xdr:col>12</xdr:col>
      <xdr:colOff>114300</xdr:colOff>
      <xdr:row>202</xdr:row>
      <xdr:rowOff>9525</xdr:rowOff>
    </xdr:to>
    <xdr:sp macro="" textlink="">
      <xdr:nvSpPr>
        <xdr:cNvPr id="29490" name="AutoShape 2">
          <a:extLst>
            <a:ext uri="{FF2B5EF4-FFF2-40B4-BE49-F238E27FC236}">
              <a16:creationId xmlns:a16="http://schemas.microsoft.com/office/drawing/2014/main" id="{00000000-0008-0000-0F00-000032730000}"/>
            </a:ext>
          </a:extLst>
        </xdr:cNvPr>
        <xdr:cNvSpPr>
          <a:spLocks/>
        </xdr:cNvSpPr>
      </xdr:nvSpPr>
      <xdr:spPr bwMode="auto">
        <a:xfrm>
          <a:off x="6972300" y="37709475"/>
          <a:ext cx="66675" cy="1038225"/>
        </a:xfrm>
        <a:prstGeom prst="rightBrace">
          <a:avLst>
            <a:gd name="adj1" fmla="val 12976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38100</xdr:colOff>
      <xdr:row>203</xdr:row>
      <xdr:rowOff>9525</xdr:rowOff>
    </xdr:from>
    <xdr:to>
      <xdr:col>12</xdr:col>
      <xdr:colOff>95250</xdr:colOff>
      <xdr:row>207</xdr:row>
      <xdr:rowOff>133350</xdr:rowOff>
    </xdr:to>
    <xdr:sp macro="" textlink="">
      <xdr:nvSpPr>
        <xdr:cNvPr id="29491" name="AutoShape 3">
          <a:extLst>
            <a:ext uri="{FF2B5EF4-FFF2-40B4-BE49-F238E27FC236}">
              <a16:creationId xmlns:a16="http://schemas.microsoft.com/office/drawing/2014/main" id="{00000000-0008-0000-0F00-000033730000}"/>
            </a:ext>
          </a:extLst>
        </xdr:cNvPr>
        <xdr:cNvSpPr>
          <a:spLocks/>
        </xdr:cNvSpPr>
      </xdr:nvSpPr>
      <xdr:spPr bwMode="auto">
        <a:xfrm>
          <a:off x="6962775" y="38804850"/>
          <a:ext cx="57150" cy="771525"/>
        </a:xfrm>
        <a:prstGeom prst="rightBrace">
          <a:avLst>
            <a:gd name="adj1" fmla="val 1125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1057275</xdr:colOff>
      <xdr:row>209</xdr:row>
      <xdr:rowOff>9525</xdr:rowOff>
    </xdr:from>
    <xdr:to>
      <xdr:col>13</xdr:col>
      <xdr:colOff>9525</xdr:colOff>
      <xdr:row>212</xdr:row>
      <xdr:rowOff>142875</xdr:rowOff>
    </xdr:to>
    <xdr:sp macro="" textlink="">
      <xdr:nvSpPr>
        <xdr:cNvPr id="29492" name="AutoShape 5">
          <a:extLst>
            <a:ext uri="{FF2B5EF4-FFF2-40B4-BE49-F238E27FC236}">
              <a16:creationId xmlns:a16="http://schemas.microsoft.com/office/drawing/2014/main" id="{00000000-0008-0000-0F00-000034730000}"/>
            </a:ext>
          </a:extLst>
        </xdr:cNvPr>
        <xdr:cNvSpPr>
          <a:spLocks/>
        </xdr:cNvSpPr>
      </xdr:nvSpPr>
      <xdr:spPr bwMode="auto">
        <a:xfrm>
          <a:off x="6877050" y="39662100"/>
          <a:ext cx="200025" cy="619125"/>
        </a:xfrm>
        <a:prstGeom prst="rightBrace">
          <a:avLst>
            <a:gd name="adj1" fmla="val 2579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19050</xdr:colOff>
      <xdr:row>214</xdr:row>
      <xdr:rowOff>0</xdr:rowOff>
    </xdr:from>
    <xdr:to>
      <xdr:col>12</xdr:col>
      <xdr:colOff>104775</xdr:colOff>
      <xdr:row>218</xdr:row>
      <xdr:rowOff>0</xdr:rowOff>
    </xdr:to>
    <xdr:sp macro="" textlink="">
      <xdr:nvSpPr>
        <xdr:cNvPr id="29493" name="AutoShape 6">
          <a:extLst>
            <a:ext uri="{FF2B5EF4-FFF2-40B4-BE49-F238E27FC236}">
              <a16:creationId xmlns:a16="http://schemas.microsoft.com/office/drawing/2014/main" id="{00000000-0008-0000-0F00-000035730000}"/>
            </a:ext>
          </a:extLst>
        </xdr:cNvPr>
        <xdr:cNvSpPr>
          <a:spLocks/>
        </xdr:cNvSpPr>
      </xdr:nvSpPr>
      <xdr:spPr bwMode="auto">
        <a:xfrm>
          <a:off x="6943725" y="40366950"/>
          <a:ext cx="85725" cy="647700"/>
        </a:xfrm>
        <a:prstGeom prst="rightBrace">
          <a:avLst>
            <a:gd name="adj1" fmla="val 6296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19050</xdr:colOff>
      <xdr:row>236</xdr:row>
      <xdr:rowOff>9525</xdr:rowOff>
    </xdr:from>
    <xdr:to>
      <xdr:col>12</xdr:col>
      <xdr:colOff>95250</xdr:colOff>
      <xdr:row>264</xdr:row>
      <xdr:rowOff>123825</xdr:rowOff>
    </xdr:to>
    <xdr:sp macro="" textlink="">
      <xdr:nvSpPr>
        <xdr:cNvPr id="29494" name="AutoShape 7">
          <a:extLst>
            <a:ext uri="{FF2B5EF4-FFF2-40B4-BE49-F238E27FC236}">
              <a16:creationId xmlns:a16="http://schemas.microsoft.com/office/drawing/2014/main" id="{00000000-0008-0000-0F00-000036730000}"/>
            </a:ext>
          </a:extLst>
        </xdr:cNvPr>
        <xdr:cNvSpPr>
          <a:spLocks/>
        </xdr:cNvSpPr>
      </xdr:nvSpPr>
      <xdr:spPr bwMode="auto">
        <a:xfrm>
          <a:off x="6943725" y="43719750"/>
          <a:ext cx="76200" cy="4648200"/>
        </a:xfrm>
        <a:prstGeom prst="rightBrace">
          <a:avLst>
            <a:gd name="adj1" fmla="val 508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47625</xdr:colOff>
      <xdr:row>266</xdr:row>
      <xdr:rowOff>9525</xdr:rowOff>
    </xdr:from>
    <xdr:to>
      <xdr:col>12</xdr:col>
      <xdr:colOff>114300</xdr:colOff>
      <xdr:row>276</xdr:row>
      <xdr:rowOff>142875</xdr:rowOff>
    </xdr:to>
    <xdr:sp macro="" textlink="">
      <xdr:nvSpPr>
        <xdr:cNvPr id="29495" name="AutoShape 8">
          <a:extLst>
            <a:ext uri="{FF2B5EF4-FFF2-40B4-BE49-F238E27FC236}">
              <a16:creationId xmlns:a16="http://schemas.microsoft.com/office/drawing/2014/main" id="{00000000-0008-0000-0F00-000037730000}"/>
            </a:ext>
          </a:extLst>
        </xdr:cNvPr>
        <xdr:cNvSpPr>
          <a:spLocks/>
        </xdr:cNvSpPr>
      </xdr:nvSpPr>
      <xdr:spPr bwMode="auto">
        <a:xfrm>
          <a:off x="6972300" y="48453675"/>
          <a:ext cx="66675" cy="1752600"/>
        </a:xfrm>
        <a:prstGeom prst="rightBrace">
          <a:avLst>
            <a:gd name="adj1" fmla="val 2190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1047750</xdr:colOff>
      <xdr:row>219</xdr:row>
      <xdr:rowOff>0</xdr:rowOff>
    </xdr:from>
    <xdr:to>
      <xdr:col>13</xdr:col>
      <xdr:colOff>19050</xdr:colOff>
      <xdr:row>235</xdr:row>
      <xdr:rowOff>0</xdr:rowOff>
    </xdr:to>
    <xdr:sp macro="" textlink="">
      <xdr:nvSpPr>
        <xdr:cNvPr id="29496" name="AutoShape 10">
          <a:extLst>
            <a:ext uri="{FF2B5EF4-FFF2-40B4-BE49-F238E27FC236}">
              <a16:creationId xmlns:a16="http://schemas.microsoft.com/office/drawing/2014/main" id="{00000000-0008-0000-0F00-000038730000}"/>
            </a:ext>
          </a:extLst>
        </xdr:cNvPr>
        <xdr:cNvSpPr>
          <a:spLocks/>
        </xdr:cNvSpPr>
      </xdr:nvSpPr>
      <xdr:spPr bwMode="auto">
        <a:xfrm>
          <a:off x="6867525" y="41062275"/>
          <a:ext cx="219075" cy="2590800"/>
        </a:xfrm>
        <a:prstGeom prst="rightBrace">
          <a:avLst>
            <a:gd name="adj1" fmla="val 98551"/>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282</xdr:row>
      <xdr:rowOff>9525</xdr:rowOff>
    </xdr:from>
    <xdr:to>
      <xdr:col>12</xdr:col>
      <xdr:colOff>123825</xdr:colOff>
      <xdr:row>297</xdr:row>
      <xdr:rowOff>0</xdr:rowOff>
    </xdr:to>
    <xdr:sp macro="" textlink="">
      <xdr:nvSpPr>
        <xdr:cNvPr id="29497" name="AutoShape 11">
          <a:extLst>
            <a:ext uri="{FF2B5EF4-FFF2-40B4-BE49-F238E27FC236}">
              <a16:creationId xmlns:a16="http://schemas.microsoft.com/office/drawing/2014/main" id="{00000000-0008-0000-0F00-000039730000}"/>
            </a:ext>
          </a:extLst>
        </xdr:cNvPr>
        <xdr:cNvSpPr>
          <a:spLocks/>
        </xdr:cNvSpPr>
      </xdr:nvSpPr>
      <xdr:spPr bwMode="auto">
        <a:xfrm>
          <a:off x="6924675" y="50834925"/>
          <a:ext cx="123825" cy="2419350"/>
        </a:xfrm>
        <a:prstGeom prst="rightBrace">
          <a:avLst>
            <a:gd name="adj1" fmla="val 162821"/>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19050</xdr:colOff>
      <xdr:row>277</xdr:row>
      <xdr:rowOff>47625</xdr:rowOff>
    </xdr:from>
    <xdr:to>
      <xdr:col>12</xdr:col>
      <xdr:colOff>95250</xdr:colOff>
      <xdr:row>281</xdr:row>
      <xdr:rowOff>47625</xdr:rowOff>
    </xdr:to>
    <xdr:sp macro="" textlink="">
      <xdr:nvSpPr>
        <xdr:cNvPr id="29498" name="AutoShape 14">
          <a:extLst>
            <a:ext uri="{FF2B5EF4-FFF2-40B4-BE49-F238E27FC236}">
              <a16:creationId xmlns:a16="http://schemas.microsoft.com/office/drawing/2014/main" id="{00000000-0008-0000-0F00-00003A730000}"/>
            </a:ext>
          </a:extLst>
        </xdr:cNvPr>
        <xdr:cNvSpPr>
          <a:spLocks/>
        </xdr:cNvSpPr>
      </xdr:nvSpPr>
      <xdr:spPr bwMode="auto">
        <a:xfrm>
          <a:off x="6943725" y="50272950"/>
          <a:ext cx="76200" cy="542925"/>
        </a:xfrm>
        <a:prstGeom prst="rightBrace">
          <a:avLst>
            <a:gd name="adj1" fmla="val 593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19050</xdr:colOff>
      <xdr:row>76</xdr:row>
      <xdr:rowOff>0</xdr:rowOff>
    </xdr:from>
    <xdr:to>
      <xdr:col>3</xdr:col>
      <xdr:colOff>95250</xdr:colOff>
      <xdr:row>76</xdr:row>
      <xdr:rowOff>0</xdr:rowOff>
    </xdr:to>
    <xdr:sp macro="" textlink="">
      <xdr:nvSpPr>
        <xdr:cNvPr id="20275" name="AutoShape 3">
          <a:extLst>
            <a:ext uri="{FF2B5EF4-FFF2-40B4-BE49-F238E27FC236}">
              <a16:creationId xmlns:a16="http://schemas.microsoft.com/office/drawing/2014/main" id="{00000000-0008-0000-1000-0000334F0000}"/>
            </a:ext>
          </a:extLst>
        </xdr:cNvPr>
        <xdr:cNvSpPr>
          <a:spLocks/>
        </xdr:cNvSpPr>
      </xdr:nvSpPr>
      <xdr:spPr bwMode="auto">
        <a:xfrm>
          <a:off x="3829050" y="11725275"/>
          <a:ext cx="7620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28575</xdr:colOff>
      <xdr:row>76</xdr:row>
      <xdr:rowOff>19050</xdr:rowOff>
    </xdr:from>
    <xdr:to>
      <xdr:col>3</xdr:col>
      <xdr:colOff>95250</xdr:colOff>
      <xdr:row>85</xdr:row>
      <xdr:rowOff>66675</xdr:rowOff>
    </xdr:to>
    <xdr:sp macro="" textlink="">
      <xdr:nvSpPr>
        <xdr:cNvPr id="20276" name="AutoShape 4">
          <a:extLst>
            <a:ext uri="{FF2B5EF4-FFF2-40B4-BE49-F238E27FC236}">
              <a16:creationId xmlns:a16="http://schemas.microsoft.com/office/drawing/2014/main" id="{00000000-0008-0000-1000-0000344F0000}"/>
            </a:ext>
          </a:extLst>
        </xdr:cNvPr>
        <xdr:cNvSpPr>
          <a:spLocks/>
        </xdr:cNvSpPr>
      </xdr:nvSpPr>
      <xdr:spPr bwMode="auto">
        <a:xfrm>
          <a:off x="3838575" y="11744325"/>
          <a:ext cx="66675" cy="1981200"/>
        </a:xfrm>
        <a:prstGeom prst="rightBrace">
          <a:avLst>
            <a:gd name="adj1" fmla="val 24761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38100</xdr:colOff>
      <xdr:row>64</xdr:row>
      <xdr:rowOff>0</xdr:rowOff>
    </xdr:from>
    <xdr:to>
      <xdr:col>5</xdr:col>
      <xdr:colOff>114300</xdr:colOff>
      <xdr:row>73</xdr:row>
      <xdr:rowOff>114300</xdr:rowOff>
    </xdr:to>
    <xdr:sp macro="" textlink="">
      <xdr:nvSpPr>
        <xdr:cNvPr id="20277" name="AutoShape 5">
          <a:extLst>
            <a:ext uri="{FF2B5EF4-FFF2-40B4-BE49-F238E27FC236}">
              <a16:creationId xmlns:a16="http://schemas.microsoft.com/office/drawing/2014/main" id="{00000000-0008-0000-1000-0000354F0000}"/>
            </a:ext>
          </a:extLst>
        </xdr:cNvPr>
        <xdr:cNvSpPr>
          <a:spLocks/>
        </xdr:cNvSpPr>
      </xdr:nvSpPr>
      <xdr:spPr bwMode="auto">
        <a:xfrm>
          <a:off x="5638800" y="9763125"/>
          <a:ext cx="76200" cy="1571625"/>
        </a:xfrm>
        <a:prstGeom prst="rightBrace">
          <a:avLst>
            <a:gd name="adj1" fmla="val 1718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8</xdr:row>
      <xdr:rowOff>0</xdr:rowOff>
    </xdr:from>
    <xdr:to>
      <xdr:col>9</xdr:col>
      <xdr:colOff>0</xdr:colOff>
      <xdr:row>17</xdr:row>
      <xdr:rowOff>19050</xdr:rowOff>
    </xdr:to>
    <xdr:sp macro="" textlink="">
      <xdr:nvSpPr>
        <xdr:cNvPr id="19462" name="Text Box 6">
          <a:extLst>
            <a:ext uri="{FF2B5EF4-FFF2-40B4-BE49-F238E27FC236}">
              <a16:creationId xmlns:a16="http://schemas.microsoft.com/office/drawing/2014/main" id="{00000000-0008-0000-1000-0000064C0000}"/>
            </a:ext>
          </a:extLst>
        </xdr:cNvPr>
        <xdr:cNvSpPr txBox="1">
          <a:spLocks noChangeArrowheads="1"/>
        </xdr:cNvSpPr>
      </xdr:nvSpPr>
      <xdr:spPr bwMode="auto">
        <a:xfrm>
          <a:off x="247650" y="2219325"/>
          <a:ext cx="8020050" cy="14287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Restricted net position is calculated in total for the government-wide activities.  However, the fund statements are needed to begin this calculation. In the yellow cells below, enter the indicated totals by function (which may require some aggregation of funds).  For example, the functional expenditure for the Emergency Telephone System Special Revenue Fund  is public safety, so the restricted net position for that fund is calculated entirely on that line.  The Register of Deeds is shown as a separate category due to special legislation.  </a:t>
          </a:r>
        </a:p>
        <a:p>
          <a:pPr algn="l" rtl="0">
            <a:defRPr sz="1000"/>
          </a:pPr>
          <a:r>
            <a:rPr lang="en-US" sz="1000" b="0" i="0" u="none" strike="noStrike" baseline="0">
              <a:solidFill>
                <a:srgbClr val="000000"/>
              </a:solidFill>
              <a:latin typeface="Arial"/>
              <a:cs typeface="Arial"/>
            </a:rPr>
            <a:t>Restricted net position is restricted by an external source such as a grantor agency or a creditor, or restricted by board action in conjunction with separate legislation, such as the levying of an occupancy tax.  Board action by itself is not enough to restrict net position.  Once the determination is made that restricted net position exists, then the total amount to be restricted must be calculated to include any receivables of that asset less any payables or unearned income that relate to that asset, not accounted for in the Stablization by State Statute amount. All numbers are entered as positive numbers.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12</xdr:row>
      <xdr:rowOff>9525</xdr:rowOff>
    </xdr:from>
    <xdr:to>
      <xdr:col>4</xdr:col>
      <xdr:colOff>504825</xdr:colOff>
      <xdr:row>15</xdr:row>
      <xdr:rowOff>0</xdr:rowOff>
    </xdr:to>
    <xdr:sp macro="" textlink="">
      <xdr:nvSpPr>
        <xdr:cNvPr id="2" name="Right Brace 1">
          <a:extLst>
            <a:ext uri="{FF2B5EF4-FFF2-40B4-BE49-F238E27FC236}">
              <a16:creationId xmlns:a16="http://schemas.microsoft.com/office/drawing/2014/main" id="{00000000-0008-0000-1900-000002000000}"/>
            </a:ext>
          </a:extLst>
        </xdr:cNvPr>
        <xdr:cNvSpPr/>
      </xdr:nvSpPr>
      <xdr:spPr>
        <a:xfrm>
          <a:off x="7219950" y="2905125"/>
          <a:ext cx="504825" cy="533400"/>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4</xdr:col>
      <xdr:colOff>31750</xdr:colOff>
      <xdr:row>25</xdr:row>
      <xdr:rowOff>84666</xdr:rowOff>
    </xdr:from>
    <xdr:to>
      <xdr:col>6</xdr:col>
      <xdr:colOff>7672</xdr:colOff>
      <xdr:row>35</xdr:row>
      <xdr:rowOff>316705</xdr:rowOff>
    </xdr:to>
    <xdr:sp macro="" textlink="">
      <xdr:nvSpPr>
        <xdr:cNvPr id="3" name="Right Brace 2">
          <a:extLst>
            <a:ext uri="{FF2B5EF4-FFF2-40B4-BE49-F238E27FC236}">
              <a16:creationId xmlns:a16="http://schemas.microsoft.com/office/drawing/2014/main" id="{00000000-0008-0000-1900-000003000000}"/>
            </a:ext>
          </a:extLst>
        </xdr:cNvPr>
        <xdr:cNvSpPr/>
      </xdr:nvSpPr>
      <xdr:spPr>
        <a:xfrm>
          <a:off x="6551083" y="4624916"/>
          <a:ext cx="1764506" cy="3269456"/>
        </a:xfrm>
        <a:prstGeom prst="rightBrace">
          <a:avLst>
            <a:gd name="adj1" fmla="val 46574"/>
            <a:gd name="adj2" fmla="val 59106"/>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GASB%207475%20Study\05032017%20Files\GASB7475-MAP--withUpdates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gc0051/AppData/Local/Microsoft/Windows/Temporary%20Internet%20Files/Content.Outlook/2YIUDKCC/LGERS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etirement/Ken/C02747/2014%20Valuations/CJRS20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Retirement\Ken\C02747\2014%20Valuations\CJRS20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Retirement\Ken\C00387\2014%20Valuations%20-%20LRS\LRS201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Retirement/Ken/C00387/2010%20Valuations/TSERS2009%20v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Retirement\Ken\C00387\2010%20Valuations\TSERS2009%20v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2021%20Illustrative%20Financial%20Statements\JE%20Templates\2021\Draft%20je-templates-lgers-Website%20form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PL"/>
      <sheetName val="GASB67 Exhibits"/>
      <sheetName val="Adjust"/>
      <sheetName val="Import"/>
      <sheetName val="BM_GASB"/>
      <sheetName val="BM_GASBExhibits"/>
      <sheetName val="BM_Adjust"/>
      <sheetName val="Assets"/>
      <sheetName val="TPL_Adjust"/>
      <sheetName val="NPLExpense"/>
      <sheetName val="QuickChecks"/>
      <sheetName val="Deferred Amounts Exhibits"/>
      <sheetName val="InOutFlow"/>
      <sheetName val="GASB68 Exhibits"/>
      <sheetName val="OneERView"/>
      <sheetName val="ER_Input"/>
      <sheetName val="ER_Allocation"/>
      <sheetName val="ER_ChangeProportion"/>
      <sheetName val="ER_ShareContributions"/>
      <sheetName val="ER_AllocationofChanges"/>
      <sheetName val="ER_Schedule1"/>
      <sheetName val="ER_Schedule2"/>
      <sheetName val="ER_NPLExpense"/>
      <sheetName val="ER_DATA"/>
      <sheetName val="Buffer"/>
      <sheetName val="Template"/>
      <sheetName val="FullPlan"/>
      <sheetName val="DeveloperInfo"/>
    </sheetNames>
    <sheetDataSet>
      <sheetData sheetId="0">
        <row r="43">
          <cell r="C43">
            <v>0.5</v>
          </cell>
        </row>
      </sheetData>
      <sheetData sheetId="1"/>
      <sheetData sheetId="2">
        <row r="102">
          <cell r="G102">
            <v>0</v>
          </cell>
          <cell r="H102">
            <v>0</v>
          </cell>
        </row>
        <row r="195">
          <cell r="G195">
            <v>1</v>
          </cell>
          <cell r="H195">
            <v>1</v>
          </cell>
          <cell r="I195">
            <v>1</v>
          </cell>
          <cell r="J195">
            <v>1</v>
          </cell>
          <cell r="K195">
            <v>1</v>
          </cell>
          <cell r="L195">
            <v>1</v>
          </cell>
        </row>
        <row r="197">
          <cell r="G197">
            <v>1.0015833333333333</v>
          </cell>
          <cell r="I197">
            <v>1.0011874999999999</v>
          </cell>
          <cell r="J197">
            <v>1.0011874999999999</v>
          </cell>
          <cell r="K197">
            <v>1.0016041666666666</v>
          </cell>
          <cell r="L197">
            <v>1.0007708333333334</v>
          </cell>
        </row>
        <row r="199">
          <cell r="G199">
            <v>1</v>
          </cell>
          <cell r="H199">
            <v>1</v>
          </cell>
          <cell r="K199">
            <v>1</v>
          </cell>
          <cell r="L199">
            <v>1</v>
          </cell>
        </row>
        <row r="200">
          <cell r="G200">
            <v>0</v>
          </cell>
          <cell r="H200">
            <v>0</v>
          </cell>
          <cell r="K200">
            <v>0</v>
          </cell>
          <cell r="L200">
            <v>0</v>
          </cell>
        </row>
      </sheetData>
      <sheetData sheetId="3"/>
      <sheetData sheetId="4"/>
      <sheetData sheetId="5"/>
      <sheetData sheetId="6"/>
      <sheetData sheetId="7"/>
      <sheetData sheetId="8"/>
      <sheetData sheetId="9"/>
      <sheetData sheetId="10"/>
      <sheetData sheetId="11"/>
      <sheetData sheetId="12"/>
      <sheetData sheetId="13"/>
      <sheetData sheetId="14"/>
      <sheetData sheetId="15">
        <row r="16">
          <cell r="B16">
            <v>10200</v>
          </cell>
          <cell r="C16" t="str">
            <v>North Carolina Education Lottery</v>
          </cell>
          <cell r="D16">
            <v>13140078.810000001</v>
          </cell>
          <cell r="E16">
            <v>14107712.330000008</v>
          </cell>
          <cell r="F16">
            <v>117258395.09909993</v>
          </cell>
          <cell r="G16">
            <v>158330013.72638756</v>
          </cell>
          <cell r="M16">
            <v>838417.64999999991</v>
          </cell>
          <cell r="R16" t="str">
            <v>TRUE</v>
          </cell>
          <cell r="V16">
            <v>16</v>
          </cell>
        </row>
        <row r="17">
          <cell r="B17" t="str">
            <v>SPA</v>
          </cell>
          <cell r="C17" t="str">
            <v>NC State Ports Authority (subset of DOT)</v>
          </cell>
          <cell r="D17">
            <v>9908200.6700000055</v>
          </cell>
          <cell r="E17">
            <v>11585996.839999992</v>
          </cell>
          <cell r="F17">
            <v>73579293.954100028</v>
          </cell>
          <cell r="G17">
            <v>103182162.23689999</v>
          </cell>
          <cell r="M17">
            <v>690060.76502732246</v>
          </cell>
          <cell r="V17">
            <v>17</v>
          </cell>
        </row>
        <row r="18">
          <cell r="B18" t="str">
            <v>GTPA</v>
          </cell>
          <cell r="C18" t="str">
            <v>NC Global TransPark Authority (subset of DOT)</v>
          </cell>
          <cell r="D18">
            <v>381770.5</v>
          </cell>
          <cell r="E18">
            <v>413152.68</v>
          </cell>
          <cell r="F18">
            <v>2135270.6086999997</v>
          </cell>
          <cell r="G18">
            <v>2592522.6902000001</v>
          </cell>
          <cell r="M18">
            <v>25039.650273224044</v>
          </cell>
          <cell r="V18">
            <v>18</v>
          </cell>
        </row>
        <row r="19">
          <cell r="B19" t="str">
            <v>SEAA</v>
          </cell>
          <cell r="C19" t="str">
            <v>State Education Assistance Authority (subset of UNC General Administration)</v>
          </cell>
          <cell r="D19">
            <v>1736323.6300000001</v>
          </cell>
          <cell r="E19">
            <v>1806684.4100000004</v>
          </cell>
          <cell r="F19">
            <v>12895805.5305</v>
          </cell>
          <cell r="G19">
            <v>16489783.240600001</v>
          </cell>
          <cell r="M19">
            <v>114494.60109289618</v>
          </cell>
          <cell r="V19">
            <v>19</v>
          </cell>
        </row>
        <row r="20">
          <cell r="B20" t="str">
            <v>SHP</v>
          </cell>
          <cell r="C20" t="str">
            <v>State Health Plan (subset of Department of Treasurer)</v>
          </cell>
          <cell r="D20">
            <v>1877198.62</v>
          </cell>
          <cell r="E20">
            <v>2028909.9300000002</v>
          </cell>
          <cell r="F20">
            <v>16332188.791200001</v>
          </cell>
          <cell r="G20">
            <v>21766640.335700005</v>
          </cell>
          <cell r="M20">
            <v>153883.10382513664</v>
          </cell>
          <cell r="V20">
            <v>20</v>
          </cell>
        </row>
        <row r="21">
          <cell r="B21">
            <v>10400</v>
          </cell>
          <cell r="C21" t="str">
            <v>Department Of Justice</v>
          </cell>
          <cell r="D21">
            <v>45032680.989999987</v>
          </cell>
          <cell r="E21">
            <v>46652416.75000006</v>
          </cell>
          <cell r="F21">
            <v>346712388.41399986</v>
          </cell>
          <cell r="G21">
            <v>461834540.907691</v>
          </cell>
          <cell r="M21">
            <v>2712836.9099999992</v>
          </cell>
          <cell r="V21">
            <v>21</v>
          </cell>
        </row>
        <row r="22">
          <cell r="B22">
            <v>10500</v>
          </cell>
          <cell r="C22" t="str">
            <v>State Auditor</v>
          </cell>
          <cell r="D22">
            <v>9913585.9800000004</v>
          </cell>
          <cell r="E22">
            <v>9868361.1599999983</v>
          </cell>
          <cell r="F22">
            <v>80315788.587900028</v>
          </cell>
          <cell r="G22">
            <v>104202614.37525001</v>
          </cell>
          <cell r="M22">
            <v>596251.93000000005</v>
          </cell>
          <cell r="V22">
            <v>22</v>
          </cell>
        </row>
        <row r="23">
          <cell r="B23">
            <v>10700</v>
          </cell>
          <cell r="C23" t="str">
            <v>Department Of Cultural Resources</v>
          </cell>
          <cell r="D23">
            <v>29104363.569999993</v>
          </cell>
          <cell r="E23">
            <v>66506369.379999906</v>
          </cell>
          <cell r="F23">
            <v>202614613.91110012</v>
          </cell>
          <cell r="G23">
            <v>633740389.29310656</v>
          </cell>
          <cell r="M23">
            <v>3341643.25</v>
          </cell>
          <cell r="V23">
            <v>23</v>
          </cell>
        </row>
        <row r="24">
          <cell r="B24">
            <v>10800</v>
          </cell>
          <cell r="C24" t="str">
            <v>Administrative Office Of The Courts</v>
          </cell>
          <cell r="D24">
            <v>276165065.26999789</v>
          </cell>
          <cell r="E24">
            <v>276869699.74999952</v>
          </cell>
          <cell r="F24">
            <v>2134089260.0327041</v>
          </cell>
          <cell r="G24">
            <v>2770283572.9092622</v>
          </cell>
          <cell r="M24">
            <v>16051570.390000001</v>
          </cell>
          <cell r="V24">
            <v>24</v>
          </cell>
        </row>
        <row r="25">
          <cell r="B25">
            <v>10850</v>
          </cell>
          <cell r="C25" t="str">
            <v>Office Of Administrative Hearing</v>
          </cell>
          <cell r="D25">
            <v>2416963.3499999996</v>
          </cell>
          <cell r="E25">
            <v>2828498.3000000003</v>
          </cell>
          <cell r="F25">
            <v>13094147.137200002</v>
          </cell>
          <cell r="G25">
            <v>19725979.857292328</v>
          </cell>
          <cell r="M25">
            <v>164164.12</v>
          </cell>
          <cell r="V25">
            <v>25</v>
          </cell>
        </row>
        <row r="26">
          <cell r="B26">
            <v>10900</v>
          </cell>
          <cell r="C26" t="str">
            <v>Department Of Administration</v>
          </cell>
          <cell r="D26">
            <v>32258183.599999968</v>
          </cell>
          <cell r="E26">
            <v>32080362.910000026</v>
          </cell>
          <cell r="F26">
            <v>214291080.30210024</v>
          </cell>
          <cell r="G26">
            <v>266733548.8190397</v>
          </cell>
          <cell r="M26">
            <v>1838476.8499999996</v>
          </cell>
          <cell r="V26">
            <v>26</v>
          </cell>
        </row>
        <row r="27">
          <cell r="B27">
            <v>10910</v>
          </cell>
          <cell r="C27" t="str">
            <v>Office Of State Budget &amp; Management</v>
          </cell>
          <cell r="D27">
            <v>4630052.5100000007</v>
          </cell>
          <cell r="E27">
            <v>3813313.13</v>
          </cell>
          <cell r="F27">
            <v>33769642.060700007</v>
          </cell>
          <cell r="G27">
            <v>40166172.460000008</v>
          </cell>
          <cell r="M27">
            <v>228972.61</v>
          </cell>
          <cell r="V27">
            <v>27</v>
          </cell>
        </row>
        <row r="28">
          <cell r="B28">
            <v>10930</v>
          </cell>
          <cell r="C28" t="str">
            <v>Information Technology Services</v>
          </cell>
          <cell r="D28">
            <v>40051803.189999998</v>
          </cell>
          <cell r="E28">
            <v>40792819.800000012</v>
          </cell>
          <cell r="F28">
            <v>282653028.59919977</v>
          </cell>
          <cell r="G28">
            <v>355223499.50040084</v>
          </cell>
          <cell r="M28">
            <v>2335030.2499999995</v>
          </cell>
          <cell r="V28">
            <v>28</v>
          </cell>
        </row>
        <row r="29">
          <cell r="B29">
            <v>10940</v>
          </cell>
          <cell r="C29" t="str">
            <v>Office Of State Controller</v>
          </cell>
          <cell r="D29">
            <v>11087519.829999996</v>
          </cell>
          <cell r="E29">
            <v>10915232.039999992</v>
          </cell>
          <cell r="F29">
            <v>77064137.500400007</v>
          </cell>
          <cell r="G29">
            <v>97490247.369223759</v>
          </cell>
          <cell r="M29">
            <v>641379.92999999993</v>
          </cell>
          <cell r="V29">
            <v>29</v>
          </cell>
        </row>
        <row r="30">
          <cell r="B30">
            <v>10950</v>
          </cell>
          <cell r="C30" t="str">
            <v>N.C. School Of Science &amp; Mathematics</v>
          </cell>
          <cell r="D30">
            <v>11853204.720000012</v>
          </cell>
          <cell r="E30">
            <v>12169359.4</v>
          </cell>
          <cell r="F30">
            <v>93896356.444600001</v>
          </cell>
          <cell r="G30">
            <v>127757506.78350005</v>
          </cell>
          <cell r="M30">
            <v>693898.79</v>
          </cell>
          <cell r="V30">
            <v>30</v>
          </cell>
        </row>
        <row r="31">
          <cell r="B31">
            <v>11300</v>
          </cell>
          <cell r="C31" t="str">
            <v>Environment And Natural Resources</v>
          </cell>
          <cell r="D31">
            <v>119549453.71999982</v>
          </cell>
          <cell r="E31">
            <v>81503903.549999997</v>
          </cell>
          <cell r="F31">
            <v>888668927.11740065</v>
          </cell>
          <cell r="G31">
            <v>742415346.24827659</v>
          </cell>
          <cell r="M31">
            <v>5216636.1899999995</v>
          </cell>
          <cell r="V31">
            <v>31</v>
          </cell>
        </row>
        <row r="32">
          <cell r="B32">
            <v>11310</v>
          </cell>
          <cell r="C32" t="str">
            <v>N.C. Housing Finance Agency</v>
          </cell>
          <cell r="D32">
            <v>7601380.0300000021</v>
          </cell>
          <cell r="E32">
            <v>7711680.4799999986</v>
          </cell>
          <cell r="F32">
            <v>55970482.748200007</v>
          </cell>
          <cell r="G32">
            <v>71497564.273457065</v>
          </cell>
          <cell r="M32">
            <v>440657.49000000005</v>
          </cell>
          <cell r="V32">
            <v>32</v>
          </cell>
        </row>
        <row r="33">
          <cell r="B33">
            <v>11600</v>
          </cell>
          <cell r="C33" t="str">
            <v>Wildlife Resources Commission</v>
          </cell>
          <cell r="D33">
            <v>27926389.21999998</v>
          </cell>
          <cell r="E33">
            <v>28412137.169999994</v>
          </cell>
          <cell r="F33">
            <v>233589540.2854999</v>
          </cell>
          <cell r="G33">
            <v>305189205.14313018</v>
          </cell>
          <cell r="M33">
            <v>1642062.2200000002</v>
          </cell>
          <cell r="V33">
            <v>33</v>
          </cell>
        </row>
        <row r="34">
          <cell r="B34">
            <v>11900</v>
          </cell>
          <cell r="C34" t="str">
            <v>State Board Of Elections</v>
          </cell>
          <cell r="D34">
            <v>3140884.0100000002</v>
          </cell>
          <cell r="E34">
            <v>3220506.4499999997</v>
          </cell>
          <cell r="F34">
            <v>28013267.772500012</v>
          </cell>
          <cell r="G34">
            <v>35457958.022800013</v>
          </cell>
          <cell r="M34">
            <v>182558.12</v>
          </cell>
          <cell r="V34">
            <v>34</v>
          </cell>
        </row>
        <row r="35">
          <cell r="B35">
            <v>12100</v>
          </cell>
          <cell r="C35" t="str">
            <v>Governor's Office</v>
          </cell>
          <cell r="D35">
            <v>4037476.6399999992</v>
          </cell>
          <cell r="E35">
            <v>4186906.6799999992</v>
          </cell>
          <cell r="F35">
            <v>32196933.971600004</v>
          </cell>
          <cell r="G35">
            <v>41849957.136910535</v>
          </cell>
          <cell r="M35">
            <v>231747.3</v>
          </cell>
          <cell r="V35">
            <v>35</v>
          </cell>
        </row>
        <row r="36">
          <cell r="B36">
            <v>12150</v>
          </cell>
          <cell r="C36" t="str">
            <v>Lt. Governor's Office</v>
          </cell>
          <cell r="D36">
            <v>498234.02</v>
          </cell>
          <cell r="E36">
            <v>509215.18000000005</v>
          </cell>
          <cell r="F36">
            <v>5048017.9245999996</v>
          </cell>
          <cell r="G36">
            <v>6257049.967699999</v>
          </cell>
          <cell r="M36">
            <v>26996.550000000003</v>
          </cell>
          <cell r="V36">
            <v>36</v>
          </cell>
        </row>
        <row r="37">
          <cell r="B37">
            <v>12160</v>
          </cell>
          <cell r="C37" t="str">
            <v>General Assembly</v>
          </cell>
          <cell r="D37">
            <v>27431475.109999951</v>
          </cell>
          <cell r="E37">
            <v>29167151.46999998</v>
          </cell>
          <cell r="F37">
            <v>202874970.85329992</v>
          </cell>
          <cell r="G37">
            <v>274894843.96160227</v>
          </cell>
          <cell r="M37">
            <v>1634685.2699999998</v>
          </cell>
          <cell r="V37">
            <v>37</v>
          </cell>
        </row>
        <row r="38">
          <cell r="B38">
            <v>12220</v>
          </cell>
          <cell r="C38" t="str">
            <v>Health &amp; Human Services</v>
          </cell>
          <cell r="D38">
            <v>691208318.22000325</v>
          </cell>
          <cell r="E38">
            <v>714528160.84999931</v>
          </cell>
          <cell r="F38">
            <v>5138406918.7609119</v>
          </cell>
          <cell r="G38">
            <v>6788464923.7811136</v>
          </cell>
          <cell r="M38">
            <v>41418259.039999999</v>
          </cell>
          <cell r="V38">
            <v>38</v>
          </cell>
        </row>
        <row r="39">
          <cell r="B39">
            <v>12510</v>
          </cell>
          <cell r="C39" t="str">
            <v>Department Of Commerce</v>
          </cell>
          <cell r="D39">
            <v>94929199.229999915</v>
          </cell>
          <cell r="E39">
            <v>89318474.35999988</v>
          </cell>
          <cell r="F39">
            <v>648314450.72300053</v>
          </cell>
          <cell r="G39">
            <v>760563563.3649689</v>
          </cell>
          <cell r="M39">
            <v>5078458.17</v>
          </cell>
          <cell r="V39">
            <v>39</v>
          </cell>
        </row>
        <row r="40">
          <cell r="B40">
            <v>12600</v>
          </cell>
          <cell r="C40" t="str">
            <v>Insurance Department</v>
          </cell>
          <cell r="D40">
            <v>23057745.250000004</v>
          </cell>
          <cell r="E40">
            <v>23967770.510000024</v>
          </cell>
          <cell r="F40">
            <v>158336687.30759996</v>
          </cell>
          <cell r="G40">
            <v>204541993.27083603</v>
          </cell>
          <cell r="M40">
            <v>1375917.37</v>
          </cell>
          <cell r="V40">
            <v>40</v>
          </cell>
        </row>
        <row r="41">
          <cell r="B41">
            <v>12700</v>
          </cell>
          <cell r="C41" t="str">
            <v>Labor Department</v>
          </cell>
          <cell r="D41">
            <v>18476884.369999997</v>
          </cell>
          <cell r="E41">
            <v>18256095.459999993</v>
          </cell>
          <cell r="F41">
            <v>128071452.31869987</v>
          </cell>
          <cell r="G41">
            <v>161789949.37498331</v>
          </cell>
          <cell r="M41">
            <v>1039464.27</v>
          </cell>
          <cell r="V41">
            <v>41</v>
          </cell>
        </row>
        <row r="42">
          <cell r="B42">
            <v>13500</v>
          </cell>
          <cell r="C42" t="str">
            <v>Revenue Department</v>
          </cell>
          <cell r="D42">
            <v>59351472.210000016</v>
          </cell>
          <cell r="E42">
            <v>62437210.360000014</v>
          </cell>
          <cell r="F42">
            <v>442424282.30579895</v>
          </cell>
          <cell r="G42">
            <v>602068278.6938957</v>
          </cell>
          <cell r="M42">
            <v>3744870.41</v>
          </cell>
          <cell r="V42">
            <v>42</v>
          </cell>
        </row>
        <row r="43">
          <cell r="B43">
            <v>13700</v>
          </cell>
          <cell r="C43" t="str">
            <v>Secretary Of State</v>
          </cell>
          <cell r="D43">
            <v>7847466.9099999927</v>
          </cell>
          <cell r="E43">
            <v>8062460.2200000007</v>
          </cell>
          <cell r="F43">
            <v>57193045.723199986</v>
          </cell>
          <cell r="G43">
            <v>72996997.871200055</v>
          </cell>
          <cell r="M43">
            <v>459933.8600000001</v>
          </cell>
          <cell r="V43">
            <v>43</v>
          </cell>
        </row>
        <row r="44">
          <cell r="B44">
            <v>14300</v>
          </cell>
          <cell r="C44" t="str">
            <v>State Treasurer</v>
          </cell>
          <cell r="D44">
            <v>18668224.000000007</v>
          </cell>
          <cell r="E44">
            <v>20301876.740000028</v>
          </cell>
          <cell r="F44">
            <v>150427880.4119001</v>
          </cell>
          <cell r="G44">
            <v>207837874.1576499</v>
          </cell>
          <cell r="M44">
            <v>1232776.0161748636</v>
          </cell>
          <cell r="V44">
            <v>44</v>
          </cell>
        </row>
        <row r="45">
          <cell r="B45">
            <v>18400</v>
          </cell>
          <cell r="C45" t="str">
            <v>Department Of Agriculture</v>
          </cell>
          <cell r="D45">
            <v>81700719.910000011</v>
          </cell>
          <cell r="E45">
            <v>83685513.720000148</v>
          </cell>
          <cell r="F45">
            <v>611241679.95879889</v>
          </cell>
          <cell r="G45">
            <v>796113367.33703518</v>
          </cell>
          <cell r="M45">
            <v>4837731.8500000006</v>
          </cell>
          <cell r="V45">
            <v>45</v>
          </cell>
        </row>
        <row r="46">
          <cell r="B46">
            <v>18600</v>
          </cell>
          <cell r="C46" t="str">
            <v>Barber Examiners, State Board Of</v>
          </cell>
          <cell r="D46">
            <v>319127.02</v>
          </cell>
          <cell r="E46">
            <v>393697.74</v>
          </cell>
          <cell r="F46">
            <v>1951641.5970000001</v>
          </cell>
          <cell r="G46">
            <v>3353264.1546999998</v>
          </cell>
          <cell r="M46">
            <v>19103.669999999998</v>
          </cell>
          <cell r="V46">
            <v>46</v>
          </cell>
        </row>
        <row r="47">
          <cell r="B47">
            <v>18690</v>
          </cell>
          <cell r="C47" t="str">
            <v>N.C. Real Estate Commission</v>
          </cell>
          <cell r="D47">
            <v>338774.41000000003</v>
          </cell>
          <cell r="E47">
            <v>188638.13</v>
          </cell>
          <cell r="F47">
            <v>1082094.4539999999</v>
          </cell>
          <cell r="G47">
            <v>707488.27860000008</v>
          </cell>
          <cell r="M47">
            <v>10729.84</v>
          </cell>
          <cell r="V47">
            <v>47</v>
          </cell>
        </row>
        <row r="48">
          <cell r="B48">
            <v>18740</v>
          </cell>
          <cell r="C48" t="str">
            <v>N.C. Auctioneers Licensing Board</v>
          </cell>
          <cell r="D48">
            <v>109040</v>
          </cell>
          <cell r="E48">
            <v>108964.61</v>
          </cell>
          <cell r="F48">
            <v>708002.30050000001</v>
          </cell>
          <cell r="G48">
            <v>1012516.5645999999</v>
          </cell>
          <cell r="M48">
            <v>5820.32</v>
          </cell>
          <cell r="V48">
            <v>48</v>
          </cell>
        </row>
        <row r="49">
          <cell r="B49">
            <v>18780</v>
          </cell>
          <cell r="C49" t="str">
            <v>N.C. State Board Of Examiners Of Practicing Psychol</v>
          </cell>
          <cell r="D49">
            <v>206759.04000000001</v>
          </cell>
          <cell r="E49">
            <v>230054.08000000002</v>
          </cell>
          <cell r="F49">
            <v>1470948.3160000001</v>
          </cell>
          <cell r="G49">
            <v>2032913.4622</v>
          </cell>
          <cell r="M49">
            <v>14063.73</v>
          </cell>
          <cell r="V49">
            <v>49</v>
          </cell>
        </row>
        <row r="50">
          <cell r="B50">
            <v>19005</v>
          </cell>
          <cell r="C50" t="str">
            <v>Community Colleges Administration</v>
          </cell>
          <cell r="D50">
            <v>13028678.059999997</v>
          </cell>
          <cell r="E50">
            <v>13017121.449999999</v>
          </cell>
          <cell r="F50">
            <v>88238046.576200023</v>
          </cell>
          <cell r="G50">
            <v>109465670.70650002</v>
          </cell>
          <cell r="M50">
            <v>723012.18</v>
          </cell>
          <cell r="V50">
            <v>50</v>
          </cell>
        </row>
        <row r="51">
          <cell r="B51">
            <v>19100</v>
          </cell>
          <cell r="C51" t="str">
            <v>Department Of Public Safety</v>
          </cell>
          <cell r="D51">
            <v>907264421.91999543</v>
          </cell>
          <cell r="E51">
            <v>943822179.58999956</v>
          </cell>
          <cell r="F51">
            <v>7370668111.5191793</v>
          </cell>
          <cell r="G51">
            <v>9720683817.2060966</v>
          </cell>
          <cell r="M51">
            <v>55737001.779999994</v>
          </cell>
          <cell r="V51">
            <v>51</v>
          </cell>
        </row>
        <row r="52">
          <cell r="B52">
            <v>20100</v>
          </cell>
          <cell r="C52" t="str">
            <v>Appalachian State University</v>
          </cell>
          <cell r="D52">
            <v>152463131.52999961</v>
          </cell>
          <cell r="E52">
            <v>159125172.04999989</v>
          </cell>
          <cell r="F52">
            <v>1332750627.1713004</v>
          </cell>
          <cell r="G52">
            <v>1839576773.3837574</v>
          </cell>
          <cell r="M52">
            <v>9121256.3499999996</v>
          </cell>
          <cell r="V52">
            <v>52</v>
          </cell>
        </row>
        <row r="53">
          <cell r="B53">
            <v>20200</v>
          </cell>
          <cell r="C53" t="str">
            <v>N.C. School Of The Arts</v>
          </cell>
          <cell r="D53">
            <v>21633821.469999999</v>
          </cell>
          <cell r="E53">
            <v>23139714.909999985</v>
          </cell>
          <cell r="F53">
            <v>169069273.20410007</v>
          </cell>
          <cell r="G53">
            <v>238134398.71108416</v>
          </cell>
          <cell r="M53">
            <v>1312092.25</v>
          </cell>
          <cell r="V53">
            <v>53</v>
          </cell>
        </row>
        <row r="54">
          <cell r="B54">
            <v>20300</v>
          </cell>
          <cell r="C54" t="str">
            <v>East Carolina University</v>
          </cell>
          <cell r="D54">
            <v>374135353.39999753</v>
          </cell>
          <cell r="E54">
            <v>384458364.83999896</v>
          </cell>
          <cell r="F54">
            <v>3411596370.1930079</v>
          </cell>
          <cell r="G54">
            <v>4450859407.7966146</v>
          </cell>
          <cell r="M54">
            <v>21253621.16</v>
          </cell>
          <cell r="V54">
            <v>54</v>
          </cell>
        </row>
        <row r="55">
          <cell r="B55">
            <v>20400</v>
          </cell>
          <cell r="C55" t="str">
            <v>Elizabeth City State University</v>
          </cell>
          <cell r="D55">
            <v>24194754.610000022</v>
          </cell>
          <cell r="E55">
            <v>21065056.790000014</v>
          </cell>
          <cell r="F55">
            <v>190303612.04370016</v>
          </cell>
          <cell r="G55">
            <v>216730966.73224127</v>
          </cell>
          <cell r="M55">
            <v>1180498.3799999999</v>
          </cell>
          <cell r="V55">
            <v>55</v>
          </cell>
        </row>
        <row r="56">
          <cell r="B56">
            <v>20600</v>
          </cell>
          <cell r="C56" t="str">
            <v>Fayetteville State University</v>
          </cell>
          <cell r="D56">
            <v>46279011.609999999</v>
          </cell>
          <cell r="E56">
            <v>46059741.430000059</v>
          </cell>
          <cell r="F56">
            <v>379722128.42330003</v>
          </cell>
          <cell r="G56">
            <v>483077135.13638604</v>
          </cell>
          <cell r="M56">
            <v>2567090.4700000002</v>
          </cell>
          <cell r="V56">
            <v>56</v>
          </cell>
        </row>
        <row r="57">
          <cell r="B57">
            <v>20700</v>
          </cell>
          <cell r="C57" t="str">
            <v>N.C. A&amp;T University</v>
          </cell>
          <cell r="D57">
            <v>100701604.96999973</v>
          </cell>
          <cell r="E57">
            <v>100882755.96999997</v>
          </cell>
          <cell r="F57">
            <v>815989515.76950097</v>
          </cell>
          <cell r="G57">
            <v>1061976163.6406304</v>
          </cell>
          <cell r="M57">
            <v>5684012.8000000007</v>
          </cell>
          <cell r="V57">
            <v>57</v>
          </cell>
        </row>
        <row r="58">
          <cell r="B58">
            <v>20800</v>
          </cell>
          <cell r="C58" t="str">
            <v>N.C. Central University</v>
          </cell>
          <cell r="D58">
            <v>78164186.909999877</v>
          </cell>
          <cell r="E58">
            <v>78015479.829999864</v>
          </cell>
          <cell r="F58">
            <v>628971903.90429926</v>
          </cell>
          <cell r="G58">
            <v>837930452.33546937</v>
          </cell>
          <cell r="M58">
            <v>4372226.5500000007</v>
          </cell>
          <cell r="V58">
            <v>58</v>
          </cell>
        </row>
        <row r="59">
          <cell r="B59">
            <v>20900</v>
          </cell>
          <cell r="C59" t="str">
            <v>University Of North Carolina At Greensboro</v>
          </cell>
          <cell r="D59">
            <v>153703020.53999996</v>
          </cell>
          <cell r="E59">
            <v>153380773.23999989</v>
          </cell>
          <cell r="F59">
            <v>1334901916.7378001</v>
          </cell>
          <cell r="G59">
            <v>1726488746.8844199</v>
          </cell>
          <cell r="M59">
            <v>8688124</v>
          </cell>
          <cell r="V59">
            <v>59</v>
          </cell>
        </row>
        <row r="60">
          <cell r="B60">
            <v>21200</v>
          </cell>
          <cell r="C60" t="str">
            <v>UNC - Pembroke</v>
          </cell>
          <cell r="D60">
            <v>44476774.709999993</v>
          </cell>
          <cell r="E60">
            <v>48158850.890000053</v>
          </cell>
          <cell r="F60">
            <v>391930345.44640017</v>
          </cell>
          <cell r="G60">
            <v>565555534.55427539</v>
          </cell>
          <cell r="M60">
            <v>2683334.2999999998</v>
          </cell>
          <cell r="V60">
            <v>60</v>
          </cell>
        </row>
        <row r="61">
          <cell r="B61">
            <v>21300</v>
          </cell>
          <cell r="C61" t="str">
            <v>N.C. State University</v>
          </cell>
          <cell r="D61">
            <v>556878486.70999837</v>
          </cell>
          <cell r="E61">
            <v>581913565.08000124</v>
          </cell>
          <cell r="F61">
            <v>4923630164.3049107</v>
          </cell>
          <cell r="G61">
            <v>6771987881.9966269</v>
          </cell>
          <cell r="M61">
            <v>33170603.32</v>
          </cell>
          <cell r="V61">
            <v>61</v>
          </cell>
        </row>
        <row r="62">
          <cell r="B62">
            <v>21520</v>
          </cell>
          <cell r="C62" t="str">
            <v>UNC-CH CB 1260</v>
          </cell>
          <cell r="D62">
            <v>977823595.88999951</v>
          </cell>
          <cell r="E62">
            <v>1037963761.8100019</v>
          </cell>
          <cell r="F62">
            <v>9203325743.5181789</v>
          </cell>
          <cell r="G62">
            <v>12343375481.386206</v>
          </cell>
          <cell r="M62">
            <v>58923861.240000002</v>
          </cell>
          <cell r="V62">
            <v>62</v>
          </cell>
        </row>
        <row r="63">
          <cell r="B63">
            <v>21525</v>
          </cell>
          <cell r="C63" t="str">
            <v>UNC-General Administration</v>
          </cell>
          <cell r="D63">
            <v>26289411.439999998</v>
          </cell>
          <cell r="E63">
            <v>27240178.579999987</v>
          </cell>
          <cell r="F63">
            <v>215462075.18339983</v>
          </cell>
          <cell r="G63">
            <v>298915016.01031876</v>
          </cell>
          <cell r="M63">
            <v>1636125.2789071039</v>
          </cell>
          <cell r="V63">
            <v>63</v>
          </cell>
        </row>
        <row r="64">
          <cell r="B64">
            <v>21550</v>
          </cell>
          <cell r="C64" t="str">
            <v>UNC Health Care System</v>
          </cell>
          <cell r="D64">
            <v>497424933.12000048</v>
          </cell>
          <cell r="E64">
            <v>525945521.43999976</v>
          </cell>
          <cell r="F64">
            <v>4713269831.466692</v>
          </cell>
          <cell r="G64">
            <v>6670988864.1124773</v>
          </cell>
          <cell r="M64">
            <v>32115489.009999994</v>
          </cell>
          <cell r="V64">
            <v>64</v>
          </cell>
        </row>
        <row r="65">
          <cell r="B65">
            <v>21570</v>
          </cell>
          <cell r="C65" t="str">
            <v>University Of North Carolina Press</v>
          </cell>
          <cell r="D65">
            <v>2730178.14</v>
          </cell>
          <cell r="E65">
            <v>2811511.41</v>
          </cell>
          <cell r="F65">
            <v>21110274.446299996</v>
          </cell>
          <cell r="G65">
            <v>26798459.970199998</v>
          </cell>
          <cell r="M65">
            <v>165114.88999999998</v>
          </cell>
          <cell r="V65">
            <v>65</v>
          </cell>
        </row>
        <row r="66">
          <cell r="B66">
            <v>21800</v>
          </cell>
          <cell r="C66" t="str">
            <v>Western Carolina University</v>
          </cell>
          <cell r="D66">
            <v>81977394.010000005</v>
          </cell>
          <cell r="E66">
            <v>84770573.239999905</v>
          </cell>
          <cell r="F66">
            <v>716645001.98660028</v>
          </cell>
          <cell r="G66">
            <v>998094809.3206625</v>
          </cell>
          <cell r="M66">
            <v>4834362.2</v>
          </cell>
          <cell r="V66">
            <v>66</v>
          </cell>
        </row>
        <row r="67">
          <cell r="B67">
            <v>21900</v>
          </cell>
          <cell r="C67" t="str">
            <v>Winston-Salem State University</v>
          </cell>
          <cell r="D67">
            <v>55203377.569999985</v>
          </cell>
          <cell r="E67">
            <v>53762735.439999938</v>
          </cell>
          <cell r="F67">
            <v>455979947.9205001</v>
          </cell>
          <cell r="G67">
            <v>574886370.75963628</v>
          </cell>
          <cell r="M67">
            <v>3049632.5</v>
          </cell>
          <cell r="V67">
            <v>67</v>
          </cell>
        </row>
        <row r="68">
          <cell r="B68">
            <v>22000</v>
          </cell>
          <cell r="C68" t="str">
            <v>Department Of Public Instruction</v>
          </cell>
          <cell r="D68">
            <v>64904889.819999985</v>
          </cell>
          <cell r="E68">
            <v>61444720.999999948</v>
          </cell>
          <cell r="F68">
            <v>466149875.54069984</v>
          </cell>
          <cell r="G68">
            <v>564894877.32439375</v>
          </cell>
          <cell r="M68">
            <v>3547697.5900000003</v>
          </cell>
          <cell r="V68">
            <v>68</v>
          </cell>
        </row>
        <row r="69">
          <cell r="B69">
            <v>23000</v>
          </cell>
          <cell r="C69" t="str">
            <v>University Of North Carolina At Asheville</v>
          </cell>
          <cell r="D69">
            <v>37366144.430000015</v>
          </cell>
          <cell r="E69">
            <v>37896518.979999989</v>
          </cell>
          <cell r="F69">
            <v>316900261.63699943</v>
          </cell>
          <cell r="G69">
            <v>434366191.347305</v>
          </cell>
          <cell r="M69">
            <v>2215314.13</v>
          </cell>
          <cell r="V69">
            <v>69</v>
          </cell>
        </row>
        <row r="70">
          <cell r="B70">
            <v>23100</v>
          </cell>
          <cell r="C70" t="str">
            <v>University Of North Carolina At Charlotte</v>
          </cell>
          <cell r="D70">
            <v>205992830.08000067</v>
          </cell>
          <cell r="E70">
            <v>214830271.9000006</v>
          </cell>
          <cell r="F70">
            <v>1831324169.1407039</v>
          </cell>
          <cell r="G70">
            <v>2518260422.8764181</v>
          </cell>
          <cell r="M70">
            <v>12514087.529999999</v>
          </cell>
          <cell r="V70">
            <v>70</v>
          </cell>
        </row>
        <row r="71">
          <cell r="B71">
            <v>23200</v>
          </cell>
          <cell r="C71" t="str">
            <v>University Of North Carolina At Wilmington</v>
          </cell>
          <cell r="D71">
            <v>108198225.66999948</v>
          </cell>
          <cell r="E71">
            <v>113827268.77999999</v>
          </cell>
          <cell r="F71">
            <v>946326477.90640259</v>
          </cell>
          <cell r="G71">
            <v>1327351938.9052331</v>
          </cell>
          <cell r="M71">
            <v>6585519.0799999991</v>
          </cell>
          <cell r="V71">
            <v>71</v>
          </cell>
        </row>
        <row r="72">
          <cell r="B72">
            <v>30000</v>
          </cell>
          <cell r="C72" t="str">
            <v>Yancey County Schools</v>
          </cell>
          <cell r="D72">
            <v>13031347.669999994</v>
          </cell>
          <cell r="E72">
            <v>13112906.86999999</v>
          </cell>
          <cell r="F72">
            <v>112603928.53299998</v>
          </cell>
          <cell r="G72">
            <v>148858147.21044779</v>
          </cell>
          <cell r="M72">
            <v>747288.26</v>
          </cell>
          <cell r="V72">
            <v>72</v>
          </cell>
        </row>
        <row r="73">
          <cell r="B73">
            <v>30100</v>
          </cell>
          <cell r="C73" t="str">
            <v>Alamance County Schools</v>
          </cell>
          <cell r="D73">
            <v>105902601.34000026</v>
          </cell>
          <cell r="E73">
            <v>110519985.77999982</v>
          </cell>
          <cell r="F73">
            <v>943806604.37829947</v>
          </cell>
          <cell r="G73">
            <v>1315975123.4475124</v>
          </cell>
          <cell r="M73">
            <v>6391482.4500000002</v>
          </cell>
          <cell r="V73">
            <v>73</v>
          </cell>
        </row>
        <row r="74">
          <cell r="B74">
            <v>30102</v>
          </cell>
          <cell r="C74" t="str">
            <v>Clover Garden Charter School</v>
          </cell>
          <cell r="D74">
            <v>1519454.8899999997</v>
          </cell>
          <cell r="E74">
            <v>1936670.5900000003</v>
          </cell>
          <cell r="F74">
            <v>14860235.458700003</v>
          </cell>
          <cell r="G74">
            <v>24565618.844999999</v>
          </cell>
          <cell r="M74">
            <v>111275.96</v>
          </cell>
          <cell r="V74">
            <v>74</v>
          </cell>
        </row>
        <row r="75">
          <cell r="B75">
            <v>30103</v>
          </cell>
          <cell r="C75" t="str">
            <v>River Mill Academy Charter</v>
          </cell>
          <cell r="D75">
            <v>2123645.1999999993</v>
          </cell>
          <cell r="E75">
            <v>2194122.9700000007</v>
          </cell>
          <cell r="F75">
            <v>20471167.812699996</v>
          </cell>
          <cell r="G75">
            <v>28106871.640900012</v>
          </cell>
          <cell r="M75">
            <v>129638.95</v>
          </cell>
          <cell r="V75">
            <v>75</v>
          </cell>
        </row>
        <row r="76">
          <cell r="B76">
            <v>30104</v>
          </cell>
          <cell r="C76" t="str">
            <v>The Hawbridge School</v>
          </cell>
          <cell r="D76">
            <v>975550.09999999974</v>
          </cell>
          <cell r="E76">
            <v>1290327.7399999995</v>
          </cell>
          <cell r="F76">
            <v>10020105.476999996</v>
          </cell>
          <cell r="G76">
            <v>17922597.775549997</v>
          </cell>
          <cell r="M76">
            <v>72361.23</v>
          </cell>
          <cell r="V76">
            <v>76</v>
          </cell>
        </row>
        <row r="77">
          <cell r="B77">
            <v>30105</v>
          </cell>
          <cell r="C77" t="str">
            <v>Alamance Community College</v>
          </cell>
          <cell r="D77">
            <v>12276715.640000001</v>
          </cell>
          <cell r="E77">
            <v>12013260.689999999</v>
          </cell>
          <cell r="F77">
            <v>93694444.576300025</v>
          </cell>
          <cell r="G77">
            <v>122039540.98607707</v>
          </cell>
          <cell r="M77">
            <v>700821.97</v>
          </cell>
          <cell r="V77">
            <v>77</v>
          </cell>
        </row>
        <row r="78">
          <cell r="B78">
            <v>30200</v>
          </cell>
          <cell r="C78" t="str">
            <v>Alexander County Schools</v>
          </cell>
          <cell r="D78">
            <v>25525775.909999959</v>
          </cell>
          <cell r="E78">
            <v>25714708.279999994</v>
          </cell>
          <cell r="F78">
            <v>220167585.53150004</v>
          </cell>
          <cell r="G78">
            <v>289255275.02418065</v>
          </cell>
          <cell r="M78">
            <v>1467244.5999999999</v>
          </cell>
          <cell r="V78">
            <v>78</v>
          </cell>
        </row>
        <row r="79">
          <cell r="B79">
            <v>30300</v>
          </cell>
          <cell r="C79" t="str">
            <v>Alleghany County Schools</v>
          </cell>
          <cell r="D79">
            <v>8764748.0699999966</v>
          </cell>
          <cell r="E79">
            <v>8935775.4199999999</v>
          </cell>
          <cell r="F79">
            <v>74847802.275299981</v>
          </cell>
          <cell r="G79">
            <v>99135837.153100967</v>
          </cell>
          <cell r="M79">
            <v>514114.92000000004</v>
          </cell>
          <cell r="V79">
            <v>79</v>
          </cell>
        </row>
        <row r="80">
          <cell r="B80">
            <v>30400</v>
          </cell>
          <cell r="C80" t="str">
            <v>Anson County Schools</v>
          </cell>
          <cell r="D80">
            <v>18511623.109999988</v>
          </cell>
          <cell r="E80">
            <v>17862843.95999999</v>
          </cell>
          <cell r="F80">
            <v>145560271.24089998</v>
          </cell>
          <cell r="G80">
            <v>182571738.43050006</v>
          </cell>
          <cell r="M80">
            <v>1037458.53</v>
          </cell>
          <cell r="V80">
            <v>80</v>
          </cell>
        </row>
        <row r="81">
          <cell r="B81">
            <v>30405</v>
          </cell>
          <cell r="C81" t="str">
            <v>South Piedmont Community College</v>
          </cell>
          <cell r="D81">
            <v>10676622.369999995</v>
          </cell>
          <cell r="E81">
            <v>10981955.869999997</v>
          </cell>
          <cell r="F81">
            <v>94571837.140199959</v>
          </cell>
          <cell r="G81">
            <v>126665953.00343375</v>
          </cell>
          <cell r="M81">
            <v>631676.55999999994</v>
          </cell>
          <cell r="V81">
            <v>81</v>
          </cell>
        </row>
        <row r="82">
          <cell r="B82">
            <v>30500</v>
          </cell>
          <cell r="C82" t="str">
            <v>Ashe County Schools</v>
          </cell>
          <cell r="D82">
            <v>16891159.300000008</v>
          </cell>
          <cell r="E82">
            <v>17406464.430000011</v>
          </cell>
          <cell r="F82">
            <v>142492235.53230006</v>
          </cell>
          <cell r="G82">
            <v>192489327.76847321</v>
          </cell>
          <cell r="M82">
            <v>1000188.52</v>
          </cell>
          <cell r="V82">
            <v>82</v>
          </cell>
        </row>
        <row r="83">
          <cell r="B83">
            <v>30600</v>
          </cell>
          <cell r="C83" t="str">
            <v>Avery County Schools</v>
          </cell>
          <cell r="D83">
            <v>13347129.399999995</v>
          </cell>
          <cell r="E83">
            <v>13750307.159999993</v>
          </cell>
          <cell r="F83">
            <v>110626073.18459992</v>
          </cell>
          <cell r="G83">
            <v>149968079.5864</v>
          </cell>
          <cell r="M83">
            <v>781149.03999999992</v>
          </cell>
          <cell r="V83">
            <v>83</v>
          </cell>
        </row>
        <row r="84">
          <cell r="B84">
            <v>30601</v>
          </cell>
          <cell r="C84" t="str">
            <v>Grandfather Academy</v>
          </cell>
          <cell r="D84">
            <v>301713.57</v>
          </cell>
          <cell r="E84">
            <v>283559.88999999996</v>
          </cell>
          <cell r="F84">
            <v>2883222.6488999999</v>
          </cell>
          <cell r="G84">
            <v>3758350.7156000002</v>
          </cell>
          <cell r="M84">
            <v>16741.000000000004</v>
          </cell>
          <cell r="V84">
            <v>84</v>
          </cell>
        </row>
        <row r="85">
          <cell r="B85">
            <v>30700</v>
          </cell>
          <cell r="C85" t="str">
            <v>Beaufort County Schools</v>
          </cell>
          <cell r="D85">
            <v>35950135.379999995</v>
          </cell>
          <cell r="E85">
            <v>35413191.710000023</v>
          </cell>
          <cell r="F85">
            <v>295446375.5456</v>
          </cell>
          <cell r="G85">
            <v>384055889.41871679</v>
          </cell>
          <cell r="M85">
            <v>2064064.7600000002</v>
          </cell>
          <cell r="V85">
            <v>85</v>
          </cell>
        </row>
        <row r="86">
          <cell r="B86">
            <v>30705</v>
          </cell>
          <cell r="C86" t="str">
            <v>Beaufort County Community College</v>
          </cell>
          <cell r="D86">
            <v>7067343.4100000011</v>
          </cell>
          <cell r="E86">
            <v>7293056.6900000023</v>
          </cell>
          <cell r="F86">
            <v>55357607.234200016</v>
          </cell>
          <cell r="G86">
            <v>76342124.522497058</v>
          </cell>
          <cell r="M86">
            <v>429161.42999999993</v>
          </cell>
          <cell r="V86">
            <v>86</v>
          </cell>
        </row>
        <row r="87">
          <cell r="B87">
            <v>30800</v>
          </cell>
          <cell r="C87" t="str">
            <v>Bertie County Schools</v>
          </cell>
          <cell r="D87">
            <v>14889750.080000015</v>
          </cell>
          <cell r="E87">
            <v>14297118.020000001</v>
          </cell>
          <cell r="F87">
            <v>120965830.46959998</v>
          </cell>
          <cell r="G87">
            <v>149249889.03292903</v>
          </cell>
          <cell r="M87">
            <v>840230.13</v>
          </cell>
          <cell r="V87">
            <v>87</v>
          </cell>
        </row>
        <row r="88">
          <cell r="B88">
            <v>30900</v>
          </cell>
          <cell r="C88" t="str">
            <v>Bladen County Schools</v>
          </cell>
          <cell r="D88">
            <v>24470480.339999992</v>
          </cell>
          <cell r="E88">
            <v>23961633.410000011</v>
          </cell>
          <cell r="F88">
            <v>193657797.64629993</v>
          </cell>
          <cell r="G88">
            <v>249150663.22814754</v>
          </cell>
          <cell r="M88">
            <v>1375376.3199999998</v>
          </cell>
          <cell r="V88">
            <v>88</v>
          </cell>
        </row>
        <row r="89">
          <cell r="B89">
            <v>30905</v>
          </cell>
          <cell r="C89" t="str">
            <v>Bladen Community College</v>
          </cell>
          <cell r="D89">
            <v>5695714.0800000029</v>
          </cell>
          <cell r="E89">
            <v>5723122.6500000013</v>
          </cell>
          <cell r="F89">
            <v>42095421.583200015</v>
          </cell>
          <cell r="G89">
            <v>51575576.516830571</v>
          </cell>
          <cell r="M89">
            <v>315615.95</v>
          </cell>
          <cell r="V89">
            <v>89</v>
          </cell>
        </row>
        <row r="90">
          <cell r="B90">
            <v>31000</v>
          </cell>
          <cell r="C90" t="str">
            <v>Brunswick County Schools</v>
          </cell>
          <cell r="D90">
            <v>64948632.759999983</v>
          </cell>
          <cell r="E90">
            <v>64067581.710000083</v>
          </cell>
          <cell r="F90">
            <v>534620340.58959943</v>
          </cell>
          <cell r="G90">
            <v>709717633.272493</v>
          </cell>
          <cell r="M90">
            <v>3691012.3200000003</v>
          </cell>
          <cell r="V90">
            <v>90</v>
          </cell>
        </row>
        <row r="91">
          <cell r="B91">
            <v>31005</v>
          </cell>
          <cell r="C91" t="str">
            <v>Brunswick Community College</v>
          </cell>
          <cell r="D91">
            <v>7141530.990000003</v>
          </cell>
          <cell r="E91">
            <v>7512434.1100000022</v>
          </cell>
          <cell r="F91">
            <v>52990233.921899997</v>
          </cell>
          <cell r="G91">
            <v>70495969.770887136</v>
          </cell>
          <cell r="M91">
            <v>429428.59</v>
          </cell>
          <cell r="V91">
            <v>91</v>
          </cell>
        </row>
        <row r="92">
          <cell r="B92">
            <v>31100</v>
          </cell>
          <cell r="C92" t="str">
            <v>Buncombe County Schools</v>
          </cell>
          <cell r="D92">
            <v>127855359.8200004</v>
          </cell>
          <cell r="E92">
            <v>129776898.55999997</v>
          </cell>
          <cell r="F92">
            <v>1096255442.8021002</v>
          </cell>
          <cell r="G92">
            <v>1481539091.7470157</v>
          </cell>
          <cell r="M92">
            <v>7441833.4299999997</v>
          </cell>
          <cell r="V92">
            <v>92</v>
          </cell>
        </row>
        <row r="93">
          <cell r="B93">
            <v>31101</v>
          </cell>
          <cell r="C93" t="str">
            <v>F. Delany New School For Children</v>
          </cell>
          <cell r="D93">
            <v>752793.35</v>
          </cell>
          <cell r="E93">
            <v>758738.24999999988</v>
          </cell>
          <cell r="F93">
            <v>7874178.2448999994</v>
          </cell>
          <cell r="G93">
            <v>10039090.600400001</v>
          </cell>
          <cell r="M93">
            <v>43901.68</v>
          </cell>
          <cell r="V93">
            <v>93</v>
          </cell>
        </row>
        <row r="94">
          <cell r="B94">
            <v>31102</v>
          </cell>
          <cell r="C94" t="str">
            <v>Evergreen Community Charter School</v>
          </cell>
          <cell r="D94">
            <v>1767528.4500000009</v>
          </cell>
          <cell r="E94">
            <v>1780792.73</v>
          </cell>
          <cell r="F94">
            <v>17834011.990000006</v>
          </cell>
          <cell r="G94">
            <v>24905613.844707288</v>
          </cell>
          <cell r="M94">
            <v>100928.47</v>
          </cell>
          <cell r="V94">
            <v>94</v>
          </cell>
        </row>
        <row r="95">
          <cell r="B95">
            <v>31105</v>
          </cell>
          <cell r="C95" t="str">
            <v>Asheville-Buncombe Technical College</v>
          </cell>
          <cell r="D95">
            <v>21910659.469999976</v>
          </cell>
          <cell r="E95">
            <v>21942969.110000011</v>
          </cell>
          <cell r="F95">
            <v>181017184.37960017</v>
          </cell>
          <cell r="G95">
            <v>236729179.39203152</v>
          </cell>
          <cell r="M95">
            <v>1267278.3799999999</v>
          </cell>
          <cell r="V95">
            <v>95</v>
          </cell>
        </row>
        <row r="96">
          <cell r="B96">
            <v>31110</v>
          </cell>
          <cell r="C96" t="str">
            <v>Asheville City Schools</v>
          </cell>
          <cell r="D96">
            <v>28750380.699999977</v>
          </cell>
          <cell r="E96">
            <v>28443769.960000005</v>
          </cell>
          <cell r="F96">
            <v>261926022.04389995</v>
          </cell>
          <cell r="G96">
            <v>343947043.29053557</v>
          </cell>
          <cell r="M96">
            <v>1632015.24</v>
          </cell>
          <cell r="V96">
            <v>96</v>
          </cell>
        </row>
        <row r="97">
          <cell r="B97">
            <v>31200</v>
          </cell>
          <cell r="C97" t="str">
            <v>Burke County Schools</v>
          </cell>
          <cell r="D97">
            <v>62905900.439999983</v>
          </cell>
          <cell r="E97">
            <v>63059125.209999941</v>
          </cell>
          <cell r="F97">
            <v>540345065.27859974</v>
          </cell>
          <cell r="G97">
            <v>700390399.49469924</v>
          </cell>
          <cell r="M97">
            <v>3576358.79</v>
          </cell>
          <cell r="V97">
            <v>97</v>
          </cell>
        </row>
        <row r="98">
          <cell r="B98">
            <v>31205</v>
          </cell>
          <cell r="C98" t="str">
            <v>Western Piedmont Community College</v>
          </cell>
          <cell r="D98">
            <v>9037730.9999999981</v>
          </cell>
          <cell r="E98">
            <v>8767270.7700000014</v>
          </cell>
          <cell r="F98">
            <v>72265602.304499999</v>
          </cell>
          <cell r="G98">
            <v>86113188.520000011</v>
          </cell>
          <cell r="M98">
            <v>499527.33</v>
          </cell>
          <cell r="V98">
            <v>98</v>
          </cell>
        </row>
        <row r="99">
          <cell r="B99">
            <v>31300</v>
          </cell>
          <cell r="C99" t="str">
            <v>Cabarrus County Schools</v>
          </cell>
          <cell r="D99">
            <v>135311229.06999975</v>
          </cell>
          <cell r="E99">
            <v>143348965.94999999</v>
          </cell>
          <cell r="F99">
            <v>1257837736.1727977</v>
          </cell>
          <cell r="G99">
            <v>1768462598.34375</v>
          </cell>
          <cell r="M99">
            <v>8357210.9700000007</v>
          </cell>
          <cell r="V99">
            <v>99</v>
          </cell>
        </row>
        <row r="100">
          <cell r="B100">
            <v>31301</v>
          </cell>
          <cell r="C100" t="str">
            <v>Carolina International School</v>
          </cell>
          <cell r="D100">
            <v>2023366.7800000003</v>
          </cell>
          <cell r="E100">
            <v>2594207.0499999993</v>
          </cell>
          <cell r="F100">
            <v>20676946.978299998</v>
          </cell>
          <cell r="G100">
            <v>34071367.213900007</v>
          </cell>
          <cell r="M100">
            <v>160406.21000000002</v>
          </cell>
          <cell r="V100">
            <v>100</v>
          </cell>
        </row>
        <row r="101">
          <cell r="B101">
            <v>31320</v>
          </cell>
          <cell r="C101" t="str">
            <v>Kannapolis City Schools</v>
          </cell>
          <cell r="D101">
            <v>26524779.199999981</v>
          </cell>
          <cell r="E101">
            <v>27324139.419999998</v>
          </cell>
          <cell r="F101">
            <v>246221894.77109998</v>
          </cell>
          <cell r="G101">
            <v>331389648.85337532</v>
          </cell>
          <cell r="M101">
            <v>1579369.91</v>
          </cell>
          <cell r="V101">
            <v>101</v>
          </cell>
        </row>
        <row r="102">
          <cell r="B102">
            <v>31400</v>
          </cell>
          <cell r="C102" t="str">
            <v>Caldwell County Schools</v>
          </cell>
          <cell r="D102">
            <v>61460651.279999897</v>
          </cell>
          <cell r="E102">
            <v>62632254.550000124</v>
          </cell>
          <cell r="F102">
            <v>519676465.63999957</v>
          </cell>
          <cell r="G102">
            <v>690951239.94812691</v>
          </cell>
          <cell r="M102">
            <v>3601142.0500000003</v>
          </cell>
          <cell r="V102">
            <v>102</v>
          </cell>
        </row>
        <row r="103">
          <cell r="B103">
            <v>31405</v>
          </cell>
          <cell r="C103" t="str">
            <v>Caldwell Community College</v>
          </cell>
          <cell r="D103">
            <v>14777320.380000012</v>
          </cell>
          <cell r="E103">
            <v>14321380.540000012</v>
          </cell>
          <cell r="F103">
            <v>113182789.79310001</v>
          </cell>
          <cell r="G103">
            <v>139189350.79784983</v>
          </cell>
          <cell r="M103">
            <v>826096.32000000018</v>
          </cell>
          <cell r="V103">
            <v>103</v>
          </cell>
        </row>
        <row r="104">
          <cell r="B104">
            <v>31500</v>
          </cell>
          <cell r="C104" t="str">
            <v>Camden County Schools</v>
          </cell>
          <cell r="D104">
            <v>9852711.339999998</v>
          </cell>
          <cell r="E104">
            <v>10090422.93</v>
          </cell>
          <cell r="F104">
            <v>81809654.070100054</v>
          </cell>
          <cell r="G104">
            <v>106680078.60839999</v>
          </cell>
          <cell r="M104">
            <v>584050.2699999999</v>
          </cell>
          <cell r="V104">
            <v>104</v>
          </cell>
        </row>
        <row r="105">
          <cell r="B105">
            <v>31600</v>
          </cell>
          <cell r="C105" t="str">
            <v>Carteret County Schools</v>
          </cell>
          <cell r="D105">
            <v>44501315.880000032</v>
          </cell>
          <cell r="E105">
            <v>44557895.530000061</v>
          </cell>
          <cell r="F105">
            <v>366224690.73940021</v>
          </cell>
          <cell r="G105">
            <v>493095520.61112005</v>
          </cell>
          <cell r="M105">
            <v>2539583.1999999997</v>
          </cell>
          <cell r="V105">
            <v>105</v>
          </cell>
        </row>
        <row r="106">
          <cell r="B106">
            <v>31605</v>
          </cell>
          <cell r="C106" t="str">
            <v>Carteret Community College</v>
          </cell>
          <cell r="D106">
            <v>7012980.4799999986</v>
          </cell>
          <cell r="E106">
            <v>7142382.8599999985</v>
          </cell>
          <cell r="F106">
            <v>51480581.102199972</v>
          </cell>
          <cell r="G106">
            <v>67874025.654912695</v>
          </cell>
          <cell r="M106">
            <v>418219.78</v>
          </cell>
          <cell r="V106">
            <v>106</v>
          </cell>
        </row>
        <row r="107">
          <cell r="B107">
            <v>31700</v>
          </cell>
          <cell r="C107" t="str">
            <v>Caswell County Schools</v>
          </cell>
          <cell r="D107">
            <v>13968786.370000007</v>
          </cell>
          <cell r="E107">
            <v>13772995.999999993</v>
          </cell>
          <cell r="F107">
            <v>109954546.40759997</v>
          </cell>
          <cell r="G107">
            <v>143096515.73373985</v>
          </cell>
          <cell r="M107">
            <v>811590.37000000011</v>
          </cell>
          <cell r="V107">
            <v>107</v>
          </cell>
        </row>
        <row r="108">
          <cell r="B108">
            <v>31800</v>
          </cell>
          <cell r="C108" t="str">
            <v>Catawba County Schools</v>
          </cell>
          <cell r="D108">
            <v>81039419.090000018</v>
          </cell>
          <cell r="E108">
            <v>82414063.260000065</v>
          </cell>
          <cell r="F108">
            <v>687927268.97030091</v>
          </cell>
          <cell r="G108">
            <v>907197434.60667217</v>
          </cell>
          <cell r="M108">
            <v>4666941.1500000004</v>
          </cell>
          <cell r="V108">
            <v>108</v>
          </cell>
        </row>
        <row r="109">
          <cell r="B109">
            <v>31805</v>
          </cell>
          <cell r="C109" t="str">
            <v>Catawba Valley Community College</v>
          </cell>
          <cell r="D109">
            <v>17361800.369999994</v>
          </cell>
          <cell r="E109">
            <v>16926582.729999989</v>
          </cell>
          <cell r="F109">
            <v>130528452.04869987</v>
          </cell>
          <cell r="G109">
            <v>168763191.96074688</v>
          </cell>
          <cell r="M109">
            <v>984462.41000000015</v>
          </cell>
          <cell r="V109">
            <v>109</v>
          </cell>
        </row>
        <row r="110">
          <cell r="B110">
            <v>31810</v>
          </cell>
          <cell r="C110" t="str">
            <v>Hickory City Schools</v>
          </cell>
          <cell r="D110">
            <v>19785394.159999996</v>
          </cell>
          <cell r="E110">
            <v>20050932.22000001</v>
          </cell>
          <cell r="F110">
            <v>166799813.75370002</v>
          </cell>
          <cell r="G110">
            <v>225416660.24890015</v>
          </cell>
          <cell r="M110">
            <v>1164278.3999999999</v>
          </cell>
          <cell r="V110">
            <v>110</v>
          </cell>
        </row>
        <row r="111">
          <cell r="B111">
            <v>31820</v>
          </cell>
          <cell r="C111" t="str">
            <v>Newton-Conover City Schools</v>
          </cell>
          <cell r="D111">
            <v>16095314.310000001</v>
          </cell>
          <cell r="E111">
            <v>16854643.890000008</v>
          </cell>
          <cell r="F111">
            <v>145330374.45430011</v>
          </cell>
          <cell r="G111">
            <v>201114695.69890016</v>
          </cell>
          <cell r="M111">
            <v>966713.2899999998</v>
          </cell>
          <cell r="V111">
            <v>111</v>
          </cell>
        </row>
        <row r="112">
          <cell r="B112">
            <v>31900</v>
          </cell>
          <cell r="C112" t="str">
            <v>Chatham County Schools</v>
          </cell>
          <cell r="D112">
            <v>45419718.050000034</v>
          </cell>
          <cell r="E112">
            <v>45846473.449999966</v>
          </cell>
          <cell r="F112">
            <v>398867950.97809964</v>
          </cell>
          <cell r="G112">
            <v>529647263.10611236</v>
          </cell>
          <cell r="M112">
            <v>2656470.5000000005</v>
          </cell>
          <cell r="V112">
            <v>112</v>
          </cell>
        </row>
        <row r="113">
          <cell r="B113">
            <v>32000</v>
          </cell>
          <cell r="C113" t="str">
            <v>Cherokee County Schools</v>
          </cell>
          <cell r="D113">
            <v>17939030.000000004</v>
          </cell>
          <cell r="E113">
            <v>18666686.109999992</v>
          </cell>
          <cell r="F113">
            <v>151756448.22019994</v>
          </cell>
          <cell r="G113">
            <v>212912478.82260874</v>
          </cell>
          <cell r="M113">
            <v>1088380.05</v>
          </cell>
          <cell r="V113">
            <v>113</v>
          </cell>
        </row>
        <row r="114">
          <cell r="B114">
            <v>32005</v>
          </cell>
          <cell r="C114" t="str">
            <v>Tri-County Community College</v>
          </cell>
          <cell r="D114">
            <v>4433596.3600000013</v>
          </cell>
          <cell r="E114">
            <v>4742534.0500000007</v>
          </cell>
          <cell r="F114">
            <v>33707948.462099999</v>
          </cell>
          <cell r="G114">
            <v>48015712.040344745</v>
          </cell>
          <cell r="M114">
            <v>273319.93000000005</v>
          </cell>
          <cell r="V114">
            <v>114</v>
          </cell>
        </row>
        <row r="115">
          <cell r="B115">
            <v>32100</v>
          </cell>
          <cell r="C115" t="str">
            <v>Edenton-Chowan County Schools</v>
          </cell>
          <cell r="D115">
            <v>12579217.870000005</v>
          </cell>
          <cell r="E115">
            <v>12404863.179999989</v>
          </cell>
          <cell r="F115">
            <v>103670001.09210008</v>
          </cell>
          <cell r="G115">
            <v>132767746.29320997</v>
          </cell>
          <cell r="M115">
            <v>701321.67</v>
          </cell>
          <cell r="V115">
            <v>115</v>
          </cell>
        </row>
        <row r="116">
          <cell r="B116">
            <v>32200</v>
          </cell>
          <cell r="C116" t="str">
            <v>Clay County Schools</v>
          </cell>
          <cell r="D116">
            <v>7162579.6999999974</v>
          </cell>
          <cell r="E116">
            <v>7296762.5800000038</v>
          </cell>
          <cell r="F116">
            <v>58227961.717499994</v>
          </cell>
          <cell r="G116">
            <v>81734057.554073185</v>
          </cell>
          <cell r="M116">
            <v>423160.93</v>
          </cell>
          <cell r="V116">
            <v>116</v>
          </cell>
        </row>
        <row r="117">
          <cell r="B117">
            <v>32300</v>
          </cell>
          <cell r="C117" t="str">
            <v>Cleveland County Schools</v>
          </cell>
          <cell r="D117">
            <v>79222817.200000063</v>
          </cell>
          <cell r="E117">
            <v>80257674.519999996</v>
          </cell>
          <cell r="F117">
            <v>694105623.57039905</v>
          </cell>
          <cell r="G117">
            <v>929025133.40120316</v>
          </cell>
          <cell r="M117">
            <v>4600158.58</v>
          </cell>
          <cell r="V117">
            <v>117</v>
          </cell>
        </row>
        <row r="118">
          <cell r="B118">
            <v>32305</v>
          </cell>
          <cell r="C118" t="str">
            <v>Cleveland Technical College</v>
          </cell>
          <cell r="D118">
            <v>9432073.8199999966</v>
          </cell>
          <cell r="E118">
            <v>9632273.0300000012</v>
          </cell>
          <cell r="F118">
            <v>72434493.646200001</v>
          </cell>
          <cell r="G118">
            <v>95464721.90110001</v>
          </cell>
          <cell r="M118">
            <v>562796.46</v>
          </cell>
          <cell r="V118">
            <v>118</v>
          </cell>
        </row>
        <row r="119">
          <cell r="B119">
            <v>32400</v>
          </cell>
          <cell r="C119" t="str">
            <v>Columbus County Schools</v>
          </cell>
          <cell r="D119">
            <v>30307843.97000001</v>
          </cell>
          <cell r="E119">
            <v>31292810.310000047</v>
          </cell>
          <cell r="F119">
            <v>242031931.12379974</v>
          </cell>
          <cell r="G119">
            <v>329063471.68641323</v>
          </cell>
          <cell r="M119">
            <v>1803256.7000000002</v>
          </cell>
          <cell r="V119">
            <v>119</v>
          </cell>
        </row>
        <row r="120">
          <cell r="B120">
            <v>32405</v>
          </cell>
          <cell r="C120" t="str">
            <v>Southeastern Community College</v>
          </cell>
          <cell r="D120">
            <v>8855177.1099999994</v>
          </cell>
          <cell r="E120">
            <v>8446599.3999999985</v>
          </cell>
          <cell r="F120">
            <v>66011949.488999985</v>
          </cell>
          <cell r="G120">
            <v>82246311.512199968</v>
          </cell>
          <cell r="M120">
            <v>488429.27999999997</v>
          </cell>
          <cell r="V120">
            <v>120</v>
          </cell>
        </row>
        <row r="121">
          <cell r="B121">
            <v>32410</v>
          </cell>
          <cell r="C121" t="str">
            <v>Whiteville City Schools</v>
          </cell>
          <cell r="D121">
            <v>12562228.100000007</v>
          </cell>
          <cell r="E121">
            <v>12612983.220000003</v>
          </cell>
          <cell r="F121">
            <v>100461318.99999997</v>
          </cell>
          <cell r="G121">
            <v>131058988.42799997</v>
          </cell>
          <cell r="M121">
            <v>724239.97</v>
          </cell>
          <cell r="V121">
            <v>121</v>
          </cell>
        </row>
        <row r="122">
          <cell r="B122">
            <v>32500</v>
          </cell>
          <cell r="C122" t="str">
            <v>New Bern/Craven County Board Of Education</v>
          </cell>
          <cell r="D122">
            <v>65739933.16999986</v>
          </cell>
          <cell r="E122">
            <v>66814500.440000139</v>
          </cell>
          <cell r="F122">
            <v>553734799.86949992</v>
          </cell>
          <cell r="G122">
            <v>751463628.71451771</v>
          </cell>
          <cell r="M122">
            <v>3858650.53</v>
          </cell>
          <cell r="V122">
            <v>122</v>
          </cell>
        </row>
        <row r="123">
          <cell r="B123">
            <v>32505</v>
          </cell>
          <cell r="C123" t="str">
            <v>Craven Community College</v>
          </cell>
          <cell r="D123">
            <v>10164390.000000006</v>
          </cell>
          <cell r="E123">
            <v>10117872.079999996</v>
          </cell>
          <cell r="F123">
            <v>82144699.435000017</v>
          </cell>
          <cell r="G123">
            <v>109586342.02042952</v>
          </cell>
          <cell r="M123">
            <v>574795.8899999999</v>
          </cell>
          <cell r="V123">
            <v>123</v>
          </cell>
        </row>
        <row r="124">
          <cell r="B124">
            <v>32600</v>
          </cell>
          <cell r="C124" t="str">
            <v>Cumberland County Schools</v>
          </cell>
          <cell r="D124">
            <v>241973389.43999976</v>
          </cell>
          <cell r="E124">
            <v>236983812.70999849</v>
          </cell>
          <cell r="F124">
            <v>2087538107.7927005</v>
          </cell>
          <cell r="G124">
            <v>2698672922.500627</v>
          </cell>
          <cell r="M124">
            <v>13526134.420000002</v>
          </cell>
          <cell r="V124">
            <v>124</v>
          </cell>
        </row>
        <row r="125">
          <cell r="B125">
            <v>32605</v>
          </cell>
          <cell r="C125" t="str">
            <v>Fayetteville Technical Community College</v>
          </cell>
          <cell r="D125">
            <v>36527293.129999988</v>
          </cell>
          <cell r="E125">
            <v>37431550.5</v>
          </cell>
          <cell r="F125">
            <v>281698716.81259972</v>
          </cell>
          <cell r="G125">
            <v>383772986.3054682</v>
          </cell>
          <cell r="M125">
            <v>2132182.7000000002</v>
          </cell>
          <cell r="V125">
            <v>125</v>
          </cell>
        </row>
        <row r="126">
          <cell r="B126">
            <v>32700</v>
          </cell>
          <cell r="C126" t="str">
            <v>Currituck County Schools</v>
          </cell>
          <cell r="D126">
            <v>20244862.339999989</v>
          </cell>
          <cell r="E126">
            <v>20714552.539999999</v>
          </cell>
          <cell r="F126">
            <v>169456624.49879983</v>
          </cell>
          <cell r="G126">
            <v>229541841.44503731</v>
          </cell>
          <cell r="M126">
            <v>1207773.6499999999</v>
          </cell>
          <cell r="V126">
            <v>126</v>
          </cell>
        </row>
        <row r="127">
          <cell r="B127">
            <v>32800</v>
          </cell>
          <cell r="C127" t="str">
            <v>Dare County Schools</v>
          </cell>
          <cell r="D127">
            <v>31316632.339999981</v>
          </cell>
          <cell r="E127">
            <v>31559927.679999985</v>
          </cell>
          <cell r="F127">
            <v>231824683.23170018</v>
          </cell>
          <cell r="G127">
            <v>307712099.49276775</v>
          </cell>
          <cell r="M127">
            <v>1812643.01</v>
          </cell>
          <cell r="V127">
            <v>127</v>
          </cell>
        </row>
        <row r="128">
          <cell r="B128">
            <v>32900</v>
          </cell>
          <cell r="C128" t="str">
            <v>Davidson County Schools</v>
          </cell>
          <cell r="D128">
            <v>85207736.559999779</v>
          </cell>
          <cell r="E128">
            <v>86770011.830000177</v>
          </cell>
          <cell r="F128">
            <v>732544895.72070062</v>
          </cell>
          <cell r="G128">
            <v>979338173.18845117</v>
          </cell>
          <cell r="M128">
            <v>4967240.21</v>
          </cell>
          <cell r="V128">
            <v>128</v>
          </cell>
        </row>
        <row r="129">
          <cell r="B129">
            <v>32901</v>
          </cell>
          <cell r="C129" t="str">
            <v>Invest Collegiate Charter School</v>
          </cell>
          <cell r="D129">
            <v>1347489.2899999998</v>
          </cell>
          <cell r="E129">
            <v>2206162.0200000005</v>
          </cell>
          <cell r="F129">
            <v>13834081.556499997</v>
          </cell>
          <cell r="G129">
            <v>33655641.5145</v>
          </cell>
          <cell r="M129">
            <v>123637.35999999997</v>
          </cell>
          <cell r="V129">
            <v>129</v>
          </cell>
        </row>
        <row r="130">
          <cell r="B130">
            <v>32905</v>
          </cell>
          <cell r="C130" t="str">
            <v>Davidson County Community College</v>
          </cell>
          <cell r="D130">
            <v>13299918.769999998</v>
          </cell>
          <cell r="E130">
            <v>13363003.759999996</v>
          </cell>
          <cell r="F130">
            <v>108969942.02679999</v>
          </cell>
          <cell r="G130">
            <v>141526662.77274996</v>
          </cell>
          <cell r="M130">
            <v>768667.2300000001</v>
          </cell>
          <cell r="V130">
            <v>130</v>
          </cell>
        </row>
        <row r="131">
          <cell r="B131">
            <v>32910</v>
          </cell>
          <cell r="C131" t="str">
            <v>Lexington City Schools</v>
          </cell>
          <cell r="D131">
            <v>16201975.220000017</v>
          </cell>
          <cell r="E131">
            <v>16502634.739999995</v>
          </cell>
          <cell r="F131">
            <v>135416117.9043</v>
          </cell>
          <cell r="G131">
            <v>178247922.94302073</v>
          </cell>
          <cell r="M131">
            <v>957832.84</v>
          </cell>
          <cell r="V131">
            <v>131</v>
          </cell>
        </row>
        <row r="132">
          <cell r="B132">
            <v>32920</v>
          </cell>
          <cell r="C132" t="str">
            <v>Thomasville City Schools</v>
          </cell>
          <cell r="D132">
            <v>12994875.190000003</v>
          </cell>
          <cell r="E132">
            <v>12899764.759999992</v>
          </cell>
          <cell r="F132">
            <v>112511051.44719993</v>
          </cell>
          <cell r="G132">
            <v>146242903.88170004</v>
          </cell>
          <cell r="M132">
            <v>766288.93</v>
          </cell>
          <cell r="V132">
            <v>132</v>
          </cell>
        </row>
        <row r="133">
          <cell r="B133">
            <v>33000</v>
          </cell>
          <cell r="C133" t="str">
            <v>Davie County Schools</v>
          </cell>
          <cell r="D133">
            <v>32690806.749999974</v>
          </cell>
          <cell r="E133">
            <v>32554020.660000037</v>
          </cell>
          <cell r="F133">
            <v>286175444.66159993</v>
          </cell>
          <cell r="G133">
            <v>378285211.09255856</v>
          </cell>
          <cell r="M133">
            <v>1861430.54</v>
          </cell>
          <cell r="V133">
            <v>133</v>
          </cell>
        </row>
        <row r="134">
          <cell r="B134">
            <v>33001</v>
          </cell>
          <cell r="C134" t="str">
            <v>N.E. Regional School For Biotechnology</v>
          </cell>
          <cell r="D134">
            <v>583559.75</v>
          </cell>
          <cell r="E134">
            <v>746290.78</v>
          </cell>
          <cell r="F134">
            <v>6160817.843700001</v>
          </cell>
          <cell r="G134">
            <v>10066611.2788</v>
          </cell>
          <cell r="M134">
            <v>49703.859999999993</v>
          </cell>
          <cell r="V134">
            <v>134</v>
          </cell>
        </row>
        <row r="135">
          <cell r="B135">
            <v>33027</v>
          </cell>
          <cell r="C135" t="str">
            <v>Cornerstone Academy</v>
          </cell>
          <cell r="D135">
            <v>2098097.4</v>
          </cell>
          <cell r="E135">
            <v>2796774.3499999982</v>
          </cell>
          <cell r="F135">
            <v>22279178.684700012</v>
          </cell>
          <cell r="G135">
            <v>38902117.024400003</v>
          </cell>
          <cell r="M135">
            <v>153643.65000000002</v>
          </cell>
          <cell r="V135">
            <v>135</v>
          </cell>
        </row>
        <row r="136">
          <cell r="B136">
            <v>33100</v>
          </cell>
          <cell r="C136" t="str">
            <v>Duplin County Schools</v>
          </cell>
          <cell r="D136">
            <v>45657689.179999955</v>
          </cell>
          <cell r="E136">
            <v>48424353.820000038</v>
          </cell>
          <cell r="F136">
            <v>383169764.52360028</v>
          </cell>
          <cell r="G136">
            <v>540831654.12982905</v>
          </cell>
          <cell r="M136">
            <v>2815157.9</v>
          </cell>
          <cell r="V136">
            <v>136</v>
          </cell>
        </row>
        <row r="137">
          <cell r="B137">
            <v>33105</v>
          </cell>
          <cell r="C137" t="str">
            <v>James Sprunt Technical College</v>
          </cell>
          <cell r="D137">
            <v>6230244.6800000016</v>
          </cell>
          <cell r="E137">
            <v>5705826.6699999999</v>
          </cell>
          <cell r="F137">
            <v>48983556.219799981</v>
          </cell>
          <cell r="G137">
            <v>60795810.004299961</v>
          </cell>
          <cell r="M137">
            <v>325797.21999999991</v>
          </cell>
          <cell r="V137">
            <v>137</v>
          </cell>
        </row>
        <row r="138">
          <cell r="B138">
            <v>33200</v>
          </cell>
          <cell r="C138" t="str">
            <v>Durham Public Schools</v>
          </cell>
          <cell r="D138">
            <v>192393437.68000066</v>
          </cell>
          <cell r="E138">
            <v>198407653.93000114</v>
          </cell>
          <cell r="F138">
            <v>1705876350.6737006</v>
          </cell>
          <cell r="G138">
            <v>2360413438.8245788</v>
          </cell>
          <cell r="M138">
            <v>11538019.280000001</v>
          </cell>
          <cell r="V138">
            <v>138</v>
          </cell>
        </row>
        <row r="139">
          <cell r="B139">
            <v>33202</v>
          </cell>
          <cell r="C139" t="str">
            <v>Central Park School For Children</v>
          </cell>
          <cell r="D139">
            <v>1826455.58</v>
          </cell>
          <cell r="E139">
            <v>2083307.32</v>
          </cell>
          <cell r="F139">
            <v>18316075.637599997</v>
          </cell>
          <cell r="G139">
            <v>28241064.610799994</v>
          </cell>
          <cell r="M139">
            <v>129400.48999999999</v>
          </cell>
          <cell r="V139">
            <v>139</v>
          </cell>
        </row>
        <row r="140">
          <cell r="B140">
            <v>33203</v>
          </cell>
          <cell r="C140" t="str">
            <v>Healthy Start Academy</v>
          </cell>
          <cell r="D140">
            <v>1267860.8600000003</v>
          </cell>
          <cell r="E140">
            <v>1400711.38</v>
          </cell>
          <cell r="F140">
            <v>12715691.774200002</v>
          </cell>
          <cell r="G140">
            <v>19541158.916000001</v>
          </cell>
          <cell r="M140">
            <v>79264.840000000011</v>
          </cell>
          <cell r="V140">
            <v>140</v>
          </cell>
        </row>
        <row r="141">
          <cell r="B141">
            <v>33204</v>
          </cell>
          <cell r="C141" t="str">
            <v>Voyager Academy</v>
          </cell>
          <cell r="D141">
            <v>4636538.4700000025</v>
          </cell>
          <cell r="E141">
            <v>4874017.7599999988</v>
          </cell>
          <cell r="F141">
            <v>46426053.481499992</v>
          </cell>
          <cell r="G141">
            <v>68952111.42930001</v>
          </cell>
          <cell r="M141">
            <v>284204.88999999996</v>
          </cell>
          <cell r="V141">
            <v>141</v>
          </cell>
        </row>
        <row r="142">
          <cell r="B142">
            <v>33205</v>
          </cell>
          <cell r="C142" t="str">
            <v>Durham Technical Institute</v>
          </cell>
          <cell r="D142">
            <v>17003235.209999997</v>
          </cell>
          <cell r="E142">
            <v>17495640.5</v>
          </cell>
          <cell r="F142">
            <v>137046543.072</v>
          </cell>
          <cell r="G142">
            <v>190436540.39355904</v>
          </cell>
          <cell r="M142">
            <v>1025837.1900000001</v>
          </cell>
          <cell r="V142">
            <v>142</v>
          </cell>
        </row>
        <row r="143">
          <cell r="B143">
            <v>33206</v>
          </cell>
          <cell r="C143" t="str">
            <v>Bear Grass Charter School</v>
          </cell>
          <cell r="D143">
            <v>1281442.6299999999</v>
          </cell>
          <cell r="E143">
            <v>1272069.9199999997</v>
          </cell>
          <cell r="F143">
            <v>12167202.5986</v>
          </cell>
          <cell r="G143">
            <v>15561724.852200005</v>
          </cell>
          <cell r="M143">
            <v>72229.179999999993</v>
          </cell>
          <cell r="V143">
            <v>143</v>
          </cell>
        </row>
        <row r="144">
          <cell r="B144">
            <v>33207</v>
          </cell>
          <cell r="C144" t="str">
            <v>Invest Collegiate Charter (Buncombe)</v>
          </cell>
          <cell r="D144">
            <v>747052.84</v>
          </cell>
          <cell r="E144">
            <v>1940969.2600000007</v>
          </cell>
          <cell r="F144">
            <v>8592327.6204000004</v>
          </cell>
          <cell r="G144">
            <v>31930114.221099988</v>
          </cell>
          <cell r="M144">
            <v>137746.23000000001</v>
          </cell>
          <cell r="V144">
            <v>144</v>
          </cell>
        </row>
        <row r="145">
          <cell r="B145">
            <v>33208</v>
          </cell>
          <cell r="C145" t="str">
            <v>Kipp Halifax College Prep Charter</v>
          </cell>
          <cell r="D145">
            <v>233474.93999999997</v>
          </cell>
          <cell r="E145">
            <v>364821.84</v>
          </cell>
          <cell r="F145">
            <v>2361138.2366000004</v>
          </cell>
          <cell r="G145">
            <v>5103787.2952999994</v>
          </cell>
          <cell r="M145">
            <v>28186.83</v>
          </cell>
          <cell r="V145">
            <v>145</v>
          </cell>
        </row>
        <row r="146">
          <cell r="B146">
            <v>33209</v>
          </cell>
          <cell r="C146" t="str">
            <v>Pioneer Springs Community Charter</v>
          </cell>
          <cell r="D146">
            <v>478723.3</v>
          </cell>
          <cell r="E146">
            <v>801128.51</v>
          </cell>
          <cell r="F146">
            <v>5414746.1972000012</v>
          </cell>
          <cell r="G146">
            <v>11768698.4888</v>
          </cell>
          <cell r="M146">
            <v>45089.120000000003</v>
          </cell>
          <cell r="V146">
            <v>146</v>
          </cell>
        </row>
        <row r="147">
          <cell r="B147">
            <v>33300</v>
          </cell>
          <cell r="C147" t="str">
            <v>Edgecombe County Schools</v>
          </cell>
          <cell r="D147">
            <v>30039631.739999976</v>
          </cell>
          <cell r="E147">
            <v>30152921.930000052</v>
          </cell>
          <cell r="F147">
            <v>254249312.88950005</v>
          </cell>
          <cell r="G147">
            <v>340240809.52600038</v>
          </cell>
          <cell r="M147">
            <v>1724356.99</v>
          </cell>
          <cell r="V147">
            <v>147</v>
          </cell>
        </row>
        <row r="148">
          <cell r="B148">
            <v>33305</v>
          </cell>
          <cell r="C148" t="str">
            <v>Edgecombe Technical College</v>
          </cell>
          <cell r="D148">
            <v>9638960.1099999994</v>
          </cell>
          <cell r="E148">
            <v>9481893.4399999995</v>
          </cell>
          <cell r="F148">
            <v>67918415.264599994</v>
          </cell>
          <cell r="G148">
            <v>86758747.13913925</v>
          </cell>
          <cell r="M148">
            <v>553706.70000000007</v>
          </cell>
          <cell r="V148">
            <v>148</v>
          </cell>
        </row>
        <row r="149">
          <cell r="B149">
            <v>33400</v>
          </cell>
          <cell r="C149" t="str">
            <v>Winston-Salem-Forsyth County Schools</v>
          </cell>
          <cell r="D149">
            <v>267475359.33000049</v>
          </cell>
          <cell r="E149">
            <v>271727145.94999874</v>
          </cell>
          <cell r="F149">
            <v>2247124548.495707</v>
          </cell>
          <cell r="G149">
            <v>3025967618.994173</v>
          </cell>
          <cell r="M149">
            <v>15713796.310000002</v>
          </cell>
          <cell r="V149">
            <v>149</v>
          </cell>
        </row>
        <row r="150">
          <cell r="B150">
            <v>33402</v>
          </cell>
          <cell r="C150" t="str">
            <v>Arts Based Elementary Charter</v>
          </cell>
          <cell r="D150">
            <v>1600124.9800000007</v>
          </cell>
          <cell r="E150">
            <v>1807378.6900000004</v>
          </cell>
          <cell r="F150">
            <v>16724103.943499999</v>
          </cell>
          <cell r="G150">
            <v>23937073.506199997</v>
          </cell>
          <cell r="M150">
            <v>103491.48999999999</v>
          </cell>
          <cell r="V150">
            <v>150</v>
          </cell>
        </row>
        <row r="151">
          <cell r="B151">
            <v>33405</v>
          </cell>
          <cell r="C151" t="str">
            <v>Forsyth Technical Institute</v>
          </cell>
          <cell r="D151">
            <v>28325932.84999999</v>
          </cell>
          <cell r="E151">
            <v>29326717.320000004</v>
          </cell>
          <cell r="F151">
            <v>226003589.73210004</v>
          </cell>
          <cell r="G151">
            <v>304144971.65534997</v>
          </cell>
          <cell r="M151">
            <v>1679024.1600000001</v>
          </cell>
          <cell r="V151">
            <v>151</v>
          </cell>
        </row>
        <row r="152">
          <cell r="B152">
            <v>33500</v>
          </cell>
          <cell r="C152" t="str">
            <v>Franklin County Schools</v>
          </cell>
          <cell r="D152">
            <v>41685067.619999982</v>
          </cell>
          <cell r="E152">
            <v>43377886.109999992</v>
          </cell>
          <cell r="F152">
            <v>361955196.75179976</v>
          </cell>
          <cell r="G152">
            <v>505844242.20540476</v>
          </cell>
          <cell r="M152">
            <v>2528393.9399999995</v>
          </cell>
          <cell r="V152">
            <v>152</v>
          </cell>
        </row>
        <row r="153">
          <cell r="B153">
            <v>33501</v>
          </cell>
          <cell r="C153" t="str">
            <v>A Childs Garden Charter (AKA Cross Creek Charter)</v>
          </cell>
          <cell r="D153">
            <v>744154.34</v>
          </cell>
          <cell r="E153">
            <v>814819.99</v>
          </cell>
          <cell r="F153">
            <v>7457116.5794999991</v>
          </cell>
          <cell r="G153">
            <v>10504364.202400001</v>
          </cell>
          <cell r="M153">
            <v>49061.13</v>
          </cell>
          <cell r="V153">
            <v>153</v>
          </cell>
        </row>
        <row r="154">
          <cell r="B154">
            <v>33600</v>
          </cell>
          <cell r="C154" t="str">
            <v>Gaston County Schools</v>
          </cell>
          <cell r="D154">
            <v>132541224.41000038</v>
          </cell>
          <cell r="E154">
            <v>138243699.03999978</v>
          </cell>
          <cell r="F154">
            <v>1153602483.013</v>
          </cell>
          <cell r="G154">
            <v>1603241985.7174375</v>
          </cell>
          <cell r="M154">
            <v>8055759.8799999999</v>
          </cell>
          <cell r="V154">
            <v>154</v>
          </cell>
        </row>
        <row r="155">
          <cell r="B155">
            <v>33605</v>
          </cell>
          <cell r="C155" t="str">
            <v>Gaston College</v>
          </cell>
          <cell r="D155">
            <v>20628390.429999985</v>
          </cell>
          <cell r="E155">
            <v>21891172.329999983</v>
          </cell>
          <cell r="F155">
            <v>158200358.54609978</v>
          </cell>
          <cell r="G155">
            <v>213443448.58930016</v>
          </cell>
          <cell r="M155">
            <v>1278907.46</v>
          </cell>
          <cell r="V155">
            <v>155</v>
          </cell>
        </row>
        <row r="156">
          <cell r="B156">
            <v>33700</v>
          </cell>
          <cell r="C156" t="str">
            <v>Gates County Schools</v>
          </cell>
          <cell r="D156">
            <v>11002251.23000001</v>
          </cell>
          <cell r="E156">
            <v>10624542.059999999</v>
          </cell>
          <cell r="F156">
            <v>90149223.248599991</v>
          </cell>
          <cell r="G156">
            <v>113746970.07750002</v>
          </cell>
          <cell r="M156">
            <v>581800.07999999996</v>
          </cell>
          <cell r="V156">
            <v>156</v>
          </cell>
        </row>
        <row r="157">
          <cell r="B157">
            <v>33800</v>
          </cell>
          <cell r="C157" t="str">
            <v>Graham County Schools</v>
          </cell>
          <cell r="D157">
            <v>7488526.8900000053</v>
          </cell>
          <cell r="E157">
            <v>7657986.129999998</v>
          </cell>
          <cell r="F157">
            <v>63136367.960599981</v>
          </cell>
          <cell r="G157">
            <v>86004421.076900065</v>
          </cell>
          <cell r="M157">
            <v>448022.58999999997</v>
          </cell>
          <cell r="V157">
            <v>157</v>
          </cell>
        </row>
        <row r="158">
          <cell r="B158">
            <v>33900</v>
          </cell>
          <cell r="C158" t="str">
            <v>Granville County Schools And Oxford Orphanage</v>
          </cell>
          <cell r="D158">
            <v>38842735.289999992</v>
          </cell>
          <cell r="E158">
            <v>40592529.850000031</v>
          </cell>
          <cell r="F158">
            <v>330042793.80299991</v>
          </cell>
          <cell r="G158">
            <v>448699530.14413673</v>
          </cell>
          <cell r="M158">
            <v>2321466.9900000002</v>
          </cell>
          <cell r="V158">
            <v>158</v>
          </cell>
        </row>
        <row r="159">
          <cell r="B159">
            <v>34000</v>
          </cell>
          <cell r="C159" t="str">
            <v>Greene County Schools</v>
          </cell>
          <cell r="D159">
            <v>16898888.390000001</v>
          </cell>
          <cell r="E159">
            <v>16688110.669999991</v>
          </cell>
          <cell r="F159">
            <v>150543233.05450007</v>
          </cell>
          <cell r="G159">
            <v>195735824.92934257</v>
          </cell>
          <cell r="M159">
            <v>961712.79</v>
          </cell>
          <cell r="V159">
            <v>159</v>
          </cell>
        </row>
        <row r="160">
          <cell r="B160">
            <v>34100</v>
          </cell>
          <cell r="C160" t="str">
            <v>Guilford County Schools</v>
          </cell>
          <cell r="D160">
            <v>380089037.70000285</v>
          </cell>
          <cell r="E160">
            <v>379271646.59000385</v>
          </cell>
          <cell r="F160">
            <v>3367191402.8343058</v>
          </cell>
          <cell r="G160">
            <v>4441086748.0954542</v>
          </cell>
          <cell r="M160">
            <v>21659015.900000002</v>
          </cell>
          <cell r="V160">
            <v>160</v>
          </cell>
        </row>
        <row r="161">
          <cell r="B161">
            <v>34105</v>
          </cell>
          <cell r="C161" t="str">
            <v>Guilford Technical Community College</v>
          </cell>
          <cell r="D161">
            <v>35681492.379999988</v>
          </cell>
          <cell r="E161">
            <v>35328585.719999991</v>
          </cell>
          <cell r="F161">
            <v>291489891.90259999</v>
          </cell>
          <cell r="G161">
            <v>372585535.59367543</v>
          </cell>
          <cell r="M161">
            <v>2032892.2400000002</v>
          </cell>
          <cell r="V161">
            <v>161</v>
          </cell>
        </row>
        <row r="162">
          <cell r="B162">
            <v>34200</v>
          </cell>
          <cell r="C162" t="str">
            <v>Halifax County Schools</v>
          </cell>
          <cell r="D162">
            <v>18791556.239999983</v>
          </cell>
          <cell r="E162">
            <v>16579502.449999988</v>
          </cell>
          <cell r="F162">
            <v>148167777.89740002</v>
          </cell>
          <cell r="G162">
            <v>170585589.21027422</v>
          </cell>
          <cell r="M162">
            <v>895134.38</v>
          </cell>
          <cell r="V162">
            <v>162</v>
          </cell>
        </row>
        <row r="163">
          <cell r="B163">
            <v>34205</v>
          </cell>
          <cell r="C163" t="str">
            <v>Halifax Community College</v>
          </cell>
          <cell r="D163">
            <v>7243825.2300000023</v>
          </cell>
          <cell r="E163">
            <v>7032339.1499999976</v>
          </cell>
          <cell r="F163">
            <v>53943092.6435</v>
          </cell>
          <cell r="G163">
            <v>69599223.944643199</v>
          </cell>
          <cell r="M163">
            <v>398210.05</v>
          </cell>
          <cell r="V163">
            <v>163</v>
          </cell>
        </row>
        <row r="164">
          <cell r="B164">
            <v>34220</v>
          </cell>
          <cell r="C164" t="str">
            <v>Roanoke Rapids City Schools</v>
          </cell>
          <cell r="D164">
            <v>14949699.830000006</v>
          </cell>
          <cell r="E164">
            <v>15110977.050000003</v>
          </cell>
          <cell r="F164">
            <v>118429909.89819995</v>
          </cell>
          <cell r="G164">
            <v>155206534.69359991</v>
          </cell>
          <cell r="M164">
            <v>875993.44</v>
          </cell>
          <cell r="V164">
            <v>164</v>
          </cell>
        </row>
        <row r="165">
          <cell r="B165">
            <v>34230</v>
          </cell>
          <cell r="C165" t="str">
            <v>Weldon City Schools</v>
          </cell>
          <cell r="D165">
            <v>6700183.9900000012</v>
          </cell>
          <cell r="E165">
            <v>6807248.9900000021</v>
          </cell>
          <cell r="F165">
            <v>55045539.019500002</v>
          </cell>
          <cell r="G165">
            <v>73076508.394220456</v>
          </cell>
          <cell r="M165">
            <v>383407.63</v>
          </cell>
          <cell r="V165">
            <v>165</v>
          </cell>
        </row>
        <row r="166">
          <cell r="B166">
            <v>34300</v>
          </cell>
          <cell r="C166" t="str">
            <v>Harnett County Schools</v>
          </cell>
          <cell r="D166">
            <v>87666995.99999994</v>
          </cell>
          <cell r="E166">
            <v>88020095.33999981</v>
          </cell>
          <cell r="F166">
            <v>790961804.42079854</v>
          </cell>
          <cell r="G166">
            <v>1049072210.1307783</v>
          </cell>
          <cell r="M166">
            <v>5145791.63</v>
          </cell>
          <cell r="V166">
            <v>166</v>
          </cell>
        </row>
        <row r="167">
          <cell r="B167">
            <v>34400</v>
          </cell>
          <cell r="C167" t="str">
            <v>Haywood County Schools</v>
          </cell>
          <cell r="D167">
            <v>37703209.599999957</v>
          </cell>
          <cell r="E167">
            <v>38324638.400000051</v>
          </cell>
          <cell r="F167">
            <v>330333674.88579983</v>
          </cell>
          <cell r="G167">
            <v>445321897.43584991</v>
          </cell>
          <cell r="M167">
            <v>2200991.9500000002</v>
          </cell>
          <cell r="V167">
            <v>167</v>
          </cell>
        </row>
        <row r="168">
          <cell r="B168">
            <v>34405</v>
          </cell>
          <cell r="C168" t="str">
            <v>Haywood Technical College</v>
          </cell>
          <cell r="D168">
            <v>7796539.9800000051</v>
          </cell>
          <cell r="E168">
            <v>8141265.6999999993</v>
          </cell>
          <cell r="F168">
            <v>67443710.810500026</v>
          </cell>
          <cell r="G168">
            <v>93311472.113350034</v>
          </cell>
          <cell r="M168">
            <v>470881.04</v>
          </cell>
          <cell r="V168">
            <v>168</v>
          </cell>
        </row>
        <row r="169">
          <cell r="B169">
            <v>34500</v>
          </cell>
          <cell r="C169" t="str">
            <v>Henderson County Schools</v>
          </cell>
          <cell r="D169">
            <v>65171651.7999999</v>
          </cell>
          <cell r="E169">
            <v>66754769.790000111</v>
          </cell>
          <cell r="F169">
            <v>561355987.82840014</v>
          </cell>
          <cell r="G169">
            <v>765261550.13365066</v>
          </cell>
          <cell r="M169">
            <v>3820570.3299999996</v>
          </cell>
          <cell r="V169">
            <v>169</v>
          </cell>
        </row>
        <row r="170">
          <cell r="B170">
            <v>34501</v>
          </cell>
          <cell r="C170" t="str">
            <v>Mountain Community School</v>
          </cell>
          <cell r="D170">
            <v>804887.60000000009</v>
          </cell>
          <cell r="E170">
            <v>756108.58000000007</v>
          </cell>
          <cell r="F170">
            <v>7235431.0033</v>
          </cell>
          <cell r="G170">
            <v>8785160.5747999996</v>
          </cell>
          <cell r="M170">
            <v>43751.279999999992</v>
          </cell>
          <cell r="V170">
            <v>170</v>
          </cell>
        </row>
        <row r="171">
          <cell r="B171">
            <v>34505</v>
          </cell>
          <cell r="C171" t="str">
            <v>Blue Ridge Community College</v>
          </cell>
          <cell r="D171">
            <v>9196687.3600000031</v>
          </cell>
          <cell r="E171">
            <v>9672640.7699999996</v>
          </cell>
          <cell r="F171">
            <v>69681023.913699985</v>
          </cell>
          <cell r="G171">
            <v>94589426.762144983</v>
          </cell>
          <cell r="M171">
            <v>550374.14999999991</v>
          </cell>
          <cell r="V171">
            <v>171</v>
          </cell>
        </row>
        <row r="172">
          <cell r="B172">
            <v>34600</v>
          </cell>
          <cell r="C172" t="str">
            <v>Hertford County Schools</v>
          </cell>
          <cell r="D172">
            <v>16989970.689999994</v>
          </cell>
          <cell r="E172">
            <v>16910461.929999992</v>
          </cell>
          <cell r="F172">
            <v>137730573.17679998</v>
          </cell>
          <cell r="G172">
            <v>180240834.44930002</v>
          </cell>
          <cell r="M172">
            <v>969396.17</v>
          </cell>
          <cell r="V172">
            <v>172</v>
          </cell>
        </row>
        <row r="173">
          <cell r="B173">
            <v>34605</v>
          </cell>
          <cell r="C173" t="str">
            <v>Roanoke-Chowan Community College</v>
          </cell>
          <cell r="D173">
            <v>3903033.63</v>
          </cell>
          <cell r="E173">
            <v>4201772.21</v>
          </cell>
          <cell r="F173">
            <v>29988984.926500004</v>
          </cell>
          <cell r="G173">
            <v>42171665.991499998</v>
          </cell>
          <cell r="M173">
            <v>241490.59</v>
          </cell>
          <cell r="V173">
            <v>173</v>
          </cell>
        </row>
        <row r="174">
          <cell r="B174">
            <v>34700</v>
          </cell>
          <cell r="C174" t="str">
            <v>Hoke County Schools</v>
          </cell>
          <cell r="D174">
            <v>38046585.169999994</v>
          </cell>
          <cell r="E174">
            <v>39591307.19000005</v>
          </cell>
          <cell r="F174">
            <v>355386227.61370003</v>
          </cell>
          <cell r="G174">
            <v>502347260.23419255</v>
          </cell>
          <cell r="M174">
            <v>2283360.0299999998</v>
          </cell>
          <cell r="V174">
            <v>174</v>
          </cell>
        </row>
        <row r="175">
          <cell r="B175">
            <v>34800</v>
          </cell>
          <cell r="C175" t="str">
            <v>Hyde County Schools</v>
          </cell>
          <cell r="D175">
            <v>4912898.5600000024</v>
          </cell>
          <cell r="E175">
            <v>5121679.4700000016</v>
          </cell>
          <cell r="F175">
            <v>36137845.977499999</v>
          </cell>
          <cell r="G175">
            <v>51423047.80969999</v>
          </cell>
          <cell r="M175">
            <v>302836.2</v>
          </cell>
          <cell r="V175">
            <v>175</v>
          </cell>
        </row>
        <row r="176">
          <cell r="B176">
            <v>34900</v>
          </cell>
          <cell r="C176" t="str">
            <v>Iredell County Schools</v>
          </cell>
          <cell r="D176">
            <v>95953710.000000164</v>
          </cell>
          <cell r="E176">
            <v>96933813.520000041</v>
          </cell>
          <cell r="F176">
            <v>827633809.60330069</v>
          </cell>
          <cell r="G176">
            <v>1094443212.7282977</v>
          </cell>
          <cell r="M176">
            <v>5516097.8100000005</v>
          </cell>
          <cell r="V176">
            <v>176</v>
          </cell>
        </row>
        <row r="177">
          <cell r="B177">
            <v>34901</v>
          </cell>
          <cell r="C177" t="str">
            <v>American Renaissance Middle School</v>
          </cell>
          <cell r="D177">
            <v>2047338.7399999998</v>
          </cell>
          <cell r="E177">
            <v>2162233.81</v>
          </cell>
          <cell r="F177">
            <v>19571119.108699996</v>
          </cell>
          <cell r="G177">
            <v>27909201.869599998</v>
          </cell>
          <cell r="M177">
            <v>122589.16000000002</v>
          </cell>
          <cell r="V177">
            <v>177</v>
          </cell>
        </row>
        <row r="178">
          <cell r="B178">
            <v>34903</v>
          </cell>
          <cell r="C178" t="str">
            <v>Success Institute</v>
          </cell>
          <cell r="D178">
            <v>295846.37</v>
          </cell>
          <cell r="E178">
            <v>241292.06</v>
          </cell>
          <cell r="F178">
            <v>1952862.3412000001</v>
          </cell>
          <cell r="G178">
            <v>1750220.3961999998</v>
          </cell>
          <cell r="M178">
            <v>15207.669999999998</v>
          </cell>
          <cell r="V178">
            <v>178</v>
          </cell>
        </row>
        <row r="179">
          <cell r="B179">
            <v>34905</v>
          </cell>
          <cell r="C179" t="str">
            <v>Mitchell Community College</v>
          </cell>
          <cell r="D179">
            <v>10861096.220000008</v>
          </cell>
          <cell r="E179">
            <v>10185169.599999998</v>
          </cell>
          <cell r="F179">
            <v>88254760.301699966</v>
          </cell>
          <cell r="G179">
            <v>110145218.94029997</v>
          </cell>
          <cell r="M179">
            <v>574849.68999999994</v>
          </cell>
          <cell r="V179">
            <v>179</v>
          </cell>
        </row>
        <row r="180">
          <cell r="B180">
            <v>34910</v>
          </cell>
          <cell r="C180" t="str">
            <v>Mooresville City Schools</v>
          </cell>
          <cell r="D180">
            <v>27815335.029999979</v>
          </cell>
          <cell r="E180">
            <v>28760253.99000001</v>
          </cell>
          <cell r="F180">
            <v>249116192.37790003</v>
          </cell>
          <cell r="G180">
            <v>344826539.49079365</v>
          </cell>
          <cell r="M180">
            <v>1663838.31</v>
          </cell>
          <cell r="V180">
            <v>180</v>
          </cell>
        </row>
        <row r="181">
          <cell r="B181">
            <v>35000</v>
          </cell>
          <cell r="C181" t="str">
            <v>Jackson County Schools</v>
          </cell>
          <cell r="D181">
            <v>18809247.109999999</v>
          </cell>
          <cell r="E181">
            <v>18923949.79000001</v>
          </cell>
          <cell r="F181">
            <v>165578477.62439996</v>
          </cell>
          <cell r="G181">
            <v>221604541.90329152</v>
          </cell>
          <cell r="M181">
            <v>1123383.75</v>
          </cell>
          <cell r="V181">
            <v>181</v>
          </cell>
        </row>
        <row r="182">
          <cell r="B182">
            <v>35005</v>
          </cell>
          <cell r="C182" t="str">
            <v>Southwestern Community College</v>
          </cell>
          <cell r="D182">
            <v>9040718.5099999942</v>
          </cell>
          <cell r="E182">
            <v>9473854.3199999947</v>
          </cell>
          <cell r="F182">
            <v>76549898.889899999</v>
          </cell>
          <cell r="G182">
            <v>104446843.56925759</v>
          </cell>
          <cell r="M182">
            <v>546952.01</v>
          </cell>
          <cell r="V182">
            <v>182</v>
          </cell>
        </row>
        <row r="183">
          <cell r="B183">
            <v>35100</v>
          </cell>
          <cell r="C183" t="str">
            <v>Johnston County Schools</v>
          </cell>
          <cell r="D183">
            <v>155746591.00000027</v>
          </cell>
          <cell r="E183">
            <v>160761230.99999928</v>
          </cell>
          <cell r="F183">
            <v>1419794838.4342992</v>
          </cell>
          <cell r="G183">
            <v>1943610128.088058</v>
          </cell>
          <cell r="M183">
            <v>9279436.1999999993</v>
          </cell>
          <cell r="V183">
            <v>183</v>
          </cell>
        </row>
        <row r="184">
          <cell r="B184">
            <v>35105</v>
          </cell>
          <cell r="C184" t="str">
            <v>Johnston Technical College</v>
          </cell>
          <cell r="D184">
            <v>14689301.380000019</v>
          </cell>
          <cell r="E184">
            <v>15728539.479999999</v>
          </cell>
          <cell r="F184">
            <v>130060784.8611999</v>
          </cell>
          <cell r="G184">
            <v>180913688.44229022</v>
          </cell>
          <cell r="M184">
            <v>887406.2100000002</v>
          </cell>
          <cell r="V184">
            <v>184</v>
          </cell>
        </row>
        <row r="185">
          <cell r="B185">
            <v>35106</v>
          </cell>
          <cell r="C185" t="str">
            <v>Neuse Charter School</v>
          </cell>
          <cell r="D185">
            <v>2897664.0999999996</v>
          </cell>
          <cell r="E185">
            <v>3395559.830000001</v>
          </cell>
          <cell r="F185">
            <v>29906751.935900003</v>
          </cell>
          <cell r="G185">
            <v>45347219.3248</v>
          </cell>
          <cell r="M185">
            <v>191932.71</v>
          </cell>
          <cell r="V185">
            <v>185</v>
          </cell>
        </row>
        <row r="186">
          <cell r="B186">
            <v>35200</v>
          </cell>
          <cell r="C186" t="str">
            <v>Jones County Schools</v>
          </cell>
          <cell r="D186">
            <v>7932774.8499999987</v>
          </cell>
          <cell r="E186">
            <v>8278732.1899999976</v>
          </cell>
          <cell r="F186">
            <v>61090043.161999963</v>
          </cell>
          <cell r="G186">
            <v>83553045.66460003</v>
          </cell>
          <cell r="M186">
            <v>476656.06</v>
          </cell>
          <cell r="V186">
            <v>186</v>
          </cell>
        </row>
        <row r="187">
          <cell r="B187">
            <v>35300</v>
          </cell>
          <cell r="C187" t="str">
            <v>Sanford-Lee County Board Of Education</v>
          </cell>
          <cell r="D187">
            <v>46228675.499999963</v>
          </cell>
          <cell r="E187">
            <v>47527684.359999925</v>
          </cell>
          <cell r="F187">
            <v>405789074.6906001</v>
          </cell>
          <cell r="G187">
            <v>569720738.94249952</v>
          </cell>
          <cell r="M187">
            <v>2829384.72</v>
          </cell>
          <cell r="V187">
            <v>187</v>
          </cell>
        </row>
        <row r="188">
          <cell r="B188">
            <v>35305</v>
          </cell>
          <cell r="C188" t="str">
            <v>Central Carolina Community College</v>
          </cell>
          <cell r="D188">
            <v>17606707.239999987</v>
          </cell>
          <cell r="E188">
            <v>18830477.289999992</v>
          </cell>
          <cell r="F188">
            <v>147185182.02880001</v>
          </cell>
          <cell r="G188">
            <v>214516259.31055698</v>
          </cell>
          <cell r="M188">
            <v>1121723.2100000002</v>
          </cell>
          <cell r="V188">
            <v>188</v>
          </cell>
        </row>
        <row r="189">
          <cell r="B189">
            <v>35400</v>
          </cell>
          <cell r="C189" t="str">
            <v>Lenoir County Schools</v>
          </cell>
          <cell r="D189">
            <v>41247451.629999936</v>
          </cell>
          <cell r="E189">
            <v>41850396.309999958</v>
          </cell>
          <cell r="F189">
            <v>341011721.65120065</v>
          </cell>
          <cell r="G189">
            <v>455841642.2640931</v>
          </cell>
          <cell r="M189">
            <v>2417648.89</v>
          </cell>
          <cell r="V189">
            <v>189</v>
          </cell>
        </row>
        <row r="190">
          <cell r="B190">
            <v>35401</v>
          </cell>
          <cell r="C190" t="str">
            <v>Childrens Village Academy</v>
          </cell>
          <cell r="D190">
            <v>371769.55</v>
          </cell>
          <cell r="E190">
            <v>344520.31</v>
          </cell>
          <cell r="F190">
            <v>3208962.2691000002</v>
          </cell>
          <cell r="G190">
            <v>4197896.2397000007</v>
          </cell>
          <cell r="M190">
            <v>22698.78</v>
          </cell>
          <cell r="V190">
            <v>190</v>
          </cell>
        </row>
        <row r="191">
          <cell r="B191">
            <v>35405</v>
          </cell>
          <cell r="C191" t="str">
            <v>Lenoir County Community College</v>
          </cell>
          <cell r="D191">
            <v>13499277.029999997</v>
          </cell>
          <cell r="E191">
            <v>14071193.000000006</v>
          </cell>
          <cell r="F191">
            <v>112003256.63830002</v>
          </cell>
          <cell r="G191">
            <v>158082423.65269998</v>
          </cell>
          <cell r="M191">
            <v>816379.52</v>
          </cell>
          <cell r="V191">
            <v>191</v>
          </cell>
        </row>
        <row r="192">
          <cell r="B192">
            <v>35500</v>
          </cell>
          <cell r="C192" t="str">
            <v>Lincoln County Schools</v>
          </cell>
          <cell r="D192">
            <v>54233858.759999864</v>
          </cell>
          <cell r="E192">
            <v>55798882.090000018</v>
          </cell>
          <cell r="F192">
            <v>481781308.9702996</v>
          </cell>
          <cell r="G192">
            <v>649863438.98545659</v>
          </cell>
          <cell r="M192">
            <v>3177916.0800000005</v>
          </cell>
          <cell r="V192">
            <v>192</v>
          </cell>
        </row>
        <row r="193">
          <cell r="B193">
            <v>35600</v>
          </cell>
          <cell r="C193" t="str">
            <v>Macon County Schools</v>
          </cell>
          <cell r="D193">
            <v>22146187.539999947</v>
          </cell>
          <cell r="E193">
            <v>22403744.750000019</v>
          </cell>
          <cell r="F193">
            <v>187976347.73040006</v>
          </cell>
          <cell r="G193">
            <v>249039963.56705093</v>
          </cell>
          <cell r="M193">
            <v>1305102.3500000003</v>
          </cell>
          <cell r="V193">
            <v>193</v>
          </cell>
        </row>
        <row r="194">
          <cell r="B194">
            <v>35700</v>
          </cell>
          <cell r="C194" t="str">
            <v>Madison County Schools</v>
          </cell>
          <cell r="D194">
            <v>12825790.349999998</v>
          </cell>
          <cell r="E194">
            <v>12609939.180000005</v>
          </cell>
          <cell r="F194">
            <v>111991217.40370001</v>
          </cell>
          <cell r="G194">
            <v>140294928.03499994</v>
          </cell>
          <cell r="M194">
            <v>740681.17</v>
          </cell>
          <cell r="V194">
            <v>194</v>
          </cell>
        </row>
        <row r="195">
          <cell r="B195">
            <v>35800</v>
          </cell>
          <cell r="C195" t="str">
            <v>Martin County Schools</v>
          </cell>
          <cell r="D195">
            <v>20140409.27</v>
          </cell>
          <cell r="E195">
            <v>19721483.920000002</v>
          </cell>
          <cell r="F195">
            <v>158297787.06939995</v>
          </cell>
          <cell r="G195">
            <v>202087906.11369976</v>
          </cell>
          <cell r="M195">
            <v>1132700.52</v>
          </cell>
          <cell r="V195">
            <v>195</v>
          </cell>
        </row>
        <row r="196">
          <cell r="B196">
            <v>35805</v>
          </cell>
          <cell r="C196" t="str">
            <v>Martin Community College</v>
          </cell>
          <cell r="D196">
            <v>3054730.0500000007</v>
          </cell>
          <cell r="E196">
            <v>3495280.6200000006</v>
          </cell>
          <cell r="F196">
            <v>23109713.635900009</v>
          </cell>
          <cell r="G196">
            <v>31612496.356900003</v>
          </cell>
          <cell r="M196">
            <v>210359.18</v>
          </cell>
          <cell r="V196">
            <v>196</v>
          </cell>
        </row>
        <row r="197">
          <cell r="B197">
            <v>35900</v>
          </cell>
          <cell r="C197" t="str">
            <v>Mcdowell County Schools</v>
          </cell>
          <cell r="D197">
            <v>32296410.949999969</v>
          </cell>
          <cell r="E197">
            <v>33198038.550000027</v>
          </cell>
          <cell r="F197">
            <v>282897174.7049998</v>
          </cell>
          <cell r="G197">
            <v>379024722.38289273</v>
          </cell>
          <cell r="M197">
            <v>1899327.8199999998</v>
          </cell>
          <cell r="V197">
            <v>197</v>
          </cell>
        </row>
        <row r="198">
          <cell r="B198">
            <v>35905</v>
          </cell>
          <cell r="C198" t="str">
            <v>Mcdowell Technical College</v>
          </cell>
          <cell r="D198">
            <v>5550163.2800000012</v>
          </cell>
          <cell r="E198">
            <v>5626005.3199999994</v>
          </cell>
          <cell r="F198">
            <v>40331169.474400021</v>
          </cell>
          <cell r="G198">
            <v>49838384.816099986</v>
          </cell>
          <cell r="M198">
            <v>326862.16000000003</v>
          </cell>
          <cell r="V198">
            <v>198</v>
          </cell>
        </row>
        <row r="199">
          <cell r="B199">
            <v>36000</v>
          </cell>
          <cell r="C199" t="str">
            <v>Charlotte-Mecklenburg County Schools</v>
          </cell>
          <cell r="D199">
            <v>681625731.35000134</v>
          </cell>
          <cell r="E199">
            <v>714265233.25000679</v>
          </cell>
          <cell r="F199">
            <v>6344928233.2403946</v>
          </cell>
          <cell r="G199">
            <v>8895219968.9437866</v>
          </cell>
          <cell r="M199">
            <v>41564996.18</v>
          </cell>
          <cell r="V199">
            <v>199</v>
          </cell>
        </row>
        <row r="200">
          <cell r="B200">
            <v>36001</v>
          </cell>
          <cell r="C200" t="str">
            <v>Community Charter School</v>
          </cell>
          <cell r="D200">
            <v>372417.35</v>
          </cell>
          <cell r="E200">
            <v>353785.51</v>
          </cell>
          <cell r="F200">
            <v>3595364.1063999999</v>
          </cell>
          <cell r="G200">
            <v>4542279.4012000002</v>
          </cell>
          <cell r="M200">
            <v>20743.060000000001</v>
          </cell>
          <cell r="V200">
            <v>200</v>
          </cell>
        </row>
        <row r="201">
          <cell r="B201">
            <v>36002</v>
          </cell>
          <cell r="C201" t="str">
            <v>Kennedy Charter</v>
          </cell>
          <cell r="D201">
            <v>2425078.2400000002</v>
          </cell>
          <cell r="E201">
            <v>1857050.5799999996</v>
          </cell>
          <cell r="F201">
            <v>25196002.790000003</v>
          </cell>
          <cell r="G201">
            <v>24992530.963199999</v>
          </cell>
          <cell r="M201">
            <v>100328.58999999998</v>
          </cell>
          <cell r="V201">
            <v>201</v>
          </cell>
        </row>
        <row r="202">
          <cell r="B202">
            <v>36003</v>
          </cell>
          <cell r="C202" t="str">
            <v>Community School Of Davidson</v>
          </cell>
          <cell r="D202">
            <v>4658513.9599999981</v>
          </cell>
          <cell r="E202">
            <v>4819997.4300000006</v>
          </cell>
          <cell r="F202">
            <v>48379237.402099974</v>
          </cell>
          <cell r="G202">
            <v>66010446.137750059</v>
          </cell>
          <cell r="M202">
            <v>279634.84000000003</v>
          </cell>
          <cell r="V202">
            <v>202</v>
          </cell>
        </row>
        <row r="203">
          <cell r="B203">
            <v>36004</v>
          </cell>
          <cell r="C203" t="str">
            <v>Corvian Community School</v>
          </cell>
          <cell r="D203">
            <v>1786867.3900000006</v>
          </cell>
          <cell r="E203">
            <v>2255330.2499999995</v>
          </cell>
          <cell r="F203">
            <v>19739524.042199999</v>
          </cell>
          <cell r="G203">
            <v>33599579.738799989</v>
          </cell>
          <cell r="M203">
            <v>131096.16999999998</v>
          </cell>
          <cell r="V203">
            <v>203</v>
          </cell>
        </row>
        <row r="204">
          <cell r="B204">
            <v>36005</v>
          </cell>
          <cell r="C204" t="str">
            <v>Central Piedmont Community College</v>
          </cell>
          <cell r="D204">
            <v>65165142.030000031</v>
          </cell>
          <cell r="E204">
            <v>69143334.120000049</v>
          </cell>
          <cell r="F204">
            <v>531054589.96099967</v>
          </cell>
          <cell r="G204">
            <v>756899607.51857007</v>
          </cell>
          <cell r="M204">
            <v>4000939.22</v>
          </cell>
          <cell r="V204">
            <v>204</v>
          </cell>
        </row>
        <row r="205">
          <cell r="B205">
            <v>36006</v>
          </cell>
          <cell r="C205" t="str">
            <v>Lake Norman Charter School</v>
          </cell>
          <cell r="D205">
            <v>5823841.2600000016</v>
          </cell>
          <cell r="E205">
            <v>6132666.4799999995</v>
          </cell>
          <cell r="F205">
            <v>60069189.214000031</v>
          </cell>
          <cell r="G205">
            <v>82296269.40169999</v>
          </cell>
          <cell r="M205">
            <v>351875.18</v>
          </cell>
          <cell r="V205">
            <v>205</v>
          </cell>
        </row>
        <row r="206">
          <cell r="B206">
            <v>36007</v>
          </cell>
          <cell r="C206" t="str">
            <v>Socrates Academy</v>
          </cell>
          <cell r="D206">
            <v>2071786.96</v>
          </cell>
          <cell r="E206">
            <v>2123885.6199999996</v>
          </cell>
          <cell r="F206">
            <v>20947455.407699998</v>
          </cell>
          <cell r="G206">
            <v>27996668.607399989</v>
          </cell>
          <cell r="M206">
            <v>124428.83</v>
          </cell>
          <cell r="V206">
            <v>206</v>
          </cell>
        </row>
        <row r="207">
          <cell r="B207">
            <v>36008</v>
          </cell>
          <cell r="C207" t="str">
            <v>Pine Lake Prep Charter</v>
          </cell>
          <cell r="D207">
            <v>5639232.1999999993</v>
          </cell>
          <cell r="E207">
            <v>5994908.870000002</v>
          </cell>
          <cell r="F207">
            <v>61533643.993499979</v>
          </cell>
          <cell r="G207">
            <v>87251733.359599978</v>
          </cell>
          <cell r="M207">
            <v>336740.07999999996</v>
          </cell>
          <cell r="V207">
            <v>207</v>
          </cell>
        </row>
        <row r="208">
          <cell r="B208">
            <v>36009</v>
          </cell>
          <cell r="C208" t="str">
            <v>Charlotte Secondary Charter</v>
          </cell>
          <cell r="D208">
            <v>1668773.7199999997</v>
          </cell>
          <cell r="E208">
            <v>1841895.1</v>
          </cell>
          <cell r="F208">
            <v>16918037.484999999</v>
          </cell>
          <cell r="G208">
            <v>27122899.102750003</v>
          </cell>
          <cell r="M208">
            <v>110076.58</v>
          </cell>
          <cell r="V208">
            <v>208</v>
          </cell>
        </row>
        <row r="209">
          <cell r="B209">
            <v>36100</v>
          </cell>
          <cell r="C209" t="str">
            <v>Mitchell County Schools</v>
          </cell>
          <cell r="D209">
            <v>10832002.170000002</v>
          </cell>
          <cell r="E209">
            <v>10989867.26999999</v>
          </cell>
          <cell r="F209">
            <v>87150476.48909995</v>
          </cell>
          <cell r="G209">
            <v>114527189.78119996</v>
          </cell>
          <cell r="M209">
            <v>628618.34</v>
          </cell>
          <cell r="V209">
            <v>209</v>
          </cell>
        </row>
        <row r="210">
          <cell r="B210">
            <v>36102</v>
          </cell>
          <cell r="C210" t="str">
            <v>Kipp Charlotte Charter</v>
          </cell>
          <cell r="D210">
            <v>1482553.2</v>
          </cell>
          <cell r="E210">
            <v>1834403.22</v>
          </cell>
          <cell r="F210">
            <v>16364264.1558</v>
          </cell>
          <cell r="G210">
            <v>27713089.4113</v>
          </cell>
          <cell r="M210">
            <v>102156.22</v>
          </cell>
          <cell r="V210">
            <v>210</v>
          </cell>
        </row>
        <row r="211">
          <cell r="B211">
            <v>36105</v>
          </cell>
          <cell r="C211" t="str">
            <v>Mayland Technical College</v>
          </cell>
          <cell r="D211">
            <v>6093298.2900000019</v>
          </cell>
          <cell r="E211">
            <v>5969869.6899999995</v>
          </cell>
          <cell r="F211">
            <v>45558500.696099989</v>
          </cell>
          <cell r="G211">
            <v>58669980.106100015</v>
          </cell>
          <cell r="M211">
            <v>351269.18999999994</v>
          </cell>
          <cell r="V211">
            <v>211</v>
          </cell>
        </row>
        <row r="212">
          <cell r="B212">
            <v>36200</v>
          </cell>
          <cell r="C212" t="str">
            <v>Montgomery County Schools</v>
          </cell>
          <cell r="D212">
            <v>21942123.84</v>
          </cell>
          <cell r="E212">
            <v>22195620.610000007</v>
          </cell>
          <cell r="F212">
            <v>172980741.7345998</v>
          </cell>
          <cell r="G212">
            <v>235217459.57333708</v>
          </cell>
          <cell r="M212">
            <v>1280053.18</v>
          </cell>
          <cell r="V212">
            <v>212</v>
          </cell>
        </row>
        <row r="213">
          <cell r="B213">
            <v>36205</v>
          </cell>
          <cell r="C213" t="str">
            <v>Montgomery Community College</v>
          </cell>
          <cell r="D213">
            <v>3841057.79</v>
          </cell>
          <cell r="E213">
            <v>3891820.2999999989</v>
          </cell>
          <cell r="F213">
            <v>30920111.273899991</v>
          </cell>
          <cell r="G213">
            <v>41496389.026300006</v>
          </cell>
          <cell r="M213">
            <v>223448.52</v>
          </cell>
          <cell r="V213">
            <v>213</v>
          </cell>
        </row>
        <row r="214">
          <cell r="B214">
            <v>36300</v>
          </cell>
          <cell r="C214" t="str">
            <v>Moore County Schools</v>
          </cell>
          <cell r="D214">
            <v>62785133.499999993</v>
          </cell>
          <cell r="E214">
            <v>65112504.539999925</v>
          </cell>
          <cell r="F214">
            <v>539842785.9162997</v>
          </cell>
          <cell r="G214">
            <v>743835092.31826484</v>
          </cell>
          <cell r="M214">
            <v>3827040.9699999993</v>
          </cell>
          <cell r="V214">
            <v>214</v>
          </cell>
        </row>
        <row r="215">
          <cell r="B215">
            <v>36301</v>
          </cell>
          <cell r="C215" t="str">
            <v>Academy Of Moore County</v>
          </cell>
          <cell r="D215">
            <v>648816.75</v>
          </cell>
          <cell r="E215">
            <v>726906.58000000007</v>
          </cell>
          <cell r="F215">
            <v>5795161.1009999998</v>
          </cell>
          <cell r="G215">
            <v>9600362.6270000003</v>
          </cell>
          <cell r="M215">
            <v>40808.53</v>
          </cell>
          <cell r="V215">
            <v>215</v>
          </cell>
        </row>
        <row r="216">
          <cell r="B216">
            <v>36302</v>
          </cell>
          <cell r="C216" t="str">
            <v>Stars Charter School</v>
          </cell>
          <cell r="D216">
            <v>1398097.9100000001</v>
          </cell>
          <cell r="E216">
            <v>1436669.5200000003</v>
          </cell>
          <cell r="F216">
            <v>13425178.953499999</v>
          </cell>
          <cell r="G216">
            <v>18896299.531399991</v>
          </cell>
          <cell r="M216">
            <v>81262.929999999993</v>
          </cell>
          <cell r="V216">
            <v>216</v>
          </cell>
        </row>
        <row r="217">
          <cell r="B217">
            <v>36305</v>
          </cell>
          <cell r="C217" t="str">
            <v>Sandhills Community College</v>
          </cell>
          <cell r="D217">
            <v>14337065.23</v>
          </cell>
          <cell r="E217">
            <v>14893977.860000012</v>
          </cell>
          <cell r="F217">
            <v>107568019.03640008</v>
          </cell>
          <cell r="G217">
            <v>149767204.85058302</v>
          </cell>
          <cell r="M217">
            <v>853154.71000000008</v>
          </cell>
          <cell r="V217">
            <v>217</v>
          </cell>
        </row>
        <row r="218">
          <cell r="B218">
            <v>36400</v>
          </cell>
          <cell r="C218" t="str">
            <v>Nash-Rocky Mount Schools</v>
          </cell>
          <cell r="D218">
            <v>72903363.039999947</v>
          </cell>
          <cell r="E218">
            <v>73556121.539999887</v>
          </cell>
          <cell r="F218">
            <v>597417872.85470033</v>
          </cell>
          <cell r="G218">
            <v>798178934.62570596</v>
          </cell>
          <cell r="M218">
            <v>4324194.4699999988</v>
          </cell>
          <cell r="V218">
            <v>218</v>
          </cell>
        </row>
        <row r="219">
          <cell r="B219">
            <v>36405</v>
          </cell>
          <cell r="C219" t="str">
            <v>Nash Technical College</v>
          </cell>
          <cell r="D219">
            <v>11692311.660000008</v>
          </cell>
          <cell r="E219">
            <v>12522920.060000004</v>
          </cell>
          <cell r="F219">
            <v>95025215.57510002</v>
          </cell>
          <cell r="G219">
            <v>135739117.66581658</v>
          </cell>
          <cell r="M219">
            <v>730429.57000000007</v>
          </cell>
          <cell r="V219">
            <v>219</v>
          </cell>
        </row>
        <row r="220">
          <cell r="B220">
            <v>36500</v>
          </cell>
          <cell r="C220" t="str">
            <v>New Hanover County Schools</v>
          </cell>
          <cell r="D220">
            <v>135092597.5099999</v>
          </cell>
          <cell r="E220">
            <v>137779977.63999993</v>
          </cell>
          <cell r="F220">
            <v>1152882798.6836998</v>
          </cell>
          <cell r="G220">
            <v>1576913735.8970599</v>
          </cell>
          <cell r="M220">
            <v>7912128.7299999995</v>
          </cell>
          <cell r="V220">
            <v>220</v>
          </cell>
        </row>
        <row r="221">
          <cell r="B221">
            <v>36501</v>
          </cell>
          <cell r="C221" t="str">
            <v>Cape Fear Center For Inquiry</v>
          </cell>
          <cell r="D221">
            <v>1583938.7699999998</v>
          </cell>
          <cell r="E221">
            <v>1499516.45</v>
          </cell>
          <cell r="F221">
            <v>14106043.319899995</v>
          </cell>
          <cell r="G221">
            <v>18846349.271299999</v>
          </cell>
          <cell r="M221">
            <v>85130.3</v>
          </cell>
          <cell r="V221">
            <v>221</v>
          </cell>
        </row>
        <row r="222">
          <cell r="B222">
            <v>36502</v>
          </cell>
          <cell r="C222" t="str">
            <v>Wilmington Preparatory Academy</v>
          </cell>
          <cell r="D222">
            <v>560379.66</v>
          </cell>
          <cell r="E222">
            <v>539505.5</v>
          </cell>
          <cell r="F222">
            <v>5876054.9932999983</v>
          </cell>
          <cell r="G222">
            <v>7778712.3083000015</v>
          </cell>
          <cell r="M222">
            <v>31806.739999999994</v>
          </cell>
          <cell r="V222">
            <v>222</v>
          </cell>
        </row>
        <row r="223">
          <cell r="B223">
            <v>36505</v>
          </cell>
          <cell r="C223" t="str">
            <v>Cape Fear Community College</v>
          </cell>
          <cell r="D223">
            <v>28826965.719999984</v>
          </cell>
          <cell r="E223">
            <v>29087117.839999989</v>
          </cell>
          <cell r="F223">
            <v>236703345.02600005</v>
          </cell>
          <cell r="G223">
            <v>314693107.06327885</v>
          </cell>
          <cell r="M223">
            <v>1739101.93</v>
          </cell>
          <cell r="V223">
            <v>223</v>
          </cell>
        </row>
        <row r="224">
          <cell r="B224">
            <v>36600</v>
          </cell>
          <cell r="C224" t="str">
            <v>Northampton County Schools</v>
          </cell>
          <cell r="D224">
            <v>11823180.790000005</v>
          </cell>
          <cell r="E224">
            <v>11393591.629999992</v>
          </cell>
          <cell r="F224">
            <v>93567183.885199919</v>
          </cell>
          <cell r="G224">
            <v>116482565.12861156</v>
          </cell>
          <cell r="M224">
            <v>670916.19999999995</v>
          </cell>
          <cell r="V224">
            <v>224</v>
          </cell>
        </row>
        <row r="225">
          <cell r="B225">
            <v>36601</v>
          </cell>
          <cell r="C225" t="str">
            <v>Gaston College Preparatory Charter</v>
          </cell>
          <cell r="D225">
            <v>3706030.3400000003</v>
          </cell>
          <cell r="E225">
            <v>4426537.1399999978</v>
          </cell>
          <cell r="F225">
            <v>39304146.120499998</v>
          </cell>
          <cell r="G225">
            <v>62609065.780770883</v>
          </cell>
          <cell r="M225">
            <v>264305.57</v>
          </cell>
          <cell r="V225">
            <v>225</v>
          </cell>
        </row>
        <row r="226">
          <cell r="B226">
            <v>36700</v>
          </cell>
          <cell r="C226" t="str">
            <v>Onslow County Schools</v>
          </cell>
          <cell r="D226">
            <v>119711175.93999976</v>
          </cell>
          <cell r="E226">
            <v>117141754.23999991</v>
          </cell>
          <cell r="F226">
            <v>1047976760.6706997</v>
          </cell>
          <cell r="G226">
            <v>1363004321.263164</v>
          </cell>
          <cell r="M226">
            <v>6720931.9200000009</v>
          </cell>
          <cell r="V226">
            <v>226</v>
          </cell>
        </row>
        <row r="227">
          <cell r="B227">
            <v>36701</v>
          </cell>
          <cell r="C227" t="str">
            <v>Zeca School Of The Arts And Technology</v>
          </cell>
          <cell r="D227">
            <v>325087.43</v>
          </cell>
          <cell r="E227">
            <v>473452.91000000003</v>
          </cell>
          <cell r="F227">
            <v>3247661.4950000001</v>
          </cell>
          <cell r="G227">
            <v>6984671.1623</v>
          </cell>
          <cell r="M227">
            <v>26841.470000000005</v>
          </cell>
          <cell r="V227">
            <v>227</v>
          </cell>
        </row>
        <row r="228">
          <cell r="B228">
            <v>36705</v>
          </cell>
          <cell r="C228" t="str">
            <v>Coastal Carolina Community College</v>
          </cell>
          <cell r="D228">
            <v>13786702.849999988</v>
          </cell>
          <cell r="E228">
            <v>13842596.460000001</v>
          </cell>
          <cell r="F228">
            <v>118717728.37600003</v>
          </cell>
          <cell r="G228">
            <v>158358736.23645002</v>
          </cell>
          <cell r="M228">
            <v>826433.60999999987</v>
          </cell>
          <cell r="V228">
            <v>228</v>
          </cell>
        </row>
        <row r="229">
          <cell r="B229">
            <v>36800</v>
          </cell>
          <cell r="C229" t="str">
            <v>Orange County Schools</v>
          </cell>
          <cell r="D229">
            <v>43797069.859999955</v>
          </cell>
          <cell r="E229">
            <v>45896753.31000001</v>
          </cell>
          <cell r="F229">
            <v>369240434.89219964</v>
          </cell>
          <cell r="G229">
            <v>515808782.89304972</v>
          </cell>
          <cell r="M229">
            <v>2640320.61</v>
          </cell>
          <cell r="V229">
            <v>229</v>
          </cell>
        </row>
        <row r="230">
          <cell r="B230">
            <v>36802</v>
          </cell>
          <cell r="C230" t="str">
            <v>Orange Charter School</v>
          </cell>
          <cell r="D230">
            <v>1012131.9400000003</v>
          </cell>
          <cell r="E230">
            <v>1024131.2600000001</v>
          </cell>
          <cell r="F230">
            <v>10932912.840900004</v>
          </cell>
          <cell r="G230">
            <v>13835151.160499997</v>
          </cell>
          <cell r="M230">
            <v>54759.369999999995</v>
          </cell>
          <cell r="V230">
            <v>230</v>
          </cell>
        </row>
        <row r="231">
          <cell r="B231">
            <v>36810</v>
          </cell>
          <cell r="C231" t="str">
            <v>Chapel Hill - Carboro City Schools</v>
          </cell>
          <cell r="D231">
            <v>82091462.299999923</v>
          </cell>
          <cell r="E231">
            <v>85427898.969999939</v>
          </cell>
          <cell r="F231">
            <v>725648211.6998986</v>
          </cell>
          <cell r="G231">
            <v>1009278391.727854</v>
          </cell>
          <cell r="M231">
            <v>4839997.24</v>
          </cell>
          <cell r="V231">
            <v>231</v>
          </cell>
        </row>
        <row r="232">
          <cell r="B232">
            <v>36900</v>
          </cell>
          <cell r="C232" t="str">
            <v>Pamlico County Schools</v>
          </cell>
          <cell r="D232">
            <v>8276477.8999999985</v>
          </cell>
          <cell r="E232">
            <v>8727933.4099999983</v>
          </cell>
          <cell r="F232">
            <v>68860717.255400002</v>
          </cell>
          <cell r="G232">
            <v>96356129.171299979</v>
          </cell>
          <cell r="M232">
            <v>507007.10000000003</v>
          </cell>
          <cell r="V232">
            <v>232</v>
          </cell>
        </row>
        <row r="233">
          <cell r="B233">
            <v>36901</v>
          </cell>
          <cell r="C233" t="str">
            <v>Arapahoe Charter School</v>
          </cell>
          <cell r="D233">
            <v>2546730.4500000002</v>
          </cell>
          <cell r="E233">
            <v>2816867.1299999994</v>
          </cell>
          <cell r="F233">
            <v>22593282.805899989</v>
          </cell>
          <cell r="G233">
            <v>31532940.005000003</v>
          </cell>
          <cell r="M233">
            <v>166782.29</v>
          </cell>
          <cell r="V233">
            <v>233</v>
          </cell>
        </row>
        <row r="234">
          <cell r="B234">
            <v>36905</v>
          </cell>
          <cell r="C234" t="str">
            <v>Pamlico Community College</v>
          </cell>
          <cell r="D234">
            <v>3291835.7600000012</v>
          </cell>
          <cell r="E234">
            <v>3036657.6600000006</v>
          </cell>
          <cell r="F234">
            <v>24846593.831100002</v>
          </cell>
          <cell r="G234">
            <v>28863283.236099988</v>
          </cell>
          <cell r="M234">
            <v>183315.44</v>
          </cell>
          <cell r="V234">
            <v>234</v>
          </cell>
        </row>
        <row r="235">
          <cell r="B235">
            <v>37000</v>
          </cell>
          <cell r="C235" t="str">
            <v>Elizabeth City And Pasquotank County Schools</v>
          </cell>
          <cell r="D235">
            <v>28283915.580000017</v>
          </cell>
          <cell r="E235">
            <v>29918337.110000029</v>
          </cell>
          <cell r="F235">
            <v>235091392.97449979</v>
          </cell>
          <cell r="G235">
            <v>332757912.24252808</v>
          </cell>
          <cell r="M235">
            <v>1733528.52</v>
          </cell>
          <cell r="V235">
            <v>235</v>
          </cell>
        </row>
        <row r="236">
          <cell r="B236">
            <v>37001</v>
          </cell>
          <cell r="C236" t="str">
            <v>N.E. ACADEMY OF AEROSPACE &amp; ADV.TECH</v>
          </cell>
          <cell r="D236">
            <v>0</v>
          </cell>
          <cell r="E236">
            <v>343321.99000000005</v>
          </cell>
          <cell r="F236">
            <v>0</v>
          </cell>
          <cell r="G236">
            <v>5375081.3422999987</v>
          </cell>
          <cell r="M236">
            <v>29411.79</v>
          </cell>
          <cell r="V236">
            <v>236</v>
          </cell>
        </row>
        <row r="237">
          <cell r="B237">
            <v>37005</v>
          </cell>
          <cell r="C237" t="str">
            <v>College Of The Albemarle</v>
          </cell>
          <cell r="D237">
            <v>7947206.5199999996</v>
          </cell>
          <cell r="E237">
            <v>7770150.4700000007</v>
          </cell>
          <cell r="F237">
            <v>61645795.853700005</v>
          </cell>
          <cell r="G237">
            <v>78274982.212499976</v>
          </cell>
          <cell r="M237">
            <v>463201.9</v>
          </cell>
          <cell r="V237">
            <v>237</v>
          </cell>
        </row>
        <row r="238">
          <cell r="B238">
            <v>37100</v>
          </cell>
          <cell r="C238" t="str">
            <v>Pender County Schools</v>
          </cell>
          <cell r="D238">
            <v>38430995.06999997</v>
          </cell>
          <cell r="E238">
            <v>39904202.460000046</v>
          </cell>
          <cell r="F238">
            <v>336470444.75389999</v>
          </cell>
          <cell r="G238">
            <v>469086413.25363415</v>
          </cell>
          <cell r="M238">
            <v>2336761.85</v>
          </cell>
          <cell r="V238">
            <v>238</v>
          </cell>
        </row>
        <row r="239">
          <cell r="B239">
            <v>37200</v>
          </cell>
          <cell r="C239" t="str">
            <v>Perquimans County Schools</v>
          </cell>
          <cell r="D239">
            <v>9499604.230000006</v>
          </cell>
          <cell r="E239">
            <v>9714594.7999999952</v>
          </cell>
          <cell r="F239">
            <v>79215399.174700037</v>
          </cell>
          <cell r="G239">
            <v>106077821.91629998</v>
          </cell>
          <cell r="M239">
            <v>567620.79999999993</v>
          </cell>
          <cell r="V239">
            <v>239</v>
          </cell>
        </row>
        <row r="240">
          <cell r="B240">
            <v>37300</v>
          </cell>
          <cell r="C240" t="str">
            <v>Person County Schools</v>
          </cell>
          <cell r="D240">
            <v>23288484.989999991</v>
          </cell>
          <cell r="E240">
            <v>23993814.67999997</v>
          </cell>
          <cell r="F240">
            <v>204621407.07539988</v>
          </cell>
          <cell r="G240">
            <v>278889167.66180271</v>
          </cell>
          <cell r="M240">
            <v>1419914.53</v>
          </cell>
          <cell r="V240">
            <v>240</v>
          </cell>
        </row>
        <row r="241">
          <cell r="B241">
            <v>37301</v>
          </cell>
          <cell r="C241" t="str">
            <v>Roxboro Community School</v>
          </cell>
          <cell r="D241">
            <v>2519270.84</v>
          </cell>
          <cell r="E241">
            <v>2604506.2000000002</v>
          </cell>
          <cell r="F241">
            <v>22298726.6503</v>
          </cell>
          <cell r="G241">
            <v>30536191.651600003</v>
          </cell>
          <cell r="M241">
            <v>143750.54999999999</v>
          </cell>
          <cell r="V241">
            <v>241</v>
          </cell>
        </row>
        <row r="242">
          <cell r="B242">
            <v>37305</v>
          </cell>
          <cell r="C242" t="str">
            <v>Piedmont Community College</v>
          </cell>
          <cell r="D242">
            <v>9427772.1599999983</v>
          </cell>
          <cell r="E242">
            <v>8940572.0300000012</v>
          </cell>
          <cell r="F242">
            <v>71251716.794399947</v>
          </cell>
          <cell r="G242">
            <v>81814079.883749932</v>
          </cell>
          <cell r="M242">
            <v>506041.13</v>
          </cell>
          <cell r="V242">
            <v>242</v>
          </cell>
        </row>
        <row r="243">
          <cell r="B243">
            <v>37400</v>
          </cell>
          <cell r="C243" t="str">
            <v>Pitt County Schools</v>
          </cell>
          <cell r="D243">
            <v>111901705.91000032</v>
          </cell>
          <cell r="E243">
            <v>113908109.3899996</v>
          </cell>
          <cell r="F243">
            <v>1015222513.2668983</v>
          </cell>
          <cell r="G243">
            <v>1375046115.4647663</v>
          </cell>
          <cell r="M243">
            <v>6548688.5199999996</v>
          </cell>
          <cell r="V243">
            <v>243</v>
          </cell>
        </row>
        <row r="244">
          <cell r="B244">
            <v>37405</v>
          </cell>
          <cell r="C244" t="str">
            <v>Pitt Community College</v>
          </cell>
          <cell r="D244">
            <v>25363928.390000012</v>
          </cell>
          <cell r="E244">
            <v>26844527.370000001</v>
          </cell>
          <cell r="F244">
            <v>217162532.4836998</v>
          </cell>
          <cell r="G244">
            <v>305333633.06653422</v>
          </cell>
          <cell r="M244">
            <v>1548872.51</v>
          </cell>
          <cell r="V244">
            <v>244</v>
          </cell>
        </row>
        <row r="245">
          <cell r="B245">
            <v>37500</v>
          </cell>
          <cell r="C245" t="str">
            <v>Polk County Schools</v>
          </cell>
          <cell r="D245">
            <v>14528971.859999998</v>
          </cell>
          <cell r="E245">
            <v>14478684.469999995</v>
          </cell>
          <cell r="F245">
            <v>118690091.12200011</v>
          </cell>
          <cell r="G245">
            <v>155277060.76849994</v>
          </cell>
          <cell r="M245">
            <v>841742.28</v>
          </cell>
          <cell r="V245">
            <v>245</v>
          </cell>
        </row>
        <row r="246">
          <cell r="B246">
            <v>37600</v>
          </cell>
          <cell r="C246" t="str">
            <v>Randolph County Schools</v>
          </cell>
          <cell r="D246">
            <v>81682815.009999752</v>
          </cell>
          <cell r="E246">
            <v>81665226.429999739</v>
          </cell>
          <cell r="F246">
            <v>713376818.49110115</v>
          </cell>
          <cell r="G246">
            <v>949215821.66498089</v>
          </cell>
          <cell r="M246">
            <v>4672122.43</v>
          </cell>
          <cell r="V246">
            <v>246</v>
          </cell>
        </row>
        <row r="247">
          <cell r="B247">
            <v>37601</v>
          </cell>
          <cell r="C247" t="str">
            <v>Uwharrie Charter Academy</v>
          </cell>
          <cell r="D247">
            <v>835420.74000000011</v>
          </cell>
          <cell r="E247">
            <v>2114213.23</v>
          </cell>
          <cell r="F247">
            <v>8570310.6278000027</v>
          </cell>
          <cell r="G247">
            <v>30084825.061999999</v>
          </cell>
          <cell r="M247">
            <v>125594.41</v>
          </cell>
          <cell r="V247">
            <v>247</v>
          </cell>
        </row>
        <row r="248">
          <cell r="B248">
            <v>37605</v>
          </cell>
          <cell r="C248" t="str">
            <v>Randolph Community College</v>
          </cell>
          <cell r="D248">
            <v>9562718.540000001</v>
          </cell>
          <cell r="E248">
            <v>9863149.0599999987</v>
          </cell>
          <cell r="F248">
            <v>81836905.871999949</v>
          </cell>
          <cell r="G248">
            <v>114348177.09332833</v>
          </cell>
          <cell r="M248">
            <v>581399.93999999994</v>
          </cell>
          <cell r="V248">
            <v>248</v>
          </cell>
        </row>
        <row r="249">
          <cell r="B249">
            <v>37610</v>
          </cell>
          <cell r="C249" t="str">
            <v>Asheboro City Schools</v>
          </cell>
          <cell r="D249">
            <v>24350927.729999993</v>
          </cell>
          <cell r="E249">
            <v>23483385.259999994</v>
          </cell>
          <cell r="F249">
            <v>228714052.10609978</v>
          </cell>
          <cell r="G249">
            <v>290741738.90029997</v>
          </cell>
          <cell r="M249">
            <v>1340299.8400000001</v>
          </cell>
          <cell r="V249">
            <v>249</v>
          </cell>
        </row>
        <row r="250">
          <cell r="B250">
            <v>37700</v>
          </cell>
          <cell r="C250" t="str">
            <v>Richmond County Schools</v>
          </cell>
          <cell r="D250">
            <v>34781088.399999917</v>
          </cell>
          <cell r="E250">
            <v>35867836.239999972</v>
          </cell>
          <cell r="F250">
            <v>296270128.56899995</v>
          </cell>
          <cell r="G250">
            <v>405573250.77566701</v>
          </cell>
          <cell r="M250">
            <v>2067469.7099999997</v>
          </cell>
          <cell r="V250">
            <v>250</v>
          </cell>
        </row>
        <row r="251">
          <cell r="B251">
            <v>37705</v>
          </cell>
          <cell r="C251" t="str">
            <v>Richmond Technical College</v>
          </cell>
          <cell r="D251">
            <v>10110215.08</v>
          </cell>
          <cell r="E251">
            <v>10587343.410000011</v>
          </cell>
          <cell r="F251">
            <v>85567069.112599939</v>
          </cell>
          <cell r="G251">
            <v>117724140.23142754</v>
          </cell>
          <cell r="M251">
            <v>613177.19000000006</v>
          </cell>
          <cell r="V251">
            <v>251</v>
          </cell>
        </row>
        <row r="252">
          <cell r="B252">
            <v>37800</v>
          </cell>
          <cell r="C252" t="str">
            <v>Robeson County Schools</v>
          </cell>
          <cell r="D252">
            <v>108356457.42000027</v>
          </cell>
          <cell r="E252">
            <v>110477153.28999995</v>
          </cell>
          <cell r="F252">
            <v>902323700.24900234</v>
          </cell>
          <cell r="G252">
            <v>1221532959.1897588</v>
          </cell>
          <cell r="M252">
            <v>6326977.4499999993</v>
          </cell>
          <cell r="V252">
            <v>252</v>
          </cell>
        </row>
        <row r="253">
          <cell r="B253">
            <v>37801</v>
          </cell>
          <cell r="C253" t="str">
            <v>Southeastern Academy Charter School</v>
          </cell>
          <cell r="D253">
            <v>637397.55999999994</v>
          </cell>
          <cell r="E253">
            <v>600184.69000000006</v>
          </cell>
          <cell r="F253">
            <v>6186088.5873000007</v>
          </cell>
          <cell r="G253">
            <v>7657240.9675000003</v>
          </cell>
          <cell r="M253">
            <v>38806.61</v>
          </cell>
          <cell r="V253">
            <v>253</v>
          </cell>
        </row>
        <row r="254">
          <cell r="B254">
            <v>37805</v>
          </cell>
          <cell r="C254" t="str">
            <v>Robeson Community College</v>
          </cell>
          <cell r="D254">
            <v>10648976.35</v>
          </cell>
          <cell r="E254">
            <v>9578945.2599999998</v>
          </cell>
          <cell r="F254">
            <v>84158159.942699954</v>
          </cell>
          <cell r="G254">
            <v>100100336.04870005</v>
          </cell>
          <cell r="M254">
            <v>541747.73</v>
          </cell>
          <cell r="V254">
            <v>254</v>
          </cell>
        </row>
        <row r="255">
          <cell r="B255">
            <v>37900</v>
          </cell>
          <cell r="C255" t="str">
            <v>Rockingham County Schools</v>
          </cell>
          <cell r="D255">
            <v>63788916.289999969</v>
          </cell>
          <cell r="E255">
            <v>62086132.349999972</v>
          </cell>
          <cell r="F255">
            <v>524759215.40360004</v>
          </cell>
          <cell r="G255">
            <v>664846029.47670257</v>
          </cell>
          <cell r="M255">
            <v>3565967.19</v>
          </cell>
          <cell r="V255">
            <v>255</v>
          </cell>
        </row>
        <row r="256">
          <cell r="B256">
            <v>37901</v>
          </cell>
          <cell r="C256" t="str">
            <v>Bethany Community Middle School</v>
          </cell>
          <cell r="D256">
            <v>780924.93</v>
          </cell>
          <cell r="E256">
            <v>832947.65000000026</v>
          </cell>
          <cell r="F256">
            <v>7018197.645299999</v>
          </cell>
          <cell r="G256">
            <v>9814330.6091000009</v>
          </cell>
          <cell r="M256">
            <v>42854.89</v>
          </cell>
          <cell r="V256">
            <v>256</v>
          </cell>
        </row>
        <row r="257">
          <cell r="B257">
            <v>37905</v>
          </cell>
          <cell r="C257" t="str">
            <v>Rockingham Community College</v>
          </cell>
          <cell r="D257">
            <v>7778931.8099999996</v>
          </cell>
          <cell r="E257">
            <v>7801983.4299999978</v>
          </cell>
          <cell r="F257">
            <v>57406366.161199987</v>
          </cell>
          <cell r="G257">
            <v>75719521.621150032</v>
          </cell>
          <cell r="M257">
            <v>449728.66</v>
          </cell>
          <cell r="V257">
            <v>257</v>
          </cell>
        </row>
        <row r="258">
          <cell r="B258">
            <v>38000</v>
          </cell>
          <cell r="C258" t="str">
            <v>Rowan-Salisbury School System</v>
          </cell>
          <cell r="D258">
            <v>93362198.820000276</v>
          </cell>
          <cell r="E258">
            <v>93746939.509999946</v>
          </cell>
          <cell r="F258">
            <v>793698172.59009814</v>
          </cell>
          <cell r="G258">
            <v>1063827735.6275914</v>
          </cell>
          <cell r="M258">
            <v>5413838.29</v>
          </cell>
          <cell r="V258">
            <v>258</v>
          </cell>
        </row>
        <row r="259">
          <cell r="B259">
            <v>38005</v>
          </cell>
          <cell r="C259" t="str">
            <v>Rowan-Cabarrus Community College</v>
          </cell>
          <cell r="D259">
            <v>19918552.10000002</v>
          </cell>
          <cell r="E259">
            <v>20810332.490000002</v>
          </cell>
          <cell r="F259">
            <v>161598615.2383002</v>
          </cell>
          <cell r="G259">
            <v>226478136.59690002</v>
          </cell>
          <cell r="M259">
            <v>1167285.67</v>
          </cell>
          <cell r="V259">
            <v>259</v>
          </cell>
        </row>
        <row r="260">
          <cell r="B260">
            <v>38100</v>
          </cell>
          <cell r="C260" t="str">
            <v>Rutherford County Schools</v>
          </cell>
          <cell r="D260">
            <v>43183112.209999971</v>
          </cell>
          <cell r="E260">
            <v>44237044.530000061</v>
          </cell>
          <cell r="F260">
            <v>360698115.76579976</v>
          </cell>
          <cell r="G260">
            <v>483787440.85721403</v>
          </cell>
          <cell r="M260">
            <v>2560035.0000000005</v>
          </cell>
          <cell r="V260">
            <v>260</v>
          </cell>
        </row>
        <row r="261">
          <cell r="B261">
            <v>38105</v>
          </cell>
          <cell r="C261" t="str">
            <v>Isothermal Community College</v>
          </cell>
          <cell r="D261">
            <v>8802007.5899999961</v>
          </cell>
          <cell r="E261">
            <v>9339358.4699999988</v>
          </cell>
          <cell r="F261">
            <v>75400891.181099996</v>
          </cell>
          <cell r="G261">
            <v>102012225.57402246</v>
          </cell>
          <cell r="M261">
            <v>525648.88000000012</v>
          </cell>
          <cell r="V261">
            <v>261</v>
          </cell>
        </row>
        <row r="262">
          <cell r="B262">
            <v>38200</v>
          </cell>
          <cell r="C262" t="str">
            <v>Sampson County Schools</v>
          </cell>
          <cell r="D262">
            <v>40974163.04999996</v>
          </cell>
          <cell r="E262">
            <v>41825389.139999889</v>
          </cell>
          <cell r="F262">
            <v>357751195.88000005</v>
          </cell>
          <cell r="G262">
            <v>476345202.25749987</v>
          </cell>
          <cell r="M262">
            <v>2394730.9</v>
          </cell>
          <cell r="V262">
            <v>262</v>
          </cell>
        </row>
        <row r="263">
          <cell r="B263">
            <v>38205</v>
          </cell>
          <cell r="C263" t="str">
            <v>Sampson Community College</v>
          </cell>
          <cell r="D263">
            <v>6809356.2499999991</v>
          </cell>
          <cell r="E263">
            <v>6738604.7900000019</v>
          </cell>
          <cell r="F263">
            <v>50760854.61150001</v>
          </cell>
          <cell r="G263">
            <v>65200642.752300002</v>
          </cell>
          <cell r="M263">
            <v>382844.23</v>
          </cell>
          <cell r="V263">
            <v>263</v>
          </cell>
        </row>
        <row r="264">
          <cell r="B264">
            <v>38210</v>
          </cell>
          <cell r="C264" t="str">
            <v>Clinton City Schools</v>
          </cell>
          <cell r="D264">
            <v>14910915.760000002</v>
          </cell>
          <cell r="E264">
            <v>15077834.040000003</v>
          </cell>
          <cell r="F264">
            <v>124967237.19019994</v>
          </cell>
          <cell r="G264">
            <v>174115813.97849998</v>
          </cell>
          <cell r="M264">
            <v>866001.07999999973</v>
          </cell>
          <cell r="V264">
            <v>264</v>
          </cell>
        </row>
        <row r="265">
          <cell r="B265">
            <v>38300</v>
          </cell>
          <cell r="C265" t="str">
            <v>Scotland County Schools</v>
          </cell>
          <cell r="D265">
            <v>33250291.189999994</v>
          </cell>
          <cell r="E265">
            <v>32869761.020000018</v>
          </cell>
          <cell r="F265">
            <v>277818315.56569958</v>
          </cell>
          <cell r="G265">
            <v>369430242.53882217</v>
          </cell>
          <cell r="M265">
            <v>1899623.67</v>
          </cell>
          <cell r="V265">
            <v>265</v>
          </cell>
        </row>
        <row r="266">
          <cell r="B266">
            <v>38400</v>
          </cell>
          <cell r="C266" t="str">
            <v>Stanly County Schools</v>
          </cell>
          <cell r="D266">
            <v>41381967.420000002</v>
          </cell>
          <cell r="E266">
            <v>40948904.550000034</v>
          </cell>
          <cell r="F266">
            <v>353675187.89529991</v>
          </cell>
          <cell r="G266">
            <v>458713322.32009977</v>
          </cell>
          <cell r="M266">
            <v>2338191.9500000002</v>
          </cell>
          <cell r="V266">
            <v>266</v>
          </cell>
        </row>
        <row r="267">
          <cell r="B267">
            <v>38402</v>
          </cell>
          <cell r="C267" t="str">
            <v>Gray Stone Day School</v>
          </cell>
          <cell r="D267">
            <v>1218280.83</v>
          </cell>
          <cell r="E267">
            <v>1315384.7700000005</v>
          </cell>
          <cell r="F267">
            <v>11651870.913300002</v>
          </cell>
          <cell r="G267">
            <v>16404845.884299995</v>
          </cell>
          <cell r="M267">
            <v>77575.659999999989</v>
          </cell>
          <cell r="V267">
            <v>267</v>
          </cell>
        </row>
        <row r="268">
          <cell r="B268">
            <v>38405</v>
          </cell>
          <cell r="C268" t="str">
            <v>Stanly Community College</v>
          </cell>
          <cell r="D268">
            <v>9663701.2000000142</v>
          </cell>
          <cell r="E268">
            <v>10006684.970000004</v>
          </cell>
          <cell r="F268">
            <v>85062473.5581</v>
          </cell>
          <cell r="G268">
            <v>117070466.92346326</v>
          </cell>
          <cell r="M268">
            <v>568260.92999999993</v>
          </cell>
          <cell r="V268">
            <v>268</v>
          </cell>
        </row>
        <row r="269">
          <cell r="B269">
            <v>38500</v>
          </cell>
          <cell r="C269" t="str">
            <v>Stokes County Schools</v>
          </cell>
          <cell r="D269">
            <v>33087526.24999997</v>
          </cell>
          <cell r="E269">
            <v>33024718.000000022</v>
          </cell>
          <cell r="F269">
            <v>283709400.18790001</v>
          </cell>
          <cell r="G269">
            <v>367779268.44990003</v>
          </cell>
          <cell r="M269">
            <v>1881183.72</v>
          </cell>
          <cell r="V269">
            <v>269</v>
          </cell>
        </row>
        <row r="270">
          <cell r="B270">
            <v>38600</v>
          </cell>
          <cell r="C270" t="str">
            <v>Surry County Schools</v>
          </cell>
          <cell r="D270">
            <v>40057872.370000042</v>
          </cell>
          <cell r="E270">
            <v>40492841.820000008</v>
          </cell>
          <cell r="F270">
            <v>347133163.2832002</v>
          </cell>
          <cell r="G270">
            <v>450038630.31700045</v>
          </cell>
          <cell r="M270">
            <v>2319120.38</v>
          </cell>
          <cell r="V270">
            <v>270</v>
          </cell>
        </row>
        <row r="271">
          <cell r="B271">
            <v>38601</v>
          </cell>
          <cell r="C271" t="str">
            <v>Bridges Charter Schools</v>
          </cell>
          <cell r="D271">
            <v>513466.89</v>
          </cell>
          <cell r="E271">
            <v>503972.35</v>
          </cell>
          <cell r="F271">
            <v>4986086.0928000007</v>
          </cell>
          <cell r="G271">
            <v>6343044.9625999983</v>
          </cell>
          <cell r="M271">
            <v>27891.790000000005</v>
          </cell>
          <cell r="V271">
            <v>271</v>
          </cell>
        </row>
        <row r="272">
          <cell r="B272">
            <v>38602</v>
          </cell>
          <cell r="C272" t="str">
            <v>Millennium Charter Academy</v>
          </cell>
          <cell r="D272">
            <v>2035596.7999999991</v>
          </cell>
          <cell r="E272">
            <v>2406930.850000001</v>
          </cell>
          <cell r="F272">
            <v>18149306.434799999</v>
          </cell>
          <cell r="G272">
            <v>28381714.315299999</v>
          </cell>
          <cell r="M272">
            <v>139367.79000000004</v>
          </cell>
          <cell r="V272">
            <v>272</v>
          </cell>
        </row>
        <row r="273">
          <cell r="B273">
            <v>38605</v>
          </cell>
          <cell r="C273" t="str">
            <v>Surry Community College</v>
          </cell>
          <cell r="D273">
            <v>11438038.360000035</v>
          </cell>
          <cell r="E273">
            <v>11448381.560000028</v>
          </cell>
          <cell r="F273">
            <v>94828334.557799995</v>
          </cell>
          <cell r="G273">
            <v>126935357.52603805</v>
          </cell>
          <cell r="M273">
            <v>658377.12999999989</v>
          </cell>
          <cell r="V273">
            <v>273</v>
          </cell>
        </row>
        <row r="274">
          <cell r="B274">
            <v>38610</v>
          </cell>
          <cell r="C274" t="str">
            <v>Mount Airy City Schools</v>
          </cell>
          <cell r="D274">
            <v>8890998.370000001</v>
          </cell>
          <cell r="E274">
            <v>8723212.9699999988</v>
          </cell>
          <cell r="F274">
            <v>70998858.683700025</v>
          </cell>
          <cell r="G274">
            <v>94146473.734893695</v>
          </cell>
          <cell r="M274">
            <v>506704.94000000006</v>
          </cell>
          <cell r="V274">
            <v>274</v>
          </cell>
        </row>
        <row r="275">
          <cell r="B275">
            <v>38620</v>
          </cell>
          <cell r="C275" t="str">
            <v>Elkin City Schools</v>
          </cell>
          <cell r="D275">
            <v>6833302.9399999995</v>
          </cell>
          <cell r="E275">
            <v>7242311.8899999987</v>
          </cell>
          <cell r="F275">
            <v>58085682.29989998</v>
          </cell>
          <cell r="G275">
            <v>78110918.488299996</v>
          </cell>
          <cell r="M275">
            <v>408218.96</v>
          </cell>
          <cell r="V275">
            <v>275</v>
          </cell>
        </row>
        <row r="276">
          <cell r="B276">
            <v>38700</v>
          </cell>
          <cell r="C276" t="str">
            <v>Swain County Schools</v>
          </cell>
          <cell r="D276">
            <v>11268823.930000007</v>
          </cell>
          <cell r="E276">
            <v>11830318.769999996</v>
          </cell>
          <cell r="F276">
            <v>96961019.411199942</v>
          </cell>
          <cell r="G276">
            <v>134614575.16590005</v>
          </cell>
          <cell r="M276">
            <v>695262.58</v>
          </cell>
          <cell r="V276">
            <v>276</v>
          </cell>
        </row>
        <row r="277">
          <cell r="B277">
            <v>38701</v>
          </cell>
          <cell r="C277" t="str">
            <v>Mountain Discovery Charter</v>
          </cell>
          <cell r="D277">
            <v>820089.14000000013</v>
          </cell>
          <cell r="E277">
            <v>838007.07999999984</v>
          </cell>
          <cell r="F277">
            <v>6984409.6221000012</v>
          </cell>
          <cell r="G277">
            <v>8612914.3969999999</v>
          </cell>
          <cell r="M277">
            <v>46407.740000000005</v>
          </cell>
          <cell r="V277">
            <v>277</v>
          </cell>
        </row>
        <row r="278">
          <cell r="B278">
            <v>38800</v>
          </cell>
          <cell r="C278" t="str">
            <v>Transylvania County Schools</v>
          </cell>
          <cell r="D278">
            <v>19983453.780000027</v>
          </cell>
          <cell r="E278">
            <v>20528974.84999999</v>
          </cell>
          <cell r="F278">
            <v>172151942.25239989</v>
          </cell>
          <cell r="G278">
            <v>234270874.67191151</v>
          </cell>
          <cell r="M278">
            <v>1183559.3500000001</v>
          </cell>
          <cell r="V278">
            <v>278</v>
          </cell>
        </row>
        <row r="279">
          <cell r="B279">
            <v>38801</v>
          </cell>
          <cell r="C279" t="str">
            <v>Brevard Academy Charter School</v>
          </cell>
          <cell r="D279">
            <v>898938.9</v>
          </cell>
          <cell r="E279">
            <v>1091578.8099999996</v>
          </cell>
          <cell r="F279">
            <v>9481104.9682</v>
          </cell>
          <cell r="G279">
            <v>15967793.701299999</v>
          </cell>
          <cell r="M279">
            <v>67668.319999999992</v>
          </cell>
          <cell r="V279">
            <v>279</v>
          </cell>
        </row>
        <row r="280">
          <cell r="B280">
            <v>38900</v>
          </cell>
          <cell r="C280" t="str">
            <v>Tyrrell County Schools</v>
          </cell>
          <cell r="D280">
            <v>4364451.68</v>
          </cell>
          <cell r="E280">
            <v>4694135.16</v>
          </cell>
          <cell r="F280">
            <v>34923798.645199992</v>
          </cell>
          <cell r="G280">
            <v>52229110.774300009</v>
          </cell>
          <cell r="M280">
            <v>248292.71999999997</v>
          </cell>
          <cell r="V280">
            <v>280</v>
          </cell>
        </row>
        <row r="281">
          <cell r="B281">
            <v>39000</v>
          </cell>
          <cell r="C281" t="str">
            <v>Union County Schools</v>
          </cell>
          <cell r="D281">
            <v>190647668.46999985</v>
          </cell>
          <cell r="E281">
            <v>197758811.1799998</v>
          </cell>
          <cell r="F281">
            <v>1750621017.5796063</v>
          </cell>
          <cell r="G281">
            <v>2369137246.5597515</v>
          </cell>
          <cell r="M281">
            <v>11453925.499999998</v>
          </cell>
          <cell r="V281">
            <v>281</v>
          </cell>
        </row>
        <row r="282">
          <cell r="B282">
            <v>39100</v>
          </cell>
          <cell r="C282" t="str">
            <v>Vance County Schools</v>
          </cell>
          <cell r="D282">
            <v>34259285.379999943</v>
          </cell>
          <cell r="E282">
            <v>34567866.200000018</v>
          </cell>
          <cell r="F282">
            <v>271532880.98360014</v>
          </cell>
          <cell r="G282">
            <v>363455087.54461664</v>
          </cell>
          <cell r="M282">
            <v>2025289.7299999997</v>
          </cell>
          <cell r="V282">
            <v>282</v>
          </cell>
        </row>
        <row r="283">
          <cell r="B283">
            <v>39101</v>
          </cell>
          <cell r="C283" t="str">
            <v>Vance Charter School</v>
          </cell>
          <cell r="D283">
            <v>2177496.3699999996</v>
          </cell>
          <cell r="E283">
            <v>2334424.14</v>
          </cell>
          <cell r="F283">
            <v>18404018.759900007</v>
          </cell>
          <cell r="G283">
            <v>25911098.315099992</v>
          </cell>
          <cell r="M283">
            <v>131441.69</v>
          </cell>
          <cell r="V283">
            <v>283</v>
          </cell>
        </row>
        <row r="284">
          <cell r="B284">
            <v>39105</v>
          </cell>
          <cell r="C284" t="str">
            <v>Vance-Granville Community College</v>
          </cell>
          <cell r="D284">
            <v>13688532.530000007</v>
          </cell>
          <cell r="E284">
            <v>13797491.369999997</v>
          </cell>
          <cell r="F284">
            <v>112008866.23739998</v>
          </cell>
          <cell r="G284">
            <v>150078304.02877954</v>
          </cell>
          <cell r="M284">
            <v>804936.95000000007</v>
          </cell>
          <cell r="V284">
            <v>284</v>
          </cell>
        </row>
        <row r="285">
          <cell r="B285">
            <v>39200</v>
          </cell>
          <cell r="C285" t="str">
            <v>Wake County Schools</v>
          </cell>
          <cell r="D285">
            <v>761649414.85998964</v>
          </cell>
          <cell r="E285">
            <v>801554623.66998684</v>
          </cell>
          <cell r="F285">
            <v>6819007778.1695232</v>
          </cell>
          <cell r="G285">
            <v>9571225636.3460255</v>
          </cell>
          <cell r="M285">
            <v>47022986.980000004</v>
          </cell>
          <cell r="V285">
            <v>285</v>
          </cell>
        </row>
        <row r="286">
          <cell r="B286">
            <v>39201</v>
          </cell>
          <cell r="C286" t="str">
            <v>Endeavor Charter School</v>
          </cell>
          <cell r="D286">
            <v>1937844.0899999996</v>
          </cell>
          <cell r="E286">
            <v>2039344.5000000002</v>
          </cell>
          <cell r="F286">
            <v>21167081.140799999</v>
          </cell>
          <cell r="G286">
            <v>30491247.617300011</v>
          </cell>
          <cell r="M286">
            <v>119094.57</v>
          </cell>
          <cell r="V286">
            <v>286</v>
          </cell>
        </row>
        <row r="287">
          <cell r="B287">
            <v>39204</v>
          </cell>
          <cell r="C287" t="str">
            <v>Southern Wake Academy</v>
          </cell>
          <cell r="D287">
            <v>1197555.01</v>
          </cell>
          <cell r="E287">
            <v>1435585.1600000004</v>
          </cell>
          <cell r="F287">
            <v>13042614.8125</v>
          </cell>
          <cell r="G287">
            <v>19834743.711599998</v>
          </cell>
          <cell r="M287">
            <v>90124.459999999992</v>
          </cell>
          <cell r="V287">
            <v>287</v>
          </cell>
        </row>
        <row r="288">
          <cell r="B288">
            <v>39205</v>
          </cell>
          <cell r="C288" t="str">
            <v>Wake Technical College</v>
          </cell>
          <cell r="D288">
            <v>63844071.410000034</v>
          </cell>
          <cell r="E288">
            <v>68393645.809999987</v>
          </cell>
          <cell r="F288">
            <v>521547953.68370003</v>
          </cell>
          <cell r="G288">
            <v>745561686.77654827</v>
          </cell>
          <cell r="M288">
            <v>4030820.8299999996</v>
          </cell>
          <cell r="V288">
            <v>288</v>
          </cell>
        </row>
        <row r="289">
          <cell r="B289">
            <v>39208</v>
          </cell>
          <cell r="C289" t="str">
            <v>East Wake Academy</v>
          </cell>
          <cell r="D289">
            <v>4247247.47</v>
          </cell>
          <cell r="E289">
            <v>4537560.049999998</v>
          </cell>
          <cell r="F289">
            <v>43372862.843100026</v>
          </cell>
          <cell r="G289">
            <v>61438280.4956</v>
          </cell>
          <cell r="M289">
            <v>255686.84999999998</v>
          </cell>
          <cell r="V289">
            <v>289</v>
          </cell>
        </row>
        <row r="290">
          <cell r="B290">
            <v>39209</v>
          </cell>
          <cell r="C290" t="str">
            <v>Casa Esperanza Montessori</v>
          </cell>
          <cell r="D290">
            <v>1850462.0099999995</v>
          </cell>
          <cell r="E290">
            <v>2186947.2299999995</v>
          </cell>
          <cell r="F290">
            <v>19835204.991799999</v>
          </cell>
          <cell r="G290">
            <v>30282722.122099999</v>
          </cell>
          <cell r="M290">
            <v>125458.52</v>
          </cell>
          <cell r="V290">
            <v>290</v>
          </cell>
        </row>
        <row r="291">
          <cell r="B291">
            <v>39300</v>
          </cell>
          <cell r="C291" t="str">
            <v>Warren County Schools</v>
          </cell>
          <cell r="D291">
            <v>12981046.279999994</v>
          </cell>
          <cell r="E291">
            <v>13365534.219999993</v>
          </cell>
          <cell r="F291">
            <v>105374481.47899997</v>
          </cell>
          <cell r="G291">
            <v>143888381.35777506</v>
          </cell>
          <cell r="M291">
            <v>752832.02</v>
          </cell>
          <cell r="V291">
            <v>291</v>
          </cell>
        </row>
        <row r="292">
          <cell r="B292">
            <v>39301</v>
          </cell>
          <cell r="C292" t="str">
            <v>Haliwa-Saponi Tribal Charter</v>
          </cell>
          <cell r="D292">
            <v>702751.4600000002</v>
          </cell>
          <cell r="E292">
            <v>722763.86</v>
          </cell>
          <cell r="F292">
            <v>6683961.976999999</v>
          </cell>
          <cell r="G292">
            <v>8247477.8591000019</v>
          </cell>
          <cell r="M292">
            <v>43539.86</v>
          </cell>
          <cell r="V292">
            <v>292</v>
          </cell>
        </row>
        <row r="293">
          <cell r="B293">
            <v>39400</v>
          </cell>
          <cell r="C293" t="str">
            <v>Washington County Schools</v>
          </cell>
          <cell r="D293">
            <v>9643449.1900000032</v>
          </cell>
          <cell r="E293">
            <v>9595562.179999996</v>
          </cell>
          <cell r="F293">
            <v>73616912.124099985</v>
          </cell>
          <cell r="G293">
            <v>96844541.096299961</v>
          </cell>
          <cell r="M293">
            <v>550640.34</v>
          </cell>
          <cell r="V293">
            <v>293</v>
          </cell>
        </row>
        <row r="294">
          <cell r="B294">
            <v>39401</v>
          </cell>
          <cell r="C294" t="str">
            <v>Henderson Collegiate Charter School</v>
          </cell>
          <cell r="D294">
            <v>1451889.09</v>
          </cell>
          <cell r="E294">
            <v>2125000.5299999989</v>
          </cell>
          <cell r="F294">
            <v>16786869.914900005</v>
          </cell>
          <cell r="G294">
            <v>33551726.885499999</v>
          </cell>
          <cell r="M294">
            <v>139832.41999999998</v>
          </cell>
          <cell r="V294">
            <v>294</v>
          </cell>
        </row>
        <row r="295">
          <cell r="B295">
            <v>39500</v>
          </cell>
          <cell r="C295" t="str">
            <v>Watauga County Schools</v>
          </cell>
          <cell r="D295">
            <v>25549609.91</v>
          </cell>
          <cell r="E295">
            <v>25922978.730000019</v>
          </cell>
          <cell r="F295">
            <v>216404304.2802003</v>
          </cell>
          <cell r="G295">
            <v>293719126.91107219</v>
          </cell>
          <cell r="M295">
            <v>1489020.64</v>
          </cell>
          <cell r="V295">
            <v>295</v>
          </cell>
        </row>
        <row r="296">
          <cell r="B296">
            <v>39501</v>
          </cell>
          <cell r="C296" t="str">
            <v>Two Rivers Community School</v>
          </cell>
          <cell r="D296">
            <v>893460.40999999992</v>
          </cell>
          <cell r="E296">
            <v>832761.98999999976</v>
          </cell>
          <cell r="F296">
            <v>8644717.6546999998</v>
          </cell>
          <cell r="G296">
            <v>9666635.809249999</v>
          </cell>
          <cell r="M296">
            <v>47281.659999999996</v>
          </cell>
          <cell r="V296">
            <v>296</v>
          </cell>
        </row>
        <row r="297">
          <cell r="B297">
            <v>39600</v>
          </cell>
          <cell r="C297" t="str">
            <v>Wayne County Schools</v>
          </cell>
          <cell r="D297">
            <v>85906727.890000015</v>
          </cell>
          <cell r="E297">
            <v>87409006.83999984</v>
          </cell>
          <cell r="F297">
            <v>710508566.16589868</v>
          </cell>
          <cell r="G297">
            <v>949163875.94100547</v>
          </cell>
          <cell r="M297">
            <v>5039145.9999999991</v>
          </cell>
          <cell r="V297">
            <v>297</v>
          </cell>
        </row>
        <row r="298">
          <cell r="B298">
            <v>39605</v>
          </cell>
          <cell r="C298" t="str">
            <v>Wayne Community College</v>
          </cell>
          <cell r="D298">
            <v>13188727.540000005</v>
          </cell>
          <cell r="E298">
            <v>13057119.070000004</v>
          </cell>
          <cell r="F298">
            <v>104881992.38679998</v>
          </cell>
          <cell r="G298">
            <v>136584894.22963971</v>
          </cell>
          <cell r="M298">
            <v>763935.26000000013</v>
          </cell>
          <cell r="V298">
            <v>298</v>
          </cell>
        </row>
        <row r="299">
          <cell r="B299">
            <v>39700</v>
          </cell>
          <cell r="C299" t="str">
            <v>Wilkes County Schools</v>
          </cell>
          <cell r="D299">
            <v>49093707.789999977</v>
          </cell>
          <cell r="E299">
            <v>50024277.060000062</v>
          </cell>
          <cell r="F299">
            <v>432520649.78840041</v>
          </cell>
          <cell r="G299">
            <v>575175662.19549978</v>
          </cell>
          <cell r="M299">
            <v>2876157.31</v>
          </cell>
          <cell r="V299">
            <v>299</v>
          </cell>
        </row>
        <row r="300">
          <cell r="B300">
            <v>39703</v>
          </cell>
          <cell r="C300" t="str">
            <v>Pinnacle Classical Academy</v>
          </cell>
          <cell r="D300">
            <v>934413.28000000014</v>
          </cell>
          <cell r="E300">
            <v>1235890.25</v>
          </cell>
          <cell r="F300">
            <v>9573447.0162000004</v>
          </cell>
          <cell r="G300">
            <v>17925342.557399999</v>
          </cell>
          <cell r="M300">
            <v>73239.760000000009</v>
          </cell>
          <cell r="V300">
            <v>300</v>
          </cell>
        </row>
        <row r="301">
          <cell r="B301">
            <v>39705</v>
          </cell>
          <cell r="C301" t="str">
            <v>Wilkes Community College</v>
          </cell>
          <cell r="D301">
            <v>12218429.58</v>
          </cell>
          <cell r="E301">
            <v>12760252.279999996</v>
          </cell>
          <cell r="F301">
            <v>98422805.129699931</v>
          </cell>
          <cell r="G301">
            <v>134980747.61914989</v>
          </cell>
          <cell r="M301">
            <v>732158.12</v>
          </cell>
          <cell r="V301">
            <v>301</v>
          </cell>
        </row>
        <row r="302">
          <cell r="B302">
            <v>39800</v>
          </cell>
          <cell r="C302" t="str">
            <v>Wilson County Schools</v>
          </cell>
          <cell r="D302">
            <v>55933788.470000021</v>
          </cell>
          <cell r="E302">
            <v>56969445.149999999</v>
          </cell>
          <cell r="F302">
            <v>485916403.00089908</v>
          </cell>
          <cell r="G302">
            <v>636552998.30438864</v>
          </cell>
          <cell r="M302">
            <v>3274399.4299999992</v>
          </cell>
          <cell r="V302">
            <v>302</v>
          </cell>
        </row>
        <row r="303">
          <cell r="B303">
            <v>39805</v>
          </cell>
          <cell r="C303" t="str">
            <v>Wilson Community College</v>
          </cell>
          <cell r="D303">
            <v>6840307.2700000098</v>
          </cell>
          <cell r="E303">
            <v>6996756.6699999981</v>
          </cell>
          <cell r="F303">
            <v>54232943.107400022</v>
          </cell>
          <cell r="G303">
            <v>71594491.994422868</v>
          </cell>
          <cell r="M303">
            <v>415480.67</v>
          </cell>
          <cell r="V303">
            <v>303</v>
          </cell>
        </row>
        <row r="304">
          <cell r="B304">
            <v>39900</v>
          </cell>
          <cell r="C304" t="str">
            <v>Yadkin County Schools</v>
          </cell>
          <cell r="D304">
            <v>28016785.089999966</v>
          </cell>
          <cell r="E304">
            <v>28981653.340000022</v>
          </cell>
          <cell r="F304">
            <v>236605083.61979997</v>
          </cell>
          <cell r="G304">
            <v>314396250.08479983</v>
          </cell>
          <cell r="M304">
            <v>1665447.19</v>
          </cell>
          <cell r="V304">
            <v>304</v>
          </cell>
        </row>
        <row r="305">
          <cell r="B305">
            <v>40000</v>
          </cell>
          <cell r="C305" t="str">
            <v>Consolidated Judicial Retirement System</v>
          </cell>
          <cell r="D305">
            <v>58246712.150000252</v>
          </cell>
          <cell r="E305">
            <v>68245416.099999994</v>
          </cell>
          <cell r="F305">
            <v>322339173.42939967</v>
          </cell>
          <cell r="G305">
            <v>509405989.16756624</v>
          </cell>
          <cell r="M305">
            <v>3870056.6</v>
          </cell>
          <cell r="V305">
            <v>305</v>
          </cell>
        </row>
        <row r="306">
          <cell r="B306">
            <v>51000</v>
          </cell>
          <cell r="C306" t="str">
            <v>Highway - Administrative</v>
          </cell>
          <cell r="D306">
            <v>516632772.63999844</v>
          </cell>
          <cell r="E306">
            <v>517068074.63000035</v>
          </cell>
          <cell r="F306">
            <v>3856998675.9863172</v>
          </cell>
          <cell r="G306">
            <v>4795804738.3380404</v>
          </cell>
          <cell r="M306">
            <v>28186402.90469946</v>
          </cell>
          <cell r="V306">
            <v>306</v>
          </cell>
        </row>
        <row r="307">
          <cell r="B307">
            <v>60000</v>
          </cell>
          <cell r="C307" t="str">
            <v>Legislative Retirement System</v>
          </cell>
          <cell r="D307">
            <v>3480312.46108949</v>
          </cell>
          <cell r="E307">
            <v>3577761.2099999958</v>
          </cell>
          <cell r="F307">
            <v>18168347.144803762</v>
          </cell>
          <cell r="G307">
            <v>24436426.90976106</v>
          </cell>
          <cell r="M307">
            <v>202482.98</v>
          </cell>
          <cell r="V307">
            <v>307</v>
          </cell>
        </row>
        <row r="308">
          <cell r="B308">
            <v>90901</v>
          </cell>
          <cell r="C308" t="str">
            <v>BLADEN COUNTY</v>
          </cell>
          <cell r="D308">
            <v>12515089.329999994</v>
          </cell>
          <cell r="E308">
            <v>11590746.199999994</v>
          </cell>
          <cell r="F308">
            <v>101585339.71730012</v>
          </cell>
          <cell r="G308">
            <v>121726805.52031019</v>
          </cell>
          <cell r="M308">
            <v>739032.75</v>
          </cell>
          <cell r="V308">
            <v>308</v>
          </cell>
        </row>
        <row r="309">
          <cell r="B309">
            <v>91041</v>
          </cell>
          <cell r="C309" t="str">
            <v>TOWN OF SUNSET BEACH</v>
          </cell>
          <cell r="D309">
            <v>2052996.7000000002</v>
          </cell>
          <cell r="E309">
            <v>1903519.8499999999</v>
          </cell>
          <cell r="F309">
            <v>18423033.021899998</v>
          </cell>
          <cell r="G309">
            <v>22076590.634999998</v>
          </cell>
          <cell r="M309">
            <v>118940.75</v>
          </cell>
          <cell r="V309">
            <v>309</v>
          </cell>
        </row>
        <row r="310">
          <cell r="B310">
            <v>91111</v>
          </cell>
          <cell r="C310" t="str">
            <v>TOWN OF BILTMORE FOREST</v>
          </cell>
          <cell r="D310">
            <v>1304370.94</v>
          </cell>
          <cell r="E310">
            <v>1313182.8800000004</v>
          </cell>
          <cell r="F310">
            <v>10251385.783499997</v>
          </cell>
          <cell r="G310">
            <v>11927687.519399997</v>
          </cell>
          <cell r="M310">
            <v>78071.010000000009</v>
          </cell>
          <cell r="V310">
            <v>310</v>
          </cell>
        </row>
        <row r="311">
          <cell r="B311">
            <v>91151</v>
          </cell>
          <cell r="C311" t="str">
            <v>TOWN OF BLACK MOUNTAIN</v>
          </cell>
          <cell r="D311">
            <v>3014976.4899999998</v>
          </cell>
          <cell r="E311">
            <v>3061219.0699999989</v>
          </cell>
          <cell r="F311">
            <v>26484554.139599994</v>
          </cell>
          <cell r="G311">
            <v>34714498.57093589</v>
          </cell>
          <cell r="M311">
            <v>180532</v>
          </cell>
          <cell r="V311">
            <v>311</v>
          </cell>
        </row>
        <row r="312">
          <cell r="B312">
            <v>98101</v>
          </cell>
          <cell r="C312" t="str">
            <v>RUTHERFORD COUNTY</v>
          </cell>
          <cell r="D312">
            <v>14351736.530000001</v>
          </cell>
          <cell r="E312">
            <v>14678204.360000007</v>
          </cell>
          <cell r="F312">
            <v>118117157.41689992</v>
          </cell>
          <cell r="G312">
            <v>157660588.45182958</v>
          </cell>
          <cell r="M312">
            <v>910108.62999999989</v>
          </cell>
          <cell r="V312">
            <v>312</v>
          </cell>
        </row>
        <row r="313">
          <cell r="B313">
            <v>98103</v>
          </cell>
          <cell r="C313" t="str">
            <v>RUTHERFORD POLK MCDOWELL DIST BRD OF HEALTH</v>
          </cell>
          <cell r="D313">
            <v>3323433.9099999983</v>
          </cell>
          <cell r="E313">
            <v>3153137.0500000007</v>
          </cell>
          <cell r="F313">
            <v>25177216.456699997</v>
          </cell>
          <cell r="G313">
            <v>31727401.273866609</v>
          </cell>
          <cell r="M313">
            <v>195983.55000000002</v>
          </cell>
          <cell r="V313">
            <v>313</v>
          </cell>
        </row>
        <row r="314">
          <cell r="B314">
            <v>98111</v>
          </cell>
          <cell r="C314" t="str">
            <v>TOWN OF FOREST CITY</v>
          </cell>
          <cell r="D314">
            <v>5254881.5899999989</v>
          </cell>
          <cell r="E314">
            <v>5413019.1199999982</v>
          </cell>
          <cell r="F314">
            <v>45440376.601999998</v>
          </cell>
          <cell r="G314">
            <v>60001728.72075171</v>
          </cell>
          <cell r="M314">
            <v>315543.51999999996</v>
          </cell>
          <cell r="V314">
            <v>314</v>
          </cell>
        </row>
        <row r="315">
          <cell r="B315">
            <v>98131</v>
          </cell>
          <cell r="C315" t="str">
            <v>TOWN OF LAKE LURE</v>
          </cell>
          <cell r="D315">
            <v>1390849.2300000002</v>
          </cell>
          <cell r="E315">
            <v>1643984.0100000002</v>
          </cell>
          <cell r="F315">
            <v>12213426.577499995</v>
          </cell>
          <cell r="G315">
            <v>16897171.661800001</v>
          </cell>
          <cell r="M315">
            <v>92959.1</v>
          </cell>
          <cell r="V315">
            <v>315</v>
          </cell>
        </row>
        <row r="316">
          <cell r="B316">
            <v>99401</v>
          </cell>
          <cell r="C316" t="str">
            <v>WASHINGTON COUNTY</v>
          </cell>
          <cell r="D316">
            <v>5176794.7299999967</v>
          </cell>
          <cell r="E316">
            <v>5152816.6399999987</v>
          </cell>
          <cell r="F316">
            <v>39414615.532899983</v>
          </cell>
          <cell r="G316">
            <v>51757330.603164405</v>
          </cell>
          <cell r="M316">
            <v>317353.44</v>
          </cell>
          <cell r="V316">
            <v>316</v>
          </cell>
        </row>
        <row r="317">
          <cell r="B317">
            <v>99521</v>
          </cell>
          <cell r="C317" t="str">
            <v>TOWN OF BLOWING ROCK</v>
          </cell>
          <cell r="D317">
            <v>1995396.3399999999</v>
          </cell>
          <cell r="E317">
            <v>1946333.6400000004</v>
          </cell>
          <cell r="F317">
            <v>18443253.3299</v>
          </cell>
          <cell r="G317">
            <v>23032820.853925698</v>
          </cell>
          <cell r="M317">
            <v>125012.06</v>
          </cell>
          <cell r="R317" t="str">
            <v>False</v>
          </cell>
          <cell r="V317">
            <v>317</v>
          </cell>
        </row>
        <row r="318">
          <cell r="B318">
            <v>99831</v>
          </cell>
          <cell r="C318" t="str">
            <v>TOWN OF BLACK CREEK</v>
          </cell>
          <cell r="D318">
            <v>252746.16</v>
          </cell>
          <cell r="E318">
            <v>277867.58999999997</v>
          </cell>
          <cell r="F318">
            <v>2108571.2378000002</v>
          </cell>
          <cell r="G318">
            <v>2935521.3997</v>
          </cell>
          <cell r="M318">
            <v>19565.890000000003</v>
          </cell>
          <cell r="R318" t="str">
            <v>False</v>
          </cell>
          <cell r="V318">
            <v>318</v>
          </cell>
        </row>
      </sheetData>
      <sheetData sheetId="16">
        <row r="12">
          <cell r="P12">
            <v>1</v>
          </cell>
        </row>
      </sheetData>
      <sheetData sheetId="17"/>
      <sheetData sheetId="18"/>
      <sheetData sheetId="19"/>
      <sheetData sheetId="20"/>
      <sheetData sheetId="21"/>
      <sheetData sheetId="22">
        <row r="8">
          <cell r="L8">
            <v>1</v>
          </cell>
        </row>
      </sheetData>
      <sheetData sheetId="23">
        <row r="16">
          <cell r="B16">
            <v>10200</v>
          </cell>
          <cell r="C16" t="str">
            <v>North Carolina Education Lottery</v>
          </cell>
          <cell r="D16">
            <v>9.2975964199316333E-4</v>
          </cell>
          <cell r="E16">
            <v>1608700.9717741364</v>
          </cell>
          <cell r="F16">
            <v>1254341.0405541244</v>
          </cell>
          <cell r="G16">
            <v>21319</v>
          </cell>
          <cell r="H16">
            <v>-448884.73357642355</v>
          </cell>
          <cell r="I16">
            <v>-18575.697230208028</v>
          </cell>
          <cell r="J16">
            <v>1357518.5607777569</v>
          </cell>
          <cell r="K16">
            <v>0</v>
          </cell>
          <cell r="L16">
            <v>-71326.278781496105</v>
          </cell>
          <cell r="M16">
            <v>12800.011833711942</v>
          </cell>
          <cell r="N16">
            <v>482.5266590016119</v>
          </cell>
          <cell r="O16">
            <v>-217.75900575121878</v>
          </cell>
          <cell r="P16">
            <v>0</v>
          </cell>
          <cell r="Q16">
            <v>0</v>
          </cell>
          <cell r="R16">
            <v>0</v>
          </cell>
          <cell r="S16">
            <v>3716157.6430048523</v>
          </cell>
          <cell r="T16">
            <v>106594.64999999991</v>
          </cell>
          <cell r="U16">
            <v>6787592.8038887838</v>
          </cell>
          <cell r="V16">
            <v>51200.047334847768</v>
          </cell>
          <cell r="W16">
            <v>0</v>
          </cell>
          <cell r="X16">
            <v>6945387.5012236312</v>
          </cell>
          <cell r="Y16">
            <v>0</v>
          </cell>
          <cell r="Z16">
            <v>0</v>
          </cell>
          <cell r="AA16">
            <v>0</v>
          </cell>
          <cell r="AB16">
            <v>92878.486151040124</v>
          </cell>
          <cell r="AC16">
            <v>92878.486151040124</v>
          </cell>
          <cell r="AD16" t="str">
            <v>N/A</v>
          </cell>
          <cell r="AE16">
            <v>1373062</v>
          </cell>
          <cell r="AF16">
            <v>1373062</v>
          </cell>
          <cell r="AG16">
            <v>1373062</v>
          </cell>
          <cell r="AH16">
            <v>1373062</v>
          </cell>
          <cell r="AI16">
            <v>1360262</v>
          </cell>
          <cell r="AJ16">
            <v>0</v>
          </cell>
          <cell r="AK16">
            <v>6852510</v>
          </cell>
          <cell r="AL16">
            <v>30717456</v>
          </cell>
          <cell r="AM16">
            <v>3716157.6430048523</v>
          </cell>
          <cell r="AN16">
            <v>-838417.64999999991</v>
          </cell>
          <cell r="AO16">
            <v>6745914.3650725922</v>
          </cell>
          <cell r="AP16">
            <v>0</v>
          </cell>
          <cell r="AQ16">
            <v>106594.64999999991</v>
          </cell>
          <cell r="AR16">
            <v>0</v>
          </cell>
          <cell r="AS16">
            <v>0</v>
          </cell>
          <cell r="AT16">
            <v>40447705.008077443</v>
          </cell>
          <cell r="AU16">
            <v>9.2649452119676168E-4</v>
          </cell>
          <cell r="AV16">
            <v>0</v>
          </cell>
          <cell r="AW16">
            <v>0</v>
          </cell>
          <cell r="AY16">
            <v>0</v>
          </cell>
          <cell r="AZ16">
            <v>0</v>
          </cell>
          <cell r="BA16">
            <v>0</v>
          </cell>
          <cell r="BB16">
            <v>0</v>
          </cell>
          <cell r="BC16">
            <v>0</v>
          </cell>
          <cell r="BD16">
            <v>0</v>
          </cell>
          <cell r="BE16">
            <v>0</v>
          </cell>
          <cell r="BF16">
            <v>0</v>
          </cell>
          <cell r="BG16">
            <v>0</v>
          </cell>
          <cell r="BH16">
            <v>0</v>
          </cell>
          <cell r="BJ16">
            <v>0</v>
          </cell>
          <cell r="BL16">
            <v>0</v>
          </cell>
          <cell r="BM16">
            <v>0</v>
          </cell>
          <cell r="BN16">
            <v>0</v>
          </cell>
          <cell r="BO16">
            <v>0</v>
          </cell>
          <cell r="BQ16">
            <v>0</v>
          </cell>
          <cell r="BR16">
            <v>0</v>
          </cell>
          <cell r="BS16">
            <v>0</v>
          </cell>
          <cell r="BT16">
            <v>0</v>
          </cell>
          <cell r="CB16">
            <v>0</v>
          </cell>
          <cell r="CC16">
            <v>0</v>
          </cell>
          <cell r="CD16">
            <v>0</v>
          </cell>
          <cell r="CE16">
            <v>0</v>
          </cell>
          <cell r="CF16">
            <v>0</v>
          </cell>
          <cell r="CI16">
            <v>0</v>
          </cell>
          <cell r="CJ16">
            <v>0</v>
          </cell>
          <cell r="CK16">
            <v>0</v>
          </cell>
          <cell r="CV16">
            <v>9.2975964199316333E-4</v>
          </cell>
          <cell r="DG16">
            <v>40447705</v>
          </cell>
          <cell r="DR16">
            <v>14107712.330000008</v>
          </cell>
          <cell r="EC16">
            <v>2.867063351865212</v>
          </cell>
          <cell r="EN16">
            <v>2.4095909012463064E-2</v>
          </cell>
        </row>
        <row r="17">
          <cell r="B17" t="str">
            <v>SPA</v>
          </cell>
          <cell r="C17" t="str">
            <v>NC State Ports Authority (subset of DOT)</v>
          </cell>
          <cell r="D17">
            <v>6.0591550498597594E-4</v>
          </cell>
          <cell r="E17">
            <v>1048375.1043381204</v>
          </cell>
          <cell r="F17">
            <v>817442.11157917243</v>
          </cell>
          <cell r="G17">
            <v>161699</v>
          </cell>
          <cell r="H17">
            <v>-292533.90633560531</v>
          </cell>
          <cell r="I17">
            <v>-12105.604996555499</v>
          </cell>
          <cell r="J17">
            <v>884681.91899378877</v>
          </cell>
          <cell r="K17">
            <v>0</v>
          </cell>
          <cell r="L17">
            <v>-46482.65667244191</v>
          </cell>
          <cell r="M17">
            <v>8341.6458230255903</v>
          </cell>
          <cell r="N17">
            <v>314.45802877762179</v>
          </cell>
          <cell r="O17">
            <v>-141.91147042276543</v>
          </cell>
          <cell r="P17">
            <v>0</v>
          </cell>
          <cell r="Q17">
            <v>0</v>
          </cell>
          <cell r="R17">
            <v>0</v>
          </cell>
          <cell r="S17">
            <v>2569590.1592878592</v>
          </cell>
          <cell r="T17">
            <v>808493.76502732246</v>
          </cell>
          <cell r="U17">
            <v>4423409.5949689439</v>
          </cell>
          <cell r="V17">
            <v>33366.583292102361</v>
          </cell>
          <cell r="W17">
            <v>0</v>
          </cell>
          <cell r="X17">
            <v>5265269.9432883691</v>
          </cell>
          <cell r="Y17">
            <v>0</v>
          </cell>
          <cell r="Z17">
            <v>0</v>
          </cell>
          <cell r="AA17">
            <v>0</v>
          </cell>
          <cell r="AB17">
            <v>60528.024982777497</v>
          </cell>
          <cell r="AC17">
            <v>60528.024982777497</v>
          </cell>
          <cell r="AD17" t="str">
            <v>N/A</v>
          </cell>
          <cell r="AE17">
            <v>1042617</v>
          </cell>
          <cell r="AF17">
            <v>1042616</v>
          </cell>
          <cell r="AG17">
            <v>1042616</v>
          </cell>
          <cell r="AH17">
            <v>1042616</v>
          </cell>
          <cell r="AI17">
            <v>1034274</v>
          </cell>
          <cell r="AJ17">
            <v>0</v>
          </cell>
          <cell r="AK17">
            <v>5204739</v>
          </cell>
          <cell r="AL17">
            <v>19275112</v>
          </cell>
          <cell r="AM17">
            <v>2569590.1592878592</v>
          </cell>
          <cell r="AN17">
            <v>-690060.76502732246</v>
          </cell>
          <cell r="AO17">
            <v>4396248.1532782689</v>
          </cell>
          <cell r="AP17">
            <v>0</v>
          </cell>
          <cell r="AQ17">
            <v>808493.76502732246</v>
          </cell>
          <cell r="AR17">
            <v>0</v>
          </cell>
          <cell r="AS17">
            <v>0</v>
          </cell>
          <cell r="AT17">
            <v>26359383.312566128</v>
          </cell>
          <cell r="AU17">
            <v>5.8137255472740955E-4</v>
          </cell>
          <cell r="AV17">
            <v>0</v>
          </cell>
          <cell r="AW17">
            <v>0</v>
          </cell>
          <cell r="AY17">
            <v>0</v>
          </cell>
          <cell r="AZ17">
            <v>0</v>
          </cell>
          <cell r="BA17">
            <v>0</v>
          </cell>
          <cell r="BB17">
            <v>0</v>
          </cell>
          <cell r="BC17">
            <v>0</v>
          </cell>
          <cell r="BD17">
            <v>0</v>
          </cell>
          <cell r="BE17">
            <v>0</v>
          </cell>
          <cell r="BF17">
            <v>0</v>
          </cell>
          <cell r="BG17">
            <v>0</v>
          </cell>
          <cell r="BH17">
            <v>0</v>
          </cell>
          <cell r="BJ17">
            <v>0</v>
          </cell>
          <cell r="BL17">
            <v>0</v>
          </cell>
          <cell r="BM17">
            <v>0</v>
          </cell>
          <cell r="BN17">
            <v>0</v>
          </cell>
          <cell r="BO17">
            <v>0</v>
          </cell>
          <cell r="BQ17">
            <v>0</v>
          </cell>
          <cell r="BR17">
            <v>0</v>
          </cell>
          <cell r="BS17">
            <v>0</v>
          </cell>
          <cell r="BT17">
            <v>0</v>
          </cell>
          <cell r="CB17">
            <v>0</v>
          </cell>
          <cell r="CC17">
            <v>0</v>
          </cell>
          <cell r="CD17">
            <v>0</v>
          </cell>
          <cell r="CE17">
            <v>0</v>
          </cell>
          <cell r="CF17">
            <v>0</v>
          </cell>
          <cell r="CI17">
            <v>0</v>
          </cell>
          <cell r="CJ17">
            <v>0</v>
          </cell>
          <cell r="CK17">
            <v>0</v>
          </cell>
          <cell r="CV17">
            <v>6.0591550498597594E-4</v>
          </cell>
          <cell r="DG17">
            <v>26359384</v>
          </cell>
          <cell r="DR17">
            <v>11585996.839999992</v>
          </cell>
          <cell r="EC17">
            <v>2.2751071283737736</v>
          </cell>
          <cell r="EN17">
            <v>2.4095909012463064E-2</v>
          </cell>
        </row>
        <row r="18">
          <cell r="B18" t="str">
            <v>GTPA</v>
          </cell>
          <cell r="C18" t="str">
            <v>NC Global TransPark Authority (subset of DOT)</v>
          </cell>
          <cell r="D18">
            <v>1.522404319666764E-5</v>
          </cell>
          <cell r="E18">
            <v>26341.144505163142</v>
          </cell>
          <cell r="F18">
            <v>20538.794460697234</v>
          </cell>
          <cell r="G18">
            <v>-7164</v>
          </cell>
          <cell r="H18">
            <v>-7350.1153046847003</v>
          </cell>
          <cell r="I18">
            <v>-304.16163949067806</v>
          </cell>
          <cell r="J18">
            <v>22228.240801304451</v>
          </cell>
          <cell r="K18">
            <v>0</v>
          </cell>
          <cell r="L18">
            <v>-1167.908672502952</v>
          </cell>
          <cell r="M18">
            <v>209.58958022370311</v>
          </cell>
          <cell r="N18">
            <v>7.9009739382065716</v>
          </cell>
          <cell r="O18">
            <v>-3.5656231570915278</v>
          </cell>
          <cell r="P18">
            <v>0</v>
          </cell>
          <cell r="Q18">
            <v>0</v>
          </cell>
          <cell r="R18">
            <v>0</v>
          </cell>
          <cell r="S18">
            <v>53335.919081491324</v>
          </cell>
          <cell r="T18">
            <v>9694.6502732240442</v>
          </cell>
          <cell r="U18">
            <v>111141.20400652227</v>
          </cell>
          <cell r="V18">
            <v>838.35832089481244</v>
          </cell>
          <cell r="W18">
            <v>0</v>
          </cell>
          <cell r="X18">
            <v>121674.21260064113</v>
          </cell>
          <cell r="Y18">
            <v>45516</v>
          </cell>
          <cell r="Z18">
            <v>0</v>
          </cell>
          <cell r="AA18">
            <v>0</v>
          </cell>
          <cell r="AB18">
            <v>1520.8081974533902</v>
          </cell>
          <cell r="AC18">
            <v>47036.808197453392</v>
          </cell>
          <cell r="AD18" t="str">
            <v>N/A</v>
          </cell>
          <cell r="AE18">
            <v>14970</v>
          </cell>
          <cell r="AF18">
            <v>14970</v>
          </cell>
          <cell r="AG18">
            <v>14970</v>
          </cell>
          <cell r="AH18">
            <v>14970</v>
          </cell>
          <cell r="AI18">
            <v>14760</v>
          </cell>
          <cell r="AJ18">
            <v>0</v>
          </cell>
          <cell r="AK18">
            <v>74640</v>
          </cell>
          <cell r="AL18">
            <v>559364</v>
          </cell>
          <cell r="AM18">
            <v>53335.919081491324</v>
          </cell>
          <cell r="AN18">
            <v>-25039.650273224044</v>
          </cell>
          <cell r="AO18">
            <v>110458.75412996369</v>
          </cell>
          <cell r="AP18">
            <v>0</v>
          </cell>
          <cell r="AQ18">
            <v>-35821.349726775952</v>
          </cell>
          <cell r="AR18">
            <v>0</v>
          </cell>
          <cell r="AS18">
            <v>0</v>
          </cell>
          <cell r="AT18">
            <v>662297.67321145511</v>
          </cell>
          <cell r="AU18">
            <v>1.6871427572934688E-5</v>
          </cell>
          <cell r="AV18">
            <v>0</v>
          </cell>
          <cell r="AW18">
            <v>0</v>
          </cell>
          <cell r="AY18">
            <v>0</v>
          </cell>
          <cell r="AZ18">
            <v>0</v>
          </cell>
          <cell r="BA18">
            <v>0</v>
          </cell>
          <cell r="BB18">
            <v>0</v>
          </cell>
          <cell r="BC18">
            <v>0</v>
          </cell>
          <cell r="BD18">
            <v>0</v>
          </cell>
          <cell r="BE18">
            <v>0</v>
          </cell>
          <cell r="BF18">
            <v>0</v>
          </cell>
          <cell r="BG18">
            <v>0</v>
          </cell>
          <cell r="BH18">
            <v>0</v>
          </cell>
          <cell r="BJ18">
            <v>0</v>
          </cell>
          <cell r="BL18">
            <v>0</v>
          </cell>
          <cell r="BM18">
            <v>0</v>
          </cell>
          <cell r="BN18">
            <v>0</v>
          </cell>
          <cell r="BO18">
            <v>0</v>
          </cell>
          <cell r="BQ18">
            <v>0</v>
          </cell>
          <cell r="BR18">
            <v>0</v>
          </cell>
          <cell r="BS18">
            <v>0</v>
          </cell>
          <cell r="BT18">
            <v>0</v>
          </cell>
          <cell r="CB18">
            <v>0</v>
          </cell>
          <cell r="CC18">
            <v>0</v>
          </cell>
          <cell r="CD18">
            <v>0</v>
          </cell>
          <cell r="CE18">
            <v>0</v>
          </cell>
          <cell r="CF18">
            <v>0</v>
          </cell>
          <cell r="CI18">
            <v>0</v>
          </cell>
          <cell r="CJ18">
            <v>0</v>
          </cell>
          <cell r="CK18">
            <v>0</v>
          </cell>
          <cell r="CV18">
            <v>1.522404319666764E-5</v>
          </cell>
          <cell r="DG18">
            <v>662298</v>
          </cell>
          <cell r="DR18">
            <v>413152.68</v>
          </cell>
          <cell r="EC18">
            <v>1.6030345004660262</v>
          </cell>
          <cell r="EN18">
            <v>2.4095909012463064E-2</v>
          </cell>
        </row>
        <row r="19">
          <cell r="B19" t="str">
            <v>SEAA</v>
          </cell>
          <cell r="C19" t="str">
            <v>State Education Assistance Authority (subset of UNC General Administration)</v>
          </cell>
          <cell r="D19">
            <v>9.683277732053869E-5</v>
          </cell>
          <cell r="E19">
            <v>167543.28316638697</v>
          </cell>
          <cell r="F19">
            <v>130637.34020935645</v>
          </cell>
          <cell r="G19">
            <v>-23095</v>
          </cell>
          <cell r="H19">
            <v>-46750.529368874006</v>
          </cell>
          <cell r="I19">
            <v>-1934.6251140891181</v>
          </cell>
          <cell r="J19">
            <v>141383.09146489849</v>
          </cell>
          <cell r="K19">
            <v>0</v>
          </cell>
          <cell r="L19">
            <v>-7428.5023337268731</v>
          </cell>
          <cell r="M19">
            <v>1333.0979745872887</v>
          </cell>
          <cell r="N19">
            <v>50.254274773813172</v>
          </cell>
          <cell r="O19">
            <v>-22.679204776243367</v>
          </cell>
          <cell r="P19">
            <v>0</v>
          </cell>
          <cell r="Q19">
            <v>0</v>
          </cell>
          <cell r="R19">
            <v>0</v>
          </cell>
          <cell r="S19">
            <v>361715.73106853681</v>
          </cell>
          <cell r="T19">
            <v>24352.601092896177</v>
          </cell>
          <cell r="U19">
            <v>706915.45732449251</v>
          </cell>
          <cell r="V19">
            <v>5332.3918983491549</v>
          </cell>
          <cell r="W19">
            <v>0</v>
          </cell>
          <cell r="X19">
            <v>736600.45031573786</v>
          </cell>
          <cell r="Y19">
            <v>139827</v>
          </cell>
          <cell r="Z19">
            <v>0</v>
          </cell>
          <cell r="AA19">
            <v>0</v>
          </cell>
          <cell r="AB19">
            <v>9673.1255704455907</v>
          </cell>
          <cell r="AC19">
            <v>149500.12557044558</v>
          </cell>
          <cell r="AD19" t="str">
            <v>N/A</v>
          </cell>
          <cell r="AE19">
            <v>117688</v>
          </cell>
          <cell r="AF19">
            <v>117686</v>
          </cell>
          <cell r="AG19">
            <v>117686</v>
          </cell>
          <cell r="AH19">
            <v>117686</v>
          </cell>
          <cell r="AI19">
            <v>116352</v>
          </cell>
          <cell r="AJ19">
            <v>0</v>
          </cell>
          <cell r="AK19">
            <v>587098</v>
          </cell>
          <cell r="AL19">
            <v>3378234</v>
          </cell>
          <cell r="AM19">
            <v>361715.73106853681</v>
          </cell>
          <cell r="AN19">
            <v>-114494.60109289618</v>
          </cell>
          <cell r="AO19">
            <v>702574.72365239612</v>
          </cell>
          <cell r="AP19">
            <v>0</v>
          </cell>
          <cell r="AQ19">
            <v>-115474.39890710382</v>
          </cell>
          <cell r="AR19">
            <v>0</v>
          </cell>
          <cell r="AS19">
            <v>0</v>
          </cell>
          <cell r="AT19">
            <v>4212555.454720933</v>
          </cell>
          <cell r="AU19">
            <v>1.0189371226110923E-4</v>
          </cell>
          <cell r="AV19">
            <v>0</v>
          </cell>
          <cell r="AW19">
            <v>0</v>
          </cell>
          <cell r="AY19">
            <v>0</v>
          </cell>
          <cell r="AZ19">
            <v>0</v>
          </cell>
          <cell r="BA19">
            <v>0</v>
          </cell>
          <cell r="BB19">
            <v>0</v>
          </cell>
          <cell r="BC19">
            <v>0</v>
          </cell>
          <cell r="BD19">
            <v>0</v>
          </cell>
          <cell r="BE19">
            <v>0</v>
          </cell>
          <cell r="BF19">
            <v>0</v>
          </cell>
          <cell r="BG19">
            <v>0</v>
          </cell>
          <cell r="BH19">
            <v>0</v>
          </cell>
          <cell r="BJ19">
            <v>0</v>
          </cell>
          <cell r="BL19">
            <v>0</v>
          </cell>
          <cell r="BM19">
            <v>0</v>
          </cell>
          <cell r="BN19">
            <v>0</v>
          </cell>
          <cell r="BO19">
            <v>0</v>
          </cell>
          <cell r="BQ19">
            <v>0</v>
          </cell>
          <cell r="BR19">
            <v>0</v>
          </cell>
          <cell r="BS19">
            <v>0</v>
          </cell>
          <cell r="BT19">
            <v>0</v>
          </cell>
          <cell r="CB19">
            <v>0</v>
          </cell>
          <cell r="CC19">
            <v>0</v>
          </cell>
          <cell r="CD19">
            <v>0</v>
          </cell>
          <cell r="CE19">
            <v>0</v>
          </cell>
          <cell r="CF19">
            <v>0</v>
          </cell>
          <cell r="CI19">
            <v>0</v>
          </cell>
          <cell r="CJ19">
            <v>0</v>
          </cell>
          <cell r="CK19">
            <v>0</v>
          </cell>
          <cell r="CV19">
            <v>9.683277732053869E-5</v>
          </cell>
          <cell r="DG19">
            <v>4212555</v>
          </cell>
          <cell r="DR19">
            <v>1806684.4100000004</v>
          </cell>
          <cell r="EC19">
            <v>2.3316496100168371</v>
          </cell>
          <cell r="EN19">
            <v>2.4095909012463064E-2</v>
          </cell>
        </row>
        <row r="20">
          <cell r="B20" t="str">
            <v>SHP</v>
          </cell>
          <cell r="C20" t="str">
            <v>State Health Plan (subset of Department of Treasurer)</v>
          </cell>
          <cell r="D20">
            <v>1.2782000866170282E-4</v>
          </cell>
          <cell r="E20">
            <v>221158.41864834551</v>
          </cell>
          <cell r="F20">
            <v>172442.29091795365</v>
          </cell>
          <cell r="G20">
            <v>115</v>
          </cell>
          <cell r="H20">
            <v>-61711.057290940706</v>
          </cell>
          <cell r="I20">
            <v>-2553.7199869983365</v>
          </cell>
          <cell r="J20">
            <v>186626.76498310638</v>
          </cell>
          <cell r="K20">
            <v>0</v>
          </cell>
          <cell r="L20">
            <v>-9805.6800487850178</v>
          </cell>
          <cell r="M20">
            <v>1759.6995498186934</v>
          </cell>
          <cell r="N20">
            <v>66.336028095250526</v>
          </cell>
          <cell r="O20">
            <v>-29.936724228657418</v>
          </cell>
          <cell r="P20">
            <v>0</v>
          </cell>
          <cell r="Q20">
            <v>0</v>
          </cell>
          <cell r="R20">
            <v>0</v>
          </cell>
          <cell r="S20">
            <v>508068.1160763668</v>
          </cell>
          <cell r="T20">
            <v>34436.103825136641</v>
          </cell>
          <cell r="U20">
            <v>933133.82491553191</v>
          </cell>
          <cell r="V20">
            <v>7038.7981992747737</v>
          </cell>
          <cell r="W20">
            <v>0</v>
          </cell>
          <cell r="X20">
            <v>974608.72693994339</v>
          </cell>
          <cell r="Y20">
            <v>33862</v>
          </cell>
          <cell r="Z20">
            <v>0</v>
          </cell>
          <cell r="AA20">
            <v>0</v>
          </cell>
          <cell r="AB20">
            <v>12768.599934991682</v>
          </cell>
          <cell r="AC20">
            <v>46630.599934991682</v>
          </cell>
          <cell r="AD20" t="str">
            <v>N/A</v>
          </cell>
          <cell r="AE20">
            <v>185948</v>
          </cell>
          <cell r="AF20">
            <v>185947</v>
          </cell>
          <cell r="AG20">
            <v>185947</v>
          </cell>
          <cell r="AH20">
            <v>185947</v>
          </cell>
          <cell r="AI20">
            <v>184187</v>
          </cell>
          <cell r="AJ20">
            <v>0</v>
          </cell>
          <cell r="AK20">
            <v>927976</v>
          </cell>
          <cell r="AL20">
            <v>4278442</v>
          </cell>
          <cell r="AM20">
            <v>508068.1160763668</v>
          </cell>
          <cell r="AN20">
            <v>-153883.10382513664</v>
          </cell>
          <cell r="AO20">
            <v>927404.02317981503</v>
          </cell>
          <cell r="AP20">
            <v>0</v>
          </cell>
          <cell r="AQ20">
            <v>574.10382513664081</v>
          </cell>
          <cell r="AR20">
            <v>0</v>
          </cell>
          <cell r="AS20">
            <v>0</v>
          </cell>
          <cell r="AT20">
            <v>5560605.1392561821</v>
          </cell>
          <cell r="AU20">
            <v>1.2904562970872618E-4</v>
          </cell>
          <cell r="AV20">
            <v>0</v>
          </cell>
          <cell r="AW20">
            <v>0</v>
          </cell>
          <cell r="AY20">
            <v>0</v>
          </cell>
          <cell r="AZ20">
            <v>0</v>
          </cell>
          <cell r="BA20">
            <v>0</v>
          </cell>
          <cell r="BB20">
            <v>0</v>
          </cell>
          <cell r="BC20">
            <v>0</v>
          </cell>
          <cell r="BD20">
            <v>0</v>
          </cell>
          <cell r="BE20">
            <v>0</v>
          </cell>
          <cell r="BF20">
            <v>0</v>
          </cell>
          <cell r="BG20">
            <v>0</v>
          </cell>
          <cell r="BH20">
            <v>0</v>
          </cell>
          <cell r="BJ20">
            <v>0</v>
          </cell>
          <cell r="BL20">
            <v>0</v>
          </cell>
          <cell r="BM20">
            <v>0</v>
          </cell>
          <cell r="BN20">
            <v>0</v>
          </cell>
          <cell r="BO20">
            <v>0</v>
          </cell>
          <cell r="BQ20">
            <v>0</v>
          </cell>
          <cell r="BR20">
            <v>0</v>
          </cell>
          <cell r="BS20">
            <v>0</v>
          </cell>
          <cell r="BT20">
            <v>0</v>
          </cell>
          <cell r="CB20">
            <v>0</v>
          </cell>
          <cell r="CC20">
            <v>0</v>
          </cell>
          <cell r="CD20">
            <v>0</v>
          </cell>
          <cell r="CE20">
            <v>0</v>
          </cell>
          <cell r="CF20">
            <v>0</v>
          </cell>
          <cell r="CI20">
            <v>0</v>
          </cell>
          <cell r="CJ20">
            <v>0</v>
          </cell>
          <cell r="CK20">
            <v>0</v>
          </cell>
          <cell r="CV20">
            <v>1.2782000866170282E-4</v>
          </cell>
          <cell r="DG20">
            <v>5560605</v>
          </cell>
          <cell r="DR20">
            <v>2028909.9300000002</v>
          </cell>
          <cell r="EC20">
            <v>2.740685980081925</v>
          </cell>
          <cell r="EN20">
            <v>2.4095909012463064E-2</v>
          </cell>
        </row>
        <row r="21">
          <cell r="B21">
            <v>10400</v>
          </cell>
          <cell r="C21" t="str">
            <v>Department Of Justice</v>
          </cell>
          <cell r="D21">
            <v>2.7120260227884259E-3</v>
          </cell>
          <cell r="E21">
            <v>4692437.3798196847</v>
          </cell>
          <cell r="F21">
            <v>3658801.0382357636</v>
          </cell>
          <cell r="G21">
            <v>-97610</v>
          </cell>
          <cell r="H21">
            <v>-1309356.7667466705</v>
          </cell>
          <cell r="I21">
            <v>-54183.653499700398</v>
          </cell>
          <cell r="J21">
            <v>3959760.6703546713</v>
          </cell>
          <cell r="K21">
            <v>0</v>
          </cell>
          <cell r="L21">
            <v>-208052.39916565636</v>
          </cell>
          <cell r="M21">
            <v>37336.49388201972</v>
          </cell>
          <cell r="N21">
            <v>1407.4872653067373</v>
          </cell>
          <cell r="O21">
            <v>-635.18361479727719</v>
          </cell>
          <cell r="P21">
            <v>0</v>
          </cell>
          <cell r="Q21">
            <v>0</v>
          </cell>
          <cell r="R21">
            <v>0</v>
          </cell>
          <cell r="S21">
            <v>10679905.066530623</v>
          </cell>
          <cell r="T21">
            <v>270493.90999999922</v>
          </cell>
          <cell r="U21">
            <v>19798803.351773355</v>
          </cell>
          <cell r="V21">
            <v>149345.97552807888</v>
          </cell>
          <cell r="W21">
            <v>0</v>
          </cell>
          <cell r="X21">
            <v>20218643.237301435</v>
          </cell>
          <cell r="Y21">
            <v>758542</v>
          </cell>
          <cell r="Z21">
            <v>0</v>
          </cell>
          <cell r="AA21">
            <v>0</v>
          </cell>
          <cell r="AB21">
            <v>270918.26749850198</v>
          </cell>
          <cell r="AC21">
            <v>1029460.267498502</v>
          </cell>
          <cell r="AD21" t="str">
            <v>N/A</v>
          </cell>
          <cell r="AE21">
            <v>3845305</v>
          </cell>
          <cell r="AF21">
            <v>3845304</v>
          </cell>
          <cell r="AG21">
            <v>3845304</v>
          </cell>
          <cell r="AH21">
            <v>3845304</v>
          </cell>
          <cell r="AI21">
            <v>3807967</v>
          </cell>
          <cell r="AJ21">
            <v>0</v>
          </cell>
          <cell r="AK21">
            <v>19189184</v>
          </cell>
          <cell r="AL21">
            <v>90826099</v>
          </cell>
          <cell r="AM21">
            <v>10679905.066530623</v>
          </cell>
          <cell r="AN21">
            <v>-2712836.9099999992</v>
          </cell>
          <cell r="AO21">
            <v>19677231.059802935</v>
          </cell>
          <cell r="AP21">
            <v>0</v>
          </cell>
          <cell r="AQ21">
            <v>-488048.09000000078</v>
          </cell>
          <cell r="AR21">
            <v>0</v>
          </cell>
          <cell r="AS21">
            <v>0</v>
          </cell>
          <cell r="AT21">
            <v>117982350.12633355</v>
          </cell>
          <cell r="AU21">
            <v>2.7394808535894772E-3</v>
          </cell>
          <cell r="AV21">
            <v>0</v>
          </cell>
          <cell r="AW21">
            <v>0</v>
          </cell>
          <cell r="AY21">
            <v>0</v>
          </cell>
          <cell r="AZ21">
            <v>0</v>
          </cell>
          <cell r="BA21">
            <v>0</v>
          </cell>
          <cell r="BB21">
            <v>0</v>
          </cell>
          <cell r="BC21">
            <v>0</v>
          </cell>
          <cell r="BD21">
            <v>0</v>
          </cell>
          <cell r="BE21">
            <v>0</v>
          </cell>
          <cell r="BF21">
            <v>0</v>
          </cell>
          <cell r="BG21">
            <v>0</v>
          </cell>
          <cell r="BH21">
            <v>0</v>
          </cell>
          <cell r="BJ21">
            <v>0</v>
          </cell>
          <cell r="BL21">
            <v>0</v>
          </cell>
          <cell r="BM21">
            <v>0</v>
          </cell>
          <cell r="BN21">
            <v>0</v>
          </cell>
          <cell r="BO21">
            <v>0</v>
          </cell>
          <cell r="BQ21">
            <v>0</v>
          </cell>
          <cell r="BR21">
            <v>0</v>
          </cell>
          <cell r="BS21">
            <v>0</v>
          </cell>
          <cell r="BT21">
            <v>0</v>
          </cell>
          <cell r="CB21">
            <v>0</v>
          </cell>
          <cell r="CC21">
            <v>0</v>
          </cell>
          <cell r="CD21">
            <v>0</v>
          </cell>
          <cell r="CE21">
            <v>0</v>
          </cell>
          <cell r="CF21">
            <v>0</v>
          </cell>
          <cell r="CI21">
            <v>0</v>
          </cell>
          <cell r="CJ21">
            <v>0</v>
          </cell>
          <cell r="CK21">
            <v>0</v>
          </cell>
          <cell r="CV21">
            <v>2.7120260227884259E-3</v>
          </cell>
          <cell r="DG21">
            <v>117982350</v>
          </cell>
          <cell r="DR21">
            <v>46652416.75000006</v>
          </cell>
          <cell r="EC21">
            <v>2.528965447433114</v>
          </cell>
          <cell r="EN21">
            <v>2.4095909012463064E-2</v>
          </cell>
        </row>
        <row r="22">
          <cell r="B22">
            <v>10500</v>
          </cell>
          <cell r="C22" t="str">
            <v>State Auditor</v>
          </cell>
          <cell r="D22">
            <v>6.1190789513673456E-4</v>
          </cell>
          <cell r="E22">
            <v>1058743.3365385518</v>
          </cell>
          <cell r="F22">
            <v>825526.46000388521</v>
          </cell>
          <cell r="G22">
            <v>-115823</v>
          </cell>
          <cell r="H22">
            <v>-295427.01153701288</v>
          </cell>
          <cell r="I22">
            <v>-12225.327148494842</v>
          </cell>
          <cell r="J22">
            <v>893431.25644151645</v>
          </cell>
          <cell r="K22">
            <v>0</v>
          </cell>
          <cell r="L22">
            <v>-46942.361386602483</v>
          </cell>
          <cell r="M22">
            <v>8424.1431281113419</v>
          </cell>
          <cell r="N22">
            <v>317.56795941806251</v>
          </cell>
          <cell r="O22">
            <v>-143.31494811997459</v>
          </cell>
          <cell r="P22">
            <v>0</v>
          </cell>
          <cell r="Q22">
            <v>0</v>
          </cell>
          <cell r="R22">
            <v>0</v>
          </cell>
          <cell r="S22">
            <v>2315881.7490512528</v>
          </cell>
          <cell r="T22">
            <v>47831.930000000051</v>
          </cell>
          <cell r="U22">
            <v>4467156.2822075821</v>
          </cell>
          <cell r="V22">
            <v>33696.572512445367</v>
          </cell>
          <cell r="W22">
            <v>0</v>
          </cell>
          <cell r="X22">
            <v>4548684.7847200269</v>
          </cell>
          <cell r="Y22">
            <v>626945</v>
          </cell>
          <cell r="Z22">
            <v>0</v>
          </cell>
          <cell r="AA22">
            <v>0</v>
          </cell>
          <cell r="AB22">
            <v>61126.635742474202</v>
          </cell>
          <cell r="AC22">
            <v>688071.63574247423</v>
          </cell>
          <cell r="AD22" t="str">
            <v>N/A</v>
          </cell>
          <cell r="AE22">
            <v>773807</v>
          </cell>
          <cell r="AF22">
            <v>773807</v>
          </cell>
          <cell r="AG22">
            <v>773807</v>
          </cell>
          <cell r="AH22">
            <v>773807</v>
          </cell>
          <cell r="AI22">
            <v>765383</v>
          </cell>
          <cell r="AJ22">
            <v>0</v>
          </cell>
          <cell r="AK22">
            <v>3860611</v>
          </cell>
          <cell r="AL22">
            <v>21039830</v>
          </cell>
          <cell r="AM22">
            <v>2315881.7490512528</v>
          </cell>
          <cell r="AN22">
            <v>-596251.93000000005</v>
          </cell>
          <cell r="AO22">
            <v>4439726.2189775538</v>
          </cell>
          <cell r="AP22">
            <v>0</v>
          </cell>
          <cell r="AQ22">
            <v>-579113.06999999995</v>
          </cell>
          <cell r="AR22">
            <v>0</v>
          </cell>
          <cell r="AS22">
            <v>0</v>
          </cell>
          <cell r="AT22">
            <v>26620072.968028806</v>
          </cell>
          <cell r="AU22">
            <v>6.3459966366926637E-4</v>
          </cell>
          <cell r="AV22">
            <v>0</v>
          </cell>
          <cell r="AW22">
            <v>0</v>
          </cell>
          <cell r="AY22">
            <v>0</v>
          </cell>
          <cell r="AZ22">
            <v>0</v>
          </cell>
          <cell r="BA22">
            <v>0</v>
          </cell>
          <cell r="BB22">
            <v>0</v>
          </cell>
          <cell r="BC22">
            <v>0</v>
          </cell>
          <cell r="BD22">
            <v>0</v>
          </cell>
          <cell r="BE22">
            <v>0</v>
          </cell>
          <cell r="BF22">
            <v>0</v>
          </cell>
          <cell r="BG22">
            <v>0</v>
          </cell>
          <cell r="BH22">
            <v>0</v>
          </cell>
          <cell r="BJ22">
            <v>0</v>
          </cell>
          <cell r="BL22">
            <v>0</v>
          </cell>
          <cell r="BM22">
            <v>0</v>
          </cell>
          <cell r="BN22">
            <v>0</v>
          </cell>
          <cell r="BO22">
            <v>0</v>
          </cell>
          <cell r="BQ22">
            <v>0</v>
          </cell>
          <cell r="BR22">
            <v>0</v>
          </cell>
          <cell r="BS22">
            <v>0</v>
          </cell>
          <cell r="BT22">
            <v>0</v>
          </cell>
          <cell r="CB22">
            <v>0</v>
          </cell>
          <cell r="CC22">
            <v>0</v>
          </cell>
          <cell r="CD22">
            <v>0</v>
          </cell>
          <cell r="CE22">
            <v>0</v>
          </cell>
          <cell r="CF22">
            <v>0</v>
          </cell>
          <cell r="CI22">
            <v>0</v>
          </cell>
          <cell r="CJ22">
            <v>0</v>
          </cell>
          <cell r="CK22">
            <v>0</v>
          </cell>
          <cell r="CV22">
            <v>6.1190789513673456E-4</v>
          </cell>
          <cell r="DG22">
            <v>26620073</v>
          </cell>
          <cell r="DR22">
            <v>9868361.1599999983</v>
          </cell>
          <cell r="EC22">
            <v>2.6975171022216626</v>
          </cell>
          <cell r="EN22">
            <v>2.4095909012463064E-2</v>
          </cell>
        </row>
        <row r="23">
          <cell r="B23">
            <v>10700</v>
          </cell>
          <cell r="C23" t="str">
            <v>Department Of Cultural Resources</v>
          </cell>
          <cell r="D23">
            <v>3.7215068930898806E-3</v>
          </cell>
          <cell r="E23">
            <v>6439074.665086248</v>
          </cell>
          <cell r="F23">
            <v>5020694.1857582079</v>
          </cell>
          <cell r="G23">
            <v>11728570</v>
          </cell>
          <cell r="H23">
            <v>-1796730.6331196493</v>
          </cell>
          <cell r="I23">
            <v>-74352.103666248498</v>
          </cell>
          <cell r="J23">
            <v>5433678.1822468303</v>
          </cell>
          <cell r="K23">
            <v>0</v>
          </cell>
          <cell r="L23">
            <v>-285494.47207103024</v>
          </cell>
          <cell r="M23">
            <v>51234.028795521008</v>
          </cell>
          <cell r="N23">
            <v>1931.3876473757862</v>
          </cell>
          <cell r="O23">
            <v>-871.61412943058087</v>
          </cell>
          <cell r="P23">
            <v>0</v>
          </cell>
          <cell r="Q23">
            <v>0</v>
          </cell>
          <cell r="R23">
            <v>0</v>
          </cell>
          <cell r="S23">
            <v>26517733.626547825</v>
          </cell>
          <cell r="T23">
            <v>58642846.25</v>
          </cell>
          <cell r="U23">
            <v>27168390.911234155</v>
          </cell>
          <cell r="V23">
            <v>204936.11518208403</v>
          </cell>
          <cell r="W23">
            <v>0</v>
          </cell>
          <cell r="X23">
            <v>86016173.276416242</v>
          </cell>
          <cell r="Y23">
            <v>0</v>
          </cell>
          <cell r="Z23">
            <v>0</v>
          </cell>
          <cell r="AA23">
            <v>0</v>
          </cell>
          <cell r="AB23">
            <v>371760.51833124249</v>
          </cell>
          <cell r="AC23">
            <v>371760.51833124249</v>
          </cell>
          <cell r="AD23" t="str">
            <v>N/A</v>
          </cell>
          <cell r="AE23">
            <v>17139130</v>
          </cell>
          <cell r="AF23">
            <v>17139130</v>
          </cell>
          <cell r="AG23">
            <v>17139130</v>
          </cell>
          <cell r="AH23">
            <v>17139130</v>
          </cell>
          <cell r="AI23">
            <v>17087896</v>
          </cell>
          <cell r="AJ23">
            <v>0</v>
          </cell>
          <cell r="AK23">
            <v>85644416</v>
          </cell>
          <cell r="AL23">
            <v>53077697</v>
          </cell>
          <cell r="AM23">
            <v>26517733.626547825</v>
          </cell>
          <cell r="AN23">
            <v>-3341643.25</v>
          </cell>
          <cell r="AO23">
            <v>27001566.508084998</v>
          </cell>
          <cell r="AP23">
            <v>0</v>
          </cell>
          <cell r="AQ23">
            <v>58642846.25</v>
          </cell>
          <cell r="AR23">
            <v>0</v>
          </cell>
          <cell r="AS23">
            <v>0</v>
          </cell>
          <cell r="AT23">
            <v>161898200.13463283</v>
          </cell>
          <cell r="AU23">
            <v>1.6009201690367701E-3</v>
          </cell>
          <cell r="AV23">
            <v>0</v>
          </cell>
          <cell r="AW23">
            <v>0</v>
          </cell>
          <cell r="AY23">
            <v>0</v>
          </cell>
          <cell r="AZ23">
            <v>0</v>
          </cell>
          <cell r="BA23">
            <v>0</v>
          </cell>
          <cell r="BB23">
            <v>0</v>
          </cell>
          <cell r="BC23">
            <v>0</v>
          </cell>
          <cell r="BD23">
            <v>0</v>
          </cell>
          <cell r="BE23">
            <v>0</v>
          </cell>
          <cell r="BF23">
            <v>0</v>
          </cell>
          <cell r="BG23">
            <v>0</v>
          </cell>
          <cell r="BH23">
            <v>0</v>
          </cell>
          <cell r="BJ23">
            <v>0</v>
          </cell>
          <cell r="BL23">
            <v>0</v>
          </cell>
          <cell r="BM23">
            <v>0</v>
          </cell>
          <cell r="BN23">
            <v>0</v>
          </cell>
          <cell r="BO23">
            <v>0</v>
          </cell>
          <cell r="BQ23">
            <v>0</v>
          </cell>
          <cell r="BR23">
            <v>0</v>
          </cell>
          <cell r="BS23">
            <v>0</v>
          </cell>
          <cell r="BT23">
            <v>0</v>
          </cell>
          <cell r="CB23">
            <v>0</v>
          </cell>
          <cell r="CC23">
            <v>0</v>
          </cell>
          <cell r="CD23">
            <v>0</v>
          </cell>
          <cell r="CE23">
            <v>0</v>
          </cell>
          <cell r="CF23">
            <v>0</v>
          </cell>
          <cell r="CI23">
            <v>0</v>
          </cell>
          <cell r="CJ23">
            <v>0</v>
          </cell>
          <cell r="CK23">
            <v>0</v>
          </cell>
          <cell r="CV23">
            <v>3.7215068930898806E-3</v>
          </cell>
          <cell r="DG23">
            <v>161898199</v>
          </cell>
          <cell r="DR23">
            <v>66506369.379999906</v>
          </cell>
          <cell r="EC23">
            <v>2.4343262233269156</v>
          </cell>
          <cell r="EN23">
            <v>2.4095909012463064E-2</v>
          </cell>
        </row>
        <row r="24">
          <cell r="B24">
            <v>10800</v>
          </cell>
          <cell r="C24" t="str">
            <v>Administrative Office Of The Courts</v>
          </cell>
          <cell r="D24">
            <v>1.6267906522251418E-2</v>
          </cell>
          <cell r="E24">
            <v>28147271.454990841</v>
          </cell>
          <cell r="F24">
            <v>21947073.063973792</v>
          </cell>
          <cell r="G24">
            <v>-2995686</v>
          </cell>
          <cell r="H24">
            <v>-7854088.9013342299</v>
          </cell>
          <cell r="I24">
            <v>-325017.01781640766</v>
          </cell>
          <cell r="J24">
            <v>23752359.267403234</v>
          </cell>
          <cell r="K24">
            <v>0</v>
          </cell>
          <cell r="L24">
            <v>-1247988.3868802681</v>
          </cell>
          <cell r="M24">
            <v>223960.45880002715</v>
          </cell>
          <cell r="N24">
            <v>8442.7181269180401</v>
          </cell>
          <cell r="O24">
            <v>-3810.1063865765045</v>
          </cell>
          <cell r="P24">
            <v>0</v>
          </cell>
          <cell r="Q24">
            <v>0</v>
          </cell>
          <cell r="R24">
            <v>0</v>
          </cell>
          <cell r="S24">
            <v>61652516.550877318</v>
          </cell>
          <cell r="T24">
            <v>1438207.3900000006</v>
          </cell>
          <cell r="U24">
            <v>118761796.33701618</v>
          </cell>
          <cell r="V24">
            <v>895841.83520010859</v>
          </cell>
          <cell r="W24">
            <v>0</v>
          </cell>
          <cell r="X24">
            <v>121095845.56221628</v>
          </cell>
          <cell r="Y24">
            <v>16416636</v>
          </cell>
          <cell r="Z24">
            <v>0</v>
          </cell>
          <cell r="AA24">
            <v>0</v>
          </cell>
          <cell r="AB24">
            <v>1625085.089082038</v>
          </cell>
          <cell r="AC24">
            <v>18041721.08908204</v>
          </cell>
          <cell r="AD24" t="str">
            <v>N/A</v>
          </cell>
          <cell r="AE24">
            <v>20655617</v>
          </cell>
          <cell r="AF24">
            <v>20655618</v>
          </cell>
          <cell r="AG24">
            <v>20655618</v>
          </cell>
          <cell r="AH24">
            <v>20655618</v>
          </cell>
          <cell r="AI24">
            <v>20431657</v>
          </cell>
          <cell r="AJ24">
            <v>0</v>
          </cell>
          <cell r="AK24">
            <v>103054128</v>
          </cell>
          <cell r="AL24">
            <v>559054158</v>
          </cell>
          <cell r="AM24">
            <v>61652516.550877318</v>
          </cell>
          <cell r="AN24">
            <v>-16051570.390000001</v>
          </cell>
          <cell r="AO24">
            <v>118032553.08313426</v>
          </cell>
          <cell r="AP24">
            <v>0</v>
          </cell>
          <cell r="AQ24">
            <v>-14978428.609999999</v>
          </cell>
          <cell r="AR24">
            <v>0</v>
          </cell>
          <cell r="AS24">
            <v>0</v>
          </cell>
          <cell r="AT24">
            <v>707709228.63401163</v>
          </cell>
          <cell r="AU24">
            <v>1.6862093375012675E-2</v>
          </cell>
          <cell r="AV24">
            <v>0</v>
          </cell>
          <cell r="AW24">
            <v>0</v>
          </cell>
          <cell r="AY24">
            <v>0</v>
          </cell>
          <cell r="AZ24">
            <v>0</v>
          </cell>
          <cell r="BA24">
            <v>0</v>
          </cell>
          <cell r="BB24">
            <v>0</v>
          </cell>
          <cell r="BC24">
            <v>0</v>
          </cell>
          <cell r="BD24">
            <v>0</v>
          </cell>
          <cell r="BE24">
            <v>0</v>
          </cell>
          <cell r="BF24">
            <v>0</v>
          </cell>
          <cell r="BG24">
            <v>0</v>
          </cell>
          <cell r="BH24">
            <v>0</v>
          </cell>
          <cell r="BJ24">
            <v>0</v>
          </cell>
          <cell r="BL24">
            <v>0</v>
          </cell>
          <cell r="BM24">
            <v>0</v>
          </cell>
          <cell r="BN24">
            <v>0</v>
          </cell>
          <cell r="BO24">
            <v>0</v>
          </cell>
          <cell r="BQ24">
            <v>0</v>
          </cell>
          <cell r="BR24">
            <v>0</v>
          </cell>
          <cell r="BS24">
            <v>0</v>
          </cell>
          <cell r="BT24">
            <v>0</v>
          </cell>
          <cell r="CB24">
            <v>0</v>
          </cell>
          <cell r="CC24">
            <v>0</v>
          </cell>
          <cell r="CD24">
            <v>0</v>
          </cell>
          <cell r="CE24">
            <v>0</v>
          </cell>
          <cell r="CF24">
            <v>0</v>
          </cell>
          <cell r="CI24">
            <v>0</v>
          </cell>
          <cell r="CJ24">
            <v>0</v>
          </cell>
          <cell r="CK24">
            <v>0</v>
          </cell>
          <cell r="CV24">
            <v>1.6267906522251418E-2</v>
          </cell>
          <cell r="DG24">
            <v>707709228</v>
          </cell>
          <cell r="DR24">
            <v>276869699.74999952</v>
          </cell>
          <cell r="EC24">
            <v>2.5561093490512996</v>
          </cell>
          <cell r="EN24">
            <v>2.4095909012463064E-2</v>
          </cell>
        </row>
        <row r="25">
          <cell r="B25">
            <v>10850</v>
          </cell>
          <cell r="C25" t="str">
            <v>Office Of Administrative Hearing</v>
          </cell>
          <cell r="D25">
            <v>1.1583666001428394E-4</v>
          </cell>
          <cell r="E25">
            <v>200424.43134289008</v>
          </cell>
          <cell r="F25">
            <v>156275.52551662558</v>
          </cell>
          <cell r="G25">
            <v>78746</v>
          </cell>
          <cell r="H25">
            <v>-55925.538085763619</v>
          </cell>
          <cell r="I25">
            <v>-2314.3042861820682</v>
          </cell>
          <cell r="J25">
            <v>169130.18040962607</v>
          </cell>
          <cell r="K25">
            <v>0</v>
          </cell>
          <cell r="L25">
            <v>-8886.3804494505603</v>
          </cell>
          <cell r="M25">
            <v>1594.7246492458576</v>
          </cell>
          <cell r="N25">
            <v>60.116909814213081</v>
          </cell>
          <cell r="O25">
            <v>-27.130104141945441</v>
          </cell>
          <cell r="P25">
            <v>0</v>
          </cell>
          <cell r="Q25">
            <v>0</v>
          </cell>
          <cell r="R25">
            <v>0</v>
          </cell>
          <cell r="S25">
            <v>539077.62590266357</v>
          </cell>
          <cell r="T25">
            <v>393724.12</v>
          </cell>
          <cell r="U25">
            <v>845650.9020481304</v>
          </cell>
          <cell r="V25">
            <v>6378.8985969834303</v>
          </cell>
          <cell r="W25">
            <v>0</v>
          </cell>
          <cell r="X25">
            <v>1245753.9206451138</v>
          </cell>
          <cell r="Y25">
            <v>0</v>
          </cell>
          <cell r="Z25">
            <v>0</v>
          </cell>
          <cell r="AA25">
            <v>0</v>
          </cell>
          <cell r="AB25">
            <v>11571.521430910341</v>
          </cell>
          <cell r="AC25">
            <v>11571.521430910341</v>
          </cell>
          <cell r="AD25" t="str">
            <v>N/A</v>
          </cell>
          <cell r="AE25">
            <v>247155</v>
          </cell>
          <cell r="AF25">
            <v>247157</v>
          </cell>
          <cell r="AG25">
            <v>247157</v>
          </cell>
          <cell r="AH25">
            <v>247157</v>
          </cell>
          <cell r="AI25">
            <v>245562</v>
          </cell>
          <cell r="AJ25">
            <v>0</v>
          </cell>
          <cell r="AK25">
            <v>1234188</v>
          </cell>
          <cell r="AL25">
            <v>3430193</v>
          </cell>
          <cell r="AM25">
            <v>539077.62590266357</v>
          </cell>
          <cell r="AN25">
            <v>-164164.12</v>
          </cell>
          <cell r="AO25">
            <v>840458.27921420347</v>
          </cell>
          <cell r="AP25">
            <v>0</v>
          </cell>
          <cell r="AQ25">
            <v>393724.12</v>
          </cell>
          <cell r="AR25">
            <v>0</v>
          </cell>
          <cell r="AS25">
            <v>0</v>
          </cell>
          <cell r="AT25">
            <v>5039288.9051168673</v>
          </cell>
          <cell r="AU25">
            <v>1.0346087009042805E-4</v>
          </cell>
          <cell r="AV25">
            <v>0</v>
          </cell>
          <cell r="AW25">
            <v>0</v>
          </cell>
          <cell r="AY25">
            <v>0</v>
          </cell>
          <cell r="AZ25">
            <v>0</v>
          </cell>
          <cell r="BA25">
            <v>0</v>
          </cell>
          <cell r="BB25">
            <v>0</v>
          </cell>
          <cell r="BC25">
            <v>0</v>
          </cell>
          <cell r="BD25">
            <v>0</v>
          </cell>
          <cell r="BE25">
            <v>0</v>
          </cell>
          <cell r="BF25">
            <v>0</v>
          </cell>
          <cell r="BG25">
            <v>0</v>
          </cell>
          <cell r="BH25">
            <v>0</v>
          </cell>
          <cell r="BJ25">
            <v>0</v>
          </cell>
          <cell r="BL25">
            <v>0</v>
          </cell>
          <cell r="BM25">
            <v>0</v>
          </cell>
          <cell r="BN25">
            <v>0</v>
          </cell>
          <cell r="BO25">
            <v>0</v>
          </cell>
          <cell r="BQ25">
            <v>0</v>
          </cell>
          <cell r="BR25">
            <v>0</v>
          </cell>
          <cell r="BS25">
            <v>0</v>
          </cell>
          <cell r="BT25">
            <v>0</v>
          </cell>
          <cell r="CB25">
            <v>0</v>
          </cell>
          <cell r="CC25">
            <v>0</v>
          </cell>
          <cell r="CD25">
            <v>0</v>
          </cell>
          <cell r="CE25">
            <v>0</v>
          </cell>
          <cell r="CF25">
            <v>0</v>
          </cell>
          <cell r="CI25">
            <v>0</v>
          </cell>
          <cell r="CJ25">
            <v>0</v>
          </cell>
          <cell r="CK25">
            <v>0</v>
          </cell>
          <cell r="CV25">
            <v>1.1583666001428394E-4</v>
          </cell>
          <cell r="DG25">
            <v>5039288</v>
          </cell>
          <cell r="DR25">
            <v>2828498.3000000003</v>
          </cell>
          <cell r="EC25">
            <v>1.7816125256288822</v>
          </cell>
          <cell r="EN25">
            <v>2.4095909012463064E-2</v>
          </cell>
        </row>
        <row r="26">
          <cell r="B26">
            <v>10900</v>
          </cell>
          <cell r="C26" t="str">
            <v>Department Of Administration</v>
          </cell>
          <cell r="D26">
            <v>1.5663365588164822E-3</v>
          </cell>
          <cell r="E26">
            <v>2710127.4678815971</v>
          </cell>
          <cell r="F26">
            <v>2113148.5389406481</v>
          </cell>
          <cell r="G26">
            <v>-624379</v>
          </cell>
          <cell r="H26">
            <v>-756221.86330660153</v>
          </cell>
          <cell r="I26">
            <v>-31293.887541523174</v>
          </cell>
          <cell r="J26">
            <v>2286968.4324647966</v>
          </cell>
          <cell r="K26">
            <v>0</v>
          </cell>
          <cell r="L26">
            <v>-120161.1180071152</v>
          </cell>
          <cell r="M26">
            <v>21563.773671060288</v>
          </cell>
          <cell r="N26">
            <v>812.89734729457791</v>
          </cell>
          <cell r="O26">
            <v>-366.85168544040829</v>
          </cell>
          <cell r="P26">
            <v>0</v>
          </cell>
          <cell r="Q26">
            <v>0</v>
          </cell>
          <cell r="R26">
            <v>0</v>
          </cell>
          <cell r="S26">
            <v>5600198.3897647159</v>
          </cell>
          <cell r="T26">
            <v>382617.84999999963</v>
          </cell>
          <cell r="U26">
            <v>11434842.162323983</v>
          </cell>
          <cell r="V26">
            <v>86255.09468424115</v>
          </cell>
          <cell r="W26">
            <v>0</v>
          </cell>
          <cell r="X26">
            <v>11903715.107008224</v>
          </cell>
          <cell r="Y26">
            <v>3504511</v>
          </cell>
          <cell r="Z26">
            <v>0</v>
          </cell>
          <cell r="AA26">
            <v>0</v>
          </cell>
          <cell r="AB26">
            <v>156469.43770761587</v>
          </cell>
          <cell r="AC26">
            <v>3660980.437707616</v>
          </cell>
          <cell r="AD26" t="str">
            <v>N/A</v>
          </cell>
          <cell r="AE26">
            <v>1652860</v>
          </cell>
          <cell r="AF26">
            <v>1652859</v>
          </cell>
          <cell r="AG26">
            <v>1652859</v>
          </cell>
          <cell r="AH26">
            <v>1652859</v>
          </cell>
          <cell r="AI26">
            <v>1631296</v>
          </cell>
          <cell r="AJ26">
            <v>0</v>
          </cell>
          <cell r="AK26">
            <v>8242733</v>
          </cell>
          <cell r="AL26">
            <v>56136508</v>
          </cell>
          <cell r="AM26">
            <v>5600198.3897647159</v>
          </cell>
          <cell r="AN26">
            <v>-1838476.8499999996</v>
          </cell>
          <cell r="AO26">
            <v>11364627.819300609</v>
          </cell>
          <cell r="AP26">
            <v>0</v>
          </cell>
          <cell r="AQ26">
            <v>-3121893.1500000004</v>
          </cell>
          <cell r="AR26">
            <v>0</v>
          </cell>
          <cell r="AS26">
            <v>0</v>
          </cell>
          <cell r="AT26">
            <v>68140964.209065318</v>
          </cell>
          <cell r="AU26">
            <v>1.6931795090103117E-3</v>
          </cell>
          <cell r="AV26">
            <v>0</v>
          </cell>
          <cell r="AW26">
            <v>0</v>
          </cell>
          <cell r="AY26">
            <v>0</v>
          </cell>
          <cell r="AZ26">
            <v>0</v>
          </cell>
          <cell r="BA26">
            <v>0</v>
          </cell>
          <cell r="BB26">
            <v>0</v>
          </cell>
          <cell r="BC26">
            <v>0</v>
          </cell>
          <cell r="BD26">
            <v>0</v>
          </cell>
          <cell r="BE26">
            <v>0</v>
          </cell>
          <cell r="BF26">
            <v>0</v>
          </cell>
          <cell r="BG26">
            <v>0</v>
          </cell>
          <cell r="BH26">
            <v>0</v>
          </cell>
          <cell r="BJ26">
            <v>0</v>
          </cell>
          <cell r="BL26">
            <v>0</v>
          </cell>
          <cell r="BM26">
            <v>0</v>
          </cell>
          <cell r="BN26">
            <v>0</v>
          </cell>
          <cell r="BO26">
            <v>0</v>
          </cell>
          <cell r="BQ26">
            <v>0</v>
          </cell>
          <cell r="BR26">
            <v>0</v>
          </cell>
          <cell r="BS26">
            <v>0</v>
          </cell>
          <cell r="BT26">
            <v>0</v>
          </cell>
          <cell r="CB26">
            <v>0</v>
          </cell>
          <cell r="CC26">
            <v>0</v>
          </cell>
          <cell r="CD26">
            <v>0</v>
          </cell>
          <cell r="CE26">
            <v>0</v>
          </cell>
          <cell r="CF26">
            <v>0</v>
          </cell>
          <cell r="CI26">
            <v>0</v>
          </cell>
          <cell r="CJ26">
            <v>0</v>
          </cell>
          <cell r="CK26">
            <v>0</v>
          </cell>
          <cell r="CV26">
            <v>1.5663365588164822E-3</v>
          </cell>
          <cell r="DG26">
            <v>68140964</v>
          </cell>
          <cell r="DR26">
            <v>32080362.910000026</v>
          </cell>
          <cell r="EC26">
            <v>2.1240708588978974</v>
          </cell>
          <cell r="EN26">
            <v>2.4095909012463064E-2</v>
          </cell>
        </row>
        <row r="27">
          <cell r="B27">
            <v>10910</v>
          </cell>
          <cell r="C27" t="str">
            <v>Office Of State Budget &amp; Management</v>
          </cell>
          <cell r="D27">
            <v>2.358673838756909E-4</v>
          </cell>
          <cell r="E27">
            <v>408105.57106697618</v>
          </cell>
          <cell r="F27">
            <v>318209.27297851967</v>
          </cell>
          <cell r="G27">
            <v>-167516</v>
          </cell>
          <cell r="H27">
            <v>-113875.95566466422</v>
          </cell>
          <cell r="I27">
            <v>-4712.4019063287133</v>
          </cell>
          <cell r="J27">
            <v>344384.00746985426</v>
          </cell>
          <cell r="K27">
            <v>0</v>
          </cell>
          <cell r="L27">
            <v>-18094.507459706878</v>
          </cell>
          <cell r="M27">
            <v>3247.1890243841331</v>
          </cell>
          <cell r="N27">
            <v>122.41045488380607</v>
          </cell>
          <cell r="O27">
            <v>-55.242499977525569</v>
          </cell>
          <cell r="P27">
            <v>0</v>
          </cell>
          <cell r="Q27">
            <v>0</v>
          </cell>
          <cell r="R27">
            <v>0</v>
          </cell>
          <cell r="S27">
            <v>769814.34346394066</v>
          </cell>
          <cell r="T27">
            <v>17720.609999999986</v>
          </cell>
          <cell r="U27">
            <v>1721920.0373492714</v>
          </cell>
          <cell r="V27">
            <v>12988.756097536532</v>
          </cell>
          <cell r="W27">
            <v>0</v>
          </cell>
          <cell r="X27">
            <v>1752629.403446808</v>
          </cell>
          <cell r="Y27">
            <v>855300</v>
          </cell>
          <cell r="Z27">
            <v>0</v>
          </cell>
          <cell r="AA27">
            <v>0</v>
          </cell>
          <cell r="AB27">
            <v>23562.009531643565</v>
          </cell>
          <cell r="AC27">
            <v>878862.00953164359</v>
          </cell>
          <cell r="AD27" t="str">
            <v>N/A</v>
          </cell>
          <cell r="AE27">
            <v>175403</v>
          </cell>
          <cell r="AF27">
            <v>175403</v>
          </cell>
          <cell r="AG27">
            <v>175403</v>
          </cell>
          <cell r="AH27">
            <v>175403</v>
          </cell>
          <cell r="AI27">
            <v>172156</v>
          </cell>
          <cell r="AJ27">
            <v>0</v>
          </cell>
          <cell r="AK27">
            <v>873768</v>
          </cell>
          <cell r="AL27">
            <v>8846424</v>
          </cell>
          <cell r="AM27">
            <v>769814.34346394066</v>
          </cell>
          <cell r="AN27">
            <v>-228972.61</v>
          </cell>
          <cell r="AO27">
            <v>1711346.7839151644</v>
          </cell>
          <cell r="AP27">
            <v>0</v>
          </cell>
          <cell r="AQ27">
            <v>-837579.39</v>
          </cell>
          <cell r="AR27">
            <v>0</v>
          </cell>
          <cell r="AS27">
            <v>0</v>
          </cell>
          <cell r="AT27">
            <v>10261033.127379104</v>
          </cell>
          <cell r="AU27">
            <v>2.6682429284122477E-4</v>
          </cell>
          <cell r="AV27">
            <v>0</v>
          </cell>
          <cell r="AW27">
            <v>0</v>
          </cell>
          <cell r="AY27">
            <v>0</v>
          </cell>
          <cell r="AZ27">
            <v>0</v>
          </cell>
          <cell r="BA27">
            <v>0</v>
          </cell>
          <cell r="BB27">
            <v>0</v>
          </cell>
          <cell r="BC27">
            <v>0</v>
          </cell>
          <cell r="BD27">
            <v>0</v>
          </cell>
          <cell r="BE27">
            <v>0</v>
          </cell>
          <cell r="BF27">
            <v>0</v>
          </cell>
          <cell r="BG27">
            <v>0</v>
          </cell>
          <cell r="BH27">
            <v>0</v>
          </cell>
          <cell r="BJ27">
            <v>0</v>
          </cell>
          <cell r="BL27">
            <v>0</v>
          </cell>
          <cell r="BM27">
            <v>0</v>
          </cell>
          <cell r="BN27">
            <v>0</v>
          </cell>
          <cell r="BO27">
            <v>0</v>
          </cell>
          <cell r="BQ27">
            <v>0</v>
          </cell>
          <cell r="BR27">
            <v>0</v>
          </cell>
          <cell r="BS27">
            <v>0</v>
          </cell>
          <cell r="BT27">
            <v>0</v>
          </cell>
          <cell r="CB27">
            <v>0</v>
          </cell>
          <cell r="CC27">
            <v>0</v>
          </cell>
          <cell r="CD27">
            <v>0</v>
          </cell>
          <cell r="CE27">
            <v>0</v>
          </cell>
          <cell r="CF27">
            <v>0</v>
          </cell>
          <cell r="CI27">
            <v>0</v>
          </cell>
          <cell r="CJ27">
            <v>0</v>
          </cell>
          <cell r="CK27">
            <v>0</v>
          </cell>
          <cell r="CV27">
            <v>2.358673838756909E-4</v>
          </cell>
          <cell r="DG27">
            <v>10261033</v>
          </cell>
          <cell r="DR27">
            <v>3813313.13</v>
          </cell>
          <cell r="EC27">
            <v>2.6908445884694498</v>
          </cell>
          <cell r="EN27">
            <v>2.4095909012463064E-2</v>
          </cell>
        </row>
        <row r="28">
          <cell r="B28">
            <v>10930</v>
          </cell>
          <cell r="C28" t="str">
            <v>Information Technology Services</v>
          </cell>
          <cell r="D28">
            <v>2.0859751474145644E-3</v>
          </cell>
          <cell r="E28">
            <v>3609223.3897663439</v>
          </cell>
          <cell r="F28">
            <v>2814194.2484929538</v>
          </cell>
          <cell r="G28">
            <v>-731220</v>
          </cell>
          <cell r="H28">
            <v>-1007101.5733560016</v>
          </cell>
          <cell r="I28">
            <v>-41675.763302701438</v>
          </cell>
          <cell r="J28">
            <v>3045679.6058235564</v>
          </cell>
          <cell r="K28">
            <v>0</v>
          </cell>
          <cell r="L28">
            <v>-160025.0625815588</v>
          </cell>
          <cell r="M28">
            <v>28717.644180055486</v>
          </cell>
          <cell r="N28">
            <v>1082.5793820052106</v>
          </cell>
          <cell r="O28">
            <v>-488.55623927596514</v>
          </cell>
          <cell r="P28">
            <v>0</v>
          </cell>
          <cell r="Q28">
            <v>0</v>
          </cell>
          <cell r="R28">
            <v>0</v>
          </cell>
          <cell r="S28">
            <v>7558386.512165376</v>
          </cell>
          <cell r="T28">
            <v>415078.24999999953</v>
          </cell>
          <cell r="U28">
            <v>15228398.029117782</v>
          </cell>
          <cell r="V28">
            <v>114870.57672022194</v>
          </cell>
          <cell r="W28">
            <v>0</v>
          </cell>
          <cell r="X28">
            <v>15758346.855838004</v>
          </cell>
          <cell r="Y28">
            <v>4071180</v>
          </cell>
          <cell r="Z28">
            <v>0</v>
          </cell>
          <cell r="AA28">
            <v>0</v>
          </cell>
          <cell r="AB28">
            <v>208378.81651350719</v>
          </cell>
          <cell r="AC28">
            <v>4279558.8165135076</v>
          </cell>
          <cell r="AD28" t="str">
            <v>N/A</v>
          </cell>
          <cell r="AE28">
            <v>2301501</v>
          </cell>
          <cell r="AF28">
            <v>2301501</v>
          </cell>
          <cell r="AG28">
            <v>2301501</v>
          </cell>
          <cell r="AH28">
            <v>2301501</v>
          </cell>
          <cell r="AI28">
            <v>2272784</v>
          </cell>
          <cell r="AJ28">
            <v>0</v>
          </cell>
          <cell r="AK28">
            <v>11478788</v>
          </cell>
          <cell r="AL28">
            <v>74044865</v>
          </cell>
          <cell r="AM28">
            <v>7558386.512165376</v>
          </cell>
          <cell r="AN28">
            <v>-2335030.2499999995</v>
          </cell>
          <cell r="AO28">
            <v>15134889.789324498</v>
          </cell>
          <cell r="AP28">
            <v>0</v>
          </cell>
          <cell r="AQ28">
            <v>-3656101.7500000005</v>
          </cell>
          <cell r="AR28">
            <v>0</v>
          </cell>
          <cell r="AS28">
            <v>0</v>
          </cell>
          <cell r="AT28">
            <v>90747009.301489875</v>
          </cell>
          <cell r="AU28">
            <v>2.2333282165043068E-3</v>
          </cell>
          <cell r="AV28">
            <v>0</v>
          </cell>
          <cell r="AW28">
            <v>0</v>
          </cell>
          <cell r="AY28">
            <v>0</v>
          </cell>
          <cell r="AZ28">
            <v>0</v>
          </cell>
          <cell r="BA28">
            <v>0</v>
          </cell>
          <cell r="BB28">
            <v>0</v>
          </cell>
          <cell r="BC28">
            <v>0</v>
          </cell>
          <cell r="BD28">
            <v>0</v>
          </cell>
          <cell r="BE28">
            <v>0</v>
          </cell>
          <cell r="BF28">
            <v>0</v>
          </cell>
          <cell r="BG28">
            <v>0</v>
          </cell>
          <cell r="BH28">
            <v>0</v>
          </cell>
          <cell r="BJ28">
            <v>0</v>
          </cell>
          <cell r="BL28">
            <v>0</v>
          </cell>
          <cell r="BM28">
            <v>0</v>
          </cell>
          <cell r="BN28">
            <v>0</v>
          </cell>
          <cell r="BO28">
            <v>0</v>
          </cell>
          <cell r="BQ28">
            <v>0</v>
          </cell>
          <cell r="BR28">
            <v>0</v>
          </cell>
          <cell r="BS28">
            <v>0</v>
          </cell>
          <cell r="BT28">
            <v>0</v>
          </cell>
          <cell r="CB28">
            <v>0</v>
          </cell>
          <cell r="CC28">
            <v>0</v>
          </cell>
          <cell r="CD28">
            <v>0</v>
          </cell>
          <cell r="CE28">
            <v>0</v>
          </cell>
          <cell r="CF28">
            <v>0</v>
          </cell>
          <cell r="CI28">
            <v>0</v>
          </cell>
          <cell r="CJ28">
            <v>0</v>
          </cell>
          <cell r="CK28">
            <v>0</v>
          </cell>
          <cell r="CV28">
            <v>2.0859751474145644E-3</v>
          </cell>
          <cell r="DG28">
            <v>90747009</v>
          </cell>
          <cell r="DR28">
            <v>40792819.800000012</v>
          </cell>
          <cell r="EC28">
            <v>2.2245828909331729</v>
          </cell>
          <cell r="EN28">
            <v>2.4095909012463064E-2</v>
          </cell>
        </row>
        <row r="29">
          <cell r="B29">
            <v>10940</v>
          </cell>
          <cell r="C29" t="str">
            <v>Office Of State Controller</v>
          </cell>
          <cell r="D29">
            <v>5.7249093433715641E-4</v>
          </cell>
          <cell r="E29">
            <v>990542.80354194902</v>
          </cell>
          <cell r="F29">
            <v>772348.94036146172</v>
          </cell>
          <cell r="G29">
            <v>-178355</v>
          </cell>
          <cell r="H29">
            <v>-276396.63944108027</v>
          </cell>
          <cell r="I29">
            <v>-11437.814444697222</v>
          </cell>
          <cell r="J29">
            <v>835879.54793740599</v>
          </cell>
          <cell r="K29">
            <v>0</v>
          </cell>
          <cell r="L29">
            <v>-43918.499080982328</v>
          </cell>
          <cell r="M29">
            <v>7881.4893691226616</v>
          </cell>
          <cell r="N29">
            <v>297.11134510229743</v>
          </cell>
          <cell r="O29">
            <v>-134.08310173110542</v>
          </cell>
          <cell r="P29">
            <v>0</v>
          </cell>
          <cell r="Q29">
            <v>0</v>
          </cell>
          <cell r="R29">
            <v>0</v>
          </cell>
          <cell r="S29">
            <v>2096707.8564865508</v>
          </cell>
          <cell r="T29">
            <v>114363.92999999993</v>
          </cell>
          <cell r="U29">
            <v>4179397.7396870302</v>
          </cell>
          <cell r="V29">
            <v>31525.957476490647</v>
          </cell>
          <cell r="W29">
            <v>0</v>
          </cell>
          <cell r="X29">
            <v>4325287.627163521</v>
          </cell>
          <cell r="Y29">
            <v>1006140</v>
          </cell>
          <cell r="Z29">
            <v>0</v>
          </cell>
          <cell r="AA29">
            <v>0</v>
          </cell>
          <cell r="AB29">
            <v>57189.07222348611</v>
          </cell>
          <cell r="AC29">
            <v>1063329.0722234861</v>
          </cell>
          <cell r="AD29" t="str">
            <v>N/A</v>
          </cell>
          <cell r="AE29">
            <v>653968</v>
          </cell>
          <cell r="AF29">
            <v>653968</v>
          </cell>
          <cell r="AG29">
            <v>653968</v>
          </cell>
          <cell r="AH29">
            <v>653968</v>
          </cell>
          <cell r="AI29">
            <v>646087</v>
          </cell>
          <cell r="AJ29">
            <v>0</v>
          </cell>
          <cell r="AK29">
            <v>3261959</v>
          </cell>
          <cell r="AL29">
            <v>20188015</v>
          </cell>
          <cell r="AM29">
            <v>2096707.8564865508</v>
          </cell>
          <cell r="AN29">
            <v>-641379.92999999993</v>
          </cell>
          <cell r="AO29">
            <v>4153734.6249400349</v>
          </cell>
          <cell r="AP29">
            <v>0</v>
          </cell>
          <cell r="AQ29">
            <v>-891776.07000000007</v>
          </cell>
          <cell r="AR29">
            <v>0</v>
          </cell>
          <cell r="AS29">
            <v>0</v>
          </cell>
          <cell r="AT29">
            <v>24905301.481426585</v>
          </cell>
          <cell r="AU29">
            <v>6.0890737174538188E-4</v>
          </cell>
          <cell r="AV29">
            <v>0</v>
          </cell>
          <cell r="AW29">
            <v>0</v>
          </cell>
          <cell r="AY29">
            <v>0</v>
          </cell>
          <cell r="AZ29">
            <v>0</v>
          </cell>
          <cell r="BA29">
            <v>0</v>
          </cell>
          <cell r="BB29">
            <v>0</v>
          </cell>
          <cell r="BC29">
            <v>0</v>
          </cell>
          <cell r="BD29">
            <v>0</v>
          </cell>
          <cell r="BE29">
            <v>0</v>
          </cell>
          <cell r="BF29">
            <v>0</v>
          </cell>
          <cell r="BG29">
            <v>0</v>
          </cell>
          <cell r="BH29">
            <v>0</v>
          </cell>
          <cell r="BJ29">
            <v>0</v>
          </cell>
          <cell r="BL29">
            <v>0</v>
          </cell>
          <cell r="BM29">
            <v>0</v>
          </cell>
          <cell r="BN29">
            <v>0</v>
          </cell>
          <cell r="BO29">
            <v>0</v>
          </cell>
          <cell r="BQ29">
            <v>0</v>
          </cell>
          <cell r="BR29">
            <v>0</v>
          </cell>
          <cell r="BS29">
            <v>0</v>
          </cell>
          <cell r="BT29">
            <v>0</v>
          </cell>
          <cell r="CB29">
            <v>0</v>
          </cell>
          <cell r="CC29">
            <v>0</v>
          </cell>
          <cell r="CD29">
            <v>0</v>
          </cell>
          <cell r="CE29">
            <v>0</v>
          </cell>
          <cell r="CF29">
            <v>0</v>
          </cell>
          <cell r="CI29">
            <v>0</v>
          </cell>
          <cell r="CJ29">
            <v>0</v>
          </cell>
          <cell r="CK29">
            <v>0</v>
          </cell>
          <cell r="CV29">
            <v>5.7249093433715641E-4</v>
          </cell>
          <cell r="DG29">
            <v>24905302</v>
          </cell>
          <cell r="DR29">
            <v>10915232.039999992</v>
          </cell>
          <cell r="EC29">
            <v>2.2817015624342165</v>
          </cell>
          <cell r="EN29">
            <v>2.4095909012463064E-2</v>
          </cell>
        </row>
        <row r="30">
          <cell r="B30">
            <v>10950</v>
          </cell>
          <cell r="C30" t="str">
            <v>N.C. School Of Science &amp; Mathematics</v>
          </cell>
          <cell r="D30">
            <v>7.5022903727045792E-4</v>
          </cell>
          <cell r="E30">
            <v>1298071.1646322836</v>
          </cell>
          <cell r="F30">
            <v>1012135.8561513739</v>
          </cell>
          <cell r="G30">
            <v>51543</v>
          </cell>
          <cell r="H30">
            <v>-362207.9796822613</v>
          </cell>
          <cell r="I30">
            <v>-14988.84961254207</v>
          </cell>
          <cell r="J30">
            <v>1095390.4610720486</v>
          </cell>
          <cell r="K30">
            <v>0</v>
          </cell>
          <cell r="L30">
            <v>-57553.633267639285</v>
          </cell>
          <cell r="M30">
            <v>10328.41190489831</v>
          </cell>
          <cell r="N30">
            <v>389.35386576262226</v>
          </cell>
          <cell r="O30">
            <v>-175.71114281911395</v>
          </cell>
          <cell r="P30">
            <v>0</v>
          </cell>
          <cell r="Q30">
            <v>0</v>
          </cell>
          <cell r="R30">
            <v>0</v>
          </cell>
          <cell r="S30">
            <v>3032932.0739211058</v>
          </cell>
          <cell r="T30">
            <v>257709.79000000004</v>
          </cell>
          <cell r="U30">
            <v>5476952.3053602437</v>
          </cell>
          <cell r="V30">
            <v>41313.647619593241</v>
          </cell>
          <cell r="W30">
            <v>0</v>
          </cell>
          <cell r="X30">
            <v>5775975.7429798367</v>
          </cell>
          <cell r="Y30">
            <v>0</v>
          </cell>
          <cell r="Z30">
            <v>0</v>
          </cell>
          <cell r="AA30">
            <v>0</v>
          </cell>
          <cell r="AB30">
            <v>74944.24806271035</v>
          </cell>
          <cell r="AC30">
            <v>74944.24806271035</v>
          </cell>
          <cell r="AD30" t="str">
            <v>N/A</v>
          </cell>
          <cell r="AE30">
            <v>1142272</v>
          </cell>
          <cell r="AF30">
            <v>1142272</v>
          </cell>
          <cell r="AG30">
            <v>1142272</v>
          </cell>
          <cell r="AH30">
            <v>1142272</v>
          </cell>
          <cell r="AI30">
            <v>1131944</v>
          </cell>
          <cell r="AJ30">
            <v>0</v>
          </cell>
          <cell r="AK30">
            <v>5701032</v>
          </cell>
          <cell r="AL30">
            <v>24597448</v>
          </cell>
          <cell r="AM30">
            <v>3032932.0739211058</v>
          </cell>
          <cell r="AN30">
            <v>-693898.79</v>
          </cell>
          <cell r="AO30">
            <v>5443321.7049171263</v>
          </cell>
          <cell r="AP30">
            <v>0</v>
          </cell>
          <cell r="AQ30">
            <v>257709.79000000004</v>
          </cell>
          <cell r="AR30">
            <v>0</v>
          </cell>
          <cell r="AS30">
            <v>0</v>
          </cell>
          <cell r="AT30">
            <v>32637512.778838232</v>
          </cell>
          <cell r="AU30">
            <v>7.4190389295996696E-4</v>
          </cell>
          <cell r="AV30">
            <v>0</v>
          </cell>
          <cell r="AW30">
            <v>0</v>
          </cell>
          <cell r="AY30">
            <v>0</v>
          </cell>
          <cell r="AZ30">
            <v>0</v>
          </cell>
          <cell r="BA30">
            <v>0</v>
          </cell>
          <cell r="BB30">
            <v>0</v>
          </cell>
          <cell r="BC30">
            <v>0</v>
          </cell>
          <cell r="BD30">
            <v>0</v>
          </cell>
          <cell r="BE30">
            <v>0</v>
          </cell>
          <cell r="BF30">
            <v>0</v>
          </cell>
          <cell r="BG30">
            <v>0</v>
          </cell>
          <cell r="BH30">
            <v>0</v>
          </cell>
          <cell r="BJ30">
            <v>0</v>
          </cell>
          <cell r="BL30">
            <v>0</v>
          </cell>
          <cell r="BM30">
            <v>0</v>
          </cell>
          <cell r="BN30">
            <v>0</v>
          </cell>
          <cell r="BO30">
            <v>0</v>
          </cell>
          <cell r="BQ30">
            <v>0</v>
          </cell>
          <cell r="BR30">
            <v>0</v>
          </cell>
          <cell r="BS30">
            <v>0</v>
          </cell>
          <cell r="BT30">
            <v>0</v>
          </cell>
          <cell r="CB30">
            <v>0</v>
          </cell>
          <cell r="CC30">
            <v>0</v>
          </cell>
          <cell r="CD30">
            <v>0</v>
          </cell>
          <cell r="CE30">
            <v>0</v>
          </cell>
          <cell r="CF30">
            <v>0</v>
          </cell>
          <cell r="CI30">
            <v>0</v>
          </cell>
          <cell r="CJ30">
            <v>0</v>
          </cell>
          <cell r="CK30">
            <v>0</v>
          </cell>
          <cell r="CV30">
            <v>7.5022903727045792E-4</v>
          </cell>
          <cell r="DG30">
            <v>32637513</v>
          </cell>
          <cell r="DR30">
            <v>12169359.4</v>
          </cell>
          <cell r="EC30">
            <v>2.6819417462516557</v>
          </cell>
          <cell r="EN30">
            <v>2.4095909012463064E-2</v>
          </cell>
        </row>
        <row r="31">
          <cell r="B31">
            <v>11300</v>
          </cell>
          <cell r="C31" t="str">
            <v>Environment And Natural Resources</v>
          </cell>
          <cell r="D31">
            <v>4.359677677606282E-3</v>
          </cell>
          <cell r="E31">
            <v>7543258.9239432774</v>
          </cell>
          <cell r="F31">
            <v>5881651.9750052383</v>
          </cell>
          <cell r="G31">
            <v>-14479791</v>
          </cell>
          <cell r="H31">
            <v>-2104837.2766493633</v>
          </cell>
          <cell r="I31">
            <v>-87102.137910505538</v>
          </cell>
          <cell r="J31">
            <v>6365455.2198798405</v>
          </cell>
          <cell r="K31">
            <v>0</v>
          </cell>
          <cell r="L31">
            <v>-334451.58445874735</v>
          </cell>
          <cell r="M31">
            <v>60019.73342798691</v>
          </cell>
          <cell r="N31">
            <v>2262.5855211241083</v>
          </cell>
          <cell r="O31">
            <v>-1021.0801088721673</v>
          </cell>
          <cell r="P31">
            <v>0</v>
          </cell>
          <cell r="Q31">
            <v>0</v>
          </cell>
          <cell r="R31">
            <v>0</v>
          </cell>
          <cell r="S31">
            <v>2845445.3586499798</v>
          </cell>
          <cell r="T31">
            <v>1147874.1899999995</v>
          </cell>
          <cell r="U31">
            <v>31827276.099399202</v>
          </cell>
          <cell r="V31">
            <v>240078.93371194764</v>
          </cell>
          <cell r="W31">
            <v>0</v>
          </cell>
          <cell r="X31">
            <v>33215229.223111145</v>
          </cell>
          <cell r="Y31">
            <v>73546831</v>
          </cell>
          <cell r="Z31">
            <v>0</v>
          </cell>
          <cell r="AA31">
            <v>0</v>
          </cell>
          <cell r="AB31">
            <v>435510.68955252774</v>
          </cell>
          <cell r="AC31">
            <v>73982341.689552531</v>
          </cell>
          <cell r="AD31" t="str">
            <v>N/A</v>
          </cell>
          <cell r="AE31">
            <v>-8141418</v>
          </cell>
          <cell r="AF31">
            <v>-8141418</v>
          </cell>
          <cell r="AG31">
            <v>-8141418</v>
          </cell>
          <cell r="AH31">
            <v>-8141418</v>
          </cell>
          <cell r="AI31">
            <v>-8201438</v>
          </cell>
          <cell r="AJ31">
            <v>0</v>
          </cell>
          <cell r="AK31">
            <v>-40767110</v>
          </cell>
          <cell r="AL31">
            <v>232799100</v>
          </cell>
          <cell r="AM31">
            <v>2845445.3586499798</v>
          </cell>
          <cell r="AN31">
            <v>-5216636.1899999995</v>
          </cell>
          <cell r="AO31">
            <v>31631844.343558624</v>
          </cell>
          <cell r="AP31">
            <v>0</v>
          </cell>
          <cell r="AQ31">
            <v>-72398956.810000002</v>
          </cell>
          <cell r="AR31">
            <v>0</v>
          </cell>
          <cell r="AS31">
            <v>0</v>
          </cell>
          <cell r="AT31">
            <v>189660796.70220858</v>
          </cell>
          <cell r="AU31">
            <v>7.0216455839791376E-3</v>
          </cell>
          <cell r="AV31">
            <v>0</v>
          </cell>
          <cell r="AW31">
            <v>0</v>
          </cell>
          <cell r="AY31">
            <v>0</v>
          </cell>
          <cell r="AZ31">
            <v>0</v>
          </cell>
          <cell r="BA31">
            <v>0</v>
          </cell>
          <cell r="BB31">
            <v>0</v>
          </cell>
          <cell r="BC31">
            <v>0</v>
          </cell>
          <cell r="BD31">
            <v>0</v>
          </cell>
          <cell r="BE31">
            <v>0</v>
          </cell>
          <cell r="BF31">
            <v>0</v>
          </cell>
          <cell r="BG31">
            <v>0</v>
          </cell>
          <cell r="BH31">
            <v>0</v>
          </cell>
          <cell r="BJ31">
            <v>0</v>
          </cell>
          <cell r="BL31">
            <v>0</v>
          </cell>
          <cell r="BM31">
            <v>0</v>
          </cell>
          <cell r="BN31">
            <v>0</v>
          </cell>
          <cell r="BO31">
            <v>0</v>
          </cell>
          <cell r="BQ31">
            <v>0</v>
          </cell>
          <cell r="BR31">
            <v>0</v>
          </cell>
          <cell r="BS31">
            <v>0</v>
          </cell>
          <cell r="BT31">
            <v>0</v>
          </cell>
          <cell r="CB31">
            <v>0</v>
          </cell>
          <cell r="CC31">
            <v>0</v>
          </cell>
          <cell r="CD31">
            <v>0</v>
          </cell>
          <cell r="CE31">
            <v>0</v>
          </cell>
          <cell r="CF31">
            <v>0</v>
          </cell>
          <cell r="CI31">
            <v>0</v>
          </cell>
          <cell r="CJ31">
            <v>0</v>
          </cell>
          <cell r="CK31">
            <v>0</v>
          </cell>
          <cell r="CV31">
            <v>4.359677677606282E-3</v>
          </cell>
          <cell r="DG31">
            <v>189660798</v>
          </cell>
          <cell r="DR31">
            <v>81503903.549999997</v>
          </cell>
          <cell r="EC31">
            <v>2.3270149003801919</v>
          </cell>
          <cell r="EN31">
            <v>2.4095909012463064E-2</v>
          </cell>
        </row>
        <row r="32">
          <cell r="B32">
            <v>11310</v>
          </cell>
          <cell r="C32" t="str">
            <v>N.C. Housing Finance Agency</v>
          </cell>
          <cell r="D32">
            <v>4.1985438008708826E-4</v>
          </cell>
          <cell r="E32">
            <v>726445.97457661317</v>
          </cell>
          <cell r="F32">
            <v>566426.58619884215</v>
          </cell>
          <cell r="G32">
            <v>-111876</v>
          </cell>
          <cell r="H32">
            <v>-202704.23992835873</v>
          </cell>
          <cell r="I32">
            <v>-8388.2839101891041</v>
          </cell>
          <cell r="J32">
            <v>613018.77178731351</v>
          </cell>
          <cell r="K32">
            <v>0</v>
          </cell>
          <cell r="L32">
            <v>-32209.023933891171</v>
          </cell>
          <cell r="M32">
            <v>5780.1401467907963</v>
          </cell>
          <cell r="N32">
            <v>217.89602617759707</v>
          </cell>
          <cell r="O32">
            <v>-98.334094360196943</v>
          </cell>
          <cell r="P32">
            <v>0</v>
          </cell>
          <cell r="Q32">
            <v>0</v>
          </cell>
          <cell r="R32">
            <v>0</v>
          </cell>
          <cell r="S32">
            <v>1556613.486868938</v>
          </cell>
          <cell r="T32">
            <v>59107.490000000049</v>
          </cell>
          <cell r="U32">
            <v>3065093.8589365678</v>
          </cell>
          <cell r="V32">
            <v>23120.560587163185</v>
          </cell>
          <cell r="W32">
            <v>0</v>
          </cell>
          <cell r="X32">
            <v>3147321.9095237311</v>
          </cell>
          <cell r="Y32">
            <v>618485</v>
          </cell>
          <cell r="Z32">
            <v>0</v>
          </cell>
          <cell r="AA32">
            <v>0</v>
          </cell>
          <cell r="AB32">
            <v>41941.419550945517</v>
          </cell>
          <cell r="AC32">
            <v>660426.41955094552</v>
          </cell>
          <cell r="AD32" t="str">
            <v>N/A</v>
          </cell>
          <cell r="AE32">
            <v>498535</v>
          </cell>
          <cell r="AF32">
            <v>498536</v>
          </cell>
          <cell r="AG32">
            <v>498536</v>
          </cell>
          <cell r="AH32">
            <v>498536</v>
          </cell>
          <cell r="AI32">
            <v>492755</v>
          </cell>
          <cell r="AJ32">
            <v>0</v>
          </cell>
          <cell r="AK32">
            <v>2486898</v>
          </cell>
          <cell r="AL32">
            <v>14662241</v>
          </cell>
          <cell r="AM32">
            <v>1556613.486868938</v>
          </cell>
          <cell r="AN32">
            <v>-440657.49000000005</v>
          </cell>
          <cell r="AO32">
            <v>3046272.9999727854</v>
          </cell>
          <cell r="AP32">
            <v>0</v>
          </cell>
          <cell r="AQ32">
            <v>-559377.51</v>
          </cell>
          <cell r="AR32">
            <v>0</v>
          </cell>
          <cell r="AS32">
            <v>0</v>
          </cell>
          <cell r="AT32">
            <v>18265092.486841723</v>
          </cell>
          <cell r="AU32">
            <v>4.4223994001554623E-4</v>
          </cell>
          <cell r="AV32">
            <v>0</v>
          </cell>
          <cell r="AW32">
            <v>0</v>
          </cell>
          <cell r="AY32">
            <v>0</v>
          </cell>
          <cell r="AZ32">
            <v>0</v>
          </cell>
          <cell r="BA32">
            <v>0</v>
          </cell>
          <cell r="BB32">
            <v>0</v>
          </cell>
          <cell r="BC32">
            <v>0</v>
          </cell>
          <cell r="BD32">
            <v>0</v>
          </cell>
          <cell r="BE32">
            <v>0</v>
          </cell>
          <cell r="BF32">
            <v>0</v>
          </cell>
          <cell r="BG32">
            <v>0</v>
          </cell>
          <cell r="BH32">
            <v>0</v>
          </cell>
          <cell r="BJ32">
            <v>0</v>
          </cell>
          <cell r="BL32">
            <v>0</v>
          </cell>
          <cell r="BM32">
            <v>0</v>
          </cell>
          <cell r="BN32">
            <v>0</v>
          </cell>
          <cell r="BO32">
            <v>0</v>
          </cell>
          <cell r="BQ32">
            <v>0</v>
          </cell>
          <cell r="BR32">
            <v>0</v>
          </cell>
          <cell r="BS32">
            <v>0</v>
          </cell>
          <cell r="BT32">
            <v>0</v>
          </cell>
          <cell r="CB32">
            <v>0</v>
          </cell>
          <cell r="CC32">
            <v>0</v>
          </cell>
          <cell r="CD32">
            <v>0</v>
          </cell>
          <cell r="CE32">
            <v>0</v>
          </cell>
          <cell r="CF32">
            <v>0</v>
          </cell>
          <cell r="CI32">
            <v>0</v>
          </cell>
          <cell r="CJ32">
            <v>0</v>
          </cell>
          <cell r="CK32">
            <v>0</v>
          </cell>
          <cell r="CV32">
            <v>4.1985438008708826E-4</v>
          </cell>
          <cell r="DG32">
            <v>18265093</v>
          </cell>
          <cell r="DR32">
            <v>7711680.4799999986</v>
          </cell>
          <cell r="EC32">
            <v>2.3684971190611366</v>
          </cell>
          <cell r="EN32">
            <v>2.4095909012463064E-2</v>
          </cell>
        </row>
        <row r="33">
          <cell r="B33">
            <v>11600</v>
          </cell>
          <cell r="C33" t="str">
            <v>Wildlife Resources Commission</v>
          </cell>
          <cell r="D33">
            <v>1.792159297127403E-3</v>
          </cell>
          <cell r="E33">
            <v>3100853.4600215591</v>
          </cell>
          <cell r="F33">
            <v>2417806.5556582469</v>
          </cell>
          <cell r="G33">
            <v>-285002</v>
          </cell>
          <cell r="H33">
            <v>-865248.2988968672</v>
          </cell>
          <cell r="I33">
            <v>-35805.607157108519</v>
          </cell>
          <cell r="J33">
            <v>2616686.5067463936</v>
          </cell>
          <cell r="K33">
            <v>0</v>
          </cell>
          <cell r="L33">
            <v>-137485.05299039339</v>
          </cell>
          <cell r="M33">
            <v>24672.677942818595</v>
          </cell>
          <cell r="N33">
            <v>930.09483202317961</v>
          </cell>
          <cell r="O33">
            <v>-419.74162898020904</v>
          </cell>
          <cell r="P33">
            <v>0</v>
          </cell>
          <cell r="Q33">
            <v>0</v>
          </cell>
          <cell r="R33">
            <v>0</v>
          </cell>
          <cell r="S33">
            <v>6836988.5945276935</v>
          </cell>
          <cell r="T33">
            <v>53220.220000000205</v>
          </cell>
          <cell r="U33">
            <v>13083432.533731969</v>
          </cell>
          <cell r="V33">
            <v>98690.711771274378</v>
          </cell>
          <cell r="W33">
            <v>0</v>
          </cell>
          <cell r="X33">
            <v>13235343.465503244</v>
          </cell>
          <cell r="Y33">
            <v>1478227</v>
          </cell>
          <cell r="Z33">
            <v>0</v>
          </cell>
          <cell r="AA33">
            <v>0</v>
          </cell>
          <cell r="AB33">
            <v>179028.0357855426</v>
          </cell>
          <cell r="AC33">
            <v>1657255.0357855426</v>
          </cell>
          <cell r="AD33" t="str">
            <v>N/A</v>
          </cell>
          <cell r="AE33">
            <v>2320553</v>
          </cell>
          <cell r="AF33">
            <v>2320552</v>
          </cell>
          <cell r="AG33">
            <v>2320552</v>
          </cell>
          <cell r="AH33">
            <v>2320552</v>
          </cell>
          <cell r="AI33">
            <v>2295879</v>
          </cell>
          <cell r="AJ33">
            <v>0</v>
          </cell>
          <cell r="AK33">
            <v>11578088</v>
          </cell>
          <cell r="AL33">
            <v>61192006</v>
          </cell>
          <cell r="AM33">
            <v>6836988.5945276935</v>
          </cell>
          <cell r="AN33">
            <v>-1642062.2200000002</v>
          </cell>
          <cell r="AO33">
            <v>13003095.209717702</v>
          </cell>
          <cell r="AP33">
            <v>0</v>
          </cell>
          <cell r="AQ33">
            <v>-1425006.7799999998</v>
          </cell>
          <cell r="AR33">
            <v>0</v>
          </cell>
          <cell r="AS33">
            <v>0</v>
          </cell>
          <cell r="AT33">
            <v>77965020.804245397</v>
          </cell>
          <cell r="AU33">
            <v>1.8456625566167853E-3</v>
          </cell>
          <cell r="AV33">
            <v>0</v>
          </cell>
          <cell r="AW33">
            <v>0</v>
          </cell>
          <cell r="AY33">
            <v>0</v>
          </cell>
          <cell r="AZ33">
            <v>0</v>
          </cell>
          <cell r="BA33">
            <v>0</v>
          </cell>
          <cell r="BB33">
            <v>0</v>
          </cell>
          <cell r="BC33">
            <v>0</v>
          </cell>
          <cell r="BD33">
            <v>0</v>
          </cell>
          <cell r="BE33">
            <v>0</v>
          </cell>
          <cell r="BF33">
            <v>0</v>
          </cell>
          <cell r="BG33">
            <v>0</v>
          </cell>
          <cell r="BH33">
            <v>0</v>
          </cell>
          <cell r="BJ33">
            <v>0</v>
          </cell>
          <cell r="BL33">
            <v>0</v>
          </cell>
          <cell r="BM33">
            <v>0</v>
          </cell>
          <cell r="BN33">
            <v>0</v>
          </cell>
          <cell r="BO33">
            <v>0</v>
          </cell>
          <cell r="BQ33">
            <v>0</v>
          </cell>
          <cell r="BR33">
            <v>0</v>
          </cell>
          <cell r="BS33">
            <v>0</v>
          </cell>
          <cell r="BT33">
            <v>0</v>
          </cell>
          <cell r="CB33">
            <v>0</v>
          </cell>
          <cell r="CC33">
            <v>0</v>
          </cell>
          <cell r="CD33">
            <v>0</v>
          </cell>
          <cell r="CE33">
            <v>0</v>
          </cell>
          <cell r="CF33">
            <v>0</v>
          </cell>
          <cell r="CI33">
            <v>0</v>
          </cell>
          <cell r="CJ33">
            <v>0</v>
          </cell>
          <cell r="CK33">
            <v>0</v>
          </cell>
          <cell r="CV33">
            <v>1.792159297127403E-3</v>
          </cell>
          <cell r="DG33">
            <v>77965021</v>
          </cell>
          <cell r="DR33">
            <v>28412137.169999994</v>
          </cell>
          <cell r="EC33">
            <v>2.7440744965261623</v>
          </cell>
          <cell r="EN33">
            <v>2.4095909012463064E-2</v>
          </cell>
        </row>
        <row r="34">
          <cell r="B34">
            <v>11900</v>
          </cell>
          <cell r="C34" t="str">
            <v>State Board Of Elections</v>
          </cell>
          <cell r="D34">
            <v>2.0821938671753397E-4</v>
          </cell>
          <cell r="E34">
            <v>360268.08932751528</v>
          </cell>
          <cell r="F34">
            <v>280909.29139375756</v>
          </cell>
          <cell r="G34">
            <v>-72643</v>
          </cell>
          <cell r="H34">
            <v>-100527.59843584802</v>
          </cell>
          <cell r="I34">
            <v>-4160.0216985466341</v>
          </cell>
          <cell r="J34">
            <v>304015.8654088928</v>
          </cell>
          <cell r="K34">
            <v>0</v>
          </cell>
          <cell r="L34">
            <v>-15973.498261216399</v>
          </cell>
          <cell r="M34">
            <v>2866.5587250906678</v>
          </cell>
          <cell r="N34">
            <v>108.06169731866578</v>
          </cell>
          <cell r="O34">
            <v>-48.767062563113633</v>
          </cell>
          <cell r="P34">
            <v>0</v>
          </cell>
          <cell r="Q34">
            <v>0</v>
          </cell>
          <cell r="R34">
            <v>0</v>
          </cell>
          <cell r="S34">
            <v>754814.98109440086</v>
          </cell>
          <cell r="T34">
            <v>0</v>
          </cell>
          <cell r="U34">
            <v>1520079.3270444639</v>
          </cell>
          <cell r="V34">
            <v>11466.234900362671</v>
          </cell>
          <cell r="W34">
            <v>0</v>
          </cell>
          <cell r="X34">
            <v>1531545.5619448265</v>
          </cell>
          <cell r="Y34">
            <v>363213.88</v>
          </cell>
          <cell r="Z34">
            <v>0</v>
          </cell>
          <cell r="AA34">
            <v>0</v>
          </cell>
          <cell r="AB34">
            <v>20800.108492733169</v>
          </cell>
          <cell r="AC34">
            <v>384013.98849273316</v>
          </cell>
          <cell r="AD34" t="str">
            <v>N/A</v>
          </cell>
          <cell r="AE34">
            <v>230079</v>
          </cell>
          <cell r="AF34">
            <v>230079</v>
          </cell>
          <cell r="AG34">
            <v>230079</v>
          </cell>
          <cell r="AH34">
            <v>230079</v>
          </cell>
          <cell r="AI34">
            <v>227213</v>
          </cell>
          <cell r="AJ34">
            <v>0</v>
          </cell>
          <cell r="AK34">
            <v>1147529</v>
          </cell>
          <cell r="AL34">
            <v>7338462</v>
          </cell>
          <cell r="AM34">
            <v>754814.98109440086</v>
          </cell>
          <cell r="AN34">
            <v>-182558.12</v>
          </cell>
          <cell r="AO34">
            <v>1510745.4534520935</v>
          </cell>
          <cell r="AP34">
            <v>0</v>
          </cell>
          <cell r="AQ34">
            <v>-363213.88</v>
          </cell>
          <cell r="AR34">
            <v>0</v>
          </cell>
          <cell r="AS34">
            <v>0</v>
          </cell>
          <cell r="AT34">
            <v>9058250.4345464949</v>
          </cell>
          <cell r="AU34">
            <v>2.2134141517205787E-4</v>
          </cell>
          <cell r="AV34">
            <v>0</v>
          </cell>
          <cell r="AW34">
            <v>0</v>
          </cell>
          <cell r="AY34">
            <v>0</v>
          </cell>
          <cell r="AZ34">
            <v>0</v>
          </cell>
          <cell r="BA34">
            <v>0</v>
          </cell>
          <cell r="BB34">
            <v>0</v>
          </cell>
          <cell r="BC34">
            <v>0</v>
          </cell>
          <cell r="BD34">
            <v>0</v>
          </cell>
          <cell r="BE34">
            <v>0</v>
          </cell>
          <cell r="BF34">
            <v>0</v>
          </cell>
          <cell r="BG34">
            <v>0</v>
          </cell>
          <cell r="BH34">
            <v>0</v>
          </cell>
          <cell r="BJ34">
            <v>0</v>
          </cell>
          <cell r="BL34">
            <v>0</v>
          </cell>
          <cell r="BM34">
            <v>0</v>
          </cell>
          <cell r="BN34">
            <v>0</v>
          </cell>
          <cell r="BO34">
            <v>0</v>
          </cell>
          <cell r="BQ34">
            <v>0</v>
          </cell>
          <cell r="BR34">
            <v>0</v>
          </cell>
          <cell r="BS34">
            <v>0</v>
          </cell>
          <cell r="BT34">
            <v>0</v>
          </cell>
          <cell r="CB34">
            <v>0</v>
          </cell>
          <cell r="CC34">
            <v>0</v>
          </cell>
          <cell r="CD34">
            <v>0</v>
          </cell>
          <cell r="CE34">
            <v>0</v>
          </cell>
          <cell r="CF34">
            <v>0</v>
          </cell>
          <cell r="CI34">
            <v>0</v>
          </cell>
          <cell r="CJ34">
            <v>0</v>
          </cell>
          <cell r="CK34">
            <v>0</v>
          </cell>
          <cell r="CV34">
            <v>2.0821938671753397E-4</v>
          </cell>
          <cell r="DG34">
            <v>9058251</v>
          </cell>
          <cell r="DR34">
            <v>3220506.4499999997</v>
          </cell>
          <cell r="EC34">
            <v>2.8126790430741107</v>
          </cell>
          <cell r="EN34">
            <v>2.4095909012463064E-2</v>
          </cell>
        </row>
        <row r="35">
          <cell r="B35">
            <v>12100</v>
          </cell>
          <cell r="C35" t="str">
            <v>Governor's Office</v>
          </cell>
          <cell r="D35">
            <v>2.4575505458039566E-4</v>
          </cell>
          <cell r="E35">
            <v>425213.54688440595</v>
          </cell>
          <cell r="F35">
            <v>331548.75406613515</v>
          </cell>
          <cell r="G35">
            <v>-45203</v>
          </cell>
          <cell r="H35">
            <v>-118649.68882053444</v>
          </cell>
          <cell r="I35">
            <v>-4909.9479913887744</v>
          </cell>
          <cell r="J35">
            <v>358820.74563125736</v>
          </cell>
          <cell r="K35">
            <v>0</v>
          </cell>
          <cell r="L35">
            <v>-18853.037648941085</v>
          </cell>
          <cell r="M35">
            <v>3383.3127022808753</v>
          </cell>
          <cell r="N35">
            <v>127.54195822613374</v>
          </cell>
          <cell r="O35">
            <v>-57.558291333274468</v>
          </cell>
          <cell r="P35">
            <v>0</v>
          </cell>
          <cell r="Q35">
            <v>0</v>
          </cell>
          <cell r="R35">
            <v>0</v>
          </cell>
          <cell r="S35">
            <v>931420.6684901081</v>
          </cell>
          <cell r="T35">
            <v>12777.299999999988</v>
          </cell>
          <cell r="U35">
            <v>1794103.7281562868</v>
          </cell>
          <cell r="V35">
            <v>13533.250809123501</v>
          </cell>
          <cell r="W35">
            <v>0</v>
          </cell>
          <cell r="X35">
            <v>1820414.2789654103</v>
          </cell>
          <cell r="Y35">
            <v>238790</v>
          </cell>
          <cell r="Z35">
            <v>0</v>
          </cell>
          <cell r="AA35">
            <v>0</v>
          </cell>
          <cell r="AB35">
            <v>24549.739956943871</v>
          </cell>
          <cell r="AC35">
            <v>263339.7399569439</v>
          </cell>
          <cell r="AD35" t="str">
            <v>N/A</v>
          </cell>
          <cell r="AE35">
            <v>312091</v>
          </cell>
          <cell r="AF35">
            <v>312092</v>
          </cell>
          <cell r="AG35">
            <v>312092</v>
          </cell>
          <cell r="AH35">
            <v>312092</v>
          </cell>
          <cell r="AI35">
            <v>308709</v>
          </cell>
          <cell r="AJ35">
            <v>0</v>
          </cell>
          <cell r="AK35">
            <v>1557076</v>
          </cell>
          <cell r="AL35">
            <v>8434432</v>
          </cell>
          <cell r="AM35">
            <v>931420.6684901081</v>
          </cell>
          <cell r="AN35">
            <v>-231747.3</v>
          </cell>
          <cell r="AO35">
            <v>1783087.2390084667</v>
          </cell>
          <cell r="AP35">
            <v>0</v>
          </cell>
          <cell r="AQ35">
            <v>-226012.7</v>
          </cell>
          <cell r="AR35">
            <v>0</v>
          </cell>
          <cell r="AS35">
            <v>0</v>
          </cell>
          <cell r="AT35">
            <v>10691179.907498576</v>
          </cell>
          <cell r="AU35">
            <v>2.5439784416979685E-4</v>
          </cell>
          <cell r="AV35">
            <v>0</v>
          </cell>
          <cell r="AW35">
            <v>0</v>
          </cell>
          <cell r="AY35">
            <v>0</v>
          </cell>
          <cell r="AZ35">
            <v>0</v>
          </cell>
          <cell r="BA35">
            <v>0</v>
          </cell>
          <cell r="BB35">
            <v>0</v>
          </cell>
          <cell r="BC35">
            <v>0</v>
          </cell>
          <cell r="BD35">
            <v>0</v>
          </cell>
          <cell r="BE35">
            <v>0</v>
          </cell>
          <cell r="BF35">
            <v>0</v>
          </cell>
          <cell r="BG35">
            <v>0</v>
          </cell>
          <cell r="BH35">
            <v>0</v>
          </cell>
          <cell r="BJ35">
            <v>0</v>
          </cell>
          <cell r="BL35">
            <v>0</v>
          </cell>
          <cell r="BM35">
            <v>0</v>
          </cell>
          <cell r="BN35">
            <v>0</v>
          </cell>
          <cell r="BO35">
            <v>0</v>
          </cell>
          <cell r="BQ35">
            <v>0</v>
          </cell>
          <cell r="BR35">
            <v>0</v>
          </cell>
          <cell r="BS35">
            <v>0</v>
          </cell>
          <cell r="BT35">
            <v>0</v>
          </cell>
          <cell r="CB35">
            <v>0</v>
          </cell>
          <cell r="CC35">
            <v>0</v>
          </cell>
          <cell r="CD35">
            <v>0</v>
          </cell>
          <cell r="CE35">
            <v>0</v>
          </cell>
          <cell r="CF35">
            <v>0</v>
          </cell>
          <cell r="CI35">
            <v>0</v>
          </cell>
          <cell r="CJ35">
            <v>0</v>
          </cell>
          <cell r="CK35">
            <v>0</v>
          </cell>
          <cell r="CV35">
            <v>2.4575505458039566E-4</v>
          </cell>
          <cell r="DG35">
            <v>10691180</v>
          </cell>
          <cell r="DR35">
            <v>4186906.6799999992</v>
          </cell>
          <cell r="EC35">
            <v>2.5534794102456568</v>
          </cell>
          <cell r="EN35">
            <v>2.4095909012463064E-2</v>
          </cell>
        </row>
        <row r="36">
          <cell r="B36">
            <v>12150</v>
          </cell>
          <cell r="C36" t="str">
            <v>Lt. Governor's Office</v>
          </cell>
          <cell r="D36">
            <v>3.6743207437318127E-5</v>
          </cell>
          <cell r="E36">
            <v>63574.316243495312</v>
          </cell>
          <cell r="F36">
            <v>49570.352345494211</v>
          </cell>
          <cell r="G36">
            <v>-18259</v>
          </cell>
          <cell r="H36">
            <v>-17739.49323707588</v>
          </cell>
          <cell r="I36">
            <v>-734.09370099048465</v>
          </cell>
          <cell r="J36">
            <v>53647.828778347262</v>
          </cell>
          <cell r="K36">
            <v>0</v>
          </cell>
          <cell r="L36">
            <v>-2818.7459840505367</v>
          </cell>
          <cell r="M36">
            <v>505.8441652704721</v>
          </cell>
          <cell r="N36">
            <v>19.068989795819363</v>
          </cell>
          <cell r="O36">
            <v>-8.6056266138942785</v>
          </cell>
          <cell r="P36">
            <v>0</v>
          </cell>
          <cell r="Q36">
            <v>0</v>
          </cell>
          <cell r="R36">
            <v>0</v>
          </cell>
          <cell r="S36">
            <v>127757.47197367231</v>
          </cell>
          <cell r="T36">
            <v>0</v>
          </cell>
          <cell r="U36">
            <v>268239.14389173628</v>
          </cell>
          <cell r="V36">
            <v>2023.3766610818884</v>
          </cell>
          <cell r="W36">
            <v>0</v>
          </cell>
          <cell r="X36">
            <v>270262.5205528182</v>
          </cell>
          <cell r="Y36">
            <v>91297.45</v>
          </cell>
          <cell r="Z36">
            <v>0</v>
          </cell>
          <cell r="AA36">
            <v>0</v>
          </cell>
          <cell r="AB36">
            <v>3670.4685049524232</v>
          </cell>
          <cell r="AC36">
            <v>94967.918504952424</v>
          </cell>
          <cell r="AD36" t="str">
            <v>N/A</v>
          </cell>
          <cell r="AE36">
            <v>35161</v>
          </cell>
          <cell r="AF36">
            <v>35160</v>
          </cell>
          <cell r="AG36">
            <v>35160</v>
          </cell>
          <cell r="AH36">
            <v>35160</v>
          </cell>
          <cell r="AI36">
            <v>34654</v>
          </cell>
          <cell r="AJ36">
            <v>0</v>
          </cell>
          <cell r="AK36">
            <v>175295</v>
          </cell>
          <cell r="AL36">
            <v>1322398</v>
          </cell>
          <cell r="AM36">
            <v>127757.47197367231</v>
          </cell>
          <cell r="AN36">
            <v>-26996.550000000003</v>
          </cell>
          <cell r="AO36">
            <v>266592.05204786576</v>
          </cell>
          <cell r="AP36">
            <v>0</v>
          </cell>
          <cell r="AQ36">
            <v>-91297.45</v>
          </cell>
          <cell r="AR36">
            <v>0</v>
          </cell>
          <cell r="AS36">
            <v>0</v>
          </cell>
          <cell r="AT36">
            <v>1598453.524021538</v>
          </cell>
          <cell r="AU36">
            <v>3.9885936918139238E-5</v>
          </cell>
          <cell r="AV36">
            <v>0</v>
          </cell>
          <cell r="AW36">
            <v>0</v>
          </cell>
          <cell r="AY36">
            <v>0</v>
          </cell>
          <cell r="AZ36">
            <v>0</v>
          </cell>
          <cell r="BA36">
            <v>0</v>
          </cell>
          <cell r="BB36">
            <v>0</v>
          </cell>
          <cell r="BC36">
            <v>0</v>
          </cell>
          <cell r="BD36">
            <v>0</v>
          </cell>
          <cell r="BE36">
            <v>0</v>
          </cell>
          <cell r="BF36">
            <v>0</v>
          </cell>
          <cell r="BG36">
            <v>0</v>
          </cell>
          <cell r="BH36">
            <v>0</v>
          </cell>
          <cell r="BJ36">
            <v>0</v>
          </cell>
          <cell r="BL36">
            <v>0</v>
          </cell>
          <cell r="BM36">
            <v>0</v>
          </cell>
          <cell r="BN36">
            <v>0</v>
          </cell>
          <cell r="BO36">
            <v>0</v>
          </cell>
          <cell r="BQ36">
            <v>0</v>
          </cell>
          <cell r="BR36">
            <v>0</v>
          </cell>
          <cell r="BS36">
            <v>0</v>
          </cell>
          <cell r="BT36">
            <v>0</v>
          </cell>
          <cell r="CB36">
            <v>0</v>
          </cell>
          <cell r="CC36">
            <v>0</v>
          </cell>
          <cell r="CD36">
            <v>0</v>
          </cell>
          <cell r="CE36">
            <v>0</v>
          </cell>
          <cell r="CF36">
            <v>0</v>
          </cell>
          <cell r="CI36">
            <v>0</v>
          </cell>
          <cell r="CJ36">
            <v>0</v>
          </cell>
          <cell r="CK36">
            <v>0</v>
          </cell>
          <cell r="CV36">
            <v>3.6743207437318127E-5</v>
          </cell>
          <cell r="DG36">
            <v>1598454</v>
          </cell>
          <cell r="DR36">
            <v>509215.18000000005</v>
          </cell>
          <cell r="EC36">
            <v>3.1390541028254497</v>
          </cell>
          <cell r="EN36">
            <v>2.4095909012463064E-2</v>
          </cell>
        </row>
        <row r="37">
          <cell r="B37">
            <v>12160</v>
          </cell>
          <cell r="C37" t="str">
            <v>General Assembly</v>
          </cell>
          <cell r="D37">
            <v>1.6142620447768545E-3</v>
          </cell>
          <cell r="E37">
            <v>2793049.7333306768</v>
          </cell>
          <cell r="F37">
            <v>2177804.9309945391</v>
          </cell>
          <cell r="G37">
            <v>97881</v>
          </cell>
          <cell r="H37">
            <v>-779360.12186848535</v>
          </cell>
          <cell r="I37">
            <v>-32251.392338033806</v>
          </cell>
          <cell r="J37">
            <v>2356943.2235689019</v>
          </cell>
          <cell r="K37">
            <v>0</v>
          </cell>
          <cell r="L37">
            <v>-123837.70969593077</v>
          </cell>
          <cell r="M37">
            <v>22223.564395159789</v>
          </cell>
          <cell r="N37">
            <v>837.76971599829199</v>
          </cell>
          <cell r="O37">
            <v>-378.07631350718708</v>
          </cell>
          <cell r="P37">
            <v>0</v>
          </cell>
          <cell r="Q37">
            <v>0</v>
          </cell>
          <cell r="R37">
            <v>0</v>
          </cell>
          <cell r="S37">
            <v>6512912.9217893193</v>
          </cell>
          <cell r="T37">
            <v>489404.26999999979</v>
          </cell>
          <cell r="U37">
            <v>11784716.117844509</v>
          </cell>
          <cell r="V37">
            <v>88894.257580639154</v>
          </cell>
          <cell r="W37">
            <v>0</v>
          </cell>
          <cell r="X37">
            <v>12363014.645425148</v>
          </cell>
          <cell r="Y37">
            <v>0</v>
          </cell>
          <cell r="Z37">
            <v>0</v>
          </cell>
          <cell r="AA37">
            <v>0</v>
          </cell>
          <cell r="AB37">
            <v>161256.96169016903</v>
          </cell>
          <cell r="AC37">
            <v>161256.96169016903</v>
          </cell>
          <cell r="AD37" t="str">
            <v>N/A</v>
          </cell>
          <cell r="AE37">
            <v>2444795</v>
          </cell>
          <cell r="AF37">
            <v>2444797</v>
          </cell>
          <cell r="AG37">
            <v>2444797</v>
          </cell>
          <cell r="AH37">
            <v>2444797</v>
          </cell>
          <cell r="AI37">
            <v>2422574</v>
          </cell>
          <cell r="AJ37">
            <v>0</v>
          </cell>
          <cell r="AK37">
            <v>12201760</v>
          </cell>
          <cell r="AL37">
            <v>53145901</v>
          </cell>
          <cell r="AM37">
            <v>6512912.9217893193</v>
          </cell>
          <cell r="AN37">
            <v>-1634685.2699999998</v>
          </cell>
          <cell r="AO37">
            <v>11712353.41373498</v>
          </cell>
          <cell r="AP37">
            <v>0</v>
          </cell>
          <cell r="AQ37">
            <v>489404.26999999979</v>
          </cell>
          <cell r="AR37">
            <v>0</v>
          </cell>
          <cell r="AS37">
            <v>0</v>
          </cell>
          <cell r="AT37">
            <v>70225886.335524291</v>
          </cell>
          <cell r="AU37">
            <v>1.6029773290405359E-3</v>
          </cell>
          <cell r="AV37">
            <v>0</v>
          </cell>
          <cell r="AW37">
            <v>0</v>
          </cell>
          <cell r="AY37">
            <v>0</v>
          </cell>
          <cell r="AZ37">
            <v>0</v>
          </cell>
          <cell r="BA37">
            <v>0</v>
          </cell>
          <cell r="BB37">
            <v>0</v>
          </cell>
          <cell r="BC37">
            <v>0</v>
          </cell>
          <cell r="BD37">
            <v>0</v>
          </cell>
          <cell r="BE37">
            <v>0</v>
          </cell>
          <cell r="BF37">
            <v>0</v>
          </cell>
          <cell r="BG37">
            <v>0</v>
          </cell>
          <cell r="BH37">
            <v>0</v>
          </cell>
          <cell r="BJ37">
            <v>0</v>
          </cell>
          <cell r="BL37">
            <v>0</v>
          </cell>
          <cell r="BM37">
            <v>0</v>
          </cell>
          <cell r="BN37">
            <v>0</v>
          </cell>
          <cell r="BO37">
            <v>0</v>
          </cell>
          <cell r="BQ37">
            <v>0</v>
          </cell>
          <cell r="BR37">
            <v>0</v>
          </cell>
          <cell r="BS37">
            <v>0</v>
          </cell>
          <cell r="BT37">
            <v>0</v>
          </cell>
          <cell r="CB37">
            <v>0</v>
          </cell>
          <cell r="CC37">
            <v>0</v>
          </cell>
          <cell r="CD37">
            <v>0</v>
          </cell>
          <cell r="CE37">
            <v>0</v>
          </cell>
          <cell r="CF37">
            <v>0</v>
          </cell>
          <cell r="CI37">
            <v>0</v>
          </cell>
          <cell r="CJ37">
            <v>0</v>
          </cell>
          <cell r="CK37">
            <v>0</v>
          </cell>
          <cell r="CV37">
            <v>1.6142620447768545E-3</v>
          </cell>
          <cell r="DG37">
            <v>70225886</v>
          </cell>
          <cell r="DR37">
            <v>29167151.46999998</v>
          </cell>
          <cell r="EC37">
            <v>2.4077046424033277</v>
          </cell>
          <cell r="EN37">
            <v>2.4095909012463064E-2</v>
          </cell>
        </row>
        <row r="38">
          <cell r="B38">
            <v>12220</v>
          </cell>
          <cell r="C38" t="str">
            <v>Health &amp; Human Services</v>
          </cell>
          <cell r="D38">
            <v>3.9863829786089162E-2</v>
          </cell>
          <cell r="E38">
            <v>68973720.539261639</v>
          </cell>
          <cell r="F38">
            <v>53780391.701195456</v>
          </cell>
          <cell r="G38">
            <v>-3016320</v>
          </cell>
          <cell r="H38">
            <v>-19246118.89423795</v>
          </cell>
          <cell r="I38">
            <v>-796440.71338212129</v>
          </cell>
          <cell r="J38">
            <v>58204170.620151691</v>
          </cell>
          <cell r="K38">
            <v>0</v>
          </cell>
          <cell r="L38">
            <v>-3058143.7483405108</v>
          </cell>
          <cell r="M38">
            <v>548805.80953714042</v>
          </cell>
          <cell r="N38">
            <v>20688.530382384553</v>
          </cell>
          <cell r="O38">
            <v>-9336.5075741999426</v>
          </cell>
          <cell r="P38">
            <v>0</v>
          </cell>
          <cell r="Q38">
            <v>0</v>
          </cell>
          <cell r="R38">
            <v>0</v>
          </cell>
          <cell r="S38">
            <v>155401417.33699352</v>
          </cell>
          <cell r="T38">
            <v>5261393.0399999991</v>
          </cell>
          <cell r="U38">
            <v>291020853.10075843</v>
          </cell>
          <cell r="V38">
            <v>2195223.2381485617</v>
          </cell>
          <cell r="W38">
            <v>0</v>
          </cell>
          <cell r="X38">
            <v>298477469.37890702</v>
          </cell>
          <cell r="Y38">
            <v>20342997</v>
          </cell>
          <cell r="Z38">
            <v>0</v>
          </cell>
          <cell r="AA38">
            <v>0</v>
          </cell>
          <cell r="AB38">
            <v>3982203.5669106063</v>
          </cell>
          <cell r="AC38">
            <v>24325200.566910606</v>
          </cell>
          <cell r="AD38" t="str">
            <v>N/A</v>
          </cell>
          <cell r="AE38">
            <v>54940216</v>
          </cell>
          <cell r="AF38">
            <v>54940215</v>
          </cell>
          <cell r="AG38">
            <v>54940215</v>
          </cell>
          <cell r="AH38">
            <v>54940215</v>
          </cell>
          <cell r="AI38">
            <v>54391409</v>
          </cell>
          <cell r="AJ38">
            <v>0</v>
          </cell>
          <cell r="AK38">
            <v>274152270</v>
          </cell>
          <cell r="AL38">
            <v>1346076666</v>
          </cell>
          <cell r="AM38">
            <v>155401417.33699352</v>
          </cell>
          <cell r="AN38">
            <v>-41418259.039999999</v>
          </cell>
          <cell r="AO38">
            <v>289233872.77199644</v>
          </cell>
          <cell r="AP38">
            <v>0</v>
          </cell>
          <cell r="AQ38">
            <v>-15081603.960000001</v>
          </cell>
          <cell r="AR38">
            <v>0</v>
          </cell>
          <cell r="AS38">
            <v>0</v>
          </cell>
          <cell r="AT38">
            <v>1734212093.10899</v>
          </cell>
          <cell r="AU38">
            <v>4.0600128066634794E-2</v>
          </cell>
          <cell r="AV38">
            <v>0</v>
          </cell>
          <cell r="AW38">
            <v>0</v>
          </cell>
          <cell r="AY38">
            <v>0</v>
          </cell>
          <cell r="AZ38">
            <v>0</v>
          </cell>
          <cell r="BA38">
            <v>0</v>
          </cell>
          <cell r="BB38">
            <v>0</v>
          </cell>
          <cell r="BC38">
            <v>0</v>
          </cell>
          <cell r="BD38">
            <v>0</v>
          </cell>
          <cell r="BE38">
            <v>0</v>
          </cell>
          <cell r="BF38">
            <v>0</v>
          </cell>
          <cell r="BG38">
            <v>0</v>
          </cell>
          <cell r="BH38">
            <v>0</v>
          </cell>
          <cell r="BJ38">
            <v>0</v>
          </cell>
          <cell r="BL38">
            <v>0</v>
          </cell>
          <cell r="BM38">
            <v>0</v>
          </cell>
          <cell r="BN38">
            <v>0</v>
          </cell>
          <cell r="BO38">
            <v>0</v>
          </cell>
          <cell r="BQ38">
            <v>0</v>
          </cell>
          <cell r="BR38">
            <v>0</v>
          </cell>
          <cell r="BS38">
            <v>0</v>
          </cell>
          <cell r="BT38">
            <v>0</v>
          </cell>
          <cell r="CB38">
            <v>0</v>
          </cell>
          <cell r="CC38">
            <v>0</v>
          </cell>
          <cell r="CD38">
            <v>0</v>
          </cell>
          <cell r="CE38">
            <v>0</v>
          </cell>
          <cell r="CF38">
            <v>0</v>
          </cell>
          <cell r="CI38">
            <v>0</v>
          </cell>
          <cell r="CJ38">
            <v>0</v>
          </cell>
          <cell r="CK38">
            <v>0</v>
          </cell>
          <cell r="CV38">
            <v>3.9863829786089162E-2</v>
          </cell>
          <cell r="DG38">
            <v>1734212093</v>
          </cell>
          <cell r="DR38">
            <v>714528160.84999931</v>
          </cell>
          <cell r="EC38">
            <v>2.4270731204449514</v>
          </cell>
          <cell r="EN38">
            <v>2.4095909012463064E-2</v>
          </cell>
        </row>
        <row r="39">
          <cell r="B39">
            <v>12510</v>
          </cell>
          <cell r="C39" t="str">
            <v>Department Of Commerce</v>
          </cell>
          <cell r="D39">
            <v>4.4662492583956914E-3</v>
          </cell>
          <cell r="E39">
            <v>7727652.6078978768</v>
          </cell>
          <cell r="F39">
            <v>6025427.9591448782</v>
          </cell>
          <cell r="G39">
            <v>-3435545</v>
          </cell>
          <cell r="H39">
            <v>-2156289.6665884657</v>
          </cell>
          <cell r="I39">
            <v>-89231.334886451805</v>
          </cell>
          <cell r="J39">
            <v>6521057.6922165705</v>
          </cell>
          <cell r="K39">
            <v>0</v>
          </cell>
          <cell r="L39">
            <v>-342627.19666888245</v>
          </cell>
          <cell r="M39">
            <v>61486.905623499202</v>
          </cell>
          <cell r="N39">
            <v>2317.8940401221957</v>
          </cell>
          <cell r="O39">
            <v>-1046.0402388088548</v>
          </cell>
          <cell r="P39">
            <v>0</v>
          </cell>
          <cell r="Q39">
            <v>0</v>
          </cell>
          <cell r="R39">
            <v>0</v>
          </cell>
          <cell r="S39">
            <v>14313203.820540339</v>
          </cell>
          <cell r="T39">
            <v>954519.16999999993</v>
          </cell>
          <cell r="U39">
            <v>32605288.461082853</v>
          </cell>
          <cell r="V39">
            <v>245947.62249399681</v>
          </cell>
          <cell r="W39">
            <v>0</v>
          </cell>
          <cell r="X39">
            <v>33805755.253576852</v>
          </cell>
          <cell r="Y39">
            <v>18132246</v>
          </cell>
          <cell r="Z39">
            <v>0</v>
          </cell>
          <cell r="AA39">
            <v>0</v>
          </cell>
          <cell r="AB39">
            <v>446156.67443225899</v>
          </cell>
          <cell r="AC39">
            <v>18578402.674432259</v>
          </cell>
          <cell r="AD39" t="str">
            <v>N/A</v>
          </cell>
          <cell r="AE39">
            <v>3057768</v>
          </cell>
          <cell r="AF39">
            <v>3057768</v>
          </cell>
          <cell r="AG39">
            <v>3057768</v>
          </cell>
          <cell r="AH39">
            <v>3057768</v>
          </cell>
          <cell r="AI39">
            <v>2996281</v>
          </cell>
          <cell r="AJ39">
            <v>0</v>
          </cell>
          <cell r="AK39">
            <v>15227353</v>
          </cell>
          <cell r="AL39">
            <v>169834925</v>
          </cell>
          <cell r="AM39">
            <v>14313203.820540339</v>
          </cell>
          <cell r="AN39">
            <v>-5078458.17</v>
          </cell>
          <cell r="AO39">
            <v>32405079.409144592</v>
          </cell>
          <cell r="AP39">
            <v>0</v>
          </cell>
          <cell r="AQ39">
            <v>-17177726.829999998</v>
          </cell>
          <cell r="AR39">
            <v>0</v>
          </cell>
          <cell r="AS39">
            <v>0</v>
          </cell>
          <cell r="AT39">
            <v>194297023.22968495</v>
          </cell>
          <cell r="AU39">
            <v>5.1225311936079748E-3</v>
          </cell>
          <cell r="AV39">
            <v>0</v>
          </cell>
          <cell r="AW39">
            <v>0</v>
          </cell>
          <cell r="AY39">
            <v>0</v>
          </cell>
          <cell r="AZ39">
            <v>0</v>
          </cell>
          <cell r="BA39">
            <v>0</v>
          </cell>
          <cell r="BB39">
            <v>0</v>
          </cell>
          <cell r="BC39">
            <v>0</v>
          </cell>
          <cell r="BD39">
            <v>0</v>
          </cell>
          <cell r="BE39">
            <v>0</v>
          </cell>
          <cell r="BF39">
            <v>0</v>
          </cell>
          <cell r="BG39">
            <v>0</v>
          </cell>
          <cell r="BH39">
            <v>0</v>
          </cell>
          <cell r="BJ39">
            <v>0</v>
          </cell>
          <cell r="BL39">
            <v>0</v>
          </cell>
          <cell r="BM39">
            <v>0</v>
          </cell>
          <cell r="BN39">
            <v>0</v>
          </cell>
          <cell r="BO39">
            <v>0</v>
          </cell>
          <cell r="BQ39">
            <v>0</v>
          </cell>
          <cell r="BR39">
            <v>0</v>
          </cell>
          <cell r="BS39">
            <v>0</v>
          </cell>
          <cell r="BT39">
            <v>0</v>
          </cell>
          <cell r="CB39">
            <v>0</v>
          </cell>
          <cell r="CC39">
            <v>0</v>
          </cell>
          <cell r="CD39">
            <v>0</v>
          </cell>
          <cell r="CE39">
            <v>0</v>
          </cell>
          <cell r="CF39">
            <v>0</v>
          </cell>
          <cell r="CI39">
            <v>0</v>
          </cell>
          <cell r="CJ39">
            <v>0</v>
          </cell>
          <cell r="CK39">
            <v>0</v>
          </cell>
          <cell r="CV39">
            <v>4.4662492583956914E-3</v>
          </cell>
          <cell r="DG39">
            <v>194297024</v>
          </cell>
          <cell r="DR39">
            <v>89318474.35999988</v>
          </cell>
          <cell r="EC39">
            <v>2.1753285128548212</v>
          </cell>
          <cell r="EN39">
            <v>2.4095909012463064E-2</v>
          </cell>
        </row>
        <row r="40">
          <cell r="B40">
            <v>12600</v>
          </cell>
          <cell r="C40" t="str">
            <v>Insurance Department</v>
          </cell>
          <cell r="D40">
            <v>1.2011297539877978E-3</v>
          </cell>
          <cell r="E40">
            <v>2078234.5406224977</v>
          </cell>
          <cell r="F40">
            <v>1620447.1321510128</v>
          </cell>
          <cell r="G40">
            <v>-222908</v>
          </cell>
          <cell r="H40">
            <v>-579901.28336146078</v>
          </cell>
          <cell r="I40">
            <v>-23997.40926207641</v>
          </cell>
          <cell r="J40">
            <v>1753739.2045167368</v>
          </cell>
          <cell r="K40">
            <v>0</v>
          </cell>
          <cell r="L40">
            <v>-92144.369164082789</v>
          </cell>
          <cell r="M40">
            <v>16535.967330124637</v>
          </cell>
          <cell r="N40">
            <v>623.36231972458734</v>
          </cell>
          <cell r="O40">
            <v>-281.3165996814821</v>
          </cell>
          <cell r="P40">
            <v>0</v>
          </cell>
          <cell r="Q40">
            <v>0</v>
          </cell>
          <cell r="R40">
            <v>0</v>
          </cell>
          <cell r="S40">
            <v>4550347.8285527946</v>
          </cell>
          <cell r="T40">
            <v>265156.37000000011</v>
          </cell>
          <cell r="U40">
            <v>8768696.022583684</v>
          </cell>
          <cell r="V40">
            <v>66143.869320498547</v>
          </cell>
          <cell r="W40">
            <v>0</v>
          </cell>
          <cell r="X40">
            <v>9099996.2619041819</v>
          </cell>
          <cell r="Y40">
            <v>1379695</v>
          </cell>
          <cell r="Z40">
            <v>0</v>
          </cell>
          <cell r="AA40">
            <v>0</v>
          </cell>
          <cell r="AB40">
            <v>119987.04631038204</v>
          </cell>
          <cell r="AC40">
            <v>1499682.046310382</v>
          </cell>
          <cell r="AD40" t="str">
            <v>N/A</v>
          </cell>
          <cell r="AE40">
            <v>1523370</v>
          </cell>
          <cell r="AF40">
            <v>1523370</v>
          </cell>
          <cell r="AG40">
            <v>1523370</v>
          </cell>
          <cell r="AH40">
            <v>1523370</v>
          </cell>
          <cell r="AI40">
            <v>1506834</v>
          </cell>
          <cell r="AJ40">
            <v>0</v>
          </cell>
          <cell r="AK40">
            <v>7600314</v>
          </cell>
          <cell r="AL40">
            <v>41478482</v>
          </cell>
          <cell r="AM40">
            <v>4550347.8285527946</v>
          </cell>
          <cell r="AN40">
            <v>-1375917.37</v>
          </cell>
          <cell r="AO40">
            <v>8714852.8455938008</v>
          </cell>
          <cell r="AP40">
            <v>0</v>
          </cell>
          <cell r="AQ40">
            <v>-1114538.6299999999</v>
          </cell>
          <cell r="AR40">
            <v>0</v>
          </cell>
          <cell r="AS40">
            <v>0</v>
          </cell>
          <cell r="AT40">
            <v>52253226.6741466</v>
          </cell>
          <cell r="AU40">
            <v>1.2510666990705065E-3</v>
          </cell>
          <cell r="AV40">
            <v>0</v>
          </cell>
          <cell r="AW40">
            <v>0</v>
          </cell>
          <cell r="AY40">
            <v>0</v>
          </cell>
          <cell r="AZ40">
            <v>0</v>
          </cell>
          <cell r="BA40">
            <v>0</v>
          </cell>
          <cell r="BB40">
            <v>0</v>
          </cell>
          <cell r="BC40">
            <v>0</v>
          </cell>
          <cell r="BD40">
            <v>0</v>
          </cell>
          <cell r="BE40">
            <v>0</v>
          </cell>
          <cell r="BF40">
            <v>0</v>
          </cell>
          <cell r="BG40">
            <v>0</v>
          </cell>
          <cell r="BH40">
            <v>0</v>
          </cell>
          <cell r="BJ40">
            <v>0</v>
          </cell>
          <cell r="BL40">
            <v>0</v>
          </cell>
          <cell r="BM40">
            <v>0</v>
          </cell>
          <cell r="BN40">
            <v>0</v>
          </cell>
          <cell r="BO40">
            <v>0</v>
          </cell>
          <cell r="BQ40">
            <v>0</v>
          </cell>
          <cell r="BR40">
            <v>0</v>
          </cell>
          <cell r="BS40">
            <v>0</v>
          </cell>
          <cell r="BT40">
            <v>0</v>
          </cell>
          <cell r="CB40">
            <v>0</v>
          </cell>
          <cell r="CC40">
            <v>0</v>
          </cell>
          <cell r="CD40">
            <v>0</v>
          </cell>
          <cell r="CE40">
            <v>0</v>
          </cell>
          <cell r="CF40">
            <v>0</v>
          </cell>
          <cell r="CI40">
            <v>0</v>
          </cell>
          <cell r="CJ40">
            <v>0</v>
          </cell>
          <cell r="CK40">
            <v>0</v>
          </cell>
          <cell r="CV40">
            <v>1.2011297539877978E-3</v>
          </cell>
          <cell r="DG40">
            <v>52253227</v>
          </cell>
          <cell r="DR40">
            <v>23967770.510000024</v>
          </cell>
          <cell r="EC40">
            <v>2.1801454990650253</v>
          </cell>
          <cell r="EN40">
            <v>2.4095909012463064E-2</v>
          </cell>
        </row>
        <row r="41">
          <cell r="B41">
            <v>12700</v>
          </cell>
          <cell r="C41" t="str">
            <v>Labor Department</v>
          </cell>
          <cell r="D41">
            <v>9.5007738500502809E-4</v>
          </cell>
          <cell r="E41">
            <v>1643855.4046524828</v>
          </cell>
          <cell r="F41">
            <v>1281751.7580773972</v>
          </cell>
          <cell r="G41">
            <v>-307990</v>
          </cell>
          <cell r="H41">
            <v>-458694.06950243079</v>
          </cell>
          <cell r="I41">
            <v>-18981.626059061571</v>
          </cell>
          <cell r="J41">
            <v>1387183.9839752952</v>
          </cell>
          <cell r="K41">
            <v>0</v>
          </cell>
          <cell r="L41">
            <v>-72884.949363463267</v>
          </cell>
          <cell r="M41">
            <v>13079.726438691645</v>
          </cell>
          <cell r="N41">
            <v>493.07116126990945</v>
          </cell>
          <cell r="O41">
            <v>-222.51762434202763</v>
          </cell>
          <cell r="P41">
            <v>0</v>
          </cell>
          <cell r="Q41">
            <v>0</v>
          </cell>
          <cell r="R41">
            <v>0</v>
          </cell>
          <cell r="S41">
            <v>3467590.7817558399</v>
          </cell>
          <cell r="T41">
            <v>169012.27000000002</v>
          </cell>
          <cell r="U41">
            <v>6935919.9198764758</v>
          </cell>
          <cell r="V41">
            <v>52318.90575476658</v>
          </cell>
          <cell r="W41">
            <v>0</v>
          </cell>
          <cell r="X41">
            <v>7157251.0956312427</v>
          </cell>
          <cell r="Y41">
            <v>1708960</v>
          </cell>
          <cell r="Z41">
            <v>0</v>
          </cell>
          <cell r="AA41">
            <v>0</v>
          </cell>
          <cell r="AB41">
            <v>94908.130295307841</v>
          </cell>
          <cell r="AC41">
            <v>1803868.1302953078</v>
          </cell>
          <cell r="AD41" t="str">
            <v>N/A</v>
          </cell>
          <cell r="AE41">
            <v>1073292</v>
          </cell>
          <cell r="AF41">
            <v>1073293</v>
          </cell>
          <cell r="AG41">
            <v>1073293</v>
          </cell>
          <cell r="AH41">
            <v>1073293</v>
          </cell>
          <cell r="AI41">
            <v>1060213</v>
          </cell>
          <cell r="AJ41">
            <v>0</v>
          </cell>
          <cell r="AK41">
            <v>5353384</v>
          </cell>
          <cell r="AL41">
            <v>33550086</v>
          </cell>
          <cell r="AM41">
            <v>3467590.7817558399</v>
          </cell>
          <cell r="AN41">
            <v>-1039464.27</v>
          </cell>
          <cell r="AO41">
            <v>6893330.6953359349</v>
          </cell>
          <cell r="AP41">
            <v>0</v>
          </cell>
          <cell r="AQ41">
            <v>-1539947.73</v>
          </cell>
          <cell r="AR41">
            <v>0</v>
          </cell>
          <cell r="AS41">
            <v>0</v>
          </cell>
          <cell r="AT41">
            <v>41331595.477091774</v>
          </cell>
          <cell r="AU41">
            <v>1.0119318006587533E-3</v>
          </cell>
          <cell r="AV41">
            <v>0</v>
          </cell>
          <cell r="AW41">
            <v>0</v>
          </cell>
          <cell r="AY41">
            <v>0</v>
          </cell>
          <cell r="AZ41">
            <v>0</v>
          </cell>
          <cell r="BA41">
            <v>0</v>
          </cell>
          <cell r="BB41">
            <v>0</v>
          </cell>
          <cell r="BC41">
            <v>0</v>
          </cell>
          <cell r="BD41">
            <v>0</v>
          </cell>
          <cell r="BE41">
            <v>0</v>
          </cell>
          <cell r="BF41">
            <v>0</v>
          </cell>
          <cell r="BG41">
            <v>0</v>
          </cell>
          <cell r="BH41">
            <v>0</v>
          </cell>
          <cell r="BJ41">
            <v>0</v>
          </cell>
          <cell r="BL41">
            <v>0</v>
          </cell>
          <cell r="BM41">
            <v>0</v>
          </cell>
          <cell r="BN41">
            <v>0</v>
          </cell>
          <cell r="BO41">
            <v>0</v>
          </cell>
          <cell r="BQ41">
            <v>0</v>
          </cell>
          <cell r="BR41">
            <v>0</v>
          </cell>
          <cell r="BS41">
            <v>0</v>
          </cell>
          <cell r="BT41">
            <v>0</v>
          </cell>
          <cell r="CB41">
            <v>0</v>
          </cell>
          <cell r="CC41">
            <v>0</v>
          </cell>
          <cell r="CD41">
            <v>0</v>
          </cell>
          <cell r="CE41">
            <v>0</v>
          </cell>
          <cell r="CF41">
            <v>0</v>
          </cell>
          <cell r="CI41">
            <v>0</v>
          </cell>
          <cell r="CJ41">
            <v>0</v>
          </cell>
          <cell r="CK41">
            <v>0</v>
          </cell>
          <cell r="CV41">
            <v>9.5007738500502809E-4</v>
          </cell>
          <cell r="DG41">
            <v>41331596</v>
          </cell>
          <cell r="DR41">
            <v>18256095.459999993</v>
          </cell>
          <cell r="EC41">
            <v>2.2639888189979924</v>
          </cell>
          <cell r="EN41">
            <v>2.4095909012463064E-2</v>
          </cell>
        </row>
        <row r="42">
          <cell r="B42">
            <v>13500</v>
          </cell>
          <cell r="C42" t="str">
            <v>Revenue Department</v>
          </cell>
          <cell r="D42">
            <v>3.5355190976060834E-3</v>
          </cell>
          <cell r="E42">
            <v>6117272.4123109942</v>
          </cell>
          <cell r="F42">
            <v>4769777.5892737694</v>
          </cell>
          <cell r="G42">
            <v>325106</v>
          </cell>
          <cell r="H42">
            <v>-1706936.3698999251</v>
          </cell>
          <cell r="I42">
            <v>-70636.247630580445</v>
          </cell>
          <cell r="J42">
            <v>5162122.1014664946</v>
          </cell>
          <cell r="K42">
            <v>0</v>
          </cell>
          <cell r="L42">
            <v>-271226.46478024835</v>
          </cell>
          <cell r="M42">
            <v>48673.532646198895</v>
          </cell>
          <cell r="N42">
            <v>1834.8637012756051</v>
          </cell>
          <cell r="O42">
            <v>-828.05392785032075</v>
          </cell>
          <cell r="P42">
            <v>0</v>
          </cell>
          <cell r="Q42">
            <v>0</v>
          </cell>
          <cell r="R42">
            <v>0</v>
          </cell>
          <cell r="S42">
            <v>14375159.363160131</v>
          </cell>
          <cell r="T42">
            <v>1625534.4100000001</v>
          </cell>
          <cell r="U42">
            <v>25810610.50733247</v>
          </cell>
          <cell r="V42">
            <v>194694.13058479558</v>
          </cell>
          <cell r="W42">
            <v>0</v>
          </cell>
          <cell r="X42">
            <v>27630839.047917265</v>
          </cell>
          <cell r="Y42">
            <v>0</v>
          </cell>
          <cell r="Z42">
            <v>0</v>
          </cell>
          <cell r="AA42">
            <v>0</v>
          </cell>
          <cell r="AB42">
            <v>353181.23815290222</v>
          </cell>
          <cell r="AC42">
            <v>353181.23815290222</v>
          </cell>
          <cell r="AD42" t="str">
            <v>N/A</v>
          </cell>
          <cell r="AE42">
            <v>5465265</v>
          </cell>
          <cell r="AF42">
            <v>5465267</v>
          </cell>
          <cell r="AG42">
            <v>5465267</v>
          </cell>
          <cell r="AH42">
            <v>5465267</v>
          </cell>
          <cell r="AI42">
            <v>5416594</v>
          </cell>
          <cell r="AJ42">
            <v>0</v>
          </cell>
          <cell r="AK42">
            <v>27277660</v>
          </cell>
          <cell r="AL42">
            <v>115899152</v>
          </cell>
          <cell r="AM42">
            <v>14375159.363160131</v>
          </cell>
          <cell r="AN42">
            <v>-3744870.41</v>
          </cell>
          <cell r="AO42">
            <v>25652123.399764366</v>
          </cell>
          <cell r="AP42">
            <v>0</v>
          </cell>
          <cell r="AQ42">
            <v>1625534.4100000001</v>
          </cell>
          <cell r="AR42">
            <v>0</v>
          </cell>
          <cell r="AS42">
            <v>0</v>
          </cell>
          <cell r="AT42">
            <v>153807098.76292449</v>
          </cell>
          <cell r="AU42">
            <v>3.4957298644101818E-3</v>
          </cell>
          <cell r="AV42">
            <v>0</v>
          </cell>
          <cell r="AW42">
            <v>0</v>
          </cell>
          <cell r="AY42">
            <v>0</v>
          </cell>
          <cell r="AZ42">
            <v>0</v>
          </cell>
          <cell r="BA42">
            <v>0</v>
          </cell>
          <cell r="BB42">
            <v>0</v>
          </cell>
          <cell r="BC42">
            <v>0</v>
          </cell>
          <cell r="BD42">
            <v>0</v>
          </cell>
          <cell r="BE42">
            <v>0</v>
          </cell>
          <cell r="BF42">
            <v>0</v>
          </cell>
          <cell r="BG42">
            <v>0</v>
          </cell>
          <cell r="BH42">
            <v>0</v>
          </cell>
          <cell r="BJ42">
            <v>0</v>
          </cell>
          <cell r="BL42">
            <v>0</v>
          </cell>
          <cell r="BM42">
            <v>0</v>
          </cell>
          <cell r="BN42">
            <v>0</v>
          </cell>
          <cell r="BO42">
            <v>0</v>
          </cell>
          <cell r="BQ42">
            <v>0</v>
          </cell>
          <cell r="BR42">
            <v>0</v>
          </cell>
          <cell r="BS42">
            <v>0</v>
          </cell>
          <cell r="BT42">
            <v>0</v>
          </cell>
          <cell r="CB42">
            <v>0</v>
          </cell>
          <cell r="CC42">
            <v>0</v>
          </cell>
          <cell r="CD42">
            <v>0</v>
          </cell>
          <cell r="CE42">
            <v>0</v>
          </cell>
          <cell r="CF42">
            <v>0</v>
          </cell>
          <cell r="CI42">
            <v>0</v>
          </cell>
          <cell r="CJ42">
            <v>0</v>
          </cell>
          <cell r="CK42">
            <v>0</v>
          </cell>
          <cell r="CV42">
            <v>3.5355190976060834E-3</v>
          </cell>
          <cell r="DG42">
            <v>153807098</v>
          </cell>
          <cell r="DR42">
            <v>62437210.360000014</v>
          </cell>
          <cell r="EC42">
            <v>2.4633883723052352</v>
          </cell>
          <cell r="EN42">
            <v>2.4095909012463064E-2</v>
          </cell>
        </row>
        <row r="43">
          <cell r="B43">
            <v>13700</v>
          </cell>
          <cell r="C43" t="str">
            <v>Secretary Of State</v>
          </cell>
          <cell r="D43">
            <v>4.2865948792620732E-4</v>
          </cell>
          <cell r="E43">
            <v>741680.86421647889</v>
          </cell>
          <cell r="F43">
            <v>578305.57903771731</v>
          </cell>
          <cell r="G43">
            <v>-114678</v>
          </cell>
          <cell r="H43">
            <v>-206955.31548375878</v>
          </cell>
          <cell r="I43">
            <v>-8564.2014375923955</v>
          </cell>
          <cell r="J43">
            <v>625874.88726209314</v>
          </cell>
          <cell r="K43">
            <v>0</v>
          </cell>
          <cell r="L43">
            <v>-32884.505583199803</v>
          </cell>
          <cell r="M43">
            <v>5901.3601690927135</v>
          </cell>
          <cell r="N43">
            <v>222.46570104394308</v>
          </cell>
          <cell r="O43">
            <v>-100.39633866719701</v>
          </cell>
          <cell r="P43">
            <v>0</v>
          </cell>
          <cell r="Q43">
            <v>0</v>
          </cell>
          <cell r="R43">
            <v>0</v>
          </cell>
          <cell r="S43">
            <v>1588802.7375432074</v>
          </cell>
          <cell r="T43">
            <v>68708.860000000102</v>
          </cell>
          <cell r="U43">
            <v>3129374.4363104659</v>
          </cell>
          <cell r="V43">
            <v>23605.440676370854</v>
          </cell>
          <cell r="W43">
            <v>0</v>
          </cell>
          <cell r="X43">
            <v>3221688.7369868364</v>
          </cell>
          <cell r="Y43">
            <v>642100</v>
          </cell>
          <cell r="Z43">
            <v>0</v>
          </cell>
          <cell r="AA43">
            <v>0</v>
          </cell>
          <cell r="AB43">
            <v>42821.007187961979</v>
          </cell>
          <cell r="AC43">
            <v>684921.00718796195</v>
          </cell>
          <cell r="AD43" t="str">
            <v>N/A</v>
          </cell>
          <cell r="AE43">
            <v>508534</v>
          </cell>
          <cell r="AF43">
            <v>508534</v>
          </cell>
          <cell r="AG43">
            <v>508534</v>
          </cell>
          <cell r="AH43">
            <v>508534</v>
          </cell>
          <cell r="AI43">
            <v>502633</v>
          </cell>
          <cell r="AJ43">
            <v>0</v>
          </cell>
          <cell r="AK43">
            <v>2536769</v>
          </cell>
          <cell r="AL43">
            <v>14982508</v>
          </cell>
          <cell r="AM43">
            <v>1588802.7375432074</v>
          </cell>
          <cell r="AN43">
            <v>-459933.8600000001</v>
          </cell>
          <cell r="AO43">
            <v>3110158.8697988749</v>
          </cell>
          <cell r="AP43">
            <v>0</v>
          </cell>
          <cell r="AQ43">
            <v>-573391.1399999999</v>
          </cell>
          <cell r="AR43">
            <v>0</v>
          </cell>
          <cell r="AS43">
            <v>0</v>
          </cell>
          <cell r="AT43">
            <v>18648144.607342083</v>
          </cell>
          <cell r="AU43">
            <v>4.5189978481555571E-4</v>
          </cell>
          <cell r="AV43">
            <v>0</v>
          </cell>
          <cell r="AW43">
            <v>0</v>
          </cell>
          <cell r="AY43">
            <v>0</v>
          </cell>
          <cell r="AZ43">
            <v>0</v>
          </cell>
          <cell r="BA43">
            <v>0</v>
          </cell>
          <cell r="BB43">
            <v>0</v>
          </cell>
          <cell r="BC43">
            <v>0</v>
          </cell>
          <cell r="BD43">
            <v>0</v>
          </cell>
          <cell r="BE43">
            <v>0</v>
          </cell>
          <cell r="BF43">
            <v>0</v>
          </cell>
          <cell r="BG43">
            <v>0</v>
          </cell>
          <cell r="BH43">
            <v>0</v>
          </cell>
          <cell r="BJ43">
            <v>0</v>
          </cell>
          <cell r="BL43">
            <v>0</v>
          </cell>
          <cell r="BM43">
            <v>0</v>
          </cell>
          <cell r="BN43">
            <v>0</v>
          </cell>
          <cell r="BO43">
            <v>0</v>
          </cell>
          <cell r="BQ43">
            <v>0</v>
          </cell>
          <cell r="BR43">
            <v>0</v>
          </cell>
          <cell r="BS43">
            <v>0</v>
          </cell>
          <cell r="BT43">
            <v>0</v>
          </cell>
          <cell r="CB43">
            <v>0</v>
          </cell>
          <cell r="CC43">
            <v>0</v>
          </cell>
          <cell r="CD43">
            <v>0</v>
          </cell>
          <cell r="CE43">
            <v>0</v>
          </cell>
          <cell r="CF43">
            <v>0</v>
          </cell>
          <cell r="CI43">
            <v>0</v>
          </cell>
          <cell r="CJ43">
            <v>0</v>
          </cell>
          <cell r="CK43">
            <v>0</v>
          </cell>
          <cell r="CV43">
            <v>4.2865948792620732E-4</v>
          </cell>
          <cell r="DG43">
            <v>18648145</v>
          </cell>
          <cell r="DR43">
            <v>8062460.2200000007</v>
          </cell>
          <cell r="EC43">
            <v>2.3129596290894936</v>
          </cell>
          <cell r="EN43">
            <v>2.4095909012463064E-2</v>
          </cell>
        </row>
        <row r="44">
          <cell r="B44">
            <v>14300</v>
          </cell>
          <cell r="C44" t="str">
            <v>State Treasurer</v>
          </cell>
          <cell r="D44">
            <v>1.2204841199810437E-3</v>
          </cell>
          <cell r="E44">
            <v>2111722.1066289777</v>
          </cell>
          <cell r="F44">
            <v>1646558.1553474918</v>
          </cell>
          <cell r="G44">
            <v>202646</v>
          </cell>
          <cell r="H44">
            <v>-589245.50420093955</v>
          </cell>
          <cell r="I44">
            <v>-24384.090751071191</v>
          </cell>
          <cell r="J44">
            <v>1781998.025271306</v>
          </cell>
          <cell r="K44">
            <v>0</v>
          </cell>
          <cell r="L44">
            <v>-93629.134518614635</v>
          </cell>
          <cell r="M44">
            <v>16802.419112454591</v>
          </cell>
          <cell r="N44">
            <v>633.40684858776206</v>
          </cell>
          <cell r="O44">
            <v>-285.84958574076023</v>
          </cell>
          <cell r="P44">
            <v>0</v>
          </cell>
          <cell r="Q44">
            <v>0</v>
          </cell>
          <cell r="R44">
            <v>0</v>
          </cell>
          <cell r="S44">
            <v>5052815.534152451</v>
          </cell>
          <cell r="T44">
            <v>1013227.0161748636</v>
          </cell>
          <cell r="U44">
            <v>8909990.1263565309</v>
          </cell>
          <cell r="V44">
            <v>67209.676449818362</v>
          </cell>
          <cell r="W44">
            <v>0</v>
          </cell>
          <cell r="X44">
            <v>9990426.8189812135</v>
          </cell>
          <cell r="Y44">
            <v>0</v>
          </cell>
          <cell r="Z44">
            <v>0</v>
          </cell>
          <cell r="AA44">
            <v>0</v>
          </cell>
          <cell r="AB44">
            <v>121920.45375535595</v>
          </cell>
          <cell r="AC44">
            <v>121920.45375535595</v>
          </cell>
          <cell r="AD44" t="str">
            <v>N/A</v>
          </cell>
          <cell r="AE44">
            <v>1977062</v>
          </cell>
          <cell r="AF44">
            <v>1977062</v>
          </cell>
          <cell r="AG44">
            <v>1977062</v>
          </cell>
          <cell r="AH44">
            <v>1977062</v>
          </cell>
          <cell r="AI44">
            <v>1960260</v>
          </cell>
          <cell r="AJ44">
            <v>0</v>
          </cell>
          <cell r="AK44">
            <v>9868508</v>
          </cell>
          <cell r="AL44">
            <v>39406661</v>
          </cell>
          <cell r="AM44">
            <v>5052815.534152451</v>
          </cell>
          <cell r="AN44">
            <v>-1232776.0161748636</v>
          </cell>
          <cell r="AO44">
            <v>8855279.3490509931</v>
          </cell>
          <cell r="AP44">
            <v>0</v>
          </cell>
          <cell r="AQ44">
            <v>1013227.0161748636</v>
          </cell>
          <cell r="AR44">
            <v>0</v>
          </cell>
          <cell r="AS44">
            <v>0</v>
          </cell>
          <cell r="AT44">
            <v>53095206.883203439</v>
          </cell>
          <cell r="AU44">
            <v>1.1885767916154681E-3</v>
          </cell>
          <cell r="AV44">
            <v>0</v>
          </cell>
          <cell r="AW44">
            <v>0</v>
          </cell>
          <cell r="AY44">
            <v>0</v>
          </cell>
          <cell r="AZ44">
            <v>0</v>
          </cell>
          <cell r="BA44">
            <v>0</v>
          </cell>
          <cell r="BB44">
            <v>0</v>
          </cell>
          <cell r="BC44">
            <v>0</v>
          </cell>
          <cell r="BD44">
            <v>0</v>
          </cell>
          <cell r="BE44">
            <v>0</v>
          </cell>
          <cell r="BF44">
            <v>0</v>
          </cell>
          <cell r="BG44">
            <v>0</v>
          </cell>
          <cell r="BH44">
            <v>0</v>
          </cell>
          <cell r="BJ44">
            <v>0</v>
          </cell>
          <cell r="BL44">
            <v>0</v>
          </cell>
          <cell r="BM44">
            <v>0</v>
          </cell>
          <cell r="BN44">
            <v>0</v>
          </cell>
          <cell r="BO44">
            <v>0</v>
          </cell>
          <cell r="BQ44">
            <v>0</v>
          </cell>
          <cell r="BR44">
            <v>0</v>
          </cell>
          <cell r="BS44">
            <v>0</v>
          </cell>
          <cell r="BT44">
            <v>0</v>
          </cell>
          <cell r="CB44">
            <v>0</v>
          </cell>
          <cell r="CC44">
            <v>0</v>
          </cell>
          <cell r="CD44">
            <v>0</v>
          </cell>
          <cell r="CE44">
            <v>0</v>
          </cell>
          <cell r="CF44">
            <v>0</v>
          </cell>
          <cell r="CI44">
            <v>0</v>
          </cell>
          <cell r="CJ44">
            <v>0</v>
          </cell>
          <cell r="CK44">
            <v>0</v>
          </cell>
          <cell r="CV44">
            <v>1.2204841199810437E-3</v>
          </cell>
          <cell r="DG44">
            <v>53095208</v>
          </cell>
          <cell r="DR44">
            <v>20301876.740000028</v>
          </cell>
          <cell r="EC44">
            <v>2.6152857038772428</v>
          </cell>
          <cell r="EN44">
            <v>2.4095909012463064E-2</v>
          </cell>
        </row>
        <row r="45">
          <cell r="B45">
            <v>18400</v>
          </cell>
          <cell r="C45" t="str">
            <v>Department Of Agriculture</v>
          </cell>
          <cell r="D45">
            <v>4.6750079910963301E-3</v>
          </cell>
          <cell r="E45">
            <v>8088853.8915349273</v>
          </cell>
          <cell r="F45">
            <v>6307064.8835430276</v>
          </cell>
          <cell r="G45">
            <v>-734136</v>
          </cell>
          <cell r="H45">
            <v>-2257077.6593961455</v>
          </cell>
          <cell r="I45">
            <v>-93402.13219541643</v>
          </cell>
          <cell r="J45">
            <v>6825861.0430675894</v>
          </cell>
          <cell r="K45">
            <v>0</v>
          </cell>
          <cell r="L45">
            <v>-358642.0707225221</v>
          </cell>
          <cell r="M45">
            <v>64360.889531028857</v>
          </cell>
          <cell r="N45">
            <v>2426.2356472191732</v>
          </cell>
          <cell r="O45">
            <v>-1094.9336215946714</v>
          </cell>
          <cell r="P45">
            <v>0</v>
          </cell>
          <cell r="Q45">
            <v>0</v>
          </cell>
          <cell r="R45">
            <v>0</v>
          </cell>
          <cell r="S45">
            <v>17844214.147388116</v>
          </cell>
          <cell r="T45">
            <v>600717.85000000056</v>
          </cell>
          <cell r="U45">
            <v>34129305.215337947</v>
          </cell>
          <cell r="V45">
            <v>257443.55812411543</v>
          </cell>
          <cell r="W45">
            <v>0</v>
          </cell>
          <cell r="X45">
            <v>34987466.623462066</v>
          </cell>
          <cell r="Y45">
            <v>4271401</v>
          </cell>
          <cell r="Z45">
            <v>0</v>
          </cell>
          <cell r="AA45">
            <v>0</v>
          </cell>
          <cell r="AB45">
            <v>467010.66097708209</v>
          </cell>
          <cell r="AC45">
            <v>4738411.6609770823</v>
          </cell>
          <cell r="AD45" t="str">
            <v>N/A</v>
          </cell>
          <cell r="AE45">
            <v>6062684</v>
          </cell>
          <cell r="AF45">
            <v>6062683</v>
          </cell>
          <cell r="AG45">
            <v>6062683</v>
          </cell>
          <cell r="AH45">
            <v>6062683</v>
          </cell>
          <cell r="AI45">
            <v>5998322</v>
          </cell>
          <cell r="AJ45">
            <v>0</v>
          </cell>
          <cell r="AK45">
            <v>30249055</v>
          </cell>
          <cell r="AL45">
            <v>160123201</v>
          </cell>
          <cell r="AM45">
            <v>17844214.147388116</v>
          </cell>
          <cell r="AN45">
            <v>-4837731.8500000006</v>
          </cell>
          <cell r="AO45">
            <v>33919738.112484984</v>
          </cell>
          <cell r="AP45">
            <v>0</v>
          </cell>
          <cell r="AQ45">
            <v>-3670683.1499999994</v>
          </cell>
          <cell r="AR45">
            <v>0</v>
          </cell>
          <cell r="AS45">
            <v>0</v>
          </cell>
          <cell r="AT45">
            <v>203378738.25987309</v>
          </cell>
          <cell r="AU45">
            <v>4.8296078684201488E-3</v>
          </cell>
          <cell r="AV45">
            <v>0</v>
          </cell>
          <cell r="AW45">
            <v>0</v>
          </cell>
          <cell r="AY45">
            <v>0</v>
          </cell>
          <cell r="AZ45">
            <v>0</v>
          </cell>
          <cell r="BA45">
            <v>0</v>
          </cell>
          <cell r="BB45">
            <v>0</v>
          </cell>
          <cell r="BC45">
            <v>0</v>
          </cell>
          <cell r="BD45">
            <v>0</v>
          </cell>
          <cell r="BE45">
            <v>0</v>
          </cell>
          <cell r="BF45">
            <v>0</v>
          </cell>
          <cell r="BG45">
            <v>0</v>
          </cell>
          <cell r="BH45">
            <v>0</v>
          </cell>
          <cell r="BJ45">
            <v>0</v>
          </cell>
          <cell r="BL45">
            <v>0</v>
          </cell>
          <cell r="BM45">
            <v>0</v>
          </cell>
          <cell r="BN45">
            <v>0</v>
          </cell>
          <cell r="BO45">
            <v>0</v>
          </cell>
          <cell r="BQ45">
            <v>0</v>
          </cell>
          <cell r="BR45">
            <v>0</v>
          </cell>
          <cell r="BS45">
            <v>0</v>
          </cell>
          <cell r="BT45">
            <v>0</v>
          </cell>
          <cell r="CB45">
            <v>0</v>
          </cell>
          <cell r="CC45">
            <v>0</v>
          </cell>
          <cell r="CD45">
            <v>0</v>
          </cell>
          <cell r="CE45">
            <v>0</v>
          </cell>
          <cell r="CF45">
            <v>0</v>
          </cell>
          <cell r="CI45">
            <v>0</v>
          </cell>
          <cell r="CJ45">
            <v>0</v>
          </cell>
          <cell r="CK45">
            <v>0</v>
          </cell>
          <cell r="CV45">
            <v>4.6750079910963301E-3</v>
          </cell>
          <cell r="DG45">
            <v>203378738</v>
          </cell>
          <cell r="DR45">
            <v>83685513.720000148</v>
          </cell>
          <cell r="EC45">
            <v>2.4302741174592821</v>
          </cell>
          <cell r="EN45">
            <v>2.4095909012463064E-2</v>
          </cell>
        </row>
        <row r="46">
          <cell r="B46">
            <v>18600</v>
          </cell>
          <cell r="C46" t="str">
            <v>Barber Examiners, State Board Of</v>
          </cell>
          <cell r="D46">
            <v>1.9691337141991118E-5</v>
          </cell>
          <cell r="E46">
            <v>34070.604665034698</v>
          </cell>
          <cell r="F46">
            <v>26565.631809569164</v>
          </cell>
          <cell r="G46">
            <v>23894</v>
          </cell>
          <cell r="H46">
            <v>-9506.9093425021056</v>
          </cell>
          <cell r="I46">
            <v>-393.41384621023002</v>
          </cell>
          <cell r="J46">
            <v>28750.82381450789</v>
          </cell>
          <cell r="K46">
            <v>0</v>
          </cell>
          <cell r="L46">
            <v>-1510.6160120686491</v>
          </cell>
          <cell r="M46">
            <v>271.09086806431975</v>
          </cell>
          <cell r="N46">
            <v>10.21941014995055</v>
          </cell>
          <cell r="O46">
            <v>-4.6119080720257397</v>
          </cell>
          <cell r="P46">
            <v>0</v>
          </cell>
          <cell r="Q46">
            <v>0</v>
          </cell>
          <cell r="R46">
            <v>0</v>
          </cell>
          <cell r="S46">
            <v>102146.81945847301</v>
          </cell>
          <cell r="T46">
            <v>119466.67</v>
          </cell>
          <cell r="U46">
            <v>143754.11907253944</v>
          </cell>
          <cell r="V46">
            <v>1084.363472257279</v>
          </cell>
          <cell r="W46">
            <v>0</v>
          </cell>
          <cell r="X46">
            <v>264305.1525447967</v>
          </cell>
          <cell r="Y46">
            <v>0</v>
          </cell>
          <cell r="Z46">
            <v>0</v>
          </cell>
          <cell r="AA46">
            <v>0</v>
          </cell>
          <cell r="AB46">
            <v>1967.0692310511499</v>
          </cell>
          <cell r="AC46">
            <v>1967.0692310511499</v>
          </cell>
          <cell r="AD46" t="str">
            <v>N/A</v>
          </cell>
          <cell r="AE46">
            <v>52522</v>
          </cell>
          <cell r="AF46">
            <v>52523</v>
          </cell>
          <cell r="AG46">
            <v>52523</v>
          </cell>
          <cell r="AH46">
            <v>52523</v>
          </cell>
          <cell r="AI46">
            <v>52251</v>
          </cell>
          <cell r="AJ46">
            <v>0</v>
          </cell>
          <cell r="AK46">
            <v>262342</v>
          </cell>
          <cell r="AL46">
            <v>511259</v>
          </cell>
          <cell r="AM46">
            <v>102146.81945847301</v>
          </cell>
          <cell r="AN46">
            <v>-19103.669999999998</v>
          </cell>
          <cell r="AO46">
            <v>142871.41331374558</v>
          </cell>
          <cell r="AP46">
            <v>0</v>
          </cell>
          <cell r="AQ46">
            <v>119466.67</v>
          </cell>
          <cell r="AR46">
            <v>0</v>
          </cell>
          <cell r="AS46">
            <v>0</v>
          </cell>
          <cell r="AT46">
            <v>856640.23277221865</v>
          </cell>
          <cell r="AU46">
            <v>1.5420518466349688E-5</v>
          </cell>
          <cell r="AV46">
            <v>0</v>
          </cell>
          <cell r="AW46">
            <v>0</v>
          </cell>
          <cell r="AY46">
            <v>0</v>
          </cell>
          <cell r="AZ46">
            <v>0</v>
          </cell>
          <cell r="BA46">
            <v>0</v>
          </cell>
          <cell r="BB46">
            <v>0</v>
          </cell>
          <cell r="BC46">
            <v>0</v>
          </cell>
          <cell r="BD46">
            <v>0</v>
          </cell>
          <cell r="BE46">
            <v>0</v>
          </cell>
          <cell r="BF46">
            <v>0</v>
          </cell>
          <cell r="BG46">
            <v>0</v>
          </cell>
          <cell r="BH46">
            <v>0</v>
          </cell>
          <cell r="BJ46">
            <v>0</v>
          </cell>
          <cell r="BL46">
            <v>0</v>
          </cell>
          <cell r="BM46">
            <v>0</v>
          </cell>
          <cell r="BN46">
            <v>0</v>
          </cell>
          <cell r="BO46">
            <v>0</v>
          </cell>
          <cell r="BQ46">
            <v>0</v>
          </cell>
          <cell r="BR46">
            <v>0</v>
          </cell>
          <cell r="BS46">
            <v>0</v>
          </cell>
          <cell r="BT46">
            <v>0</v>
          </cell>
          <cell r="CB46">
            <v>0</v>
          </cell>
          <cell r="CC46">
            <v>0</v>
          </cell>
          <cell r="CD46">
            <v>0</v>
          </cell>
          <cell r="CE46">
            <v>0</v>
          </cell>
          <cell r="CF46">
            <v>0</v>
          </cell>
          <cell r="CI46">
            <v>0</v>
          </cell>
          <cell r="CJ46">
            <v>0</v>
          </cell>
          <cell r="CK46">
            <v>0</v>
          </cell>
          <cell r="CV46">
            <v>1.9691337141991118E-5</v>
          </cell>
          <cell r="DG46">
            <v>856640</v>
          </cell>
          <cell r="DR46">
            <v>393697.74</v>
          </cell>
          <cell r="EC46">
            <v>2.1758824422004555</v>
          </cell>
          <cell r="EN46">
            <v>2.4095909012463064E-2</v>
          </cell>
        </row>
        <row r="47">
          <cell r="B47">
            <v>18690</v>
          </cell>
          <cell r="C47" t="str">
            <v>N.C. Real Estate Commission</v>
          </cell>
          <cell r="D47">
            <v>4.1545758327428627E-6</v>
          </cell>
          <cell r="E47">
            <v>7188.3849089374971</v>
          </cell>
          <cell r="F47">
            <v>5604.9485670641961</v>
          </cell>
          <cell r="G47">
            <v>-23110</v>
          </cell>
          <cell r="H47">
            <v>-2005.814816618531</v>
          </cell>
          <cell r="I47">
            <v>-83.004401679050588</v>
          </cell>
          <cell r="J47">
            <v>6065.9911985603403</v>
          </cell>
          <cell r="K47">
            <v>0</v>
          </cell>
          <cell r="L47">
            <v>-318.71724764244254</v>
          </cell>
          <cell r="M47">
            <v>57.196093937957052</v>
          </cell>
          <cell r="N47">
            <v>2.1561417656768911</v>
          </cell>
          <cell r="O47">
            <v>-0.97304320578670589</v>
          </cell>
          <cell r="P47">
            <v>0</v>
          </cell>
          <cell r="Q47">
            <v>0</v>
          </cell>
          <cell r="R47">
            <v>0</v>
          </cell>
          <cell r="S47">
            <v>-6599.8325988801444</v>
          </cell>
          <cell r="T47">
            <v>5892.84</v>
          </cell>
          <cell r="U47">
            <v>30329.955992801701</v>
          </cell>
          <cell r="V47">
            <v>228.78437575182821</v>
          </cell>
          <cell r="W47">
            <v>0</v>
          </cell>
          <cell r="X47">
            <v>36451.580368553528</v>
          </cell>
          <cell r="Y47">
            <v>121439</v>
          </cell>
          <cell r="Z47">
            <v>0</v>
          </cell>
          <cell r="AA47">
            <v>0</v>
          </cell>
          <cell r="AB47">
            <v>415.02200839525295</v>
          </cell>
          <cell r="AC47">
            <v>121854.02200839526</v>
          </cell>
          <cell r="AD47" t="str">
            <v>N/A</v>
          </cell>
          <cell r="AE47">
            <v>-17069</v>
          </cell>
          <cell r="AF47">
            <v>-17070</v>
          </cell>
          <cell r="AG47">
            <v>-17070</v>
          </cell>
          <cell r="AH47">
            <v>-17070</v>
          </cell>
          <cell r="AI47">
            <v>-17127</v>
          </cell>
          <cell r="AJ47">
            <v>0</v>
          </cell>
          <cell r="AK47">
            <v>-85406</v>
          </cell>
          <cell r="AL47">
            <v>283470</v>
          </cell>
          <cell r="AM47">
            <v>-6599.8325988801444</v>
          </cell>
          <cell r="AN47">
            <v>-10729.84</v>
          </cell>
          <cell r="AO47">
            <v>30143.718360158276</v>
          </cell>
          <cell r="AP47">
            <v>0</v>
          </cell>
          <cell r="AQ47">
            <v>-115546.16</v>
          </cell>
          <cell r="AR47">
            <v>0</v>
          </cell>
          <cell r="AS47">
            <v>0</v>
          </cell>
          <cell r="AT47">
            <v>180737.88576127807</v>
          </cell>
          <cell r="AU47">
            <v>8.5499599598058693E-6</v>
          </cell>
          <cell r="AV47">
            <v>0</v>
          </cell>
          <cell r="AW47">
            <v>0</v>
          </cell>
          <cell r="AY47">
            <v>0</v>
          </cell>
          <cell r="AZ47">
            <v>0</v>
          </cell>
          <cell r="BA47">
            <v>0</v>
          </cell>
          <cell r="BB47">
            <v>0</v>
          </cell>
          <cell r="BC47">
            <v>0</v>
          </cell>
          <cell r="BD47">
            <v>0</v>
          </cell>
          <cell r="BE47">
            <v>0</v>
          </cell>
          <cell r="BF47">
            <v>0</v>
          </cell>
          <cell r="BG47">
            <v>0</v>
          </cell>
          <cell r="BH47">
            <v>0</v>
          </cell>
          <cell r="BJ47">
            <v>0</v>
          </cell>
          <cell r="BL47">
            <v>0</v>
          </cell>
          <cell r="BM47">
            <v>0</v>
          </cell>
          <cell r="BN47">
            <v>0</v>
          </cell>
          <cell r="BO47">
            <v>0</v>
          </cell>
          <cell r="BQ47">
            <v>0</v>
          </cell>
          <cell r="BR47">
            <v>0</v>
          </cell>
          <cell r="BS47">
            <v>0</v>
          </cell>
          <cell r="BT47">
            <v>0</v>
          </cell>
          <cell r="CB47">
            <v>0</v>
          </cell>
          <cell r="CC47">
            <v>0</v>
          </cell>
          <cell r="CD47">
            <v>0</v>
          </cell>
          <cell r="CE47">
            <v>0</v>
          </cell>
          <cell r="CF47">
            <v>0</v>
          </cell>
          <cell r="CI47">
            <v>0</v>
          </cell>
          <cell r="CJ47">
            <v>0</v>
          </cell>
          <cell r="CK47">
            <v>0</v>
          </cell>
          <cell r="CV47">
            <v>4.1545758327428627E-6</v>
          </cell>
          <cell r="DG47">
            <v>180738</v>
          </cell>
          <cell r="DR47">
            <v>188638.13</v>
          </cell>
          <cell r="EC47">
            <v>0.95812018492761775</v>
          </cell>
          <cell r="EN47">
            <v>2.4095909012463064E-2</v>
          </cell>
        </row>
        <row r="48">
          <cell r="B48">
            <v>18740</v>
          </cell>
          <cell r="C48" t="str">
            <v>N.C. Auctioneers Licensing Board</v>
          </cell>
          <cell r="D48">
            <v>5.945790166111434E-6</v>
          </cell>
          <cell r="E48">
            <v>10287.603361320023</v>
          </cell>
          <cell r="F48">
            <v>8021.4802697701271</v>
          </cell>
          <cell r="G48">
            <v>2040</v>
          </cell>
          <cell r="H48">
            <v>-2870.6068902868938</v>
          </cell>
          <cell r="I48">
            <v>-118.79112937539875</v>
          </cell>
          <cell r="J48">
            <v>8681.2979875991259</v>
          </cell>
          <cell r="K48">
            <v>0</v>
          </cell>
          <cell r="L48">
            <v>-456.12980797402753</v>
          </cell>
          <cell r="M48">
            <v>81.855762553688123</v>
          </cell>
          <cell r="N48">
            <v>3.085746180408512</v>
          </cell>
          <cell r="O48">
            <v>-1.3925635148049589</v>
          </cell>
          <cell r="P48">
            <v>0</v>
          </cell>
          <cell r="Q48">
            <v>0</v>
          </cell>
          <cell r="R48">
            <v>0</v>
          </cell>
          <cell r="S48">
            <v>25668.402736272248</v>
          </cell>
          <cell r="T48">
            <v>10203.32</v>
          </cell>
          <cell r="U48">
            <v>43406.489937995633</v>
          </cell>
          <cell r="V48">
            <v>327.42305021475249</v>
          </cell>
          <cell r="W48">
            <v>0</v>
          </cell>
          <cell r="X48">
            <v>53937.232988210388</v>
          </cell>
          <cell r="Y48">
            <v>0</v>
          </cell>
          <cell r="Z48">
            <v>0</v>
          </cell>
          <cell r="AA48">
            <v>0</v>
          </cell>
          <cell r="AB48">
            <v>593.95564687699368</v>
          </cell>
          <cell r="AC48">
            <v>593.95564687699368</v>
          </cell>
          <cell r="AD48" t="str">
            <v>N/A</v>
          </cell>
          <cell r="AE48">
            <v>10684</v>
          </cell>
          <cell r="AF48">
            <v>10685</v>
          </cell>
          <cell r="AG48">
            <v>10685</v>
          </cell>
          <cell r="AH48">
            <v>10685</v>
          </cell>
          <cell r="AI48">
            <v>10604</v>
          </cell>
          <cell r="AJ48">
            <v>0</v>
          </cell>
          <cell r="AK48">
            <v>53343</v>
          </cell>
          <cell r="AL48">
            <v>185471</v>
          </cell>
          <cell r="AM48">
            <v>25668.402736272248</v>
          </cell>
          <cell r="AN48">
            <v>-5820.32</v>
          </cell>
          <cell r="AO48">
            <v>43139.957341333393</v>
          </cell>
          <cell r="AP48">
            <v>0</v>
          </cell>
          <cell r="AQ48">
            <v>10203.32</v>
          </cell>
          <cell r="AR48">
            <v>0</v>
          </cell>
          <cell r="AS48">
            <v>0</v>
          </cell>
          <cell r="AT48">
            <v>258662.36007760564</v>
          </cell>
          <cell r="AU48">
            <v>5.5941431899487805E-6</v>
          </cell>
          <cell r="AV48">
            <v>0</v>
          </cell>
          <cell r="AW48">
            <v>0</v>
          </cell>
          <cell r="AY48">
            <v>0</v>
          </cell>
          <cell r="AZ48">
            <v>0</v>
          </cell>
          <cell r="BA48">
            <v>0</v>
          </cell>
          <cell r="BB48">
            <v>0</v>
          </cell>
          <cell r="BC48">
            <v>0</v>
          </cell>
          <cell r="BD48">
            <v>0</v>
          </cell>
          <cell r="BE48">
            <v>0</v>
          </cell>
          <cell r="BF48">
            <v>0</v>
          </cell>
          <cell r="BG48">
            <v>0</v>
          </cell>
          <cell r="BH48">
            <v>0</v>
          </cell>
          <cell r="BJ48">
            <v>0</v>
          </cell>
          <cell r="BL48">
            <v>0</v>
          </cell>
          <cell r="BM48">
            <v>0</v>
          </cell>
          <cell r="BN48">
            <v>0</v>
          </cell>
          <cell r="BO48">
            <v>0</v>
          </cell>
          <cell r="BQ48">
            <v>0</v>
          </cell>
          <cell r="BR48">
            <v>0</v>
          </cell>
          <cell r="BS48">
            <v>0</v>
          </cell>
          <cell r="BT48">
            <v>0</v>
          </cell>
          <cell r="CB48">
            <v>0</v>
          </cell>
          <cell r="CC48">
            <v>0</v>
          </cell>
          <cell r="CD48">
            <v>0</v>
          </cell>
          <cell r="CE48">
            <v>0</v>
          </cell>
          <cell r="CF48">
            <v>0</v>
          </cell>
          <cell r="CI48">
            <v>0</v>
          </cell>
          <cell r="CJ48">
            <v>0</v>
          </cell>
          <cell r="CK48">
            <v>0</v>
          </cell>
          <cell r="CV48">
            <v>5.945790166111434E-6</v>
          </cell>
          <cell r="DG48">
            <v>258662</v>
          </cell>
          <cell r="DR48">
            <v>108964.61</v>
          </cell>
          <cell r="EC48">
            <v>2.3738165997198539</v>
          </cell>
          <cell r="EN48">
            <v>2.4095909012463064E-2</v>
          </cell>
        </row>
        <row r="49">
          <cell r="B49">
            <v>18780</v>
          </cell>
          <cell r="C49" t="str">
            <v>N.C. State Board Of Examiners Of Practicing Psychol</v>
          </cell>
          <cell r="D49">
            <v>1.1937855927205944E-5</v>
          </cell>
          <cell r="E49">
            <v>20655.274291994974</v>
          </cell>
          <cell r="F49">
            <v>16105.391059581863</v>
          </cell>
          <cell r="G49">
            <v>2335</v>
          </cell>
          <cell r="H49">
            <v>-5763.555477488635</v>
          </cell>
          <cell r="I49">
            <v>-238.50680032340284</v>
          </cell>
          <cell r="J49">
            <v>17430.161802174665</v>
          </cell>
          <cell r="K49">
            <v>0</v>
          </cell>
          <cell r="L49">
            <v>-915.80963666251273</v>
          </cell>
          <cell r="M49">
            <v>164.34860176315109</v>
          </cell>
          <cell r="N49">
            <v>6.1955084691013411</v>
          </cell>
          <cell r="O49">
            <v>-2.795965236710904</v>
          </cell>
          <cell r="P49">
            <v>0</v>
          </cell>
          <cell r="Q49">
            <v>0</v>
          </cell>
          <cell r="R49">
            <v>0</v>
          </cell>
          <cell r="S49">
            <v>49775.703384272492</v>
          </cell>
          <cell r="T49">
            <v>11674.73</v>
          </cell>
          <cell r="U49">
            <v>87150.809010873316</v>
          </cell>
          <cell r="V49">
            <v>657.39440705260438</v>
          </cell>
          <cell r="W49">
            <v>0</v>
          </cell>
          <cell r="X49">
            <v>99482.933417925917</v>
          </cell>
          <cell r="Y49">
            <v>0</v>
          </cell>
          <cell r="Z49">
            <v>0</v>
          </cell>
          <cell r="AA49">
            <v>0</v>
          </cell>
          <cell r="AB49">
            <v>1192.5340016170142</v>
          </cell>
          <cell r="AC49">
            <v>1192.5340016170142</v>
          </cell>
          <cell r="AD49" t="str">
            <v>N/A</v>
          </cell>
          <cell r="AE49">
            <v>19691</v>
          </cell>
          <cell r="AF49">
            <v>19691</v>
          </cell>
          <cell r="AG49">
            <v>19691</v>
          </cell>
          <cell r="AH49">
            <v>19691</v>
          </cell>
          <cell r="AI49">
            <v>19527</v>
          </cell>
          <cell r="AJ49">
            <v>0</v>
          </cell>
          <cell r="AK49">
            <v>98291</v>
          </cell>
          <cell r="AL49">
            <v>385335</v>
          </cell>
          <cell r="AM49">
            <v>49775.703384272492</v>
          </cell>
          <cell r="AN49">
            <v>-14063.73</v>
          </cell>
          <cell r="AO49">
            <v>86615.669416308912</v>
          </cell>
          <cell r="AP49">
            <v>0</v>
          </cell>
          <cell r="AQ49">
            <v>11674.73</v>
          </cell>
          <cell r="AR49">
            <v>0</v>
          </cell>
          <cell r="AS49">
            <v>0</v>
          </cell>
          <cell r="AT49">
            <v>519337.37280058145</v>
          </cell>
          <cell r="AU49">
            <v>1.1622413513214321E-5</v>
          </cell>
          <cell r="AV49">
            <v>0</v>
          </cell>
          <cell r="AW49">
            <v>0</v>
          </cell>
          <cell r="AY49">
            <v>0</v>
          </cell>
          <cell r="AZ49">
            <v>0</v>
          </cell>
          <cell r="BA49">
            <v>0</v>
          </cell>
          <cell r="BB49">
            <v>0</v>
          </cell>
          <cell r="BC49">
            <v>0</v>
          </cell>
          <cell r="BD49">
            <v>0</v>
          </cell>
          <cell r="BE49">
            <v>0</v>
          </cell>
          <cell r="BF49">
            <v>0</v>
          </cell>
          <cell r="BG49">
            <v>0</v>
          </cell>
          <cell r="BH49">
            <v>0</v>
          </cell>
          <cell r="BJ49">
            <v>0</v>
          </cell>
          <cell r="BL49">
            <v>0</v>
          </cell>
          <cell r="BM49">
            <v>0</v>
          </cell>
          <cell r="BN49">
            <v>0</v>
          </cell>
          <cell r="BO49">
            <v>0</v>
          </cell>
          <cell r="BQ49">
            <v>0</v>
          </cell>
          <cell r="BR49">
            <v>0</v>
          </cell>
          <cell r="BS49">
            <v>0</v>
          </cell>
          <cell r="BT49">
            <v>0</v>
          </cell>
          <cell r="CB49">
            <v>0</v>
          </cell>
          <cell r="CC49">
            <v>0</v>
          </cell>
          <cell r="CD49">
            <v>0</v>
          </cell>
          <cell r="CE49">
            <v>0</v>
          </cell>
          <cell r="CF49">
            <v>0</v>
          </cell>
          <cell r="CI49">
            <v>0</v>
          </cell>
          <cell r="CJ49">
            <v>0</v>
          </cell>
          <cell r="CK49">
            <v>0</v>
          </cell>
          <cell r="CV49">
            <v>1.1937855927205944E-5</v>
          </cell>
          <cell r="DG49">
            <v>519337</v>
          </cell>
          <cell r="DR49">
            <v>230054.08000000002</v>
          </cell>
          <cell r="EC49">
            <v>2.2574561598733651</v>
          </cell>
          <cell r="EN49">
            <v>2.4095909012463064E-2</v>
          </cell>
        </row>
        <row r="50">
          <cell r="B50">
            <v>19005</v>
          </cell>
          <cell r="C50" t="str">
            <v>Community Colleges Administration</v>
          </cell>
          <cell r="D50">
            <v>6.4281408440031401E-4</v>
          </cell>
          <cell r="E50">
            <v>1112218.2503297888</v>
          </cell>
          <cell r="F50">
            <v>867222.07664447709</v>
          </cell>
          <cell r="G50">
            <v>-274343</v>
          </cell>
          <cell r="H50">
            <v>-310348.4126248291</v>
          </cell>
          <cell r="I50">
            <v>-12842.802879178342</v>
          </cell>
          <cell r="J50">
            <v>938556.60246995569</v>
          </cell>
          <cell r="K50">
            <v>0</v>
          </cell>
          <cell r="L50">
            <v>-49313.321978914311</v>
          </cell>
          <cell r="M50">
            <v>8849.6289961155671</v>
          </cell>
          <cell r="N50">
            <v>333.60765352207494</v>
          </cell>
          <cell r="O50">
            <v>-150.55348670739755</v>
          </cell>
          <cell r="P50">
            <v>0</v>
          </cell>
          <cell r="Q50">
            <v>0</v>
          </cell>
          <cell r="R50">
            <v>0</v>
          </cell>
          <cell r="S50">
            <v>2280182.0751242298</v>
          </cell>
          <cell r="T50">
            <v>130785.18000000005</v>
          </cell>
          <cell r="U50">
            <v>4692783.0123497788</v>
          </cell>
          <cell r="V50">
            <v>35398.515984462269</v>
          </cell>
          <cell r="W50">
            <v>0</v>
          </cell>
          <cell r="X50">
            <v>4858966.7083342411</v>
          </cell>
          <cell r="Y50">
            <v>1502500</v>
          </cell>
          <cell r="Z50">
            <v>0</v>
          </cell>
          <cell r="AA50">
            <v>0</v>
          </cell>
          <cell r="AB50">
            <v>64214.014395891703</v>
          </cell>
          <cell r="AC50">
            <v>1566714.0143958917</v>
          </cell>
          <cell r="AD50" t="str">
            <v>N/A</v>
          </cell>
          <cell r="AE50">
            <v>660220</v>
          </cell>
          <cell r="AF50">
            <v>660220</v>
          </cell>
          <cell r="AG50">
            <v>660220</v>
          </cell>
          <cell r="AH50">
            <v>660220</v>
          </cell>
          <cell r="AI50">
            <v>651371</v>
          </cell>
          <cell r="AJ50">
            <v>0</v>
          </cell>
          <cell r="AK50">
            <v>3292251</v>
          </cell>
          <cell r="AL50">
            <v>23115175</v>
          </cell>
          <cell r="AM50">
            <v>2280182.0751242298</v>
          </cell>
          <cell r="AN50">
            <v>-723012.18</v>
          </cell>
          <cell r="AO50">
            <v>4663967.5139383497</v>
          </cell>
          <cell r="AP50">
            <v>0</v>
          </cell>
          <cell r="AQ50">
            <v>-1371714.8199999998</v>
          </cell>
          <cell r="AR50">
            <v>0</v>
          </cell>
          <cell r="AS50">
            <v>0</v>
          </cell>
          <cell r="AT50">
            <v>27964597.589062579</v>
          </cell>
          <cell r="AU50">
            <v>6.9719585232990724E-4</v>
          </cell>
          <cell r="AV50">
            <v>0</v>
          </cell>
          <cell r="AW50">
            <v>0</v>
          </cell>
          <cell r="AY50">
            <v>0</v>
          </cell>
          <cell r="AZ50">
            <v>0</v>
          </cell>
          <cell r="BA50">
            <v>0</v>
          </cell>
          <cell r="BB50">
            <v>0</v>
          </cell>
          <cell r="BC50">
            <v>0</v>
          </cell>
          <cell r="BD50">
            <v>0</v>
          </cell>
          <cell r="BE50">
            <v>0</v>
          </cell>
          <cell r="BF50">
            <v>0</v>
          </cell>
          <cell r="BG50">
            <v>0</v>
          </cell>
          <cell r="BH50">
            <v>0</v>
          </cell>
          <cell r="BJ50">
            <v>0</v>
          </cell>
          <cell r="BL50">
            <v>0</v>
          </cell>
          <cell r="BM50">
            <v>0</v>
          </cell>
          <cell r="BN50">
            <v>0</v>
          </cell>
          <cell r="BO50">
            <v>0</v>
          </cell>
          <cell r="BQ50">
            <v>0</v>
          </cell>
          <cell r="BR50">
            <v>0</v>
          </cell>
          <cell r="BS50">
            <v>0</v>
          </cell>
          <cell r="BT50">
            <v>0</v>
          </cell>
          <cell r="CB50">
            <v>0</v>
          </cell>
          <cell r="CC50">
            <v>0</v>
          </cell>
          <cell r="CD50">
            <v>0</v>
          </cell>
          <cell r="CE50">
            <v>0</v>
          </cell>
          <cell r="CF50">
            <v>0</v>
          </cell>
          <cell r="CI50">
            <v>0</v>
          </cell>
          <cell r="CJ50">
            <v>0</v>
          </cell>
          <cell r="CK50">
            <v>0</v>
          </cell>
          <cell r="CV50">
            <v>6.4281408440031401E-4</v>
          </cell>
          <cell r="DG50">
            <v>27964598</v>
          </cell>
          <cell r="DR50">
            <v>13017121.449999999</v>
          </cell>
          <cell r="EC50">
            <v>2.1482935461126855</v>
          </cell>
          <cell r="EN50">
            <v>2.4095909012463064E-2</v>
          </cell>
        </row>
        <row r="51">
          <cell r="B51">
            <v>19100</v>
          </cell>
          <cell r="C51" t="str">
            <v>Department Of Public Safety</v>
          </cell>
          <cell r="D51">
            <v>5.7082667354736695E-2</v>
          </cell>
          <cell r="E51">
            <v>98766324.432158917</v>
          </cell>
          <cell r="F51">
            <v>77010368.199948043</v>
          </cell>
          <cell r="G51">
            <v>-5472021</v>
          </cell>
          <cell r="H51">
            <v>-27559314.009836327</v>
          </cell>
          <cell r="I51">
            <v>-1140456.4125854643</v>
          </cell>
          <cell r="J51">
            <v>83344960.280957654</v>
          </cell>
          <cell r="K51">
            <v>0</v>
          </cell>
          <cell r="L51">
            <v>-4379082.5730047068</v>
          </cell>
          <cell r="M51">
            <v>785857.74714218534</v>
          </cell>
          <cell r="N51">
            <v>29624.762703761251</v>
          </cell>
          <cell r="O51">
            <v>-13369.331521152881</v>
          </cell>
          <cell r="P51">
            <v>0</v>
          </cell>
          <cell r="Q51">
            <v>0</v>
          </cell>
          <cell r="R51">
            <v>0</v>
          </cell>
          <cell r="S51">
            <v>221372892.09596294</v>
          </cell>
          <cell r="T51">
            <v>4557742.7799999937</v>
          </cell>
          <cell r="U51">
            <v>416724801.40478826</v>
          </cell>
          <cell r="V51">
            <v>3143430.9885687414</v>
          </cell>
          <cell r="W51">
            <v>0</v>
          </cell>
          <cell r="X51">
            <v>424425975.17335695</v>
          </cell>
          <cell r="Y51">
            <v>31917847</v>
          </cell>
          <cell r="Z51">
            <v>0</v>
          </cell>
          <cell r="AA51">
            <v>0</v>
          </cell>
          <cell r="AB51">
            <v>5702282.0629273206</v>
          </cell>
          <cell r="AC51">
            <v>37620129.062927321</v>
          </cell>
          <cell r="AD51" t="str">
            <v>N/A</v>
          </cell>
          <cell r="AE51">
            <v>77518342</v>
          </cell>
          <cell r="AF51">
            <v>77518340</v>
          </cell>
          <cell r="AG51">
            <v>77518340</v>
          </cell>
          <cell r="AH51">
            <v>77518340</v>
          </cell>
          <cell r="AI51">
            <v>76732482</v>
          </cell>
          <cell r="AJ51">
            <v>0</v>
          </cell>
          <cell r="AK51">
            <v>386805844</v>
          </cell>
          <cell r="AL51">
            <v>1930848318</v>
          </cell>
          <cell r="AM51">
            <v>221372892.09596294</v>
          </cell>
          <cell r="AN51">
            <v>-55737001.779999994</v>
          </cell>
          <cell r="AO51">
            <v>414165950.33042967</v>
          </cell>
          <cell r="AP51">
            <v>0</v>
          </cell>
          <cell r="AQ51">
            <v>-27360104.220000006</v>
          </cell>
          <cell r="AR51">
            <v>0</v>
          </cell>
          <cell r="AS51">
            <v>0</v>
          </cell>
          <cell r="AT51">
            <v>2483290054.426393</v>
          </cell>
          <cell r="AU51">
            <v>5.8237907973333843E-2</v>
          </cell>
          <cell r="AV51">
            <v>0</v>
          </cell>
          <cell r="AW51">
            <v>0</v>
          </cell>
          <cell r="AY51">
            <v>0</v>
          </cell>
          <cell r="AZ51">
            <v>0</v>
          </cell>
          <cell r="BA51">
            <v>0</v>
          </cell>
          <cell r="BB51">
            <v>0</v>
          </cell>
          <cell r="BC51">
            <v>0</v>
          </cell>
          <cell r="BD51">
            <v>0</v>
          </cell>
          <cell r="BE51">
            <v>0</v>
          </cell>
          <cell r="BF51">
            <v>0</v>
          </cell>
          <cell r="BG51">
            <v>0</v>
          </cell>
          <cell r="BH51">
            <v>0</v>
          </cell>
          <cell r="BJ51">
            <v>0</v>
          </cell>
          <cell r="BL51">
            <v>0</v>
          </cell>
          <cell r="BM51">
            <v>0</v>
          </cell>
          <cell r="BN51">
            <v>0</v>
          </cell>
          <cell r="BO51">
            <v>0</v>
          </cell>
          <cell r="BQ51">
            <v>0</v>
          </cell>
          <cell r="BR51">
            <v>0</v>
          </cell>
          <cell r="BS51">
            <v>0</v>
          </cell>
          <cell r="BT51">
            <v>0</v>
          </cell>
          <cell r="CB51">
            <v>0</v>
          </cell>
          <cell r="CC51">
            <v>0</v>
          </cell>
          <cell r="CD51">
            <v>0</v>
          </cell>
          <cell r="CE51">
            <v>0</v>
          </cell>
          <cell r="CF51">
            <v>0</v>
          </cell>
          <cell r="CI51">
            <v>0</v>
          </cell>
          <cell r="CJ51">
            <v>0</v>
          </cell>
          <cell r="CK51">
            <v>0</v>
          </cell>
          <cell r="CV51">
            <v>5.7082667354736695E-2</v>
          </cell>
          <cell r="DG51">
            <v>2483290054</v>
          </cell>
          <cell r="DR51">
            <v>943822179.58999956</v>
          </cell>
          <cell r="EC51">
            <v>2.6310994885485228</v>
          </cell>
          <cell r="EN51">
            <v>2.4095909012463064E-2</v>
          </cell>
        </row>
        <row r="52">
          <cell r="B52">
            <v>20100</v>
          </cell>
          <cell r="C52" t="str">
            <v>Appalachian State University</v>
          </cell>
          <cell r="D52">
            <v>1.0802526962423729E-2</v>
          </cell>
          <cell r="E52">
            <v>18690890.459402353</v>
          </cell>
          <cell r="F52">
            <v>14573715.935457006</v>
          </cell>
          <cell r="G52">
            <v>1438048</v>
          </cell>
          <cell r="H52">
            <v>-5215422.5871586753</v>
          </cell>
          <cell r="I52">
            <v>-215824.02710551026</v>
          </cell>
          <cell r="J52">
            <v>15772496.667370087</v>
          </cell>
          <cell r="K52">
            <v>0</v>
          </cell>
          <cell r="L52">
            <v>-828713.1586123727</v>
          </cell>
          <cell r="M52">
            <v>148718.51466535561</v>
          </cell>
          <cell r="N52">
            <v>5606.2954429586671</v>
          </cell>
          <cell r="O52">
            <v>-2530.0598398692614</v>
          </cell>
          <cell r="P52">
            <v>0</v>
          </cell>
          <cell r="Q52">
            <v>0</v>
          </cell>
          <cell r="R52">
            <v>0</v>
          </cell>
          <cell r="S52">
            <v>44366986.039621338</v>
          </cell>
          <cell r="T52">
            <v>7516559</v>
          </cell>
          <cell r="U52">
            <v>78862483.336850435</v>
          </cell>
          <cell r="V52">
            <v>594874.05866142246</v>
          </cell>
          <cell r="W52">
            <v>0</v>
          </cell>
          <cell r="X52">
            <v>86973916.395511851</v>
          </cell>
          <cell r="Y52">
            <v>326319.65000000037</v>
          </cell>
          <cell r="Z52">
            <v>0</v>
          </cell>
          <cell r="AA52">
            <v>0</v>
          </cell>
          <cell r="AB52">
            <v>1079120.1355275512</v>
          </cell>
          <cell r="AC52">
            <v>1405439.7855275515</v>
          </cell>
          <cell r="AD52" t="str">
            <v>N/A</v>
          </cell>
          <cell r="AE52">
            <v>17143439</v>
          </cell>
          <cell r="AF52">
            <v>17143439</v>
          </cell>
          <cell r="AG52">
            <v>17143439</v>
          </cell>
          <cell r="AH52">
            <v>17143439</v>
          </cell>
          <cell r="AI52">
            <v>16994721</v>
          </cell>
          <cell r="AJ52">
            <v>0</v>
          </cell>
          <cell r="AK52">
            <v>85568477</v>
          </cell>
          <cell r="AL52">
            <v>349132435</v>
          </cell>
          <cell r="AM52">
            <v>44366986.039621338</v>
          </cell>
          <cell r="AN52">
            <v>-9121256.3499999996</v>
          </cell>
          <cell r="AO52">
            <v>78378237.259984314</v>
          </cell>
          <cell r="AP52">
            <v>0</v>
          </cell>
          <cell r="AQ52">
            <v>7190239.3499999996</v>
          </cell>
          <cell r="AR52">
            <v>0</v>
          </cell>
          <cell r="AS52">
            <v>0</v>
          </cell>
          <cell r="AT52">
            <v>469946641.29960567</v>
          </cell>
          <cell r="AU52">
            <v>1.0530471214041338E-2</v>
          </cell>
          <cell r="AV52">
            <v>0</v>
          </cell>
          <cell r="AW52">
            <v>0</v>
          </cell>
          <cell r="AY52">
            <v>0</v>
          </cell>
          <cell r="AZ52">
            <v>0</v>
          </cell>
          <cell r="BA52">
            <v>0</v>
          </cell>
          <cell r="BB52">
            <v>0</v>
          </cell>
          <cell r="BC52">
            <v>0</v>
          </cell>
          <cell r="BD52">
            <v>0</v>
          </cell>
          <cell r="BE52">
            <v>0</v>
          </cell>
          <cell r="BF52">
            <v>0</v>
          </cell>
          <cell r="BG52">
            <v>0</v>
          </cell>
          <cell r="BH52">
            <v>0</v>
          </cell>
          <cell r="BJ52">
            <v>0</v>
          </cell>
          <cell r="BL52">
            <v>0</v>
          </cell>
          <cell r="BM52">
            <v>0</v>
          </cell>
          <cell r="BN52">
            <v>0</v>
          </cell>
          <cell r="BO52">
            <v>0</v>
          </cell>
          <cell r="BQ52">
            <v>0</v>
          </cell>
          <cell r="BR52">
            <v>0</v>
          </cell>
          <cell r="BS52">
            <v>0</v>
          </cell>
          <cell r="BT52">
            <v>0</v>
          </cell>
          <cell r="CB52">
            <v>0</v>
          </cell>
          <cell r="CC52">
            <v>0</v>
          </cell>
          <cell r="CD52">
            <v>0</v>
          </cell>
          <cell r="CE52">
            <v>0</v>
          </cell>
          <cell r="CF52">
            <v>0</v>
          </cell>
          <cell r="CI52">
            <v>0</v>
          </cell>
          <cell r="CJ52">
            <v>0</v>
          </cell>
          <cell r="CK52">
            <v>0</v>
          </cell>
          <cell r="CV52">
            <v>1.0802526962423729E-2</v>
          </cell>
          <cell r="DG52">
            <v>469946641</v>
          </cell>
          <cell r="DR52">
            <v>159125172.04999989</v>
          </cell>
          <cell r="EC52">
            <v>2.953314267916924</v>
          </cell>
          <cell r="EN52">
            <v>2.4095909012463064E-2</v>
          </cell>
        </row>
        <row r="53">
          <cell r="B53">
            <v>20200</v>
          </cell>
          <cell r="C53" t="str">
            <v>N.C. School Of The Arts</v>
          </cell>
          <cell r="D53">
            <v>1.3983940762772422E-3</v>
          </cell>
          <cell r="E53">
            <v>2419547.8141080006</v>
          </cell>
          <cell r="F53">
            <v>1886576.9189358056</v>
          </cell>
          <cell r="G53">
            <v>358945</v>
          </cell>
          <cell r="H53">
            <v>-675139.81465026259</v>
          </cell>
          <cell r="I53">
            <v>-27938.559382676976</v>
          </cell>
          <cell r="J53">
            <v>2041759.8571588476</v>
          </cell>
          <cell r="K53">
            <v>0</v>
          </cell>
          <cell r="L53">
            <v>-107277.45239309574</v>
          </cell>
          <cell r="M53">
            <v>19251.707555481309</v>
          </cell>
          <cell r="N53">
            <v>725.73855770636317</v>
          </cell>
          <cell r="O53">
            <v>-327.51787660489288</v>
          </cell>
          <cell r="P53">
            <v>0</v>
          </cell>
          <cell r="Q53">
            <v>0</v>
          </cell>
          <cell r="R53">
            <v>0</v>
          </cell>
          <cell r="S53">
            <v>5916123.6920132022</v>
          </cell>
          <cell r="T53">
            <v>1794720.25</v>
          </cell>
          <cell r="U53">
            <v>10208799.285794238</v>
          </cell>
          <cell r="V53">
            <v>77006.830221925236</v>
          </cell>
          <cell r="W53">
            <v>0</v>
          </cell>
          <cell r="X53">
            <v>12080526.366016163</v>
          </cell>
          <cell r="Y53">
            <v>0</v>
          </cell>
          <cell r="Z53">
            <v>0</v>
          </cell>
          <cell r="AA53">
            <v>0</v>
          </cell>
          <cell r="AB53">
            <v>139692.79691338487</v>
          </cell>
          <cell r="AC53">
            <v>139692.79691338487</v>
          </cell>
          <cell r="AD53" t="str">
            <v>N/A</v>
          </cell>
          <cell r="AE53">
            <v>2392017</v>
          </cell>
          <cell r="AF53">
            <v>2392018</v>
          </cell>
          <cell r="AG53">
            <v>2392018</v>
          </cell>
          <cell r="AH53">
            <v>2392018</v>
          </cell>
          <cell r="AI53">
            <v>2372766</v>
          </cell>
          <cell r="AJ53">
            <v>0</v>
          </cell>
          <cell r="AK53">
            <v>11940837</v>
          </cell>
          <cell r="AL53">
            <v>44290031</v>
          </cell>
          <cell r="AM53">
            <v>5916123.6920132022</v>
          </cell>
          <cell r="AN53">
            <v>-1312092.25</v>
          </cell>
          <cell r="AO53">
            <v>10146113.319102779</v>
          </cell>
          <cell r="AP53">
            <v>0</v>
          </cell>
          <cell r="AQ53">
            <v>1794720.25</v>
          </cell>
          <cell r="AR53">
            <v>0</v>
          </cell>
          <cell r="AS53">
            <v>0</v>
          </cell>
          <cell r="AT53">
            <v>60834896.011115983</v>
          </cell>
          <cell r="AU53">
            <v>1.3358681499429763E-3</v>
          </cell>
          <cell r="AV53">
            <v>0</v>
          </cell>
          <cell r="AW53">
            <v>0</v>
          </cell>
          <cell r="AY53">
            <v>0</v>
          </cell>
          <cell r="AZ53">
            <v>0</v>
          </cell>
          <cell r="BA53">
            <v>0</v>
          </cell>
          <cell r="BB53">
            <v>0</v>
          </cell>
          <cell r="BC53">
            <v>0</v>
          </cell>
          <cell r="BD53">
            <v>0</v>
          </cell>
          <cell r="BE53">
            <v>0</v>
          </cell>
          <cell r="BF53">
            <v>0</v>
          </cell>
          <cell r="BG53">
            <v>0</v>
          </cell>
          <cell r="BH53">
            <v>0</v>
          </cell>
          <cell r="BJ53">
            <v>0</v>
          </cell>
          <cell r="BL53">
            <v>0</v>
          </cell>
          <cell r="BM53">
            <v>0</v>
          </cell>
          <cell r="BN53">
            <v>0</v>
          </cell>
          <cell r="BO53">
            <v>0</v>
          </cell>
          <cell r="BQ53">
            <v>0</v>
          </cell>
          <cell r="BR53">
            <v>0</v>
          </cell>
          <cell r="BS53">
            <v>0</v>
          </cell>
          <cell r="BT53">
            <v>0</v>
          </cell>
          <cell r="CB53">
            <v>0</v>
          </cell>
          <cell r="CC53">
            <v>0</v>
          </cell>
          <cell r="CD53">
            <v>0</v>
          </cell>
          <cell r="CE53">
            <v>0</v>
          </cell>
          <cell r="CF53">
            <v>0</v>
          </cell>
          <cell r="CI53">
            <v>0</v>
          </cell>
          <cell r="CJ53">
            <v>0</v>
          </cell>
          <cell r="CK53">
            <v>0</v>
          </cell>
          <cell r="CV53">
            <v>1.3983940762772422E-3</v>
          </cell>
          <cell r="DG53">
            <v>60834895</v>
          </cell>
          <cell r="DR53">
            <v>23139714.909999985</v>
          </cell>
          <cell r="EC53">
            <v>2.6290252596720536</v>
          </cell>
          <cell r="EN53">
            <v>2.4095909012463064E-2</v>
          </cell>
        </row>
        <row r="54">
          <cell r="B54">
            <v>20300</v>
          </cell>
          <cell r="C54" t="str">
            <v>East Carolina University</v>
          </cell>
          <cell r="D54">
            <v>2.6136733978348658E-2</v>
          </cell>
          <cell r="E54">
            <v>45222644.058668174</v>
          </cell>
          <cell r="F54">
            <v>35261132.678126357</v>
          </cell>
          <cell r="G54">
            <v>-4821224</v>
          </cell>
          <cell r="H54">
            <v>-12618724.602067815</v>
          </cell>
          <cell r="I54">
            <v>-522186.63301785389</v>
          </cell>
          <cell r="J54">
            <v>38161584.877632126</v>
          </cell>
          <cell r="K54">
            <v>0</v>
          </cell>
          <cell r="L54">
            <v>-2005073.0210025681</v>
          </cell>
          <cell r="M54">
            <v>359824.7214734492</v>
          </cell>
          <cell r="N54">
            <v>13564.442200083386</v>
          </cell>
          <cell r="O54">
            <v>-6121.4844650690393</v>
          </cell>
          <cell r="P54">
            <v>0</v>
          </cell>
          <cell r="Q54">
            <v>0</v>
          </cell>
          <cell r="R54">
            <v>0</v>
          </cell>
          <cell r="S54">
            <v>99045421.037546903</v>
          </cell>
          <cell r="T54">
            <v>0</v>
          </cell>
          <cell r="U54">
            <v>190807924.38816065</v>
          </cell>
          <cell r="V54">
            <v>1439298.8858937968</v>
          </cell>
          <cell r="W54">
            <v>0</v>
          </cell>
          <cell r="X54">
            <v>192247223.27405444</v>
          </cell>
          <cell r="Y54">
            <v>24106114.84</v>
          </cell>
          <cell r="Z54">
            <v>0</v>
          </cell>
          <cell r="AA54">
            <v>0</v>
          </cell>
          <cell r="AB54">
            <v>2610933.1650892692</v>
          </cell>
          <cell r="AC54">
            <v>26717048.005089268</v>
          </cell>
          <cell r="AD54" t="str">
            <v>N/A</v>
          </cell>
          <cell r="AE54">
            <v>33178000</v>
          </cell>
          <cell r="AF54">
            <v>33178000</v>
          </cell>
          <cell r="AG54">
            <v>33178000</v>
          </cell>
          <cell r="AH54">
            <v>33178000</v>
          </cell>
          <cell r="AI54">
            <v>32818175</v>
          </cell>
          <cell r="AJ54">
            <v>0</v>
          </cell>
          <cell r="AK54">
            <v>165530175</v>
          </cell>
          <cell r="AL54">
            <v>893714791</v>
          </cell>
          <cell r="AM54">
            <v>99045421.037546903</v>
          </cell>
          <cell r="AN54">
            <v>-21253621.16</v>
          </cell>
          <cell r="AO54">
            <v>189636290.10896519</v>
          </cell>
          <cell r="AP54">
            <v>0</v>
          </cell>
          <cell r="AQ54">
            <v>-24106114.84</v>
          </cell>
          <cell r="AR54">
            <v>0</v>
          </cell>
          <cell r="AS54">
            <v>0</v>
          </cell>
          <cell r="AT54">
            <v>1137036766.1465123</v>
          </cell>
          <cell r="AU54">
            <v>2.6956068628154396E-2</v>
          </cell>
          <cell r="AV54">
            <v>0</v>
          </cell>
          <cell r="AW54">
            <v>0</v>
          </cell>
          <cell r="AY54">
            <v>0</v>
          </cell>
          <cell r="AZ54">
            <v>0</v>
          </cell>
          <cell r="BA54">
            <v>0</v>
          </cell>
          <cell r="BB54">
            <v>0</v>
          </cell>
          <cell r="BC54">
            <v>0</v>
          </cell>
          <cell r="BD54">
            <v>0</v>
          </cell>
          <cell r="BE54">
            <v>0</v>
          </cell>
          <cell r="BF54">
            <v>0</v>
          </cell>
          <cell r="BG54">
            <v>0</v>
          </cell>
          <cell r="BH54">
            <v>0</v>
          </cell>
          <cell r="BJ54">
            <v>0</v>
          </cell>
          <cell r="BL54">
            <v>0</v>
          </cell>
          <cell r="BM54">
            <v>0</v>
          </cell>
          <cell r="BN54">
            <v>0</v>
          </cell>
          <cell r="BO54">
            <v>0</v>
          </cell>
          <cell r="BQ54">
            <v>0</v>
          </cell>
          <cell r="BR54">
            <v>0</v>
          </cell>
          <cell r="BS54">
            <v>0</v>
          </cell>
          <cell r="BT54">
            <v>0</v>
          </cell>
          <cell r="CB54">
            <v>0</v>
          </cell>
          <cell r="CC54">
            <v>0</v>
          </cell>
          <cell r="CD54">
            <v>0</v>
          </cell>
          <cell r="CE54">
            <v>0</v>
          </cell>
          <cell r="CF54">
            <v>0</v>
          </cell>
          <cell r="CI54">
            <v>0</v>
          </cell>
          <cell r="CJ54">
            <v>0</v>
          </cell>
          <cell r="CK54">
            <v>0</v>
          </cell>
          <cell r="CV54">
            <v>2.6136733978348658E-2</v>
          </cell>
          <cell r="DG54">
            <v>1137036767</v>
          </cell>
          <cell r="DR54">
            <v>384458364.83999896</v>
          </cell>
          <cell r="EC54">
            <v>2.9575029989871688</v>
          </cell>
          <cell r="EN54">
            <v>2.4095909012463064E-2</v>
          </cell>
        </row>
        <row r="55">
          <cell r="B55">
            <v>20400</v>
          </cell>
          <cell r="C55" t="str">
            <v>Elizabeth City State University</v>
          </cell>
          <cell r="D55">
            <v>1.2727069321551963E-3</v>
          </cell>
          <cell r="E55">
            <v>2202079.7484311531</v>
          </cell>
          <cell r="F55">
            <v>1717012.0808617924</v>
          </cell>
          <cell r="G55">
            <v>-1266162</v>
          </cell>
          <cell r="H55">
            <v>-614458.49696878274</v>
          </cell>
          <cell r="I55">
            <v>-25427.451963628762</v>
          </cell>
          <cell r="J55">
            <v>1858247.2337984105</v>
          </cell>
          <cell r="K55">
            <v>0</v>
          </cell>
          <cell r="L55">
            <v>-97635.394514910222</v>
          </cell>
          <cell r="M55">
            <v>17521.371176652476</v>
          </cell>
          <cell r="N55">
            <v>660.5094436499038</v>
          </cell>
          <cell r="O55">
            <v>-298.08069058006851</v>
          </cell>
          <cell r="P55">
            <v>0</v>
          </cell>
          <cell r="Q55">
            <v>0</v>
          </cell>
          <cell r="R55">
            <v>0</v>
          </cell>
          <cell r="S55">
            <v>3791539.5195737565</v>
          </cell>
          <cell r="T55">
            <v>49780.379999999888</v>
          </cell>
          <cell r="U55">
            <v>9291236.1689920519</v>
          </cell>
          <cell r="V55">
            <v>70085.484706609903</v>
          </cell>
          <cell r="W55">
            <v>0</v>
          </cell>
          <cell r="X55">
            <v>9411102.0336986631</v>
          </cell>
          <cell r="Y55">
            <v>6380589</v>
          </cell>
          <cell r="Z55">
            <v>0</v>
          </cell>
          <cell r="AA55">
            <v>0</v>
          </cell>
          <cell r="AB55">
            <v>127137.25981814381</v>
          </cell>
          <cell r="AC55">
            <v>6507726.2598181441</v>
          </cell>
          <cell r="AD55" t="str">
            <v>N/A</v>
          </cell>
          <cell r="AE55">
            <v>584179</v>
          </cell>
          <cell r="AF55">
            <v>584179</v>
          </cell>
          <cell r="AG55">
            <v>584179</v>
          </cell>
          <cell r="AH55">
            <v>584179</v>
          </cell>
          <cell r="AI55">
            <v>566658</v>
          </cell>
          <cell r="AJ55">
            <v>0</v>
          </cell>
          <cell r="AK55">
            <v>2903374</v>
          </cell>
          <cell r="AL55">
            <v>49852660</v>
          </cell>
          <cell r="AM55">
            <v>3791539.5195737565</v>
          </cell>
          <cell r="AN55">
            <v>-1180498.3799999999</v>
          </cell>
          <cell r="AO55">
            <v>9234184.39388052</v>
          </cell>
          <cell r="AP55">
            <v>0</v>
          </cell>
          <cell r="AQ55">
            <v>-6330808.6200000001</v>
          </cell>
          <cell r="AR55">
            <v>0</v>
          </cell>
          <cell r="AS55">
            <v>0</v>
          </cell>
          <cell r="AT55">
            <v>55367076.913454272</v>
          </cell>
          <cell r="AU55">
            <v>1.5036471697692172E-3</v>
          </cell>
          <cell r="AV55">
            <v>0</v>
          </cell>
          <cell r="AW55">
            <v>0</v>
          </cell>
          <cell r="AY55">
            <v>0</v>
          </cell>
          <cell r="AZ55">
            <v>0</v>
          </cell>
          <cell r="BA55">
            <v>0</v>
          </cell>
          <cell r="BB55">
            <v>0</v>
          </cell>
          <cell r="BC55">
            <v>0</v>
          </cell>
          <cell r="BD55">
            <v>0</v>
          </cell>
          <cell r="BE55">
            <v>0</v>
          </cell>
          <cell r="BF55">
            <v>0</v>
          </cell>
          <cell r="BG55">
            <v>0</v>
          </cell>
          <cell r="BH55">
            <v>0</v>
          </cell>
          <cell r="BJ55">
            <v>0</v>
          </cell>
          <cell r="BL55">
            <v>0</v>
          </cell>
          <cell r="BM55">
            <v>0</v>
          </cell>
          <cell r="BN55">
            <v>0</v>
          </cell>
          <cell r="BO55">
            <v>0</v>
          </cell>
          <cell r="BQ55">
            <v>0</v>
          </cell>
          <cell r="BR55">
            <v>0</v>
          </cell>
          <cell r="BS55">
            <v>0</v>
          </cell>
          <cell r="BT55">
            <v>0</v>
          </cell>
          <cell r="CB55">
            <v>0</v>
          </cell>
          <cell r="CC55">
            <v>0</v>
          </cell>
          <cell r="CD55">
            <v>0</v>
          </cell>
          <cell r="CE55">
            <v>0</v>
          </cell>
          <cell r="CF55">
            <v>0</v>
          </cell>
          <cell r="CI55">
            <v>0</v>
          </cell>
          <cell r="CJ55">
            <v>0</v>
          </cell>
          <cell r="CK55">
            <v>0</v>
          </cell>
          <cell r="CV55">
            <v>1.2727069321551963E-3</v>
          </cell>
          <cell r="DG55">
            <v>55367077</v>
          </cell>
          <cell r="DR55">
            <v>21065056.790000014</v>
          </cell>
          <cell r="EC55">
            <v>2.6283848912424395</v>
          </cell>
          <cell r="EN55">
            <v>2.4095909012463064E-2</v>
          </cell>
        </row>
        <row r="56">
          <cell r="B56">
            <v>20600</v>
          </cell>
          <cell r="C56" t="str">
            <v>Fayetteville State University</v>
          </cell>
          <cell r="D56">
            <v>2.8367686811147787E-3</v>
          </cell>
          <cell r="E56">
            <v>4908271.2648451738</v>
          </cell>
          <cell r="F56">
            <v>3827091.6681787176</v>
          </cell>
          <cell r="G56">
            <v>-892139</v>
          </cell>
          <cell r="H56">
            <v>-1369582.089958593</v>
          </cell>
          <cell r="I56">
            <v>-56675.891007228885</v>
          </cell>
          <cell r="J56">
            <v>4141894.2738694032</v>
          </cell>
          <cell r="K56">
            <v>0</v>
          </cell>
          <cell r="L56">
            <v>-217622.00105185629</v>
          </cell>
          <cell r="M56">
            <v>39053.827513885124</v>
          </cell>
          <cell r="N56">
            <v>1472.2262101249478</v>
          </cell>
          <cell r="O56">
            <v>-664.39959280389235</v>
          </cell>
          <cell r="P56">
            <v>0</v>
          </cell>
          <cell r="Q56">
            <v>0</v>
          </cell>
          <cell r="R56">
            <v>0</v>
          </cell>
          <cell r="S56">
            <v>10381099.879006824</v>
          </cell>
          <cell r="T56">
            <v>57497.470000000205</v>
          </cell>
          <cell r="U56">
            <v>20709471.369347017</v>
          </cell>
          <cell r="V56">
            <v>156215.3100555405</v>
          </cell>
          <cell r="W56">
            <v>0</v>
          </cell>
          <cell r="X56">
            <v>20923184.149402555</v>
          </cell>
          <cell r="Y56">
            <v>4518190</v>
          </cell>
          <cell r="Z56">
            <v>0</v>
          </cell>
          <cell r="AA56">
            <v>0</v>
          </cell>
          <cell r="AB56">
            <v>283379.45503614441</v>
          </cell>
          <cell r="AC56">
            <v>4801569.4550361447</v>
          </cell>
          <cell r="AD56" t="str">
            <v>N/A</v>
          </cell>
          <cell r="AE56">
            <v>3232133</v>
          </cell>
          <cell r="AF56">
            <v>3232134</v>
          </cell>
          <cell r="AG56">
            <v>3232134</v>
          </cell>
          <cell r="AH56">
            <v>3232134</v>
          </cell>
          <cell r="AI56">
            <v>3193080</v>
          </cell>
          <cell r="AJ56">
            <v>0</v>
          </cell>
          <cell r="AK56">
            <v>16121615</v>
          </cell>
          <cell r="AL56">
            <v>99473456</v>
          </cell>
          <cell r="AM56">
            <v>10381099.879006824</v>
          </cell>
          <cell r="AN56">
            <v>-2567090.4700000002</v>
          </cell>
          <cell r="AO56">
            <v>20582307.224366415</v>
          </cell>
          <cell r="AP56">
            <v>0</v>
          </cell>
          <cell r="AQ56">
            <v>-4460692.5299999993</v>
          </cell>
          <cell r="AR56">
            <v>0</v>
          </cell>
          <cell r="AS56">
            <v>0</v>
          </cell>
          <cell r="AT56">
            <v>123409080.10337323</v>
          </cell>
          <cell r="AU56">
            <v>3.0003009274008141E-3</v>
          </cell>
          <cell r="AV56">
            <v>0</v>
          </cell>
          <cell r="AW56">
            <v>0</v>
          </cell>
          <cell r="AY56">
            <v>0</v>
          </cell>
          <cell r="AZ56">
            <v>0</v>
          </cell>
          <cell r="BA56">
            <v>0</v>
          </cell>
          <cell r="BB56">
            <v>0</v>
          </cell>
          <cell r="BC56">
            <v>0</v>
          </cell>
          <cell r="BD56">
            <v>0</v>
          </cell>
          <cell r="BE56">
            <v>0</v>
          </cell>
          <cell r="BF56">
            <v>0</v>
          </cell>
          <cell r="BG56">
            <v>0</v>
          </cell>
          <cell r="BH56">
            <v>0</v>
          </cell>
          <cell r="BJ56">
            <v>0</v>
          </cell>
          <cell r="BL56">
            <v>0</v>
          </cell>
          <cell r="BM56">
            <v>0</v>
          </cell>
          <cell r="BN56">
            <v>0</v>
          </cell>
          <cell r="BO56">
            <v>0</v>
          </cell>
          <cell r="BQ56">
            <v>0</v>
          </cell>
          <cell r="BR56">
            <v>0</v>
          </cell>
          <cell r="BS56">
            <v>0</v>
          </cell>
          <cell r="BT56">
            <v>0</v>
          </cell>
          <cell r="CB56">
            <v>0</v>
          </cell>
          <cell r="CC56">
            <v>0</v>
          </cell>
          <cell r="CD56">
            <v>0</v>
          </cell>
          <cell r="CE56">
            <v>0</v>
          </cell>
          <cell r="CF56">
            <v>0</v>
          </cell>
          <cell r="CI56">
            <v>0</v>
          </cell>
          <cell r="CJ56">
            <v>0</v>
          </cell>
          <cell r="CK56">
            <v>0</v>
          </cell>
          <cell r="CV56">
            <v>2.8367686811147787E-3</v>
          </cell>
          <cell r="DG56">
            <v>123409080</v>
          </cell>
          <cell r="DR56">
            <v>46059741.430000059</v>
          </cell>
          <cell r="EC56">
            <v>2.6793263741515503</v>
          </cell>
          <cell r="EN56">
            <v>2.4095909012463064E-2</v>
          </cell>
        </row>
        <row r="57">
          <cell r="B57">
            <v>20700</v>
          </cell>
          <cell r="C57" t="str">
            <v>N.C. A&amp;T University</v>
          </cell>
          <cell r="D57">
            <v>6.2362312392525649E-3</v>
          </cell>
          <cell r="E57">
            <v>10790134.139708763</v>
          </cell>
          <cell r="F57">
            <v>8413315.0423813704</v>
          </cell>
          <cell r="G57">
            <v>-1134721</v>
          </cell>
          <cell r="H57">
            <v>-3010830.8340333849</v>
          </cell>
          <cell r="I57">
            <v>-124593.86074188456</v>
          </cell>
          <cell r="J57">
            <v>9105363.6598368064</v>
          </cell>
          <cell r="K57">
            <v>0</v>
          </cell>
          <cell r="L57">
            <v>-478410.92237909173</v>
          </cell>
          <cell r="M57">
            <v>85854.268194600649</v>
          </cell>
          <cell r="N57">
            <v>3236.4792885472962</v>
          </cell>
          <cell r="O57">
            <v>-1460.5877185453433</v>
          </cell>
          <cell r="P57">
            <v>0</v>
          </cell>
          <cell r="Q57">
            <v>0</v>
          </cell>
          <cell r="R57">
            <v>0</v>
          </cell>
          <cell r="S57">
            <v>23647886.384537183</v>
          </cell>
          <cell r="T57">
            <v>160257.80000000075</v>
          </cell>
          <cell r="U57">
            <v>45526818.299184032</v>
          </cell>
          <cell r="V57">
            <v>343417.07277840259</v>
          </cell>
          <cell r="W57">
            <v>0</v>
          </cell>
          <cell r="X57">
            <v>46030493.17196244</v>
          </cell>
          <cell r="Y57">
            <v>5833865</v>
          </cell>
          <cell r="Z57">
            <v>0</v>
          </cell>
          <cell r="AA57">
            <v>0</v>
          </cell>
          <cell r="AB57">
            <v>622969.30370942282</v>
          </cell>
          <cell r="AC57">
            <v>6456834.3037094232</v>
          </cell>
          <cell r="AD57" t="str">
            <v>N/A</v>
          </cell>
          <cell r="AE57">
            <v>7931903</v>
          </cell>
          <cell r="AF57">
            <v>7931902</v>
          </cell>
          <cell r="AG57">
            <v>7931902</v>
          </cell>
          <cell r="AH57">
            <v>7931902</v>
          </cell>
          <cell r="AI57">
            <v>7846048</v>
          </cell>
          <cell r="AJ57">
            <v>0</v>
          </cell>
          <cell r="AK57">
            <v>39573657</v>
          </cell>
          <cell r="AL57">
            <v>213759724</v>
          </cell>
          <cell r="AM57">
            <v>23647886.384537183</v>
          </cell>
          <cell r="AN57">
            <v>-5684012.8000000007</v>
          </cell>
          <cell r="AO57">
            <v>45247266.068253018</v>
          </cell>
          <cell r="AP57">
            <v>0</v>
          </cell>
          <cell r="AQ57">
            <v>-5673607.1999999993</v>
          </cell>
          <cell r="AR57">
            <v>0</v>
          </cell>
          <cell r="AS57">
            <v>0</v>
          </cell>
          <cell r="AT57">
            <v>271297256.4527902</v>
          </cell>
          <cell r="AU57">
            <v>6.4473832775513084E-3</v>
          </cell>
          <cell r="AV57">
            <v>0</v>
          </cell>
          <cell r="AW57">
            <v>0</v>
          </cell>
          <cell r="AY57">
            <v>0</v>
          </cell>
          <cell r="AZ57">
            <v>0</v>
          </cell>
          <cell r="BA57">
            <v>0</v>
          </cell>
          <cell r="BB57">
            <v>0</v>
          </cell>
          <cell r="BC57">
            <v>0</v>
          </cell>
          <cell r="BD57">
            <v>0</v>
          </cell>
          <cell r="BE57">
            <v>0</v>
          </cell>
          <cell r="BF57">
            <v>0</v>
          </cell>
          <cell r="BG57">
            <v>0</v>
          </cell>
          <cell r="BH57">
            <v>0</v>
          </cell>
          <cell r="BJ57">
            <v>0</v>
          </cell>
          <cell r="BL57">
            <v>0</v>
          </cell>
          <cell r="BM57">
            <v>0</v>
          </cell>
          <cell r="BN57">
            <v>0</v>
          </cell>
          <cell r="BO57">
            <v>0</v>
          </cell>
          <cell r="BQ57">
            <v>0</v>
          </cell>
          <cell r="BR57">
            <v>0</v>
          </cell>
          <cell r="BS57">
            <v>0</v>
          </cell>
          <cell r="BT57">
            <v>0</v>
          </cell>
          <cell r="CB57">
            <v>0</v>
          </cell>
          <cell r="CC57">
            <v>0</v>
          </cell>
          <cell r="CD57">
            <v>0</v>
          </cell>
          <cell r="CE57">
            <v>0</v>
          </cell>
          <cell r="CF57">
            <v>0</v>
          </cell>
          <cell r="CI57">
            <v>0</v>
          </cell>
          <cell r="CJ57">
            <v>0</v>
          </cell>
          <cell r="CK57">
            <v>0</v>
          </cell>
          <cell r="CV57">
            <v>6.2362312392525649E-3</v>
          </cell>
          <cell r="DG57">
            <v>271297256</v>
          </cell>
          <cell r="DR57">
            <v>100882755.96999997</v>
          </cell>
          <cell r="EC57">
            <v>2.6892331934377078</v>
          </cell>
          <cell r="EN57">
            <v>2.4095909012463064E-2</v>
          </cell>
        </row>
        <row r="58">
          <cell r="B58">
            <v>20800</v>
          </cell>
          <cell r="C58" t="str">
            <v>N.C. Central University</v>
          </cell>
          <cell r="D58">
            <v>4.920570010970406E-3</v>
          </cell>
          <cell r="E58">
            <v>8513733.4433676898</v>
          </cell>
          <cell r="F58">
            <v>6638353.21400778</v>
          </cell>
          <cell r="G58">
            <v>-264960</v>
          </cell>
          <cell r="H58">
            <v>-2375634.1517293258</v>
          </cell>
          <cell r="I58">
            <v>-98308.223540315536</v>
          </cell>
          <cell r="J58">
            <v>7184399.9436016111</v>
          </cell>
          <cell r="K58">
            <v>0</v>
          </cell>
          <cell r="L58">
            <v>-377480.29976216715</v>
          </cell>
          <cell r="M58">
            <v>67741.544722256745</v>
          </cell>
          <cell r="N58">
            <v>2553.6774242934212</v>
          </cell>
          <cell r="O58">
            <v>-1152.4467022693789</v>
          </cell>
          <cell r="P58">
            <v>0</v>
          </cell>
          <cell r="Q58">
            <v>0</v>
          </cell>
          <cell r="R58">
            <v>0</v>
          </cell>
          <cell r="S58">
            <v>19289246.701389551</v>
          </cell>
          <cell r="T58">
            <v>32592.550000000745</v>
          </cell>
          <cell r="U58">
            <v>35921999.718008056</v>
          </cell>
          <cell r="V58">
            <v>270966.17888902698</v>
          </cell>
          <cell r="W58">
            <v>0</v>
          </cell>
          <cell r="X58">
            <v>36225558.446897082</v>
          </cell>
          <cell r="Y58">
            <v>1357395</v>
          </cell>
          <cell r="Z58">
            <v>0</v>
          </cell>
          <cell r="AA58">
            <v>0</v>
          </cell>
          <cell r="AB58">
            <v>491541.11770157772</v>
          </cell>
          <cell r="AC58">
            <v>1848936.1177015777</v>
          </cell>
          <cell r="AD58" t="str">
            <v>N/A</v>
          </cell>
          <cell r="AE58">
            <v>6888873</v>
          </cell>
          <cell r="AF58">
            <v>6888872</v>
          </cell>
          <cell r="AG58">
            <v>6888872</v>
          </cell>
          <cell r="AH58">
            <v>6888872</v>
          </cell>
          <cell r="AI58">
            <v>6821131</v>
          </cell>
          <cell r="AJ58">
            <v>0</v>
          </cell>
          <cell r="AK58">
            <v>34376620</v>
          </cell>
          <cell r="AL58">
            <v>164767878</v>
          </cell>
          <cell r="AM58">
            <v>19289246.701389551</v>
          </cell>
          <cell r="AN58">
            <v>-4372226.5500000007</v>
          </cell>
          <cell r="AO58">
            <v>35701424.779195502</v>
          </cell>
          <cell r="AP58">
            <v>0</v>
          </cell>
          <cell r="AQ58">
            <v>-1324802.4499999993</v>
          </cell>
          <cell r="AR58">
            <v>0</v>
          </cell>
          <cell r="AS58">
            <v>0</v>
          </cell>
          <cell r="AT58">
            <v>214061520.48058504</v>
          </cell>
          <cell r="AU58">
            <v>4.969699802402484E-3</v>
          </cell>
          <cell r="AV58">
            <v>0</v>
          </cell>
          <cell r="AW58">
            <v>0</v>
          </cell>
          <cell r="AY58">
            <v>0</v>
          </cell>
          <cell r="AZ58">
            <v>0</v>
          </cell>
          <cell r="BA58">
            <v>0</v>
          </cell>
          <cell r="BB58">
            <v>0</v>
          </cell>
          <cell r="BC58">
            <v>0</v>
          </cell>
          <cell r="BD58">
            <v>0</v>
          </cell>
          <cell r="BE58">
            <v>0</v>
          </cell>
          <cell r="BF58">
            <v>0</v>
          </cell>
          <cell r="BG58">
            <v>0</v>
          </cell>
          <cell r="BH58">
            <v>0</v>
          </cell>
          <cell r="BJ58">
            <v>0</v>
          </cell>
          <cell r="BL58">
            <v>0</v>
          </cell>
          <cell r="BM58">
            <v>0</v>
          </cell>
          <cell r="BN58">
            <v>0</v>
          </cell>
          <cell r="BO58">
            <v>0</v>
          </cell>
          <cell r="BQ58">
            <v>0</v>
          </cell>
          <cell r="BR58">
            <v>0</v>
          </cell>
          <cell r="BS58">
            <v>0</v>
          </cell>
          <cell r="BT58">
            <v>0</v>
          </cell>
          <cell r="CB58">
            <v>0</v>
          </cell>
          <cell r="CC58">
            <v>0</v>
          </cell>
          <cell r="CD58">
            <v>0</v>
          </cell>
          <cell r="CE58">
            <v>0</v>
          </cell>
          <cell r="CF58">
            <v>0</v>
          </cell>
          <cell r="CI58">
            <v>0</v>
          </cell>
          <cell r="CJ58">
            <v>0</v>
          </cell>
          <cell r="CK58">
            <v>0</v>
          </cell>
          <cell r="CV58">
            <v>4.920570010970406E-3</v>
          </cell>
          <cell r="DG58">
            <v>214061520</v>
          </cell>
          <cell r="DR58">
            <v>78015479.829999864</v>
          </cell>
          <cell r="EC58">
            <v>2.7438339220171706</v>
          </cell>
          <cell r="EN58">
            <v>2.4095909012463064E-2</v>
          </cell>
        </row>
        <row r="59">
          <cell r="B59">
            <v>20900</v>
          </cell>
          <cell r="C59" t="str">
            <v>University Of North Carolina At Greensboro</v>
          </cell>
          <cell r="D59">
            <v>1.0138441356939986E-2</v>
          </cell>
          <cell r="E59">
            <v>17541867.517738931</v>
          </cell>
          <cell r="F59">
            <v>13677796.396925759</v>
          </cell>
          <cell r="G59">
            <v>-2300171</v>
          </cell>
          <cell r="H59">
            <v>-4894804.3578596888</v>
          </cell>
          <cell r="I59">
            <v>-202556.23983528576</v>
          </cell>
          <cell r="J59">
            <v>14802882.054439679</v>
          </cell>
          <cell r="K59">
            <v>0</v>
          </cell>
          <cell r="L59">
            <v>-777767.99720488244</v>
          </cell>
          <cell r="M59">
            <v>139576.04039042664</v>
          </cell>
          <cell r="N59">
            <v>5261.648295424714</v>
          </cell>
          <cell r="O59">
            <v>-2374.5243502089143</v>
          </cell>
          <cell r="P59">
            <v>0</v>
          </cell>
          <cell r="Q59">
            <v>0</v>
          </cell>
          <cell r="R59">
            <v>0</v>
          </cell>
          <cell r="S59">
            <v>37989709.538540147</v>
          </cell>
          <cell r="T59">
            <v>0</v>
          </cell>
          <cell r="U59">
            <v>74014410.272198394</v>
          </cell>
          <cell r="V59">
            <v>558304.16156170657</v>
          </cell>
          <cell r="W59">
            <v>0</v>
          </cell>
          <cell r="X59">
            <v>74572714.433760107</v>
          </cell>
          <cell r="Y59">
            <v>11500854</v>
          </cell>
          <cell r="Z59">
            <v>0</v>
          </cell>
          <cell r="AA59">
            <v>0</v>
          </cell>
          <cell r="AB59">
            <v>1012781.1991764287</v>
          </cell>
          <cell r="AC59">
            <v>12513635.199176429</v>
          </cell>
          <cell r="AD59" t="str">
            <v>N/A</v>
          </cell>
          <cell r="AE59">
            <v>12439731</v>
          </cell>
          <cell r="AF59">
            <v>12439731</v>
          </cell>
          <cell r="AG59">
            <v>12439731</v>
          </cell>
          <cell r="AH59">
            <v>12439731</v>
          </cell>
          <cell r="AI59">
            <v>12300155</v>
          </cell>
          <cell r="AJ59">
            <v>0</v>
          </cell>
          <cell r="AK59">
            <v>62059079</v>
          </cell>
          <cell r="AL59">
            <v>349695995</v>
          </cell>
          <cell r="AM59">
            <v>37989709.538540147</v>
          </cell>
          <cell r="AN59">
            <v>-8688124</v>
          </cell>
          <cell r="AO59">
            <v>73559933.234583676</v>
          </cell>
          <cell r="AP59">
            <v>0</v>
          </cell>
          <cell r="AQ59">
            <v>-11500854</v>
          </cell>
          <cell r="AR59">
            <v>0</v>
          </cell>
          <cell r="AS59">
            <v>0</v>
          </cell>
          <cell r="AT59">
            <v>441056659.7731238</v>
          </cell>
          <cell r="AU59">
            <v>1.0547469212309908E-2</v>
          </cell>
          <cell r="AV59">
            <v>0</v>
          </cell>
          <cell r="AW59">
            <v>0</v>
          </cell>
          <cell r="AY59">
            <v>0</v>
          </cell>
          <cell r="AZ59">
            <v>0</v>
          </cell>
          <cell r="BA59">
            <v>0</v>
          </cell>
          <cell r="BB59">
            <v>0</v>
          </cell>
          <cell r="BC59">
            <v>0</v>
          </cell>
          <cell r="BD59">
            <v>0</v>
          </cell>
          <cell r="BE59">
            <v>0</v>
          </cell>
          <cell r="BF59">
            <v>0</v>
          </cell>
          <cell r="BG59">
            <v>0</v>
          </cell>
          <cell r="BH59">
            <v>0</v>
          </cell>
          <cell r="BJ59">
            <v>0</v>
          </cell>
          <cell r="BL59">
            <v>0</v>
          </cell>
          <cell r="BM59">
            <v>0</v>
          </cell>
          <cell r="BN59">
            <v>0</v>
          </cell>
          <cell r="BO59">
            <v>0</v>
          </cell>
          <cell r="BQ59">
            <v>0</v>
          </cell>
          <cell r="BR59">
            <v>0</v>
          </cell>
          <cell r="BS59">
            <v>0</v>
          </cell>
          <cell r="BT59">
            <v>0</v>
          </cell>
          <cell r="CB59">
            <v>0</v>
          </cell>
          <cell r="CC59">
            <v>0</v>
          </cell>
          <cell r="CD59">
            <v>0</v>
          </cell>
          <cell r="CE59">
            <v>0</v>
          </cell>
          <cell r="CF59">
            <v>0</v>
          </cell>
          <cell r="CI59">
            <v>0</v>
          </cell>
          <cell r="CJ59">
            <v>0</v>
          </cell>
          <cell r="CK59">
            <v>0</v>
          </cell>
          <cell r="CV59">
            <v>1.0138441356939986E-2</v>
          </cell>
          <cell r="DG59">
            <v>441056660</v>
          </cell>
          <cell r="DR59">
            <v>153380773.23999989</v>
          </cell>
          <cell r="EC59">
            <v>2.8755668046467875</v>
          </cell>
          <cell r="EN59">
            <v>2.4095909012463064E-2</v>
          </cell>
        </row>
        <row r="60">
          <cell r="B60">
            <v>21200</v>
          </cell>
          <cell r="C60" t="str">
            <v>UNC - Pembroke</v>
          </cell>
          <cell r="D60">
            <v>3.3211057016841483E-3</v>
          </cell>
          <cell r="E60">
            <v>5746287.2428089324</v>
          </cell>
          <cell r="F60">
            <v>4480511.9446896389</v>
          </cell>
          <cell r="G60">
            <v>1199456</v>
          </cell>
          <cell r="H60">
            <v>-1603418.3252821725</v>
          </cell>
          <cell r="I60">
            <v>-66352.475626658736</v>
          </cell>
          <cell r="J60">
            <v>4849062.5197240151</v>
          </cell>
          <cell r="K60">
            <v>0</v>
          </cell>
          <cell r="L60">
            <v>-254777.79464951399</v>
          </cell>
          <cell r="M60">
            <v>45721.700924159799</v>
          </cell>
          <cell r="N60">
            <v>1723.5874370600393</v>
          </cell>
          <cell r="O60">
            <v>-777.83616639144441</v>
          </cell>
          <cell r="P60">
            <v>0</v>
          </cell>
          <cell r="Q60">
            <v>0</v>
          </cell>
          <cell r="R60">
            <v>0</v>
          </cell>
          <cell r="S60">
            <v>14397436.56385907</v>
          </cell>
          <cell r="T60">
            <v>6198341</v>
          </cell>
          <cell r="U60">
            <v>24245312.598620076</v>
          </cell>
          <cell r="V60">
            <v>182886.8036966392</v>
          </cell>
          <cell r="W60">
            <v>0</v>
          </cell>
          <cell r="X60">
            <v>30626540.402316716</v>
          </cell>
          <cell r="Y60">
            <v>201060.70000000019</v>
          </cell>
          <cell r="Z60">
            <v>0</v>
          </cell>
          <cell r="AA60">
            <v>0</v>
          </cell>
          <cell r="AB60">
            <v>331762.37813329365</v>
          </cell>
          <cell r="AC60">
            <v>532823.07813329389</v>
          </cell>
          <cell r="AD60" t="str">
            <v>N/A</v>
          </cell>
          <cell r="AE60">
            <v>6027888</v>
          </cell>
          <cell r="AF60">
            <v>6027888</v>
          </cell>
          <cell r="AG60">
            <v>6027888</v>
          </cell>
          <cell r="AH60">
            <v>6027888</v>
          </cell>
          <cell r="AI60">
            <v>5982166</v>
          </cell>
          <cell r="AJ60">
            <v>0</v>
          </cell>
          <cell r="AK60">
            <v>30093718</v>
          </cell>
          <cell r="AL60">
            <v>102671567</v>
          </cell>
          <cell r="AM60">
            <v>14397436.56385907</v>
          </cell>
          <cell r="AN60">
            <v>-2683334.2999999998</v>
          </cell>
          <cell r="AO60">
            <v>24096437.024183426</v>
          </cell>
          <cell r="AP60">
            <v>0</v>
          </cell>
          <cell r="AQ60">
            <v>5997280.2999999998</v>
          </cell>
          <cell r="AR60">
            <v>0</v>
          </cell>
          <cell r="AS60">
            <v>0</v>
          </cell>
          <cell r="AT60">
            <v>144479386.58804253</v>
          </cell>
          <cell r="AU60">
            <v>3.0967617921084036E-3</v>
          </cell>
          <cell r="AV60">
            <v>0</v>
          </cell>
          <cell r="AW60">
            <v>0</v>
          </cell>
          <cell r="AY60">
            <v>0</v>
          </cell>
          <cell r="AZ60">
            <v>0</v>
          </cell>
          <cell r="BA60">
            <v>0</v>
          </cell>
          <cell r="BB60">
            <v>0</v>
          </cell>
          <cell r="BC60">
            <v>0</v>
          </cell>
          <cell r="BD60">
            <v>0</v>
          </cell>
          <cell r="BE60">
            <v>0</v>
          </cell>
          <cell r="BF60">
            <v>0</v>
          </cell>
          <cell r="BG60">
            <v>0</v>
          </cell>
          <cell r="BH60">
            <v>0</v>
          </cell>
          <cell r="BJ60">
            <v>0</v>
          </cell>
          <cell r="BL60">
            <v>0</v>
          </cell>
          <cell r="BM60">
            <v>0</v>
          </cell>
          <cell r="BN60">
            <v>0</v>
          </cell>
          <cell r="BO60">
            <v>0</v>
          </cell>
          <cell r="BQ60">
            <v>0</v>
          </cell>
          <cell r="BR60">
            <v>0</v>
          </cell>
          <cell r="BS60">
            <v>0</v>
          </cell>
          <cell r="BT60">
            <v>0</v>
          </cell>
          <cell r="CB60">
            <v>0</v>
          </cell>
          <cell r="CC60">
            <v>0</v>
          </cell>
          <cell r="CD60">
            <v>0</v>
          </cell>
          <cell r="CE60">
            <v>0</v>
          </cell>
          <cell r="CF60">
            <v>0</v>
          </cell>
          <cell r="CI60">
            <v>0</v>
          </cell>
          <cell r="CJ60">
            <v>0</v>
          </cell>
          <cell r="CK60">
            <v>0</v>
          </cell>
          <cell r="CV60">
            <v>3.3211057016841483E-3</v>
          </cell>
          <cell r="DG60">
            <v>144479386</v>
          </cell>
          <cell r="DR60">
            <v>48158850.890000053</v>
          </cell>
          <cell r="EC60">
            <v>3.0000588330067575</v>
          </cell>
          <cell r="EN60">
            <v>2.4095909012463064E-2</v>
          </cell>
        </row>
        <row r="61">
          <cell r="B61">
            <v>21300</v>
          </cell>
          <cell r="C61" t="str">
            <v>N.C. State University</v>
          </cell>
          <cell r="D61">
            <v>3.9767071830284745E-2</v>
          </cell>
          <cell r="E61">
            <v>68806306.714764208</v>
          </cell>
          <cell r="F61">
            <v>53649855.302879199</v>
          </cell>
          <cell r="G61">
            <v>4465900</v>
          </cell>
          <cell r="H61">
            <v>-19199404.488437805</v>
          </cell>
          <cell r="I61">
            <v>-794507.58312946407</v>
          </cell>
          <cell r="J61">
            <v>58062896.773691945</v>
          </cell>
          <cell r="K61">
            <v>0</v>
          </cell>
          <cell r="L61">
            <v>-3050720.985920711</v>
          </cell>
          <cell r="M61">
            <v>547473.74163123814</v>
          </cell>
          <cell r="N61">
            <v>20638.314938481177</v>
          </cell>
          <cell r="O61">
            <v>-9313.8458933709899</v>
          </cell>
          <cell r="P61">
            <v>0</v>
          </cell>
          <cell r="Q61">
            <v>0</v>
          </cell>
          <cell r="R61">
            <v>0</v>
          </cell>
          <cell r="S61">
            <v>162499123.94452372</v>
          </cell>
          <cell r="T61">
            <v>23870151</v>
          </cell>
          <cell r="U61">
            <v>290314483.8684597</v>
          </cell>
          <cell r="V61">
            <v>2189894.9665249526</v>
          </cell>
          <cell r="W61">
            <v>0</v>
          </cell>
          <cell r="X61">
            <v>316374529.83498466</v>
          </cell>
          <cell r="Y61">
            <v>1540647.6799999997</v>
          </cell>
          <cell r="Z61">
            <v>0</v>
          </cell>
          <cell r="AA61">
            <v>0</v>
          </cell>
          <cell r="AB61">
            <v>3972537.9156473204</v>
          </cell>
          <cell r="AC61">
            <v>5513185.5956473202</v>
          </cell>
          <cell r="AD61" t="str">
            <v>N/A</v>
          </cell>
          <cell r="AE61">
            <v>62281763</v>
          </cell>
          <cell r="AF61">
            <v>62281764</v>
          </cell>
          <cell r="AG61">
            <v>62281764</v>
          </cell>
          <cell r="AH61">
            <v>62281764</v>
          </cell>
          <cell r="AI61">
            <v>61734290</v>
          </cell>
          <cell r="AJ61">
            <v>0</v>
          </cell>
          <cell r="AK61">
            <v>310861345</v>
          </cell>
          <cell r="AL61">
            <v>1289812928</v>
          </cell>
          <cell r="AM61">
            <v>162499123.94452372</v>
          </cell>
          <cell r="AN61">
            <v>-33170603.32</v>
          </cell>
          <cell r="AO61">
            <v>288531840.91933739</v>
          </cell>
          <cell r="AP61">
            <v>0</v>
          </cell>
          <cell r="AQ61">
            <v>22329503.32</v>
          </cell>
          <cell r="AR61">
            <v>0</v>
          </cell>
          <cell r="AS61">
            <v>0</v>
          </cell>
          <cell r="AT61">
            <v>1730002792.8638613</v>
          </cell>
          <cell r="AU61">
            <v>3.8903111097267837E-2</v>
          </cell>
          <cell r="AV61">
            <v>0</v>
          </cell>
          <cell r="AW61">
            <v>0</v>
          </cell>
          <cell r="AY61">
            <v>0</v>
          </cell>
          <cell r="AZ61">
            <v>0</v>
          </cell>
          <cell r="BA61">
            <v>0</v>
          </cell>
          <cell r="BB61">
            <v>0</v>
          </cell>
          <cell r="BC61">
            <v>0</v>
          </cell>
          <cell r="BD61">
            <v>0</v>
          </cell>
          <cell r="BE61">
            <v>0</v>
          </cell>
          <cell r="BF61">
            <v>0</v>
          </cell>
          <cell r="BG61">
            <v>0</v>
          </cell>
          <cell r="BH61">
            <v>0</v>
          </cell>
          <cell r="BJ61">
            <v>0</v>
          </cell>
          <cell r="BL61">
            <v>0</v>
          </cell>
          <cell r="BM61">
            <v>0</v>
          </cell>
          <cell r="BN61">
            <v>0</v>
          </cell>
          <cell r="BO61">
            <v>0</v>
          </cell>
          <cell r="BQ61">
            <v>0</v>
          </cell>
          <cell r="BR61">
            <v>0</v>
          </cell>
          <cell r="BS61">
            <v>0</v>
          </cell>
          <cell r="BT61">
            <v>0</v>
          </cell>
          <cell r="CB61">
            <v>0</v>
          </cell>
          <cell r="CC61">
            <v>0</v>
          </cell>
          <cell r="CD61">
            <v>0</v>
          </cell>
          <cell r="CE61">
            <v>0</v>
          </cell>
          <cell r="CF61">
            <v>0</v>
          </cell>
          <cell r="CI61">
            <v>0</v>
          </cell>
          <cell r="CJ61">
            <v>0</v>
          </cell>
          <cell r="CK61">
            <v>0</v>
          </cell>
          <cell r="CV61">
            <v>3.9767071830284745E-2</v>
          </cell>
          <cell r="DG61">
            <v>1730002793</v>
          </cell>
          <cell r="DR61">
            <v>581913565.08000124</v>
          </cell>
          <cell r="EC61">
            <v>2.9729549142958369</v>
          </cell>
          <cell r="EN61">
            <v>2.4095909012463064E-2</v>
          </cell>
        </row>
        <row r="62">
          <cell r="B62">
            <v>21520</v>
          </cell>
          <cell r="C62" t="str">
            <v>UNC-CH CB 1260</v>
          </cell>
          <cell r="D62">
            <v>7.2483871493836394E-2</v>
          </cell>
          <cell r="E62">
            <v>125413998.67616931</v>
          </cell>
          <cell r="F62">
            <v>97788170.927770525</v>
          </cell>
          <cell r="G62">
            <v>-2113104</v>
          </cell>
          <cell r="H62">
            <v>-34994962.003672041</v>
          </cell>
          <cell r="I62">
            <v>-1448157.5561361178</v>
          </cell>
          <cell r="J62">
            <v>105831869.29793215</v>
          </cell>
          <cell r="K62">
            <v>0</v>
          </cell>
          <cell r="L62">
            <v>-5560582.102970575</v>
          </cell>
          <cell r="M62">
            <v>997886.30412631284</v>
          </cell>
          <cell r="N62">
            <v>37617.679627871214</v>
          </cell>
          <cell r="O62">
            <v>-16976.447542571423</v>
          </cell>
          <cell r="P62">
            <v>0</v>
          </cell>
          <cell r="Q62">
            <v>0</v>
          </cell>
          <cell r="R62">
            <v>0</v>
          </cell>
          <cell r="S62">
            <v>285935760.77530485</v>
          </cell>
          <cell r="T62">
            <v>0</v>
          </cell>
          <cell r="U62">
            <v>529159346.4896608</v>
          </cell>
          <cell r="V62">
            <v>3991545.2165052514</v>
          </cell>
          <cell r="W62">
            <v>0</v>
          </cell>
          <cell r="X62">
            <v>533150891.70616603</v>
          </cell>
          <cell r="Y62">
            <v>10565518.759999998</v>
          </cell>
          <cell r="Z62">
            <v>0</v>
          </cell>
          <cell r="AA62">
            <v>0</v>
          </cell>
          <cell r="AB62">
            <v>7240787.7806805884</v>
          </cell>
          <cell r="AC62">
            <v>17806306.540680587</v>
          </cell>
          <cell r="AD62" t="str">
            <v>N/A</v>
          </cell>
          <cell r="AE62">
            <v>103268494</v>
          </cell>
          <cell r="AF62">
            <v>103268495</v>
          </cell>
          <cell r="AG62">
            <v>103268495</v>
          </cell>
          <cell r="AH62">
            <v>103268495</v>
          </cell>
          <cell r="AI62">
            <v>102270609</v>
          </cell>
          <cell r="AJ62">
            <v>0</v>
          </cell>
          <cell r="AK62">
            <v>515344588</v>
          </cell>
          <cell r="AL62">
            <v>2410938298</v>
          </cell>
          <cell r="AM62">
            <v>285935760.77530485</v>
          </cell>
          <cell r="AN62">
            <v>-58923861.240000002</v>
          </cell>
          <cell r="AO62">
            <v>525910103.92548549</v>
          </cell>
          <cell r="AP62">
            <v>0</v>
          </cell>
          <cell r="AQ62">
            <v>-10565518.759999998</v>
          </cell>
          <cell r="AR62">
            <v>0</v>
          </cell>
          <cell r="AS62">
            <v>0</v>
          </cell>
          <cell r="AT62">
            <v>3153294782.7007904</v>
          </cell>
          <cell r="AU62">
            <v>7.2718297661777884E-2</v>
          </cell>
          <cell r="AV62">
            <v>0</v>
          </cell>
          <cell r="AW62">
            <v>0</v>
          </cell>
          <cell r="AY62">
            <v>0</v>
          </cell>
          <cell r="AZ62">
            <v>0</v>
          </cell>
          <cell r="BA62">
            <v>0</v>
          </cell>
          <cell r="BB62">
            <v>0</v>
          </cell>
          <cell r="BC62">
            <v>0</v>
          </cell>
          <cell r="BD62">
            <v>0</v>
          </cell>
          <cell r="BE62">
            <v>0</v>
          </cell>
          <cell r="BF62">
            <v>0</v>
          </cell>
          <cell r="BG62">
            <v>0</v>
          </cell>
          <cell r="BH62">
            <v>0</v>
          </cell>
          <cell r="BJ62">
            <v>0</v>
          </cell>
          <cell r="BL62">
            <v>0</v>
          </cell>
          <cell r="BM62">
            <v>0</v>
          </cell>
          <cell r="BN62">
            <v>0</v>
          </cell>
          <cell r="BO62">
            <v>0</v>
          </cell>
          <cell r="BQ62">
            <v>0</v>
          </cell>
          <cell r="BR62">
            <v>0</v>
          </cell>
          <cell r="BS62">
            <v>0</v>
          </cell>
          <cell r="BT62">
            <v>0</v>
          </cell>
          <cell r="CB62">
            <v>0</v>
          </cell>
          <cell r="CC62">
            <v>0</v>
          </cell>
          <cell r="CD62">
            <v>0</v>
          </cell>
          <cell r="CE62">
            <v>0</v>
          </cell>
          <cell r="CF62">
            <v>0</v>
          </cell>
          <cell r="CI62">
            <v>0</v>
          </cell>
          <cell r="CJ62">
            <v>0</v>
          </cell>
          <cell r="CK62">
            <v>0</v>
          </cell>
          <cell r="CV62">
            <v>7.2483871493836394E-2</v>
          </cell>
          <cell r="DG62">
            <v>3153294783</v>
          </cell>
          <cell r="DR62">
            <v>1037963761.8100019</v>
          </cell>
          <cell r="EC62">
            <v>3.0379623056408853</v>
          </cell>
          <cell r="EN62">
            <v>2.4095909012463064E-2</v>
          </cell>
        </row>
        <row r="63">
          <cell r="B63">
            <v>21525</v>
          </cell>
          <cell r="C63" t="str">
            <v>UNC-General Administration</v>
          </cell>
          <cell r="D63">
            <v>1.7553154435545669E-3</v>
          </cell>
          <cell r="E63">
            <v>3037105.0024960591</v>
          </cell>
          <cell r="F63">
            <v>2368100.4213615349</v>
          </cell>
          <cell r="G63">
            <v>307283</v>
          </cell>
          <cell r="H63">
            <v>-847460.21405429789</v>
          </cell>
          <cell r="I63">
            <v>-35069.502643800173</v>
          </cell>
          <cell r="J63">
            <v>2562891.7270886307</v>
          </cell>
          <cell r="K63">
            <v>0</v>
          </cell>
          <cell r="L63">
            <v>-134658.58596318719</v>
          </cell>
          <cell r="M63">
            <v>24165.448181026764</v>
          </cell>
          <cell r="N63">
            <v>910.97360889594916</v>
          </cell>
          <cell r="O63">
            <v>-411.11243003491512</v>
          </cell>
          <cell r="P63">
            <v>0</v>
          </cell>
          <cell r="Q63">
            <v>0</v>
          </cell>
          <cell r="R63">
            <v>0</v>
          </cell>
          <cell r="S63">
            <v>7282857.1576448279</v>
          </cell>
          <cell r="T63">
            <v>1536416.2789071039</v>
          </cell>
          <cell r="U63">
            <v>12814458.635443155</v>
          </cell>
          <cell r="V63">
            <v>96661.792724107057</v>
          </cell>
          <cell r="W63">
            <v>0</v>
          </cell>
          <cell r="X63">
            <v>14447536.707074365</v>
          </cell>
          <cell r="Y63">
            <v>0</v>
          </cell>
          <cell r="Z63">
            <v>0</v>
          </cell>
          <cell r="AA63">
            <v>0</v>
          </cell>
          <cell r="AB63">
            <v>175347.51321900086</v>
          </cell>
          <cell r="AC63">
            <v>175347.51321900086</v>
          </cell>
          <cell r="AD63" t="str">
            <v>N/A</v>
          </cell>
          <cell r="AE63">
            <v>2859271</v>
          </cell>
          <cell r="AF63">
            <v>2859271</v>
          </cell>
          <cell r="AG63">
            <v>2859271</v>
          </cell>
          <cell r="AH63">
            <v>2859271</v>
          </cell>
          <cell r="AI63">
            <v>2835105</v>
          </cell>
          <cell r="AJ63">
            <v>0</v>
          </cell>
          <cell r="AK63">
            <v>14272189</v>
          </cell>
          <cell r="AL63">
            <v>56443267</v>
          </cell>
          <cell r="AM63">
            <v>7282857.1576448279</v>
          </cell>
          <cell r="AN63">
            <v>-1636125.2789071039</v>
          </cell>
          <cell r="AO63">
            <v>12735772.91494826</v>
          </cell>
          <cell r="AP63">
            <v>0</v>
          </cell>
          <cell r="AQ63">
            <v>1536416.2789071039</v>
          </cell>
          <cell r="AR63">
            <v>0</v>
          </cell>
          <cell r="AS63">
            <v>0</v>
          </cell>
          <cell r="AT63">
            <v>76362188.072593093</v>
          </cell>
          <cell r="AU63">
            <v>1.702431898495573E-3</v>
          </cell>
          <cell r="AV63">
            <v>0</v>
          </cell>
          <cell r="AW63">
            <v>0</v>
          </cell>
          <cell r="AY63">
            <v>0</v>
          </cell>
          <cell r="AZ63">
            <v>0</v>
          </cell>
          <cell r="BA63">
            <v>0</v>
          </cell>
          <cell r="BB63">
            <v>0</v>
          </cell>
          <cell r="BC63">
            <v>0</v>
          </cell>
          <cell r="BD63">
            <v>0</v>
          </cell>
          <cell r="BE63">
            <v>0</v>
          </cell>
          <cell r="BF63">
            <v>0</v>
          </cell>
          <cell r="BG63">
            <v>0</v>
          </cell>
          <cell r="BH63">
            <v>0</v>
          </cell>
          <cell r="BJ63">
            <v>0</v>
          </cell>
          <cell r="BL63">
            <v>0</v>
          </cell>
          <cell r="BM63">
            <v>0</v>
          </cell>
          <cell r="BN63">
            <v>0</v>
          </cell>
          <cell r="BO63">
            <v>0</v>
          </cell>
          <cell r="BQ63">
            <v>0</v>
          </cell>
          <cell r="BR63">
            <v>0</v>
          </cell>
          <cell r="BS63">
            <v>0</v>
          </cell>
          <cell r="BT63">
            <v>0</v>
          </cell>
          <cell r="CB63">
            <v>0</v>
          </cell>
          <cell r="CC63">
            <v>0</v>
          </cell>
          <cell r="CD63">
            <v>0</v>
          </cell>
          <cell r="CE63">
            <v>0</v>
          </cell>
          <cell r="CF63">
            <v>0</v>
          </cell>
          <cell r="CI63">
            <v>0</v>
          </cell>
          <cell r="CJ63">
            <v>0</v>
          </cell>
          <cell r="CK63">
            <v>0</v>
          </cell>
          <cell r="CV63">
            <v>1.7553154435545669E-3</v>
          </cell>
          <cell r="DG63">
            <v>76362188</v>
          </cell>
          <cell r="DR63">
            <v>27240178.579999987</v>
          </cell>
          <cell r="EC63">
            <v>2.8032924885472625</v>
          </cell>
          <cell r="EN63">
            <v>2.4095909012463064E-2</v>
          </cell>
        </row>
        <row r="64">
          <cell r="B64">
            <v>21550</v>
          </cell>
          <cell r="C64" t="str">
            <v>UNC Health Care System</v>
          </cell>
          <cell r="D64">
            <v>3.9173976380473784E-2</v>
          </cell>
          <cell r="E64">
            <v>67780113.295118302</v>
          </cell>
          <cell r="F64">
            <v>52849708.759554327</v>
          </cell>
          <cell r="G64">
            <v>10284265</v>
          </cell>
          <cell r="H64">
            <v>-18913060.060319748</v>
          </cell>
          <cell r="I64">
            <v>-782658.11041984579</v>
          </cell>
          <cell r="J64">
            <v>57196933.093331285</v>
          </cell>
          <cell r="K64">
            <v>0</v>
          </cell>
          <cell r="L64">
            <v>-3005221.8165799486</v>
          </cell>
          <cell r="M64">
            <v>539308.58965730807</v>
          </cell>
          <cell r="N64">
            <v>20330.510261938285</v>
          </cell>
          <cell r="O64">
            <v>-9174.9370080707649</v>
          </cell>
          <cell r="P64">
            <v>0</v>
          </cell>
          <cell r="Q64">
            <v>0</v>
          </cell>
          <cell r="R64">
            <v>0</v>
          </cell>
          <cell r="S64">
            <v>165960544.32359555</v>
          </cell>
          <cell r="T64">
            <v>53405997</v>
          </cell>
          <cell r="U64">
            <v>285984665.46665639</v>
          </cell>
          <cell r="V64">
            <v>2157234.3586292323</v>
          </cell>
          <cell r="W64">
            <v>0</v>
          </cell>
          <cell r="X64">
            <v>341547896.82528561</v>
          </cell>
          <cell r="Y64">
            <v>1984669.9900000058</v>
          </cell>
          <cell r="Z64">
            <v>0</v>
          </cell>
          <cell r="AA64">
            <v>0</v>
          </cell>
          <cell r="AB64">
            <v>3913290.5520992288</v>
          </cell>
          <cell r="AC64">
            <v>5897960.5420992346</v>
          </cell>
          <cell r="AD64" t="str">
            <v>N/A</v>
          </cell>
          <cell r="AE64">
            <v>67237849</v>
          </cell>
          <cell r="AF64">
            <v>67237850</v>
          </cell>
          <cell r="AG64">
            <v>67237850</v>
          </cell>
          <cell r="AH64">
            <v>67237850</v>
          </cell>
          <cell r="AI64">
            <v>66698541</v>
          </cell>
          <cell r="AJ64">
            <v>0</v>
          </cell>
          <cell r="AK64">
            <v>335649940</v>
          </cell>
          <cell r="AL64">
            <v>1234706134</v>
          </cell>
          <cell r="AM64">
            <v>165960544.32359555</v>
          </cell>
          <cell r="AN64">
            <v>-32115489.009999994</v>
          </cell>
          <cell r="AO64">
            <v>284228609.27318645</v>
          </cell>
          <cell r="AP64">
            <v>0</v>
          </cell>
          <cell r="AQ64">
            <v>51421327.00999999</v>
          </cell>
          <cell r="AR64">
            <v>0</v>
          </cell>
          <cell r="AS64">
            <v>0</v>
          </cell>
          <cell r="AT64">
            <v>1704201125.596782</v>
          </cell>
          <cell r="AU64">
            <v>3.7240989628804788E-2</v>
          </cell>
          <cell r="AV64">
            <v>0</v>
          </cell>
          <cell r="AW64">
            <v>0</v>
          </cell>
          <cell r="AY64">
            <v>0</v>
          </cell>
          <cell r="AZ64">
            <v>0</v>
          </cell>
          <cell r="BA64">
            <v>0</v>
          </cell>
          <cell r="BB64">
            <v>0</v>
          </cell>
          <cell r="BC64">
            <v>0</v>
          </cell>
          <cell r="BD64">
            <v>0</v>
          </cell>
          <cell r="BE64">
            <v>0</v>
          </cell>
          <cell r="BF64">
            <v>0</v>
          </cell>
          <cell r="BG64">
            <v>0</v>
          </cell>
          <cell r="BH64">
            <v>0</v>
          </cell>
          <cell r="BJ64">
            <v>0</v>
          </cell>
          <cell r="BL64">
            <v>0</v>
          </cell>
          <cell r="BM64">
            <v>0</v>
          </cell>
          <cell r="BN64">
            <v>0</v>
          </cell>
          <cell r="BO64">
            <v>0</v>
          </cell>
          <cell r="BQ64">
            <v>0</v>
          </cell>
          <cell r="BR64">
            <v>0</v>
          </cell>
          <cell r="BS64">
            <v>0</v>
          </cell>
          <cell r="BT64">
            <v>0</v>
          </cell>
          <cell r="CB64">
            <v>0</v>
          </cell>
          <cell r="CC64">
            <v>0</v>
          </cell>
          <cell r="CD64">
            <v>0</v>
          </cell>
          <cell r="CE64">
            <v>0</v>
          </cell>
          <cell r="CF64">
            <v>0</v>
          </cell>
          <cell r="CI64">
            <v>0</v>
          </cell>
          <cell r="CJ64">
            <v>0</v>
          </cell>
          <cell r="CK64">
            <v>0</v>
          </cell>
          <cell r="CV64">
            <v>3.9173976380473784E-2</v>
          </cell>
          <cell r="DG64">
            <v>1704201125</v>
          </cell>
          <cell r="DR64">
            <v>525945521.43999976</v>
          </cell>
          <cell r="EC64">
            <v>3.2402616916178388</v>
          </cell>
          <cell r="EN64">
            <v>2.4095909012463064E-2</v>
          </cell>
        </row>
        <row r="65">
          <cell r="B65">
            <v>21570</v>
          </cell>
          <cell r="C65" t="str">
            <v>University Of North Carolina Press</v>
          </cell>
          <cell r="D65">
            <v>1.5736830915027389E-4</v>
          </cell>
          <cell r="E65">
            <v>272283.86824125011</v>
          </cell>
          <cell r="F65">
            <v>212305.97644208046</v>
          </cell>
          <cell r="G65">
            <v>-47688</v>
          </cell>
          <cell r="H65">
            <v>-75976.874383210088</v>
          </cell>
          <cell r="I65">
            <v>-3144.0664149915406</v>
          </cell>
          <cell r="J65">
            <v>229769.49192131075</v>
          </cell>
          <cell r="K65">
            <v>0</v>
          </cell>
          <cell r="L65">
            <v>-12072.470542776728</v>
          </cell>
          <cell r="M65">
            <v>2166.4913472223575</v>
          </cell>
          <cell r="N65">
            <v>81.671005082809145</v>
          </cell>
          <cell r="O65">
            <v>-36.857231686085647</v>
          </cell>
          <cell r="P65">
            <v>0</v>
          </cell>
          <cell r="Q65">
            <v>0</v>
          </cell>
          <cell r="R65">
            <v>0</v>
          </cell>
          <cell r="S65">
            <v>577689.23038428195</v>
          </cell>
          <cell r="T65">
            <v>22111.889999999985</v>
          </cell>
          <cell r="U65">
            <v>1148847.4596065537</v>
          </cell>
          <cell r="V65">
            <v>8665.96538888943</v>
          </cell>
          <cell r="W65">
            <v>0</v>
          </cell>
          <cell r="X65">
            <v>1179625.314995443</v>
          </cell>
          <cell r="Y65">
            <v>260551</v>
          </cell>
          <cell r="Z65">
            <v>0</v>
          </cell>
          <cell r="AA65">
            <v>0</v>
          </cell>
          <cell r="AB65">
            <v>15720.332074957701</v>
          </cell>
          <cell r="AC65">
            <v>276271.33207495773</v>
          </cell>
          <cell r="AD65" t="str">
            <v>N/A</v>
          </cell>
          <cell r="AE65">
            <v>181104</v>
          </cell>
          <cell r="AF65">
            <v>181104</v>
          </cell>
          <cell r="AG65">
            <v>181104</v>
          </cell>
          <cell r="AH65">
            <v>181104</v>
          </cell>
          <cell r="AI65">
            <v>178937</v>
          </cell>
          <cell r="AJ65">
            <v>0</v>
          </cell>
          <cell r="AK65">
            <v>903353</v>
          </cell>
          <cell r="AL65">
            <v>5530128</v>
          </cell>
          <cell r="AM65">
            <v>577689.23038428195</v>
          </cell>
          <cell r="AN65">
            <v>-165114.88999999998</v>
          </cell>
          <cell r="AO65">
            <v>1141793.0929204854</v>
          </cell>
          <cell r="AP65">
            <v>0</v>
          </cell>
          <cell r="AQ65">
            <v>-238439.11000000002</v>
          </cell>
          <cell r="AR65">
            <v>0</v>
          </cell>
          <cell r="AS65">
            <v>0</v>
          </cell>
          <cell r="AT65">
            <v>6846056.3233047677</v>
          </cell>
          <cell r="AU65">
            <v>1.6679874902711403E-4</v>
          </cell>
          <cell r="AV65">
            <v>0</v>
          </cell>
          <cell r="AW65">
            <v>0</v>
          </cell>
          <cell r="AY65">
            <v>0</v>
          </cell>
          <cell r="AZ65">
            <v>0</v>
          </cell>
          <cell r="BA65">
            <v>0</v>
          </cell>
          <cell r="BB65">
            <v>0</v>
          </cell>
          <cell r="BC65">
            <v>0</v>
          </cell>
          <cell r="BD65">
            <v>0</v>
          </cell>
          <cell r="BE65">
            <v>0</v>
          </cell>
          <cell r="BF65">
            <v>0</v>
          </cell>
          <cell r="BG65">
            <v>0</v>
          </cell>
          <cell r="BH65">
            <v>0</v>
          </cell>
          <cell r="BJ65">
            <v>0</v>
          </cell>
          <cell r="BL65">
            <v>0</v>
          </cell>
          <cell r="BM65">
            <v>0</v>
          </cell>
          <cell r="BN65">
            <v>0</v>
          </cell>
          <cell r="BO65">
            <v>0</v>
          </cell>
          <cell r="BQ65">
            <v>0</v>
          </cell>
          <cell r="BR65">
            <v>0</v>
          </cell>
          <cell r="BS65">
            <v>0</v>
          </cell>
          <cell r="BT65">
            <v>0</v>
          </cell>
          <cell r="CB65">
            <v>0</v>
          </cell>
          <cell r="CC65">
            <v>0</v>
          </cell>
          <cell r="CD65">
            <v>0</v>
          </cell>
          <cell r="CE65">
            <v>0</v>
          </cell>
          <cell r="CF65">
            <v>0</v>
          </cell>
          <cell r="CI65">
            <v>0</v>
          </cell>
          <cell r="CJ65">
            <v>0</v>
          </cell>
          <cell r="CK65">
            <v>0</v>
          </cell>
          <cell r="CV65">
            <v>1.5736830915027389E-4</v>
          </cell>
          <cell r="DG65">
            <v>6846056</v>
          </cell>
          <cell r="DR65">
            <v>2811511.41</v>
          </cell>
          <cell r="EC65">
            <v>2.4350091469129054</v>
          </cell>
          <cell r="EN65">
            <v>2.4095909012463064E-2</v>
          </cell>
        </row>
        <row r="66">
          <cell r="B66">
            <v>21800</v>
          </cell>
          <cell r="C66" t="str">
            <v>Western Carolina University</v>
          </cell>
          <cell r="D66">
            <v>5.8611014472144491E-3</v>
          </cell>
          <cell r="E66">
            <v>10141072.130844343</v>
          </cell>
          <cell r="F66">
            <v>7907226.5089199431</v>
          </cell>
          <cell r="G66">
            <v>1043299</v>
          </cell>
          <cell r="H66">
            <v>-2829719.4702462624</v>
          </cell>
          <cell r="I66">
            <v>-117099.13078781523</v>
          </cell>
          <cell r="J66">
            <v>8557646.1289911438</v>
          </cell>
          <cell r="K66">
            <v>0</v>
          </cell>
          <cell r="L66">
            <v>-449632.93404998328</v>
          </cell>
          <cell r="M66">
            <v>80689.851973035838</v>
          </cell>
          <cell r="N66">
            <v>3041.7944290753549</v>
          </cell>
          <cell r="O66">
            <v>-1372.7285699520962</v>
          </cell>
          <cell r="P66">
            <v>0</v>
          </cell>
          <cell r="Q66">
            <v>0</v>
          </cell>
          <cell r="R66">
            <v>0</v>
          </cell>
          <cell r="S66">
            <v>24335151.151503529</v>
          </cell>
          <cell r="T66">
            <v>5488992</v>
          </cell>
          <cell r="U66">
            <v>42788230.644955724</v>
          </cell>
          <cell r="V66">
            <v>322759.40789214335</v>
          </cell>
          <cell r="W66">
            <v>0</v>
          </cell>
          <cell r="X66">
            <v>48599982.05284787</v>
          </cell>
          <cell r="Y66">
            <v>272497.79999999981</v>
          </cell>
          <cell r="Z66">
            <v>0</v>
          </cell>
          <cell r="AA66">
            <v>0</v>
          </cell>
          <cell r="AB66">
            <v>585495.65393907612</v>
          </cell>
          <cell r="AC66">
            <v>857993.45393907593</v>
          </cell>
          <cell r="AD66" t="str">
            <v>N/A</v>
          </cell>
          <cell r="AE66">
            <v>9564535</v>
          </cell>
          <cell r="AF66">
            <v>9564537</v>
          </cell>
          <cell r="AG66">
            <v>9564537</v>
          </cell>
          <cell r="AH66">
            <v>9564537</v>
          </cell>
          <cell r="AI66">
            <v>9483847</v>
          </cell>
          <cell r="AJ66">
            <v>0</v>
          </cell>
          <cell r="AK66">
            <v>47741993</v>
          </cell>
          <cell r="AL66">
            <v>187735057</v>
          </cell>
          <cell r="AM66">
            <v>24335151.151503529</v>
          </cell>
          <cell r="AN66">
            <v>-4834362.2</v>
          </cell>
          <cell r="AO66">
            <v>42525494.398908794</v>
          </cell>
          <cell r="AP66">
            <v>0</v>
          </cell>
          <cell r="AQ66">
            <v>5216494.2</v>
          </cell>
          <cell r="AR66">
            <v>0</v>
          </cell>
          <cell r="AS66">
            <v>0</v>
          </cell>
          <cell r="AT66">
            <v>254977834.55041233</v>
          </cell>
          <cell r="AU66">
            <v>5.6624318235166098E-3</v>
          </cell>
          <cell r="AV66">
            <v>0</v>
          </cell>
          <cell r="AW66">
            <v>0</v>
          </cell>
          <cell r="AY66">
            <v>0</v>
          </cell>
          <cell r="AZ66">
            <v>0</v>
          </cell>
          <cell r="BA66">
            <v>0</v>
          </cell>
          <cell r="BB66">
            <v>0</v>
          </cell>
          <cell r="BC66">
            <v>0</v>
          </cell>
          <cell r="BD66">
            <v>0</v>
          </cell>
          <cell r="BE66">
            <v>0</v>
          </cell>
          <cell r="BF66">
            <v>0</v>
          </cell>
          <cell r="BG66">
            <v>0</v>
          </cell>
          <cell r="BH66">
            <v>0</v>
          </cell>
          <cell r="BJ66">
            <v>0</v>
          </cell>
          <cell r="BL66">
            <v>0</v>
          </cell>
          <cell r="BM66">
            <v>0</v>
          </cell>
          <cell r="BN66">
            <v>0</v>
          </cell>
          <cell r="BO66">
            <v>0</v>
          </cell>
          <cell r="BQ66">
            <v>0</v>
          </cell>
          <cell r="BR66">
            <v>0</v>
          </cell>
          <cell r="BS66">
            <v>0</v>
          </cell>
          <cell r="BT66">
            <v>0</v>
          </cell>
          <cell r="CB66">
            <v>0</v>
          </cell>
          <cell r="CC66">
            <v>0</v>
          </cell>
          <cell r="CD66">
            <v>0</v>
          </cell>
          <cell r="CE66">
            <v>0</v>
          </cell>
          <cell r="CF66">
            <v>0</v>
          </cell>
          <cell r="CI66">
            <v>0</v>
          </cell>
          <cell r="CJ66">
            <v>0</v>
          </cell>
          <cell r="CK66">
            <v>0</v>
          </cell>
          <cell r="CV66">
            <v>5.8611014472144491E-3</v>
          </cell>
          <cell r="DG66">
            <v>254977835</v>
          </cell>
          <cell r="DR66">
            <v>84770573.239999905</v>
          </cell>
          <cell r="EC66">
            <v>3.0078578598037127</v>
          </cell>
          <cell r="EN66">
            <v>2.4095909012463064E-2</v>
          </cell>
        </row>
        <row r="67">
          <cell r="B67">
            <v>21900</v>
          </cell>
          <cell r="C67" t="str">
            <v>Winston-Salem State University</v>
          </cell>
          <cell r="D67">
            <v>3.375899071087787E-3</v>
          </cell>
          <cell r="E67">
            <v>5841092.5479923785</v>
          </cell>
          <cell r="F67">
            <v>4554433.815342024</v>
          </cell>
          <cell r="G67">
            <v>-1241208</v>
          </cell>
          <cell r="H67">
            <v>-1629872.3741735395</v>
          </cell>
          <cell r="I67">
            <v>-67447.194083229915</v>
          </cell>
          <cell r="J67">
            <v>4929064.9339109054</v>
          </cell>
          <cell r="K67">
            <v>0</v>
          </cell>
          <cell r="L67">
            <v>-258981.25430182074</v>
          </cell>
          <cell r="M67">
            <v>46476.041879712575</v>
          </cell>
          <cell r="N67">
            <v>1752.0240999131397</v>
          </cell>
          <cell r="O67">
            <v>-790.66932143947065</v>
          </cell>
          <cell r="P67">
            <v>0</v>
          </cell>
          <cell r="Q67">
            <v>0</v>
          </cell>
          <cell r="R67">
            <v>0</v>
          </cell>
          <cell r="S67">
            <v>12174519.871344903</v>
          </cell>
          <cell r="T67">
            <v>63977.5</v>
          </cell>
          <cell r="U67">
            <v>24645324.669554528</v>
          </cell>
          <cell r="V67">
            <v>185904.1675188503</v>
          </cell>
          <cell r="W67">
            <v>0</v>
          </cell>
          <cell r="X67">
            <v>24895206.337073378</v>
          </cell>
          <cell r="Y67">
            <v>6270020</v>
          </cell>
          <cell r="Z67">
            <v>0</v>
          </cell>
          <cell r="AA67">
            <v>0</v>
          </cell>
          <cell r="AB67">
            <v>337235.97041614959</v>
          </cell>
          <cell r="AC67">
            <v>6607255.9704161491</v>
          </cell>
          <cell r="AD67" t="str">
            <v>N/A</v>
          </cell>
          <cell r="AE67">
            <v>3666886</v>
          </cell>
          <cell r="AF67">
            <v>3666885</v>
          </cell>
          <cell r="AG67">
            <v>3666885</v>
          </cell>
          <cell r="AH67">
            <v>3666885</v>
          </cell>
          <cell r="AI67">
            <v>3620409</v>
          </cell>
          <cell r="AJ67">
            <v>0</v>
          </cell>
          <cell r="AK67">
            <v>18287950</v>
          </cell>
          <cell r="AL67">
            <v>119450246</v>
          </cell>
          <cell r="AM67">
            <v>12174519.871344903</v>
          </cell>
          <cell r="AN67">
            <v>-3049632.5</v>
          </cell>
          <cell r="AO67">
            <v>24493992.866657231</v>
          </cell>
          <cell r="AP67">
            <v>0</v>
          </cell>
          <cell r="AQ67">
            <v>-6206042.5</v>
          </cell>
          <cell r="AR67">
            <v>0</v>
          </cell>
          <cell r="AS67">
            <v>0</v>
          </cell>
          <cell r="AT67">
            <v>146863083.73800215</v>
          </cell>
          <cell r="AU67">
            <v>3.6028373334539257E-3</v>
          </cell>
          <cell r="AV67">
            <v>0</v>
          </cell>
          <cell r="AW67">
            <v>0</v>
          </cell>
          <cell r="AY67">
            <v>0</v>
          </cell>
          <cell r="AZ67">
            <v>0</v>
          </cell>
          <cell r="BA67">
            <v>0</v>
          </cell>
          <cell r="BB67">
            <v>0</v>
          </cell>
          <cell r="BC67">
            <v>0</v>
          </cell>
          <cell r="BD67">
            <v>0</v>
          </cell>
          <cell r="BE67">
            <v>0</v>
          </cell>
          <cell r="BF67">
            <v>0</v>
          </cell>
          <cell r="BG67">
            <v>0</v>
          </cell>
          <cell r="BH67">
            <v>0</v>
          </cell>
          <cell r="BJ67">
            <v>0</v>
          </cell>
          <cell r="BL67">
            <v>0</v>
          </cell>
          <cell r="BM67">
            <v>0</v>
          </cell>
          <cell r="BN67">
            <v>0</v>
          </cell>
          <cell r="BO67">
            <v>0</v>
          </cell>
          <cell r="BQ67">
            <v>0</v>
          </cell>
          <cell r="BR67">
            <v>0</v>
          </cell>
          <cell r="BS67">
            <v>0</v>
          </cell>
          <cell r="BT67">
            <v>0</v>
          </cell>
          <cell r="CB67">
            <v>0</v>
          </cell>
          <cell r="CC67">
            <v>0</v>
          </cell>
          <cell r="CD67">
            <v>0</v>
          </cell>
          <cell r="CE67">
            <v>0</v>
          </cell>
          <cell r="CF67">
            <v>0</v>
          </cell>
          <cell r="CI67">
            <v>0</v>
          </cell>
          <cell r="CJ67">
            <v>0</v>
          </cell>
          <cell r="CK67">
            <v>0</v>
          </cell>
          <cell r="CV67">
            <v>3.375899071087787E-3</v>
          </cell>
          <cell r="DG67">
            <v>146863084</v>
          </cell>
          <cell r="DR67">
            <v>53762735.439999938</v>
          </cell>
          <cell r="EC67">
            <v>2.7316892043914232</v>
          </cell>
          <cell r="EN67">
            <v>2.4095909012463064E-2</v>
          </cell>
        </row>
        <row r="68">
          <cell r="B68">
            <v>22000</v>
          </cell>
          <cell r="C68" t="str">
            <v>Department Of Public Instruction</v>
          </cell>
          <cell r="D68">
            <v>3.3172261313166723E-3</v>
          </cell>
          <cell r="E68">
            <v>5739574.6814776557</v>
          </cell>
          <cell r="F68">
            <v>4475278.0066782935</v>
          </cell>
          <cell r="G68">
            <v>-1917823</v>
          </cell>
          <cell r="H68">
            <v>-1601545.2821513026</v>
          </cell>
          <cell r="I68">
            <v>-66274.9655678493</v>
          </cell>
          <cell r="J68">
            <v>4843398.0570566515</v>
          </cell>
          <cell r="K68">
            <v>0</v>
          </cell>
          <cell r="L68">
            <v>-254480.17437747269</v>
          </cell>
          <cell r="M68">
            <v>45668.290833669147</v>
          </cell>
          <cell r="N68">
            <v>1721.5740176307265</v>
          </cell>
          <cell r="O68">
            <v>-776.92753221567784</v>
          </cell>
          <cell r="P68">
            <v>0</v>
          </cell>
          <cell r="Q68">
            <v>0</v>
          </cell>
          <cell r="R68">
            <v>0</v>
          </cell>
          <cell r="S68">
            <v>11264740.26043506</v>
          </cell>
          <cell r="T68">
            <v>522088.59000000032</v>
          </cell>
          <cell r="U68">
            <v>24216990.285283256</v>
          </cell>
          <cell r="V68">
            <v>182673.16333467659</v>
          </cell>
          <cell r="W68">
            <v>0</v>
          </cell>
          <cell r="X68">
            <v>24921752.038617931</v>
          </cell>
          <cell r="Y68">
            <v>10111207</v>
          </cell>
          <cell r="Z68">
            <v>0</v>
          </cell>
          <cell r="AA68">
            <v>0</v>
          </cell>
          <cell r="AB68">
            <v>331374.82783924654</v>
          </cell>
          <cell r="AC68">
            <v>10442581.827839246</v>
          </cell>
          <cell r="AD68" t="str">
            <v>N/A</v>
          </cell>
          <cell r="AE68">
            <v>2904968</v>
          </cell>
          <cell r="AF68">
            <v>2904967</v>
          </cell>
          <cell r="AG68">
            <v>2904967</v>
          </cell>
          <cell r="AH68">
            <v>2904967</v>
          </cell>
          <cell r="AI68">
            <v>2859299</v>
          </cell>
          <cell r="AJ68">
            <v>0</v>
          </cell>
          <cell r="AK68">
            <v>14479168</v>
          </cell>
          <cell r="AL68">
            <v>122114399</v>
          </cell>
          <cell r="AM68">
            <v>11264740.26043506</v>
          </cell>
          <cell r="AN68">
            <v>-3547697.5900000003</v>
          </cell>
          <cell r="AO68">
            <v>24068288.620778687</v>
          </cell>
          <cell r="AP68">
            <v>0</v>
          </cell>
          <cell r="AQ68">
            <v>-9589118.4100000001</v>
          </cell>
          <cell r="AR68">
            <v>0</v>
          </cell>
          <cell r="AS68">
            <v>0</v>
          </cell>
          <cell r="AT68">
            <v>144310611.88121375</v>
          </cell>
          <cell r="AU68">
            <v>3.6831930488218484E-3</v>
          </cell>
          <cell r="AV68">
            <v>0</v>
          </cell>
          <cell r="AW68">
            <v>0</v>
          </cell>
          <cell r="AY68">
            <v>0</v>
          </cell>
          <cell r="AZ68">
            <v>0</v>
          </cell>
          <cell r="BA68">
            <v>0</v>
          </cell>
          <cell r="BB68">
            <v>0</v>
          </cell>
          <cell r="BC68">
            <v>0</v>
          </cell>
          <cell r="BD68">
            <v>0</v>
          </cell>
          <cell r="BE68">
            <v>0</v>
          </cell>
          <cell r="BF68">
            <v>0</v>
          </cell>
          <cell r="BG68">
            <v>0</v>
          </cell>
          <cell r="BH68">
            <v>0</v>
          </cell>
          <cell r="BJ68">
            <v>0</v>
          </cell>
          <cell r="BL68">
            <v>0</v>
          </cell>
          <cell r="BM68">
            <v>0</v>
          </cell>
          <cell r="BN68">
            <v>0</v>
          </cell>
          <cell r="BO68">
            <v>0</v>
          </cell>
          <cell r="BQ68">
            <v>0</v>
          </cell>
          <cell r="BR68">
            <v>0</v>
          </cell>
          <cell r="BS68">
            <v>0</v>
          </cell>
          <cell r="BT68">
            <v>0</v>
          </cell>
          <cell r="CB68">
            <v>0</v>
          </cell>
          <cell r="CC68">
            <v>0</v>
          </cell>
          <cell r="CD68">
            <v>0</v>
          </cell>
          <cell r="CE68">
            <v>0</v>
          </cell>
          <cell r="CF68">
            <v>0</v>
          </cell>
          <cell r="CI68">
            <v>0</v>
          </cell>
          <cell r="CJ68">
            <v>0</v>
          </cell>
          <cell r="CK68">
            <v>0</v>
          </cell>
          <cell r="CV68">
            <v>3.3172261313166723E-3</v>
          </cell>
          <cell r="DG68">
            <v>144310612</v>
          </cell>
          <cell r="DR68">
            <v>61444720.999999948</v>
          </cell>
          <cell r="EC68">
            <v>2.3486250674000151</v>
          </cell>
          <cell r="EN68">
            <v>2.4095909012463064E-2</v>
          </cell>
        </row>
        <row r="69">
          <cell r="B69">
            <v>23000</v>
          </cell>
          <cell r="C69" t="str">
            <v>University Of North Carolina At Asheville</v>
          </cell>
          <cell r="D69">
            <v>2.5507239281802501E-3</v>
          </cell>
          <cell r="E69">
            <v>4413347.1454994427</v>
          </cell>
          <cell r="F69">
            <v>3441187.9820692898</v>
          </cell>
          <cell r="G69">
            <v>253446</v>
          </cell>
          <cell r="H69">
            <v>-1231480.6743747857</v>
          </cell>
          <cell r="I69">
            <v>-50960.993860896808</v>
          </cell>
          <cell r="J69">
            <v>3724247.5576823335</v>
          </cell>
          <cell r="K69">
            <v>0</v>
          </cell>
          <cell r="L69">
            <v>-195678.14925371343</v>
          </cell>
          <cell r="M69">
            <v>35115.846064524587</v>
          </cell>
          <cell r="N69">
            <v>1323.7747042469862</v>
          </cell>
          <cell r="O69">
            <v>-597.40505121909632</v>
          </cell>
          <cell r="P69">
            <v>0</v>
          </cell>
          <cell r="Q69">
            <v>0</v>
          </cell>
          <cell r="R69">
            <v>0</v>
          </cell>
          <cell r="S69">
            <v>10389951.083479226</v>
          </cell>
          <cell r="T69">
            <v>1292965</v>
          </cell>
          <cell r="U69">
            <v>18621237.788411669</v>
          </cell>
          <cell r="V69">
            <v>140463.38425809835</v>
          </cell>
          <cell r="W69">
            <v>0</v>
          </cell>
          <cell r="X69">
            <v>20054666.172669768</v>
          </cell>
          <cell r="Y69">
            <v>25737.870000000112</v>
          </cell>
          <cell r="Z69">
            <v>0</v>
          </cell>
          <cell r="AA69">
            <v>0</v>
          </cell>
          <cell r="AB69">
            <v>254804.96930448402</v>
          </cell>
          <cell r="AC69">
            <v>280542.83930448414</v>
          </cell>
          <cell r="AD69" t="str">
            <v>N/A</v>
          </cell>
          <cell r="AE69">
            <v>3961847</v>
          </cell>
          <cell r="AF69">
            <v>3961848</v>
          </cell>
          <cell r="AG69">
            <v>3961848</v>
          </cell>
          <cell r="AH69">
            <v>3961848</v>
          </cell>
          <cell r="AI69">
            <v>3926733</v>
          </cell>
          <cell r="AJ69">
            <v>0</v>
          </cell>
          <cell r="AK69">
            <v>19774124</v>
          </cell>
          <cell r="AL69">
            <v>83016401</v>
          </cell>
          <cell r="AM69">
            <v>10389951.083479226</v>
          </cell>
          <cell r="AN69">
            <v>-2215314.13</v>
          </cell>
          <cell r="AO69">
            <v>18506896.203365285</v>
          </cell>
          <cell r="AP69">
            <v>0</v>
          </cell>
          <cell r="AQ69">
            <v>1267227.1299999999</v>
          </cell>
          <cell r="AR69">
            <v>0</v>
          </cell>
          <cell r="AS69">
            <v>0</v>
          </cell>
          <cell r="AT69">
            <v>110965161.28684451</v>
          </cell>
          <cell r="AU69">
            <v>2.5039261020446458E-3</v>
          </cell>
          <cell r="AV69">
            <v>0</v>
          </cell>
          <cell r="AW69">
            <v>0</v>
          </cell>
          <cell r="AY69">
            <v>0</v>
          </cell>
          <cell r="AZ69">
            <v>0</v>
          </cell>
          <cell r="BA69">
            <v>0</v>
          </cell>
          <cell r="BB69">
            <v>0</v>
          </cell>
          <cell r="BC69">
            <v>0</v>
          </cell>
          <cell r="BD69">
            <v>0</v>
          </cell>
          <cell r="BE69">
            <v>0</v>
          </cell>
          <cell r="BF69">
            <v>0</v>
          </cell>
          <cell r="BG69">
            <v>0</v>
          </cell>
          <cell r="BH69">
            <v>0</v>
          </cell>
          <cell r="BJ69">
            <v>0</v>
          </cell>
          <cell r="BL69">
            <v>0</v>
          </cell>
          <cell r="BM69">
            <v>0</v>
          </cell>
          <cell r="BN69">
            <v>0</v>
          </cell>
          <cell r="BO69">
            <v>0</v>
          </cell>
          <cell r="BQ69">
            <v>0</v>
          </cell>
          <cell r="BR69">
            <v>0</v>
          </cell>
          <cell r="BS69">
            <v>0</v>
          </cell>
          <cell r="BT69">
            <v>0</v>
          </cell>
          <cell r="CB69">
            <v>0</v>
          </cell>
          <cell r="CC69">
            <v>0</v>
          </cell>
          <cell r="CD69">
            <v>0</v>
          </cell>
          <cell r="CE69">
            <v>0</v>
          </cell>
          <cell r="CF69">
            <v>0</v>
          </cell>
          <cell r="CI69">
            <v>0</v>
          </cell>
          <cell r="CJ69">
            <v>0</v>
          </cell>
          <cell r="CK69">
            <v>0</v>
          </cell>
          <cell r="CV69">
            <v>2.5507239281802501E-3</v>
          </cell>
          <cell r="DG69">
            <v>110965161</v>
          </cell>
          <cell r="DR69">
            <v>37896518.979999989</v>
          </cell>
          <cell r="EC69">
            <v>2.9281095991577017</v>
          </cell>
          <cell r="EN69">
            <v>2.4095909012463064E-2</v>
          </cell>
        </row>
        <row r="70">
          <cell r="B70">
            <v>23100</v>
          </cell>
          <cell r="C70" t="str">
            <v>University Of North Carolina At Charlotte</v>
          </cell>
          <cell r="D70">
            <v>1.4787953680502413E-2</v>
          </cell>
          <cell r="E70">
            <v>25586607.959640902</v>
          </cell>
          <cell r="F70">
            <v>19950465.012121905</v>
          </cell>
          <cell r="G70">
            <v>1673013</v>
          </cell>
          <cell r="H70">
            <v>-7139572.797311876</v>
          </cell>
          <cell r="I70">
            <v>-295448.99328440969</v>
          </cell>
          <cell r="J70">
            <v>21591517.517547164</v>
          </cell>
          <cell r="K70">
            <v>0</v>
          </cell>
          <cell r="L70">
            <v>-1134454.1741586181</v>
          </cell>
          <cell r="M70">
            <v>203585.93076919852</v>
          </cell>
          <cell r="N70">
            <v>7674.652201107142</v>
          </cell>
          <cell r="O70">
            <v>-3463.48663151047</v>
          </cell>
          <cell r="P70">
            <v>0</v>
          </cell>
          <cell r="Q70">
            <v>0</v>
          </cell>
          <cell r="R70">
            <v>0</v>
          </cell>
          <cell r="S70">
            <v>60439924.620893866</v>
          </cell>
          <cell r="T70">
            <v>8788706</v>
          </cell>
          <cell r="U70">
            <v>107957587.58773582</v>
          </cell>
          <cell r="V70">
            <v>814343.72307679406</v>
          </cell>
          <cell r="W70">
            <v>0</v>
          </cell>
          <cell r="X70">
            <v>117560637.31081261</v>
          </cell>
          <cell r="Y70">
            <v>423641.47000000067</v>
          </cell>
          <cell r="Z70">
            <v>0</v>
          </cell>
          <cell r="AA70">
            <v>0</v>
          </cell>
          <cell r="AB70">
            <v>1477244.9664220484</v>
          </cell>
          <cell r="AC70">
            <v>1900886.4364220491</v>
          </cell>
          <cell r="AD70" t="str">
            <v>N/A</v>
          </cell>
          <cell r="AE70">
            <v>23172667</v>
          </cell>
          <cell r="AF70">
            <v>23172667</v>
          </cell>
          <cell r="AG70">
            <v>23172667</v>
          </cell>
          <cell r="AH70">
            <v>23172667</v>
          </cell>
          <cell r="AI70">
            <v>22969082</v>
          </cell>
          <cell r="AJ70">
            <v>0</v>
          </cell>
          <cell r="AK70">
            <v>115659750</v>
          </cell>
          <cell r="AL70">
            <v>479740661</v>
          </cell>
          <cell r="AM70">
            <v>60439924.620893866</v>
          </cell>
          <cell r="AN70">
            <v>-12514087.529999999</v>
          </cell>
          <cell r="AO70">
            <v>107294686.34439057</v>
          </cell>
          <cell r="AP70">
            <v>0</v>
          </cell>
          <cell r="AQ70">
            <v>8365064.5299999993</v>
          </cell>
          <cell r="AR70">
            <v>0</v>
          </cell>
          <cell r="AS70">
            <v>0</v>
          </cell>
          <cell r="AT70">
            <v>643326248.96528435</v>
          </cell>
          <cell r="AU70">
            <v>1.4469853589673579E-2</v>
          </cell>
          <cell r="AV70">
            <v>0</v>
          </cell>
          <cell r="AW70">
            <v>0</v>
          </cell>
          <cell r="AY70">
            <v>0</v>
          </cell>
          <cell r="AZ70">
            <v>0</v>
          </cell>
          <cell r="BA70">
            <v>0</v>
          </cell>
          <cell r="BB70">
            <v>0</v>
          </cell>
          <cell r="BC70">
            <v>0</v>
          </cell>
          <cell r="BD70">
            <v>0</v>
          </cell>
          <cell r="BE70">
            <v>0</v>
          </cell>
          <cell r="BF70">
            <v>0</v>
          </cell>
          <cell r="BG70">
            <v>0</v>
          </cell>
          <cell r="BH70">
            <v>0</v>
          </cell>
          <cell r="BJ70">
            <v>0</v>
          </cell>
          <cell r="BL70">
            <v>0</v>
          </cell>
          <cell r="BM70">
            <v>0</v>
          </cell>
          <cell r="BN70">
            <v>0</v>
          </cell>
          <cell r="BO70">
            <v>0</v>
          </cell>
          <cell r="BQ70">
            <v>0</v>
          </cell>
          <cell r="BR70">
            <v>0</v>
          </cell>
          <cell r="BS70">
            <v>0</v>
          </cell>
          <cell r="BT70">
            <v>0</v>
          </cell>
          <cell r="CB70">
            <v>0</v>
          </cell>
          <cell r="CC70">
            <v>0</v>
          </cell>
          <cell r="CD70">
            <v>0</v>
          </cell>
          <cell r="CE70">
            <v>0</v>
          </cell>
          <cell r="CF70">
            <v>0</v>
          </cell>
          <cell r="CI70">
            <v>0</v>
          </cell>
          <cell r="CJ70">
            <v>0</v>
          </cell>
          <cell r="CK70">
            <v>0</v>
          </cell>
          <cell r="CV70">
            <v>1.4787953680502413E-2</v>
          </cell>
          <cell r="DG70">
            <v>643326249</v>
          </cell>
          <cell r="DR70">
            <v>214830271.9000006</v>
          </cell>
          <cell r="EC70">
            <v>2.9945791312848877</v>
          </cell>
          <cell r="EN70">
            <v>2.4095909012463064E-2</v>
          </cell>
        </row>
        <row r="71">
          <cell r="B71">
            <v>23200</v>
          </cell>
          <cell r="C71" t="str">
            <v>University Of North Carolina At Wilmington</v>
          </cell>
          <cell r="D71">
            <v>7.7945945589833572E-3</v>
          </cell>
          <cell r="E71">
            <v>13486466.044859931</v>
          </cell>
          <cell r="F71">
            <v>10515706.864682984</v>
          </cell>
          <cell r="G71">
            <v>1707341</v>
          </cell>
          <cell r="H71">
            <v>-3763203.2451363518</v>
          </cell>
          <cell r="I71">
            <v>-155728.45068808264</v>
          </cell>
          <cell r="J71">
            <v>11380690.567374645</v>
          </cell>
          <cell r="K71">
            <v>0</v>
          </cell>
          <cell r="L71">
            <v>-597960.3753406062</v>
          </cell>
          <cell r="M71">
            <v>107308.27419018831</v>
          </cell>
          <cell r="N71">
            <v>4045.2386842211827</v>
          </cell>
          <cell r="O71">
            <v>-1825.5719916594921</v>
          </cell>
          <cell r="P71">
            <v>0</v>
          </cell>
          <cell r="Q71">
            <v>0</v>
          </cell>
          <cell r="R71">
            <v>0</v>
          </cell>
          <cell r="S71">
            <v>32682840.346635271</v>
          </cell>
          <cell r="T71">
            <v>8768783</v>
          </cell>
          <cell r="U71">
            <v>56903452.836873226</v>
          </cell>
          <cell r="V71">
            <v>429233.09676075325</v>
          </cell>
          <cell r="W71">
            <v>0</v>
          </cell>
          <cell r="X71">
            <v>66101468.933633976</v>
          </cell>
          <cell r="Y71">
            <v>232081.92000000086</v>
          </cell>
          <cell r="Z71">
            <v>0</v>
          </cell>
          <cell r="AA71">
            <v>0</v>
          </cell>
          <cell r="AB71">
            <v>778642.25344041316</v>
          </cell>
          <cell r="AC71">
            <v>1010724.173440414</v>
          </cell>
          <cell r="AD71" t="str">
            <v>N/A</v>
          </cell>
          <cell r="AE71">
            <v>13039611</v>
          </cell>
          <cell r="AF71">
            <v>13039611</v>
          </cell>
          <cell r="AG71">
            <v>13039611</v>
          </cell>
          <cell r="AH71">
            <v>13039611</v>
          </cell>
          <cell r="AI71">
            <v>12932303</v>
          </cell>
          <cell r="AJ71">
            <v>0</v>
          </cell>
          <cell r="AK71">
            <v>65090747</v>
          </cell>
          <cell r="AL71">
            <v>247903292</v>
          </cell>
          <cell r="AM71">
            <v>32682840.346635271</v>
          </cell>
          <cell r="AN71">
            <v>-6585519.0799999991</v>
          </cell>
          <cell r="AO71">
            <v>56554043.680193573</v>
          </cell>
          <cell r="AP71">
            <v>0</v>
          </cell>
          <cell r="AQ71">
            <v>8536701.0799999982</v>
          </cell>
          <cell r="AR71">
            <v>0</v>
          </cell>
          <cell r="AS71">
            <v>0</v>
          </cell>
          <cell r="AT71">
            <v>339091358.02682883</v>
          </cell>
          <cell r="AU71">
            <v>7.47721556569761E-3</v>
          </cell>
          <cell r="AV71">
            <v>0</v>
          </cell>
          <cell r="AW71">
            <v>0</v>
          </cell>
          <cell r="AY71">
            <v>0</v>
          </cell>
          <cell r="AZ71">
            <v>0</v>
          </cell>
          <cell r="BA71">
            <v>0</v>
          </cell>
          <cell r="BB71">
            <v>0</v>
          </cell>
          <cell r="BC71">
            <v>0</v>
          </cell>
          <cell r="BD71">
            <v>0</v>
          </cell>
          <cell r="BE71">
            <v>0</v>
          </cell>
          <cell r="BF71">
            <v>0</v>
          </cell>
          <cell r="BG71">
            <v>0</v>
          </cell>
          <cell r="BH71">
            <v>0</v>
          </cell>
          <cell r="BJ71">
            <v>0</v>
          </cell>
          <cell r="BL71">
            <v>0</v>
          </cell>
          <cell r="BM71">
            <v>0</v>
          </cell>
          <cell r="BN71">
            <v>0</v>
          </cell>
          <cell r="BO71">
            <v>0</v>
          </cell>
          <cell r="BQ71">
            <v>0</v>
          </cell>
          <cell r="BR71">
            <v>0</v>
          </cell>
          <cell r="BS71">
            <v>0</v>
          </cell>
          <cell r="BT71">
            <v>0</v>
          </cell>
          <cell r="CB71">
            <v>0</v>
          </cell>
          <cell r="CC71">
            <v>0</v>
          </cell>
          <cell r="CD71">
            <v>0</v>
          </cell>
          <cell r="CE71">
            <v>0</v>
          </cell>
          <cell r="CF71">
            <v>0</v>
          </cell>
          <cell r="CI71">
            <v>0</v>
          </cell>
          <cell r="CJ71">
            <v>0</v>
          </cell>
          <cell r="CK71">
            <v>0</v>
          </cell>
          <cell r="CV71">
            <v>7.7945945589833572E-3</v>
          </cell>
          <cell r="DG71">
            <v>339091357</v>
          </cell>
          <cell r="DR71">
            <v>113827268.77999999</v>
          </cell>
          <cell r="EC71">
            <v>2.9789993262104875</v>
          </cell>
          <cell r="EN71">
            <v>2.4095909012463064E-2</v>
          </cell>
        </row>
        <row r="72">
          <cell r="B72">
            <v>30000</v>
          </cell>
          <cell r="C72" t="str">
            <v>Yancey County Schools</v>
          </cell>
          <cell r="D72">
            <v>8.7413810180883708E-4</v>
          </cell>
          <cell r="E72">
            <v>1512462.7380363487</v>
          </cell>
          <cell r="F72">
            <v>1179301.8826461027</v>
          </cell>
          <cell r="G72">
            <v>-89839</v>
          </cell>
          <cell r="H72">
            <v>-422030.84670171747</v>
          </cell>
          <cell r="I72">
            <v>-17464.432723472757</v>
          </cell>
          <cell r="J72">
            <v>1276306.9553596072</v>
          </cell>
          <cell r="K72">
            <v>0</v>
          </cell>
          <cell r="L72">
            <v>-67059.286214536944</v>
          </cell>
          <cell r="M72">
            <v>12034.269441363733</v>
          </cell>
          <cell r="N72">
            <v>453.66019207675026</v>
          </cell>
          <cell r="O72">
            <v>-204.73188482464772</v>
          </cell>
          <cell r="P72">
            <v>0</v>
          </cell>
          <cell r="Q72">
            <v>0</v>
          </cell>
          <cell r="R72">
            <v>0</v>
          </cell>
          <cell r="S72">
            <v>3383961.208150947</v>
          </cell>
          <cell r="T72">
            <v>0</v>
          </cell>
          <cell r="U72">
            <v>6381534.7767980359</v>
          </cell>
          <cell r="V72">
            <v>48137.077765454931</v>
          </cell>
          <cell r="W72">
            <v>0</v>
          </cell>
          <cell r="X72">
            <v>6429671.8545634905</v>
          </cell>
          <cell r="Y72">
            <v>449197.74</v>
          </cell>
          <cell r="Z72">
            <v>0</v>
          </cell>
          <cell r="AA72">
            <v>0</v>
          </cell>
          <cell r="AB72">
            <v>87322.163617363782</v>
          </cell>
          <cell r="AC72">
            <v>536519.90361736377</v>
          </cell>
          <cell r="AD72" t="str">
            <v>N/A</v>
          </cell>
          <cell r="AE72">
            <v>1181038</v>
          </cell>
          <cell r="AF72">
            <v>1181037</v>
          </cell>
          <cell r="AG72">
            <v>1181037</v>
          </cell>
          <cell r="AH72">
            <v>1181037</v>
          </cell>
          <cell r="AI72">
            <v>1169003</v>
          </cell>
          <cell r="AJ72">
            <v>0</v>
          </cell>
          <cell r="AK72">
            <v>5893152</v>
          </cell>
          <cell r="AL72">
            <v>29498154</v>
          </cell>
          <cell r="AM72">
            <v>3383961.208150947</v>
          </cell>
          <cell r="AN72">
            <v>-747288.26</v>
          </cell>
          <cell r="AO72">
            <v>6342349.6909461282</v>
          </cell>
          <cell r="AP72">
            <v>0</v>
          </cell>
          <cell r="AQ72">
            <v>-449197.74</v>
          </cell>
          <cell r="AR72">
            <v>0</v>
          </cell>
          <cell r="AS72">
            <v>0</v>
          </cell>
          <cell r="AT72">
            <v>38027978.89909707</v>
          </cell>
          <cell r="AU72">
            <v>8.8971815419173334E-4</v>
          </cell>
          <cell r="AV72">
            <v>0</v>
          </cell>
          <cell r="AW72">
            <v>0</v>
          </cell>
          <cell r="AY72">
            <v>0</v>
          </cell>
          <cell r="AZ72">
            <v>0</v>
          </cell>
          <cell r="BA72">
            <v>0</v>
          </cell>
          <cell r="BB72">
            <v>0</v>
          </cell>
          <cell r="BC72">
            <v>0</v>
          </cell>
          <cell r="BD72">
            <v>0</v>
          </cell>
          <cell r="BE72">
            <v>0</v>
          </cell>
          <cell r="BF72">
            <v>0</v>
          </cell>
          <cell r="BG72">
            <v>0</v>
          </cell>
          <cell r="BH72">
            <v>0</v>
          </cell>
          <cell r="BJ72">
            <v>0</v>
          </cell>
          <cell r="BL72">
            <v>0</v>
          </cell>
          <cell r="BM72">
            <v>0</v>
          </cell>
          <cell r="BN72">
            <v>0</v>
          </cell>
          <cell r="BO72">
            <v>0</v>
          </cell>
          <cell r="BQ72">
            <v>0</v>
          </cell>
          <cell r="BR72">
            <v>0</v>
          </cell>
          <cell r="BS72">
            <v>0</v>
          </cell>
          <cell r="BT72">
            <v>0</v>
          </cell>
          <cell r="CB72">
            <v>0</v>
          </cell>
          <cell r="CC72">
            <v>0</v>
          </cell>
          <cell r="CD72">
            <v>0</v>
          </cell>
          <cell r="CE72">
            <v>0</v>
          </cell>
          <cell r="CF72">
            <v>0</v>
          </cell>
          <cell r="CI72">
            <v>0</v>
          </cell>
          <cell r="CJ72">
            <v>0</v>
          </cell>
          <cell r="CK72">
            <v>0</v>
          </cell>
          <cell r="CV72">
            <v>8.7413810180883708E-4</v>
          </cell>
          <cell r="DG72">
            <v>38027979</v>
          </cell>
          <cell r="DR72">
            <v>13112906.86999999</v>
          </cell>
          <cell r="EC72">
            <v>2.9000418730191155</v>
          </cell>
          <cell r="EN72">
            <v>2.4095909012463064E-2</v>
          </cell>
        </row>
        <row r="73">
          <cell r="B73">
            <v>30100</v>
          </cell>
          <cell r="C73" t="str">
            <v>Alamance County Schools</v>
          </cell>
          <cell r="D73">
            <v>7.7277866075530473E-3</v>
          </cell>
          <cell r="E73">
            <v>13370872.711342268</v>
          </cell>
          <cell r="F73">
            <v>10425576.091599805</v>
          </cell>
          <cell r="G73">
            <v>1425662</v>
          </cell>
          <cell r="H73">
            <v>-3730948.5976725272</v>
          </cell>
          <cell r="I73">
            <v>-154393.69251802537</v>
          </cell>
          <cell r="J73">
            <v>11283145.965546411</v>
          </cell>
          <cell r="K73">
            <v>0</v>
          </cell>
          <cell r="L73">
            <v>-592835.22002807446</v>
          </cell>
          <cell r="M73">
            <v>106388.5283437663</v>
          </cell>
          <cell r="N73">
            <v>4010.5666935878803</v>
          </cell>
          <cell r="O73">
            <v>-1809.9249013549993</v>
          </cell>
          <cell r="P73">
            <v>0</v>
          </cell>
          <cell r="Q73">
            <v>0</v>
          </cell>
          <cell r="R73">
            <v>0</v>
          </cell>
          <cell r="S73">
            <v>32135668.428405862</v>
          </cell>
          <cell r="T73">
            <v>7473060</v>
          </cell>
          <cell r="U73">
            <v>56415729.827732056</v>
          </cell>
          <cell r="V73">
            <v>425554.11337506521</v>
          </cell>
          <cell r="W73">
            <v>0</v>
          </cell>
          <cell r="X73">
            <v>64314343.941107124</v>
          </cell>
          <cell r="Y73">
            <v>344752.54999999981</v>
          </cell>
          <cell r="Z73">
            <v>0</v>
          </cell>
          <cell r="AA73">
            <v>0</v>
          </cell>
          <cell r="AB73">
            <v>771968.4625901269</v>
          </cell>
          <cell r="AC73">
            <v>1116721.0125901266</v>
          </cell>
          <cell r="AD73" t="str">
            <v>N/A</v>
          </cell>
          <cell r="AE73">
            <v>12660802</v>
          </cell>
          <cell r="AF73">
            <v>12660803</v>
          </cell>
          <cell r="AG73">
            <v>12660803</v>
          </cell>
          <cell r="AH73">
            <v>12660803</v>
          </cell>
          <cell r="AI73">
            <v>12554414</v>
          </cell>
          <cell r="AJ73">
            <v>0</v>
          </cell>
          <cell r="AK73">
            <v>63197625</v>
          </cell>
          <cell r="AL73">
            <v>247243176</v>
          </cell>
          <cell r="AM73">
            <v>32135668.428405862</v>
          </cell>
          <cell r="AN73">
            <v>-6391482.4500000002</v>
          </cell>
          <cell r="AO73">
            <v>56069315.478516996</v>
          </cell>
          <cell r="AP73">
            <v>0</v>
          </cell>
          <cell r="AQ73">
            <v>7128307.4500000002</v>
          </cell>
          <cell r="AR73">
            <v>0</v>
          </cell>
          <cell r="AS73">
            <v>0</v>
          </cell>
          <cell r="AT73">
            <v>336184984.90692288</v>
          </cell>
          <cell r="AU73">
            <v>7.4573052725717048E-3</v>
          </cell>
          <cell r="AV73">
            <v>0</v>
          </cell>
          <cell r="AW73">
            <v>0</v>
          </cell>
          <cell r="AY73">
            <v>0</v>
          </cell>
          <cell r="AZ73">
            <v>0</v>
          </cell>
          <cell r="BA73">
            <v>0</v>
          </cell>
          <cell r="BB73">
            <v>0</v>
          </cell>
          <cell r="BC73">
            <v>0</v>
          </cell>
          <cell r="BD73">
            <v>0</v>
          </cell>
          <cell r="BE73">
            <v>0</v>
          </cell>
          <cell r="BF73">
            <v>0</v>
          </cell>
          <cell r="BG73">
            <v>0</v>
          </cell>
          <cell r="BH73">
            <v>0</v>
          </cell>
          <cell r="BJ73">
            <v>0</v>
          </cell>
          <cell r="BL73">
            <v>0</v>
          </cell>
          <cell r="BM73">
            <v>0</v>
          </cell>
          <cell r="BN73">
            <v>0</v>
          </cell>
          <cell r="BO73">
            <v>0</v>
          </cell>
          <cell r="BQ73">
            <v>0</v>
          </cell>
          <cell r="BR73">
            <v>0</v>
          </cell>
          <cell r="BS73">
            <v>0</v>
          </cell>
          <cell r="BT73">
            <v>0</v>
          </cell>
          <cell r="CB73">
            <v>0</v>
          </cell>
          <cell r="CC73">
            <v>0</v>
          </cell>
          <cell r="CD73">
            <v>0</v>
          </cell>
          <cell r="CE73">
            <v>0</v>
          </cell>
          <cell r="CF73">
            <v>0</v>
          </cell>
          <cell r="CI73">
            <v>0</v>
          </cell>
          <cell r="CJ73">
            <v>0</v>
          </cell>
          <cell r="CK73">
            <v>0</v>
          </cell>
          <cell r="CV73">
            <v>7.7277866075530473E-3</v>
          </cell>
          <cell r="DG73">
            <v>336184984</v>
          </cell>
          <cell r="DR73">
            <v>110519985.77999982</v>
          </cell>
          <cell r="EC73">
            <v>3.0418478759959946</v>
          </cell>
          <cell r="EN73">
            <v>2.4095909012463064E-2</v>
          </cell>
        </row>
        <row r="74">
          <cell r="B74">
            <v>30102</v>
          </cell>
          <cell r="C74" t="str">
            <v>Clover Garden Charter School</v>
          </cell>
          <cell r="D74">
            <v>1.4425642015125479E-4</v>
          </cell>
          <cell r="E74">
            <v>249597.24298690105</v>
          </cell>
          <cell r="F74">
            <v>194616.69445151981</v>
          </cell>
          <cell r="G74">
            <v>145691</v>
          </cell>
          <cell r="H74">
            <v>-69646.499806625055</v>
          </cell>
          <cell r="I74">
            <v>-2882.1035708743884</v>
          </cell>
          <cell r="J74">
            <v>210625.15409560309</v>
          </cell>
          <cell r="K74">
            <v>0</v>
          </cell>
          <cell r="L74">
            <v>-11066.595252157322</v>
          </cell>
          <cell r="M74">
            <v>1985.9798184685681</v>
          </cell>
          <cell r="N74">
            <v>74.866196930098212</v>
          </cell>
          <cell r="O74">
            <v>-33.786296163625387</v>
          </cell>
          <cell r="P74">
            <v>0</v>
          </cell>
          <cell r="Q74">
            <v>0</v>
          </cell>
          <cell r="R74">
            <v>0</v>
          </cell>
          <cell r="S74">
            <v>718961.95262360224</v>
          </cell>
          <cell r="T74">
            <v>741587</v>
          </cell>
          <cell r="U74">
            <v>1053125.7704780155</v>
          </cell>
          <cell r="V74">
            <v>7943.9192738742722</v>
          </cell>
          <cell r="W74">
            <v>0</v>
          </cell>
          <cell r="X74">
            <v>1802656.6897518898</v>
          </cell>
          <cell r="Y74">
            <v>13132.039999999994</v>
          </cell>
          <cell r="Z74">
            <v>0</v>
          </cell>
          <cell r="AA74">
            <v>0</v>
          </cell>
          <cell r="AB74">
            <v>14410.517854371941</v>
          </cell>
          <cell r="AC74">
            <v>27542.557854371935</v>
          </cell>
          <cell r="AD74" t="str">
            <v>N/A</v>
          </cell>
          <cell r="AE74">
            <v>355420</v>
          </cell>
          <cell r="AF74">
            <v>355420</v>
          </cell>
          <cell r="AG74">
            <v>355420</v>
          </cell>
          <cell r="AH74">
            <v>355420</v>
          </cell>
          <cell r="AI74">
            <v>353434</v>
          </cell>
          <cell r="AJ74">
            <v>0</v>
          </cell>
          <cell r="AK74">
            <v>1775114</v>
          </cell>
          <cell r="AL74">
            <v>3892844</v>
          </cell>
          <cell r="AM74">
            <v>718961.95262360224</v>
          </cell>
          <cell r="AN74">
            <v>-111275.96</v>
          </cell>
          <cell r="AO74">
            <v>1046659.1718975179</v>
          </cell>
          <cell r="AP74">
            <v>0</v>
          </cell>
          <cell r="AQ74">
            <v>728454.96</v>
          </cell>
          <cell r="AR74">
            <v>0</v>
          </cell>
          <cell r="AS74">
            <v>0</v>
          </cell>
          <cell r="AT74">
            <v>6275644.1245211195</v>
          </cell>
          <cell r="AU74">
            <v>1.1741527525209222E-4</v>
          </cell>
          <cell r="AV74">
            <v>0</v>
          </cell>
          <cell r="AW74">
            <v>0</v>
          </cell>
          <cell r="AY74">
            <v>0</v>
          </cell>
          <cell r="AZ74">
            <v>0</v>
          </cell>
          <cell r="BA74">
            <v>0</v>
          </cell>
          <cell r="BB74">
            <v>0</v>
          </cell>
          <cell r="BC74">
            <v>0</v>
          </cell>
          <cell r="BD74">
            <v>0</v>
          </cell>
          <cell r="BE74">
            <v>0</v>
          </cell>
          <cell r="BF74">
            <v>0</v>
          </cell>
          <cell r="BG74">
            <v>0</v>
          </cell>
          <cell r="BH74">
            <v>0</v>
          </cell>
          <cell r="BJ74">
            <v>0</v>
          </cell>
          <cell r="BL74">
            <v>0</v>
          </cell>
          <cell r="BM74">
            <v>0</v>
          </cell>
          <cell r="BN74">
            <v>0</v>
          </cell>
          <cell r="BO74">
            <v>0</v>
          </cell>
          <cell r="BQ74">
            <v>0</v>
          </cell>
          <cell r="BR74">
            <v>0</v>
          </cell>
          <cell r="BS74">
            <v>0</v>
          </cell>
          <cell r="BT74">
            <v>0</v>
          </cell>
          <cell r="CB74">
            <v>0</v>
          </cell>
          <cell r="CC74">
            <v>0</v>
          </cell>
          <cell r="CD74">
            <v>0</v>
          </cell>
          <cell r="CE74">
            <v>0</v>
          </cell>
          <cell r="CF74">
            <v>0</v>
          </cell>
          <cell r="CI74">
            <v>0</v>
          </cell>
          <cell r="CJ74">
            <v>0</v>
          </cell>
          <cell r="CK74">
            <v>0</v>
          </cell>
          <cell r="CV74">
            <v>1.4425642015125479E-4</v>
          </cell>
          <cell r="DG74">
            <v>6275645</v>
          </cell>
          <cell r="DR74">
            <v>1936670.5900000003</v>
          </cell>
          <cell r="EC74">
            <v>3.2404297521758716</v>
          </cell>
          <cell r="EN74">
            <v>2.4095909012463064E-2</v>
          </cell>
        </row>
        <row r="75">
          <cell r="B75">
            <v>30103</v>
          </cell>
          <cell r="C75" t="str">
            <v>River Mill Academy Charter</v>
          </cell>
          <cell r="D75">
            <v>1.6505168097535305E-4</v>
          </cell>
          <cell r="E75">
            <v>285577.89302276215</v>
          </cell>
          <cell r="F75">
            <v>222671.63244041312</v>
          </cell>
          <cell r="G75">
            <v>15632</v>
          </cell>
          <cell r="H75">
            <v>-79686.379677799574</v>
          </cell>
          <cell r="I75">
            <v>-3297.5727431688083</v>
          </cell>
          <cell r="J75">
            <v>240987.78898520774</v>
          </cell>
          <cell r="K75">
            <v>0</v>
          </cell>
          <cell r="L75">
            <v>-12661.898493857356</v>
          </cell>
          <cell r="M75">
            <v>2272.2684167378629</v>
          </cell>
          <cell r="N75">
            <v>85.658521392588725</v>
          </cell>
          <cell r="O75">
            <v>-38.65675420123744</v>
          </cell>
          <cell r="P75">
            <v>0</v>
          </cell>
          <cell r="Q75">
            <v>0</v>
          </cell>
          <cell r="R75">
            <v>0</v>
          </cell>
          <cell r="S75">
            <v>671542.7337174865</v>
          </cell>
          <cell r="T75">
            <v>91250</v>
          </cell>
          <cell r="U75">
            <v>1204938.9449260386</v>
          </cell>
          <cell r="V75">
            <v>9089.0736669514517</v>
          </cell>
          <cell r="W75">
            <v>0</v>
          </cell>
          <cell r="X75">
            <v>1305278.01859299</v>
          </cell>
          <cell r="Y75">
            <v>13090.050000000003</v>
          </cell>
          <cell r="Z75">
            <v>0</v>
          </cell>
          <cell r="AA75">
            <v>0</v>
          </cell>
          <cell r="AB75">
            <v>16487.86371584404</v>
          </cell>
          <cell r="AC75">
            <v>29577.913715844043</v>
          </cell>
          <cell r="AD75" t="str">
            <v>N/A</v>
          </cell>
          <cell r="AE75">
            <v>255594</v>
          </cell>
          <cell r="AF75">
            <v>255594</v>
          </cell>
          <cell r="AG75">
            <v>255594</v>
          </cell>
          <cell r="AH75">
            <v>255594</v>
          </cell>
          <cell r="AI75">
            <v>253322</v>
          </cell>
          <cell r="AJ75">
            <v>0</v>
          </cell>
          <cell r="AK75">
            <v>1275698</v>
          </cell>
          <cell r="AL75">
            <v>5362705</v>
          </cell>
          <cell r="AM75">
            <v>671542.7337174865</v>
          </cell>
          <cell r="AN75">
            <v>-129638.95</v>
          </cell>
          <cell r="AO75">
            <v>1197540.1548771462</v>
          </cell>
          <cell r="AP75">
            <v>0</v>
          </cell>
          <cell r="AQ75">
            <v>78159.95</v>
          </cell>
          <cell r="AR75">
            <v>0</v>
          </cell>
          <cell r="AS75">
            <v>0</v>
          </cell>
          <cell r="AT75">
            <v>7180308.888594632</v>
          </cell>
          <cell r="AU75">
            <v>1.617489716189338E-4</v>
          </cell>
          <cell r="AV75">
            <v>0</v>
          </cell>
          <cell r="AW75">
            <v>0</v>
          </cell>
          <cell r="AY75">
            <v>0</v>
          </cell>
          <cell r="AZ75">
            <v>0</v>
          </cell>
          <cell r="BA75">
            <v>0</v>
          </cell>
          <cell r="BB75">
            <v>0</v>
          </cell>
          <cell r="BC75">
            <v>0</v>
          </cell>
          <cell r="BD75">
            <v>0</v>
          </cell>
          <cell r="BE75">
            <v>0</v>
          </cell>
          <cell r="BF75">
            <v>0</v>
          </cell>
          <cell r="BG75">
            <v>0</v>
          </cell>
          <cell r="BH75">
            <v>0</v>
          </cell>
          <cell r="BJ75">
            <v>0</v>
          </cell>
          <cell r="BL75">
            <v>0</v>
          </cell>
          <cell r="BM75">
            <v>0</v>
          </cell>
          <cell r="BN75">
            <v>0</v>
          </cell>
          <cell r="BO75">
            <v>0</v>
          </cell>
          <cell r="BQ75">
            <v>0</v>
          </cell>
          <cell r="BR75">
            <v>0</v>
          </cell>
          <cell r="BS75">
            <v>0</v>
          </cell>
          <cell r="BT75">
            <v>0</v>
          </cell>
          <cell r="CB75">
            <v>0</v>
          </cell>
          <cell r="CC75">
            <v>0</v>
          </cell>
          <cell r="CD75">
            <v>0</v>
          </cell>
          <cell r="CE75">
            <v>0</v>
          </cell>
          <cell r="CF75">
            <v>0</v>
          </cell>
          <cell r="CI75">
            <v>0</v>
          </cell>
          <cell r="CJ75">
            <v>0</v>
          </cell>
          <cell r="CK75">
            <v>0</v>
          </cell>
          <cell r="CV75">
            <v>1.6505168097535305E-4</v>
          </cell>
          <cell r="DG75">
            <v>7180309</v>
          </cell>
          <cell r="DR75">
            <v>2194122.9700000007</v>
          </cell>
          <cell r="EC75">
            <v>3.2725189509319059</v>
          </cell>
          <cell r="EN75">
            <v>2.4095909012463064E-2</v>
          </cell>
        </row>
        <row r="76">
          <cell r="B76">
            <v>30104</v>
          </cell>
          <cell r="C76" t="str">
            <v>The Hawbridge School</v>
          </cell>
          <cell r="D76">
            <v>1.0524667875150715E-4</v>
          </cell>
          <cell r="E76">
            <v>182101.29450294518</v>
          </cell>
          <cell r="F76">
            <v>141988.55551207272</v>
          </cell>
          <cell r="G76">
            <v>140696</v>
          </cell>
          <cell r="H76">
            <v>-50812.73182593262</v>
          </cell>
          <cell r="I76">
            <v>-2102.7267163176575</v>
          </cell>
          <cell r="J76">
            <v>153668.01634785894</v>
          </cell>
          <cell r="K76">
            <v>0</v>
          </cell>
          <cell r="L76">
            <v>-8073.972681115536</v>
          </cell>
          <cell r="M76">
            <v>1448.932253706143</v>
          </cell>
          <cell r="N76">
            <v>54.62092133845718</v>
          </cell>
          <cell r="O76">
            <v>-24.649824630390491</v>
          </cell>
          <cell r="P76">
            <v>0</v>
          </cell>
          <cell r="Q76">
            <v>0</v>
          </cell>
          <cell r="R76">
            <v>0</v>
          </cell>
          <cell r="S76">
            <v>558943.33848992537</v>
          </cell>
          <cell r="T76">
            <v>720412</v>
          </cell>
          <cell r="U76">
            <v>768340.08173929469</v>
          </cell>
          <cell r="V76">
            <v>5795.729014824572</v>
          </cell>
          <cell r="W76">
            <v>0</v>
          </cell>
          <cell r="X76">
            <v>1494547.8107541194</v>
          </cell>
          <cell r="Y76">
            <v>16933.770000000004</v>
          </cell>
          <cell r="Z76">
            <v>0</v>
          </cell>
          <cell r="AA76">
            <v>0</v>
          </cell>
          <cell r="AB76">
            <v>10513.633581588289</v>
          </cell>
          <cell r="AC76">
            <v>27447.403581588293</v>
          </cell>
          <cell r="AD76" t="str">
            <v>N/A</v>
          </cell>
          <cell r="AE76">
            <v>293709</v>
          </cell>
          <cell r="AF76">
            <v>293710</v>
          </cell>
          <cell r="AG76">
            <v>293710</v>
          </cell>
          <cell r="AH76">
            <v>293710</v>
          </cell>
          <cell r="AI76">
            <v>292261</v>
          </cell>
          <cell r="AJ76">
            <v>0</v>
          </cell>
          <cell r="AK76">
            <v>1467100</v>
          </cell>
          <cell r="AL76">
            <v>2624905</v>
          </cell>
          <cell r="AM76">
            <v>558943.33848992537</v>
          </cell>
          <cell r="AN76">
            <v>-72361.23</v>
          </cell>
          <cell r="AO76">
            <v>763622.17717253102</v>
          </cell>
          <cell r="AP76">
            <v>0</v>
          </cell>
          <cell r="AQ76">
            <v>703478.23</v>
          </cell>
          <cell r="AR76">
            <v>0</v>
          </cell>
          <cell r="AS76">
            <v>0</v>
          </cell>
          <cell r="AT76">
            <v>4578587.5156624559</v>
          </cell>
          <cell r="AU76">
            <v>7.9171924691688201E-5</v>
          </cell>
          <cell r="AV76">
            <v>0</v>
          </cell>
          <cell r="AW76">
            <v>0</v>
          </cell>
          <cell r="AY76">
            <v>0</v>
          </cell>
          <cell r="AZ76">
            <v>0</v>
          </cell>
          <cell r="BA76">
            <v>0</v>
          </cell>
          <cell r="BB76">
            <v>0</v>
          </cell>
          <cell r="BC76">
            <v>0</v>
          </cell>
          <cell r="BD76">
            <v>0</v>
          </cell>
          <cell r="BE76">
            <v>0</v>
          </cell>
          <cell r="BF76">
            <v>0</v>
          </cell>
          <cell r="BG76">
            <v>0</v>
          </cell>
          <cell r="BH76">
            <v>0</v>
          </cell>
          <cell r="BJ76">
            <v>0</v>
          </cell>
          <cell r="BL76">
            <v>0</v>
          </cell>
          <cell r="BM76">
            <v>0</v>
          </cell>
          <cell r="BN76">
            <v>0</v>
          </cell>
          <cell r="BO76">
            <v>0</v>
          </cell>
          <cell r="BQ76">
            <v>0</v>
          </cell>
          <cell r="BR76">
            <v>0</v>
          </cell>
          <cell r="BS76">
            <v>0</v>
          </cell>
          <cell r="BT76">
            <v>0</v>
          </cell>
          <cell r="CB76">
            <v>0</v>
          </cell>
          <cell r="CC76">
            <v>0</v>
          </cell>
          <cell r="CD76">
            <v>0</v>
          </cell>
          <cell r="CE76">
            <v>0</v>
          </cell>
          <cell r="CF76">
            <v>0</v>
          </cell>
          <cell r="CI76">
            <v>0</v>
          </cell>
          <cell r="CJ76">
            <v>0</v>
          </cell>
          <cell r="CK76">
            <v>0</v>
          </cell>
          <cell r="CV76">
            <v>1.0524667875150715E-4</v>
          </cell>
          <cell r="DG76">
            <v>4578588</v>
          </cell>
          <cell r="DR76">
            <v>1290327.7399999995</v>
          </cell>
          <cell r="EC76">
            <v>3.5483915117565417</v>
          </cell>
          <cell r="EN76">
            <v>2.4095909012463064E-2</v>
          </cell>
        </row>
        <row r="77">
          <cell r="B77">
            <v>30105</v>
          </cell>
          <cell r="C77" t="str">
            <v>Alamance Community College</v>
          </cell>
          <cell r="D77">
            <v>7.1665148802620431E-4</v>
          </cell>
          <cell r="E77">
            <v>1239974.175196145</v>
          </cell>
          <cell r="F77">
            <v>966836.30113089026</v>
          </cell>
          <cell r="G77">
            <v>-119101</v>
          </cell>
          <cell r="H77">
            <v>-345996.85525192507</v>
          </cell>
          <cell r="I77">
            <v>-14318.002696497673</v>
          </cell>
          <cell r="J77">
            <v>1046364.7298338255</v>
          </cell>
          <cell r="K77">
            <v>0</v>
          </cell>
          <cell r="L77">
            <v>-54977.739961428582</v>
          </cell>
          <cell r="M77">
            <v>9866.1493928880809</v>
          </cell>
          <cell r="N77">
            <v>371.92778925583951</v>
          </cell>
          <cell r="O77">
            <v>-167.8469450106173</v>
          </cell>
          <cell r="P77">
            <v>0</v>
          </cell>
          <cell r="Q77">
            <v>0</v>
          </cell>
          <cell r="R77">
            <v>0</v>
          </cell>
          <cell r="S77">
            <v>2728851.8384881425</v>
          </cell>
          <cell r="T77">
            <v>58107.969999999972</v>
          </cell>
          <cell r="U77">
            <v>5231823.6491691275</v>
          </cell>
          <cell r="V77">
            <v>39464.597571552324</v>
          </cell>
          <cell r="W77">
            <v>0</v>
          </cell>
          <cell r="X77">
            <v>5329396.2167406799</v>
          </cell>
          <cell r="Y77">
            <v>653614</v>
          </cell>
          <cell r="Z77">
            <v>0</v>
          </cell>
          <cell r="AA77">
            <v>0</v>
          </cell>
          <cell r="AB77">
            <v>71590.013482488372</v>
          </cell>
          <cell r="AC77">
            <v>725204.01348248834</v>
          </cell>
          <cell r="AD77" t="str">
            <v>N/A</v>
          </cell>
          <cell r="AE77">
            <v>922812</v>
          </cell>
          <cell r="AF77">
            <v>922811</v>
          </cell>
          <cell r="AG77">
            <v>922811</v>
          </cell>
          <cell r="AH77">
            <v>922811</v>
          </cell>
          <cell r="AI77">
            <v>912945</v>
          </cell>
          <cell r="AJ77">
            <v>0</v>
          </cell>
          <cell r="AK77">
            <v>4604190</v>
          </cell>
          <cell r="AL77">
            <v>24544554</v>
          </cell>
          <cell r="AM77">
            <v>2728851.8384881425</v>
          </cell>
          <cell r="AN77">
            <v>-700821.97</v>
          </cell>
          <cell r="AO77">
            <v>5199698.2332581915</v>
          </cell>
          <cell r="AP77">
            <v>0</v>
          </cell>
          <cell r="AQ77">
            <v>-595506.03</v>
          </cell>
          <cell r="AR77">
            <v>0</v>
          </cell>
          <cell r="AS77">
            <v>0</v>
          </cell>
          <cell r="AT77">
            <v>31176776.071746334</v>
          </cell>
          <cell r="AU77">
            <v>7.4030852539940612E-4</v>
          </cell>
          <cell r="AV77">
            <v>0</v>
          </cell>
          <cell r="AW77">
            <v>0</v>
          </cell>
          <cell r="AY77">
            <v>0</v>
          </cell>
          <cell r="AZ77">
            <v>0</v>
          </cell>
          <cell r="BA77">
            <v>0</v>
          </cell>
          <cell r="BB77">
            <v>0</v>
          </cell>
          <cell r="BC77">
            <v>0</v>
          </cell>
          <cell r="BD77">
            <v>0</v>
          </cell>
          <cell r="BE77">
            <v>0</v>
          </cell>
          <cell r="BF77">
            <v>0</v>
          </cell>
          <cell r="BG77">
            <v>0</v>
          </cell>
          <cell r="BH77">
            <v>0</v>
          </cell>
          <cell r="BJ77">
            <v>0</v>
          </cell>
          <cell r="BL77">
            <v>0</v>
          </cell>
          <cell r="BM77">
            <v>0</v>
          </cell>
          <cell r="BN77">
            <v>0</v>
          </cell>
          <cell r="BO77">
            <v>0</v>
          </cell>
          <cell r="BQ77">
            <v>0</v>
          </cell>
          <cell r="BR77">
            <v>0</v>
          </cell>
          <cell r="BS77">
            <v>0</v>
          </cell>
          <cell r="BT77">
            <v>0</v>
          </cell>
          <cell r="CB77">
            <v>0</v>
          </cell>
          <cell r="CC77">
            <v>0</v>
          </cell>
          <cell r="CD77">
            <v>0</v>
          </cell>
          <cell r="CE77">
            <v>0</v>
          </cell>
          <cell r="CF77">
            <v>0</v>
          </cell>
          <cell r="CI77">
            <v>0</v>
          </cell>
          <cell r="CJ77">
            <v>0</v>
          </cell>
          <cell r="CK77">
            <v>0</v>
          </cell>
          <cell r="CV77">
            <v>7.1665148802620431E-4</v>
          </cell>
          <cell r="DG77">
            <v>31176776</v>
          </cell>
          <cell r="DR77">
            <v>12013260.689999999</v>
          </cell>
          <cell r="EC77">
            <v>2.595196824951278</v>
          </cell>
          <cell r="EN77">
            <v>2.4095909012463064E-2</v>
          </cell>
        </row>
        <row r="78">
          <cell r="B78">
            <v>30200</v>
          </cell>
          <cell r="C78" t="str">
            <v>Alexander County Schools</v>
          </cell>
          <cell r="D78">
            <v>1.6985906501332825E-3</v>
          </cell>
          <cell r="E78">
            <v>2938957.8834138797</v>
          </cell>
          <cell r="F78">
            <v>2291572.8617734034</v>
          </cell>
          <cell r="G78">
            <v>-231430</v>
          </cell>
          <cell r="H78">
            <v>-820073.68033951428</v>
          </cell>
          <cell r="I78">
            <v>-33936.196205825501</v>
          </cell>
          <cell r="J78">
            <v>2480069.2894954062</v>
          </cell>
          <cell r="K78">
            <v>0</v>
          </cell>
          <cell r="L78">
            <v>-130306.95759962885</v>
          </cell>
          <cell r="M78">
            <v>23384.517288499763</v>
          </cell>
          <cell r="N78">
            <v>881.53457560617096</v>
          </cell>
          <cell r="O78">
            <v>-397.82691616771609</v>
          </cell>
          <cell r="P78">
            <v>0</v>
          </cell>
          <cell r="Q78">
            <v>0</v>
          </cell>
          <cell r="R78">
            <v>0</v>
          </cell>
          <cell r="S78">
            <v>6518721.4254856585</v>
          </cell>
          <cell r="T78">
            <v>0</v>
          </cell>
          <cell r="U78">
            <v>12400346.447477031</v>
          </cell>
          <cell r="V78">
            <v>93538.069153999051</v>
          </cell>
          <cell r="W78">
            <v>0</v>
          </cell>
          <cell r="X78">
            <v>12493884.516631031</v>
          </cell>
          <cell r="Y78">
            <v>1157153.4000000001</v>
          </cell>
          <cell r="Z78">
            <v>0</v>
          </cell>
          <cell r="AA78">
            <v>0</v>
          </cell>
          <cell r="AB78">
            <v>169680.98102912752</v>
          </cell>
          <cell r="AC78">
            <v>1326834.3810291276</v>
          </cell>
          <cell r="AD78" t="str">
            <v>N/A</v>
          </cell>
          <cell r="AE78">
            <v>2238088</v>
          </cell>
          <cell r="AF78">
            <v>2238087</v>
          </cell>
          <cell r="AG78">
            <v>2238087</v>
          </cell>
          <cell r="AH78">
            <v>2238087</v>
          </cell>
          <cell r="AI78">
            <v>2214702</v>
          </cell>
          <cell r="AJ78">
            <v>0</v>
          </cell>
          <cell r="AK78">
            <v>11167051</v>
          </cell>
          <cell r="AL78">
            <v>57675940</v>
          </cell>
          <cell r="AM78">
            <v>6518721.4254856585</v>
          </cell>
          <cell r="AN78">
            <v>-1467244.5999999999</v>
          </cell>
          <cell r="AO78">
            <v>12324203.535601905</v>
          </cell>
          <cell r="AP78">
            <v>0</v>
          </cell>
          <cell r="AQ78">
            <v>-1157153.4000000001</v>
          </cell>
          <cell r="AR78">
            <v>0</v>
          </cell>
          <cell r="AS78">
            <v>0</v>
          </cell>
          <cell r="AT78">
            <v>73894466.961087555</v>
          </cell>
          <cell r="AU78">
            <v>1.7396115780678972E-3</v>
          </cell>
          <cell r="AV78">
            <v>0</v>
          </cell>
          <cell r="AW78">
            <v>0</v>
          </cell>
          <cell r="AY78">
            <v>0</v>
          </cell>
          <cell r="AZ78">
            <v>0</v>
          </cell>
          <cell r="BA78">
            <v>0</v>
          </cell>
          <cell r="BB78">
            <v>0</v>
          </cell>
          <cell r="BC78">
            <v>0</v>
          </cell>
          <cell r="BD78">
            <v>0</v>
          </cell>
          <cell r="BE78">
            <v>0</v>
          </cell>
          <cell r="BF78">
            <v>0</v>
          </cell>
          <cell r="BG78">
            <v>0</v>
          </cell>
          <cell r="BH78">
            <v>0</v>
          </cell>
          <cell r="BJ78">
            <v>0</v>
          </cell>
          <cell r="BL78">
            <v>0</v>
          </cell>
          <cell r="BM78">
            <v>0</v>
          </cell>
          <cell r="BN78">
            <v>0</v>
          </cell>
          <cell r="BO78">
            <v>0</v>
          </cell>
          <cell r="BQ78">
            <v>0</v>
          </cell>
          <cell r="BR78">
            <v>0</v>
          </cell>
          <cell r="BS78">
            <v>0</v>
          </cell>
          <cell r="BT78">
            <v>0</v>
          </cell>
          <cell r="CB78">
            <v>0</v>
          </cell>
          <cell r="CC78">
            <v>0</v>
          </cell>
          <cell r="CD78">
            <v>0</v>
          </cell>
          <cell r="CE78">
            <v>0</v>
          </cell>
          <cell r="CF78">
            <v>0</v>
          </cell>
          <cell r="CI78">
            <v>0</v>
          </cell>
          <cell r="CJ78">
            <v>0</v>
          </cell>
          <cell r="CK78">
            <v>0</v>
          </cell>
          <cell r="CV78">
            <v>1.6985906501332825E-3</v>
          </cell>
          <cell r="DG78">
            <v>73894467</v>
          </cell>
          <cell r="DR78">
            <v>25714708.279999994</v>
          </cell>
          <cell r="EC78">
            <v>2.873626494043199</v>
          </cell>
          <cell r="EN78">
            <v>2.4095909012463064E-2</v>
          </cell>
        </row>
        <row r="79">
          <cell r="B79">
            <v>30300</v>
          </cell>
          <cell r="C79" t="str">
            <v>Alleghany County Schools</v>
          </cell>
          <cell r="D79">
            <v>5.8215431358102669E-4</v>
          </cell>
          <cell r="E79">
            <v>1007262.7028343196</v>
          </cell>
          <cell r="F79">
            <v>785385.82928260346</v>
          </cell>
          <cell r="G79">
            <v>-50820</v>
          </cell>
          <cell r="H79">
            <v>-281062.08545682009</v>
          </cell>
          <cell r="I79">
            <v>-11630.879403582727</v>
          </cell>
          <cell r="J79">
            <v>849988.80380407965</v>
          </cell>
          <cell r="K79">
            <v>0</v>
          </cell>
          <cell r="L79">
            <v>-44659.822806802513</v>
          </cell>
          <cell r="M79">
            <v>8014.5252238625208</v>
          </cell>
          <cell r="N79">
            <v>302.12644566228124</v>
          </cell>
          <cell r="O79">
            <v>-136.34636178381226</v>
          </cell>
          <cell r="P79">
            <v>0</v>
          </cell>
          <cell r="Q79">
            <v>0</v>
          </cell>
          <cell r="R79">
            <v>0</v>
          </cell>
          <cell r="S79">
            <v>2262644.8535615378</v>
          </cell>
          <cell r="T79">
            <v>1218.9200000000419</v>
          </cell>
          <cell r="U79">
            <v>4249944.0190203981</v>
          </cell>
          <cell r="V79">
            <v>32058.100895450083</v>
          </cell>
          <cell r="W79">
            <v>0</v>
          </cell>
          <cell r="X79">
            <v>4283221.0399158485</v>
          </cell>
          <cell r="Y79">
            <v>255321</v>
          </cell>
          <cell r="Z79">
            <v>0</v>
          </cell>
          <cell r="AA79">
            <v>0</v>
          </cell>
          <cell r="AB79">
            <v>58154.39701791363</v>
          </cell>
          <cell r="AC79">
            <v>313475.39701791364</v>
          </cell>
          <cell r="AD79" t="str">
            <v>N/A</v>
          </cell>
          <cell r="AE79">
            <v>795552</v>
          </cell>
          <cell r="AF79">
            <v>795552</v>
          </cell>
          <cell r="AG79">
            <v>795552</v>
          </cell>
          <cell r="AH79">
            <v>795552</v>
          </cell>
          <cell r="AI79">
            <v>787538</v>
          </cell>
          <cell r="AJ79">
            <v>0</v>
          </cell>
          <cell r="AK79">
            <v>3969746</v>
          </cell>
          <cell r="AL79">
            <v>19607416</v>
          </cell>
          <cell r="AM79">
            <v>2262644.8535615378</v>
          </cell>
          <cell r="AN79">
            <v>-514114.92000000004</v>
          </cell>
          <cell r="AO79">
            <v>4223847.7228979347</v>
          </cell>
          <cell r="AP79">
            <v>0</v>
          </cell>
          <cell r="AQ79">
            <v>-254102.07999999996</v>
          </cell>
          <cell r="AR79">
            <v>0</v>
          </cell>
          <cell r="AS79">
            <v>0</v>
          </cell>
          <cell r="AT79">
            <v>25325691.576459475</v>
          </cell>
          <cell r="AU79">
            <v>5.9139542779070703E-4</v>
          </cell>
          <cell r="AV79">
            <v>0</v>
          </cell>
          <cell r="AW79">
            <v>0</v>
          </cell>
          <cell r="AY79">
            <v>0</v>
          </cell>
          <cell r="AZ79">
            <v>0</v>
          </cell>
          <cell r="BA79">
            <v>0</v>
          </cell>
          <cell r="BB79">
            <v>0</v>
          </cell>
          <cell r="BC79">
            <v>0</v>
          </cell>
          <cell r="BD79">
            <v>0</v>
          </cell>
          <cell r="BE79">
            <v>0</v>
          </cell>
          <cell r="BF79">
            <v>0</v>
          </cell>
          <cell r="BG79">
            <v>0</v>
          </cell>
          <cell r="BH79">
            <v>0</v>
          </cell>
          <cell r="BJ79">
            <v>0</v>
          </cell>
          <cell r="BL79">
            <v>0</v>
          </cell>
          <cell r="BM79">
            <v>0</v>
          </cell>
          <cell r="BN79">
            <v>0</v>
          </cell>
          <cell r="BO79">
            <v>0</v>
          </cell>
          <cell r="BQ79">
            <v>0</v>
          </cell>
          <cell r="BR79">
            <v>0</v>
          </cell>
          <cell r="BS79">
            <v>0</v>
          </cell>
          <cell r="BT79">
            <v>0</v>
          </cell>
          <cell r="CB79">
            <v>0</v>
          </cell>
          <cell r="CC79">
            <v>0</v>
          </cell>
          <cell r="CD79">
            <v>0</v>
          </cell>
          <cell r="CE79">
            <v>0</v>
          </cell>
          <cell r="CF79">
            <v>0</v>
          </cell>
          <cell r="CI79">
            <v>0</v>
          </cell>
          <cell r="CJ79">
            <v>0</v>
          </cell>
          <cell r="CK79">
            <v>0</v>
          </cell>
          <cell r="CV79">
            <v>5.8215431358102669E-4</v>
          </cell>
          <cell r="DG79">
            <v>25325691</v>
          </cell>
          <cell r="DR79">
            <v>8935775.4199999999</v>
          </cell>
          <cell r="EC79">
            <v>2.8341906336764224</v>
          </cell>
          <cell r="EN79">
            <v>2.4095909012463064E-2</v>
          </cell>
        </row>
        <row r="80">
          <cell r="B80">
            <v>30400</v>
          </cell>
          <cell r="C80" t="str">
            <v>Anson County Schools</v>
          </cell>
          <cell r="D80">
            <v>1.0721140620536731E-3</v>
          </cell>
          <cell r="E80">
            <v>1855007.3111165895</v>
          </cell>
          <cell r="F80">
            <v>1446391.741962706</v>
          </cell>
          <cell r="G80">
            <v>-415464</v>
          </cell>
          <cell r="H80">
            <v>-517612.95432958688</v>
          </cell>
          <cell r="I80">
            <v>-21419.80068124309</v>
          </cell>
          <cell r="J80">
            <v>1565366.6525992304</v>
          </cell>
          <cell r="K80">
            <v>0</v>
          </cell>
          <cell r="L80">
            <v>-82246.962571607073</v>
          </cell>
          <cell r="M80">
            <v>14759.80679475105</v>
          </cell>
          <cell r="N80">
            <v>556.40575592461528</v>
          </cell>
          <cell r="O80">
            <v>-251.09983447359076</v>
          </cell>
          <cell r="P80">
            <v>0</v>
          </cell>
          <cell r="Q80">
            <v>0</v>
          </cell>
          <cell r="R80">
            <v>0</v>
          </cell>
          <cell r="S80">
            <v>3845087.1008122903</v>
          </cell>
          <cell r="T80">
            <v>77784.530000000028</v>
          </cell>
          <cell r="U80">
            <v>7826833.262996152</v>
          </cell>
          <cell r="V80">
            <v>59039.2271790042</v>
          </cell>
          <cell r="W80">
            <v>0</v>
          </cell>
          <cell r="X80">
            <v>7963657.0201751562</v>
          </cell>
          <cell r="Y80">
            <v>2155105</v>
          </cell>
          <cell r="Z80">
            <v>0</v>
          </cell>
          <cell r="AA80">
            <v>0</v>
          </cell>
          <cell r="AB80">
            <v>107099.00340621544</v>
          </cell>
          <cell r="AC80">
            <v>2262204.0034062155</v>
          </cell>
          <cell r="AD80" t="str">
            <v>N/A</v>
          </cell>
          <cell r="AE80">
            <v>1143243</v>
          </cell>
          <cell r="AF80">
            <v>1143243</v>
          </cell>
          <cell r="AG80">
            <v>1143243</v>
          </cell>
          <cell r="AH80">
            <v>1143243</v>
          </cell>
          <cell r="AI80">
            <v>1128483</v>
          </cell>
          <cell r="AJ80">
            <v>0</v>
          </cell>
          <cell r="AK80">
            <v>5701455</v>
          </cell>
          <cell r="AL80">
            <v>38131524</v>
          </cell>
          <cell r="AM80">
            <v>3845087.1008122903</v>
          </cell>
          <cell r="AN80">
            <v>-1037458.53</v>
          </cell>
          <cell r="AO80">
            <v>7778773.4867689414</v>
          </cell>
          <cell r="AP80">
            <v>0</v>
          </cell>
          <cell r="AQ80">
            <v>-2077320.47</v>
          </cell>
          <cell r="AR80">
            <v>0</v>
          </cell>
          <cell r="AS80">
            <v>0</v>
          </cell>
          <cell r="AT80">
            <v>46640605.587581232</v>
          </cell>
          <cell r="AU80">
            <v>1.1501163195576055E-3</v>
          </cell>
          <cell r="AV80">
            <v>0</v>
          </cell>
          <cell r="AW80">
            <v>0</v>
          </cell>
          <cell r="AY80">
            <v>0</v>
          </cell>
          <cell r="AZ80">
            <v>0</v>
          </cell>
          <cell r="BA80">
            <v>0</v>
          </cell>
          <cell r="BB80">
            <v>0</v>
          </cell>
          <cell r="BC80">
            <v>0</v>
          </cell>
          <cell r="BD80">
            <v>0</v>
          </cell>
          <cell r="BE80">
            <v>0</v>
          </cell>
          <cell r="BF80">
            <v>0</v>
          </cell>
          <cell r="BG80">
            <v>0</v>
          </cell>
          <cell r="BH80">
            <v>0</v>
          </cell>
          <cell r="BJ80">
            <v>0</v>
          </cell>
          <cell r="BL80">
            <v>0</v>
          </cell>
          <cell r="BM80">
            <v>0</v>
          </cell>
          <cell r="BN80">
            <v>0</v>
          </cell>
          <cell r="BO80">
            <v>0</v>
          </cell>
          <cell r="BQ80">
            <v>0</v>
          </cell>
          <cell r="BR80">
            <v>0</v>
          </cell>
          <cell r="BS80">
            <v>0</v>
          </cell>
          <cell r="BT80">
            <v>0</v>
          </cell>
          <cell r="CB80">
            <v>0</v>
          </cell>
          <cell r="CC80">
            <v>0</v>
          </cell>
          <cell r="CD80">
            <v>0</v>
          </cell>
          <cell r="CE80">
            <v>0</v>
          </cell>
          <cell r="CF80">
            <v>0</v>
          </cell>
          <cell r="CI80">
            <v>0</v>
          </cell>
          <cell r="CJ80">
            <v>0</v>
          </cell>
          <cell r="CK80">
            <v>0</v>
          </cell>
          <cell r="CV80">
            <v>1.0721140620536731E-3</v>
          </cell>
          <cell r="DG80">
            <v>46640606</v>
          </cell>
          <cell r="DR80">
            <v>17862843.95999999</v>
          </cell>
          <cell r="EC80">
            <v>2.6110403306686014</v>
          </cell>
          <cell r="EN80">
            <v>2.4095909012463064E-2</v>
          </cell>
        </row>
        <row r="81">
          <cell r="B81">
            <v>30405</v>
          </cell>
          <cell r="C81" t="str">
            <v>South Piedmont Community College</v>
          </cell>
          <cell r="D81">
            <v>7.4381911771139971E-4</v>
          </cell>
          <cell r="E81">
            <v>1286980.5092005793</v>
          </cell>
          <cell r="F81">
            <v>1003488.2177656712</v>
          </cell>
          <cell r="G81">
            <v>-22799</v>
          </cell>
          <cell r="H81">
            <v>-359113.29272924847</v>
          </cell>
          <cell r="I81">
            <v>-14860.785627377258</v>
          </cell>
          <cell r="J81">
            <v>1086031.499485095</v>
          </cell>
          <cell r="K81">
            <v>0</v>
          </cell>
          <cell r="L81">
            <v>-57061.897889174972</v>
          </cell>
          <cell r="M81">
            <v>10240.16646757948</v>
          </cell>
          <cell r="N81">
            <v>386.0272457098622</v>
          </cell>
          <cell r="O81">
            <v>-174.20987555918691</v>
          </cell>
          <cell r="P81">
            <v>0</v>
          </cell>
          <cell r="Q81">
            <v>0</v>
          </cell>
          <cell r="R81">
            <v>0</v>
          </cell>
          <cell r="S81">
            <v>2933117.2340432755</v>
          </cell>
          <cell r="T81">
            <v>0</v>
          </cell>
          <cell r="U81">
            <v>5430157.4974254742</v>
          </cell>
          <cell r="V81">
            <v>40960.66587031792</v>
          </cell>
          <cell r="W81">
            <v>0</v>
          </cell>
          <cell r="X81">
            <v>5471118.1632957924</v>
          </cell>
          <cell r="Y81">
            <v>113993.44000000006</v>
          </cell>
          <cell r="Z81">
            <v>0</v>
          </cell>
          <cell r="AA81">
            <v>0</v>
          </cell>
          <cell r="AB81">
            <v>74303.928136886287</v>
          </cell>
          <cell r="AC81">
            <v>188297.36813688633</v>
          </cell>
          <cell r="AD81" t="str">
            <v>N/A</v>
          </cell>
          <cell r="AE81">
            <v>1058612</v>
          </cell>
          <cell r="AF81">
            <v>1058612</v>
          </cell>
          <cell r="AG81">
            <v>1058612</v>
          </cell>
          <cell r="AH81">
            <v>1058612</v>
          </cell>
          <cell r="AI81">
            <v>1048372</v>
          </cell>
          <cell r="AJ81">
            <v>0</v>
          </cell>
          <cell r="AK81">
            <v>5282820</v>
          </cell>
          <cell r="AL81">
            <v>24774399</v>
          </cell>
          <cell r="AM81">
            <v>2933117.2340432755</v>
          </cell>
          <cell r="AN81">
            <v>-631676.55999999994</v>
          </cell>
          <cell r="AO81">
            <v>5396814.2351589063</v>
          </cell>
          <cell r="AP81">
            <v>0</v>
          </cell>
          <cell r="AQ81">
            <v>-113993.44000000006</v>
          </cell>
          <cell r="AR81">
            <v>0</v>
          </cell>
          <cell r="AS81">
            <v>0</v>
          </cell>
          <cell r="AT81">
            <v>32358660.469202179</v>
          </cell>
          <cell r="AU81">
            <v>7.4724107298122365E-4</v>
          </cell>
          <cell r="AV81">
            <v>0</v>
          </cell>
          <cell r="AW81">
            <v>0</v>
          </cell>
          <cell r="AY81">
            <v>0</v>
          </cell>
          <cell r="AZ81">
            <v>0</v>
          </cell>
          <cell r="BA81">
            <v>0</v>
          </cell>
          <cell r="BB81">
            <v>0</v>
          </cell>
          <cell r="BC81">
            <v>0</v>
          </cell>
          <cell r="BD81">
            <v>0</v>
          </cell>
          <cell r="BE81">
            <v>0</v>
          </cell>
          <cell r="BF81">
            <v>0</v>
          </cell>
          <cell r="BG81">
            <v>0</v>
          </cell>
          <cell r="BH81">
            <v>0</v>
          </cell>
          <cell r="BJ81">
            <v>0</v>
          </cell>
          <cell r="BL81">
            <v>0</v>
          </cell>
          <cell r="BM81">
            <v>0</v>
          </cell>
          <cell r="BN81">
            <v>0</v>
          </cell>
          <cell r="BO81">
            <v>0</v>
          </cell>
          <cell r="BQ81">
            <v>0</v>
          </cell>
          <cell r="BR81">
            <v>0</v>
          </cell>
          <cell r="BS81">
            <v>0</v>
          </cell>
          <cell r="BT81">
            <v>0</v>
          </cell>
          <cell r="CB81">
            <v>0</v>
          </cell>
          <cell r="CC81">
            <v>0</v>
          </cell>
          <cell r="CD81">
            <v>0</v>
          </cell>
          <cell r="CE81">
            <v>0</v>
          </cell>
          <cell r="CF81">
            <v>0</v>
          </cell>
          <cell r="CI81">
            <v>0</v>
          </cell>
          <cell r="CJ81">
            <v>0</v>
          </cell>
          <cell r="CK81">
            <v>0</v>
          </cell>
          <cell r="CV81">
            <v>7.4381911771139971E-4</v>
          </cell>
          <cell r="DG81">
            <v>32358660</v>
          </cell>
          <cell r="DR81">
            <v>10981955.869999997</v>
          </cell>
          <cell r="EC81">
            <v>2.9465297787615321</v>
          </cell>
          <cell r="EN81">
            <v>2.4095909012463064E-2</v>
          </cell>
        </row>
        <row r="82">
          <cell r="B82">
            <v>30500</v>
          </cell>
          <cell r="C82" t="str">
            <v>Ashe County Schools</v>
          </cell>
          <cell r="D82">
            <v>1.1303530155867918E-3</v>
          </cell>
          <cell r="E82">
            <v>1955774.2802474413</v>
          </cell>
          <cell r="F82">
            <v>1524962.0587156597</v>
          </cell>
          <cell r="G82">
            <v>25543</v>
          </cell>
          <cell r="H82">
            <v>-545730.51929986326</v>
          </cell>
          <cell r="I82">
            <v>-22583.358571878358</v>
          </cell>
          <cell r="J82">
            <v>1650399.877113038</v>
          </cell>
          <cell r="K82">
            <v>0</v>
          </cell>
          <cell r="L82">
            <v>-86714.749350070371</v>
          </cell>
          <cell r="M82">
            <v>15561.583147195051</v>
          </cell>
          <cell r="N82">
            <v>586.63060802923326</v>
          </cell>
          <cell r="O82">
            <v>-264.73997978058253</v>
          </cell>
          <cell r="P82">
            <v>0</v>
          </cell>
          <cell r="Q82">
            <v>0</v>
          </cell>
          <cell r="R82">
            <v>0</v>
          </cell>
          <cell r="S82">
            <v>4517534.0626297714</v>
          </cell>
          <cell r="T82">
            <v>127714.52000000002</v>
          </cell>
          <cell r="U82">
            <v>8251999.3855651896</v>
          </cell>
          <cell r="V82">
            <v>62246.332588780206</v>
          </cell>
          <cell r="W82">
            <v>0</v>
          </cell>
          <cell r="X82">
            <v>8441960.2381539699</v>
          </cell>
          <cell r="Y82">
            <v>0</v>
          </cell>
          <cell r="Z82">
            <v>0</v>
          </cell>
          <cell r="AA82">
            <v>0</v>
          </cell>
          <cell r="AB82">
            <v>112916.79285939179</v>
          </cell>
          <cell r="AC82">
            <v>112916.79285939179</v>
          </cell>
          <cell r="AD82" t="str">
            <v>N/A</v>
          </cell>
          <cell r="AE82">
            <v>1668921</v>
          </cell>
          <cell r="AF82">
            <v>1668921</v>
          </cell>
          <cell r="AG82">
            <v>1668921</v>
          </cell>
          <cell r="AH82">
            <v>1668921</v>
          </cell>
          <cell r="AI82">
            <v>1653360</v>
          </cell>
          <cell r="AJ82">
            <v>0</v>
          </cell>
          <cell r="AK82">
            <v>8329044</v>
          </cell>
          <cell r="AL82">
            <v>37327809</v>
          </cell>
          <cell r="AM82">
            <v>4517534.0626297714</v>
          </cell>
          <cell r="AN82">
            <v>-1000188.52</v>
          </cell>
          <cell r="AO82">
            <v>8201328.925294579</v>
          </cell>
          <cell r="AP82">
            <v>0</v>
          </cell>
          <cell r="AQ82">
            <v>127714.52000000002</v>
          </cell>
          <cell r="AR82">
            <v>0</v>
          </cell>
          <cell r="AS82">
            <v>0</v>
          </cell>
          <cell r="AT82">
            <v>49174197.987924352</v>
          </cell>
          <cell r="AU82">
            <v>1.1258748290233754E-3</v>
          </cell>
          <cell r="AV82">
            <v>0</v>
          </cell>
          <cell r="AW82">
            <v>0</v>
          </cell>
          <cell r="AY82">
            <v>0</v>
          </cell>
          <cell r="AZ82">
            <v>0</v>
          </cell>
          <cell r="BA82">
            <v>0</v>
          </cell>
          <cell r="BB82">
            <v>0</v>
          </cell>
          <cell r="BC82">
            <v>0</v>
          </cell>
          <cell r="BD82">
            <v>0</v>
          </cell>
          <cell r="BE82">
            <v>0</v>
          </cell>
          <cell r="BF82">
            <v>0</v>
          </cell>
          <cell r="BG82">
            <v>0</v>
          </cell>
          <cell r="BH82">
            <v>0</v>
          </cell>
          <cell r="BJ82">
            <v>0</v>
          </cell>
          <cell r="BL82">
            <v>0</v>
          </cell>
          <cell r="BM82">
            <v>0</v>
          </cell>
          <cell r="BN82">
            <v>0</v>
          </cell>
          <cell r="BO82">
            <v>0</v>
          </cell>
          <cell r="BQ82">
            <v>0</v>
          </cell>
          <cell r="BR82">
            <v>0</v>
          </cell>
          <cell r="BS82">
            <v>0</v>
          </cell>
          <cell r="BT82">
            <v>0</v>
          </cell>
          <cell r="CB82">
            <v>0</v>
          </cell>
          <cell r="CC82">
            <v>0</v>
          </cell>
          <cell r="CD82">
            <v>0</v>
          </cell>
          <cell r="CE82">
            <v>0</v>
          </cell>
          <cell r="CF82">
            <v>0</v>
          </cell>
          <cell r="CI82">
            <v>0</v>
          </cell>
          <cell r="CJ82">
            <v>0</v>
          </cell>
          <cell r="CK82">
            <v>0</v>
          </cell>
          <cell r="CV82">
            <v>1.1303530155867918E-3</v>
          </cell>
          <cell r="DG82">
            <v>49174198</v>
          </cell>
          <cell r="DR82">
            <v>17406464.430000011</v>
          </cell>
          <cell r="EC82">
            <v>2.825053772278324</v>
          </cell>
          <cell r="EN82">
            <v>2.4095909012463064E-2</v>
          </cell>
        </row>
        <row r="83">
          <cell r="B83">
            <v>30600</v>
          </cell>
          <cell r="C83" t="str">
            <v>Avery County Schools</v>
          </cell>
          <cell r="D83">
            <v>8.8065594579946104E-4</v>
          </cell>
          <cell r="E83">
            <v>1523740.1278992938</v>
          </cell>
          <cell r="F83">
            <v>1188095.1221502849</v>
          </cell>
          <cell r="G83">
            <v>37218</v>
          </cell>
          <cell r="H83">
            <v>-425177.63919633668</v>
          </cell>
          <cell r="I83">
            <v>-17594.652934261871</v>
          </cell>
          <cell r="J83">
            <v>1285823.4946821334</v>
          </cell>
          <cell r="K83">
            <v>0</v>
          </cell>
          <cell r="L83">
            <v>-67559.300988820905</v>
          </cell>
          <cell r="M83">
            <v>12124.000675590491</v>
          </cell>
          <cell r="N83">
            <v>457.04282275100428</v>
          </cell>
          <cell r="O83">
            <v>-206.25842906569176</v>
          </cell>
          <cell r="P83">
            <v>0</v>
          </cell>
          <cell r="Q83">
            <v>0</v>
          </cell>
          <cell r="R83">
            <v>0</v>
          </cell>
          <cell r="S83">
            <v>3536919.9366815686</v>
          </cell>
          <cell r="T83">
            <v>186087.03999999992</v>
          </cell>
          <cell r="U83">
            <v>6429117.4734106669</v>
          </cell>
          <cell r="V83">
            <v>48496.002702361962</v>
          </cell>
          <cell r="W83">
            <v>0</v>
          </cell>
          <cell r="X83">
            <v>6663700.5161130289</v>
          </cell>
          <cell r="Y83">
            <v>0</v>
          </cell>
          <cell r="Z83">
            <v>0</v>
          </cell>
          <cell r="AA83">
            <v>0</v>
          </cell>
          <cell r="AB83">
            <v>87973.264671309356</v>
          </cell>
          <cell r="AC83">
            <v>87973.264671309356</v>
          </cell>
          <cell r="AD83" t="str">
            <v>N/A</v>
          </cell>
          <cell r="AE83">
            <v>1317571</v>
          </cell>
          <cell r="AF83">
            <v>1317571</v>
          </cell>
          <cell r="AG83">
            <v>1317571</v>
          </cell>
          <cell r="AH83">
            <v>1317571</v>
          </cell>
          <cell r="AI83">
            <v>1305447</v>
          </cell>
          <cell r="AJ83">
            <v>0</v>
          </cell>
          <cell r="AK83">
            <v>6575731</v>
          </cell>
          <cell r="AL83">
            <v>28980028</v>
          </cell>
          <cell r="AM83">
            <v>3536919.9366815686</v>
          </cell>
          <cell r="AN83">
            <v>-781149.03999999992</v>
          </cell>
          <cell r="AO83">
            <v>6389640.2114417199</v>
          </cell>
          <cell r="AP83">
            <v>0</v>
          </cell>
          <cell r="AQ83">
            <v>186087.03999999992</v>
          </cell>
          <cell r="AR83">
            <v>0</v>
          </cell>
          <cell r="AS83">
            <v>0</v>
          </cell>
          <cell r="AT83">
            <v>38311526.148123287</v>
          </cell>
          <cell r="AU83">
            <v>8.7409051284065005E-4</v>
          </cell>
          <cell r="AV83">
            <v>0</v>
          </cell>
          <cell r="AW83">
            <v>0</v>
          </cell>
          <cell r="AY83">
            <v>0</v>
          </cell>
          <cell r="AZ83">
            <v>0</v>
          </cell>
          <cell r="BA83">
            <v>0</v>
          </cell>
          <cell r="BB83">
            <v>0</v>
          </cell>
          <cell r="BC83">
            <v>0</v>
          </cell>
          <cell r="BD83">
            <v>0</v>
          </cell>
          <cell r="BE83">
            <v>0</v>
          </cell>
          <cell r="BF83">
            <v>0</v>
          </cell>
          <cell r="BG83">
            <v>0</v>
          </cell>
          <cell r="BH83">
            <v>0</v>
          </cell>
          <cell r="BJ83">
            <v>0</v>
          </cell>
          <cell r="BL83">
            <v>0</v>
          </cell>
          <cell r="BM83">
            <v>0</v>
          </cell>
          <cell r="BN83">
            <v>0</v>
          </cell>
          <cell r="BO83">
            <v>0</v>
          </cell>
          <cell r="BQ83">
            <v>0</v>
          </cell>
          <cell r="BR83">
            <v>0</v>
          </cell>
          <cell r="BS83">
            <v>0</v>
          </cell>
          <cell r="BT83">
            <v>0</v>
          </cell>
          <cell r="CB83">
            <v>0</v>
          </cell>
          <cell r="CC83">
            <v>0</v>
          </cell>
          <cell r="CD83">
            <v>0</v>
          </cell>
          <cell r="CE83">
            <v>0</v>
          </cell>
          <cell r="CF83">
            <v>0</v>
          </cell>
          <cell r="CI83">
            <v>0</v>
          </cell>
          <cell r="CJ83">
            <v>0</v>
          </cell>
          <cell r="CK83">
            <v>0</v>
          </cell>
          <cell r="CV83">
            <v>8.8065594579946104E-4</v>
          </cell>
          <cell r="DG83">
            <v>38311527</v>
          </cell>
          <cell r="DR83">
            <v>13750307.159999993</v>
          </cell>
          <cell r="EC83">
            <v>2.7862306313744938</v>
          </cell>
          <cell r="EN83">
            <v>2.4095909012463064E-2</v>
          </cell>
        </row>
        <row r="84">
          <cell r="B84">
            <v>30601</v>
          </cell>
          <cell r="C84" t="str">
            <v>Grandfather Academy</v>
          </cell>
          <cell r="D84">
            <v>2.2070122610231471E-5</v>
          </cell>
          <cell r="E84">
            <v>38186.45818411935</v>
          </cell>
          <cell r="F84">
            <v>29774.857188604896</v>
          </cell>
          <cell r="G84">
            <v>-4378</v>
          </cell>
          <cell r="H84">
            <v>-10655.378724177408</v>
          </cell>
          <cell r="I84">
            <v>-440.93967615368149</v>
          </cell>
          <cell r="J84">
            <v>32224.028371249049</v>
          </cell>
          <cell r="K84">
            <v>0</v>
          </cell>
          <cell r="L84">
            <v>-1693.1039452998173</v>
          </cell>
          <cell r="M84">
            <v>303.83963534579141</v>
          </cell>
          <cell r="N84">
            <v>11.453952232257929</v>
          </cell>
          <cell r="O84">
            <v>-5.1690434165423129</v>
          </cell>
          <cell r="P84">
            <v>0</v>
          </cell>
          <cell r="Q84">
            <v>0</v>
          </cell>
          <cell r="R84">
            <v>0</v>
          </cell>
          <cell r="S84">
            <v>83328.045942503886</v>
          </cell>
          <cell r="T84">
            <v>0</v>
          </cell>
          <cell r="U84">
            <v>161120.14185624526</v>
          </cell>
          <cell r="V84">
            <v>1215.3585413831656</v>
          </cell>
          <cell r="W84">
            <v>0</v>
          </cell>
          <cell r="X84">
            <v>162335.50039762844</v>
          </cell>
          <cell r="Y84">
            <v>21891.999999999996</v>
          </cell>
          <cell r="Z84">
            <v>0</v>
          </cell>
          <cell r="AA84">
            <v>0</v>
          </cell>
          <cell r="AB84">
            <v>2204.6983807684073</v>
          </cell>
          <cell r="AC84">
            <v>24096.698380768405</v>
          </cell>
          <cell r="AD84" t="str">
            <v>N/A</v>
          </cell>
          <cell r="AE84">
            <v>27709</v>
          </cell>
          <cell r="AF84">
            <v>27708</v>
          </cell>
          <cell r="AG84">
            <v>27708</v>
          </cell>
          <cell r="AH84">
            <v>27708</v>
          </cell>
          <cell r="AI84">
            <v>27404</v>
          </cell>
          <cell r="AJ84">
            <v>0</v>
          </cell>
          <cell r="AK84">
            <v>138237</v>
          </cell>
          <cell r="AL84">
            <v>755300</v>
          </cell>
          <cell r="AM84">
            <v>83328.045942503886</v>
          </cell>
          <cell r="AN84">
            <v>-16741.000000000004</v>
          </cell>
          <cell r="AO84">
            <v>160130.80201686002</v>
          </cell>
          <cell r="AP84">
            <v>0</v>
          </cell>
          <cell r="AQ84">
            <v>-21891.999999999996</v>
          </cell>
          <cell r="AR84">
            <v>0</v>
          </cell>
          <cell r="AS84">
            <v>0</v>
          </cell>
          <cell r="AT84">
            <v>960125.84795936383</v>
          </cell>
          <cell r="AU84">
            <v>2.2781225901468688E-5</v>
          </cell>
          <cell r="AV84">
            <v>0</v>
          </cell>
          <cell r="AW84">
            <v>0</v>
          </cell>
          <cell r="AY84">
            <v>0</v>
          </cell>
          <cell r="AZ84">
            <v>0</v>
          </cell>
          <cell r="BA84">
            <v>0</v>
          </cell>
          <cell r="BB84">
            <v>0</v>
          </cell>
          <cell r="BC84">
            <v>0</v>
          </cell>
          <cell r="BD84">
            <v>0</v>
          </cell>
          <cell r="BE84">
            <v>0</v>
          </cell>
          <cell r="BF84">
            <v>0</v>
          </cell>
          <cell r="BG84">
            <v>0</v>
          </cell>
          <cell r="BH84">
            <v>0</v>
          </cell>
          <cell r="BJ84">
            <v>0</v>
          </cell>
          <cell r="BL84">
            <v>0</v>
          </cell>
          <cell r="BM84">
            <v>0</v>
          </cell>
          <cell r="BN84">
            <v>0</v>
          </cell>
          <cell r="BO84">
            <v>0</v>
          </cell>
          <cell r="BQ84">
            <v>0</v>
          </cell>
          <cell r="BR84">
            <v>0</v>
          </cell>
          <cell r="BS84">
            <v>0</v>
          </cell>
          <cell r="BT84">
            <v>0</v>
          </cell>
          <cell r="CB84">
            <v>0</v>
          </cell>
          <cell r="CC84">
            <v>0</v>
          </cell>
          <cell r="CD84">
            <v>0</v>
          </cell>
          <cell r="CE84">
            <v>0</v>
          </cell>
          <cell r="CF84">
            <v>0</v>
          </cell>
          <cell r="CI84">
            <v>0</v>
          </cell>
          <cell r="CJ84">
            <v>0</v>
          </cell>
          <cell r="CK84">
            <v>0</v>
          </cell>
          <cell r="CV84">
            <v>2.2070122610231471E-5</v>
          </cell>
          <cell r="DG84">
            <v>960125</v>
          </cell>
          <cell r="DR84">
            <v>283559.88999999996</v>
          </cell>
          <cell r="EC84">
            <v>3.385969009932964</v>
          </cell>
          <cell r="EN84">
            <v>2.4095909012463064E-2</v>
          </cell>
        </row>
        <row r="85">
          <cell r="B85">
            <v>30700</v>
          </cell>
          <cell r="C85" t="str">
            <v>Beaufort County Schools</v>
          </cell>
          <cell r="D85">
            <v>2.2552872815913899E-3</v>
          </cell>
          <cell r="E85">
            <v>3902172.8602332659</v>
          </cell>
          <cell r="F85">
            <v>3042613.668921358</v>
          </cell>
          <cell r="G85">
            <v>-424220</v>
          </cell>
          <cell r="H85">
            <v>-1088844.8850771817</v>
          </cell>
          <cell r="I85">
            <v>-45058.455774840593</v>
          </cell>
          <cell r="J85">
            <v>3292887.9748781733</v>
          </cell>
          <cell r="K85">
            <v>0</v>
          </cell>
          <cell r="L85">
            <v>-173013.80067896389</v>
          </cell>
          <cell r="M85">
            <v>31048.566305701293</v>
          </cell>
          <cell r="N85">
            <v>1170.4489934002995</v>
          </cell>
          <cell r="O85">
            <v>-528.21083422151946</v>
          </cell>
          <cell r="P85">
            <v>0</v>
          </cell>
          <cell r="Q85">
            <v>0</v>
          </cell>
          <cell r="R85">
            <v>0</v>
          </cell>
          <cell r="S85">
            <v>8538228.1669666898</v>
          </cell>
          <cell r="T85">
            <v>65025.760000000242</v>
          </cell>
          <cell r="U85">
            <v>16464439.874390867</v>
          </cell>
          <cell r="V85">
            <v>124194.26522280517</v>
          </cell>
          <cell r="W85">
            <v>0</v>
          </cell>
          <cell r="X85">
            <v>16653659.899613671</v>
          </cell>
          <cell r="Y85">
            <v>2186127</v>
          </cell>
          <cell r="Z85">
            <v>0</v>
          </cell>
          <cell r="AA85">
            <v>0</v>
          </cell>
          <cell r="AB85">
            <v>225292.27887420295</v>
          </cell>
          <cell r="AC85">
            <v>2411419.2788742031</v>
          </cell>
          <cell r="AD85" t="str">
            <v>N/A</v>
          </cell>
          <cell r="AE85">
            <v>2854658</v>
          </cell>
          <cell r="AF85">
            <v>2854657</v>
          </cell>
          <cell r="AG85">
            <v>2854657</v>
          </cell>
          <cell r="AH85">
            <v>2854657</v>
          </cell>
          <cell r="AI85">
            <v>2823609</v>
          </cell>
          <cell r="AJ85">
            <v>0</v>
          </cell>
          <cell r="AK85">
            <v>14242238</v>
          </cell>
          <cell r="AL85">
            <v>77396259</v>
          </cell>
          <cell r="AM85">
            <v>8538228.1669666898</v>
          </cell>
          <cell r="AN85">
            <v>-2064064.7600000002</v>
          </cell>
          <cell r="AO85">
            <v>16363341.86073947</v>
          </cell>
          <cell r="AP85">
            <v>0</v>
          </cell>
          <cell r="AQ85">
            <v>-2121101.2399999998</v>
          </cell>
          <cell r="AR85">
            <v>0</v>
          </cell>
          <cell r="AS85">
            <v>0</v>
          </cell>
          <cell r="AT85">
            <v>98112663.027706161</v>
          </cell>
          <cell r="AU85">
            <v>2.3344123720872964E-3</v>
          </cell>
          <cell r="AV85">
            <v>0</v>
          </cell>
          <cell r="AW85">
            <v>0</v>
          </cell>
          <cell r="AY85">
            <v>0</v>
          </cell>
          <cell r="AZ85">
            <v>0</v>
          </cell>
          <cell r="BA85">
            <v>0</v>
          </cell>
          <cell r="BB85">
            <v>0</v>
          </cell>
          <cell r="BC85">
            <v>0</v>
          </cell>
          <cell r="BD85">
            <v>0</v>
          </cell>
          <cell r="BE85">
            <v>0</v>
          </cell>
          <cell r="BF85">
            <v>0</v>
          </cell>
          <cell r="BG85">
            <v>0</v>
          </cell>
          <cell r="BH85">
            <v>0</v>
          </cell>
          <cell r="BJ85">
            <v>0</v>
          </cell>
          <cell r="BL85">
            <v>0</v>
          </cell>
          <cell r="BM85">
            <v>0</v>
          </cell>
          <cell r="BN85">
            <v>0</v>
          </cell>
          <cell r="BO85">
            <v>0</v>
          </cell>
          <cell r="BQ85">
            <v>0</v>
          </cell>
          <cell r="BR85">
            <v>0</v>
          </cell>
          <cell r="BS85">
            <v>0</v>
          </cell>
          <cell r="BT85">
            <v>0</v>
          </cell>
          <cell r="CB85">
            <v>0</v>
          </cell>
          <cell r="CC85">
            <v>0</v>
          </cell>
          <cell r="CD85">
            <v>0</v>
          </cell>
          <cell r="CE85">
            <v>0</v>
          </cell>
          <cell r="CF85">
            <v>0</v>
          </cell>
          <cell r="CI85">
            <v>0</v>
          </cell>
          <cell r="CJ85">
            <v>0</v>
          </cell>
          <cell r="CK85">
            <v>0</v>
          </cell>
          <cell r="CV85">
            <v>2.2552872815913899E-3</v>
          </cell>
          <cell r="DG85">
            <v>98112662</v>
          </cell>
          <cell r="DR85">
            <v>35413191.710000023</v>
          </cell>
          <cell r="EC85">
            <v>2.7705117009347342</v>
          </cell>
          <cell r="EN85">
            <v>2.4095909012463064E-2</v>
          </cell>
        </row>
        <row r="86">
          <cell r="B86">
            <v>30705</v>
          </cell>
          <cell r="C86" t="str">
            <v>Beaufort County Community College</v>
          </cell>
          <cell r="D86">
            <v>4.4830303929421523E-4</v>
          </cell>
          <cell r="E86">
            <v>775668.78835036152</v>
          </cell>
          <cell r="F86">
            <v>604806.74294100772</v>
          </cell>
          <cell r="G86">
            <v>65992</v>
          </cell>
          <cell r="H86">
            <v>-216439.15402015747</v>
          </cell>
          <cell r="I86">
            <v>-8956.6605703161167</v>
          </cell>
          <cell r="J86">
            <v>654555.94027542463</v>
          </cell>
          <cell r="K86">
            <v>0</v>
          </cell>
          <cell r="L86">
            <v>-34391.455721549079</v>
          </cell>
          <cell r="M86">
            <v>6171.793169849353</v>
          </cell>
          <cell r="N86">
            <v>232.66031133291182</v>
          </cell>
          <cell r="O86">
            <v>-104.99705483309815</v>
          </cell>
          <cell r="P86">
            <v>0</v>
          </cell>
          <cell r="Q86">
            <v>0</v>
          </cell>
          <cell r="R86">
            <v>0</v>
          </cell>
          <cell r="S86">
            <v>1847535.6576811208</v>
          </cell>
          <cell r="T86">
            <v>329958.42999999993</v>
          </cell>
          <cell r="U86">
            <v>3272779.7013771231</v>
          </cell>
          <cell r="V86">
            <v>24687.172679397412</v>
          </cell>
          <cell r="W86">
            <v>0</v>
          </cell>
          <cell r="X86">
            <v>3627425.3040565206</v>
          </cell>
          <cell r="Y86">
            <v>0</v>
          </cell>
          <cell r="Z86">
            <v>0</v>
          </cell>
          <cell r="AA86">
            <v>0</v>
          </cell>
          <cell r="AB86">
            <v>44783.302851580578</v>
          </cell>
          <cell r="AC86">
            <v>44783.302851580578</v>
          </cell>
          <cell r="AD86" t="str">
            <v>N/A</v>
          </cell>
          <cell r="AE86">
            <v>717763</v>
          </cell>
          <cell r="AF86">
            <v>717763</v>
          </cell>
          <cell r="AG86">
            <v>717763</v>
          </cell>
          <cell r="AH86">
            <v>717763</v>
          </cell>
          <cell r="AI86">
            <v>711591</v>
          </cell>
          <cell r="AJ86">
            <v>0</v>
          </cell>
          <cell r="AK86">
            <v>3582643</v>
          </cell>
          <cell r="AL86">
            <v>14501690</v>
          </cell>
          <cell r="AM86">
            <v>1847535.6576811208</v>
          </cell>
          <cell r="AN86">
            <v>-429161.42999999993</v>
          </cell>
          <cell r="AO86">
            <v>3252683.5712049403</v>
          </cell>
          <cell r="AP86">
            <v>0</v>
          </cell>
          <cell r="AQ86">
            <v>329958.42999999993</v>
          </cell>
          <cell r="AR86">
            <v>0</v>
          </cell>
          <cell r="AS86">
            <v>0</v>
          </cell>
          <cell r="AT86">
            <v>19502706.22888606</v>
          </cell>
          <cell r="AU86">
            <v>4.3739742272357111E-4</v>
          </cell>
          <cell r="AV86">
            <v>0</v>
          </cell>
          <cell r="AW86">
            <v>0</v>
          </cell>
          <cell r="AY86">
            <v>0</v>
          </cell>
          <cell r="AZ86">
            <v>0</v>
          </cell>
          <cell r="BA86">
            <v>0</v>
          </cell>
          <cell r="BB86">
            <v>0</v>
          </cell>
          <cell r="BC86">
            <v>0</v>
          </cell>
          <cell r="BD86">
            <v>0</v>
          </cell>
          <cell r="BE86">
            <v>0</v>
          </cell>
          <cell r="BF86">
            <v>0</v>
          </cell>
          <cell r="BG86">
            <v>0</v>
          </cell>
          <cell r="BH86">
            <v>0</v>
          </cell>
          <cell r="BJ86">
            <v>0</v>
          </cell>
          <cell r="BL86">
            <v>0</v>
          </cell>
          <cell r="BM86">
            <v>0</v>
          </cell>
          <cell r="BN86">
            <v>0</v>
          </cell>
          <cell r="BO86">
            <v>0</v>
          </cell>
          <cell r="BQ86">
            <v>0</v>
          </cell>
          <cell r="BR86">
            <v>0</v>
          </cell>
          <cell r="BS86">
            <v>0</v>
          </cell>
          <cell r="BT86">
            <v>0</v>
          </cell>
          <cell r="CB86">
            <v>0</v>
          </cell>
          <cell r="CC86">
            <v>0</v>
          </cell>
          <cell r="CD86">
            <v>0</v>
          </cell>
          <cell r="CE86">
            <v>0</v>
          </cell>
          <cell r="CF86">
            <v>0</v>
          </cell>
          <cell r="CI86">
            <v>0</v>
          </cell>
          <cell r="CJ86">
            <v>0</v>
          </cell>
          <cell r="CK86">
            <v>0</v>
          </cell>
          <cell r="CV86">
            <v>4.4830303929421523E-4</v>
          </cell>
          <cell r="DG86">
            <v>19502706</v>
          </cell>
          <cell r="DR86">
            <v>7293056.6900000023</v>
          </cell>
          <cell r="EC86">
            <v>2.6741470454688039</v>
          </cell>
          <cell r="EN86">
            <v>2.4095909012463064E-2</v>
          </cell>
        </row>
        <row r="87">
          <cell r="B87">
            <v>30800</v>
          </cell>
          <cell r="C87" t="str">
            <v>Bertie County Schools</v>
          </cell>
          <cell r="D87">
            <v>8.7643852311274301E-4</v>
          </cell>
          <cell r="E87">
            <v>1516443.003279041</v>
          </cell>
          <cell r="F87">
            <v>1182405.3867365452</v>
          </cell>
          <cell r="G87">
            <v>-427061</v>
          </cell>
          <cell r="H87">
            <v>-423141.48213638068</v>
          </cell>
          <cell r="I87">
            <v>-17510.392913303829</v>
          </cell>
          <cell r="J87">
            <v>1279665.742380053</v>
          </cell>
          <cell r="K87">
            <v>0</v>
          </cell>
          <cell r="L87">
            <v>-67235.762460468133</v>
          </cell>
          <cell r="M87">
            <v>12065.939368280968</v>
          </cell>
          <cell r="N87">
            <v>454.85406472505139</v>
          </cell>
          <cell r="O87">
            <v>-205.27066649823553</v>
          </cell>
          <cell r="P87">
            <v>0</v>
          </cell>
          <cell r="Q87">
            <v>0</v>
          </cell>
          <cell r="R87">
            <v>0</v>
          </cell>
          <cell r="S87">
            <v>3055881.0176519942</v>
          </cell>
          <cell r="T87">
            <v>57022.130000000005</v>
          </cell>
          <cell r="U87">
            <v>6398328.711900265</v>
          </cell>
          <cell r="V87">
            <v>48263.757473123871</v>
          </cell>
          <cell r="W87">
            <v>0</v>
          </cell>
          <cell r="X87">
            <v>6503614.599373389</v>
          </cell>
          <cell r="Y87">
            <v>2192329</v>
          </cell>
          <cell r="Z87">
            <v>0</v>
          </cell>
          <cell r="AA87">
            <v>0</v>
          </cell>
          <cell r="AB87">
            <v>87551.964566519149</v>
          </cell>
          <cell r="AC87">
            <v>2279880.964566519</v>
          </cell>
          <cell r="AD87" t="str">
            <v>N/A</v>
          </cell>
          <cell r="AE87">
            <v>847159</v>
          </cell>
          <cell r="AF87">
            <v>847160</v>
          </cell>
          <cell r="AG87">
            <v>847160</v>
          </cell>
          <cell r="AH87">
            <v>847160</v>
          </cell>
          <cell r="AI87">
            <v>835094</v>
          </cell>
          <cell r="AJ87">
            <v>0</v>
          </cell>
          <cell r="AK87">
            <v>4223733</v>
          </cell>
          <cell r="AL87">
            <v>31688670</v>
          </cell>
          <cell r="AM87">
            <v>3055881.0176519942</v>
          </cell>
          <cell r="AN87">
            <v>-840230.13</v>
          </cell>
          <cell r="AO87">
            <v>6359040.5048068697</v>
          </cell>
          <cell r="AP87">
            <v>0</v>
          </cell>
          <cell r="AQ87">
            <v>-2135306.87</v>
          </cell>
          <cell r="AR87">
            <v>0</v>
          </cell>
          <cell r="AS87">
            <v>0</v>
          </cell>
          <cell r="AT87">
            <v>38128054.522458866</v>
          </cell>
          <cell r="AU87">
            <v>9.5578810444558906E-4</v>
          </cell>
          <cell r="AV87">
            <v>0</v>
          </cell>
          <cell r="AW87">
            <v>0</v>
          </cell>
          <cell r="AY87">
            <v>0</v>
          </cell>
          <cell r="AZ87">
            <v>0</v>
          </cell>
          <cell r="BA87">
            <v>0</v>
          </cell>
          <cell r="BB87">
            <v>0</v>
          </cell>
          <cell r="BC87">
            <v>0</v>
          </cell>
          <cell r="BD87">
            <v>0</v>
          </cell>
          <cell r="BE87">
            <v>0</v>
          </cell>
          <cell r="BF87">
            <v>0</v>
          </cell>
          <cell r="BG87">
            <v>0</v>
          </cell>
          <cell r="BH87">
            <v>0</v>
          </cell>
          <cell r="BJ87">
            <v>0</v>
          </cell>
          <cell r="BL87">
            <v>0</v>
          </cell>
          <cell r="BM87">
            <v>0</v>
          </cell>
          <cell r="BN87">
            <v>0</v>
          </cell>
          <cell r="BO87">
            <v>0</v>
          </cell>
          <cell r="BQ87">
            <v>0</v>
          </cell>
          <cell r="BR87">
            <v>0</v>
          </cell>
          <cell r="BS87">
            <v>0</v>
          </cell>
          <cell r="BT87">
            <v>0</v>
          </cell>
          <cell r="CB87">
            <v>0</v>
          </cell>
          <cell r="CC87">
            <v>0</v>
          </cell>
          <cell r="CD87">
            <v>0</v>
          </cell>
          <cell r="CE87">
            <v>0</v>
          </cell>
          <cell r="CF87">
            <v>0</v>
          </cell>
          <cell r="CI87">
            <v>0</v>
          </cell>
          <cell r="CJ87">
            <v>0</v>
          </cell>
          <cell r="CK87">
            <v>0</v>
          </cell>
          <cell r="CV87">
            <v>8.7643852311274301E-4</v>
          </cell>
          <cell r="DG87">
            <v>38128055</v>
          </cell>
          <cell r="DR87">
            <v>14297118.020000001</v>
          </cell>
          <cell r="EC87">
            <v>2.6668350185445275</v>
          </cell>
          <cell r="EN87">
            <v>2.4095909012463064E-2</v>
          </cell>
        </row>
        <row r="88">
          <cell r="B88">
            <v>30900</v>
          </cell>
          <cell r="C88" t="str">
            <v>Bladen County Schools</v>
          </cell>
          <cell r="D88">
            <v>1.4630847682845518E-3</v>
          </cell>
          <cell r="E88">
            <v>2531477.7951446106</v>
          </cell>
          <cell r="F88">
            <v>1973851.2920766564</v>
          </cell>
          <cell r="G88">
            <v>-356090</v>
          </cell>
          <cell r="H88">
            <v>-706372.25660087715</v>
          </cell>
          <cell r="I88">
            <v>-29231.016759902279</v>
          </cell>
          <cell r="J88">
            <v>2136213.1020009439</v>
          </cell>
          <cell r="K88">
            <v>0</v>
          </cell>
          <cell r="L88">
            <v>-112240.18267765587</v>
          </cell>
          <cell r="M88">
            <v>20142.305066736448</v>
          </cell>
          <cell r="N88">
            <v>759.31173304431672</v>
          </cell>
          <cell r="O88">
            <v>-342.66908357992486</v>
          </cell>
          <cell r="P88">
            <v>0</v>
          </cell>
          <cell r="Q88">
            <v>0</v>
          </cell>
          <cell r="R88">
            <v>0</v>
          </cell>
          <cell r="S88">
            <v>5458167.6808999768</v>
          </cell>
          <cell r="T88">
            <v>72471.319999999832</v>
          </cell>
          <cell r="U88">
            <v>10681065.51000472</v>
          </cell>
          <cell r="V88">
            <v>80569.220266945791</v>
          </cell>
          <cell r="W88">
            <v>0</v>
          </cell>
          <cell r="X88">
            <v>10834106.050271666</v>
          </cell>
          <cell r="Y88">
            <v>1852917</v>
          </cell>
          <cell r="Z88">
            <v>0</v>
          </cell>
          <cell r="AA88">
            <v>0</v>
          </cell>
          <cell r="AB88">
            <v>146155.0837995114</v>
          </cell>
          <cell r="AC88">
            <v>1999072.0837995114</v>
          </cell>
          <cell r="AD88" t="str">
            <v>N/A</v>
          </cell>
          <cell r="AE88">
            <v>1771035</v>
          </cell>
          <cell r="AF88">
            <v>1771034</v>
          </cell>
          <cell r="AG88">
            <v>1771034</v>
          </cell>
          <cell r="AH88">
            <v>1771034</v>
          </cell>
          <cell r="AI88">
            <v>1750892</v>
          </cell>
          <cell r="AJ88">
            <v>0</v>
          </cell>
          <cell r="AK88">
            <v>8835029</v>
          </cell>
          <cell r="AL88">
            <v>50731335</v>
          </cell>
          <cell r="AM88">
            <v>5458167.6808999768</v>
          </cell>
          <cell r="AN88">
            <v>-1375376.3199999998</v>
          </cell>
          <cell r="AO88">
            <v>10615479.646472154</v>
          </cell>
          <cell r="AP88">
            <v>0</v>
          </cell>
          <cell r="AQ88">
            <v>-1780445.6800000002</v>
          </cell>
          <cell r="AR88">
            <v>0</v>
          </cell>
          <cell r="AS88">
            <v>0</v>
          </cell>
          <cell r="AT88">
            <v>63649160.327372134</v>
          </cell>
          <cell r="AU88">
            <v>1.5301496183253258E-3</v>
          </cell>
          <cell r="AV88">
            <v>0</v>
          </cell>
          <cell r="AW88">
            <v>0</v>
          </cell>
          <cell r="AY88">
            <v>0</v>
          </cell>
          <cell r="AZ88">
            <v>0</v>
          </cell>
          <cell r="BA88">
            <v>0</v>
          </cell>
          <cell r="BB88">
            <v>0</v>
          </cell>
          <cell r="BC88">
            <v>0</v>
          </cell>
          <cell r="BD88">
            <v>0</v>
          </cell>
          <cell r="BE88">
            <v>0</v>
          </cell>
          <cell r="BF88">
            <v>0</v>
          </cell>
          <cell r="BG88">
            <v>0</v>
          </cell>
          <cell r="BH88">
            <v>0</v>
          </cell>
          <cell r="BJ88">
            <v>0</v>
          </cell>
          <cell r="BL88">
            <v>0</v>
          </cell>
          <cell r="BM88">
            <v>0</v>
          </cell>
          <cell r="BN88">
            <v>0</v>
          </cell>
          <cell r="BO88">
            <v>0</v>
          </cell>
          <cell r="BQ88">
            <v>0</v>
          </cell>
          <cell r="BR88">
            <v>0</v>
          </cell>
          <cell r="BS88">
            <v>0</v>
          </cell>
          <cell r="BT88">
            <v>0</v>
          </cell>
          <cell r="CB88">
            <v>0</v>
          </cell>
          <cell r="CC88">
            <v>0</v>
          </cell>
          <cell r="CD88">
            <v>0</v>
          </cell>
          <cell r="CE88">
            <v>0</v>
          </cell>
          <cell r="CF88">
            <v>0</v>
          </cell>
          <cell r="CI88">
            <v>0</v>
          </cell>
          <cell r="CJ88">
            <v>0</v>
          </cell>
          <cell r="CK88">
            <v>0</v>
          </cell>
          <cell r="CV88">
            <v>1.4630847682845518E-3</v>
          </cell>
          <cell r="DG88">
            <v>63649160</v>
          </cell>
          <cell r="DR88">
            <v>23961633.410000011</v>
          </cell>
          <cell r="EC88">
            <v>2.6562947070810718</v>
          </cell>
          <cell r="EN88">
            <v>2.4095909012463064E-2</v>
          </cell>
        </row>
        <row r="89">
          <cell r="B89">
            <v>30905</v>
          </cell>
          <cell r="C89" t="str">
            <v>Bladen Community College</v>
          </cell>
          <cell r="D89">
            <v>3.0286670498713838E-4</v>
          </cell>
          <cell r="E89">
            <v>524030.01875448454</v>
          </cell>
          <cell r="F89">
            <v>408598.22337347665</v>
          </cell>
          <cell r="G89">
            <v>-156197</v>
          </cell>
          <cell r="H89">
            <v>-146222.99574745423</v>
          </cell>
          <cell r="I89">
            <v>-6050.9834572849595</v>
          </cell>
          <cell r="J89">
            <v>442208.02333412616</v>
          </cell>
          <cell r="K89">
            <v>0</v>
          </cell>
          <cell r="L89">
            <v>-23234.343649543582</v>
          </cell>
          <cell r="M89">
            <v>4169.5694594380138</v>
          </cell>
          <cell r="N89">
            <v>157.18176255422509</v>
          </cell>
          <cell r="O89">
            <v>-70.934410975037679</v>
          </cell>
          <cell r="P89">
            <v>0</v>
          </cell>
          <cell r="Q89">
            <v>0</v>
          </cell>
          <cell r="R89">
            <v>0</v>
          </cell>
          <cell r="S89">
            <v>1047386.7594188218</v>
          </cell>
          <cell r="T89">
            <v>40756.950000000012</v>
          </cell>
          <cell r="U89">
            <v>2211040.1166706309</v>
          </cell>
          <cell r="V89">
            <v>16678.277837752055</v>
          </cell>
          <cell r="W89">
            <v>0</v>
          </cell>
          <cell r="X89">
            <v>2268475.344508383</v>
          </cell>
          <cell r="Y89">
            <v>821737</v>
          </cell>
          <cell r="Z89">
            <v>0</v>
          </cell>
          <cell r="AA89">
            <v>0</v>
          </cell>
          <cell r="AB89">
            <v>30254.917286424799</v>
          </cell>
          <cell r="AC89">
            <v>851991.91728642478</v>
          </cell>
          <cell r="AD89" t="str">
            <v>N/A</v>
          </cell>
          <cell r="AE89">
            <v>284131</v>
          </cell>
          <cell r="AF89">
            <v>284130</v>
          </cell>
          <cell r="AG89">
            <v>284130</v>
          </cell>
          <cell r="AH89">
            <v>284130</v>
          </cell>
          <cell r="AI89">
            <v>279960</v>
          </cell>
          <cell r="AJ89">
            <v>0</v>
          </cell>
          <cell r="AK89">
            <v>1416481</v>
          </cell>
          <cell r="AL89">
            <v>11027477</v>
          </cell>
          <cell r="AM89">
            <v>1047386.7594188218</v>
          </cell>
          <cell r="AN89">
            <v>-315615.95</v>
          </cell>
          <cell r="AO89">
            <v>2197463.4772219583</v>
          </cell>
          <cell r="AP89">
            <v>0</v>
          </cell>
          <cell r="AQ89">
            <v>-780980.05</v>
          </cell>
          <cell r="AR89">
            <v>0</v>
          </cell>
          <cell r="AS89">
            <v>0</v>
          </cell>
          <cell r="AT89">
            <v>13175731.236640779</v>
          </cell>
          <cell r="AU89">
            <v>3.3260882882919568E-4</v>
          </cell>
          <cell r="AV89">
            <v>0</v>
          </cell>
          <cell r="AW89">
            <v>0</v>
          </cell>
          <cell r="AY89">
            <v>0</v>
          </cell>
          <cell r="AZ89">
            <v>0</v>
          </cell>
          <cell r="BA89">
            <v>0</v>
          </cell>
          <cell r="BB89">
            <v>0</v>
          </cell>
          <cell r="BC89">
            <v>0</v>
          </cell>
          <cell r="BD89">
            <v>0</v>
          </cell>
          <cell r="BE89">
            <v>0</v>
          </cell>
          <cell r="BF89">
            <v>0</v>
          </cell>
          <cell r="BG89">
            <v>0</v>
          </cell>
          <cell r="BH89">
            <v>0</v>
          </cell>
          <cell r="BJ89">
            <v>0</v>
          </cell>
          <cell r="BL89">
            <v>0</v>
          </cell>
          <cell r="BM89">
            <v>0</v>
          </cell>
          <cell r="BN89">
            <v>0</v>
          </cell>
          <cell r="BO89">
            <v>0</v>
          </cell>
          <cell r="BQ89">
            <v>0</v>
          </cell>
          <cell r="BR89">
            <v>0</v>
          </cell>
          <cell r="BS89">
            <v>0</v>
          </cell>
          <cell r="BT89">
            <v>0</v>
          </cell>
          <cell r="CB89">
            <v>0</v>
          </cell>
          <cell r="CC89">
            <v>0</v>
          </cell>
          <cell r="CD89">
            <v>0</v>
          </cell>
          <cell r="CE89">
            <v>0</v>
          </cell>
          <cell r="CF89">
            <v>0</v>
          </cell>
          <cell r="CI89">
            <v>0</v>
          </cell>
          <cell r="CJ89">
            <v>0</v>
          </cell>
          <cell r="CK89">
            <v>0</v>
          </cell>
          <cell r="CV89">
            <v>3.0286670498713838E-4</v>
          </cell>
          <cell r="DG89">
            <v>13175731</v>
          </cell>
          <cell r="DR89">
            <v>5723122.6500000013</v>
          </cell>
          <cell r="EC89">
            <v>2.3021926674942037</v>
          </cell>
          <cell r="EN89">
            <v>2.4095909012463064E-2</v>
          </cell>
        </row>
        <row r="90">
          <cell r="B90">
            <v>31000</v>
          </cell>
          <cell r="C90" t="str">
            <v>Brunswick County Schools</v>
          </cell>
          <cell r="D90">
            <v>4.1676672482830312E-3</v>
          </cell>
          <cell r="E90">
            <v>7211036.1103342585</v>
          </cell>
          <cell r="F90">
            <v>5622610.2282606093</v>
          </cell>
          <cell r="G90">
            <v>-308896</v>
          </cell>
          <cell r="H90">
            <v>-2012135.3066801226</v>
          </cell>
          <cell r="I90">
            <v>-83265.955483287224</v>
          </cell>
          <cell r="J90">
            <v>6085105.6436060881</v>
          </cell>
          <cell r="K90">
            <v>0</v>
          </cell>
          <cell r="L90">
            <v>-319721.55231677828</v>
          </cell>
          <cell r="M90">
            <v>57376.323608364095</v>
          </cell>
          <cell r="N90">
            <v>2162.9359485139275</v>
          </cell>
          <cell r="O90">
            <v>-976.10934622036871</v>
          </cell>
          <cell r="P90">
            <v>0</v>
          </cell>
          <cell r="Q90">
            <v>0</v>
          </cell>
          <cell r="R90">
            <v>0</v>
          </cell>
          <cell r="S90">
            <v>16253296.317931427</v>
          </cell>
          <cell r="T90">
            <v>17427.320000000298</v>
          </cell>
          <cell r="U90">
            <v>30425528.218030442</v>
          </cell>
          <cell r="V90">
            <v>229505.29443345638</v>
          </cell>
          <cell r="W90">
            <v>0</v>
          </cell>
          <cell r="X90">
            <v>30672460.832463898</v>
          </cell>
          <cell r="Y90">
            <v>1561907</v>
          </cell>
          <cell r="Z90">
            <v>0</v>
          </cell>
          <cell r="AA90">
            <v>0</v>
          </cell>
          <cell r="AB90">
            <v>416329.77741643612</v>
          </cell>
          <cell r="AC90">
            <v>1978236.777416436</v>
          </cell>
          <cell r="AD90" t="str">
            <v>N/A</v>
          </cell>
          <cell r="AE90">
            <v>5750320</v>
          </cell>
          <cell r="AF90">
            <v>5750320</v>
          </cell>
          <cell r="AG90">
            <v>5750320</v>
          </cell>
          <cell r="AH90">
            <v>5750320</v>
          </cell>
          <cell r="AI90">
            <v>5692944</v>
          </cell>
          <cell r="AJ90">
            <v>0</v>
          </cell>
          <cell r="AK90">
            <v>28694224</v>
          </cell>
          <cell r="AL90">
            <v>140051183</v>
          </cell>
          <cell r="AM90">
            <v>16253296.317931427</v>
          </cell>
          <cell r="AN90">
            <v>-3691012.3200000003</v>
          </cell>
          <cell r="AO90">
            <v>30238703.735047463</v>
          </cell>
          <cell r="AP90">
            <v>0</v>
          </cell>
          <cell r="AQ90">
            <v>-1544479.6799999997</v>
          </cell>
          <cell r="AR90">
            <v>0</v>
          </cell>
          <cell r="AS90">
            <v>0</v>
          </cell>
          <cell r="AT90">
            <v>181307691.05297887</v>
          </cell>
          <cell r="AU90">
            <v>4.2241991804338845E-3</v>
          </cell>
          <cell r="AV90">
            <v>0</v>
          </cell>
          <cell r="AW90">
            <v>0</v>
          </cell>
          <cell r="AY90">
            <v>0</v>
          </cell>
          <cell r="AZ90">
            <v>0</v>
          </cell>
          <cell r="BA90">
            <v>0</v>
          </cell>
          <cell r="BB90">
            <v>0</v>
          </cell>
          <cell r="BC90">
            <v>0</v>
          </cell>
          <cell r="BD90">
            <v>0</v>
          </cell>
          <cell r="BE90">
            <v>0</v>
          </cell>
          <cell r="BF90">
            <v>0</v>
          </cell>
          <cell r="BG90">
            <v>0</v>
          </cell>
          <cell r="BH90">
            <v>0</v>
          </cell>
          <cell r="BJ90">
            <v>0</v>
          </cell>
          <cell r="BL90">
            <v>0</v>
          </cell>
          <cell r="BM90">
            <v>0</v>
          </cell>
          <cell r="BN90">
            <v>0</v>
          </cell>
          <cell r="BO90">
            <v>0</v>
          </cell>
          <cell r="BQ90">
            <v>0</v>
          </cell>
          <cell r="BR90">
            <v>0</v>
          </cell>
          <cell r="BS90">
            <v>0</v>
          </cell>
          <cell r="BT90">
            <v>0</v>
          </cell>
          <cell r="CB90">
            <v>0</v>
          </cell>
          <cell r="CC90">
            <v>0</v>
          </cell>
          <cell r="CD90">
            <v>0</v>
          </cell>
          <cell r="CE90">
            <v>0</v>
          </cell>
          <cell r="CF90">
            <v>0</v>
          </cell>
          <cell r="CI90">
            <v>0</v>
          </cell>
          <cell r="CJ90">
            <v>0</v>
          </cell>
          <cell r="CK90">
            <v>0</v>
          </cell>
          <cell r="CV90">
            <v>4.1676672482830312E-3</v>
          </cell>
          <cell r="DG90">
            <v>181307691</v>
          </cell>
          <cell r="DR90">
            <v>64067581.710000083</v>
          </cell>
          <cell r="EC90">
            <v>2.8299443518983378</v>
          </cell>
          <cell r="EN90">
            <v>2.4095909012463064E-2</v>
          </cell>
        </row>
        <row r="91">
          <cell r="B91">
            <v>31005</v>
          </cell>
          <cell r="C91" t="str">
            <v>Brunswick Community College</v>
          </cell>
          <cell r="D91">
            <v>4.139727274287298E-4</v>
          </cell>
          <cell r="E91">
            <v>716269.34405858442</v>
          </cell>
          <cell r="F91">
            <v>558491.63399996248</v>
          </cell>
          <cell r="G91">
            <v>-15265</v>
          </cell>
          <cell r="H91">
            <v>-199864.59840458122</v>
          </cell>
          <cell r="I91">
            <v>-8270.7741861052546</v>
          </cell>
          <cell r="J91">
            <v>604431.11935420416</v>
          </cell>
          <cell r="K91">
            <v>0</v>
          </cell>
          <cell r="L91">
            <v>-31757.814418809758</v>
          </cell>
          <cell r="M91">
            <v>5699.1673660542829</v>
          </cell>
          <cell r="N91">
            <v>214.8435660809622</v>
          </cell>
          <cell r="O91">
            <v>-96.956552491082803</v>
          </cell>
          <cell r="P91">
            <v>0</v>
          </cell>
          <cell r="Q91">
            <v>0</v>
          </cell>
          <cell r="R91">
            <v>0</v>
          </cell>
          <cell r="S91">
            <v>1629850.964782899</v>
          </cell>
          <cell r="T91">
            <v>54065.590000000026</v>
          </cell>
          <cell r="U91">
            <v>3022155.5967710209</v>
          </cell>
          <cell r="V91">
            <v>22796.669464217131</v>
          </cell>
          <cell r="W91">
            <v>0</v>
          </cell>
          <cell r="X91">
            <v>3099017.8562352378</v>
          </cell>
          <cell r="Y91">
            <v>130390</v>
          </cell>
          <cell r="Z91">
            <v>0</v>
          </cell>
          <cell r="AA91">
            <v>0</v>
          </cell>
          <cell r="AB91">
            <v>41353.870930526275</v>
          </cell>
          <cell r="AC91">
            <v>171743.87093052629</v>
          </cell>
          <cell r="AD91" t="str">
            <v>N/A</v>
          </cell>
          <cell r="AE91">
            <v>586595</v>
          </cell>
          <cell r="AF91">
            <v>586595</v>
          </cell>
          <cell r="AG91">
            <v>586595</v>
          </cell>
          <cell r="AH91">
            <v>586595</v>
          </cell>
          <cell r="AI91">
            <v>580895</v>
          </cell>
          <cell r="AJ91">
            <v>0</v>
          </cell>
          <cell r="AK91">
            <v>2927275</v>
          </cell>
          <cell r="AL91">
            <v>13881524</v>
          </cell>
          <cell r="AM91">
            <v>1629850.964782899</v>
          </cell>
          <cell r="AN91">
            <v>-429428.59</v>
          </cell>
          <cell r="AO91">
            <v>3003598.395304712</v>
          </cell>
          <cell r="AP91">
            <v>0</v>
          </cell>
          <cell r="AQ91">
            <v>-76324.409999999974</v>
          </cell>
          <cell r="AR91">
            <v>0</v>
          </cell>
          <cell r="AS91">
            <v>0</v>
          </cell>
          <cell r="AT91">
            <v>18009220.360087611</v>
          </cell>
          <cell r="AU91">
            <v>4.1869208054641017E-4</v>
          </cell>
          <cell r="AV91">
            <v>0</v>
          </cell>
          <cell r="AW91">
            <v>0</v>
          </cell>
          <cell r="AY91">
            <v>0</v>
          </cell>
          <cell r="AZ91">
            <v>0</v>
          </cell>
          <cell r="BA91">
            <v>0</v>
          </cell>
          <cell r="BB91">
            <v>0</v>
          </cell>
          <cell r="BC91">
            <v>0</v>
          </cell>
          <cell r="BD91">
            <v>0</v>
          </cell>
          <cell r="BE91">
            <v>0</v>
          </cell>
          <cell r="BF91">
            <v>0</v>
          </cell>
          <cell r="BG91">
            <v>0</v>
          </cell>
          <cell r="BH91">
            <v>0</v>
          </cell>
          <cell r="BJ91">
            <v>0</v>
          </cell>
          <cell r="BL91">
            <v>0</v>
          </cell>
          <cell r="BM91">
            <v>0</v>
          </cell>
          <cell r="BN91">
            <v>0</v>
          </cell>
          <cell r="BO91">
            <v>0</v>
          </cell>
          <cell r="BQ91">
            <v>0</v>
          </cell>
          <cell r="BR91">
            <v>0</v>
          </cell>
          <cell r="BS91">
            <v>0</v>
          </cell>
          <cell r="BT91">
            <v>0</v>
          </cell>
          <cell r="CB91">
            <v>0</v>
          </cell>
          <cell r="CC91">
            <v>0</v>
          </cell>
          <cell r="CD91">
            <v>0</v>
          </cell>
          <cell r="CE91">
            <v>0</v>
          </cell>
          <cell r="CF91">
            <v>0</v>
          </cell>
          <cell r="CI91">
            <v>0</v>
          </cell>
          <cell r="CJ91">
            <v>0</v>
          </cell>
          <cell r="CK91">
            <v>0</v>
          </cell>
          <cell r="CV91">
            <v>4.139727274287298E-4</v>
          </cell>
          <cell r="DG91">
            <v>18009221</v>
          </cell>
          <cell r="DR91">
            <v>7512434.1100000022</v>
          </cell>
          <cell r="EC91">
            <v>2.3972551021815209</v>
          </cell>
          <cell r="EN91">
            <v>2.4095909012463064E-2</v>
          </cell>
        </row>
        <row r="92">
          <cell r="B92">
            <v>31100</v>
          </cell>
          <cell r="C92" t="str">
            <v>Buncombe County Schools</v>
          </cell>
          <cell r="D92">
            <v>8.700026123423554E-3</v>
          </cell>
          <cell r="E92">
            <v>15053073.769913921</v>
          </cell>
          <cell r="F92">
            <v>11737226.835431313</v>
          </cell>
          <cell r="G92">
            <v>174364</v>
          </cell>
          <cell r="H92">
            <v>-4200342.4671659637</v>
          </cell>
          <cell r="I92">
            <v>-173818.09648907595</v>
          </cell>
          <cell r="J92">
            <v>12702688.316821644</v>
          </cell>
          <cell r="K92">
            <v>0</v>
          </cell>
          <cell r="L92">
            <v>-667420.33172716503</v>
          </cell>
          <cell r="M92">
            <v>119773.36109652669</v>
          </cell>
          <cell r="N92">
            <v>4515.1395575343558</v>
          </cell>
          <cell r="O92">
            <v>-2037.6331183670306</v>
          </cell>
          <cell r="P92">
            <v>0</v>
          </cell>
          <cell r="Q92">
            <v>0</v>
          </cell>
          <cell r="R92">
            <v>0</v>
          </cell>
          <cell r="S92">
            <v>34748022.894320369</v>
          </cell>
          <cell r="T92">
            <v>1054751</v>
          </cell>
          <cell r="U92">
            <v>63513441.584108219</v>
          </cell>
          <cell r="V92">
            <v>479093.44438610674</v>
          </cell>
          <cell r="W92">
            <v>0</v>
          </cell>
          <cell r="X92">
            <v>65047286.028494328</v>
          </cell>
          <cell r="Y92">
            <v>182932.5700000003</v>
          </cell>
          <cell r="Z92">
            <v>0</v>
          </cell>
          <cell r="AA92">
            <v>0</v>
          </cell>
          <cell r="AB92">
            <v>869090.48244537984</v>
          </cell>
          <cell r="AC92">
            <v>1052023.05244538</v>
          </cell>
          <cell r="AD92" t="str">
            <v>N/A</v>
          </cell>
          <cell r="AE92">
            <v>12823007</v>
          </cell>
          <cell r="AF92">
            <v>12823008</v>
          </cell>
          <cell r="AG92">
            <v>12823008</v>
          </cell>
          <cell r="AH92">
            <v>12823008</v>
          </cell>
          <cell r="AI92">
            <v>12703234</v>
          </cell>
          <cell r="AJ92">
            <v>0</v>
          </cell>
          <cell r="AK92">
            <v>63995265</v>
          </cell>
          <cell r="AL92">
            <v>287179255</v>
          </cell>
          <cell r="AM92">
            <v>34748022.894320369</v>
          </cell>
          <cell r="AN92">
            <v>-7441833.4299999997</v>
          </cell>
          <cell r="AO92">
            <v>63123444.546048947</v>
          </cell>
          <cell r="AP92">
            <v>0</v>
          </cell>
          <cell r="AQ92">
            <v>871818.4299999997</v>
          </cell>
          <cell r="AR92">
            <v>0</v>
          </cell>
          <cell r="AS92">
            <v>0</v>
          </cell>
          <cell r="AT92">
            <v>378480707.44036931</v>
          </cell>
          <cell r="AU92">
            <v>8.6618502728942094E-3</v>
          </cell>
          <cell r="AV92">
            <v>0</v>
          </cell>
          <cell r="AW92">
            <v>0</v>
          </cell>
          <cell r="AY92">
            <v>0</v>
          </cell>
          <cell r="AZ92">
            <v>0</v>
          </cell>
          <cell r="BA92">
            <v>0</v>
          </cell>
          <cell r="BB92">
            <v>0</v>
          </cell>
          <cell r="BC92">
            <v>0</v>
          </cell>
          <cell r="BD92">
            <v>0</v>
          </cell>
          <cell r="BE92">
            <v>0</v>
          </cell>
          <cell r="BF92">
            <v>0</v>
          </cell>
          <cell r="BG92">
            <v>0</v>
          </cell>
          <cell r="BH92">
            <v>0</v>
          </cell>
          <cell r="BJ92">
            <v>0</v>
          </cell>
          <cell r="BL92">
            <v>0</v>
          </cell>
          <cell r="BM92">
            <v>0</v>
          </cell>
          <cell r="BN92">
            <v>0</v>
          </cell>
          <cell r="BO92">
            <v>0</v>
          </cell>
          <cell r="BQ92">
            <v>0</v>
          </cell>
          <cell r="BR92">
            <v>0</v>
          </cell>
          <cell r="BS92">
            <v>0</v>
          </cell>
          <cell r="BT92">
            <v>0</v>
          </cell>
          <cell r="CB92">
            <v>0</v>
          </cell>
          <cell r="CC92">
            <v>0</v>
          </cell>
          <cell r="CD92">
            <v>0</v>
          </cell>
          <cell r="CE92">
            <v>0</v>
          </cell>
          <cell r="CF92">
            <v>0</v>
          </cell>
          <cell r="CI92">
            <v>0</v>
          </cell>
          <cell r="CJ92">
            <v>0</v>
          </cell>
          <cell r="CK92">
            <v>0</v>
          </cell>
          <cell r="CV92">
            <v>8.700026123423554E-3</v>
          </cell>
          <cell r="DG92">
            <v>378480708</v>
          </cell>
          <cell r="DR92">
            <v>129776898.55999997</v>
          </cell>
          <cell r="EC92">
            <v>2.9163950764705353</v>
          </cell>
          <cell r="EN92">
            <v>2.4095909012463064E-2</v>
          </cell>
        </row>
        <row r="93">
          <cell r="B93">
            <v>31101</v>
          </cell>
          <cell r="C93" t="str">
            <v>F. Delany New School For Children</v>
          </cell>
          <cell r="D93">
            <v>5.8952444093732966E-5</v>
          </cell>
          <cell r="E93">
            <v>102001.47416459493</v>
          </cell>
          <cell r="F93">
            <v>79532.888639067853</v>
          </cell>
          <cell r="G93">
            <v>-19370</v>
          </cell>
          <cell r="H93">
            <v>-28462.035740726325</v>
          </cell>
          <cell r="I93">
            <v>-1177.8127410632449</v>
          </cell>
          <cell r="J93">
            <v>86074.974053395199</v>
          </cell>
          <cell r="K93">
            <v>0</v>
          </cell>
          <cell r="L93">
            <v>-4522.5220286675767</v>
          </cell>
          <cell r="M93">
            <v>811.59898531234842</v>
          </cell>
          <cell r="N93">
            <v>30.595139435765535</v>
          </cell>
          <cell r="O93">
            <v>-13.807251931193198</v>
          </cell>
          <cell r="P93">
            <v>0</v>
          </cell>
          <cell r="Q93">
            <v>0</v>
          </cell>
          <cell r="R93">
            <v>0</v>
          </cell>
          <cell r="S93">
            <v>214905.35321941774</v>
          </cell>
          <cell r="T93">
            <v>0</v>
          </cell>
          <cell r="U93">
            <v>430374.87026697601</v>
          </cell>
          <cell r="V93">
            <v>3246.3959412493937</v>
          </cell>
          <cell r="W93">
            <v>0</v>
          </cell>
          <cell r="X93">
            <v>433621.2662082254</v>
          </cell>
          <cell r="Y93">
            <v>96854.32</v>
          </cell>
          <cell r="Z93">
            <v>0</v>
          </cell>
          <cell r="AA93">
            <v>0</v>
          </cell>
          <cell r="AB93">
            <v>5889.0637053162245</v>
          </cell>
          <cell r="AC93">
            <v>102743.38370531623</v>
          </cell>
          <cell r="AD93" t="str">
            <v>N/A</v>
          </cell>
          <cell r="AE93">
            <v>66339</v>
          </cell>
          <cell r="AF93">
            <v>66337</v>
          </cell>
          <cell r="AG93">
            <v>66337</v>
          </cell>
          <cell r="AH93">
            <v>66337</v>
          </cell>
          <cell r="AI93">
            <v>65525</v>
          </cell>
          <cell r="AJ93">
            <v>0</v>
          </cell>
          <cell r="AK93">
            <v>330875</v>
          </cell>
          <cell r="AL93">
            <v>2062750</v>
          </cell>
          <cell r="AM93">
            <v>214905.35321941774</v>
          </cell>
          <cell r="AN93">
            <v>-43901.68</v>
          </cell>
          <cell r="AO93">
            <v>427732.20250290923</v>
          </cell>
          <cell r="AP93">
            <v>0</v>
          </cell>
          <cell r="AQ93">
            <v>-96854.32</v>
          </cell>
          <cell r="AR93">
            <v>0</v>
          </cell>
          <cell r="AS93">
            <v>0</v>
          </cell>
          <cell r="AT93">
            <v>2564631.555722327</v>
          </cell>
          <cell r="AU93">
            <v>6.2216295870849605E-5</v>
          </cell>
          <cell r="AV93">
            <v>0</v>
          </cell>
          <cell r="AW93">
            <v>0</v>
          </cell>
          <cell r="AY93">
            <v>0</v>
          </cell>
          <cell r="AZ93">
            <v>0</v>
          </cell>
          <cell r="BA93">
            <v>0</v>
          </cell>
          <cell r="BB93">
            <v>0</v>
          </cell>
          <cell r="BC93">
            <v>0</v>
          </cell>
          <cell r="BD93">
            <v>0</v>
          </cell>
          <cell r="BE93">
            <v>0</v>
          </cell>
          <cell r="BF93">
            <v>0</v>
          </cell>
          <cell r="BG93">
            <v>0</v>
          </cell>
          <cell r="BH93">
            <v>0</v>
          </cell>
          <cell r="BJ93">
            <v>0</v>
          </cell>
          <cell r="BL93">
            <v>0</v>
          </cell>
          <cell r="BM93">
            <v>0</v>
          </cell>
          <cell r="BN93">
            <v>0</v>
          </cell>
          <cell r="BO93">
            <v>0</v>
          </cell>
          <cell r="BQ93">
            <v>0</v>
          </cell>
          <cell r="BR93">
            <v>0</v>
          </cell>
          <cell r="BS93">
            <v>0</v>
          </cell>
          <cell r="BT93">
            <v>0</v>
          </cell>
          <cell r="CB93">
            <v>0</v>
          </cell>
          <cell r="CC93">
            <v>0</v>
          </cell>
          <cell r="CD93">
            <v>0</v>
          </cell>
          <cell r="CE93">
            <v>0</v>
          </cell>
          <cell r="CF93">
            <v>0</v>
          </cell>
          <cell r="CI93">
            <v>0</v>
          </cell>
          <cell r="CJ93">
            <v>0</v>
          </cell>
          <cell r="CK93">
            <v>0</v>
          </cell>
          <cell r="CV93">
            <v>5.8952444093732966E-5</v>
          </cell>
          <cell r="DG93">
            <v>2564632</v>
          </cell>
          <cell r="DR93">
            <v>758738.24999999988</v>
          </cell>
          <cell r="EC93">
            <v>3.3801274682013203</v>
          </cell>
          <cell r="EN93">
            <v>2.4095909012463064E-2</v>
          </cell>
        </row>
        <row r="94">
          <cell r="B94">
            <v>31102</v>
          </cell>
          <cell r="C94" t="str">
            <v>Evergreen Community Charter School</v>
          </cell>
          <cell r="D94">
            <v>1.4625296914261404E-4</v>
          </cell>
          <cell r="E94">
            <v>253051.7382752843</v>
          </cell>
          <cell r="F94">
            <v>197310.24365093457</v>
          </cell>
          <cell r="G94">
            <v>24869</v>
          </cell>
          <cell r="H94">
            <v>-70610.426741695395</v>
          </cell>
          <cell r="I94">
            <v>-2921.9926861830086</v>
          </cell>
          <cell r="J94">
            <v>213540.26483052594</v>
          </cell>
          <cell r="K94">
            <v>0</v>
          </cell>
          <cell r="L94">
            <v>-11219.760009506137</v>
          </cell>
          <cell r="M94">
            <v>2013.4663317153668</v>
          </cell>
          <cell r="N94">
            <v>75.902365925633831</v>
          </cell>
          <cell r="O94">
            <v>-34.253907902891633</v>
          </cell>
          <cell r="P94">
            <v>0</v>
          </cell>
          <cell r="Q94">
            <v>0</v>
          </cell>
          <cell r="R94">
            <v>0</v>
          </cell>
          <cell r="S94">
            <v>606074.1821090983</v>
          </cell>
          <cell r="T94">
            <v>147564</v>
          </cell>
          <cell r="U94">
            <v>1067701.3241526298</v>
          </cell>
          <cell r="V94">
            <v>8053.8653268614671</v>
          </cell>
          <cell r="W94">
            <v>0</v>
          </cell>
          <cell r="X94">
            <v>1223319.1894794912</v>
          </cell>
          <cell r="Y94">
            <v>23219.53</v>
          </cell>
          <cell r="Z94">
            <v>0</v>
          </cell>
          <cell r="AA94">
            <v>0</v>
          </cell>
          <cell r="AB94">
            <v>14609.963430915042</v>
          </cell>
          <cell r="AC94">
            <v>37829.493430915041</v>
          </cell>
          <cell r="AD94" t="str">
            <v>N/A</v>
          </cell>
          <cell r="AE94">
            <v>237501</v>
          </cell>
          <cell r="AF94">
            <v>237501</v>
          </cell>
          <cell r="AG94">
            <v>237501</v>
          </cell>
          <cell r="AH94">
            <v>237501</v>
          </cell>
          <cell r="AI94">
            <v>235487</v>
          </cell>
          <cell r="AJ94">
            <v>0</v>
          </cell>
          <cell r="AK94">
            <v>1185491</v>
          </cell>
          <cell r="AL94">
            <v>4671866</v>
          </cell>
          <cell r="AM94">
            <v>606074.1821090983</v>
          </cell>
          <cell r="AN94">
            <v>-100928.47</v>
          </cell>
          <cell r="AO94">
            <v>1061145.2260485762</v>
          </cell>
          <cell r="AP94">
            <v>0</v>
          </cell>
          <cell r="AQ94">
            <v>124344.47</v>
          </cell>
          <cell r="AR94">
            <v>0</v>
          </cell>
          <cell r="AS94">
            <v>0</v>
          </cell>
          <cell r="AT94">
            <v>6362501.4081576737</v>
          </cell>
          <cell r="AU94">
            <v>1.4091199513457432E-4</v>
          </cell>
          <cell r="AV94">
            <v>0</v>
          </cell>
          <cell r="AW94">
            <v>0</v>
          </cell>
          <cell r="AY94">
            <v>0</v>
          </cell>
          <cell r="AZ94">
            <v>0</v>
          </cell>
          <cell r="BA94">
            <v>0</v>
          </cell>
          <cell r="BB94">
            <v>0</v>
          </cell>
          <cell r="BC94">
            <v>0</v>
          </cell>
          <cell r="BD94">
            <v>0</v>
          </cell>
          <cell r="BE94">
            <v>0</v>
          </cell>
          <cell r="BF94">
            <v>0</v>
          </cell>
          <cell r="BG94">
            <v>0</v>
          </cell>
          <cell r="BH94">
            <v>0</v>
          </cell>
          <cell r="BJ94">
            <v>0</v>
          </cell>
          <cell r="BL94">
            <v>0</v>
          </cell>
          <cell r="BM94">
            <v>0</v>
          </cell>
          <cell r="BN94">
            <v>0</v>
          </cell>
          <cell r="BO94">
            <v>0</v>
          </cell>
          <cell r="BQ94">
            <v>0</v>
          </cell>
          <cell r="BR94">
            <v>0</v>
          </cell>
          <cell r="BS94">
            <v>0</v>
          </cell>
          <cell r="BT94">
            <v>0</v>
          </cell>
          <cell r="CB94">
            <v>0</v>
          </cell>
          <cell r="CC94">
            <v>0</v>
          </cell>
          <cell r="CD94">
            <v>0</v>
          </cell>
          <cell r="CE94">
            <v>0</v>
          </cell>
          <cell r="CF94">
            <v>0</v>
          </cell>
          <cell r="CI94">
            <v>0</v>
          </cell>
          <cell r="CJ94">
            <v>0</v>
          </cell>
          <cell r="CK94">
            <v>0</v>
          </cell>
          <cell r="CV94">
            <v>1.4625296914261404E-4</v>
          </cell>
          <cell r="DG94">
            <v>6362501</v>
          </cell>
          <cell r="DR94">
            <v>1780792.73</v>
          </cell>
          <cell r="EC94">
            <v>3.5728475823236319</v>
          </cell>
          <cell r="EN94">
            <v>2.4095909012463064E-2</v>
          </cell>
        </row>
        <row r="95">
          <cell r="B95">
            <v>31105</v>
          </cell>
          <cell r="C95" t="str">
            <v>Asheville-Buncombe Technical College</v>
          </cell>
          <cell r="D95">
            <v>1.3901422219367123E-3</v>
          </cell>
          <cell r="E95">
            <v>2405270.1820222591</v>
          </cell>
          <cell r="F95">
            <v>1875444.3217649795</v>
          </cell>
          <cell r="G95">
            <v>-214565</v>
          </cell>
          <cell r="H95">
            <v>-671155.84796698135</v>
          </cell>
          <cell r="I95">
            <v>-27773.695324382446</v>
          </cell>
          <cell r="J95">
            <v>2029711.5331381476</v>
          </cell>
          <cell r="K95">
            <v>0</v>
          </cell>
          <cell r="L95">
            <v>-106644.41344778812</v>
          </cell>
          <cell r="M95">
            <v>19138.104180546237</v>
          </cell>
          <cell r="N95">
            <v>721.4560103407149</v>
          </cell>
          <cell r="O95">
            <v>-325.58520979979738</v>
          </cell>
          <cell r="P95">
            <v>0</v>
          </cell>
          <cell r="Q95">
            <v>0</v>
          </cell>
          <cell r="R95">
            <v>0</v>
          </cell>
          <cell r="S95">
            <v>5309821.055167322</v>
          </cell>
          <cell r="T95">
            <v>35917.379999999888</v>
          </cell>
          <cell r="U95">
            <v>10148557.665690737</v>
          </cell>
          <cell r="V95">
            <v>76552.416722184949</v>
          </cell>
          <cell r="W95">
            <v>0</v>
          </cell>
          <cell r="X95">
            <v>10261027.462412922</v>
          </cell>
          <cell r="Y95">
            <v>1108742</v>
          </cell>
          <cell r="Z95">
            <v>0</v>
          </cell>
          <cell r="AA95">
            <v>0</v>
          </cell>
          <cell r="AB95">
            <v>138868.47662191224</v>
          </cell>
          <cell r="AC95">
            <v>1247610.4766219123</v>
          </cell>
          <cell r="AD95" t="str">
            <v>N/A</v>
          </cell>
          <cell r="AE95">
            <v>1806511</v>
          </cell>
          <cell r="AF95">
            <v>1806511</v>
          </cell>
          <cell r="AG95">
            <v>1806511</v>
          </cell>
          <cell r="AH95">
            <v>1806511</v>
          </cell>
          <cell r="AI95">
            <v>1787373</v>
          </cell>
          <cell r="AJ95">
            <v>0</v>
          </cell>
          <cell r="AK95">
            <v>9013417</v>
          </cell>
          <cell r="AL95">
            <v>47419952</v>
          </cell>
          <cell r="AM95">
            <v>5309821.055167322</v>
          </cell>
          <cell r="AN95">
            <v>-1267278.3799999999</v>
          </cell>
          <cell r="AO95">
            <v>10086241.60579101</v>
          </cell>
          <cell r="AP95">
            <v>0</v>
          </cell>
          <cell r="AQ95">
            <v>-1072824.6200000001</v>
          </cell>
          <cell r="AR95">
            <v>0</v>
          </cell>
          <cell r="AS95">
            <v>0</v>
          </cell>
          <cell r="AT95">
            <v>60475911.660958335</v>
          </cell>
          <cell r="AU95">
            <v>1.4302722583608935E-3</v>
          </cell>
          <cell r="AV95">
            <v>0</v>
          </cell>
          <cell r="AW95">
            <v>0</v>
          </cell>
          <cell r="AY95">
            <v>0</v>
          </cell>
          <cell r="AZ95">
            <v>0</v>
          </cell>
          <cell r="BA95">
            <v>0</v>
          </cell>
          <cell r="BB95">
            <v>0</v>
          </cell>
          <cell r="BC95">
            <v>0</v>
          </cell>
          <cell r="BD95">
            <v>0</v>
          </cell>
          <cell r="BE95">
            <v>0</v>
          </cell>
          <cell r="BF95">
            <v>0</v>
          </cell>
          <cell r="BG95">
            <v>0</v>
          </cell>
          <cell r="BH95">
            <v>0</v>
          </cell>
          <cell r="BJ95">
            <v>0</v>
          </cell>
          <cell r="BL95">
            <v>0</v>
          </cell>
          <cell r="BM95">
            <v>0</v>
          </cell>
          <cell r="BN95">
            <v>0</v>
          </cell>
          <cell r="BO95">
            <v>0</v>
          </cell>
          <cell r="BQ95">
            <v>0</v>
          </cell>
          <cell r="BR95">
            <v>0</v>
          </cell>
          <cell r="BS95">
            <v>0</v>
          </cell>
          <cell r="BT95">
            <v>0</v>
          </cell>
          <cell r="CB95">
            <v>0</v>
          </cell>
          <cell r="CC95">
            <v>0</v>
          </cell>
          <cell r="CD95">
            <v>0</v>
          </cell>
          <cell r="CE95">
            <v>0</v>
          </cell>
          <cell r="CF95">
            <v>0</v>
          </cell>
          <cell r="CI95">
            <v>0</v>
          </cell>
          <cell r="CJ95">
            <v>0</v>
          </cell>
          <cell r="CK95">
            <v>0</v>
          </cell>
          <cell r="CV95">
            <v>1.3901422219367123E-3</v>
          </cell>
          <cell r="DG95">
            <v>60475912</v>
          </cell>
          <cell r="DR95">
            <v>21942969.110000011</v>
          </cell>
          <cell r="EC95">
            <v>2.7560496347068852</v>
          </cell>
          <cell r="EN95">
            <v>2.4095909012463064E-2</v>
          </cell>
        </row>
        <row r="96">
          <cell r="B96">
            <v>31110</v>
          </cell>
          <cell r="C96" t="str">
            <v>Asheville City Schools</v>
          </cell>
          <cell r="D96">
            <v>2.0197565345193864E-3</v>
          </cell>
          <cell r="E96">
            <v>3494649.7493299358</v>
          </cell>
          <cell r="F96">
            <v>2724858.553490181</v>
          </cell>
          <cell r="G96">
            <v>-299624</v>
          </cell>
          <cell r="H96">
            <v>-975131.45649490552</v>
          </cell>
          <cell r="I96">
            <v>-40352.779545836864</v>
          </cell>
          <cell r="J96">
            <v>2948995.4822994871</v>
          </cell>
          <cell r="K96">
            <v>0</v>
          </cell>
          <cell r="L96">
            <v>-154945.11822759622</v>
          </cell>
          <cell r="M96">
            <v>27806.011764119216</v>
          </cell>
          <cell r="N96">
            <v>1048.213246284871</v>
          </cell>
          <cell r="O96">
            <v>-473.04717794978546</v>
          </cell>
          <cell r="P96">
            <v>0</v>
          </cell>
          <cell r="Q96">
            <v>0</v>
          </cell>
          <cell r="R96">
            <v>0</v>
          </cell>
          <cell r="S96">
            <v>7726831.6086837193</v>
          </cell>
          <cell r="T96">
            <v>0</v>
          </cell>
          <cell r="U96">
            <v>14744977.411497435</v>
          </cell>
          <cell r="V96">
            <v>111224.04705647686</v>
          </cell>
          <cell r="W96">
            <v>0</v>
          </cell>
          <cell r="X96">
            <v>14856201.458553912</v>
          </cell>
          <cell r="Y96">
            <v>1498118.76</v>
          </cell>
          <cell r="Z96">
            <v>0</v>
          </cell>
          <cell r="AA96">
            <v>0</v>
          </cell>
          <cell r="AB96">
            <v>201763.89772918433</v>
          </cell>
          <cell r="AC96">
            <v>1699882.6577291843</v>
          </cell>
          <cell r="AD96" t="str">
            <v>N/A</v>
          </cell>
          <cell r="AE96">
            <v>2636825</v>
          </cell>
          <cell r="AF96">
            <v>2636826</v>
          </cell>
          <cell r="AG96">
            <v>2636826</v>
          </cell>
          <cell r="AH96">
            <v>2636826</v>
          </cell>
          <cell r="AI96">
            <v>2609020</v>
          </cell>
          <cell r="AJ96">
            <v>0</v>
          </cell>
          <cell r="AK96">
            <v>13156323</v>
          </cell>
          <cell r="AL96">
            <v>68615139</v>
          </cell>
          <cell r="AM96">
            <v>7726831.6086837193</v>
          </cell>
          <cell r="AN96">
            <v>-1632015.24</v>
          </cell>
          <cell r="AO96">
            <v>14654437.560824728</v>
          </cell>
          <cell r="AP96">
            <v>0</v>
          </cell>
          <cell r="AQ96">
            <v>-1498118.76</v>
          </cell>
          <cell r="AR96">
            <v>0</v>
          </cell>
          <cell r="AS96">
            <v>0</v>
          </cell>
          <cell r="AT96">
            <v>87866274.169508442</v>
          </cell>
          <cell r="AU96">
            <v>2.0695577845615447E-3</v>
          </cell>
          <cell r="AV96">
            <v>0</v>
          </cell>
          <cell r="AW96">
            <v>0</v>
          </cell>
          <cell r="AY96">
            <v>0</v>
          </cell>
          <cell r="AZ96">
            <v>0</v>
          </cell>
          <cell r="BA96">
            <v>0</v>
          </cell>
          <cell r="BB96">
            <v>0</v>
          </cell>
          <cell r="BC96">
            <v>0</v>
          </cell>
          <cell r="BD96">
            <v>0</v>
          </cell>
          <cell r="BE96">
            <v>0</v>
          </cell>
          <cell r="BF96">
            <v>0</v>
          </cell>
          <cell r="BG96">
            <v>0</v>
          </cell>
          <cell r="BH96">
            <v>0</v>
          </cell>
          <cell r="BJ96">
            <v>0</v>
          </cell>
          <cell r="BL96">
            <v>0</v>
          </cell>
          <cell r="BM96">
            <v>0</v>
          </cell>
          <cell r="BN96">
            <v>0</v>
          </cell>
          <cell r="BO96">
            <v>0</v>
          </cell>
          <cell r="BQ96">
            <v>0</v>
          </cell>
          <cell r="BR96">
            <v>0</v>
          </cell>
          <cell r="BS96">
            <v>0</v>
          </cell>
          <cell r="BT96">
            <v>0</v>
          </cell>
          <cell r="CB96">
            <v>0</v>
          </cell>
          <cell r="CC96">
            <v>0</v>
          </cell>
          <cell r="CD96">
            <v>0</v>
          </cell>
          <cell r="CE96">
            <v>0</v>
          </cell>
          <cell r="CF96">
            <v>0</v>
          </cell>
          <cell r="CI96">
            <v>0</v>
          </cell>
          <cell r="CJ96">
            <v>0</v>
          </cell>
          <cell r="CK96">
            <v>0</v>
          </cell>
          <cell r="CV96">
            <v>2.0197565345193864E-3</v>
          </cell>
          <cell r="DG96">
            <v>87866274</v>
          </cell>
          <cell r="DR96">
            <v>28443769.960000005</v>
          </cell>
          <cell r="EC96">
            <v>3.08912194563396</v>
          </cell>
          <cell r="EN96">
            <v>2.4095909012463064E-2</v>
          </cell>
        </row>
        <row r="97">
          <cell r="B97">
            <v>31200</v>
          </cell>
          <cell r="C97" t="str">
            <v>Burke County Schools</v>
          </cell>
          <cell r="D97">
            <v>4.11289503337617E-3</v>
          </cell>
          <cell r="E97">
            <v>7116267.4073628113</v>
          </cell>
          <cell r="F97">
            <v>5548716.8971923292</v>
          </cell>
          <cell r="G97">
            <v>-872569</v>
          </cell>
          <cell r="H97">
            <v>-1985691.4711065006</v>
          </cell>
          <cell r="I97">
            <v>-82171.659673074784</v>
          </cell>
          <cell r="J97">
            <v>6005134.1165654268</v>
          </cell>
          <cell r="K97">
            <v>0</v>
          </cell>
          <cell r="L97">
            <v>-315519.71552640974</v>
          </cell>
          <cell r="M97">
            <v>56622.273887015152</v>
          </cell>
          <cell r="N97">
            <v>2134.5102644215649</v>
          </cell>
          <cell r="O97">
            <v>-963.28114576703274</v>
          </cell>
          <cell r="P97">
            <v>0</v>
          </cell>
          <cell r="Q97">
            <v>0</v>
          </cell>
          <cell r="R97">
            <v>0</v>
          </cell>
          <cell r="S97">
            <v>15471960.077820253</v>
          </cell>
          <cell r="T97">
            <v>0</v>
          </cell>
          <cell r="U97">
            <v>30025670.582827132</v>
          </cell>
          <cell r="V97">
            <v>226489.09554806061</v>
          </cell>
          <cell r="W97">
            <v>0</v>
          </cell>
          <cell r="X97">
            <v>30252159.678375192</v>
          </cell>
          <cell r="Y97">
            <v>4362842.21</v>
          </cell>
          <cell r="Z97">
            <v>0</v>
          </cell>
          <cell r="AA97">
            <v>0</v>
          </cell>
          <cell r="AB97">
            <v>410858.29836537392</v>
          </cell>
          <cell r="AC97">
            <v>4773700.5083653741</v>
          </cell>
          <cell r="AD97" t="str">
            <v>N/A</v>
          </cell>
          <cell r="AE97">
            <v>5107016</v>
          </cell>
          <cell r="AF97">
            <v>5107016</v>
          </cell>
          <cell r="AG97">
            <v>5107016</v>
          </cell>
          <cell r="AH97">
            <v>5107016</v>
          </cell>
          <cell r="AI97">
            <v>5050393</v>
          </cell>
          <cell r="AJ97">
            <v>0</v>
          </cell>
          <cell r="AK97">
            <v>25478457</v>
          </cell>
          <cell r="AL97">
            <v>141550853</v>
          </cell>
          <cell r="AM97">
            <v>15471960.077820253</v>
          </cell>
          <cell r="AN97">
            <v>-3576358.79</v>
          </cell>
          <cell r="AO97">
            <v>29841301.380009823</v>
          </cell>
          <cell r="AP97">
            <v>0</v>
          </cell>
          <cell r="AQ97">
            <v>-4362842.21</v>
          </cell>
          <cell r="AR97">
            <v>0</v>
          </cell>
          <cell r="AS97">
            <v>0</v>
          </cell>
          <cell r="AT97">
            <v>178924913.45783007</v>
          </cell>
          <cell r="AU97">
            <v>4.2694319849186811E-3</v>
          </cell>
          <cell r="AV97">
            <v>0</v>
          </cell>
          <cell r="AW97">
            <v>0</v>
          </cell>
          <cell r="AY97">
            <v>0</v>
          </cell>
          <cell r="AZ97">
            <v>0</v>
          </cell>
          <cell r="BA97">
            <v>0</v>
          </cell>
          <cell r="BB97">
            <v>0</v>
          </cell>
          <cell r="BC97">
            <v>0</v>
          </cell>
          <cell r="BD97">
            <v>0</v>
          </cell>
          <cell r="BE97">
            <v>0</v>
          </cell>
          <cell r="BF97">
            <v>0</v>
          </cell>
          <cell r="BG97">
            <v>0</v>
          </cell>
          <cell r="BH97">
            <v>0</v>
          </cell>
          <cell r="BJ97">
            <v>0</v>
          </cell>
          <cell r="BL97">
            <v>0</v>
          </cell>
          <cell r="BM97">
            <v>0</v>
          </cell>
          <cell r="BN97">
            <v>0</v>
          </cell>
          <cell r="BO97">
            <v>0</v>
          </cell>
          <cell r="BQ97">
            <v>0</v>
          </cell>
          <cell r="BR97">
            <v>0</v>
          </cell>
          <cell r="BS97">
            <v>0</v>
          </cell>
          <cell r="BT97">
            <v>0</v>
          </cell>
          <cell r="CB97">
            <v>0</v>
          </cell>
          <cell r="CC97">
            <v>0</v>
          </cell>
          <cell r="CD97">
            <v>0</v>
          </cell>
          <cell r="CE97">
            <v>0</v>
          </cell>
          <cell r="CF97">
            <v>0</v>
          </cell>
          <cell r="CI97">
            <v>0</v>
          </cell>
          <cell r="CJ97">
            <v>0</v>
          </cell>
          <cell r="CK97">
            <v>0</v>
          </cell>
          <cell r="CV97">
            <v>4.11289503337617E-3</v>
          </cell>
          <cell r="DG97">
            <v>178924914</v>
          </cell>
          <cell r="DR97">
            <v>63059125.209999941</v>
          </cell>
          <cell r="EC97">
            <v>2.837415098990717</v>
          </cell>
          <cell r="EN97">
            <v>2.4095909012463064E-2</v>
          </cell>
        </row>
        <row r="98">
          <cell r="B98">
            <v>31205</v>
          </cell>
          <cell r="C98" t="str">
            <v>Western Piedmont Community College</v>
          </cell>
          <cell r="D98">
            <v>5.0568155364153356E-4</v>
          </cell>
          <cell r="E98">
            <v>874946.99706203409</v>
          </cell>
          <cell r="F98">
            <v>682216.23905290093</v>
          </cell>
          <cell r="G98">
            <v>-351857</v>
          </cell>
          <cell r="H98">
            <v>-244141.30193291488</v>
          </cell>
          <cell r="I98">
            <v>-10103.027719303176</v>
          </cell>
          <cell r="J98">
            <v>738332.85927500215</v>
          </cell>
          <cell r="K98">
            <v>0</v>
          </cell>
          <cell r="L98">
            <v>-38793.23412271891</v>
          </cell>
          <cell r="M98">
            <v>6961.7238459884293</v>
          </cell>
          <cell r="N98">
            <v>262.43861270888311</v>
          </cell>
          <cell r="O98">
            <v>-118.43567667838357</v>
          </cell>
          <cell r="P98">
            <v>0</v>
          </cell>
          <cell r="Q98">
            <v>0</v>
          </cell>
          <cell r="R98">
            <v>0</v>
          </cell>
          <cell r="S98">
            <v>1657707.2583970192</v>
          </cell>
          <cell r="T98">
            <v>45182.330000000016</v>
          </cell>
          <cell r="U98">
            <v>3691664.2963750111</v>
          </cell>
          <cell r="V98">
            <v>27846.895383953717</v>
          </cell>
          <cell r="W98">
            <v>0</v>
          </cell>
          <cell r="X98">
            <v>3764693.5217589648</v>
          </cell>
          <cell r="Y98">
            <v>1804464</v>
          </cell>
          <cell r="Z98">
            <v>0</v>
          </cell>
          <cell r="AA98">
            <v>0</v>
          </cell>
          <cell r="AB98">
            <v>50515.138596515877</v>
          </cell>
          <cell r="AC98">
            <v>1854979.1385965159</v>
          </cell>
          <cell r="AD98" t="str">
            <v>N/A</v>
          </cell>
          <cell r="AE98">
            <v>383335</v>
          </cell>
          <cell r="AF98">
            <v>383336</v>
          </cell>
          <cell r="AG98">
            <v>383336</v>
          </cell>
          <cell r="AH98">
            <v>383336</v>
          </cell>
          <cell r="AI98">
            <v>376374</v>
          </cell>
          <cell r="AJ98">
            <v>0</v>
          </cell>
          <cell r="AK98">
            <v>1909717</v>
          </cell>
          <cell r="AL98">
            <v>18930973</v>
          </cell>
          <cell r="AM98">
            <v>1657707.2583970192</v>
          </cell>
          <cell r="AN98">
            <v>-499527.33</v>
          </cell>
          <cell r="AO98">
            <v>3668996.053162449</v>
          </cell>
          <cell r="AP98">
            <v>0</v>
          </cell>
          <cell r="AQ98">
            <v>-1759281.67</v>
          </cell>
          <cell r="AR98">
            <v>0</v>
          </cell>
          <cell r="AS98">
            <v>0</v>
          </cell>
          <cell r="AT98">
            <v>21998867.311559469</v>
          </cell>
          <cell r="AU98">
            <v>5.709926743370314E-4</v>
          </cell>
          <cell r="AV98">
            <v>0</v>
          </cell>
          <cell r="AW98">
            <v>0</v>
          </cell>
          <cell r="AY98">
            <v>0</v>
          </cell>
          <cell r="AZ98">
            <v>0</v>
          </cell>
          <cell r="BA98">
            <v>0</v>
          </cell>
          <cell r="BB98">
            <v>0</v>
          </cell>
          <cell r="BC98">
            <v>0</v>
          </cell>
          <cell r="BD98">
            <v>0</v>
          </cell>
          <cell r="BE98">
            <v>0</v>
          </cell>
          <cell r="BF98">
            <v>0</v>
          </cell>
          <cell r="BG98">
            <v>0</v>
          </cell>
          <cell r="BH98">
            <v>0</v>
          </cell>
          <cell r="BJ98">
            <v>0</v>
          </cell>
          <cell r="BL98">
            <v>0</v>
          </cell>
          <cell r="BM98">
            <v>0</v>
          </cell>
          <cell r="BN98">
            <v>0</v>
          </cell>
          <cell r="BO98">
            <v>0</v>
          </cell>
          <cell r="BQ98">
            <v>0</v>
          </cell>
          <cell r="BR98">
            <v>0</v>
          </cell>
          <cell r="BS98">
            <v>0</v>
          </cell>
          <cell r="BT98">
            <v>0</v>
          </cell>
          <cell r="CB98">
            <v>0</v>
          </cell>
          <cell r="CC98">
            <v>0</v>
          </cell>
          <cell r="CD98">
            <v>0</v>
          </cell>
          <cell r="CE98">
            <v>0</v>
          </cell>
          <cell r="CF98">
            <v>0</v>
          </cell>
          <cell r="CI98">
            <v>0</v>
          </cell>
          <cell r="CJ98">
            <v>0</v>
          </cell>
          <cell r="CK98">
            <v>0</v>
          </cell>
          <cell r="CV98">
            <v>5.0568155364153356E-4</v>
          </cell>
          <cell r="DG98">
            <v>21998866</v>
          </cell>
          <cell r="DR98">
            <v>8767270.7700000014</v>
          </cell>
          <cell r="EC98">
            <v>2.5092034427950027</v>
          </cell>
          <cell r="EN98">
            <v>2.4095909012463064E-2</v>
          </cell>
        </row>
        <row r="99">
          <cell r="B99">
            <v>31300</v>
          </cell>
          <cell r="C99" t="str">
            <v>Cabarrus County Schools</v>
          </cell>
          <cell r="D99">
            <v>1.0384923954821533E-2</v>
          </cell>
          <cell r="E99">
            <v>17968339.884174876</v>
          </cell>
          <cell r="F99">
            <v>14010326.681465143</v>
          </cell>
          <cell r="G99">
            <v>2335173</v>
          </cell>
          <cell r="H99">
            <v>-5013805.3020651126</v>
          </cell>
          <cell r="I99">
            <v>-207480.72343724919</v>
          </cell>
          <cell r="J99">
            <v>15162765.067661908</v>
          </cell>
          <cell r="K99">
            <v>0</v>
          </cell>
          <cell r="L99">
            <v>-796676.84815650922</v>
          </cell>
          <cell r="M99">
            <v>142969.36918981871</v>
          </cell>
          <cell r="N99">
            <v>5389.5678340732793</v>
          </cell>
          <cell r="O99">
            <v>-2432.2530394587511</v>
          </cell>
          <cell r="P99">
            <v>0</v>
          </cell>
          <cell r="Q99">
            <v>0</v>
          </cell>
          <cell r="R99">
            <v>0</v>
          </cell>
          <cell r="S99">
            <v>43604568.443627484</v>
          </cell>
          <cell r="T99">
            <v>12332434</v>
          </cell>
          <cell r="U99">
            <v>75813825.338309541</v>
          </cell>
          <cell r="V99">
            <v>571877.47675927484</v>
          </cell>
          <cell r="W99">
            <v>0</v>
          </cell>
          <cell r="X99">
            <v>88718136.815068811</v>
          </cell>
          <cell r="Y99">
            <v>656569.02999999933</v>
          </cell>
          <cell r="Z99">
            <v>0</v>
          </cell>
          <cell r="AA99">
            <v>0</v>
          </cell>
          <cell r="AB99">
            <v>1037403.617186246</v>
          </cell>
          <cell r="AC99">
            <v>1693972.6471862453</v>
          </cell>
          <cell r="AD99" t="str">
            <v>N/A</v>
          </cell>
          <cell r="AE99">
            <v>17433427</v>
          </cell>
          <cell r="AF99">
            <v>17433427</v>
          </cell>
          <cell r="AG99">
            <v>17433427</v>
          </cell>
          <cell r="AH99">
            <v>17433427</v>
          </cell>
          <cell r="AI99">
            <v>17290457</v>
          </cell>
          <cell r="AJ99">
            <v>0</v>
          </cell>
          <cell r="AK99">
            <v>87024165</v>
          </cell>
          <cell r="AL99">
            <v>329507969</v>
          </cell>
          <cell r="AM99">
            <v>43604568.443627484</v>
          </cell>
          <cell r="AN99">
            <v>-8357210.9700000007</v>
          </cell>
          <cell r="AO99">
            <v>75348299.197882578</v>
          </cell>
          <cell r="AP99">
            <v>0</v>
          </cell>
          <cell r="AQ99">
            <v>11675864.970000001</v>
          </cell>
          <cell r="AR99">
            <v>0</v>
          </cell>
          <cell r="AS99">
            <v>0</v>
          </cell>
          <cell r="AT99">
            <v>451779490.64151007</v>
          </cell>
          <cell r="AU99">
            <v>9.9385615002979023E-3</v>
          </cell>
          <cell r="AV99">
            <v>0</v>
          </cell>
          <cell r="AW99">
            <v>0</v>
          </cell>
          <cell r="AY99">
            <v>0</v>
          </cell>
          <cell r="AZ99">
            <v>0</v>
          </cell>
          <cell r="BA99">
            <v>0</v>
          </cell>
          <cell r="BB99">
            <v>0</v>
          </cell>
          <cell r="BC99">
            <v>0</v>
          </cell>
          <cell r="BD99">
            <v>0</v>
          </cell>
          <cell r="BE99">
            <v>0</v>
          </cell>
          <cell r="BF99">
            <v>0</v>
          </cell>
          <cell r="BG99">
            <v>0</v>
          </cell>
          <cell r="BH99">
            <v>0</v>
          </cell>
          <cell r="BJ99">
            <v>0</v>
          </cell>
          <cell r="BL99">
            <v>0</v>
          </cell>
          <cell r="BM99">
            <v>0</v>
          </cell>
          <cell r="BN99">
            <v>0</v>
          </cell>
          <cell r="BO99">
            <v>0</v>
          </cell>
          <cell r="BQ99">
            <v>0</v>
          </cell>
          <cell r="BR99">
            <v>0</v>
          </cell>
          <cell r="BS99">
            <v>0</v>
          </cell>
          <cell r="BT99">
            <v>0</v>
          </cell>
          <cell r="CB99">
            <v>0</v>
          </cell>
          <cell r="CC99">
            <v>0</v>
          </cell>
          <cell r="CD99">
            <v>0</v>
          </cell>
          <cell r="CE99">
            <v>0</v>
          </cell>
          <cell r="CF99">
            <v>0</v>
          </cell>
          <cell r="CI99">
            <v>0</v>
          </cell>
          <cell r="CJ99">
            <v>0</v>
          </cell>
          <cell r="CK99">
            <v>0</v>
          </cell>
          <cell r="CV99">
            <v>1.0384923954821533E-2</v>
          </cell>
          <cell r="DG99">
            <v>451779490</v>
          </cell>
          <cell r="DR99">
            <v>143348965.94999999</v>
          </cell>
          <cell r="EC99">
            <v>3.151606201035174</v>
          </cell>
          <cell r="EN99">
            <v>2.4095909012463064E-2</v>
          </cell>
        </row>
        <row r="100">
          <cell r="B100">
            <v>31301</v>
          </cell>
          <cell r="C100" t="str">
            <v>Carolina International School</v>
          </cell>
          <cell r="D100">
            <v>2.0007692437743868E-4</v>
          </cell>
          <cell r="E100">
            <v>346179.73090934905</v>
          </cell>
          <cell r="F100">
            <v>269924.27524221438</v>
          </cell>
          <cell r="G100">
            <v>200175</v>
          </cell>
          <cell r="H100">
            <v>-96596.445831337987</v>
          </cell>
          <cell r="I100">
            <v>-3997.3431864811541</v>
          </cell>
          <cell r="J100">
            <v>292127.26188398898</v>
          </cell>
          <cell r="K100">
            <v>0</v>
          </cell>
          <cell r="L100">
            <v>-15348.851295907765</v>
          </cell>
          <cell r="M100">
            <v>2754.4613511012512</v>
          </cell>
          <cell r="N100">
            <v>103.83592221340312</v>
          </cell>
          <cell r="O100">
            <v>-46.860016458439915</v>
          </cell>
          <cell r="P100">
            <v>0</v>
          </cell>
          <cell r="Q100">
            <v>0</v>
          </cell>
          <cell r="R100">
            <v>0</v>
          </cell>
          <cell r="S100">
            <v>995275.06497868185</v>
          </cell>
          <cell r="T100">
            <v>1014031</v>
          </cell>
          <cell r="U100">
            <v>1460636.3094199446</v>
          </cell>
          <cell r="V100">
            <v>11017.845404405005</v>
          </cell>
          <cell r="W100">
            <v>0</v>
          </cell>
          <cell r="X100">
            <v>2485685.15482435</v>
          </cell>
          <cell r="Y100">
            <v>13152.789999999979</v>
          </cell>
          <cell r="Z100">
            <v>0</v>
          </cell>
          <cell r="AA100">
            <v>0</v>
          </cell>
          <cell r="AB100">
            <v>19986.715932405768</v>
          </cell>
          <cell r="AC100">
            <v>33139.505932405751</v>
          </cell>
          <cell r="AD100" t="str">
            <v>N/A</v>
          </cell>
          <cell r="AE100">
            <v>491059</v>
          </cell>
          <cell r="AF100">
            <v>491060</v>
          </cell>
          <cell r="AG100">
            <v>491060</v>
          </cell>
          <cell r="AH100">
            <v>491060</v>
          </cell>
          <cell r="AI100">
            <v>488306</v>
          </cell>
          <cell r="AJ100">
            <v>0</v>
          </cell>
          <cell r="AK100">
            <v>2452545</v>
          </cell>
          <cell r="AL100">
            <v>5416612</v>
          </cell>
          <cell r="AM100">
            <v>995275.06497868185</v>
          </cell>
          <cell r="AN100">
            <v>-160406.21000000002</v>
          </cell>
          <cell r="AO100">
            <v>1451667.438891944</v>
          </cell>
          <cell r="AP100">
            <v>0</v>
          </cell>
          <cell r="AQ100">
            <v>1000878.21</v>
          </cell>
          <cell r="AR100">
            <v>0</v>
          </cell>
          <cell r="AS100">
            <v>0</v>
          </cell>
          <cell r="AT100">
            <v>8704026.503870625</v>
          </cell>
          <cell r="AU100">
            <v>1.6337489588084882E-4</v>
          </cell>
          <cell r="AV100">
            <v>0</v>
          </cell>
          <cell r="AW100">
            <v>0</v>
          </cell>
          <cell r="AY100">
            <v>0</v>
          </cell>
          <cell r="AZ100">
            <v>0</v>
          </cell>
          <cell r="BA100">
            <v>0</v>
          </cell>
          <cell r="BB100">
            <v>0</v>
          </cell>
          <cell r="BC100">
            <v>0</v>
          </cell>
          <cell r="BD100">
            <v>0</v>
          </cell>
          <cell r="BE100">
            <v>0</v>
          </cell>
          <cell r="BF100">
            <v>0</v>
          </cell>
          <cell r="BG100">
            <v>0</v>
          </cell>
          <cell r="BH100">
            <v>0</v>
          </cell>
          <cell r="BJ100">
            <v>0</v>
          </cell>
          <cell r="BL100">
            <v>0</v>
          </cell>
          <cell r="BM100">
            <v>0</v>
          </cell>
          <cell r="BN100">
            <v>0</v>
          </cell>
          <cell r="BO100">
            <v>0</v>
          </cell>
          <cell r="BQ100">
            <v>0</v>
          </cell>
          <cell r="BR100">
            <v>0</v>
          </cell>
          <cell r="BS100">
            <v>0</v>
          </cell>
          <cell r="BT100">
            <v>0</v>
          </cell>
          <cell r="CB100">
            <v>0</v>
          </cell>
          <cell r="CC100">
            <v>0</v>
          </cell>
          <cell r="CD100">
            <v>0</v>
          </cell>
          <cell r="CE100">
            <v>0</v>
          </cell>
          <cell r="CF100">
            <v>0</v>
          </cell>
          <cell r="CI100">
            <v>0</v>
          </cell>
          <cell r="CJ100">
            <v>0</v>
          </cell>
          <cell r="CK100">
            <v>0</v>
          </cell>
          <cell r="CV100">
            <v>2.0007692437743868E-4</v>
          </cell>
          <cell r="DG100">
            <v>8704026</v>
          </cell>
          <cell r="DR100">
            <v>2594207.0499999993</v>
          </cell>
          <cell r="EC100">
            <v>3.355177837482171</v>
          </cell>
          <cell r="EN100">
            <v>2.4095909012463064E-2</v>
          </cell>
        </row>
        <row r="101">
          <cell r="B101">
            <v>31320</v>
          </cell>
          <cell r="C101" t="str">
            <v>Kannapolis City Schools</v>
          </cell>
          <cell r="D101">
            <v>1.9460158818062662E-3</v>
          </cell>
          <cell r="E101">
            <v>3367061.2261019852</v>
          </cell>
          <cell r="F101">
            <v>2625374.855900309</v>
          </cell>
          <cell r="G101">
            <v>-19395</v>
          </cell>
          <cell r="H101">
            <v>-939529.7248732571</v>
          </cell>
          <cell r="I101">
            <v>-38879.512718057187</v>
          </cell>
          <cell r="J101">
            <v>2841328.6184987207</v>
          </cell>
          <cell r="K101">
            <v>0</v>
          </cell>
          <cell r="L101">
            <v>-149288.12246719713</v>
          </cell>
          <cell r="M101">
            <v>26790.823338291069</v>
          </cell>
          <cell r="N101">
            <v>1009.9433223398161</v>
          </cell>
          <cell r="O101">
            <v>-455.77637967784563</v>
          </cell>
          <cell r="P101">
            <v>0</v>
          </cell>
          <cell r="Q101">
            <v>0</v>
          </cell>
          <cell r="R101">
            <v>0</v>
          </cell>
          <cell r="S101">
            <v>7714017.3307234561</v>
          </cell>
          <cell r="T101">
            <v>14953</v>
          </cell>
          <cell r="U101">
            <v>14206643.092493603</v>
          </cell>
          <cell r="V101">
            <v>107163.29335316428</v>
          </cell>
          <cell r="W101">
            <v>0</v>
          </cell>
          <cell r="X101">
            <v>14328759.385846768</v>
          </cell>
          <cell r="Y101">
            <v>111930.09000000008</v>
          </cell>
          <cell r="Z101">
            <v>0</v>
          </cell>
          <cell r="AA101">
            <v>0</v>
          </cell>
          <cell r="AB101">
            <v>194397.56359028592</v>
          </cell>
          <cell r="AC101">
            <v>306327.65359028603</v>
          </cell>
          <cell r="AD101" t="str">
            <v>N/A</v>
          </cell>
          <cell r="AE101">
            <v>2809845</v>
          </cell>
          <cell r="AF101">
            <v>2809845</v>
          </cell>
          <cell r="AG101">
            <v>2809845</v>
          </cell>
          <cell r="AH101">
            <v>2809845</v>
          </cell>
          <cell r="AI101">
            <v>2783054</v>
          </cell>
          <cell r="AJ101">
            <v>0</v>
          </cell>
          <cell r="AK101">
            <v>14022434</v>
          </cell>
          <cell r="AL101">
            <v>64501226</v>
          </cell>
          <cell r="AM101">
            <v>7714017.3307234561</v>
          </cell>
          <cell r="AN101">
            <v>-1579369.91</v>
          </cell>
          <cell r="AO101">
            <v>14119408.822256481</v>
          </cell>
          <cell r="AP101">
            <v>0</v>
          </cell>
          <cell r="AQ101">
            <v>-96977.090000000084</v>
          </cell>
          <cell r="AR101">
            <v>0</v>
          </cell>
          <cell r="AS101">
            <v>0</v>
          </cell>
          <cell r="AT101">
            <v>84658305.152979925</v>
          </cell>
          <cell r="AU101">
            <v>1.9454746614203044E-3</v>
          </cell>
          <cell r="AV101">
            <v>0</v>
          </cell>
          <cell r="AW101">
            <v>0</v>
          </cell>
          <cell r="AY101">
            <v>0</v>
          </cell>
          <cell r="AZ101">
            <v>0</v>
          </cell>
          <cell r="BA101">
            <v>0</v>
          </cell>
          <cell r="BB101">
            <v>0</v>
          </cell>
          <cell r="BC101">
            <v>0</v>
          </cell>
          <cell r="BD101">
            <v>0</v>
          </cell>
          <cell r="BE101">
            <v>0</v>
          </cell>
          <cell r="BF101">
            <v>0</v>
          </cell>
          <cell r="BG101">
            <v>0</v>
          </cell>
          <cell r="BH101">
            <v>0</v>
          </cell>
          <cell r="BJ101">
            <v>0</v>
          </cell>
          <cell r="BL101">
            <v>0</v>
          </cell>
          <cell r="BM101">
            <v>0</v>
          </cell>
          <cell r="BN101">
            <v>0</v>
          </cell>
          <cell r="BO101">
            <v>0</v>
          </cell>
          <cell r="BQ101">
            <v>0</v>
          </cell>
          <cell r="BR101">
            <v>0</v>
          </cell>
          <cell r="BS101">
            <v>0</v>
          </cell>
          <cell r="BT101">
            <v>0</v>
          </cell>
          <cell r="CB101">
            <v>0</v>
          </cell>
          <cell r="CC101">
            <v>0</v>
          </cell>
          <cell r="CD101">
            <v>0</v>
          </cell>
          <cell r="CE101">
            <v>0</v>
          </cell>
          <cell r="CF101">
            <v>0</v>
          </cell>
          <cell r="CI101">
            <v>0</v>
          </cell>
          <cell r="CJ101">
            <v>0</v>
          </cell>
          <cell r="CK101">
            <v>0</v>
          </cell>
          <cell r="CV101">
            <v>1.9460158818062662E-3</v>
          </cell>
          <cell r="DG101">
            <v>84658305</v>
          </cell>
          <cell r="DR101">
            <v>27324139.419999998</v>
          </cell>
          <cell r="EC101">
            <v>3.0982972125385242</v>
          </cell>
          <cell r="EN101">
            <v>2.4095909012463064E-2</v>
          </cell>
        </row>
        <row r="102">
          <cell r="B102">
            <v>31400</v>
          </cell>
          <cell r="C102" t="str">
            <v>Caldwell County Schools</v>
          </cell>
          <cell r="D102">
            <v>4.0574655579773767E-3</v>
          </cell>
          <cell r="E102">
            <v>7020361.4904875495</v>
          </cell>
          <cell r="F102">
            <v>5473936.854363149</v>
          </cell>
          <cell r="G102">
            <v>-264188</v>
          </cell>
          <cell r="H102">
            <v>-1958930.3124447535</v>
          </cell>
          <cell r="I102">
            <v>-81064.23243475116</v>
          </cell>
          <cell r="J102">
            <v>5924202.9400876788</v>
          </cell>
          <cell r="K102">
            <v>0</v>
          </cell>
          <cell r="L102">
            <v>-311267.4571615156</v>
          </cell>
          <cell r="M102">
            <v>55859.175652809135</v>
          </cell>
          <cell r="N102">
            <v>2105.7434752790991</v>
          </cell>
          <cell r="O102">
            <v>-950.29900833388137</v>
          </cell>
          <cell r="P102">
            <v>0</v>
          </cell>
          <cell r="Q102">
            <v>0</v>
          </cell>
          <cell r="R102">
            <v>0</v>
          </cell>
          <cell r="S102">
            <v>15860065.903017111</v>
          </cell>
          <cell r="T102">
            <v>23406.050000000279</v>
          </cell>
          <cell r="U102">
            <v>29621014.700438395</v>
          </cell>
          <cell r="V102">
            <v>223436.70261123654</v>
          </cell>
          <cell r="W102">
            <v>0</v>
          </cell>
          <cell r="X102">
            <v>29867857.453049634</v>
          </cell>
          <cell r="Y102">
            <v>1344345</v>
          </cell>
          <cell r="Z102">
            <v>0</v>
          </cell>
          <cell r="AA102">
            <v>0</v>
          </cell>
          <cell r="AB102">
            <v>405321.16217375582</v>
          </cell>
          <cell r="AC102">
            <v>1749666.1621737559</v>
          </cell>
          <cell r="AD102" t="str">
            <v>N/A</v>
          </cell>
          <cell r="AE102">
            <v>5634810</v>
          </cell>
          <cell r="AF102">
            <v>5634810</v>
          </cell>
          <cell r="AG102">
            <v>5634810</v>
          </cell>
          <cell r="AH102">
            <v>5634810</v>
          </cell>
          <cell r="AI102">
            <v>5578951</v>
          </cell>
          <cell r="AJ102">
            <v>0</v>
          </cell>
          <cell r="AK102">
            <v>28118191</v>
          </cell>
          <cell r="AL102">
            <v>136136428</v>
          </cell>
          <cell r="AM102">
            <v>15860065.903017111</v>
          </cell>
          <cell r="AN102">
            <v>-3601142.0500000003</v>
          </cell>
          <cell r="AO102">
            <v>29439130.240875877</v>
          </cell>
          <cell r="AP102">
            <v>0</v>
          </cell>
          <cell r="AQ102">
            <v>-1320938.9499999997</v>
          </cell>
          <cell r="AR102">
            <v>0</v>
          </cell>
          <cell r="AS102">
            <v>0</v>
          </cell>
          <cell r="AT102">
            <v>176513543.14389297</v>
          </cell>
          <cell r="AU102">
            <v>4.1061230439273901E-3</v>
          </cell>
          <cell r="AV102">
            <v>0</v>
          </cell>
          <cell r="AW102">
            <v>0</v>
          </cell>
          <cell r="AY102">
            <v>0</v>
          </cell>
          <cell r="AZ102">
            <v>0</v>
          </cell>
          <cell r="BA102">
            <v>0</v>
          </cell>
          <cell r="BB102">
            <v>0</v>
          </cell>
          <cell r="BC102">
            <v>0</v>
          </cell>
          <cell r="BD102">
            <v>0</v>
          </cell>
          <cell r="BE102">
            <v>0</v>
          </cell>
          <cell r="BF102">
            <v>0</v>
          </cell>
          <cell r="BG102">
            <v>0</v>
          </cell>
          <cell r="BH102">
            <v>0</v>
          </cell>
          <cell r="BJ102">
            <v>0</v>
          </cell>
          <cell r="BL102">
            <v>0</v>
          </cell>
          <cell r="BM102">
            <v>0</v>
          </cell>
          <cell r="BN102">
            <v>0</v>
          </cell>
          <cell r="BO102">
            <v>0</v>
          </cell>
          <cell r="BQ102">
            <v>0</v>
          </cell>
          <cell r="BR102">
            <v>0</v>
          </cell>
          <cell r="BS102">
            <v>0</v>
          </cell>
          <cell r="BT102">
            <v>0</v>
          </cell>
          <cell r="CB102">
            <v>0</v>
          </cell>
          <cell r="CC102">
            <v>0</v>
          </cell>
          <cell r="CD102">
            <v>0</v>
          </cell>
          <cell r="CE102">
            <v>0</v>
          </cell>
          <cell r="CF102">
            <v>0</v>
          </cell>
          <cell r="CI102">
            <v>0</v>
          </cell>
          <cell r="CJ102">
            <v>0</v>
          </cell>
          <cell r="CK102">
            <v>0</v>
          </cell>
          <cell r="CV102">
            <v>4.0574655579773767E-3</v>
          </cell>
          <cell r="DG102">
            <v>176513543</v>
          </cell>
          <cell r="DR102">
            <v>62632254.550000124</v>
          </cell>
          <cell r="EC102">
            <v>2.8182530593575712</v>
          </cell>
          <cell r="EN102">
            <v>2.4095909012463064E-2</v>
          </cell>
        </row>
        <row r="103">
          <cell r="B103">
            <v>31405</v>
          </cell>
          <cell r="C103" t="str">
            <v>Caldwell Community College</v>
          </cell>
          <cell r="D103">
            <v>8.1736013230384469E-4</v>
          </cell>
          <cell r="E103">
            <v>1414223.6119303405</v>
          </cell>
          <cell r="F103">
            <v>1102702.5830714647</v>
          </cell>
          <cell r="G103">
            <v>-407386</v>
          </cell>
          <cell r="H103">
            <v>-394618.63975797256</v>
          </cell>
          <cell r="I103">
            <v>-16330.063878843472</v>
          </cell>
          <cell r="J103">
            <v>1193406.8767101755</v>
          </cell>
          <cell r="K103">
            <v>0</v>
          </cell>
          <cell r="L103">
            <v>-62703.578460994599</v>
          </cell>
          <cell r="M103">
            <v>11252.60647307221</v>
          </cell>
          <cell r="N103">
            <v>424.19356146304932</v>
          </cell>
          <cell r="O103">
            <v>-191.43391658688347</v>
          </cell>
          <cell r="P103">
            <v>0</v>
          </cell>
          <cell r="Q103">
            <v>0</v>
          </cell>
          <cell r="R103">
            <v>0</v>
          </cell>
          <cell r="S103">
            <v>2840780.1557321185</v>
          </cell>
          <cell r="T103">
            <v>88598.320000000182</v>
          </cell>
          <cell r="U103">
            <v>5967034.3835508786</v>
          </cell>
          <cell r="V103">
            <v>45010.42589228884</v>
          </cell>
          <cell r="W103">
            <v>0</v>
          </cell>
          <cell r="X103">
            <v>6100643.1294431677</v>
          </cell>
          <cell r="Y103">
            <v>2125528</v>
          </cell>
          <cell r="Z103">
            <v>0</v>
          </cell>
          <cell r="AA103">
            <v>0</v>
          </cell>
          <cell r="AB103">
            <v>81650.319394217353</v>
          </cell>
          <cell r="AC103">
            <v>2207178.3193942173</v>
          </cell>
          <cell r="AD103" t="str">
            <v>N/A</v>
          </cell>
          <cell r="AE103">
            <v>780943</v>
          </cell>
          <cell r="AF103">
            <v>780943</v>
          </cell>
          <cell r="AG103">
            <v>780943</v>
          </cell>
          <cell r="AH103">
            <v>780943</v>
          </cell>
          <cell r="AI103">
            <v>769691</v>
          </cell>
          <cell r="AJ103">
            <v>0</v>
          </cell>
          <cell r="AK103">
            <v>3893463</v>
          </cell>
          <cell r="AL103">
            <v>29649795</v>
          </cell>
          <cell r="AM103">
            <v>2840780.1557321185</v>
          </cell>
          <cell r="AN103">
            <v>-826096.32000000018</v>
          </cell>
          <cell r="AO103">
            <v>5930394.4900489505</v>
          </cell>
          <cell r="AP103">
            <v>0</v>
          </cell>
          <cell r="AQ103">
            <v>-2036929.6799999997</v>
          </cell>
          <cell r="AR103">
            <v>0</v>
          </cell>
          <cell r="AS103">
            <v>0</v>
          </cell>
          <cell r="AT103">
            <v>35557943.64578107</v>
          </cell>
          <cell r="AU103">
            <v>8.9429191443774793E-4</v>
          </cell>
          <cell r="AV103">
            <v>0</v>
          </cell>
          <cell r="AW103">
            <v>0</v>
          </cell>
          <cell r="AY103">
            <v>0</v>
          </cell>
          <cell r="AZ103">
            <v>0</v>
          </cell>
          <cell r="BA103">
            <v>0</v>
          </cell>
          <cell r="BB103">
            <v>0</v>
          </cell>
          <cell r="BC103">
            <v>0</v>
          </cell>
          <cell r="BD103">
            <v>0</v>
          </cell>
          <cell r="BE103">
            <v>0</v>
          </cell>
          <cell r="BF103">
            <v>0</v>
          </cell>
          <cell r="BG103">
            <v>0</v>
          </cell>
          <cell r="BH103">
            <v>0</v>
          </cell>
          <cell r="BJ103">
            <v>0</v>
          </cell>
          <cell r="BL103">
            <v>0</v>
          </cell>
          <cell r="BM103">
            <v>0</v>
          </cell>
          <cell r="BN103">
            <v>0</v>
          </cell>
          <cell r="BO103">
            <v>0</v>
          </cell>
          <cell r="BQ103">
            <v>0</v>
          </cell>
          <cell r="BR103">
            <v>0</v>
          </cell>
          <cell r="BS103">
            <v>0</v>
          </cell>
          <cell r="BT103">
            <v>0</v>
          </cell>
          <cell r="CB103">
            <v>0</v>
          </cell>
          <cell r="CC103">
            <v>0</v>
          </cell>
          <cell r="CD103">
            <v>0</v>
          </cell>
          <cell r="CE103">
            <v>0</v>
          </cell>
          <cell r="CF103">
            <v>0</v>
          </cell>
          <cell r="CI103">
            <v>0</v>
          </cell>
          <cell r="CJ103">
            <v>0</v>
          </cell>
          <cell r="CK103">
            <v>0</v>
          </cell>
          <cell r="CV103">
            <v>8.1736013230384469E-4</v>
          </cell>
          <cell r="DG103">
            <v>35557944</v>
          </cell>
          <cell r="DR103">
            <v>14321380.540000012</v>
          </cell>
          <cell r="EC103">
            <v>2.4828572846511325</v>
          </cell>
          <cell r="EN103">
            <v>2.4095909012463064E-2</v>
          </cell>
        </row>
        <row r="104">
          <cell r="B104">
            <v>31500</v>
          </cell>
          <cell r="C104" t="str">
            <v>Camden County Schools</v>
          </cell>
          <cell r="D104">
            <v>6.2645628178972259E-4</v>
          </cell>
          <cell r="E104">
            <v>1083915.4376809888</v>
          </cell>
          <cell r="F104">
            <v>845153.72454461351</v>
          </cell>
          <cell r="G104">
            <v>-104824</v>
          </cell>
          <cell r="H104">
            <v>-302450.92220353044</v>
          </cell>
          <cell r="I104">
            <v>-12515.989824575905</v>
          </cell>
          <cell r="J104">
            <v>914672.98819539684</v>
          </cell>
          <cell r="K104">
            <v>0</v>
          </cell>
          <cell r="L104">
            <v>-48058.437236063422</v>
          </cell>
          <cell r="M104">
            <v>8624.4309368190388</v>
          </cell>
          <cell r="N104">
            <v>325.11828112323025</v>
          </cell>
          <cell r="O104">
            <v>-146.72232575797094</v>
          </cell>
          <cell r="P104">
            <v>0</v>
          </cell>
          <cell r="Q104">
            <v>0</v>
          </cell>
          <cell r="R104">
            <v>0</v>
          </cell>
          <cell r="S104">
            <v>2384695.6280490132</v>
          </cell>
          <cell r="T104">
            <v>26987.269999999902</v>
          </cell>
          <cell r="U104">
            <v>4573364.9409769839</v>
          </cell>
          <cell r="V104">
            <v>34497.723747276155</v>
          </cell>
          <cell r="W104">
            <v>0</v>
          </cell>
          <cell r="X104">
            <v>4634849.9347242592</v>
          </cell>
          <cell r="Y104">
            <v>551107</v>
          </cell>
          <cell r="Z104">
            <v>0</v>
          </cell>
          <cell r="AA104">
            <v>0</v>
          </cell>
          <cell r="AB104">
            <v>62579.949122879523</v>
          </cell>
          <cell r="AC104">
            <v>613686.94912287954</v>
          </cell>
          <cell r="AD104" t="str">
            <v>N/A</v>
          </cell>
          <cell r="AE104">
            <v>805957</v>
          </cell>
          <cell r="AF104">
            <v>805957</v>
          </cell>
          <cell r="AG104">
            <v>805957</v>
          </cell>
          <cell r="AH104">
            <v>805957</v>
          </cell>
          <cell r="AI104">
            <v>797333</v>
          </cell>
          <cell r="AJ104">
            <v>0</v>
          </cell>
          <cell r="AK104">
            <v>4021161</v>
          </cell>
          <cell r="AL104">
            <v>21431169</v>
          </cell>
          <cell r="AM104">
            <v>2384695.6280490132</v>
          </cell>
          <cell r="AN104">
            <v>-584050.2699999999</v>
          </cell>
          <cell r="AO104">
            <v>4545282.7156013809</v>
          </cell>
          <cell r="AP104">
            <v>0</v>
          </cell>
          <cell r="AQ104">
            <v>-524119.7300000001</v>
          </cell>
          <cell r="AR104">
            <v>0</v>
          </cell>
          <cell r="AS104">
            <v>0</v>
          </cell>
          <cell r="AT104">
            <v>27252977.343650393</v>
          </cell>
          <cell r="AU104">
            <v>6.4640315273709439E-4</v>
          </cell>
          <cell r="AV104">
            <v>0</v>
          </cell>
          <cell r="AW104">
            <v>0</v>
          </cell>
          <cell r="AY104">
            <v>0</v>
          </cell>
          <cell r="AZ104">
            <v>0</v>
          </cell>
          <cell r="BA104">
            <v>0</v>
          </cell>
          <cell r="BB104">
            <v>0</v>
          </cell>
          <cell r="BC104">
            <v>0</v>
          </cell>
          <cell r="BD104">
            <v>0</v>
          </cell>
          <cell r="BE104">
            <v>0</v>
          </cell>
          <cell r="BF104">
            <v>0</v>
          </cell>
          <cell r="BG104">
            <v>0</v>
          </cell>
          <cell r="BH104">
            <v>0</v>
          </cell>
          <cell r="BJ104">
            <v>0</v>
          </cell>
          <cell r="BL104">
            <v>0</v>
          </cell>
          <cell r="BM104">
            <v>0</v>
          </cell>
          <cell r="BN104">
            <v>0</v>
          </cell>
          <cell r="BO104">
            <v>0</v>
          </cell>
          <cell r="BQ104">
            <v>0</v>
          </cell>
          <cell r="BR104">
            <v>0</v>
          </cell>
          <cell r="BS104">
            <v>0</v>
          </cell>
          <cell r="BT104">
            <v>0</v>
          </cell>
          <cell r="CB104">
            <v>0</v>
          </cell>
          <cell r="CC104">
            <v>0</v>
          </cell>
          <cell r="CD104">
            <v>0</v>
          </cell>
          <cell r="CE104">
            <v>0</v>
          </cell>
          <cell r="CF104">
            <v>0</v>
          </cell>
          <cell r="CI104">
            <v>0</v>
          </cell>
          <cell r="CJ104">
            <v>0</v>
          </cell>
          <cell r="CK104">
            <v>0</v>
          </cell>
          <cell r="CV104">
            <v>6.2645628178972259E-4</v>
          </cell>
          <cell r="DG104">
            <v>27252978</v>
          </cell>
          <cell r="DR104">
            <v>10090422.93</v>
          </cell>
          <cell r="EC104">
            <v>2.7008756906485782</v>
          </cell>
          <cell r="EN104">
            <v>2.4095909012463064E-2</v>
          </cell>
        </row>
        <row r="105">
          <cell r="B105">
            <v>31600</v>
          </cell>
          <cell r="C105" t="str">
            <v>Carteret County Schools</v>
          </cell>
          <cell r="D105">
            <v>2.8955995387210634E-3</v>
          </cell>
          <cell r="E105">
            <v>5010062.3660362838</v>
          </cell>
          <cell r="F105">
            <v>3906460.5241858074</v>
          </cell>
          <cell r="G105">
            <v>9033</v>
          </cell>
          <cell r="H105">
            <v>-1397985.4241644714</v>
          </cell>
          <cell r="I105">
            <v>-57851.274568022178</v>
          </cell>
          <cell r="J105">
            <v>4227791.7225646349</v>
          </cell>
          <cell r="K105">
            <v>0</v>
          </cell>
          <cell r="L105">
            <v>-222135.19560349852</v>
          </cell>
          <cell r="M105">
            <v>39863.752616606893</v>
          </cell>
          <cell r="N105">
            <v>1502.7582486054575</v>
          </cell>
          <cell r="O105">
            <v>-678.1783679638603</v>
          </cell>
          <cell r="P105">
            <v>0</v>
          </cell>
          <cell r="Q105">
            <v>0</v>
          </cell>
          <cell r="R105">
            <v>0</v>
          </cell>
          <cell r="S105">
            <v>11516064.050947983</v>
          </cell>
          <cell r="T105">
            <v>53766</v>
          </cell>
          <cell r="U105">
            <v>21138958.612823177</v>
          </cell>
          <cell r="V105">
            <v>159455.01046642757</v>
          </cell>
          <cell r="W105">
            <v>0</v>
          </cell>
          <cell r="X105">
            <v>21352179.623289604</v>
          </cell>
          <cell r="Y105">
            <v>8597.8000000002794</v>
          </cell>
          <cell r="Z105">
            <v>0</v>
          </cell>
          <cell r="AA105">
            <v>0</v>
          </cell>
          <cell r="AB105">
            <v>289256.37284011091</v>
          </cell>
          <cell r="AC105">
            <v>297854.17284011119</v>
          </cell>
          <cell r="AD105" t="str">
            <v>N/A</v>
          </cell>
          <cell r="AE105">
            <v>4218837</v>
          </cell>
          <cell r="AF105">
            <v>4218838</v>
          </cell>
          <cell r="AG105">
            <v>4218838</v>
          </cell>
          <cell r="AH105">
            <v>4218838</v>
          </cell>
          <cell r="AI105">
            <v>4178974</v>
          </cell>
          <cell r="AJ105">
            <v>0</v>
          </cell>
          <cell r="AK105">
            <v>21054325</v>
          </cell>
          <cell r="AL105">
            <v>95937616</v>
          </cell>
          <cell r="AM105">
            <v>11516064.050947983</v>
          </cell>
          <cell r="AN105">
            <v>-2539583.1999999997</v>
          </cell>
          <cell r="AO105">
            <v>21009157.250449494</v>
          </cell>
          <cell r="AP105">
            <v>0</v>
          </cell>
          <cell r="AQ105">
            <v>45168.199999999721</v>
          </cell>
          <cell r="AR105">
            <v>0</v>
          </cell>
          <cell r="AS105">
            <v>0</v>
          </cell>
          <cell r="AT105">
            <v>125968422.30139747</v>
          </cell>
          <cell r="AU105">
            <v>2.8936535350860965E-3</v>
          </cell>
          <cell r="AV105">
            <v>0</v>
          </cell>
          <cell r="AW105">
            <v>0</v>
          </cell>
          <cell r="AY105">
            <v>0</v>
          </cell>
          <cell r="AZ105">
            <v>0</v>
          </cell>
          <cell r="BA105">
            <v>0</v>
          </cell>
          <cell r="BB105">
            <v>0</v>
          </cell>
          <cell r="BC105">
            <v>0</v>
          </cell>
          <cell r="BD105">
            <v>0</v>
          </cell>
          <cell r="BE105">
            <v>0</v>
          </cell>
          <cell r="BF105">
            <v>0</v>
          </cell>
          <cell r="BG105">
            <v>0</v>
          </cell>
          <cell r="BH105">
            <v>0</v>
          </cell>
          <cell r="BJ105">
            <v>0</v>
          </cell>
          <cell r="BL105">
            <v>0</v>
          </cell>
          <cell r="BM105">
            <v>0</v>
          </cell>
          <cell r="BN105">
            <v>0</v>
          </cell>
          <cell r="BO105">
            <v>0</v>
          </cell>
          <cell r="BQ105">
            <v>0</v>
          </cell>
          <cell r="BR105">
            <v>0</v>
          </cell>
          <cell r="BS105">
            <v>0</v>
          </cell>
          <cell r="BT105">
            <v>0</v>
          </cell>
          <cell r="CB105">
            <v>0</v>
          </cell>
          <cell r="CC105">
            <v>0</v>
          </cell>
          <cell r="CD105">
            <v>0</v>
          </cell>
          <cell r="CE105">
            <v>0</v>
          </cell>
          <cell r="CF105">
            <v>0</v>
          </cell>
          <cell r="CI105">
            <v>0</v>
          </cell>
          <cell r="CJ105">
            <v>0</v>
          </cell>
          <cell r="CK105">
            <v>0</v>
          </cell>
          <cell r="CV105">
            <v>2.8955995387210634E-3</v>
          </cell>
          <cell r="DG105">
            <v>125968422</v>
          </cell>
          <cell r="DR105">
            <v>44557895.530000061</v>
          </cell>
          <cell r="EC105">
            <v>2.8270729688117258</v>
          </cell>
          <cell r="EN105">
            <v>2.4095909012463064E-2</v>
          </cell>
        </row>
        <row r="106">
          <cell r="B106">
            <v>31605</v>
          </cell>
          <cell r="C106" t="str">
            <v>Carteret Community College</v>
          </cell>
          <cell r="D106">
            <v>3.9857591310894303E-4</v>
          </cell>
          <cell r="E106">
            <v>689629.26522555517</v>
          </cell>
          <cell r="F106">
            <v>537719.75358827005</v>
          </cell>
          <cell r="G106">
            <v>-34040</v>
          </cell>
          <cell r="H106">
            <v>-192431.06980029924</v>
          </cell>
          <cell r="I106">
            <v>-7963.1607468931952</v>
          </cell>
          <cell r="J106">
            <v>581950.61980148975</v>
          </cell>
          <cell r="K106">
            <v>0</v>
          </cell>
          <cell r="L106">
            <v>-30576.651652736375</v>
          </cell>
          <cell r="M106">
            <v>5487.1992437638282</v>
          </cell>
          <cell r="N106">
            <v>206.85292738527926</v>
          </cell>
          <cell r="O106">
            <v>-93.350464609245549</v>
          </cell>
          <cell r="P106">
            <v>0</v>
          </cell>
          <cell r="Q106">
            <v>0</v>
          </cell>
          <cell r="R106">
            <v>0</v>
          </cell>
          <cell r="S106">
            <v>1549889.4581219263</v>
          </cell>
          <cell r="T106">
            <v>56023.780000000028</v>
          </cell>
          <cell r="U106">
            <v>2909753.0990074486</v>
          </cell>
          <cell r="V106">
            <v>21948.796975055313</v>
          </cell>
          <cell r="W106">
            <v>0</v>
          </cell>
          <cell r="X106">
            <v>2987725.6759825037</v>
          </cell>
          <cell r="Y106">
            <v>226222</v>
          </cell>
          <cell r="Z106">
            <v>0</v>
          </cell>
          <cell r="AA106">
            <v>0</v>
          </cell>
          <cell r="AB106">
            <v>39815.803734465975</v>
          </cell>
          <cell r="AC106">
            <v>266037.80373446597</v>
          </cell>
          <cell r="AD106" t="str">
            <v>N/A</v>
          </cell>
          <cell r="AE106">
            <v>545436</v>
          </cell>
          <cell r="AF106">
            <v>545435</v>
          </cell>
          <cell r="AG106">
            <v>545435</v>
          </cell>
          <cell r="AH106">
            <v>545435</v>
          </cell>
          <cell r="AI106">
            <v>539947</v>
          </cell>
          <cell r="AJ106">
            <v>0</v>
          </cell>
          <cell r="AK106">
            <v>2721688</v>
          </cell>
          <cell r="AL106">
            <v>13486049</v>
          </cell>
          <cell r="AM106">
            <v>1549889.4581219263</v>
          </cell>
          <cell r="AN106">
            <v>-418219.78</v>
          </cell>
          <cell r="AO106">
            <v>2891886.0922480379</v>
          </cell>
          <cell r="AP106">
            <v>0</v>
          </cell>
          <cell r="AQ106">
            <v>-170198.21999999997</v>
          </cell>
          <cell r="AR106">
            <v>0</v>
          </cell>
          <cell r="AS106">
            <v>0</v>
          </cell>
          <cell r="AT106">
            <v>17339406.550369967</v>
          </cell>
          <cell r="AU106">
            <v>4.067638508859306E-4</v>
          </cell>
          <cell r="AV106">
            <v>0</v>
          </cell>
          <cell r="AW106">
            <v>0</v>
          </cell>
          <cell r="AY106">
            <v>0</v>
          </cell>
          <cell r="AZ106">
            <v>0</v>
          </cell>
          <cell r="BA106">
            <v>0</v>
          </cell>
          <cell r="BB106">
            <v>0</v>
          </cell>
          <cell r="BC106">
            <v>0</v>
          </cell>
          <cell r="BD106">
            <v>0</v>
          </cell>
          <cell r="BE106">
            <v>0</v>
          </cell>
          <cell r="BF106">
            <v>0</v>
          </cell>
          <cell r="BG106">
            <v>0</v>
          </cell>
          <cell r="BH106">
            <v>0</v>
          </cell>
          <cell r="BJ106">
            <v>0</v>
          </cell>
          <cell r="BL106">
            <v>0</v>
          </cell>
          <cell r="BM106">
            <v>0</v>
          </cell>
          <cell r="BN106">
            <v>0</v>
          </cell>
          <cell r="BO106">
            <v>0</v>
          </cell>
          <cell r="BQ106">
            <v>0</v>
          </cell>
          <cell r="BR106">
            <v>0</v>
          </cell>
          <cell r="BS106">
            <v>0</v>
          </cell>
          <cell r="BT106">
            <v>0</v>
          </cell>
          <cell r="CB106">
            <v>0</v>
          </cell>
          <cell r="CC106">
            <v>0</v>
          </cell>
          <cell r="CD106">
            <v>0</v>
          </cell>
          <cell r="CE106">
            <v>0</v>
          </cell>
          <cell r="CF106">
            <v>0</v>
          </cell>
          <cell r="CI106">
            <v>0</v>
          </cell>
          <cell r="CJ106">
            <v>0</v>
          </cell>
          <cell r="CK106">
            <v>0</v>
          </cell>
          <cell r="CV106">
            <v>3.9857591310894303E-4</v>
          </cell>
          <cell r="DG106">
            <v>17339407</v>
          </cell>
          <cell r="DR106">
            <v>7142382.8599999985</v>
          </cell>
          <cell r="EC106">
            <v>2.4276781768598727</v>
          </cell>
          <cell r="EN106">
            <v>2.4095909012463064E-2</v>
          </cell>
        </row>
        <row r="107">
          <cell r="B107">
            <v>31700</v>
          </cell>
          <cell r="C107" t="str">
            <v>Caswell County Schools</v>
          </cell>
          <cell r="D107">
            <v>8.4030413506430116E-4</v>
          </cell>
          <cell r="E107">
            <v>1453922.0865361099</v>
          </cell>
          <cell r="F107">
            <v>1133656.3941395937</v>
          </cell>
          <cell r="G107">
            <v>-145441</v>
          </cell>
          <cell r="H107">
            <v>-405695.9247907208</v>
          </cell>
          <cell r="I107">
            <v>-16788.462834097791</v>
          </cell>
          <cell r="J107">
            <v>1226906.8354081945</v>
          </cell>
          <cell r="K107">
            <v>0</v>
          </cell>
          <cell r="L107">
            <v>-64463.721903817612</v>
          </cell>
          <cell r="M107">
            <v>11568.476826636903</v>
          </cell>
          <cell r="N107">
            <v>436.101040015671</v>
          </cell>
          <cell r="O107">
            <v>-196.80763147340997</v>
          </cell>
          <cell r="P107">
            <v>0</v>
          </cell>
          <cell r="Q107">
            <v>0</v>
          </cell>
          <cell r="R107">
            <v>0</v>
          </cell>
          <cell r="S107">
            <v>3193903.9767904412</v>
          </cell>
          <cell r="T107">
            <v>59673.370000000112</v>
          </cell>
          <cell r="U107">
            <v>6134534.1770409727</v>
          </cell>
          <cell r="V107">
            <v>46273.907306547611</v>
          </cell>
          <cell r="W107">
            <v>0</v>
          </cell>
          <cell r="X107">
            <v>6240481.4543475201</v>
          </cell>
          <cell r="Y107">
            <v>786878</v>
          </cell>
          <cell r="Z107">
            <v>0</v>
          </cell>
          <cell r="AA107">
            <v>0</v>
          </cell>
          <cell r="AB107">
            <v>83942.314170488957</v>
          </cell>
          <cell r="AC107">
            <v>870820.31417048897</v>
          </cell>
          <cell r="AD107" t="str">
            <v>N/A</v>
          </cell>
          <cell r="AE107">
            <v>1076246</v>
          </cell>
          <cell r="AF107">
            <v>1076246</v>
          </cell>
          <cell r="AG107">
            <v>1076246</v>
          </cell>
          <cell r="AH107">
            <v>1076246</v>
          </cell>
          <cell r="AI107">
            <v>1064677</v>
          </cell>
          <cell r="AJ107">
            <v>0</v>
          </cell>
          <cell r="AK107">
            <v>5369661</v>
          </cell>
          <cell r="AL107">
            <v>28804112</v>
          </cell>
          <cell r="AM107">
            <v>3193903.9767904412</v>
          </cell>
          <cell r="AN107">
            <v>-811590.37000000011</v>
          </cell>
          <cell r="AO107">
            <v>6096865.7701770319</v>
          </cell>
          <cell r="AP107">
            <v>0</v>
          </cell>
          <cell r="AQ107">
            <v>-727204.62999999989</v>
          </cell>
          <cell r="AR107">
            <v>0</v>
          </cell>
          <cell r="AS107">
            <v>0</v>
          </cell>
          <cell r="AT107">
            <v>36556086.746967472</v>
          </cell>
          <cell r="AU107">
            <v>8.687845739421894E-4</v>
          </cell>
          <cell r="AV107">
            <v>0</v>
          </cell>
          <cell r="AW107">
            <v>0</v>
          </cell>
          <cell r="AY107">
            <v>0</v>
          </cell>
          <cell r="AZ107">
            <v>0</v>
          </cell>
          <cell r="BA107">
            <v>0</v>
          </cell>
          <cell r="BB107">
            <v>0</v>
          </cell>
          <cell r="BC107">
            <v>0</v>
          </cell>
          <cell r="BD107">
            <v>0</v>
          </cell>
          <cell r="BE107">
            <v>0</v>
          </cell>
          <cell r="BF107">
            <v>0</v>
          </cell>
          <cell r="BG107">
            <v>0</v>
          </cell>
          <cell r="BH107">
            <v>0</v>
          </cell>
          <cell r="BJ107">
            <v>0</v>
          </cell>
          <cell r="BL107">
            <v>0</v>
          </cell>
          <cell r="BM107">
            <v>0</v>
          </cell>
          <cell r="BN107">
            <v>0</v>
          </cell>
          <cell r="BO107">
            <v>0</v>
          </cell>
          <cell r="BQ107">
            <v>0</v>
          </cell>
          <cell r="BR107">
            <v>0</v>
          </cell>
          <cell r="BS107">
            <v>0</v>
          </cell>
          <cell r="BT107">
            <v>0</v>
          </cell>
          <cell r="CB107">
            <v>0</v>
          </cell>
          <cell r="CC107">
            <v>0</v>
          </cell>
          <cell r="CD107">
            <v>0</v>
          </cell>
          <cell r="CE107">
            <v>0</v>
          </cell>
          <cell r="CF107">
            <v>0</v>
          </cell>
          <cell r="CI107">
            <v>0</v>
          </cell>
          <cell r="CJ107">
            <v>0</v>
          </cell>
          <cell r="CK107">
            <v>0</v>
          </cell>
          <cell r="CV107">
            <v>8.4030413506430116E-4</v>
          </cell>
          <cell r="DG107">
            <v>36556086</v>
          </cell>
          <cell r="DR107">
            <v>13772995.999999993</v>
          </cell>
          <cell r="EC107">
            <v>2.6541854800509648</v>
          </cell>
          <cell r="EN107">
            <v>2.4095909012463064E-2</v>
          </cell>
        </row>
        <row r="108">
          <cell r="B108">
            <v>31800</v>
          </cell>
          <cell r="C108" t="str">
            <v>Catawba County Schools</v>
          </cell>
          <cell r="D108">
            <v>5.3273257682819267E-3</v>
          </cell>
          <cell r="E108">
            <v>9217515.7463497985</v>
          </cell>
          <cell r="F108">
            <v>7187108.4157110453</v>
          </cell>
          <cell r="G108">
            <v>-601939</v>
          </cell>
          <cell r="H108">
            <v>-2572014.4219678151</v>
          </cell>
          <cell r="I108">
            <v>-106434.8096526845</v>
          </cell>
          <cell r="J108">
            <v>7778293.7472408768</v>
          </cell>
          <cell r="K108">
            <v>0</v>
          </cell>
          <cell r="L108">
            <v>-408684.46612045856</v>
          </cell>
          <cell r="M108">
            <v>73341.355976546722</v>
          </cell>
          <cell r="N108">
            <v>2764.7755272229542</v>
          </cell>
          <cell r="O108">
            <v>-1247.71296818931</v>
          </cell>
          <cell r="P108">
            <v>0</v>
          </cell>
          <cell r="Q108">
            <v>0</v>
          </cell>
          <cell r="R108">
            <v>0</v>
          </cell>
          <cell r="S108">
            <v>20568703.630096346</v>
          </cell>
          <cell r="T108">
            <v>0</v>
          </cell>
          <cell r="U108">
            <v>38891468.736204386</v>
          </cell>
          <cell r="V108">
            <v>293365.42390618689</v>
          </cell>
          <cell r="W108">
            <v>0</v>
          </cell>
          <cell r="X108">
            <v>39184834.16011057</v>
          </cell>
          <cell r="Y108">
            <v>3009694.8499999996</v>
          </cell>
          <cell r="Z108">
            <v>0</v>
          </cell>
          <cell r="AA108">
            <v>0</v>
          </cell>
          <cell r="AB108">
            <v>532174.04826342256</v>
          </cell>
          <cell r="AC108">
            <v>3541868.8982634223</v>
          </cell>
          <cell r="AD108" t="str">
            <v>N/A</v>
          </cell>
          <cell r="AE108">
            <v>7143261</v>
          </cell>
          <cell r="AF108">
            <v>7143261</v>
          </cell>
          <cell r="AG108">
            <v>7143261</v>
          </cell>
          <cell r="AH108">
            <v>7143261</v>
          </cell>
          <cell r="AI108">
            <v>7069920</v>
          </cell>
          <cell r="AJ108">
            <v>0</v>
          </cell>
          <cell r="AK108">
            <v>35642964</v>
          </cell>
          <cell r="AL108">
            <v>180212050</v>
          </cell>
          <cell r="AM108">
            <v>20568703.630096346</v>
          </cell>
          <cell r="AN108">
            <v>-4666941.1500000004</v>
          </cell>
          <cell r="AO108">
            <v>38652660.111847155</v>
          </cell>
          <cell r="AP108">
            <v>0</v>
          </cell>
          <cell r="AQ108">
            <v>-3009694.8499999996</v>
          </cell>
          <cell r="AR108">
            <v>0</v>
          </cell>
          <cell r="AS108">
            <v>0</v>
          </cell>
          <cell r="AT108">
            <v>231756777.74194351</v>
          </cell>
          <cell r="AU108">
            <v>5.4355242125237579E-3</v>
          </cell>
          <cell r="AV108">
            <v>0</v>
          </cell>
          <cell r="AW108">
            <v>0</v>
          </cell>
          <cell r="AY108">
            <v>0</v>
          </cell>
          <cell r="AZ108">
            <v>0</v>
          </cell>
          <cell r="BA108">
            <v>0</v>
          </cell>
          <cell r="BB108">
            <v>0</v>
          </cell>
          <cell r="BC108">
            <v>0</v>
          </cell>
          <cell r="BD108">
            <v>0</v>
          </cell>
          <cell r="BE108">
            <v>0</v>
          </cell>
          <cell r="BF108">
            <v>0</v>
          </cell>
          <cell r="BG108">
            <v>0</v>
          </cell>
          <cell r="BH108">
            <v>0</v>
          </cell>
          <cell r="BJ108">
            <v>0</v>
          </cell>
          <cell r="BL108">
            <v>0</v>
          </cell>
          <cell r="BM108">
            <v>0</v>
          </cell>
          <cell r="BN108">
            <v>0</v>
          </cell>
          <cell r="BO108">
            <v>0</v>
          </cell>
          <cell r="BQ108">
            <v>0</v>
          </cell>
          <cell r="BR108">
            <v>0</v>
          </cell>
          <cell r="BS108">
            <v>0</v>
          </cell>
          <cell r="BT108">
            <v>0</v>
          </cell>
          <cell r="CB108">
            <v>0</v>
          </cell>
          <cell r="CC108">
            <v>0</v>
          </cell>
          <cell r="CD108">
            <v>0</v>
          </cell>
          <cell r="CE108">
            <v>0</v>
          </cell>
          <cell r="CF108">
            <v>0</v>
          </cell>
          <cell r="CI108">
            <v>0</v>
          </cell>
          <cell r="CJ108">
            <v>0</v>
          </cell>
          <cell r="CK108">
            <v>0</v>
          </cell>
          <cell r="CV108">
            <v>5.3273257682819267E-3</v>
          </cell>
          <cell r="DG108">
            <v>231756779</v>
          </cell>
          <cell r="DR108">
            <v>82414063.260000065</v>
          </cell>
          <cell r="EC108">
            <v>2.8121023261388438</v>
          </cell>
          <cell r="EN108">
            <v>2.4095909012463064E-2</v>
          </cell>
        </row>
        <row r="109">
          <cell r="B109">
            <v>31805</v>
          </cell>
          <cell r="C109" t="str">
            <v>Catawba Valley Community College</v>
          </cell>
          <cell r="D109">
            <v>9.9102628267439311E-4</v>
          </cell>
          <cell r="E109">
            <v>1714706.545634005</v>
          </cell>
          <cell r="F109">
            <v>1336996.017552916</v>
          </cell>
          <cell r="G109">
            <v>-204168</v>
          </cell>
          <cell r="H109">
            <v>-478464.05541099998</v>
          </cell>
          <cell r="I109">
            <v>-19799.745377927949</v>
          </cell>
          <cell r="J109">
            <v>1446972.4347951049</v>
          </cell>
          <cell r="K109">
            <v>0</v>
          </cell>
          <cell r="L109">
            <v>-76026.33382353597</v>
          </cell>
          <cell r="M109">
            <v>13643.470390431363</v>
          </cell>
          <cell r="N109">
            <v>514.32282018235651</v>
          </cell>
          <cell r="O109">
            <v>-232.1082656651696</v>
          </cell>
          <cell r="P109">
            <v>0</v>
          </cell>
          <cell r="Q109">
            <v>0</v>
          </cell>
          <cell r="R109">
            <v>0</v>
          </cell>
          <cell r="S109">
            <v>3734142.5483145108</v>
          </cell>
          <cell r="T109">
            <v>93127.410000000149</v>
          </cell>
          <cell r="U109">
            <v>7234862.1739755236</v>
          </cell>
          <cell r="V109">
            <v>54573.881561725451</v>
          </cell>
          <cell r="W109">
            <v>0</v>
          </cell>
          <cell r="X109">
            <v>7382563.4655372491</v>
          </cell>
          <cell r="Y109">
            <v>1113964</v>
          </cell>
          <cell r="Z109">
            <v>0</v>
          </cell>
          <cell r="AA109">
            <v>0</v>
          </cell>
          <cell r="AB109">
            <v>98998.726889639744</v>
          </cell>
          <cell r="AC109">
            <v>1212962.7268896396</v>
          </cell>
          <cell r="AD109" t="str">
            <v>N/A</v>
          </cell>
          <cell r="AE109">
            <v>1236648</v>
          </cell>
          <cell r="AF109">
            <v>1236649</v>
          </cell>
          <cell r="AG109">
            <v>1236649</v>
          </cell>
          <cell r="AH109">
            <v>1236649</v>
          </cell>
          <cell r="AI109">
            <v>1223006</v>
          </cell>
          <cell r="AJ109">
            <v>0</v>
          </cell>
          <cell r="AK109">
            <v>6169601</v>
          </cell>
          <cell r="AL109">
            <v>34193731</v>
          </cell>
          <cell r="AM109">
            <v>3734142.5483145108</v>
          </cell>
          <cell r="AN109">
            <v>-984462.41000000015</v>
          </cell>
          <cell r="AO109">
            <v>7190437.3286476098</v>
          </cell>
          <cell r="AP109">
            <v>0</v>
          </cell>
          <cell r="AQ109">
            <v>-1020836.5899999999</v>
          </cell>
          <cell r="AR109">
            <v>0</v>
          </cell>
          <cell r="AS109">
            <v>0</v>
          </cell>
          <cell r="AT109">
            <v>43113011.876962125</v>
          </cell>
          <cell r="AU109">
            <v>1.0313453086340505E-3</v>
          </cell>
          <cell r="AV109">
            <v>0</v>
          </cell>
          <cell r="AW109">
            <v>0</v>
          </cell>
          <cell r="AY109">
            <v>0</v>
          </cell>
          <cell r="AZ109">
            <v>0</v>
          </cell>
          <cell r="BA109">
            <v>0</v>
          </cell>
          <cell r="BB109">
            <v>0</v>
          </cell>
          <cell r="BC109">
            <v>0</v>
          </cell>
          <cell r="BD109">
            <v>0</v>
          </cell>
          <cell r="BE109">
            <v>0</v>
          </cell>
          <cell r="BF109">
            <v>0</v>
          </cell>
          <cell r="BG109">
            <v>0</v>
          </cell>
          <cell r="BH109">
            <v>0</v>
          </cell>
          <cell r="BJ109">
            <v>0</v>
          </cell>
          <cell r="BL109">
            <v>0</v>
          </cell>
          <cell r="BM109">
            <v>0</v>
          </cell>
          <cell r="BN109">
            <v>0</v>
          </cell>
          <cell r="BO109">
            <v>0</v>
          </cell>
          <cell r="BQ109">
            <v>0</v>
          </cell>
          <cell r="BR109">
            <v>0</v>
          </cell>
          <cell r="BS109">
            <v>0</v>
          </cell>
          <cell r="BT109">
            <v>0</v>
          </cell>
          <cell r="CB109">
            <v>0</v>
          </cell>
          <cell r="CC109">
            <v>0</v>
          </cell>
          <cell r="CD109">
            <v>0</v>
          </cell>
          <cell r="CE109">
            <v>0</v>
          </cell>
          <cell r="CF109">
            <v>0</v>
          </cell>
          <cell r="CI109">
            <v>0</v>
          </cell>
          <cell r="CJ109">
            <v>0</v>
          </cell>
          <cell r="CK109">
            <v>0</v>
          </cell>
          <cell r="CV109">
            <v>9.9102628267439311E-4</v>
          </cell>
          <cell r="DG109">
            <v>43113012</v>
          </cell>
          <cell r="DR109">
            <v>16926582.729999989</v>
          </cell>
          <cell r="EC109">
            <v>2.5470594205402279</v>
          </cell>
          <cell r="EN109">
            <v>2.4095909012463064E-2</v>
          </cell>
        </row>
        <row r="110">
          <cell r="B110">
            <v>31810</v>
          </cell>
          <cell r="C110" t="str">
            <v>Hickory City Schools</v>
          </cell>
          <cell r="D110">
            <v>1.3237118370651817E-3</v>
          </cell>
          <cell r="E110">
            <v>2290330.1266881009</v>
          </cell>
          <cell r="F110">
            <v>1785822.9246633195</v>
          </cell>
          <cell r="G110">
            <v>31680</v>
          </cell>
          <cell r="H110">
            <v>-639083.4883294832</v>
          </cell>
          <cell r="I110">
            <v>-26446.480568518891</v>
          </cell>
          <cell r="J110">
            <v>1932718.2067023073</v>
          </cell>
          <cell r="K110">
            <v>0</v>
          </cell>
          <cell r="L110">
            <v>-101548.22305953753</v>
          </cell>
          <cell r="M110">
            <v>18223.55629734194</v>
          </cell>
          <cell r="N110">
            <v>686.97996920008802</v>
          </cell>
          <cell r="O110">
            <v>-310.02654935903621</v>
          </cell>
          <cell r="P110">
            <v>0</v>
          </cell>
          <cell r="Q110">
            <v>0</v>
          </cell>
          <cell r="R110">
            <v>0</v>
          </cell>
          <cell r="S110">
            <v>5292073.5758133708</v>
          </cell>
          <cell r="T110">
            <v>159567</v>
          </cell>
          <cell r="U110">
            <v>9663591.0335115362</v>
          </cell>
          <cell r="V110">
            <v>72894.22518936776</v>
          </cell>
          <cell r="W110">
            <v>0</v>
          </cell>
          <cell r="X110">
            <v>9896052.2587009035</v>
          </cell>
          <cell r="Y110">
            <v>1165.6000000000931</v>
          </cell>
          <cell r="Z110">
            <v>0</v>
          </cell>
          <cell r="AA110">
            <v>0</v>
          </cell>
          <cell r="AB110">
            <v>132232.40284259446</v>
          </cell>
          <cell r="AC110">
            <v>133398.00284259455</v>
          </cell>
          <cell r="AD110" t="str">
            <v>N/A</v>
          </cell>
          <cell r="AE110">
            <v>1956175</v>
          </cell>
          <cell r="AF110">
            <v>1956176</v>
          </cell>
          <cell r="AG110">
            <v>1956176</v>
          </cell>
          <cell r="AH110">
            <v>1956176</v>
          </cell>
          <cell r="AI110">
            <v>1937953</v>
          </cell>
          <cell r="AJ110">
            <v>0</v>
          </cell>
          <cell r="AK110">
            <v>9762656</v>
          </cell>
          <cell r="AL110">
            <v>43695515</v>
          </cell>
          <cell r="AM110">
            <v>5292073.5758133708</v>
          </cell>
          <cell r="AN110">
            <v>-1164278.3999999999</v>
          </cell>
          <cell r="AO110">
            <v>9604252.8558583111</v>
          </cell>
          <cell r="AP110">
            <v>0</v>
          </cell>
          <cell r="AQ110">
            <v>158401.39999999991</v>
          </cell>
          <cell r="AR110">
            <v>0</v>
          </cell>
          <cell r="AS110">
            <v>0</v>
          </cell>
          <cell r="AT110">
            <v>57585964.431671679</v>
          </cell>
          <cell r="AU110">
            <v>1.3179364552008059E-3</v>
          </cell>
          <cell r="AV110">
            <v>0</v>
          </cell>
          <cell r="AW110">
            <v>0</v>
          </cell>
          <cell r="AY110">
            <v>0</v>
          </cell>
          <cell r="AZ110">
            <v>0</v>
          </cell>
          <cell r="BA110">
            <v>0</v>
          </cell>
          <cell r="BB110">
            <v>0</v>
          </cell>
          <cell r="BC110">
            <v>0</v>
          </cell>
          <cell r="BD110">
            <v>0</v>
          </cell>
          <cell r="BE110">
            <v>0</v>
          </cell>
          <cell r="BF110">
            <v>0</v>
          </cell>
          <cell r="BG110">
            <v>0</v>
          </cell>
          <cell r="BH110">
            <v>0</v>
          </cell>
          <cell r="BJ110">
            <v>0</v>
          </cell>
          <cell r="BL110">
            <v>0</v>
          </cell>
          <cell r="BM110">
            <v>0</v>
          </cell>
          <cell r="BN110">
            <v>0</v>
          </cell>
          <cell r="BO110">
            <v>0</v>
          </cell>
          <cell r="BQ110">
            <v>0</v>
          </cell>
          <cell r="BR110">
            <v>0</v>
          </cell>
          <cell r="BS110">
            <v>0</v>
          </cell>
          <cell r="BT110">
            <v>0</v>
          </cell>
          <cell r="CB110">
            <v>0</v>
          </cell>
          <cell r="CC110">
            <v>0</v>
          </cell>
          <cell r="CD110">
            <v>0</v>
          </cell>
          <cell r="CE110">
            <v>0</v>
          </cell>
          <cell r="CF110">
            <v>0</v>
          </cell>
          <cell r="CI110">
            <v>0</v>
          </cell>
          <cell r="CJ110">
            <v>0</v>
          </cell>
          <cell r="CK110">
            <v>0</v>
          </cell>
          <cell r="CV110">
            <v>1.3237118370651817E-3</v>
          </cell>
          <cell r="DG110">
            <v>57585964</v>
          </cell>
          <cell r="DR110">
            <v>20050932.22000001</v>
          </cell>
          <cell r="EC110">
            <v>2.8719843730038788</v>
          </cell>
          <cell r="EN110">
            <v>2.4095909012463064E-2</v>
          </cell>
        </row>
        <row r="111">
          <cell r="B111">
            <v>31820</v>
          </cell>
          <cell r="C111" t="str">
            <v>Newton-Conover City Schools</v>
          </cell>
          <cell r="D111">
            <v>1.1810036712035577E-3</v>
          </cell>
          <cell r="E111">
            <v>2043411.7246271656</v>
          </cell>
          <cell r="F111">
            <v>1593294.9839165041</v>
          </cell>
          <cell r="G111">
            <v>168497</v>
          </cell>
          <cell r="H111">
            <v>-570184.48032925627</v>
          </cell>
          <cell r="I111">
            <v>-23595.309618959294</v>
          </cell>
          <cell r="J111">
            <v>1724353.6195748209</v>
          </cell>
          <cell r="K111">
            <v>0</v>
          </cell>
          <cell r="L111">
            <v>-90600.401748621749</v>
          </cell>
          <cell r="M111">
            <v>16258.891313733688</v>
          </cell>
          <cell r="N111">
            <v>612.91728528122235</v>
          </cell>
          <cell r="O111">
            <v>-276.60286983258527</v>
          </cell>
          <cell r="P111">
            <v>0</v>
          </cell>
          <cell r="Q111">
            <v>0</v>
          </cell>
          <cell r="R111">
            <v>0</v>
          </cell>
          <cell r="S111">
            <v>4861772.3421508344</v>
          </cell>
          <cell r="T111">
            <v>903566</v>
          </cell>
          <cell r="U111">
            <v>8621768.097874105</v>
          </cell>
          <cell r="V111">
            <v>65035.565254934751</v>
          </cell>
          <cell r="W111">
            <v>0</v>
          </cell>
          <cell r="X111">
            <v>9590369.6631290391</v>
          </cell>
          <cell r="Y111">
            <v>61077.710000000196</v>
          </cell>
          <cell r="Z111">
            <v>0</v>
          </cell>
          <cell r="AA111">
            <v>0</v>
          </cell>
          <cell r="AB111">
            <v>117976.54809479647</v>
          </cell>
          <cell r="AC111">
            <v>179054.25809479668</v>
          </cell>
          <cell r="AD111" t="str">
            <v>N/A</v>
          </cell>
          <cell r="AE111">
            <v>1885514</v>
          </cell>
          <cell r="AF111">
            <v>1885515</v>
          </cell>
          <cell r="AG111">
            <v>1885515</v>
          </cell>
          <cell r="AH111">
            <v>1885515</v>
          </cell>
          <cell r="AI111">
            <v>1869256</v>
          </cell>
          <cell r="AJ111">
            <v>0</v>
          </cell>
          <cell r="AK111">
            <v>9411315</v>
          </cell>
          <cell r="AL111">
            <v>38071299</v>
          </cell>
          <cell r="AM111">
            <v>4861772.3421508344</v>
          </cell>
          <cell r="AN111">
            <v>-966713.2899999998</v>
          </cell>
          <cell r="AO111">
            <v>8568827.1150342431</v>
          </cell>
          <cell r="AP111">
            <v>0</v>
          </cell>
          <cell r="AQ111">
            <v>842488.2899999998</v>
          </cell>
          <cell r="AR111">
            <v>0</v>
          </cell>
          <cell r="AS111">
            <v>0</v>
          </cell>
          <cell r="AT111">
            <v>51377673.457185082</v>
          </cell>
          <cell r="AU111">
            <v>1.1482998345797451E-3</v>
          </cell>
          <cell r="AV111">
            <v>0</v>
          </cell>
          <cell r="AW111">
            <v>0</v>
          </cell>
          <cell r="AY111">
            <v>0</v>
          </cell>
          <cell r="AZ111">
            <v>0</v>
          </cell>
          <cell r="BA111">
            <v>0</v>
          </cell>
          <cell r="BB111">
            <v>0</v>
          </cell>
          <cell r="BC111">
            <v>0</v>
          </cell>
          <cell r="BD111">
            <v>0</v>
          </cell>
          <cell r="BE111">
            <v>0</v>
          </cell>
          <cell r="BF111">
            <v>0</v>
          </cell>
          <cell r="BG111">
            <v>0</v>
          </cell>
          <cell r="BH111">
            <v>0</v>
          </cell>
          <cell r="BJ111">
            <v>0</v>
          </cell>
          <cell r="BL111">
            <v>0</v>
          </cell>
          <cell r="BM111">
            <v>0</v>
          </cell>
          <cell r="BN111">
            <v>0</v>
          </cell>
          <cell r="BO111">
            <v>0</v>
          </cell>
          <cell r="BQ111">
            <v>0</v>
          </cell>
          <cell r="BR111">
            <v>0</v>
          </cell>
          <cell r="BS111">
            <v>0</v>
          </cell>
          <cell r="BT111">
            <v>0</v>
          </cell>
          <cell r="CB111">
            <v>0</v>
          </cell>
          <cell r="CC111">
            <v>0</v>
          </cell>
          <cell r="CD111">
            <v>0</v>
          </cell>
          <cell r="CE111">
            <v>0</v>
          </cell>
          <cell r="CF111">
            <v>0</v>
          </cell>
          <cell r="CI111">
            <v>0</v>
          </cell>
          <cell r="CJ111">
            <v>0</v>
          </cell>
          <cell r="CK111">
            <v>0</v>
          </cell>
          <cell r="CV111">
            <v>1.1810036712035577E-3</v>
          </cell>
          <cell r="DG111">
            <v>51377674</v>
          </cell>
          <cell r="DR111">
            <v>16854643.890000008</v>
          </cell>
          <cell r="EC111">
            <v>3.0482800072971448</v>
          </cell>
          <cell r="EN111">
            <v>2.4095909012463064E-2</v>
          </cell>
        </row>
        <row r="112">
          <cell r="B112">
            <v>31900</v>
          </cell>
          <cell r="C112" t="str">
            <v>Chatham County Schools</v>
          </cell>
          <cell r="D112">
            <v>3.1102419442671095E-3</v>
          </cell>
          <cell r="E112">
            <v>5381443.7755860025</v>
          </cell>
          <cell r="F112">
            <v>4196035.1262221988</v>
          </cell>
          <cell r="G112">
            <v>-242153</v>
          </cell>
          <cell r="H112">
            <v>-1501614.0338352362</v>
          </cell>
          <cell r="I112">
            <v>-62139.621962451456</v>
          </cell>
          <cell r="J112">
            <v>4541185.6754728286</v>
          </cell>
          <cell r="K112">
            <v>0</v>
          </cell>
          <cell r="L112">
            <v>-238601.4341503646</v>
          </cell>
          <cell r="M112">
            <v>42818.737116811724</v>
          </cell>
          <cell r="N112">
            <v>1614.1533642357444</v>
          </cell>
          <cell r="O112">
            <v>-728.44976576679971</v>
          </cell>
          <cell r="P112">
            <v>0</v>
          </cell>
          <cell r="Q112">
            <v>0</v>
          </cell>
          <cell r="R112">
            <v>0</v>
          </cell>
          <cell r="S112">
            <v>12117860.928048261</v>
          </cell>
          <cell r="T112">
            <v>0</v>
          </cell>
          <cell r="U112">
            <v>22705928.377364144</v>
          </cell>
          <cell r="V112">
            <v>171274.9484672469</v>
          </cell>
          <cell r="W112">
            <v>0</v>
          </cell>
          <cell r="X112">
            <v>22877203.325831391</v>
          </cell>
          <cell r="Y112">
            <v>1210768.4999999995</v>
          </cell>
          <cell r="Z112">
            <v>0</v>
          </cell>
          <cell r="AA112">
            <v>0</v>
          </cell>
          <cell r="AB112">
            <v>310698.10981225729</v>
          </cell>
          <cell r="AC112">
            <v>1521466.6098122569</v>
          </cell>
          <cell r="AD112" t="str">
            <v>N/A</v>
          </cell>
          <cell r="AE112">
            <v>4279712</v>
          </cell>
          <cell r="AF112">
            <v>4279711</v>
          </cell>
          <cell r="AG112">
            <v>4279711</v>
          </cell>
          <cell r="AH112">
            <v>4279711</v>
          </cell>
          <cell r="AI112">
            <v>4236892</v>
          </cell>
          <cell r="AJ112">
            <v>0</v>
          </cell>
          <cell r="AK112">
            <v>21355737</v>
          </cell>
          <cell r="AL112">
            <v>104488969</v>
          </cell>
          <cell r="AM112">
            <v>12117860.928048261</v>
          </cell>
          <cell r="AN112">
            <v>-2656470.5000000005</v>
          </cell>
          <cell r="AO112">
            <v>22566505.216019135</v>
          </cell>
          <cell r="AP112">
            <v>0</v>
          </cell>
          <cell r="AQ112">
            <v>-1210768.4999999995</v>
          </cell>
          <cell r="AR112">
            <v>0</v>
          </cell>
          <cell r="AS112">
            <v>0</v>
          </cell>
          <cell r="AT112">
            <v>135306096.14406738</v>
          </cell>
          <cell r="AU112">
            <v>3.1515779398981767E-3</v>
          </cell>
          <cell r="AV112">
            <v>0</v>
          </cell>
          <cell r="AW112">
            <v>0</v>
          </cell>
          <cell r="AY112">
            <v>0</v>
          </cell>
          <cell r="AZ112">
            <v>0</v>
          </cell>
          <cell r="BA112">
            <v>0</v>
          </cell>
          <cell r="BB112">
            <v>0</v>
          </cell>
          <cell r="BC112">
            <v>0</v>
          </cell>
          <cell r="BD112">
            <v>0</v>
          </cell>
          <cell r="BE112">
            <v>0</v>
          </cell>
          <cell r="BF112">
            <v>0</v>
          </cell>
          <cell r="BG112">
            <v>0</v>
          </cell>
          <cell r="BH112">
            <v>0</v>
          </cell>
          <cell r="BJ112">
            <v>0</v>
          </cell>
          <cell r="BL112">
            <v>0</v>
          </cell>
          <cell r="BM112">
            <v>0</v>
          </cell>
          <cell r="BN112">
            <v>0</v>
          </cell>
          <cell r="BO112">
            <v>0</v>
          </cell>
          <cell r="BQ112">
            <v>0</v>
          </cell>
          <cell r="BR112">
            <v>0</v>
          </cell>
          <cell r="BS112">
            <v>0</v>
          </cell>
          <cell r="BT112">
            <v>0</v>
          </cell>
          <cell r="CB112">
            <v>0</v>
          </cell>
          <cell r="CC112">
            <v>0</v>
          </cell>
          <cell r="CD112">
            <v>0</v>
          </cell>
          <cell r="CE112">
            <v>0</v>
          </cell>
          <cell r="CF112">
            <v>0</v>
          </cell>
          <cell r="CI112">
            <v>0</v>
          </cell>
          <cell r="CJ112">
            <v>0</v>
          </cell>
          <cell r="CK112">
            <v>0</v>
          </cell>
          <cell r="CV112">
            <v>3.1102419442671095E-3</v>
          </cell>
          <cell r="DG112">
            <v>135306096</v>
          </cell>
          <cell r="DR112">
            <v>45846473.449999966</v>
          </cell>
          <cell r="EC112">
            <v>2.951286889002803</v>
          </cell>
          <cell r="EN112">
            <v>2.4095909012463064E-2</v>
          </cell>
        </row>
        <row r="113">
          <cell r="B113">
            <v>32000</v>
          </cell>
          <cell r="C113" t="str">
            <v>Cherokee County Schools</v>
          </cell>
          <cell r="D113">
            <v>1.2502836665452377E-3</v>
          </cell>
          <cell r="E113">
            <v>2163282.2705155057</v>
          </cell>
          <cell r="F113">
            <v>1686760.7975758011</v>
          </cell>
          <cell r="G113">
            <v>280865</v>
          </cell>
          <cell r="H113">
            <v>-603632.62202796258</v>
          </cell>
          <cell r="I113">
            <v>-24979.456832338485</v>
          </cell>
          <cell r="J113">
            <v>1825507.5902562225</v>
          </cell>
          <cell r="K113">
            <v>0</v>
          </cell>
          <cell r="L113">
            <v>-95915.199292563484</v>
          </cell>
          <cell r="M113">
            <v>17212.669817511261</v>
          </cell>
          <cell r="N113">
            <v>648.87221726364749</v>
          </cell>
          <cell r="O113">
            <v>-292.82893754156009</v>
          </cell>
          <cell r="P113">
            <v>0</v>
          </cell>
          <cell r="Q113">
            <v>0</v>
          </cell>
          <cell r="R113">
            <v>0</v>
          </cell>
          <cell r="S113">
            <v>5249457.0932918983</v>
          </cell>
          <cell r="T113">
            <v>1414852</v>
          </cell>
          <cell r="U113">
            <v>9127537.9512811136</v>
          </cell>
          <cell r="V113">
            <v>68850.679270045046</v>
          </cell>
          <cell r="W113">
            <v>0</v>
          </cell>
          <cell r="X113">
            <v>10611240.630551159</v>
          </cell>
          <cell r="Y113">
            <v>10528.949999999953</v>
          </cell>
          <cell r="Z113">
            <v>0</v>
          </cell>
          <cell r="AA113">
            <v>0</v>
          </cell>
          <cell r="AB113">
            <v>124897.28416169241</v>
          </cell>
          <cell r="AC113">
            <v>135426.23416169238</v>
          </cell>
          <cell r="AD113" t="str">
            <v>N/A</v>
          </cell>
          <cell r="AE113">
            <v>2098605</v>
          </cell>
          <cell r="AF113">
            <v>2098606</v>
          </cell>
          <cell r="AG113">
            <v>2098606</v>
          </cell>
          <cell r="AH113">
            <v>2098606</v>
          </cell>
          <cell r="AI113">
            <v>2081393</v>
          </cell>
          <cell r="AJ113">
            <v>0</v>
          </cell>
          <cell r="AK113">
            <v>10475816</v>
          </cell>
          <cell r="AL113">
            <v>39754698</v>
          </cell>
          <cell r="AM113">
            <v>5249457.0932918983</v>
          </cell>
          <cell r="AN113">
            <v>-1088380.05</v>
          </cell>
          <cell r="AO113">
            <v>9071491.3463894669</v>
          </cell>
          <cell r="AP113">
            <v>0</v>
          </cell>
          <cell r="AQ113">
            <v>1404323.05</v>
          </cell>
          <cell r="AR113">
            <v>0</v>
          </cell>
          <cell r="AS113">
            <v>0</v>
          </cell>
          <cell r="AT113">
            <v>54391589.439681366</v>
          </cell>
          <cell r="AU113">
            <v>1.199074213095507E-3</v>
          </cell>
          <cell r="AV113">
            <v>0</v>
          </cell>
          <cell r="AW113">
            <v>0</v>
          </cell>
          <cell r="AY113">
            <v>0</v>
          </cell>
          <cell r="AZ113">
            <v>0</v>
          </cell>
          <cell r="BA113">
            <v>0</v>
          </cell>
          <cell r="BB113">
            <v>0</v>
          </cell>
          <cell r="BC113">
            <v>0</v>
          </cell>
          <cell r="BD113">
            <v>0</v>
          </cell>
          <cell r="BE113">
            <v>0</v>
          </cell>
          <cell r="BF113">
            <v>0</v>
          </cell>
          <cell r="BG113">
            <v>0</v>
          </cell>
          <cell r="BH113">
            <v>0</v>
          </cell>
          <cell r="BJ113">
            <v>0</v>
          </cell>
          <cell r="BL113">
            <v>0</v>
          </cell>
          <cell r="BM113">
            <v>0</v>
          </cell>
          <cell r="BN113">
            <v>0</v>
          </cell>
          <cell r="BO113">
            <v>0</v>
          </cell>
          <cell r="BQ113">
            <v>0</v>
          </cell>
          <cell r="BR113">
            <v>0</v>
          </cell>
          <cell r="BS113">
            <v>0</v>
          </cell>
          <cell r="BT113">
            <v>0</v>
          </cell>
          <cell r="CB113">
            <v>0</v>
          </cell>
          <cell r="CC113">
            <v>0</v>
          </cell>
          <cell r="CD113">
            <v>0</v>
          </cell>
          <cell r="CE113">
            <v>0</v>
          </cell>
          <cell r="CF113">
            <v>0</v>
          </cell>
          <cell r="CI113">
            <v>0</v>
          </cell>
          <cell r="CJ113">
            <v>0</v>
          </cell>
          <cell r="CK113">
            <v>0</v>
          </cell>
          <cell r="CV113">
            <v>1.2502836665452377E-3</v>
          </cell>
          <cell r="DG113">
            <v>54391589</v>
          </cell>
          <cell r="DR113">
            <v>18666686.109999992</v>
          </cell>
          <cell r="EC113">
            <v>2.9138320899316832</v>
          </cell>
          <cell r="EN113">
            <v>2.4095909012463064E-2</v>
          </cell>
        </row>
        <row r="114">
          <cell r="B114">
            <v>32005</v>
          </cell>
          <cell r="C114" t="str">
            <v>Tri-County Community College</v>
          </cell>
          <cell r="D114">
            <v>2.8196215099069024E-4</v>
          </cell>
          <cell r="E114">
            <v>487860.26604667847</v>
          </cell>
          <cell r="F114">
            <v>380395.83769451483</v>
          </cell>
          <cell r="G114">
            <v>90512</v>
          </cell>
          <cell r="H114">
            <v>-136130.34951136541</v>
          </cell>
          <cell r="I114">
            <v>-5633.3307132509153</v>
          </cell>
          <cell r="J114">
            <v>411685.81224511453</v>
          </cell>
          <cell r="K114">
            <v>0</v>
          </cell>
          <cell r="L114">
            <v>-21630.656009416412</v>
          </cell>
          <cell r="M114">
            <v>3881.7762207904557</v>
          </cell>
          <cell r="N114">
            <v>146.33271712114842</v>
          </cell>
          <cell r="O114">
            <v>-66.038355383529563</v>
          </cell>
          <cell r="P114">
            <v>0</v>
          </cell>
          <cell r="Q114">
            <v>0</v>
          </cell>
          <cell r="R114">
            <v>0</v>
          </cell>
          <cell r="S114">
            <v>1211021.6503348032</v>
          </cell>
          <cell r="T114">
            <v>452557.93000000005</v>
          </cell>
          <cell r="U114">
            <v>2058429.0612255728</v>
          </cell>
          <cell r="V114">
            <v>15527.104883161823</v>
          </cell>
          <cell r="W114">
            <v>0</v>
          </cell>
          <cell r="X114">
            <v>2526514.0961087346</v>
          </cell>
          <cell r="Y114">
            <v>0</v>
          </cell>
          <cell r="Z114">
            <v>0</v>
          </cell>
          <cell r="AA114">
            <v>0</v>
          </cell>
          <cell r="AB114">
            <v>28166.653566254572</v>
          </cell>
          <cell r="AC114">
            <v>28166.653566254572</v>
          </cell>
          <cell r="AD114" t="str">
            <v>N/A</v>
          </cell>
          <cell r="AE114">
            <v>500445</v>
          </cell>
          <cell r="AF114">
            <v>500446</v>
          </cell>
          <cell r="AG114">
            <v>500446</v>
          </cell>
          <cell r="AH114">
            <v>500446</v>
          </cell>
          <cell r="AI114">
            <v>496564</v>
          </cell>
          <cell r="AJ114">
            <v>0</v>
          </cell>
          <cell r="AK114">
            <v>2498347</v>
          </cell>
          <cell r="AL114">
            <v>8830263</v>
          </cell>
          <cell r="AM114">
            <v>1211021.6503348032</v>
          </cell>
          <cell r="AN114">
            <v>-273319.93000000005</v>
          </cell>
          <cell r="AO114">
            <v>2045789.5125424801</v>
          </cell>
          <cell r="AP114">
            <v>0</v>
          </cell>
          <cell r="AQ114">
            <v>452557.93000000005</v>
          </cell>
          <cell r="AR114">
            <v>0</v>
          </cell>
          <cell r="AS114">
            <v>0</v>
          </cell>
          <cell r="AT114">
            <v>12266312.162877284</v>
          </cell>
          <cell r="AU114">
            <v>2.6633683280864024E-4</v>
          </cell>
          <cell r="AV114">
            <v>0</v>
          </cell>
          <cell r="AW114">
            <v>0</v>
          </cell>
          <cell r="AY114">
            <v>0</v>
          </cell>
          <cell r="AZ114">
            <v>0</v>
          </cell>
          <cell r="BA114">
            <v>0</v>
          </cell>
          <cell r="BB114">
            <v>0</v>
          </cell>
          <cell r="BC114">
            <v>0</v>
          </cell>
          <cell r="BD114">
            <v>0</v>
          </cell>
          <cell r="BE114">
            <v>0</v>
          </cell>
          <cell r="BF114">
            <v>0</v>
          </cell>
          <cell r="BG114">
            <v>0</v>
          </cell>
          <cell r="BH114">
            <v>0</v>
          </cell>
          <cell r="BJ114">
            <v>0</v>
          </cell>
          <cell r="BL114">
            <v>0</v>
          </cell>
          <cell r="BM114">
            <v>0</v>
          </cell>
          <cell r="BN114">
            <v>0</v>
          </cell>
          <cell r="BO114">
            <v>0</v>
          </cell>
          <cell r="BQ114">
            <v>0</v>
          </cell>
          <cell r="BR114">
            <v>0</v>
          </cell>
          <cell r="BS114">
            <v>0</v>
          </cell>
          <cell r="BT114">
            <v>0</v>
          </cell>
          <cell r="CB114">
            <v>0</v>
          </cell>
          <cell r="CC114">
            <v>0</v>
          </cell>
          <cell r="CD114">
            <v>0</v>
          </cell>
          <cell r="CE114">
            <v>0</v>
          </cell>
          <cell r="CF114">
            <v>0</v>
          </cell>
          <cell r="CI114">
            <v>0</v>
          </cell>
          <cell r="CJ114">
            <v>0</v>
          </cell>
          <cell r="CK114">
            <v>0</v>
          </cell>
          <cell r="CV114">
            <v>2.8196215099069024E-4</v>
          </cell>
          <cell r="DG114">
            <v>12266312</v>
          </cell>
          <cell r="DR114">
            <v>4742534.0500000007</v>
          </cell>
          <cell r="EC114">
            <v>2.586446796307134</v>
          </cell>
          <cell r="EN114">
            <v>2.4095909012463064E-2</v>
          </cell>
        </row>
        <row r="115">
          <cell r="B115">
            <v>32100</v>
          </cell>
          <cell r="C115" t="str">
            <v>Edenton-Chowan County Schools</v>
          </cell>
          <cell r="D115">
            <v>7.7965061302360617E-4</v>
          </cell>
          <cell r="E115">
            <v>1348977.3508846269</v>
          </cell>
          <cell r="F115">
            <v>1051828.5770204277</v>
          </cell>
          <cell r="G115">
            <v>-215686</v>
          </cell>
          <cell r="H115">
            <v>-376412.61451136443</v>
          </cell>
          <cell r="I115">
            <v>-15576.664203046881</v>
          </cell>
          <cell r="J115">
            <v>1138348.1604260514</v>
          </cell>
          <cell r="K115">
            <v>0</v>
          </cell>
          <cell r="L115">
            <v>-59810.702105195247</v>
          </cell>
          <cell r="M115">
            <v>10733.459081391607</v>
          </cell>
          <cell r="N115">
            <v>404.62307514699114</v>
          </cell>
          <cell r="O115">
            <v>-182.60197007625879</v>
          </cell>
          <cell r="P115">
            <v>0</v>
          </cell>
          <cell r="Q115">
            <v>0</v>
          </cell>
          <cell r="R115">
            <v>0</v>
          </cell>
          <cell r="S115">
            <v>2882623.5876979628</v>
          </cell>
          <cell r="T115">
            <v>12292.670000000042</v>
          </cell>
          <cell r="U115">
            <v>5691740.8021302568</v>
          </cell>
          <cell r="V115">
            <v>42933.83632556643</v>
          </cell>
          <cell r="W115">
            <v>0</v>
          </cell>
          <cell r="X115">
            <v>5746967.308455823</v>
          </cell>
          <cell r="Y115">
            <v>1090723</v>
          </cell>
          <cell r="Z115">
            <v>0</v>
          </cell>
          <cell r="AA115">
            <v>0</v>
          </cell>
          <cell r="AB115">
            <v>77883.321015234396</v>
          </cell>
          <cell r="AC115">
            <v>1168606.3210152343</v>
          </cell>
          <cell r="AD115" t="str">
            <v>N/A</v>
          </cell>
          <cell r="AE115">
            <v>917819</v>
          </cell>
          <cell r="AF115">
            <v>917818</v>
          </cell>
          <cell r="AG115">
            <v>917818</v>
          </cell>
          <cell r="AH115">
            <v>917818</v>
          </cell>
          <cell r="AI115">
            <v>907084</v>
          </cell>
          <cell r="AJ115">
            <v>0</v>
          </cell>
          <cell r="AK115">
            <v>4578357</v>
          </cell>
          <cell r="AL115">
            <v>27157789</v>
          </cell>
          <cell r="AM115">
            <v>2882623.5876979628</v>
          </cell>
          <cell r="AN115">
            <v>-701321.67</v>
          </cell>
          <cell r="AO115">
            <v>5656791.3174405899</v>
          </cell>
          <cell r="AP115">
            <v>0</v>
          </cell>
          <cell r="AQ115">
            <v>-1078430.33</v>
          </cell>
          <cell r="AR115">
            <v>0</v>
          </cell>
          <cell r="AS115">
            <v>0</v>
          </cell>
          <cell r="AT115">
            <v>33917451.905138552</v>
          </cell>
          <cell r="AU115">
            <v>8.1912845509370526E-4</v>
          </cell>
          <cell r="AV115">
            <v>0</v>
          </cell>
          <cell r="AW115">
            <v>0</v>
          </cell>
          <cell r="AY115">
            <v>0</v>
          </cell>
          <cell r="AZ115">
            <v>0</v>
          </cell>
          <cell r="BA115">
            <v>0</v>
          </cell>
          <cell r="BB115">
            <v>0</v>
          </cell>
          <cell r="BC115">
            <v>0</v>
          </cell>
          <cell r="BD115">
            <v>0</v>
          </cell>
          <cell r="BE115">
            <v>0</v>
          </cell>
          <cell r="BF115">
            <v>0</v>
          </cell>
          <cell r="BG115">
            <v>0</v>
          </cell>
          <cell r="BH115">
            <v>0</v>
          </cell>
          <cell r="BJ115">
            <v>0</v>
          </cell>
          <cell r="BL115">
            <v>0</v>
          </cell>
          <cell r="BM115">
            <v>0</v>
          </cell>
          <cell r="BN115">
            <v>0</v>
          </cell>
          <cell r="BO115">
            <v>0</v>
          </cell>
          <cell r="BQ115">
            <v>0</v>
          </cell>
          <cell r="BR115">
            <v>0</v>
          </cell>
          <cell r="BS115">
            <v>0</v>
          </cell>
          <cell r="BT115">
            <v>0</v>
          </cell>
          <cell r="CB115">
            <v>0</v>
          </cell>
          <cell r="CC115">
            <v>0</v>
          </cell>
          <cell r="CD115">
            <v>0</v>
          </cell>
          <cell r="CE115">
            <v>0</v>
          </cell>
          <cell r="CF115">
            <v>0</v>
          </cell>
          <cell r="CI115">
            <v>0</v>
          </cell>
          <cell r="CJ115">
            <v>0</v>
          </cell>
          <cell r="CK115">
            <v>0</v>
          </cell>
          <cell r="CV115">
            <v>7.7965061302360617E-4</v>
          </cell>
          <cell r="DG115">
            <v>33917452</v>
          </cell>
          <cell r="DR115">
            <v>12404863.179999989</v>
          </cell>
          <cell r="EC115">
            <v>2.7342060535326302</v>
          </cell>
          <cell r="EN115">
            <v>2.4095909012463064E-2</v>
          </cell>
        </row>
        <row r="116">
          <cell r="B116">
            <v>32200</v>
          </cell>
          <cell r="C116" t="str">
            <v>Clay County Schools</v>
          </cell>
          <cell r="D116">
            <v>4.7996602982330541E-4</v>
          </cell>
          <cell r="E116">
            <v>830453.14479352627</v>
          </cell>
          <cell r="F116">
            <v>647523.36204718135</v>
          </cell>
          <cell r="G116">
            <v>109985</v>
          </cell>
          <cell r="H116">
            <v>-231725.93613667783</v>
          </cell>
          <cell r="I116">
            <v>-9589.2564573675863</v>
          </cell>
          <cell r="J116">
            <v>700786.27270932728</v>
          </cell>
          <cell r="K116">
            <v>0</v>
          </cell>
          <cell r="L116">
            <v>-36820.474133976968</v>
          </cell>
          <cell r="M116">
            <v>6607.6979297013013</v>
          </cell>
          <cell r="N116">
            <v>249.09277015769905</v>
          </cell>
          <cell r="O116">
            <v>-112.41284384491637</v>
          </cell>
          <cell r="P116">
            <v>0</v>
          </cell>
          <cell r="Q116">
            <v>0</v>
          </cell>
          <cell r="R116">
            <v>0</v>
          </cell>
          <cell r="S116">
            <v>2017356.4906780266</v>
          </cell>
          <cell r="T116">
            <v>549922.92999999993</v>
          </cell>
          <cell r="U116">
            <v>3503931.3635466364</v>
          </cell>
          <cell r="V116">
            <v>26430.791718805205</v>
          </cell>
          <cell r="W116">
            <v>0</v>
          </cell>
          <cell r="X116">
            <v>4080285.0852654418</v>
          </cell>
          <cell r="Y116">
            <v>0</v>
          </cell>
          <cell r="Z116">
            <v>0</v>
          </cell>
          <cell r="AA116">
            <v>0</v>
          </cell>
          <cell r="AB116">
            <v>47946.282286837937</v>
          </cell>
          <cell r="AC116">
            <v>47946.282286837937</v>
          </cell>
          <cell r="AD116" t="str">
            <v>N/A</v>
          </cell>
          <cell r="AE116">
            <v>807790</v>
          </cell>
          <cell r="AF116">
            <v>807790</v>
          </cell>
          <cell r="AG116">
            <v>807790</v>
          </cell>
          <cell r="AH116">
            <v>807790</v>
          </cell>
          <cell r="AI116">
            <v>801182</v>
          </cell>
          <cell r="AJ116">
            <v>0</v>
          </cell>
          <cell r="AK116">
            <v>4032342</v>
          </cell>
          <cell r="AL116">
            <v>15253619</v>
          </cell>
          <cell r="AM116">
            <v>2017356.4906780266</v>
          </cell>
          <cell r="AN116">
            <v>-423160.93</v>
          </cell>
          <cell r="AO116">
            <v>3482415.8729786039</v>
          </cell>
          <cell r="AP116">
            <v>0</v>
          </cell>
          <cell r="AQ116">
            <v>549922.92999999993</v>
          </cell>
          <cell r="AR116">
            <v>0</v>
          </cell>
          <cell r="AS116">
            <v>0</v>
          </cell>
          <cell r="AT116">
            <v>20880153.363656633</v>
          </cell>
          <cell r="AU116">
            <v>4.6007697330434149E-4</v>
          </cell>
          <cell r="AV116">
            <v>0</v>
          </cell>
          <cell r="AW116">
            <v>0</v>
          </cell>
          <cell r="AY116">
            <v>0</v>
          </cell>
          <cell r="AZ116">
            <v>0</v>
          </cell>
          <cell r="BA116">
            <v>0</v>
          </cell>
          <cell r="BB116">
            <v>0</v>
          </cell>
          <cell r="BC116">
            <v>0</v>
          </cell>
          <cell r="BD116">
            <v>0</v>
          </cell>
          <cell r="BE116">
            <v>0</v>
          </cell>
          <cell r="BF116">
            <v>0</v>
          </cell>
          <cell r="BG116">
            <v>0</v>
          </cell>
          <cell r="BH116">
            <v>0</v>
          </cell>
          <cell r="BJ116">
            <v>0</v>
          </cell>
          <cell r="BL116">
            <v>0</v>
          </cell>
          <cell r="BM116">
            <v>0</v>
          </cell>
          <cell r="BN116">
            <v>0</v>
          </cell>
          <cell r="BO116">
            <v>0</v>
          </cell>
          <cell r="BQ116">
            <v>0</v>
          </cell>
          <cell r="BR116">
            <v>0</v>
          </cell>
          <cell r="BS116">
            <v>0</v>
          </cell>
          <cell r="BT116">
            <v>0</v>
          </cell>
          <cell r="CB116">
            <v>0</v>
          </cell>
          <cell r="CC116">
            <v>0</v>
          </cell>
          <cell r="CD116">
            <v>0</v>
          </cell>
          <cell r="CE116">
            <v>0</v>
          </cell>
          <cell r="CF116">
            <v>0</v>
          </cell>
          <cell r="CI116">
            <v>0</v>
          </cell>
          <cell r="CJ116">
            <v>0</v>
          </cell>
          <cell r="CK116">
            <v>0</v>
          </cell>
          <cell r="CV116">
            <v>4.7996602982330541E-4</v>
          </cell>
          <cell r="DG116">
            <v>20880154</v>
          </cell>
          <cell r="DR116">
            <v>7296762.5800000038</v>
          </cell>
          <cell r="EC116">
            <v>2.8615641212215497</v>
          </cell>
          <cell r="EN116">
            <v>2.4095909012463064E-2</v>
          </cell>
        </row>
        <row r="117">
          <cell r="B117">
            <v>32300</v>
          </cell>
          <cell r="C117" t="str">
            <v>Cleveland County Schools</v>
          </cell>
          <cell r="D117">
            <v>5.4555043298767552E-3</v>
          </cell>
          <cell r="E117">
            <v>9439294.5451758802</v>
          </cell>
          <cell r="F117">
            <v>7360034.4312809603</v>
          </cell>
          <cell r="G117">
            <v>-193350</v>
          </cell>
          <cell r="H117">
            <v>-2633898.5873724981</v>
          </cell>
          <cell r="I117">
            <v>-108995.69318004954</v>
          </cell>
          <cell r="J117">
            <v>7965444.0263019828</v>
          </cell>
          <cell r="K117">
            <v>0</v>
          </cell>
          <cell r="L117">
            <v>-418517.65246798034</v>
          </cell>
          <cell r="M117">
            <v>75105.991728777022</v>
          </cell>
          <cell r="N117">
            <v>2831.2976371194386</v>
          </cell>
          <cell r="O117">
            <v>-1277.7336691004348</v>
          </cell>
          <cell r="P117">
            <v>0</v>
          </cell>
          <cell r="Q117">
            <v>0</v>
          </cell>
          <cell r="R117">
            <v>0</v>
          </cell>
          <cell r="S117">
            <v>21486670.625435088</v>
          </cell>
          <cell r="T117">
            <v>0</v>
          </cell>
          <cell r="U117">
            <v>39827220.131509915</v>
          </cell>
          <cell r="V117">
            <v>300423.96691510809</v>
          </cell>
          <cell r="W117">
            <v>0</v>
          </cell>
          <cell r="X117">
            <v>40127644.098425023</v>
          </cell>
          <cell r="Y117">
            <v>966750.41999999993</v>
          </cell>
          <cell r="Z117">
            <v>0</v>
          </cell>
          <cell r="AA117">
            <v>0</v>
          </cell>
          <cell r="AB117">
            <v>544978.46590024768</v>
          </cell>
          <cell r="AC117">
            <v>1511728.8859002476</v>
          </cell>
          <cell r="AD117" t="str">
            <v>N/A</v>
          </cell>
          <cell r="AE117">
            <v>7738204</v>
          </cell>
          <cell r="AF117">
            <v>7738203</v>
          </cell>
          <cell r="AG117">
            <v>7738203</v>
          </cell>
          <cell r="AH117">
            <v>7738203</v>
          </cell>
          <cell r="AI117">
            <v>7663097</v>
          </cell>
          <cell r="AJ117">
            <v>0</v>
          </cell>
          <cell r="AK117">
            <v>38615910</v>
          </cell>
          <cell r="AL117">
            <v>181830555</v>
          </cell>
          <cell r="AM117">
            <v>21486670.625435088</v>
          </cell>
          <cell r="AN117">
            <v>-4600158.58</v>
          </cell>
          <cell r="AO117">
            <v>39582665.632524781</v>
          </cell>
          <cell r="AP117">
            <v>0</v>
          </cell>
          <cell r="AQ117">
            <v>-966750.41999999993</v>
          </cell>
          <cell r="AR117">
            <v>0</v>
          </cell>
          <cell r="AS117">
            <v>0</v>
          </cell>
          <cell r="AT117">
            <v>237332982.25795987</v>
          </cell>
          <cell r="AU117">
            <v>5.4843412859807497E-3</v>
          </cell>
          <cell r="AV117">
            <v>0</v>
          </cell>
          <cell r="AW117">
            <v>0</v>
          </cell>
          <cell r="AY117">
            <v>0</v>
          </cell>
          <cell r="AZ117">
            <v>0</v>
          </cell>
          <cell r="BA117">
            <v>0</v>
          </cell>
          <cell r="BB117">
            <v>0</v>
          </cell>
          <cell r="BC117">
            <v>0</v>
          </cell>
          <cell r="BD117">
            <v>0</v>
          </cell>
          <cell r="BE117">
            <v>0</v>
          </cell>
          <cell r="BF117">
            <v>0</v>
          </cell>
          <cell r="BG117">
            <v>0</v>
          </cell>
          <cell r="BH117">
            <v>0</v>
          </cell>
          <cell r="BJ117">
            <v>0</v>
          </cell>
          <cell r="BL117">
            <v>0</v>
          </cell>
          <cell r="BM117">
            <v>0</v>
          </cell>
          <cell r="BN117">
            <v>0</v>
          </cell>
          <cell r="BO117">
            <v>0</v>
          </cell>
          <cell r="BQ117">
            <v>0</v>
          </cell>
          <cell r="BR117">
            <v>0</v>
          </cell>
          <cell r="BS117">
            <v>0</v>
          </cell>
          <cell r="BT117">
            <v>0</v>
          </cell>
          <cell r="CB117">
            <v>0</v>
          </cell>
          <cell r="CC117">
            <v>0</v>
          </cell>
          <cell r="CD117">
            <v>0</v>
          </cell>
          <cell r="CE117">
            <v>0</v>
          </cell>
          <cell r="CF117">
            <v>0</v>
          </cell>
          <cell r="CI117">
            <v>0</v>
          </cell>
          <cell r="CJ117">
            <v>0</v>
          </cell>
          <cell r="CK117">
            <v>0</v>
          </cell>
          <cell r="CV117">
            <v>5.4555043298767552E-3</v>
          </cell>
          <cell r="DG117">
            <v>237332982</v>
          </cell>
          <cell r="DR117">
            <v>80257674.519999996</v>
          </cell>
          <cell r="EC117">
            <v>2.9571375375554552</v>
          </cell>
          <cell r="EN117">
            <v>2.4095909012463064E-2</v>
          </cell>
        </row>
        <row r="118">
          <cell r="B118">
            <v>32305</v>
          </cell>
          <cell r="C118" t="str">
            <v>Cleveland Technical College</v>
          </cell>
          <cell r="D118">
            <v>5.6059646284835048E-4</v>
          </cell>
          <cell r="E118">
            <v>969962.59444429225</v>
          </cell>
          <cell r="F118">
            <v>756302.07935539982</v>
          </cell>
          <cell r="G118">
            <v>-53300</v>
          </cell>
          <cell r="H118">
            <v>-270654.02982012596</v>
          </cell>
          <cell r="I118">
            <v>-11200.174423437807</v>
          </cell>
          <cell r="J118">
            <v>818512.73065753246</v>
          </cell>
          <cell r="K118">
            <v>0</v>
          </cell>
          <cell r="L118">
            <v>-43006.017670678899</v>
          </cell>
          <cell r="M118">
            <v>7717.7380414288909</v>
          </cell>
          <cell r="N118">
            <v>290.93835228903691</v>
          </cell>
          <cell r="O118">
            <v>-131.29729756371216</v>
          </cell>
          <cell r="P118">
            <v>0</v>
          </cell>
          <cell r="Q118">
            <v>0</v>
          </cell>
          <cell r="R118">
            <v>0</v>
          </cell>
          <cell r="S118">
            <v>2174494.5616391362</v>
          </cell>
          <cell r="T118">
            <v>57607.459999999963</v>
          </cell>
          <cell r="U118">
            <v>4092563.6532876627</v>
          </cell>
          <cell r="V118">
            <v>30870.952165715564</v>
          </cell>
          <cell r="W118">
            <v>0</v>
          </cell>
          <cell r="X118">
            <v>4181042.065453378</v>
          </cell>
          <cell r="Y118">
            <v>324103</v>
          </cell>
          <cell r="Z118">
            <v>0</v>
          </cell>
          <cell r="AA118">
            <v>0</v>
          </cell>
          <cell r="AB118">
            <v>56000.872117189036</v>
          </cell>
          <cell r="AC118">
            <v>380103.87211718905</v>
          </cell>
          <cell r="AD118" t="str">
            <v>N/A</v>
          </cell>
          <cell r="AE118">
            <v>761730</v>
          </cell>
          <cell r="AF118">
            <v>761731</v>
          </cell>
          <cell r="AG118">
            <v>761731</v>
          </cell>
          <cell r="AH118">
            <v>761731</v>
          </cell>
          <cell r="AI118">
            <v>754014</v>
          </cell>
          <cell r="AJ118">
            <v>0</v>
          </cell>
          <cell r="AK118">
            <v>3800937</v>
          </cell>
          <cell r="AL118">
            <v>18975216</v>
          </cell>
          <cell r="AM118">
            <v>2174494.5616391362</v>
          </cell>
          <cell r="AN118">
            <v>-562796.46</v>
          </cell>
          <cell r="AO118">
            <v>4067433.7333361893</v>
          </cell>
          <cell r="AP118">
            <v>0</v>
          </cell>
          <cell r="AQ118">
            <v>-266495.54000000004</v>
          </cell>
          <cell r="AR118">
            <v>0</v>
          </cell>
          <cell r="AS118">
            <v>0</v>
          </cell>
          <cell r="AT118">
            <v>24387852.294975325</v>
          </cell>
          <cell r="AU118">
            <v>5.7232713659562172E-4</v>
          </cell>
          <cell r="AV118">
            <v>0</v>
          </cell>
          <cell r="AW118">
            <v>0</v>
          </cell>
          <cell r="AY118">
            <v>0</v>
          </cell>
          <cell r="AZ118">
            <v>0</v>
          </cell>
          <cell r="BA118">
            <v>0</v>
          </cell>
          <cell r="BB118">
            <v>0</v>
          </cell>
          <cell r="BC118">
            <v>0</v>
          </cell>
          <cell r="BD118">
            <v>0</v>
          </cell>
          <cell r="BE118">
            <v>0</v>
          </cell>
          <cell r="BF118">
            <v>0</v>
          </cell>
          <cell r="BG118">
            <v>0</v>
          </cell>
          <cell r="BH118">
            <v>0</v>
          </cell>
          <cell r="BJ118">
            <v>0</v>
          </cell>
          <cell r="BL118">
            <v>0</v>
          </cell>
          <cell r="BM118">
            <v>0</v>
          </cell>
          <cell r="BN118">
            <v>0</v>
          </cell>
          <cell r="BO118">
            <v>0</v>
          </cell>
          <cell r="BQ118">
            <v>0</v>
          </cell>
          <cell r="BR118">
            <v>0</v>
          </cell>
          <cell r="BS118">
            <v>0</v>
          </cell>
          <cell r="BT118">
            <v>0</v>
          </cell>
          <cell r="CB118">
            <v>0</v>
          </cell>
          <cell r="CC118">
            <v>0</v>
          </cell>
          <cell r="CD118">
            <v>0</v>
          </cell>
          <cell r="CE118">
            <v>0</v>
          </cell>
          <cell r="CF118">
            <v>0</v>
          </cell>
          <cell r="CI118">
            <v>0</v>
          </cell>
          <cell r="CJ118">
            <v>0</v>
          </cell>
          <cell r="CK118">
            <v>0</v>
          </cell>
          <cell r="CV118">
            <v>5.6059646284835048E-4</v>
          </cell>
          <cell r="DG118">
            <v>24387852</v>
          </cell>
          <cell r="DR118">
            <v>9632273.0300000012</v>
          </cell>
          <cell r="EC118">
            <v>2.5318896094455909</v>
          </cell>
          <cell r="EN118">
            <v>2.4095909012463064E-2</v>
          </cell>
        </row>
        <row r="119">
          <cell r="B119">
            <v>32400</v>
          </cell>
          <cell r="C119" t="str">
            <v>Columbus County Schools</v>
          </cell>
          <cell r="D119">
            <v>1.9323558965699554E-3</v>
          </cell>
          <cell r="E119">
            <v>3343426.2665580702</v>
          </cell>
          <cell r="F119">
            <v>2606946.1359157152</v>
          </cell>
          <cell r="G119">
            <v>127379</v>
          </cell>
          <cell r="H119">
            <v>-932934.73133243795</v>
          </cell>
          <cell r="I119">
            <v>-38606.599441917497</v>
          </cell>
          <cell r="J119">
            <v>2821384.019205844</v>
          </cell>
          <cell r="K119">
            <v>0</v>
          </cell>
          <cell r="L119">
            <v>-148240.20011058942</v>
          </cell>
          <cell r="M119">
            <v>26602.766162246859</v>
          </cell>
          <cell r="N119">
            <v>1002.8540632018754</v>
          </cell>
          <cell r="O119">
            <v>-452.57707453564927</v>
          </cell>
          <cell r="P119">
            <v>0</v>
          </cell>
          <cell r="Q119">
            <v>0</v>
          </cell>
          <cell r="R119">
            <v>0</v>
          </cell>
          <cell r="S119">
            <v>7806506.9339455971</v>
          </cell>
          <cell r="T119">
            <v>636893.70000000019</v>
          </cell>
          <cell r="U119">
            <v>14106920.09602922</v>
          </cell>
          <cell r="V119">
            <v>106411.06464898743</v>
          </cell>
          <cell r="W119">
            <v>0</v>
          </cell>
          <cell r="X119">
            <v>14850224.860678209</v>
          </cell>
          <cell r="Y119">
            <v>0</v>
          </cell>
          <cell r="Z119">
            <v>0</v>
          </cell>
          <cell r="AA119">
            <v>0</v>
          </cell>
          <cell r="AB119">
            <v>193032.99720958745</v>
          </cell>
          <cell r="AC119">
            <v>193032.99720958745</v>
          </cell>
          <cell r="AD119" t="str">
            <v>N/A</v>
          </cell>
          <cell r="AE119">
            <v>2936758</v>
          </cell>
          <cell r="AF119">
            <v>2936759</v>
          </cell>
          <cell r="AG119">
            <v>2936759</v>
          </cell>
          <cell r="AH119">
            <v>2936759</v>
          </cell>
          <cell r="AI119">
            <v>2910156</v>
          </cell>
          <cell r="AJ119">
            <v>0</v>
          </cell>
          <cell r="AK119">
            <v>14657191</v>
          </cell>
          <cell r="AL119">
            <v>63403607</v>
          </cell>
          <cell r="AM119">
            <v>7806506.9339455971</v>
          </cell>
          <cell r="AN119">
            <v>-1803256.7000000002</v>
          </cell>
          <cell r="AO119">
            <v>14020298.16346862</v>
          </cell>
          <cell r="AP119">
            <v>0</v>
          </cell>
          <cell r="AQ119">
            <v>636893.70000000019</v>
          </cell>
          <cell r="AR119">
            <v>0</v>
          </cell>
          <cell r="AS119">
            <v>0</v>
          </cell>
          <cell r="AT119">
            <v>84064049.09741421</v>
          </cell>
          <cell r="AU119">
            <v>1.9123684743540695E-3</v>
          </cell>
          <cell r="AV119">
            <v>0</v>
          </cell>
          <cell r="AW119">
            <v>0</v>
          </cell>
          <cell r="AY119">
            <v>0</v>
          </cell>
          <cell r="AZ119">
            <v>0</v>
          </cell>
          <cell r="BA119">
            <v>0</v>
          </cell>
          <cell r="BB119">
            <v>0</v>
          </cell>
          <cell r="BC119">
            <v>0</v>
          </cell>
          <cell r="BD119">
            <v>0</v>
          </cell>
          <cell r="BE119">
            <v>0</v>
          </cell>
          <cell r="BF119">
            <v>0</v>
          </cell>
          <cell r="BG119">
            <v>0</v>
          </cell>
          <cell r="BH119">
            <v>0</v>
          </cell>
          <cell r="BJ119">
            <v>0</v>
          </cell>
          <cell r="BL119">
            <v>0</v>
          </cell>
          <cell r="BM119">
            <v>0</v>
          </cell>
          <cell r="BN119">
            <v>0</v>
          </cell>
          <cell r="BO119">
            <v>0</v>
          </cell>
          <cell r="BQ119">
            <v>0</v>
          </cell>
          <cell r="BR119">
            <v>0</v>
          </cell>
          <cell r="BS119">
            <v>0</v>
          </cell>
          <cell r="BT119">
            <v>0</v>
          </cell>
          <cell r="CB119">
            <v>0</v>
          </cell>
          <cell r="CC119">
            <v>0</v>
          </cell>
          <cell r="CD119">
            <v>0</v>
          </cell>
          <cell r="CE119">
            <v>0</v>
          </cell>
          <cell r="CF119">
            <v>0</v>
          </cell>
          <cell r="CI119">
            <v>0</v>
          </cell>
          <cell r="CJ119">
            <v>0</v>
          </cell>
          <cell r="CK119">
            <v>0</v>
          </cell>
          <cell r="CV119">
            <v>1.9323558965699554E-3</v>
          </cell>
          <cell r="DG119">
            <v>84064050</v>
          </cell>
          <cell r="DR119">
            <v>31292810.310000047</v>
          </cell>
          <cell r="EC119">
            <v>2.6863694620976939</v>
          </cell>
          <cell r="EN119">
            <v>2.4095909012463064E-2</v>
          </cell>
        </row>
        <row r="120">
          <cell r="B120">
            <v>32405</v>
          </cell>
          <cell r="C120" t="str">
            <v>Southeastern Community College</v>
          </cell>
          <cell r="D120">
            <v>4.8297413324923321E-4</v>
          </cell>
          <cell r="E120">
            <v>835657.86511684908</v>
          </cell>
          <cell r="F120">
            <v>651581.60184481763</v>
          </cell>
          <cell r="G120">
            <v>-202811</v>
          </cell>
          <cell r="H120">
            <v>-233178.23804776452</v>
          </cell>
          <cell r="I120">
            <v>-9649.3554506486889</v>
          </cell>
          <cell r="J120">
            <v>705178.32851493533</v>
          </cell>
          <cell r="K120">
            <v>0</v>
          </cell>
          <cell r="L120">
            <v>-37051.240037196156</v>
          </cell>
          <cell r="M120">
            <v>6649.110524645047</v>
          </cell>
          <cell r="N120">
            <v>250.65391567368704</v>
          </cell>
          <cell r="O120">
            <v>-113.11737174830292</v>
          </cell>
          <cell r="P120">
            <v>0</v>
          </cell>
          <cell r="Q120">
            <v>0</v>
          </cell>
          <cell r="R120">
            <v>0</v>
          </cell>
          <cell r="S120">
            <v>1716514.6090095635</v>
          </cell>
          <cell r="T120">
            <v>52597.27999999997</v>
          </cell>
          <cell r="U120">
            <v>3525891.6425746768</v>
          </cell>
          <cell r="V120">
            <v>26596.442098580188</v>
          </cell>
          <cell r="W120">
            <v>0</v>
          </cell>
          <cell r="X120">
            <v>3605085.3646732569</v>
          </cell>
          <cell r="Y120">
            <v>1066649</v>
          </cell>
          <cell r="Z120">
            <v>0</v>
          </cell>
          <cell r="AA120">
            <v>0</v>
          </cell>
          <cell r="AB120">
            <v>48246.777253243439</v>
          </cell>
          <cell r="AC120">
            <v>1114895.7772532434</v>
          </cell>
          <cell r="AD120" t="str">
            <v>N/A</v>
          </cell>
          <cell r="AE120">
            <v>499367</v>
          </cell>
          <cell r="AF120">
            <v>499368</v>
          </cell>
          <cell r="AG120">
            <v>499368</v>
          </cell>
          <cell r="AH120">
            <v>499368</v>
          </cell>
          <cell r="AI120">
            <v>492719</v>
          </cell>
          <cell r="AJ120">
            <v>0</v>
          </cell>
          <cell r="AK120">
            <v>2490190</v>
          </cell>
          <cell r="AL120">
            <v>17292742</v>
          </cell>
          <cell r="AM120">
            <v>1716514.6090095635</v>
          </cell>
          <cell r="AN120">
            <v>-488429.27999999997</v>
          </cell>
          <cell r="AO120">
            <v>3504241.3074200135</v>
          </cell>
          <cell r="AP120">
            <v>0</v>
          </cell>
          <cell r="AQ120">
            <v>-1014051.72</v>
          </cell>
          <cell r="AR120">
            <v>0</v>
          </cell>
          <cell r="AS120">
            <v>0</v>
          </cell>
          <cell r="AT120">
            <v>21011016.916429579</v>
          </cell>
          <cell r="AU120">
            <v>5.2158064660007709E-4</v>
          </cell>
          <cell r="AV120">
            <v>0</v>
          </cell>
          <cell r="AW120">
            <v>0</v>
          </cell>
          <cell r="AY120">
            <v>0</v>
          </cell>
          <cell r="AZ120">
            <v>0</v>
          </cell>
          <cell r="BA120">
            <v>0</v>
          </cell>
          <cell r="BB120">
            <v>0</v>
          </cell>
          <cell r="BC120">
            <v>0</v>
          </cell>
          <cell r="BD120">
            <v>0</v>
          </cell>
          <cell r="BE120">
            <v>0</v>
          </cell>
          <cell r="BF120">
            <v>0</v>
          </cell>
          <cell r="BG120">
            <v>0</v>
          </cell>
          <cell r="BH120">
            <v>0</v>
          </cell>
          <cell r="BJ120">
            <v>0</v>
          </cell>
          <cell r="BL120">
            <v>0</v>
          </cell>
          <cell r="BM120">
            <v>0</v>
          </cell>
          <cell r="BN120">
            <v>0</v>
          </cell>
          <cell r="BO120">
            <v>0</v>
          </cell>
          <cell r="BQ120">
            <v>0</v>
          </cell>
          <cell r="BR120">
            <v>0</v>
          </cell>
          <cell r="BS120">
            <v>0</v>
          </cell>
          <cell r="BT120">
            <v>0</v>
          </cell>
          <cell r="CB120">
            <v>0</v>
          </cell>
          <cell r="CC120">
            <v>0</v>
          </cell>
          <cell r="CD120">
            <v>0</v>
          </cell>
          <cell r="CE120">
            <v>0</v>
          </cell>
          <cell r="CF120">
            <v>0</v>
          </cell>
          <cell r="CI120">
            <v>0</v>
          </cell>
          <cell r="CJ120">
            <v>0</v>
          </cell>
          <cell r="CK120">
            <v>0</v>
          </cell>
          <cell r="CV120">
            <v>4.8297413324923321E-4</v>
          </cell>
          <cell r="DG120">
            <v>21011016</v>
          </cell>
          <cell r="DR120">
            <v>8446599.3999999985</v>
          </cell>
          <cell r="EC120">
            <v>2.4875118381960917</v>
          </cell>
          <cell r="EN120">
            <v>2.4095909012463064E-2</v>
          </cell>
        </row>
        <row r="121">
          <cell r="B121">
            <v>32410</v>
          </cell>
          <cell r="C121" t="str">
            <v>Whiteville City Schools</v>
          </cell>
          <cell r="D121">
            <v>7.6961629253301256E-4</v>
          </cell>
          <cell r="E121">
            <v>1331615.6367434254</v>
          </cell>
          <cell r="F121">
            <v>1038291.250342704</v>
          </cell>
          <cell r="G121">
            <v>-125748</v>
          </cell>
          <cell r="H121">
            <v>-371568.07934700232</v>
          </cell>
          <cell r="I121">
            <v>-15376.188197286341</v>
          </cell>
          <cell r="J121">
            <v>1123697.3026177131</v>
          </cell>
          <cell r="K121">
            <v>0</v>
          </cell>
          <cell r="L121">
            <v>-59040.921714253927</v>
          </cell>
          <cell r="M121">
            <v>10595.316474182377</v>
          </cell>
          <cell r="N121">
            <v>399.41546349878286</v>
          </cell>
          <cell r="O121">
            <v>-180.25183187415686</v>
          </cell>
          <cell r="P121">
            <v>0</v>
          </cell>
          <cell r="Q121">
            <v>0</v>
          </cell>
          <cell r="R121">
            <v>0</v>
          </cell>
          <cell r="S121">
            <v>2932685.4805511069</v>
          </cell>
          <cell r="T121">
            <v>38754.969999999972</v>
          </cell>
          <cell r="U121">
            <v>5618486.5130885653</v>
          </cell>
          <cell r="V121">
            <v>42381.265896729506</v>
          </cell>
          <cell r="W121">
            <v>0</v>
          </cell>
          <cell r="X121">
            <v>5699622.7489852943</v>
          </cell>
          <cell r="Y121">
            <v>667493</v>
          </cell>
          <cell r="Z121">
            <v>0</v>
          </cell>
          <cell r="AA121">
            <v>0</v>
          </cell>
          <cell r="AB121">
            <v>76880.940986431699</v>
          </cell>
          <cell r="AC121">
            <v>744373.94098643167</v>
          </cell>
          <cell r="AD121" t="str">
            <v>N/A</v>
          </cell>
          <cell r="AE121">
            <v>993168</v>
          </cell>
          <cell r="AF121">
            <v>993168</v>
          </cell>
          <cell r="AG121">
            <v>993168</v>
          </cell>
          <cell r="AH121">
            <v>993168</v>
          </cell>
          <cell r="AI121">
            <v>982573</v>
          </cell>
          <cell r="AJ121">
            <v>0</v>
          </cell>
          <cell r="AK121">
            <v>4955245</v>
          </cell>
          <cell r="AL121">
            <v>26317230</v>
          </cell>
          <cell r="AM121">
            <v>2932685.4805511069</v>
          </cell>
          <cell r="AN121">
            <v>-724239.97</v>
          </cell>
          <cell r="AO121">
            <v>5583986.8379988633</v>
          </cell>
          <cell r="AP121">
            <v>0</v>
          </cell>
          <cell r="AQ121">
            <v>-628738.03</v>
          </cell>
          <cell r="AR121">
            <v>0</v>
          </cell>
          <cell r="AS121">
            <v>0</v>
          </cell>
          <cell r="AT121">
            <v>33480924.318549976</v>
          </cell>
          <cell r="AU121">
            <v>7.9377567437313972E-4</v>
          </cell>
          <cell r="AV121">
            <v>0</v>
          </cell>
          <cell r="AW121">
            <v>0</v>
          </cell>
          <cell r="AY121">
            <v>0</v>
          </cell>
          <cell r="AZ121">
            <v>0</v>
          </cell>
          <cell r="BA121">
            <v>0</v>
          </cell>
          <cell r="BB121">
            <v>0</v>
          </cell>
          <cell r="BC121">
            <v>0</v>
          </cell>
          <cell r="BD121">
            <v>0</v>
          </cell>
          <cell r="BE121">
            <v>0</v>
          </cell>
          <cell r="BF121">
            <v>0</v>
          </cell>
          <cell r="BG121">
            <v>0</v>
          </cell>
          <cell r="BH121">
            <v>0</v>
          </cell>
          <cell r="BJ121">
            <v>0</v>
          </cell>
          <cell r="BL121">
            <v>0</v>
          </cell>
          <cell r="BM121">
            <v>0</v>
          </cell>
          <cell r="BN121">
            <v>0</v>
          </cell>
          <cell r="BO121">
            <v>0</v>
          </cell>
          <cell r="BQ121">
            <v>0</v>
          </cell>
          <cell r="BR121">
            <v>0</v>
          </cell>
          <cell r="BS121">
            <v>0</v>
          </cell>
          <cell r="BT121">
            <v>0</v>
          </cell>
          <cell r="CB121">
            <v>0</v>
          </cell>
          <cell r="CC121">
            <v>0</v>
          </cell>
          <cell r="CD121">
            <v>0</v>
          </cell>
          <cell r="CE121">
            <v>0</v>
          </cell>
          <cell r="CF121">
            <v>0</v>
          </cell>
          <cell r="CI121">
            <v>0</v>
          </cell>
          <cell r="CJ121">
            <v>0</v>
          </cell>
          <cell r="CK121">
            <v>0</v>
          </cell>
          <cell r="CV121">
            <v>7.6961629253301256E-4</v>
          </cell>
          <cell r="DG121">
            <v>33480925</v>
          </cell>
          <cell r="DR121">
            <v>12612983.220000003</v>
          </cell>
          <cell r="EC121">
            <v>2.6544810546414088</v>
          </cell>
          <cell r="EN121">
            <v>2.4095909012463064E-2</v>
          </cell>
        </row>
        <row r="122">
          <cell r="B122">
            <v>32500</v>
          </cell>
          <cell r="C122" t="str">
            <v>New Bern/Craven County Board Of Education</v>
          </cell>
          <cell r="D122">
            <v>4.4128118097172247E-3</v>
          </cell>
          <cell r="E122">
            <v>7635193.3617276587</v>
          </cell>
          <cell r="F122">
            <v>5953335.3645080393</v>
          </cell>
          <cell r="G122">
            <v>203123</v>
          </cell>
          <cell r="H122">
            <v>-2130490.2515250039</v>
          </cell>
          <cell r="I122">
            <v>-88163.706412841129</v>
          </cell>
          <cell r="J122">
            <v>6443035.0236200765</v>
          </cell>
          <cell r="K122">
            <v>0</v>
          </cell>
          <cell r="L122">
            <v>-338527.75613644405</v>
          </cell>
          <cell r="M122">
            <v>60751.231644381944</v>
          </cell>
          <cell r="N122">
            <v>2290.1610730070452</v>
          </cell>
          <cell r="O122">
            <v>-1033.5246539538712</v>
          </cell>
          <cell r="P122">
            <v>0</v>
          </cell>
          <cell r="Q122">
            <v>0</v>
          </cell>
          <cell r="R122">
            <v>0</v>
          </cell>
          <cell r="S122">
            <v>17739512.903844923</v>
          </cell>
          <cell r="T122">
            <v>1038383</v>
          </cell>
          <cell r="U122">
            <v>32215175.118100382</v>
          </cell>
          <cell r="V122">
            <v>243004.92657752777</v>
          </cell>
          <cell r="W122">
            <v>0</v>
          </cell>
          <cell r="X122">
            <v>33496563.044677909</v>
          </cell>
          <cell r="Y122">
            <v>22772.470000000205</v>
          </cell>
          <cell r="Z122">
            <v>0</v>
          </cell>
          <cell r="AA122">
            <v>0</v>
          </cell>
          <cell r="AB122">
            <v>440818.53206420562</v>
          </cell>
          <cell r="AC122">
            <v>463591.00206420582</v>
          </cell>
          <cell r="AD122" t="str">
            <v>N/A</v>
          </cell>
          <cell r="AE122">
            <v>6618746</v>
          </cell>
          <cell r="AF122">
            <v>6618745</v>
          </cell>
          <cell r="AG122">
            <v>6618745</v>
          </cell>
          <cell r="AH122">
            <v>6618745</v>
          </cell>
          <cell r="AI122">
            <v>6557993</v>
          </cell>
          <cell r="AJ122">
            <v>0</v>
          </cell>
          <cell r="AK122">
            <v>33032974</v>
          </cell>
          <cell r="AL122">
            <v>145058479</v>
          </cell>
          <cell r="AM122">
            <v>17739512.903844923</v>
          </cell>
          <cell r="AN122">
            <v>-3858650.53</v>
          </cell>
          <cell r="AO122">
            <v>32017361.51261371</v>
          </cell>
          <cell r="AP122">
            <v>0</v>
          </cell>
          <cell r="AQ122">
            <v>1015610.5299999998</v>
          </cell>
          <cell r="AR122">
            <v>0</v>
          </cell>
          <cell r="AS122">
            <v>0</v>
          </cell>
          <cell r="AT122">
            <v>191972313.41645864</v>
          </cell>
          <cell r="AU122">
            <v>4.3752283820829383E-3</v>
          </cell>
          <cell r="AV122">
            <v>0</v>
          </cell>
          <cell r="AW122">
            <v>0</v>
          </cell>
          <cell r="AY122">
            <v>0</v>
          </cell>
          <cell r="AZ122">
            <v>0</v>
          </cell>
          <cell r="BA122">
            <v>0</v>
          </cell>
          <cell r="BB122">
            <v>0</v>
          </cell>
          <cell r="BC122">
            <v>0</v>
          </cell>
          <cell r="BD122">
            <v>0</v>
          </cell>
          <cell r="BE122">
            <v>0</v>
          </cell>
          <cell r="BF122">
            <v>0</v>
          </cell>
          <cell r="BG122">
            <v>0</v>
          </cell>
          <cell r="BH122">
            <v>0</v>
          </cell>
          <cell r="BJ122">
            <v>0</v>
          </cell>
          <cell r="BL122">
            <v>0</v>
          </cell>
          <cell r="BM122">
            <v>0</v>
          </cell>
          <cell r="BN122">
            <v>0</v>
          </cell>
          <cell r="BO122">
            <v>0</v>
          </cell>
          <cell r="BQ122">
            <v>0</v>
          </cell>
          <cell r="BR122">
            <v>0</v>
          </cell>
          <cell r="BS122">
            <v>0</v>
          </cell>
          <cell r="BT122">
            <v>0</v>
          </cell>
          <cell r="CB122">
            <v>0</v>
          </cell>
          <cell r="CC122">
            <v>0</v>
          </cell>
          <cell r="CD122">
            <v>0</v>
          </cell>
          <cell r="CE122">
            <v>0</v>
          </cell>
          <cell r="CF122">
            <v>0</v>
          </cell>
          <cell r="CI122">
            <v>0</v>
          </cell>
          <cell r="CJ122">
            <v>0</v>
          </cell>
          <cell r="CK122">
            <v>0</v>
          </cell>
          <cell r="CV122">
            <v>4.4128118097172247E-3</v>
          </cell>
          <cell r="DG122">
            <v>191972313</v>
          </cell>
          <cell r="DR122">
            <v>66814500.440000139</v>
          </cell>
          <cell r="EC122">
            <v>2.8732133254875176</v>
          </cell>
          <cell r="EN122">
            <v>2.4095909012463064E-2</v>
          </cell>
        </row>
        <row r="123">
          <cell r="B123">
            <v>32505</v>
          </cell>
          <cell r="C123" t="str">
            <v>Craven Community College</v>
          </cell>
          <cell r="D123">
            <v>6.4352270126326599E-4</v>
          </cell>
          <cell r="E123">
            <v>1113444.322730181</v>
          </cell>
          <cell r="F123">
            <v>868178.07341297949</v>
          </cell>
          <cell r="G123">
            <v>-29195</v>
          </cell>
          <cell r="H123">
            <v>-310690.53039093479</v>
          </cell>
          <cell r="I123">
            <v>-12856.96035784691</v>
          </cell>
          <cell r="J123">
            <v>939591.23604673182</v>
          </cell>
          <cell r="K123">
            <v>0</v>
          </cell>
          <cell r="L123">
            <v>-49367.683344619356</v>
          </cell>
          <cell r="M123">
            <v>8859.3845327313629</v>
          </cell>
          <cell r="N123">
            <v>333.97541150160976</v>
          </cell>
          <cell r="O123">
            <v>-150.71945186286953</v>
          </cell>
          <cell r="P123">
            <v>0</v>
          </cell>
          <cell r="Q123">
            <v>0</v>
          </cell>
          <cell r="R123">
            <v>0</v>
          </cell>
          <cell r="S123">
            <v>2528146.0985888615</v>
          </cell>
          <cell r="T123">
            <v>6751.8899999998976</v>
          </cell>
          <cell r="U123">
            <v>4697956.1802336592</v>
          </cell>
          <cell r="V123">
            <v>35437.538130925452</v>
          </cell>
          <cell r="W123">
            <v>0</v>
          </cell>
          <cell r="X123">
            <v>4740145.6083645839</v>
          </cell>
          <cell r="Y123">
            <v>152725</v>
          </cell>
          <cell r="Z123">
            <v>0</v>
          </cell>
          <cell r="AA123">
            <v>0</v>
          </cell>
          <cell r="AB123">
            <v>64284.801789234552</v>
          </cell>
          <cell r="AC123">
            <v>217009.80178923457</v>
          </cell>
          <cell r="AD123" t="str">
            <v>N/A</v>
          </cell>
          <cell r="AE123">
            <v>906399</v>
          </cell>
          <cell r="AF123">
            <v>906399</v>
          </cell>
          <cell r="AG123">
            <v>906399</v>
          </cell>
          <cell r="AH123">
            <v>906399</v>
          </cell>
          <cell r="AI123">
            <v>897539</v>
          </cell>
          <cell r="AJ123">
            <v>0</v>
          </cell>
          <cell r="AK123">
            <v>4523135</v>
          </cell>
          <cell r="AL123">
            <v>21518939</v>
          </cell>
          <cell r="AM123">
            <v>2528146.0985888615</v>
          </cell>
          <cell r="AN123">
            <v>-574795.8899999999</v>
          </cell>
          <cell r="AO123">
            <v>4669108.9165753499</v>
          </cell>
          <cell r="AP123">
            <v>0</v>
          </cell>
          <cell r="AQ123">
            <v>-145973.1100000001</v>
          </cell>
          <cell r="AR123">
            <v>0</v>
          </cell>
          <cell r="AS123">
            <v>0</v>
          </cell>
          <cell r="AT123">
            <v>27995425.015164211</v>
          </cell>
          <cell r="AU123">
            <v>6.4905044886177563E-4</v>
          </cell>
          <cell r="AV123">
            <v>0</v>
          </cell>
          <cell r="AW123">
            <v>0</v>
          </cell>
          <cell r="AY123">
            <v>0</v>
          </cell>
          <cell r="AZ123">
            <v>0</v>
          </cell>
          <cell r="BA123">
            <v>0</v>
          </cell>
          <cell r="BB123">
            <v>0</v>
          </cell>
          <cell r="BC123">
            <v>0</v>
          </cell>
          <cell r="BD123">
            <v>0</v>
          </cell>
          <cell r="BE123">
            <v>0</v>
          </cell>
          <cell r="BF123">
            <v>0</v>
          </cell>
          <cell r="BG123">
            <v>0</v>
          </cell>
          <cell r="BH123">
            <v>0</v>
          </cell>
          <cell r="BJ123">
            <v>0</v>
          </cell>
          <cell r="BL123">
            <v>0</v>
          </cell>
          <cell r="BM123">
            <v>0</v>
          </cell>
          <cell r="BN123">
            <v>0</v>
          </cell>
          <cell r="BO123">
            <v>0</v>
          </cell>
          <cell r="BQ123">
            <v>0</v>
          </cell>
          <cell r="BR123">
            <v>0</v>
          </cell>
          <cell r="BS123">
            <v>0</v>
          </cell>
          <cell r="BT123">
            <v>0</v>
          </cell>
          <cell r="CB123">
            <v>0</v>
          </cell>
          <cell r="CC123">
            <v>0</v>
          </cell>
          <cell r="CD123">
            <v>0</v>
          </cell>
          <cell r="CE123">
            <v>0</v>
          </cell>
          <cell r="CF123">
            <v>0</v>
          </cell>
          <cell r="CI123">
            <v>0</v>
          </cell>
          <cell r="CJ123">
            <v>0</v>
          </cell>
          <cell r="CK123">
            <v>0</v>
          </cell>
          <cell r="CV123">
            <v>6.4352270126326599E-4</v>
          </cell>
          <cell r="DG123">
            <v>27995425</v>
          </cell>
          <cell r="DR123">
            <v>10117872.079999996</v>
          </cell>
          <cell r="EC123">
            <v>2.7669281424637275</v>
          </cell>
          <cell r="EN123">
            <v>2.4095909012463064E-2</v>
          </cell>
        </row>
        <row r="124">
          <cell r="B124">
            <v>32600</v>
          </cell>
          <cell r="C124" t="str">
            <v>Cumberland County Schools</v>
          </cell>
          <cell r="D124">
            <v>1.5847388067665232E-2</v>
          </cell>
          <cell r="E124">
            <v>27419676.476689201</v>
          </cell>
          <cell r="F124">
            <v>21379750.573220074</v>
          </cell>
          <cell r="G124">
            <v>-3646100</v>
          </cell>
          <cell r="H124">
            <v>-7651064.048538697</v>
          </cell>
          <cell r="I124">
            <v>-316615.46634084312</v>
          </cell>
          <cell r="J124">
            <v>23138370.897219144</v>
          </cell>
          <cell r="K124">
            <v>0</v>
          </cell>
          <cell r="L124">
            <v>-1215728.418636993</v>
          </cell>
          <cell r="M124">
            <v>218171.17633186316</v>
          </cell>
          <cell r="N124">
            <v>8224.4774593569018</v>
          </cell>
          <cell r="O124">
            <v>-3711.6167593278738</v>
          </cell>
          <cell r="P124">
            <v>0</v>
          </cell>
          <cell r="Q124">
            <v>0</v>
          </cell>
          <cell r="R124">
            <v>0</v>
          </cell>
          <cell r="S124">
            <v>59330974.050643779</v>
          </cell>
          <cell r="T124">
            <v>0</v>
          </cell>
          <cell r="U124">
            <v>115691854.48609573</v>
          </cell>
          <cell r="V124">
            <v>872684.70532745263</v>
          </cell>
          <cell r="W124">
            <v>0</v>
          </cell>
          <cell r="X124">
            <v>116564539.19142318</v>
          </cell>
          <cell r="Y124">
            <v>18230496.579999998</v>
          </cell>
          <cell r="Z124">
            <v>0</v>
          </cell>
          <cell r="AA124">
            <v>0</v>
          </cell>
          <cell r="AB124">
            <v>1583077.3317042156</v>
          </cell>
          <cell r="AC124">
            <v>19813573.911704212</v>
          </cell>
          <cell r="AD124" t="str">
            <v>N/A</v>
          </cell>
          <cell r="AE124">
            <v>19393827</v>
          </cell>
          <cell r="AF124">
            <v>19393828</v>
          </cell>
          <cell r="AG124">
            <v>19393828</v>
          </cell>
          <cell r="AH124">
            <v>19393828</v>
          </cell>
          <cell r="AI124">
            <v>19175656</v>
          </cell>
          <cell r="AJ124">
            <v>0</v>
          </cell>
          <cell r="AK124">
            <v>96750967</v>
          </cell>
          <cell r="AL124">
            <v>546859441</v>
          </cell>
          <cell r="AM124">
            <v>59330974.050643779</v>
          </cell>
          <cell r="AN124">
            <v>-13526134.420000002</v>
          </cell>
          <cell r="AO124">
            <v>114981461.85971896</v>
          </cell>
          <cell r="AP124">
            <v>0</v>
          </cell>
          <cell r="AQ124">
            <v>-18230496.579999998</v>
          </cell>
          <cell r="AR124">
            <v>0</v>
          </cell>
          <cell r="AS124">
            <v>0</v>
          </cell>
          <cell r="AT124">
            <v>689415245.91036272</v>
          </cell>
          <cell r="AU124">
            <v>1.6494278452513444E-2</v>
          </cell>
          <cell r="AV124">
            <v>0</v>
          </cell>
          <cell r="AW124">
            <v>0</v>
          </cell>
          <cell r="AY124">
            <v>0</v>
          </cell>
          <cell r="AZ124">
            <v>0</v>
          </cell>
          <cell r="BA124">
            <v>0</v>
          </cell>
          <cell r="BB124">
            <v>0</v>
          </cell>
          <cell r="BC124">
            <v>0</v>
          </cell>
          <cell r="BD124">
            <v>0</v>
          </cell>
          <cell r="BE124">
            <v>0</v>
          </cell>
          <cell r="BF124">
            <v>0</v>
          </cell>
          <cell r="BG124">
            <v>0</v>
          </cell>
          <cell r="BH124">
            <v>0</v>
          </cell>
          <cell r="BJ124">
            <v>0</v>
          </cell>
          <cell r="BL124">
            <v>0</v>
          </cell>
          <cell r="BM124">
            <v>0</v>
          </cell>
          <cell r="BN124">
            <v>0</v>
          </cell>
          <cell r="BO124">
            <v>0</v>
          </cell>
          <cell r="BQ124">
            <v>0</v>
          </cell>
          <cell r="BR124">
            <v>0</v>
          </cell>
          <cell r="BS124">
            <v>0</v>
          </cell>
          <cell r="BT124">
            <v>0</v>
          </cell>
          <cell r="CB124">
            <v>0</v>
          </cell>
          <cell r="CC124">
            <v>0</v>
          </cell>
          <cell r="CD124">
            <v>0</v>
          </cell>
          <cell r="CE124">
            <v>0</v>
          </cell>
          <cell r="CF124">
            <v>0</v>
          </cell>
          <cell r="CI124">
            <v>0</v>
          </cell>
          <cell r="CJ124">
            <v>0</v>
          </cell>
          <cell r="CK124">
            <v>0</v>
          </cell>
          <cell r="CV124">
            <v>1.5847388067665232E-2</v>
          </cell>
          <cell r="DG124">
            <v>689415246</v>
          </cell>
          <cell r="DR124">
            <v>236983812.70999849</v>
          </cell>
          <cell r="EC124">
            <v>2.9091237840942759</v>
          </cell>
          <cell r="EN124">
            <v>2.4095909012463064E-2</v>
          </cell>
        </row>
        <row r="125">
          <cell r="B125">
            <v>32605</v>
          </cell>
          <cell r="C125" t="str">
            <v>Fayetteville Technical Community College</v>
          </cell>
          <cell r="D125">
            <v>2.2536259926727435E-3</v>
          </cell>
          <cell r="E125">
            <v>3899298.4430429316</v>
          </cell>
          <cell r="F125">
            <v>3040372.4199181115</v>
          </cell>
          <cell r="G125">
            <v>178428</v>
          </cell>
          <cell r="H125">
            <v>-1088042.8205435553</v>
          </cell>
          <cell r="I125">
            <v>-45025.264831105371</v>
          </cell>
          <cell r="J125">
            <v>3290462.3689043089</v>
          </cell>
          <cell r="K125">
            <v>0</v>
          </cell>
          <cell r="L125">
            <v>-172886.3553143813</v>
          </cell>
          <cell r="M125">
            <v>31025.695321785166</v>
          </cell>
          <cell r="N125">
            <v>1169.5868176773004</v>
          </cell>
          <cell r="O125">
            <v>-527.8217437438833</v>
          </cell>
          <cell r="P125">
            <v>0</v>
          </cell>
          <cell r="Q125">
            <v>0</v>
          </cell>
          <cell r="R125">
            <v>0</v>
          </cell>
          <cell r="S125">
            <v>9134274.2515720297</v>
          </cell>
          <cell r="T125">
            <v>892140.70000000019</v>
          </cell>
          <cell r="U125">
            <v>16452311.844521543</v>
          </cell>
          <cell r="V125">
            <v>124102.78128714066</v>
          </cell>
          <cell r="W125">
            <v>0</v>
          </cell>
          <cell r="X125">
            <v>17468555.325808685</v>
          </cell>
          <cell r="Y125">
            <v>0</v>
          </cell>
          <cell r="Z125">
            <v>0</v>
          </cell>
          <cell r="AA125">
            <v>0</v>
          </cell>
          <cell r="AB125">
            <v>225126.32415552685</v>
          </cell>
          <cell r="AC125">
            <v>225126.32415552685</v>
          </cell>
          <cell r="AD125" t="str">
            <v>N/A</v>
          </cell>
          <cell r="AE125">
            <v>3454891</v>
          </cell>
          <cell r="AF125">
            <v>3454891</v>
          </cell>
          <cell r="AG125">
            <v>3454891</v>
          </cell>
          <cell r="AH125">
            <v>3454891</v>
          </cell>
          <cell r="AI125">
            <v>3423865</v>
          </cell>
          <cell r="AJ125">
            <v>0</v>
          </cell>
          <cell r="AK125">
            <v>17243429</v>
          </cell>
          <cell r="AL125">
            <v>73794870</v>
          </cell>
          <cell r="AM125">
            <v>9134274.2515720297</v>
          </cell>
          <cell r="AN125">
            <v>-2132182.7000000002</v>
          </cell>
          <cell r="AO125">
            <v>16351288.301653158</v>
          </cell>
          <cell r="AP125">
            <v>0</v>
          </cell>
          <cell r="AQ125">
            <v>892140.70000000019</v>
          </cell>
          <cell r="AR125">
            <v>0</v>
          </cell>
          <cell r="AS125">
            <v>0</v>
          </cell>
          <cell r="AT125">
            <v>98040390.553225189</v>
          </cell>
          <cell r="AU125">
            <v>2.2257879065669993E-3</v>
          </cell>
          <cell r="AV125">
            <v>0</v>
          </cell>
          <cell r="AW125">
            <v>0</v>
          </cell>
          <cell r="AY125">
            <v>0</v>
          </cell>
          <cell r="AZ125">
            <v>0</v>
          </cell>
          <cell r="BA125">
            <v>0</v>
          </cell>
          <cell r="BB125">
            <v>0</v>
          </cell>
          <cell r="BC125">
            <v>0</v>
          </cell>
          <cell r="BD125">
            <v>0</v>
          </cell>
          <cell r="BE125">
            <v>0</v>
          </cell>
          <cell r="BF125">
            <v>0</v>
          </cell>
          <cell r="BG125">
            <v>0</v>
          </cell>
          <cell r="BH125">
            <v>0</v>
          </cell>
          <cell r="BJ125">
            <v>0</v>
          </cell>
          <cell r="BL125">
            <v>0</v>
          </cell>
          <cell r="BM125">
            <v>0</v>
          </cell>
          <cell r="BN125">
            <v>0</v>
          </cell>
          <cell r="BO125">
            <v>0</v>
          </cell>
          <cell r="BQ125">
            <v>0</v>
          </cell>
          <cell r="BR125">
            <v>0</v>
          </cell>
          <cell r="BS125">
            <v>0</v>
          </cell>
          <cell r="BT125">
            <v>0</v>
          </cell>
          <cell r="CB125">
            <v>0</v>
          </cell>
          <cell r="CC125">
            <v>0</v>
          </cell>
          <cell r="CD125">
            <v>0</v>
          </cell>
          <cell r="CE125">
            <v>0</v>
          </cell>
          <cell r="CF125">
            <v>0</v>
          </cell>
          <cell r="CI125">
            <v>0</v>
          </cell>
          <cell r="CJ125">
            <v>0</v>
          </cell>
          <cell r="CK125">
            <v>0</v>
          </cell>
          <cell r="CV125">
            <v>2.2536259926727435E-3</v>
          </cell>
          <cell r="DG125">
            <v>98040391</v>
          </cell>
          <cell r="DR125">
            <v>37431550.5</v>
          </cell>
          <cell r="EC125">
            <v>2.6191912889101401</v>
          </cell>
          <cell r="EN125">
            <v>2.4095909012463064E-2</v>
          </cell>
        </row>
        <row r="126">
          <cell r="B126">
            <v>32700</v>
          </cell>
          <cell r="C126" t="str">
            <v>Currituck County Schools</v>
          </cell>
          <cell r="D126">
            <v>1.3479360943731201E-3</v>
          </cell>
          <cell r="E126">
            <v>2332243.7401766866</v>
          </cell>
          <cell r="F126">
            <v>1818503.9303188797</v>
          </cell>
          <cell r="G126">
            <v>53234</v>
          </cell>
          <cell r="H126">
            <v>-650778.87582172779</v>
          </cell>
          <cell r="I126">
            <v>-26930.457769781653</v>
          </cell>
          <cell r="J126">
            <v>1968087.4327165554</v>
          </cell>
          <cell r="K126">
            <v>0</v>
          </cell>
          <cell r="L126">
            <v>-103406.58091030065</v>
          </cell>
          <cell r="M126">
            <v>18557.051930191505</v>
          </cell>
          <cell r="N126">
            <v>699.55187425776182</v>
          </cell>
          <cell r="O126">
            <v>-315.70011266312844</v>
          </cell>
          <cell r="P126">
            <v>0</v>
          </cell>
          <cell r="Q126">
            <v>0</v>
          </cell>
          <cell r="R126">
            <v>0</v>
          </cell>
          <cell r="S126">
            <v>5409894.0924020978</v>
          </cell>
          <cell r="T126">
            <v>266165.64999999991</v>
          </cell>
          <cell r="U126">
            <v>9840437.1635827776</v>
          </cell>
          <cell r="V126">
            <v>74228.207720766019</v>
          </cell>
          <cell r="W126">
            <v>0</v>
          </cell>
          <cell r="X126">
            <v>10180831.021303544</v>
          </cell>
          <cell r="Y126">
            <v>0</v>
          </cell>
          <cell r="Z126">
            <v>0</v>
          </cell>
          <cell r="AA126">
            <v>0</v>
          </cell>
          <cell r="AB126">
            <v>134652.28884890824</v>
          </cell>
          <cell r="AC126">
            <v>134652.28884890824</v>
          </cell>
          <cell r="AD126" t="str">
            <v>N/A</v>
          </cell>
          <cell r="AE126">
            <v>2012947</v>
          </cell>
          <cell r="AF126">
            <v>2012948</v>
          </cell>
          <cell r="AG126">
            <v>2012948</v>
          </cell>
          <cell r="AH126">
            <v>2012948</v>
          </cell>
          <cell r="AI126">
            <v>1994391</v>
          </cell>
          <cell r="AJ126">
            <v>0</v>
          </cell>
          <cell r="AK126">
            <v>10046182</v>
          </cell>
          <cell r="AL126">
            <v>44391503</v>
          </cell>
          <cell r="AM126">
            <v>5409894.0924020978</v>
          </cell>
          <cell r="AN126">
            <v>-1207773.6499999999</v>
          </cell>
          <cell r="AO126">
            <v>9780013.0824546367</v>
          </cell>
          <cell r="AP126">
            <v>0</v>
          </cell>
          <cell r="AQ126">
            <v>266165.64999999991</v>
          </cell>
          <cell r="AR126">
            <v>0</v>
          </cell>
          <cell r="AS126">
            <v>0</v>
          </cell>
          <cell r="AT126">
            <v>58639802.174856737</v>
          </cell>
          <cell r="AU126">
            <v>1.3389287312515854E-3</v>
          </cell>
          <cell r="AV126">
            <v>0</v>
          </cell>
          <cell r="AW126">
            <v>0</v>
          </cell>
          <cell r="AY126">
            <v>0</v>
          </cell>
          <cell r="AZ126">
            <v>0</v>
          </cell>
          <cell r="BA126">
            <v>0</v>
          </cell>
          <cell r="BB126">
            <v>0</v>
          </cell>
          <cell r="BC126">
            <v>0</v>
          </cell>
          <cell r="BD126">
            <v>0</v>
          </cell>
          <cell r="BE126">
            <v>0</v>
          </cell>
          <cell r="BF126">
            <v>0</v>
          </cell>
          <cell r="BG126">
            <v>0</v>
          </cell>
          <cell r="BH126">
            <v>0</v>
          </cell>
          <cell r="BJ126">
            <v>0</v>
          </cell>
          <cell r="BL126">
            <v>0</v>
          </cell>
          <cell r="BM126">
            <v>0</v>
          </cell>
          <cell r="BN126">
            <v>0</v>
          </cell>
          <cell r="BO126">
            <v>0</v>
          </cell>
          <cell r="BQ126">
            <v>0</v>
          </cell>
          <cell r="BR126">
            <v>0</v>
          </cell>
          <cell r="BS126">
            <v>0</v>
          </cell>
          <cell r="BT126">
            <v>0</v>
          </cell>
          <cell r="CB126">
            <v>0</v>
          </cell>
          <cell r="CC126">
            <v>0</v>
          </cell>
          <cell r="CD126">
            <v>0</v>
          </cell>
          <cell r="CE126">
            <v>0</v>
          </cell>
          <cell r="CF126">
            <v>0</v>
          </cell>
          <cell r="CI126">
            <v>0</v>
          </cell>
          <cell r="CJ126">
            <v>0</v>
          </cell>
          <cell r="CK126">
            <v>0</v>
          </cell>
          <cell r="CV126">
            <v>1.3479360943731201E-3</v>
          </cell>
          <cell r="DG126">
            <v>58639802</v>
          </cell>
          <cell r="DR126">
            <v>20714552.539999999</v>
          </cell>
          <cell r="EC126">
            <v>2.8308505282344854</v>
          </cell>
          <cell r="EN126">
            <v>2.4095909012463064E-2</v>
          </cell>
        </row>
        <row r="127">
          <cell r="B127">
            <v>32800</v>
          </cell>
          <cell r="C127" t="str">
            <v>Dare County Schools</v>
          </cell>
          <cell r="D127">
            <v>1.8069744625663399E-3</v>
          </cell>
          <cell r="E127">
            <v>3126487.1506682299</v>
          </cell>
          <cell r="F127">
            <v>2437793.7321212087</v>
          </cell>
          <cell r="G127">
            <v>-99826</v>
          </cell>
          <cell r="H127">
            <v>-872401.00943686359</v>
          </cell>
          <cell r="I127">
            <v>-36101.599814973481</v>
          </cell>
          <cell r="J127">
            <v>2638317.755464864</v>
          </cell>
          <cell r="K127">
            <v>0</v>
          </cell>
          <cell r="L127">
            <v>-138621.59470780575</v>
          </cell>
          <cell r="M127">
            <v>24876.638498183493</v>
          </cell>
          <cell r="N127">
            <v>937.78360658267911</v>
          </cell>
          <cell r="O127">
            <v>-423.21148887766248</v>
          </cell>
          <cell r="P127">
            <v>0</v>
          </cell>
          <cell r="Q127">
            <v>0</v>
          </cell>
          <cell r="R127">
            <v>0</v>
          </cell>
          <cell r="S127">
            <v>7081039.6449105479</v>
          </cell>
          <cell r="T127">
            <v>184499.01</v>
          </cell>
          <cell r="U127">
            <v>13191588.777324321</v>
          </cell>
          <cell r="V127">
            <v>99506.553992733971</v>
          </cell>
          <cell r="W127">
            <v>0</v>
          </cell>
          <cell r="X127">
            <v>13475594.341317054</v>
          </cell>
          <cell r="Y127">
            <v>683630</v>
          </cell>
          <cell r="Z127">
            <v>0</v>
          </cell>
          <cell r="AA127">
            <v>0</v>
          </cell>
          <cell r="AB127">
            <v>180507.9990748674</v>
          </cell>
          <cell r="AC127">
            <v>864137.99907486746</v>
          </cell>
          <cell r="AD127" t="str">
            <v>N/A</v>
          </cell>
          <cell r="AE127">
            <v>2527267</v>
          </cell>
          <cell r="AF127">
            <v>2527267</v>
          </cell>
          <cell r="AG127">
            <v>2527267</v>
          </cell>
          <cell r="AH127">
            <v>2527267</v>
          </cell>
          <cell r="AI127">
            <v>2502390</v>
          </cell>
          <cell r="AJ127">
            <v>0</v>
          </cell>
          <cell r="AK127">
            <v>12611458</v>
          </cell>
          <cell r="AL127">
            <v>60729678</v>
          </cell>
          <cell r="AM127">
            <v>7081039.6449105479</v>
          </cell>
          <cell r="AN127">
            <v>-1812643.01</v>
          </cell>
          <cell r="AO127">
            <v>13110587.332242187</v>
          </cell>
          <cell r="AP127">
            <v>0</v>
          </cell>
          <cell r="AQ127">
            <v>-499130.99</v>
          </cell>
          <cell r="AR127">
            <v>0</v>
          </cell>
          <cell r="AS127">
            <v>0</v>
          </cell>
          <cell r="AT127">
            <v>78609530.977152735</v>
          </cell>
          <cell r="AU127">
            <v>1.8317178800786238E-3</v>
          </cell>
          <cell r="AV127">
            <v>0</v>
          </cell>
          <cell r="AW127">
            <v>0</v>
          </cell>
          <cell r="AY127">
            <v>0</v>
          </cell>
          <cell r="AZ127">
            <v>0</v>
          </cell>
          <cell r="BA127">
            <v>0</v>
          </cell>
          <cell r="BB127">
            <v>0</v>
          </cell>
          <cell r="BC127">
            <v>0</v>
          </cell>
          <cell r="BD127">
            <v>0</v>
          </cell>
          <cell r="BE127">
            <v>0</v>
          </cell>
          <cell r="BF127">
            <v>0</v>
          </cell>
          <cell r="BG127">
            <v>0</v>
          </cell>
          <cell r="BH127">
            <v>0</v>
          </cell>
          <cell r="BJ127">
            <v>0</v>
          </cell>
          <cell r="BL127">
            <v>0</v>
          </cell>
          <cell r="BM127">
            <v>0</v>
          </cell>
          <cell r="BN127">
            <v>0</v>
          </cell>
          <cell r="BO127">
            <v>0</v>
          </cell>
          <cell r="BQ127">
            <v>0</v>
          </cell>
          <cell r="BR127">
            <v>0</v>
          </cell>
          <cell r="BS127">
            <v>0</v>
          </cell>
          <cell r="BT127">
            <v>0</v>
          </cell>
          <cell r="CB127">
            <v>0</v>
          </cell>
          <cell r="CC127">
            <v>0</v>
          </cell>
          <cell r="CD127">
            <v>0</v>
          </cell>
          <cell r="CE127">
            <v>0</v>
          </cell>
          <cell r="CF127">
            <v>0</v>
          </cell>
          <cell r="CI127">
            <v>0</v>
          </cell>
          <cell r="CJ127">
            <v>0</v>
          </cell>
          <cell r="CK127">
            <v>0</v>
          </cell>
          <cell r="CV127">
            <v>1.8069744625663399E-3</v>
          </cell>
          <cell r="DG127">
            <v>78609531</v>
          </cell>
          <cell r="DR127">
            <v>31559927.679999985</v>
          </cell>
          <cell r="EC127">
            <v>2.4908020004689706</v>
          </cell>
          <cell r="EN127">
            <v>2.4095909012463064E-2</v>
          </cell>
        </row>
        <row r="128">
          <cell r="B128">
            <v>32900</v>
          </cell>
          <cell r="C128" t="str">
            <v>Davidson County Schools</v>
          </cell>
          <cell r="D128">
            <v>5.7509570539636679E-3</v>
          </cell>
          <cell r="E128">
            <v>9950496.6482624616</v>
          </cell>
          <cell r="F128">
            <v>7758630.434621417</v>
          </cell>
          <cell r="G128">
            <v>-221218</v>
          </cell>
          <cell r="H128">
            <v>-2776542.1388304541</v>
          </cell>
          <cell r="I128">
            <v>-114898.55247894675</v>
          </cell>
          <cell r="J128">
            <v>8396827.0834548157</v>
          </cell>
          <cell r="K128">
            <v>0</v>
          </cell>
          <cell r="L128">
            <v>-441183.23442397855</v>
          </cell>
          <cell r="M128">
            <v>79173.492826703485</v>
          </cell>
          <cell r="N128">
            <v>2984.6316918660646</v>
          </cell>
          <cell r="O128">
            <v>-1346.9316516088306</v>
          </cell>
          <cell r="P128">
            <v>0</v>
          </cell>
          <cell r="Q128">
            <v>0</v>
          </cell>
          <cell r="R128">
            <v>0</v>
          </cell>
          <cell r="S128">
            <v>22632923.433472279</v>
          </cell>
          <cell r="T128">
            <v>0</v>
          </cell>
          <cell r="U128">
            <v>41984135.417274073</v>
          </cell>
          <cell r="V128">
            <v>316693.97130681394</v>
          </cell>
          <cell r="W128">
            <v>0</v>
          </cell>
          <cell r="X128">
            <v>42300829.388580889</v>
          </cell>
          <cell r="Y128">
            <v>1106094.79</v>
          </cell>
          <cell r="Z128">
            <v>0</v>
          </cell>
          <cell r="AA128">
            <v>0</v>
          </cell>
          <cell r="AB128">
            <v>574492.76239473373</v>
          </cell>
          <cell r="AC128">
            <v>1680587.5523947338</v>
          </cell>
          <cell r="AD128" t="str">
            <v>N/A</v>
          </cell>
          <cell r="AE128">
            <v>8139883</v>
          </cell>
          <cell r="AF128">
            <v>8139883</v>
          </cell>
          <cell r="AG128">
            <v>8139883</v>
          </cell>
          <cell r="AH128">
            <v>8139883</v>
          </cell>
          <cell r="AI128">
            <v>8060710</v>
          </cell>
          <cell r="AJ128">
            <v>0</v>
          </cell>
          <cell r="AK128">
            <v>40620242</v>
          </cell>
          <cell r="AL128">
            <v>191900254</v>
          </cell>
          <cell r="AM128">
            <v>22632923.433472279</v>
          </cell>
          <cell r="AN128">
            <v>-4967240.21</v>
          </cell>
          <cell r="AO128">
            <v>41726336.626186155</v>
          </cell>
          <cell r="AP128">
            <v>0</v>
          </cell>
          <cell r="AQ128">
            <v>-1106094.79</v>
          </cell>
          <cell r="AR128">
            <v>0</v>
          </cell>
          <cell r="AS128">
            <v>0</v>
          </cell>
          <cell r="AT128">
            <v>250186179.05965844</v>
          </cell>
          <cell r="AU128">
            <v>5.7880617574740442E-3</v>
          </cell>
          <cell r="AV128">
            <v>0</v>
          </cell>
          <cell r="AW128">
            <v>0</v>
          </cell>
          <cell r="AY128">
            <v>0</v>
          </cell>
          <cell r="AZ128">
            <v>0</v>
          </cell>
          <cell r="BA128">
            <v>0</v>
          </cell>
          <cell r="BB128">
            <v>0</v>
          </cell>
          <cell r="BC128">
            <v>0</v>
          </cell>
          <cell r="BD128">
            <v>0</v>
          </cell>
          <cell r="BE128">
            <v>0</v>
          </cell>
          <cell r="BF128">
            <v>0</v>
          </cell>
          <cell r="BG128">
            <v>0</v>
          </cell>
          <cell r="BH128">
            <v>0</v>
          </cell>
          <cell r="BJ128">
            <v>0</v>
          </cell>
          <cell r="BL128">
            <v>0</v>
          </cell>
          <cell r="BM128">
            <v>0</v>
          </cell>
          <cell r="BN128">
            <v>0</v>
          </cell>
          <cell r="BO128">
            <v>0</v>
          </cell>
          <cell r="BQ128">
            <v>0</v>
          </cell>
          <cell r="BR128">
            <v>0</v>
          </cell>
          <cell r="BS128">
            <v>0</v>
          </cell>
          <cell r="BT128">
            <v>0</v>
          </cell>
          <cell r="CB128">
            <v>0</v>
          </cell>
          <cell r="CC128">
            <v>0</v>
          </cell>
          <cell r="CD128">
            <v>0</v>
          </cell>
          <cell r="CE128">
            <v>0</v>
          </cell>
          <cell r="CF128">
            <v>0</v>
          </cell>
          <cell r="CI128">
            <v>0</v>
          </cell>
          <cell r="CJ128">
            <v>0</v>
          </cell>
          <cell r="CK128">
            <v>0</v>
          </cell>
          <cell r="CV128">
            <v>5.7509570539636679E-3</v>
          </cell>
          <cell r="DG128">
            <v>250186179</v>
          </cell>
          <cell r="DR128">
            <v>86770011.830000177</v>
          </cell>
          <cell r="EC128">
            <v>2.8833253992193155</v>
          </cell>
          <cell r="EN128">
            <v>2.4095909012463064E-2</v>
          </cell>
        </row>
        <row r="129">
          <cell r="B129">
            <v>32901</v>
          </cell>
          <cell r="C129" t="str">
            <v>Invest Collegiate Charter School</v>
          </cell>
          <cell r="D129">
            <v>1.9763566281025743E-4</v>
          </cell>
          <cell r="E129">
            <v>341955.77917160717</v>
          </cell>
          <cell r="F129">
            <v>266630.76320304</v>
          </cell>
          <cell r="G129">
            <v>479680</v>
          </cell>
          <cell r="H129">
            <v>-95417.813205571074</v>
          </cell>
          <cell r="I129">
            <v>-3948.5691445852426</v>
          </cell>
          <cell r="J129">
            <v>288562.83755378524</v>
          </cell>
          <cell r="K129">
            <v>0</v>
          </cell>
          <cell r="L129">
            <v>-15161.57052434616</v>
          </cell>
          <cell r="M129">
            <v>2720.8524746370954</v>
          </cell>
          <cell r="N129">
            <v>102.5689562852674</v>
          </cell>
          <cell r="O129">
            <v>-46.288248586790395</v>
          </cell>
          <cell r="P129">
            <v>0</v>
          </cell>
          <cell r="Q129">
            <v>0</v>
          </cell>
          <cell r="R129">
            <v>0</v>
          </cell>
          <cell r="S129">
            <v>1265078.5602362657</v>
          </cell>
          <cell r="T129">
            <v>2440401</v>
          </cell>
          <cell r="U129">
            <v>1442814.1877689261</v>
          </cell>
          <cell r="V129">
            <v>10883.409898548382</v>
          </cell>
          <cell r="W129">
            <v>0</v>
          </cell>
          <cell r="X129">
            <v>3894098.5976674743</v>
          </cell>
          <cell r="Y129">
            <v>42002.640000000029</v>
          </cell>
          <cell r="Z129">
            <v>0</v>
          </cell>
          <cell r="AA129">
            <v>0</v>
          </cell>
          <cell r="AB129">
            <v>19742.845722926213</v>
          </cell>
          <cell r="AC129">
            <v>61745.485722926242</v>
          </cell>
          <cell r="AD129" t="str">
            <v>N/A</v>
          </cell>
          <cell r="AE129">
            <v>767014</v>
          </cell>
          <cell r="AF129">
            <v>767015</v>
          </cell>
          <cell r="AG129">
            <v>767015</v>
          </cell>
          <cell r="AH129">
            <v>767015</v>
          </cell>
          <cell r="AI129">
            <v>764294</v>
          </cell>
          <cell r="AJ129">
            <v>0</v>
          </cell>
          <cell r="AK129">
            <v>3832353</v>
          </cell>
          <cell r="AL129">
            <v>3624029</v>
          </cell>
          <cell r="AM129">
            <v>1265078.5602362657</v>
          </cell>
          <cell r="AN129">
            <v>-123637.35999999997</v>
          </cell>
          <cell r="AO129">
            <v>1433954.7519445485</v>
          </cell>
          <cell r="AP129">
            <v>0</v>
          </cell>
          <cell r="AQ129">
            <v>2398398.36</v>
          </cell>
          <cell r="AR129">
            <v>0</v>
          </cell>
          <cell r="AS129">
            <v>0</v>
          </cell>
          <cell r="AT129">
            <v>8597823.3121808134</v>
          </cell>
          <cell r="AU129">
            <v>1.0930731873870581E-4</v>
          </cell>
          <cell r="AV129">
            <v>0</v>
          </cell>
          <cell r="AW129">
            <v>0</v>
          </cell>
          <cell r="AY129">
            <v>0</v>
          </cell>
          <cell r="AZ129">
            <v>0</v>
          </cell>
          <cell r="BA129">
            <v>0</v>
          </cell>
          <cell r="BB129">
            <v>0</v>
          </cell>
          <cell r="BC129">
            <v>0</v>
          </cell>
          <cell r="BD129">
            <v>0</v>
          </cell>
          <cell r="BE129">
            <v>0</v>
          </cell>
          <cell r="BF129">
            <v>0</v>
          </cell>
          <cell r="BG129">
            <v>0</v>
          </cell>
          <cell r="BH129">
            <v>0</v>
          </cell>
          <cell r="BJ129">
            <v>0</v>
          </cell>
          <cell r="BL129">
            <v>0</v>
          </cell>
          <cell r="BM129">
            <v>0</v>
          </cell>
          <cell r="BN129">
            <v>0</v>
          </cell>
          <cell r="BO129">
            <v>0</v>
          </cell>
          <cell r="BQ129">
            <v>0</v>
          </cell>
          <cell r="BR129">
            <v>0</v>
          </cell>
          <cell r="BS129">
            <v>0</v>
          </cell>
          <cell r="BT129">
            <v>0</v>
          </cell>
          <cell r="CB129">
            <v>0</v>
          </cell>
          <cell r="CC129">
            <v>0</v>
          </cell>
          <cell r="CD129">
            <v>0</v>
          </cell>
          <cell r="CE129">
            <v>0</v>
          </cell>
          <cell r="CF129">
            <v>0</v>
          </cell>
          <cell r="CI129">
            <v>0</v>
          </cell>
          <cell r="CJ129">
            <v>0</v>
          </cell>
          <cell r="CK129">
            <v>0</v>
          </cell>
          <cell r="CV129">
            <v>1.9763566281025743E-4</v>
          </cell>
          <cell r="DG129">
            <v>8597823</v>
          </cell>
          <cell r="DR129">
            <v>2206162.0200000005</v>
          </cell>
          <cell r="EC129">
            <v>3.8971856654480881</v>
          </cell>
          <cell r="EN129">
            <v>2.4095909012463064E-2</v>
          </cell>
        </row>
        <row r="130">
          <cell r="B130">
            <v>32905</v>
          </cell>
          <cell r="C130" t="str">
            <v>Davidson County Community College</v>
          </cell>
          <cell r="D130">
            <v>8.3108550435342281E-4</v>
          </cell>
          <cell r="E130">
            <v>1437971.705907386</v>
          </cell>
          <cell r="F130">
            <v>1121219.5165681187</v>
          </cell>
          <cell r="G130">
            <v>-159193</v>
          </cell>
          <cell r="H130">
            <v>-401245.20182567462</v>
          </cell>
          <cell r="I130">
            <v>-16604.283520189012</v>
          </cell>
          <cell r="J130">
            <v>1213446.945636957</v>
          </cell>
          <cell r="K130">
            <v>0</v>
          </cell>
          <cell r="L130">
            <v>-63756.516950655525</v>
          </cell>
          <cell r="M130">
            <v>11441.563830137178</v>
          </cell>
          <cell r="N130">
            <v>431.31675504933935</v>
          </cell>
          <cell r="O130">
            <v>-194.64853597461516</v>
          </cell>
          <cell r="P130">
            <v>0</v>
          </cell>
          <cell r="Q130">
            <v>0</v>
          </cell>
          <cell r="R130">
            <v>0</v>
          </cell>
          <cell r="S130">
            <v>3143517.3978651538</v>
          </cell>
          <cell r="T130">
            <v>30669.230000000098</v>
          </cell>
          <cell r="U130">
            <v>6067234.7281847848</v>
          </cell>
          <cell r="V130">
            <v>45766.255320548713</v>
          </cell>
          <cell r="W130">
            <v>0</v>
          </cell>
          <cell r="X130">
            <v>6143670.2135053342</v>
          </cell>
          <cell r="Y130">
            <v>826635</v>
          </cell>
          <cell r="Z130">
            <v>0</v>
          </cell>
          <cell r="AA130">
            <v>0</v>
          </cell>
          <cell r="AB130">
            <v>83021.41760094506</v>
          </cell>
          <cell r="AC130">
            <v>909656.4176009451</v>
          </cell>
          <cell r="AD130" t="str">
            <v>N/A</v>
          </cell>
          <cell r="AE130">
            <v>1049091</v>
          </cell>
          <cell r="AF130">
            <v>1049091</v>
          </cell>
          <cell r="AG130">
            <v>1049091</v>
          </cell>
          <cell r="AH130">
            <v>1049091</v>
          </cell>
          <cell r="AI130">
            <v>1037650</v>
          </cell>
          <cell r="AJ130">
            <v>0</v>
          </cell>
          <cell r="AK130">
            <v>5234014</v>
          </cell>
          <cell r="AL130">
            <v>28546181</v>
          </cell>
          <cell r="AM130">
            <v>3143517.3978651538</v>
          </cell>
          <cell r="AN130">
            <v>-768667.2300000001</v>
          </cell>
          <cell r="AO130">
            <v>6029979.5659043891</v>
          </cell>
          <cell r="AP130">
            <v>0</v>
          </cell>
          <cell r="AQ130">
            <v>-795965.7699999999</v>
          </cell>
          <cell r="AR130">
            <v>0</v>
          </cell>
          <cell r="AS130">
            <v>0</v>
          </cell>
          <cell r="AT130">
            <v>36155044.96376954</v>
          </cell>
          <cell r="AU130">
            <v>8.6100491293295814E-4</v>
          </cell>
          <cell r="AV130">
            <v>0</v>
          </cell>
          <cell r="AW130">
            <v>0</v>
          </cell>
          <cell r="AY130">
            <v>0</v>
          </cell>
          <cell r="AZ130">
            <v>0</v>
          </cell>
          <cell r="BA130">
            <v>0</v>
          </cell>
          <cell r="BB130">
            <v>0</v>
          </cell>
          <cell r="BC130">
            <v>0</v>
          </cell>
          <cell r="BD130">
            <v>0</v>
          </cell>
          <cell r="BE130">
            <v>0</v>
          </cell>
          <cell r="BF130">
            <v>0</v>
          </cell>
          <cell r="BG130">
            <v>0</v>
          </cell>
          <cell r="BH130">
            <v>0</v>
          </cell>
          <cell r="BJ130">
            <v>0</v>
          </cell>
          <cell r="BL130">
            <v>0</v>
          </cell>
          <cell r="BM130">
            <v>0</v>
          </cell>
          <cell r="BN130">
            <v>0</v>
          </cell>
          <cell r="BO130">
            <v>0</v>
          </cell>
          <cell r="BQ130">
            <v>0</v>
          </cell>
          <cell r="BR130">
            <v>0</v>
          </cell>
          <cell r="BS130">
            <v>0</v>
          </cell>
          <cell r="BT130">
            <v>0</v>
          </cell>
          <cell r="CB130">
            <v>0</v>
          </cell>
          <cell r="CC130">
            <v>0</v>
          </cell>
          <cell r="CD130">
            <v>0</v>
          </cell>
          <cell r="CE130">
            <v>0</v>
          </cell>
          <cell r="CF130">
            <v>0</v>
          </cell>
          <cell r="CI130">
            <v>0</v>
          </cell>
          <cell r="CJ130">
            <v>0</v>
          </cell>
          <cell r="CK130">
            <v>0</v>
          </cell>
          <cell r="CV130">
            <v>8.3108550435342281E-4</v>
          </cell>
          <cell r="DG130">
            <v>36155044</v>
          </cell>
          <cell r="DR130">
            <v>13363003.759999996</v>
          </cell>
          <cell r="EC130">
            <v>2.70560756019723</v>
          </cell>
          <cell r="EN130">
            <v>2.4095909012463064E-2</v>
          </cell>
        </row>
        <row r="131">
          <cell r="B131">
            <v>32910</v>
          </cell>
          <cell r="C131" t="str">
            <v>Lexington City Schools</v>
          </cell>
          <cell r="D131">
            <v>1.0467233667264405E-3</v>
          </cell>
          <cell r="E131">
            <v>1811075.4878774383</v>
          </cell>
          <cell r="F131">
            <v>1412137.0918803702</v>
          </cell>
          <cell r="G131">
            <v>-122411</v>
          </cell>
          <cell r="H131">
            <v>-505354.41460328549</v>
          </cell>
          <cell r="I131">
            <v>-20912.519177980554</v>
          </cell>
          <cell r="J131">
            <v>1528294.339905726</v>
          </cell>
          <cell r="K131">
            <v>0</v>
          </cell>
          <cell r="L131">
            <v>-80299.121719444622</v>
          </cell>
          <cell r="M131">
            <v>14410.252796087445</v>
          </cell>
          <cell r="N131">
            <v>543.22849286368807</v>
          </cell>
          <cell r="O131">
            <v>-245.15307972099964</v>
          </cell>
          <cell r="P131">
            <v>0</v>
          </cell>
          <cell r="Q131">
            <v>0</v>
          </cell>
          <cell r="R131">
            <v>0</v>
          </cell>
          <cell r="S131">
            <v>4037238.1923720534</v>
          </cell>
          <cell r="T131">
            <v>30062.839999999967</v>
          </cell>
          <cell r="U131">
            <v>7641471.6995286299</v>
          </cell>
          <cell r="V131">
            <v>57641.01118434978</v>
          </cell>
          <cell r="W131">
            <v>0</v>
          </cell>
          <cell r="X131">
            <v>7729175.5507129794</v>
          </cell>
          <cell r="Y131">
            <v>642117</v>
          </cell>
          <cell r="Z131">
            <v>0</v>
          </cell>
          <cell r="AA131">
            <v>0</v>
          </cell>
          <cell r="AB131">
            <v>104562.59588990276</v>
          </cell>
          <cell r="AC131">
            <v>746679.59588990279</v>
          </cell>
          <cell r="AD131" t="str">
            <v>N/A</v>
          </cell>
          <cell r="AE131">
            <v>1399382</v>
          </cell>
          <cell r="AF131">
            <v>1399380</v>
          </cell>
          <cell r="AG131">
            <v>1399380</v>
          </cell>
          <cell r="AH131">
            <v>1399380</v>
          </cell>
          <cell r="AI131">
            <v>1384970</v>
          </cell>
          <cell r="AJ131">
            <v>0</v>
          </cell>
          <cell r="AK131">
            <v>6982492</v>
          </cell>
          <cell r="AL131">
            <v>35474123</v>
          </cell>
          <cell r="AM131">
            <v>4037238.1923720534</v>
          </cell>
          <cell r="AN131">
            <v>-957832.84</v>
          </cell>
          <cell r="AO131">
            <v>7594550.1148230778</v>
          </cell>
          <cell r="AP131">
            <v>0</v>
          </cell>
          <cell r="AQ131">
            <v>-612054.16</v>
          </cell>
          <cell r="AR131">
            <v>0</v>
          </cell>
          <cell r="AS131">
            <v>0</v>
          </cell>
          <cell r="AT131">
            <v>45536024.307195134</v>
          </cell>
          <cell r="AU131">
            <v>1.0699642547046229E-3</v>
          </cell>
          <cell r="AV131">
            <v>0</v>
          </cell>
          <cell r="AW131">
            <v>0</v>
          </cell>
          <cell r="AY131">
            <v>0</v>
          </cell>
          <cell r="AZ131">
            <v>0</v>
          </cell>
          <cell r="BA131">
            <v>0</v>
          </cell>
          <cell r="BB131">
            <v>0</v>
          </cell>
          <cell r="BC131">
            <v>0</v>
          </cell>
          <cell r="BD131">
            <v>0</v>
          </cell>
          <cell r="BE131">
            <v>0</v>
          </cell>
          <cell r="BF131">
            <v>0</v>
          </cell>
          <cell r="BG131">
            <v>0</v>
          </cell>
          <cell r="BH131">
            <v>0</v>
          </cell>
          <cell r="BJ131">
            <v>0</v>
          </cell>
          <cell r="BL131">
            <v>0</v>
          </cell>
          <cell r="BM131">
            <v>0</v>
          </cell>
          <cell r="BN131">
            <v>0</v>
          </cell>
          <cell r="BO131">
            <v>0</v>
          </cell>
          <cell r="BQ131">
            <v>0</v>
          </cell>
          <cell r="BR131">
            <v>0</v>
          </cell>
          <cell r="BS131">
            <v>0</v>
          </cell>
          <cell r="BT131">
            <v>0</v>
          </cell>
          <cell r="CB131">
            <v>0</v>
          </cell>
          <cell r="CC131">
            <v>0</v>
          </cell>
          <cell r="CD131">
            <v>0</v>
          </cell>
          <cell r="CE131">
            <v>0</v>
          </cell>
          <cell r="CF131">
            <v>0</v>
          </cell>
          <cell r="CI131">
            <v>0</v>
          </cell>
          <cell r="CJ131">
            <v>0</v>
          </cell>
          <cell r="CK131">
            <v>0</v>
          </cell>
          <cell r="CV131">
            <v>1.0467233667264405E-3</v>
          </cell>
          <cell r="DG131">
            <v>45536024</v>
          </cell>
          <cell r="DR131">
            <v>16502634.739999995</v>
          </cell>
          <cell r="EC131">
            <v>2.7593184189932578</v>
          </cell>
          <cell r="EN131">
            <v>2.4095909012463064E-2</v>
          </cell>
        </row>
        <row r="132">
          <cell r="B132">
            <v>32920</v>
          </cell>
          <cell r="C132" t="str">
            <v>Thomasville City Schools</v>
          </cell>
          <cell r="D132">
            <v>8.5878063645003586E-4</v>
          </cell>
          <cell r="E132">
            <v>1485890.7420807825</v>
          </cell>
          <cell r="F132">
            <v>1158583.0880153347</v>
          </cell>
          <cell r="G132">
            <v>-165225</v>
          </cell>
          <cell r="H132">
            <v>-414616.31563945685</v>
          </cell>
          <cell r="I132">
            <v>-17157.605438394065</v>
          </cell>
          <cell r="J132">
            <v>1253883.9082305867</v>
          </cell>
          <cell r="K132">
            <v>0</v>
          </cell>
          <cell r="L132">
            <v>-65881.142094180424</v>
          </cell>
          <cell r="M132">
            <v>11822.843036678034</v>
          </cell>
          <cell r="N132">
            <v>445.68997470483959</v>
          </cell>
          <cell r="O132">
            <v>-201.1350128629629</v>
          </cell>
          <cell r="P132">
            <v>0</v>
          </cell>
          <cell r="Q132">
            <v>0</v>
          </cell>
          <cell r="R132">
            <v>0</v>
          </cell>
          <cell r="S132">
            <v>3247545.0731531926</v>
          </cell>
          <cell r="T132">
            <v>8362.9300000000512</v>
          </cell>
          <cell r="U132">
            <v>6269419.5411529327</v>
          </cell>
          <cell r="V132">
            <v>47291.372146712136</v>
          </cell>
          <cell r="W132">
            <v>0</v>
          </cell>
          <cell r="X132">
            <v>6325073.8432996441</v>
          </cell>
          <cell r="Y132">
            <v>834489</v>
          </cell>
          <cell r="Z132">
            <v>0</v>
          </cell>
          <cell r="AA132">
            <v>0</v>
          </cell>
          <cell r="AB132">
            <v>85788.027191970323</v>
          </cell>
          <cell r="AC132">
            <v>920277.02719197026</v>
          </cell>
          <cell r="AD132" t="str">
            <v>N/A</v>
          </cell>
          <cell r="AE132">
            <v>1083324</v>
          </cell>
          <cell r="AF132">
            <v>1083323</v>
          </cell>
          <cell r="AG132">
            <v>1083323</v>
          </cell>
          <cell r="AH132">
            <v>1083323</v>
          </cell>
          <cell r="AI132">
            <v>1071500</v>
          </cell>
          <cell r="AJ132">
            <v>0</v>
          </cell>
          <cell r="AK132">
            <v>5404793</v>
          </cell>
          <cell r="AL132">
            <v>29473824</v>
          </cell>
          <cell r="AM132">
            <v>3247545.0731531926</v>
          </cell>
          <cell r="AN132">
            <v>-766288.93</v>
          </cell>
          <cell r="AO132">
            <v>6230922.8861076757</v>
          </cell>
          <cell r="AP132">
            <v>0</v>
          </cell>
          <cell r="AQ132">
            <v>-826126.07</v>
          </cell>
          <cell r="AR132">
            <v>0</v>
          </cell>
          <cell r="AS132">
            <v>0</v>
          </cell>
          <cell r="AT132">
            <v>37359876.959260873</v>
          </cell>
          <cell r="AU132">
            <v>8.8898430386855824E-4</v>
          </cell>
          <cell r="AV132">
            <v>0</v>
          </cell>
          <cell r="AW132">
            <v>0</v>
          </cell>
          <cell r="AY132">
            <v>0</v>
          </cell>
          <cell r="AZ132">
            <v>0</v>
          </cell>
          <cell r="BA132">
            <v>0</v>
          </cell>
          <cell r="BB132">
            <v>0</v>
          </cell>
          <cell r="BC132">
            <v>0</v>
          </cell>
          <cell r="BD132">
            <v>0</v>
          </cell>
          <cell r="BE132">
            <v>0</v>
          </cell>
          <cell r="BF132">
            <v>0</v>
          </cell>
          <cell r="BG132">
            <v>0</v>
          </cell>
          <cell r="BH132">
            <v>0</v>
          </cell>
          <cell r="BJ132">
            <v>0</v>
          </cell>
          <cell r="BL132">
            <v>0</v>
          </cell>
          <cell r="BM132">
            <v>0</v>
          </cell>
          <cell r="BN132">
            <v>0</v>
          </cell>
          <cell r="BO132">
            <v>0</v>
          </cell>
          <cell r="BQ132">
            <v>0</v>
          </cell>
          <cell r="BR132">
            <v>0</v>
          </cell>
          <cell r="BS132">
            <v>0</v>
          </cell>
          <cell r="BT132">
            <v>0</v>
          </cell>
          <cell r="CB132">
            <v>0</v>
          </cell>
          <cell r="CC132">
            <v>0</v>
          </cell>
          <cell r="CD132">
            <v>0</v>
          </cell>
          <cell r="CE132">
            <v>0</v>
          </cell>
          <cell r="CF132">
            <v>0</v>
          </cell>
          <cell r="CI132">
            <v>0</v>
          </cell>
          <cell r="CJ132">
            <v>0</v>
          </cell>
          <cell r="CK132">
            <v>0</v>
          </cell>
          <cell r="CV132">
            <v>8.5878063645003586E-4</v>
          </cell>
          <cell r="DG132">
            <v>37359877</v>
          </cell>
          <cell r="DR132">
            <v>12899764.759999992</v>
          </cell>
          <cell r="EC132">
            <v>2.8961673096432512</v>
          </cell>
          <cell r="EN132">
            <v>2.4095909012463064E-2</v>
          </cell>
        </row>
        <row r="133">
          <cell r="B133">
            <v>33000</v>
          </cell>
          <cell r="C133" t="str">
            <v>Davie County Schools</v>
          </cell>
          <cell r="D133">
            <v>2.2214001891298269E-3</v>
          </cell>
          <cell r="E133">
            <v>3843540.2888552998</v>
          </cell>
          <cell r="F133">
            <v>2996896.5083781565</v>
          </cell>
          <cell r="G133">
            <v>-235496</v>
          </cell>
          <cell r="H133">
            <v>-1072484.3142540827</v>
          </cell>
          <cell r="I133">
            <v>-44381.424485088515</v>
          </cell>
          <cell r="J133">
            <v>3243410.2874096716</v>
          </cell>
          <cell r="K133">
            <v>0</v>
          </cell>
          <cell r="L133">
            <v>-170414.16084212792</v>
          </cell>
          <cell r="M133">
            <v>30582.042308608627</v>
          </cell>
          <cell r="N133">
            <v>1152.8622701545976</v>
          </cell>
          <cell r="O133">
            <v>-520.27413829609679</v>
          </cell>
          <cell r="P133">
            <v>0</v>
          </cell>
          <cell r="Q133">
            <v>0</v>
          </cell>
          <cell r="R133">
            <v>0</v>
          </cell>
          <cell r="S133">
            <v>8592285.8155022953</v>
          </cell>
          <cell r="T133">
            <v>0</v>
          </cell>
          <cell r="U133">
            <v>16217051.437048359</v>
          </cell>
          <cell r="V133">
            <v>122328.16923443451</v>
          </cell>
          <cell r="W133">
            <v>0</v>
          </cell>
          <cell r="X133">
            <v>16339379.606282793</v>
          </cell>
          <cell r="Y133">
            <v>1177479.46</v>
          </cell>
          <cell r="Z133">
            <v>0</v>
          </cell>
          <cell r="AA133">
            <v>0</v>
          </cell>
          <cell r="AB133">
            <v>221907.12242544259</v>
          </cell>
          <cell r="AC133">
            <v>1399386.5824254425</v>
          </cell>
          <cell r="AD133" t="str">
            <v>N/A</v>
          </cell>
          <cell r="AE133">
            <v>2994115</v>
          </cell>
          <cell r="AF133">
            <v>2994115</v>
          </cell>
          <cell r="AG133">
            <v>2994115</v>
          </cell>
          <cell r="AH133">
            <v>2994115</v>
          </cell>
          <cell r="AI133">
            <v>2963533</v>
          </cell>
          <cell r="AJ133">
            <v>0</v>
          </cell>
          <cell r="AK133">
            <v>14939993</v>
          </cell>
          <cell r="AL133">
            <v>74967610</v>
          </cell>
          <cell r="AM133">
            <v>8592285.8155022953</v>
          </cell>
          <cell r="AN133">
            <v>-1861430.54</v>
          </cell>
          <cell r="AO133">
            <v>16117472.483857352</v>
          </cell>
          <cell r="AP133">
            <v>0</v>
          </cell>
          <cell r="AQ133">
            <v>-1177479.46</v>
          </cell>
          <cell r="AR133">
            <v>0</v>
          </cell>
          <cell r="AS133">
            <v>0</v>
          </cell>
          <cell r="AT133">
            <v>96638458.299359649</v>
          </cell>
          <cell r="AU133">
            <v>2.2611599054885461E-3</v>
          </cell>
          <cell r="AV133">
            <v>0</v>
          </cell>
          <cell r="AW133">
            <v>0</v>
          </cell>
          <cell r="AY133">
            <v>0</v>
          </cell>
          <cell r="AZ133">
            <v>0</v>
          </cell>
          <cell r="BA133">
            <v>0</v>
          </cell>
          <cell r="BB133">
            <v>0</v>
          </cell>
          <cell r="BC133">
            <v>0</v>
          </cell>
          <cell r="BD133">
            <v>0</v>
          </cell>
          <cell r="BE133">
            <v>0</v>
          </cell>
          <cell r="BF133">
            <v>0</v>
          </cell>
          <cell r="BG133">
            <v>0</v>
          </cell>
          <cell r="BH133">
            <v>0</v>
          </cell>
          <cell r="BJ133">
            <v>0</v>
          </cell>
          <cell r="BL133">
            <v>0</v>
          </cell>
          <cell r="BM133">
            <v>0</v>
          </cell>
          <cell r="BN133">
            <v>0</v>
          </cell>
          <cell r="BO133">
            <v>0</v>
          </cell>
          <cell r="BQ133">
            <v>0</v>
          </cell>
          <cell r="BR133">
            <v>0</v>
          </cell>
          <cell r="BS133">
            <v>0</v>
          </cell>
          <cell r="BT133">
            <v>0</v>
          </cell>
          <cell r="CB133">
            <v>0</v>
          </cell>
          <cell r="CC133">
            <v>0</v>
          </cell>
          <cell r="CD133">
            <v>0</v>
          </cell>
          <cell r="CE133">
            <v>0</v>
          </cell>
          <cell r="CF133">
            <v>0</v>
          </cell>
          <cell r="CI133">
            <v>0</v>
          </cell>
          <cell r="CJ133">
            <v>0</v>
          </cell>
          <cell r="CK133">
            <v>0</v>
          </cell>
          <cell r="CV133">
            <v>2.2214001891298269E-3</v>
          </cell>
          <cell r="DG133">
            <v>96638459</v>
          </cell>
          <cell r="DR133">
            <v>32554020.660000037</v>
          </cell>
          <cell r="EC133">
            <v>2.9685567877869588</v>
          </cell>
          <cell r="EN133">
            <v>2.4095909012463064E-2</v>
          </cell>
        </row>
        <row r="134">
          <cell r="B134">
            <v>33001</v>
          </cell>
          <cell r="C134" t="str">
            <v>N.E. Regional School For Biotechnology</v>
          </cell>
          <cell r="D134">
            <v>5.9114053478424925E-5</v>
          </cell>
          <cell r="E134">
            <v>102281.09608241063</v>
          </cell>
          <cell r="F134">
            <v>79750.916261049017</v>
          </cell>
          <cell r="G134">
            <v>57272</v>
          </cell>
          <cell r="H134">
            <v>-28540.060191685912</v>
          </cell>
          <cell r="I134">
            <v>-1181.0415400603304</v>
          </cell>
          <cell r="J134">
            <v>86310.935832554489</v>
          </cell>
          <cell r="K134">
            <v>0</v>
          </cell>
          <cell r="L134">
            <v>-4534.9198522615698</v>
          </cell>
          <cell r="M134">
            <v>813.82386359601048</v>
          </cell>
          <cell r="N134">
            <v>30.679011474232968</v>
          </cell>
          <cell r="O134">
            <v>-13.845102465181903</v>
          </cell>
          <cell r="P134">
            <v>0</v>
          </cell>
          <cell r="Q134">
            <v>0</v>
          </cell>
          <cell r="R134">
            <v>0</v>
          </cell>
          <cell r="S134">
            <v>292189.58436461142</v>
          </cell>
          <cell r="T134">
            <v>288321</v>
          </cell>
          <cell r="U134">
            <v>431554.67916277243</v>
          </cell>
          <cell r="V134">
            <v>3255.2954543840419</v>
          </cell>
          <cell r="W134">
            <v>0</v>
          </cell>
          <cell r="X134">
            <v>723130.97461715643</v>
          </cell>
          <cell r="Y134">
            <v>1961.1400000000067</v>
          </cell>
          <cell r="Z134">
            <v>0</v>
          </cell>
          <cell r="AA134">
            <v>0</v>
          </cell>
          <cell r="AB134">
            <v>5905.207700301652</v>
          </cell>
          <cell r="AC134">
            <v>7866.3477003016587</v>
          </cell>
          <cell r="AD134" t="str">
            <v>N/A</v>
          </cell>
          <cell r="AE134">
            <v>143216</v>
          </cell>
          <cell r="AF134">
            <v>143216</v>
          </cell>
          <cell r="AG134">
            <v>143216</v>
          </cell>
          <cell r="AH134">
            <v>143216</v>
          </cell>
          <cell r="AI134">
            <v>142402</v>
          </cell>
          <cell r="AJ134">
            <v>0</v>
          </cell>
          <cell r="AK134">
            <v>715266</v>
          </cell>
          <cell r="AL134">
            <v>1613911</v>
          </cell>
          <cell r="AM134">
            <v>292189.58436461142</v>
          </cell>
          <cell r="AN134">
            <v>-49703.859999999993</v>
          </cell>
          <cell r="AO134">
            <v>428904.76691685483</v>
          </cell>
          <cell r="AP134">
            <v>0</v>
          </cell>
          <cell r="AQ134">
            <v>286359.86</v>
          </cell>
          <cell r="AR134">
            <v>0</v>
          </cell>
          <cell r="AS134">
            <v>0</v>
          </cell>
          <cell r="AT134">
            <v>2571661.351281466</v>
          </cell>
          <cell r="AU134">
            <v>4.8678510169402041E-5</v>
          </cell>
          <cell r="AV134">
            <v>0</v>
          </cell>
          <cell r="AW134">
            <v>0</v>
          </cell>
          <cell r="AY134">
            <v>0</v>
          </cell>
          <cell r="AZ134">
            <v>0</v>
          </cell>
          <cell r="BA134">
            <v>0</v>
          </cell>
          <cell r="BB134">
            <v>0</v>
          </cell>
          <cell r="BC134">
            <v>0</v>
          </cell>
          <cell r="BD134">
            <v>0</v>
          </cell>
          <cell r="BE134">
            <v>0</v>
          </cell>
          <cell r="BF134">
            <v>0</v>
          </cell>
          <cell r="BG134">
            <v>0</v>
          </cell>
          <cell r="BH134">
            <v>0</v>
          </cell>
          <cell r="BJ134">
            <v>0</v>
          </cell>
          <cell r="BL134">
            <v>0</v>
          </cell>
          <cell r="BM134">
            <v>0</v>
          </cell>
          <cell r="BN134">
            <v>0</v>
          </cell>
          <cell r="BO134">
            <v>0</v>
          </cell>
          <cell r="BQ134">
            <v>0</v>
          </cell>
          <cell r="BR134">
            <v>0</v>
          </cell>
          <cell r="BS134">
            <v>0</v>
          </cell>
          <cell r="BT134">
            <v>0</v>
          </cell>
          <cell r="CB134">
            <v>0</v>
          </cell>
          <cell r="CC134">
            <v>0</v>
          </cell>
          <cell r="CD134">
            <v>0</v>
          </cell>
          <cell r="CE134">
            <v>0</v>
          </cell>
          <cell r="CF134">
            <v>0</v>
          </cell>
          <cell r="CI134">
            <v>0</v>
          </cell>
          <cell r="CJ134">
            <v>0</v>
          </cell>
          <cell r="CK134">
            <v>0</v>
          </cell>
          <cell r="CV134">
            <v>5.9114053478424925E-5</v>
          </cell>
          <cell r="DG134">
            <v>2571662</v>
          </cell>
          <cell r="DR134">
            <v>746290.78</v>
          </cell>
          <cell r="EC134">
            <v>3.4459249248664174</v>
          </cell>
          <cell r="EN134">
            <v>2.4095909012463064E-2</v>
          </cell>
        </row>
        <row r="135">
          <cell r="B135">
            <v>33027</v>
          </cell>
          <cell r="C135" t="str">
            <v>Cornerstone Academy</v>
          </cell>
          <cell r="D135">
            <v>2.2844448469440254E-4</v>
          </cell>
          <cell r="E135">
            <v>395262.22469336813</v>
          </cell>
          <cell r="F135">
            <v>308195.02127038408</v>
          </cell>
          <cell r="G135">
            <v>281683</v>
          </cell>
          <cell r="H135">
            <v>-110292.20565997022</v>
          </cell>
          <cell r="I135">
            <v>-4564.0995693221503</v>
          </cell>
          <cell r="J135">
            <v>333546.01993172121</v>
          </cell>
          <cell r="K135">
            <v>0</v>
          </cell>
          <cell r="L135">
            <v>-17525.061602456593</v>
          </cell>
          <cell r="M135">
            <v>3144.9978847931975</v>
          </cell>
          <cell r="N135">
            <v>118.55811866670103</v>
          </cell>
          <cell r="O135">
            <v>-53.503982760276017</v>
          </cell>
          <cell r="P135">
            <v>0</v>
          </cell>
          <cell r="Q135">
            <v>0</v>
          </cell>
          <cell r="R135">
            <v>0</v>
          </cell>
          <cell r="S135">
            <v>1189514.9510844243</v>
          </cell>
          <cell r="T135">
            <v>1448018</v>
          </cell>
          <cell r="U135">
            <v>1667730.0996586061</v>
          </cell>
          <cell r="V135">
            <v>12579.99153917279</v>
          </cell>
          <cell r="W135">
            <v>0</v>
          </cell>
          <cell r="X135">
            <v>3128328.0911977789</v>
          </cell>
          <cell r="Y135">
            <v>39606.349999999977</v>
          </cell>
          <cell r="Z135">
            <v>0</v>
          </cell>
          <cell r="AA135">
            <v>0</v>
          </cell>
          <cell r="AB135">
            <v>22820.49784661075</v>
          </cell>
          <cell r="AC135">
            <v>62426.847846610726</v>
          </cell>
          <cell r="AD135" t="str">
            <v>N/A</v>
          </cell>
          <cell r="AE135">
            <v>613810</v>
          </cell>
          <cell r="AF135">
            <v>613810</v>
          </cell>
          <cell r="AG135">
            <v>613810</v>
          </cell>
          <cell r="AH135">
            <v>613810</v>
          </cell>
          <cell r="AI135">
            <v>610665</v>
          </cell>
          <cell r="AJ135">
            <v>0</v>
          </cell>
          <cell r="AK135">
            <v>3065905</v>
          </cell>
          <cell r="AL135">
            <v>5836339</v>
          </cell>
          <cell r="AM135">
            <v>1189514.9510844243</v>
          </cell>
          <cell r="AN135">
            <v>-153643.65000000002</v>
          </cell>
          <cell r="AO135">
            <v>1657489.5933511681</v>
          </cell>
          <cell r="AP135">
            <v>0</v>
          </cell>
          <cell r="AQ135">
            <v>1408411.65</v>
          </cell>
          <cell r="AR135">
            <v>0</v>
          </cell>
          <cell r="AS135">
            <v>0</v>
          </cell>
          <cell r="AT135">
            <v>9938111.5444355924</v>
          </cell>
          <cell r="AU135">
            <v>1.7603461970201124E-4</v>
          </cell>
          <cell r="AV135">
            <v>0</v>
          </cell>
          <cell r="AW135">
            <v>0</v>
          </cell>
          <cell r="AY135">
            <v>0</v>
          </cell>
          <cell r="AZ135">
            <v>0</v>
          </cell>
          <cell r="BA135">
            <v>0</v>
          </cell>
          <cell r="BB135">
            <v>0</v>
          </cell>
          <cell r="BC135">
            <v>0</v>
          </cell>
          <cell r="BD135">
            <v>0</v>
          </cell>
          <cell r="BE135">
            <v>0</v>
          </cell>
          <cell r="BF135">
            <v>0</v>
          </cell>
          <cell r="BG135">
            <v>0</v>
          </cell>
          <cell r="BH135">
            <v>0</v>
          </cell>
          <cell r="BJ135">
            <v>0</v>
          </cell>
          <cell r="BL135">
            <v>0</v>
          </cell>
          <cell r="BM135">
            <v>0</v>
          </cell>
          <cell r="BN135">
            <v>0</v>
          </cell>
          <cell r="BO135">
            <v>0</v>
          </cell>
          <cell r="BQ135">
            <v>0</v>
          </cell>
          <cell r="BR135">
            <v>0</v>
          </cell>
          <cell r="BS135">
            <v>0</v>
          </cell>
          <cell r="BT135">
            <v>0</v>
          </cell>
          <cell r="CB135">
            <v>0</v>
          </cell>
          <cell r="CC135">
            <v>0</v>
          </cell>
          <cell r="CD135">
            <v>0</v>
          </cell>
          <cell r="CE135">
            <v>0</v>
          </cell>
          <cell r="CF135">
            <v>0</v>
          </cell>
          <cell r="CI135">
            <v>0</v>
          </cell>
          <cell r="CJ135">
            <v>0</v>
          </cell>
          <cell r="CK135">
            <v>0</v>
          </cell>
          <cell r="CV135">
            <v>2.2844448469440254E-4</v>
          </cell>
          <cell r="DG135">
            <v>9938112</v>
          </cell>
          <cell r="DR135">
            <v>2796774.3499999982</v>
          </cell>
          <cell r="EC135">
            <v>3.5534193167925778</v>
          </cell>
          <cell r="EN135">
            <v>2.4095909012463064E-2</v>
          </cell>
        </row>
        <row r="136">
          <cell r="B136">
            <v>33100</v>
          </cell>
          <cell r="C136" t="str">
            <v>Duplin County Schools</v>
          </cell>
          <cell r="D136">
            <v>3.1759199237567891E-3</v>
          </cell>
          <cell r="E136">
            <v>5495081.9941719472</v>
          </cell>
          <cell r="F136">
            <v>4284641.4513558326</v>
          </cell>
          <cell r="G136">
            <v>822968</v>
          </cell>
          <cell r="H136">
            <v>-1533323.1347614296</v>
          </cell>
          <cell r="I136">
            <v>-63451.804387445409</v>
          </cell>
          <cell r="J136">
            <v>4637080.4338218644</v>
          </cell>
          <cell r="K136">
            <v>0</v>
          </cell>
          <cell r="L136">
            <v>-243639.90394761649</v>
          </cell>
          <cell r="M136">
            <v>43722.926626349901</v>
          </cell>
          <cell r="N136">
            <v>1648.2389220312984</v>
          </cell>
          <cell r="O136">
            <v>-743.83220534307759</v>
          </cell>
          <cell r="P136">
            <v>0</v>
          </cell>
          <cell r="Q136">
            <v>0</v>
          </cell>
          <cell r="R136">
            <v>0</v>
          </cell>
          <cell r="S136">
            <v>13443984.369596193</v>
          </cell>
          <cell r="T136">
            <v>4114837.9</v>
          </cell>
          <cell r="U136">
            <v>23185402.169109322</v>
          </cell>
          <cell r="V136">
            <v>174891.7065053996</v>
          </cell>
          <cell r="W136">
            <v>0</v>
          </cell>
          <cell r="X136">
            <v>27475131.77561472</v>
          </cell>
          <cell r="Y136">
            <v>0</v>
          </cell>
          <cell r="Z136">
            <v>0</v>
          </cell>
          <cell r="AA136">
            <v>0</v>
          </cell>
          <cell r="AB136">
            <v>317259.02193722705</v>
          </cell>
          <cell r="AC136">
            <v>317259.02193722705</v>
          </cell>
          <cell r="AD136" t="str">
            <v>N/A</v>
          </cell>
          <cell r="AE136">
            <v>5440319</v>
          </cell>
          <cell r="AF136">
            <v>5440320</v>
          </cell>
          <cell r="AG136">
            <v>5440320</v>
          </cell>
          <cell r="AH136">
            <v>5440320</v>
          </cell>
          <cell r="AI136">
            <v>5396597</v>
          </cell>
          <cell r="AJ136">
            <v>0</v>
          </cell>
          <cell r="AK136">
            <v>27157876</v>
          </cell>
          <cell r="AL136">
            <v>100376612</v>
          </cell>
          <cell r="AM136">
            <v>13443984.369596193</v>
          </cell>
          <cell r="AN136">
            <v>-2815157.9</v>
          </cell>
          <cell r="AO136">
            <v>23043034.853677496</v>
          </cell>
          <cell r="AP136">
            <v>0</v>
          </cell>
          <cell r="AQ136">
            <v>4114837.9</v>
          </cell>
          <cell r="AR136">
            <v>0</v>
          </cell>
          <cell r="AS136">
            <v>0</v>
          </cell>
          <cell r="AT136">
            <v>138163311.22327369</v>
          </cell>
          <cell r="AU136">
            <v>3.0275417569832828E-3</v>
          </cell>
          <cell r="AV136">
            <v>0</v>
          </cell>
          <cell r="AW136">
            <v>0</v>
          </cell>
          <cell r="AY136">
            <v>0</v>
          </cell>
          <cell r="AZ136">
            <v>0</v>
          </cell>
          <cell r="BA136">
            <v>0</v>
          </cell>
          <cell r="BB136">
            <v>0</v>
          </cell>
          <cell r="BC136">
            <v>0</v>
          </cell>
          <cell r="BD136">
            <v>0</v>
          </cell>
          <cell r="BE136">
            <v>0</v>
          </cell>
          <cell r="BF136">
            <v>0</v>
          </cell>
          <cell r="BG136">
            <v>0</v>
          </cell>
          <cell r="BH136">
            <v>0</v>
          </cell>
          <cell r="BJ136">
            <v>0</v>
          </cell>
          <cell r="BL136">
            <v>0</v>
          </cell>
          <cell r="BM136">
            <v>0</v>
          </cell>
          <cell r="BN136">
            <v>0</v>
          </cell>
          <cell r="BO136">
            <v>0</v>
          </cell>
          <cell r="BQ136">
            <v>0</v>
          </cell>
          <cell r="BR136">
            <v>0</v>
          </cell>
          <cell r="BS136">
            <v>0</v>
          </cell>
          <cell r="BT136">
            <v>0</v>
          </cell>
          <cell r="CB136">
            <v>0</v>
          </cell>
          <cell r="CC136">
            <v>0</v>
          </cell>
          <cell r="CD136">
            <v>0</v>
          </cell>
          <cell r="CE136">
            <v>0</v>
          </cell>
          <cell r="CF136">
            <v>0</v>
          </cell>
          <cell r="CI136">
            <v>0</v>
          </cell>
          <cell r="CJ136">
            <v>0</v>
          </cell>
          <cell r="CK136">
            <v>0</v>
          </cell>
          <cell r="CV136">
            <v>3.1759199237567891E-3</v>
          </cell>
          <cell r="DG136">
            <v>138163312</v>
          </cell>
          <cell r="DR136">
            <v>48424353.820000038</v>
          </cell>
          <cell r="EC136">
            <v>2.8531782275004014</v>
          </cell>
          <cell r="EN136">
            <v>2.4095909012463064E-2</v>
          </cell>
        </row>
        <row r="137">
          <cell r="B137">
            <v>33105</v>
          </cell>
          <cell r="C137" t="str">
            <v>James Sprunt Technical College</v>
          </cell>
          <cell r="D137">
            <v>3.5701058323638399E-4</v>
          </cell>
          <cell r="E137">
            <v>617711.55279962695</v>
          </cell>
          <cell r="F137">
            <v>481643.8638975186</v>
          </cell>
          <cell r="G137">
            <v>-164000</v>
          </cell>
          <cell r="H137">
            <v>-172363.47255993955</v>
          </cell>
          <cell r="I137">
            <v>-7132.725709584859</v>
          </cell>
          <cell r="J137">
            <v>521262.13189736108</v>
          </cell>
          <cell r="K137">
            <v>0</v>
          </cell>
          <cell r="L137">
            <v>-27387.97775011414</v>
          </cell>
          <cell r="M137">
            <v>4914.9688626942143</v>
          </cell>
          <cell r="N137">
            <v>185.28135248801857</v>
          </cell>
          <cell r="O137">
            <v>-83.61544869979349</v>
          </cell>
          <cell r="P137">
            <v>0</v>
          </cell>
          <cell r="Q137">
            <v>0</v>
          </cell>
          <cell r="R137">
            <v>0</v>
          </cell>
          <cell r="S137">
            <v>1254750.0073413504</v>
          </cell>
          <cell r="T137">
            <v>9507.2199999999139</v>
          </cell>
          <cell r="U137">
            <v>2606310.6594868056</v>
          </cell>
          <cell r="V137">
            <v>19659.875450776857</v>
          </cell>
          <cell r="W137">
            <v>0</v>
          </cell>
          <cell r="X137">
            <v>2635477.7549375822</v>
          </cell>
          <cell r="Y137">
            <v>829512</v>
          </cell>
          <cell r="Z137">
            <v>0</v>
          </cell>
          <cell r="AA137">
            <v>0</v>
          </cell>
          <cell r="AB137">
            <v>35663.628547924294</v>
          </cell>
          <cell r="AC137">
            <v>865175.62854792434</v>
          </cell>
          <cell r="AD137" t="str">
            <v>N/A</v>
          </cell>
          <cell r="AE137">
            <v>355043</v>
          </cell>
          <cell r="AF137">
            <v>355043</v>
          </cell>
          <cell r="AG137">
            <v>355043</v>
          </cell>
          <cell r="AH137">
            <v>355043</v>
          </cell>
          <cell r="AI137">
            <v>350128</v>
          </cell>
          <cell r="AJ137">
            <v>0</v>
          </cell>
          <cell r="AK137">
            <v>1770300</v>
          </cell>
          <cell r="AL137">
            <v>12831919</v>
          </cell>
          <cell r="AM137">
            <v>1254750.0073413504</v>
          </cell>
          <cell r="AN137">
            <v>-325797.21999999991</v>
          </cell>
          <cell r="AO137">
            <v>2590306.9063896583</v>
          </cell>
          <cell r="AP137">
            <v>0</v>
          </cell>
          <cell r="AQ137">
            <v>-820004.78</v>
          </cell>
          <cell r="AR137">
            <v>0</v>
          </cell>
          <cell r="AS137">
            <v>0</v>
          </cell>
          <cell r="AT137">
            <v>15531173.913731011</v>
          </cell>
          <cell r="AU137">
            <v>3.8703409191319041E-4</v>
          </cell>
          <cell r="AV137">
            <v>0</v>
          </cell>
          <cell r="AW137">
            <v>0</v>
          </cell>
          <cell r="AY137">
            <v>0</v>
          </cell>
          <cell r="AZ137">
            <v>0</v>
          </cell>
          <cell r="BA137">
            <v>0</v>
          </cell>
          <cell r="BB137">
            <v>0</v>
          </cell>
          <cell r="BC137">
            <v>0</v>
          </cell>
          <cell r="BD137">
            <v>0</v>
          </cell>
          <cell r="BE137">
            <v>0</v>
          </cell>
          <cell r="BF137">
            <v>0</v>
          </cell>
          <cell r="BG137">
            <v>0</v>
          </cell>
          <cell r="BH137">
            <v>0</v>
          </cell>
          <cell r="BJ137">
            <v>0</v>
          </cell>
          <cell r="BL137">
            <v>0</v>
          </cell>
          <cell r="BM137">
            <v>0</v>
          </cell>
          <cell r="BN137">
            <v>0</v>
          </cell>
          <cell r="BO137">
            <v>0</v>
          </cell>
          <cell r="BQ137">
            <v>0</v>
          </cell>
          <cell r="BR137">
            <v>0</v>
          </cell>
          <cell r="BS137">
            <v>0</v>
          </cell>
          <cell r="BT137">
            <v>0</v>
          </cell>
          <cell r="CB137">
            <v>0</v>
          </cell>
          <cell r="CC137">
            <v>0</v>
          </cell>
          <cell r="CD137">
            <v>0</v>
          </cell>
          <cell r="CE137">
            <v>0</v>
          </cell>
          <cell r="CF137">
            <v>0</v>
          </cell>
          <cell r="CI137">
            <v>0</v>
          </cell>
          <cell r="CJ137">
            <v>0</v>
          </cell>
          <cell r="CK137">
            <v>0</v>
          </cell>
          <cell r="CV137">
            <v>3.5701058323638399E-4</v>
          </cell>
          <cell r="DG137">
            <v>15531174</v>
          </cell>
          <cell r="DR137">
            <v>5705826.6699999999</v>
          </cell>
          <cell r="EC137">
            <v>2.7219848933826798</v>
          </cell>
          <cell r="EN137">
            <v>2.4095909012463064E-2</v>
          </cell>
        </row>
        <row r="138">
          <cell r="B138">
            <v>33200</v>
          </cell>
          <cell r="C138" t="str">
            <v>Durham Public Schools</v>
          </cell>
          <cell r="D138">
            <v>1.3861030528488062E-2</v>
          </cell>
          <cell r="E138">
            <v>23982814.776911646</v>
          </cell>
          <cell r="F138">
            <v>18699950.687237989</v>
          </cell>
          <cell r="G138">
            <v>2001565</v>
          </cell>
          <cell r="H138">
            <v>-6692057.5112689054</v>
          </cell>
          <cell r="I138">
            <v>-276929.96637700679</v>
          </cell>
          <cell r="J138">
            <v>20238140.444117088</v>
          </cell>
          <cell r="K138">
            <v>0</v>
          </cell>
          <cell r="L138">
            <v>-1063345.4959975963</v>
          </cell>
          <cell r="M138">
            <v>190824.96892610262</v>
          </cell>
          <cell r="N138">
            <v>7193.5976236747347</v>
          </cell>
          <cell r="O138">
            <v>-3246.3919600771892</v>
          </cell>
          <cell r="P138">
            <v>0</v>
          </cell>
          <cell r="Q138">
            <v>0</v>
          </cell>
          <cell r="R138">
            <v>0</v>
          </cell>
          <cell r="S138">
            <v>57084910.109212928</v>
          </cell>
          <cell r="T138">
            <v>10564641</v>
          </cell>
          <cell r="U138">
            <v>101190702.22058544</v>
          </cell>
          <cell r="V138">
            <v>763299.87570441049</v>
          </cell>
          <cell r="W138">
            <v>0</v>
          </cell>
          <cell r="X138">
            <v>112518643.09628984</v>
          </cell>
          <cell r="Y138">
            <v>556814.71999999881</v>
          </cell>
          <cell r="Z138">
            <v>0</v>
          </cell>
          <cell r="AA138">
            <v>0</v>
          </cell>
          <cell r="AB138">
            <v>1384649.831885034</v>
          </cell>
          <cell r="AC138">
            <v>1941464.5518850328</v>
          </cell>
          <cell r="AD138" t="str">
            <v>N/A</v>
          </cell>
          <cell r="AE138">
            <v>22153600</v>
          </cell>
          <cell r="AF138">
            <v>22153600</v>
          </cell>
          <cell r="AG138">
            <v>22153600</v>
          </cell>
          <cell r="AH138">
            <v>22153600</v>
          </cell>
          <cell r="AI138">
            <v>21962775</v>
          </cell>
          <cell r="AJ138">
            <v>0</v>
          </cell>
          <cell r="AK138">
            <v>110577175</v>
          </cell>
          <cell r="AL138">
            <v>446877872</v>
          </cell>
          <cell r="AM138">
            <v>57084910.109212928</v>
          </cell>
          <cell r="AN138">
            <v>-11538019.280000001</v>
          </cell>
          <cell r="AO138">
            <v>100569352.26440483</v>
          </cell>
          <cell r="AP138">
            <v>0</v>
          </cell>
          <cell r="AQ138">
            <v>10007826.280000001</v>
          </cell>
          <cell r="AR138">
            <v>0</v>
          </cell>
          <cell r="AS138">
            <v>0</v>
          </cell>
          <cell r="AT138">
            <v>603001941.37361765</v>
          </cell>
          <cell r="AU138">
            <v>1.3478651924261592E-2</v>
          </cell>
          <cell r="AV138">
            <v>0</v>
          </cell>
          <cell r="AW138">
            <v>0</v>
          </cell>
          <cell r="AY138">
            <v>0</v>
          </cell>
          <cell r="AZ138">
            <v>0</v>
          </cell>
          <cell r="BA138">
            <v>0</v>
          </cell>
          <cell r="BB138">
            <v>0</v>
          </cell>
          <cell r="BC138">
            <v>0</v>
          </cell>
          <cell r="BD138">
            <v>0</v>
          </cell>
          <cell r="BE138">
            <v>0</v>
          </cell>
          <cell r="BF138">
            <v>0</v>
          </cell>
          <cell r="BG138">
            <v>0</v>
          </cell>
          <cell r="BH138">
            <v>0</v>
          </cell>
          <cell r="BJ138">
            <v>0</v>
          </cell>
          <cell r="BL138">
            <v>0</v>
          </cell>
          <cell r="BM138">
            <v>0</v>
          </cell>
          <cell r="BN138">
            <v>0</v>
          </cell>
          <cell r="BO138">
            <v>0</v>
          </cell>
          <cell r="BQ138">
            <v>0</v>
          </cell>
          <cell r="BR138">
            <v>0</v>
          </cell>
          <cell r="BS138">
            <v>0</v>
          </cell>
          <cell r="BT138">
            <v>0</v>
          </cell>
          <cell r="CB138">
            <v>0</v>
          </cell>
          <cell r="CC138">
            <v>0</v>
          </cell>
          <cell r="CD138">
            <v>0</v>
          </cell>
          <cell r="CE138">
            <v>0</v>
          </cell>
          <cell r="CF138">
            <v>0</v>
          </cell>
          <cell r="CI138">
            <v>0</v>
          </cell>
          <cell r="CJ138">
            <v>0</v>
          </cell>
          <cell r="CK138">
            <v>0</v>
          </cell>
          <cell r="CV138">
            <v>1.3861030528488062E-2</v>
          </cell>
          <cell r="DG138">
            <v>603001942</v>
          </cell>
          <cell r="DR138">
            <v>198407653.93000114</v>
          </cell>
          <cell r="EC138">
            <v>3.0392070570661605</v>
          </cell>
          <cell r="EN138">
            <v>2.4095909012463064E-2</v>
          </cell>
        </row>
        <row r="139">
          <cell r="B139">
            <v>33202</v>
          </cell>
          <cell r="C139" t="str">
            <v>Central Park School For Children</v>
          </cell>
          <cell r="D139">
            <v>1.6583970091368149E-4</v>
          </cell>
          <cell r="E139">
            <v>286941.35125789134</v>
          </cell>
          <cell r="F139">
            <v>223734.75209497384</v>
          </cell>
          <cell r="G139">
            <v>113924</v>
          </cell>
          <cell r="H139">
            <v>-80066.832973568744</v>
          </cell>
          <cell r="I139">
            <v>-3313.3166183862527</v>
          </cell>
          <cell r="J139">
            <v>242138.3569860413</v>
          </cell>
          <cell r="K139">
            <v>0</v>
          </cell>
          <cell r="L139">
            <v>-12722.351246663553</v>
          </cell>
          <cell r="M139">
            <v>2283.1170964183248</v>
          </cell>
          <cell r="N139">
            <v>86.06748798018242</v>
          </cell>
          <cell r="O139">
            <v>-38.841316350993338</v>
          </cell>
          <cell r="P139">
            <v>0</v>
          </cell>
          <cell r="Q139">
            <v>0</v>
          </cell>
          <cell r="R139">
            <v>0</v>
          </cell>
          <cell r="S139">
            <v>772966.30276833544</v>
          </cell>
          <cell r="T139">
            <v>583485</v>
          </cell>
          <cell r="U139">
            <v>1210691.7849302064</v>
          </cell>
          <cell r="V139">
            <v>9132.4683856732991</v>
          </cell>
          <cell r="W139">
            <v>0</v>
          </cell>
          <cell r="X139">
            <v>1803309.2533158797</v>
          </cell>
          <cell r="Y139">
            <v>13867.510000000009</v>
          </cell>
          <cell r="Z139">
            <v>0</v>
          </cell>
          <cell r="AA139">
            <v>0</v>
          </cell>
          <cell r="AB139">
            <v>16566.583091931261</v>
          </cell>
          <cell r="AC139">
            <v>30434.09309193127</v>
          </cell>
          <cell r="AD139" t="str">
            <v>N/A</v>
          </cell>
          <cell r="AE139">
            <v>355031</v>
          </cell>
          <cell r="AF139">
            <v>355032</v>
          </cell>
          <cell r="AG139">
            <v>355032</v>
          </cell>
          <cell r="AH139">
            <v>355032</v>
          </cell>
          <cell r="AI139">
            <v>352749</v>
          </cell>
          <cell r="AJ139">
            <v>0</v>
          </cell>
          <cell r="AK139">
            <v>1772876</v>
          </cell>
          <cell r="AL139">
            <v>4798149</v>
          </cell>
          <cell r="AM139">
            <v>772966.30276833544</v>
          </cell>
          <cell r="AN139">
            <v>-129400.48999999999</v>
          </cell>
          <cell r="AO139">
            <v>1203257.6702239485</v>
          </cell>
          <cell r="AP139">
            <v>0</v>
          </cell>
          <cell r="AQ139">
            <v>569617.49</v>
          </cell>
          <cell r="AR139">
            <v>0</v>
          </cell>
          <cell r="AS139">
            <v>0</v>
          </cell>
          <cell r="AT139">
            <v>7214589.9729922842</v>
          </cell>
          <cell r="AU139">
            <v>1.4472092777425487E-4</v>
          </cell>
          <cell r="AV139">
            <v>0</v>
          </cell>
          <cell r="AW139">
            <v>0</v>
          </cell>
          <cell r="AY139">
            <v>0</v>
          </cell>
          <cell r="AZ139">
            <v>0</v>
          </cell>
          <cell r="BA139">
            <v>0</v>
          </cell>
          <cell r="BB139">
            <v>0</v>
          </cell>
          <cell r="BC139">
            <v>0</v>
          </cell>
          <cell r="BD139">
            <v>0</v>
          </cell>
          <cell r="BE139">
            <v>0</v>
          </cell>
          <cell r="BF139">
            <v>0</v>
          </cell>
          <cell r="BG139">
            <v>0</v>
          </cell>
          <cell r="BH139">
            <v>0</v>
          </cell>
          <cell r="BJ139">
            <v>0</v>
          </cell>
          <cell r="BL139">
            <v>0</v>
          </cell>
          <cell r="BM139">
            <v>0</v>
          </cell>
          <cell r="BN139">
            <v>0</v>
          </cell>
          <cell r="BO139">
            <v>0</v>
          </cell>
          <cell r="BQ139">
            <v>0</v>
          </cell>
          <cell r="BR139">
            <v>0</v>
          </cell>
          <cell r="BS139">
            <v>0</v>
          </cell>
          <cell r="BT139">
            <v>0</v>
          </cell>
          <cell r="CB139">
            <v>0</v>
          </cell>
          <cell r="CC139">
            <v>0</v>
          </cell>
          <cell r="CD139">
            <v>0</v>
          </cell>
          <cell r="CE139">
            <v>0</v>
          </cell>
          <cell r="CF139">
            <v>0</v>
          </cell>
          <cell r="CI139">
            <v>0</v>
          </cell>
          <cell r="CJ139">
            <v>0</v>
          </cell>
          <cell r="CK139">
            <v>0</v>
          </cell>
          <cell r="CV139">
            <v>1.6583970091368149E-4</v>
          </cell>
          <cell r="DG139">
            <v>7214591</v>
          </cell>
          <cell r="DR139">
            <v>2083307.32</v>
          </cell>
          <cell r="EC139">
            <v>3.4630469209890742</v>
          </cell>
          <cell r="EN139">
            <v>2.4095909012463064E-2</v>
          </cell>
        </row>
        <row r="140">
          <cell r="B140">
            <v>33203</v>
          </cell>
          <cell r="C140" t="str">
            <v>Healthy Start Academy</v>
          </cell>
          <cell r="D140">
            <v>1.1475133798238069E-4</v>
          </cell>
          <cell r="E140">
            <v>198546.57116424461</v>
          </cell>
          <cell r="F140">
            <v>154811.31486975838</v>
          </cell>
          <cell r="G140">
            <v>75281</v>
          </cell>
          <cell r="H140">
            <v>-55401.548369355711</v>
          </cell>
          <cell r="I140">
            <v>-2292.6206030543622</v>
          </cell>
          <cell r="J140">
            <v>167545.52913397894</v>
          </cell>
          <cell r="K140">
            <v>0</v>
          </cell>
          <cell r="L140">
            <v>-8803.1202407698747</v>
          </cell>
          <cell r="M140">
            <v>1579.7830081761626</v>
          </cell>
          <cell r="N140">
            <v>59.553649386095927</v>
          </cell>
          <cell r="O140">
            <v>-26.875910868853381</v>
          </cell>
          <cell r="P140">
            <v>0</v>
          </cell>
          <cell r="Q140">
            <v>0</v>
          </cell>
          <cell r="R140">
            <v>0</v>
          </cell>
          <cell r="S140">
            <v>531299.58670149522</v>
          </cell>
          <cell r="T140">
            <v>394559</v>
          </cell>
          <cell r="U140">
            <v>837727.64566989464</v>
          </cell>
          <cell r="V140">
            <v>6319.1320327046506</v>
          </cell>
          <cell r="W140">
            <v>0</v>
          </cell>
          <cell r="X140">
            <v>1238605.7777025993</v>
          </cell>
          <cell r="Y140">
            <v>18155.159999999989</v>
          </cell>
          <cell r="Z140">
            <v>0</v>
          </cell>
          <cell r="AA140">
            <v>0</v>
          </cell>
          <cell r="AB140">
            <v>11463.10301527181</v>
          </cell>
          <cell r="AC140">
            <v>29618.263015271797</v>
          </cell>
          <cell r="AD140" t="str">
            <v>N/A</v>
          </cell>
          <cell r="AE140">
            <v>242114</v>
          </cell>
          <cell r="AF140">
            <v>242114</v>
          </cell>
          <cell r="AG140">
            <v>242114</v>
          </cell>
          <cell r="AH140">
            <v>242114</v>
          </cell>
          <cell r="AI140">
            <v>240534</v>
          </cell>
          <cell r="AJ140">
            <v>0</v>
          </cell>
          <cell r="AK140">
            <v>1208990</v>
          </cell>
          <cell r="AL140">
            <v>3331051</v>
          </cell>
          <cell r="AM140">
            <v>531299.58670149522</v>
          </cell>
          <cell r="AN140">
            <v>-79264.840000000011</v>
          </cell>
          <cell r="AO140">
            <v>832583.67468732758</v>
          </cell>
          <cell r="AP140">
            <v>0</v>
          </cell>
          <cell r="AQ140">
            <v>376403.84</v>
          </cell>
          <cell r="AR140">
            <v>0</v>
          </cell>
          <cell r="AS140">
            <v>0</v>
          </cell>
          <cell r="AT140">
            <v>4992073.2613888225</v>
          </cell>
          <cell r="AU140">
            <v>1.0047057826492E-4</v>
          </cell>
          <cell r="AV140">
            <v>0</v>
          </cell>
          <cell r="AW140">
            <v>0</v>
          </cell>
          <cell r="AY140">
            <v>0</v>
          </cell>
          <cell r="AZ140">
            <v>0</v>
          </cell>
          <cell r="BA140">
            <v>0</v>
          </cell>
          <cell r="BB140">
            <v>0</v>
          </cell>
          <cell r="BC140">
            <v>0</v>
          </cell>
          <cell r="BD140">
            <v>0</v>
          </cell>
          <cell r="BE140">
            <v>0</v>
          </cell>
          <cell r="BF140">
            <v>0</v>
          </cell>
          <cell r="BG140">
            <v>0</v>
          </cell>
          <cell r="BH140">
            <v>0</v>
          </cell>
          <cell r="BJ140">
            <v>0</v>
          </cell>
          <cell r="BL140">
            <v>0</v>
          </cell>
          <cell r="BM140">
            <v>0</v>
          </cell>
          <cell r="BN140">
            <v>0</v>
          </cell>
          <cell r="BO140">
            <v>0</v>
          </cell>
          <cell r="BQ140">
            <v>0</v>
          </cell>
          <cell r="BR140">
            <v>0</v>
          </cell>
          <cell r="BS140">
            <v>0</v>
          </cell>
          <cell r="BT140">
            <v>0</v>
          </cell>
          <cell r="CB140">
            <v>0</v>
          </cell>
          <cell r="CC140">
            <v>0</v>
          </cell>
          <cell r="CD140">
            <v>0</v>
          </cell>
          <cell r="CE140">
            <v>0</v>
          </cell>
          <cell r="CF140">
            <v>0</v>
          </cell>
          <cell r="CI140">
            <v>0</v>
          </cell>
          <cell r="CJ140">
            <v>0</v>
          </cell>
          <cell r="CK140">
            <v>0</v>
          </cell>
          <cell r="CV140">
            <v>1.1475133798238069E-4</v>
          </cell>
          <cell r="DG140">
            <v>4992073</v>
          </cell>
          <cell r="DR140">
            <v>1400711.38</v>
          </cell>
          <cell r="EC140">
            <v>3.5639554809642515</v>
          </cell>
          <cell r="EN140">
            <v>2.4095909012463064E-2</v>
          </cell>
        </row>
        <row r="141">
          <cell r="B141">
            <v>33204</v>
          </cell>
          <cell r="C141" t="str">
            <v>Voyager Academy</v>
          </cell>
          <cell r="D141">
            <v>4.0490674464265631E-4</v>
          </cell>
          <cell r="E141">
            <v>700583.07993253705</v>
          </cell>
          <cell r="F141">
            <v>546260.69412269385</v>
          </cell>
          <cell r="G141">
            <v>198362</v>
          </cell>
          <cell r="H141">
            <v>-195487.57332871223</v>
          </cell>
          <cell r="I141">
            <v>-8089.6446299036561</v>
          </cell>
          <cell r="J141">
            <v>591194.10696097661</v>
          </cell>
          <cell r="K141">
            <v>0</v>
          </cell>
          <cell r="L141">
            <v>-31062.319813084039</v>
          </cell>
          <cell r="M141">
            <v>5574.3558753154512</v>
          </cell>
          <cell r="N141">
            <v>210.13850233464578</v>
          </cell>
          <cell r="O141">
            <v>-94.833208662756533</v>
          </cell>
          <cell r="P141">
            <v>0</v>
          </cell>
          <cell r="Q141">
            <v>0</v>
          </cell>
          <cell r="R141">
            <v>0</v>
          </cell>
          <cell r="S141">
            <v>1807450.0044134951</v>
          </cell>
          <cell r="T141">
            <v>1052110</v>
          </cell>
          <cell r="U141">
            <v>2955970.5348048829</v>
          </cell>
          <cell r="V141">
            <v>22297.423501261805</v>
          </cell>
          <cell r="W141">
            <v>0</v>
          </cell>
          <cell r="X141">
            <v>4030377.9583061449</v>
          </cell>
          <cell r="Y141">
            <v>60301.110000000044</v>
          </cell>
          <cell r="Z141">
            <v>0</v>
          </cell>
          <cell r="AA141">
            <v>0</v>
          </cell>
          <cell r="AB141">
            <v>40448.223149518279</v>
          </cell>
          <cell r="AC141">
            <v>100749.33314951832</v>
          </cell>
          <cell r="AD141" t="str">
            <v>N/A</v>
          </cell>
          <cell r="AE141">
            <v>787041</v>
          </cell>
          <cell r="AF141">
            <v>787041</v>
          </cell>
          <cell r="AG141">
            <v>787041</v>
          </cell>
          <cell r="AH141">
            <v>787041</v>
          </cell>
          <cell r="AI141">
            <v>781466</v>
          </cell>
          <cell r="AJ141">
            <v>0</v>
          </cell>
          <cell r="AK141">
            <v>3929630</v>
          </cell>
          <cell r="AL141">
            <v>12161946</v>
          </cell>
          <cell r="AM141">
            <v>1807450.0044134951</v>
          </cell>
          <cell r="AN141">
            <v>-284204.88999999996</v>
          </cell>
          <cell r="AO141">
            <v>2937819.7351566264</v>
          </cell>
          <cell r="AP141">
            <v>0</v>
          </cell>
          <cell r="AQ141">
            <v>991808.8899999999</v>
          </cell>
          <cell r="AR141">
            <v>0</v>
          </cell>
          <cell r="AS141">
            <v>0</v>
          </cell>
          <cell r="AT141">
            <v>17614819.739570122</v>
          </cell>
          <cell r="AU141">
            <v>3.6682647886358247E-4</v>
          </cell>
          <cell r="AV141">
            <v>0</v>
          </cell>
          <cell r="AW141">
            <v>0</v>
          </cell>
          <cell r="AY141">
            <v>0</v>
          </cell>
          <cell r="AZ141">
            <v>0</v>
          </cell>
          <cell r="BA141">
            <v>0</v>
          </cell>
          <cell r="BB141">
            <v>0</v>
          </cell>
          <cell r="BC141">
            <v>0</v>
          </cell>
          <cell r="BD141">
            <v>0</v>
          </cell>
          <cell r="BE141">
            <v>0</v>
          </cell>
          <cell r="BF141">
            <v>0</v>
          </cell>
          <cell r="BG141">
            <v>0</v>
          </cell>
          <cell r="BH141">
            <v>0</v>
          </cell>
          <cell r="BJ141">
            <v>0</v>
          </cell>
          <cell r="BL141">
            <v>0</v>
          </cell>
          <cell r="BM141">
            <v>0</v>
          </cell>
          <cell r="BN141">
            <v>0</v>
          </cell>
          <cell r="BO141">
            <v>0</v>
          </cell>
          <cell r="BQ141">
            <v>0</v>
          </cell>
          <cell r="BR141">
            <v>0</v>
          </cell>
          <cell r="BS141">
            <v>0</v>
          </cell>
          <cell r="BT141">
            <v>0</v>
          </cell>
          <cell r="CB141">
            <v>0</v>
          </cell>
          <cell r="CC141">
            <v>0</v>
          </cell>
          <cell r="CD141">
            <v>0</v>
          </cell>
          <cell r="CE141">
            <v>0</v>
          </cell>
          <cell r="CF141">
            <v>0</v>
          </cell>
          <cell r="CI141">
            <v>0</v>
          </cell>
          <cell r="CJ141">
            <v>0</v>
          </cell>
          <cell r="CK141">
            <v>0</v>
          </cell>
          <cell r="CV141">
            <v>4.0490674464265631E-4</v>
          </cell>
          <cell r="DG141">
            <v>17614820</v>
          </cell>
          <cell r="DR141">
            <v>4874017.7599999988</v>
          </cell>
          <cell r="EC141">
            <v>3.6140245824627453</v>
          </cell>
          <cell r="EN141">
            <v>2.4095909012463064E-2</v>
          </cell>
        </row>
        <row r="142">
          <cell r="B142">
            <v>33205</v>
          </cell>
          <cell r="C142" t="str">
            <v>Durham Technical Institute</v>
          </cell>
          <cell r="D142">
            <v>1.1182984542950423E-3</v>
          </cell>
          <cell r="E142">
            <v>1934917.0784627127</v>
          </cell>
          <cell r="F142">
            <v>1508699.2201591246</v>
          </cell>
          <cell r="G142">
            <v>202739</v>
          </cell>
          <cell r="H142">
            <v>-539910.61887675221</v>
          </cell>
          <cell r="I142">
            <v>-22342.520111393569</v>
          </cell>
          <cell r="J142">
            <v>1632799.3167569202</v>
          </cell>
          <cell r="K142">
            <v>0</v>
          </cell>
          <cell r="L142">
            <v>-85789.986690507358</v>
          </cell>
          <cell r="M142">
            <v>15395.627861317269</v>
          </cell>
          <cell r="N142">
            <v>580.37453181004105</v>
          </cell>
          <cell r="O142">
            <v>-261.91668098044187</v>
          </cell>
          <cell r="P142">
            <v>0</v>
          </cell>
          <cell r="Q142">
            <v>0</v>
          </cell>
          <cell r="R142">
            <v>0</v>
          </cell>
          <cell r="S142">
            <v>4646825.5754122511</v>
          </cell>
          <cell r="T142">
            <v>1013693.1900000001</v>
          </cell>
          <cell r="U142">
            <v>8163996.5837846017</v>
          </cell>
          <cell r="V142">
            <v>61582.511445269076</v>
          </cell>
          <cell r="W142">
            <v>0</v>
          </cell>
          <cell r="X142">
            <v>9239272.285229871</v>
          </cell>
          <cell r="Y142">
            <v>0</v>
          </cell>
          <cell r="Z142">
            <v>0</v>
          </cell>
          <cell r="AA142">
            <v>0</v>
          </cell>
          <cell r="AB142">
            <v>111712.60055696784</v>
          </cell>
          <cell r="AC142">
            <v>111712.60055696784</v>
          </cell>
          <cell r="AD142" t="str">
            <v>N/A</v>
          </cell>
          <cell r="AE142">
            <v>1828590</v>
          </cell>
          <cell r="AF142">
            <v>1828591</v>
          </cell>
          <cell r="AG142">
            <v>1828591</v>
          </cell>
          <cell r="AH142">
            <v>1828591</v>
          </cell>
          <cell r="AI142">
            <v>1813196</v>
          </cell>
          <cell r="AJ142">
            <v>0</v>
          </cell>
          <cell r="AK142">
            <v>9127559</v>
          </cell>
          <cell r="AL142">
            <v>35901235</v>
          </cell>
          <cell r="AM142">
            <v>4646825.5754122511</v>
          </cell>
          <cell r="AN142">
            <v>-1025837.1900000001</v>
          </cell>
          <cell r="AO142">
            <v>8113866.4946729029</v>
          </cell>
          <cell r="AP142">
            <v>0</v>
          </cell>
          <cell r="AQ142">
            <v>1013693.1900000001</v>
          </cell>
          <cell r="AR142">
            <v>0</v>
          </cell>
          <cell r="AS142">
            <v>0</v>
          </cell>
          <cell r="AT142">
            <v>48649783.070085153</v>
          </cell>
          <cell r="AU142">
            <v>1.0828467437052501E-3</v>
          </cell>
          <cell r="AV142">
            <v>0</v>
          </cell>
          <cell r="AW142">
            <v>0</v>
          </cell>
          <cell r="AY142">
            <v>0</v>
          </cell>
          <cell r="AZ142">
            <v>0</v>
          </cell>
          <cell r="BA142">
            <v>0</v>
          </cell>
          <cell r="BB142">
            <v>0</v>
          </cell>
          <cell r="BC142">
            <v>0</v>
          </cell>
          <cell r="BD142">
            <v>0</v>
          </cell>
          <cell r="BE142">
            <v>0</v>
          </cell>
          <cell r="BF142">
            <v>0</v>
          </cell>
          <cell r="BG142">
            <v>0</v>
          </cell>
          <cell r="BH142">
            <v>0</v>
          </cell>
          <cell r="BJ142">
            <v>0</v>
          </cell>
          <cell r="BL142">
            <v>0</v>
          </cell>
          <cell r="BM142">
            <v>0</v>
          </cell>
          <cell r="BN142">
            <v>0</v>
          </cell>
          <cell r="BO142">
            <v>0</v>
          </cell>
          <cell r="BQ142">
            <v>0</v>
          </cell>
          <cell r="BR142">
            <v>0</v>
          </cell>
          <cell r="BS142">
            <v>0</v>
          </cell>
          <cell r="BT142">
            <v>0</v>
          </cell>
          <cell r="CB142">
            <v>0</v>
          </cell>
          <cell r="CC142">
            <v>0</v>
          </cell>
          <cell r="CD142">
            <v>0</v>
          </cell>
          <cell r="CE142">
            <v>0</v>
          </cell>
          <cell r="CF142">
            <v>0</v>
          </cell>
          <cell r="CI142">
            <v>0</v>
          </cell>
          <cell r="CJ142">
            <v>0</v>
          </cell>
          <cell r="CK142">
            <v>0</v>
          </cell>
          <cell r="CV142">
            <v>1.1182984542950423E-3</v>
          </cell>
          <cell r="DG142">
            <v>48649784</v>
          </cell>
          <cell r="DR142">
            <v>17495640.5</v>
          </cell>
          <cell r="EC142">
            <v>2.780680364345621</v>
          </cell>
          <cell r="EN142">
            <v>2.4095909012463064E-2</v>
          </cell>
        </row>
        <row r="143">
          <cell r="B143">
            <v>33206</v>
          </cell>
          <cell r="C143" t="str">
            <v>Bear Grass Charter School</v>
          </cell>
          <cell r="D143">
            <v>9.1382949996967092E-5</v>
          </cell>
          <cell r="E143">
            <v>158113.81116582092</v>
          </cell>
          <cell r="F143">
            <v>123284.96464137135</v>
          </cell>
          <cell r="G143">
            <v>-27643</v>
          </cell>
          <cell r="H143">
            <v>-44119.371620475045</v>
          </cell>
          <cell r="I143">
            <v>-1825.7428419972032</v>
          </cell>
          <cell r="J143">
            <v>133425.93629206016</v>
          </cell>
          <cell r="K143">
            <v>0</v>
          </cell>
          <cell r="L143">
            <v>-7010.4201913800871</v>
          </cell>
          <cell r="M143">
            <v>1258.0701382705172</v>
          </cell>
          <cell r="N143">
            <v>47.425923389425982</v>
          </cell>
          <cell r="O143">
            <v>-21.402800718789663</v>
          </cell>
          <cell r="P143">
            <v>0</v>
          </cell>
          <cell r="Q143">
            <v>0</v>
          </cell>
          <cell r="R143">
            <v>0</v>
          </cell>
          <cell r="S143">
            <v>335510.27070634119</v>
          </cell>
          <cell r="T143">
            <v>0</v>
          </cell>
          <cell r="U143">
            <v>667129.68146030081</v>
          </cell>
          <cell r="V143">
            <v>5032.2805530820688</v>
          </cell>
          <cell r="W143">
            <v>0</v>
          </cell>
          <cell r="X143">
            <v>672161.96201338293</v>
          </cell>
          <cell r="Y143">
            <v>138212.82</v>
          </cell>
          <cell r="Z143">
            <v>0</v>
          </cell>
          <cell r="AA143">
            <v>0</v>
          </cell>
          <cell r="AB143">
            <v>9128.7142099860157</v>
          </cell>
          <cell r="AC143">
            <v>147341.53420998601</v>
          </cell>
          <cell r="AD143" t="str">
            <v>N/A</v>
          </cell>
          <cell r="AE143">
            <v>105215</v>
          </cell>
          <cell r="AF143">
            <v>105215</v>
          </cell>
          <cell r="AG143">
            <v>105215</v>
          </cell>
          <cell r="AH143">
            <v>105215</v>
          </cell>
          <cell r="AI143">
            <v>103957</v>
          </cell>
          <cell r="AJ143">
            <v>0</v>
          </cell>
          <cell r="AK143">
            <v>524817</v>
          </cell>
          <cell r="AL143">
            <v>3187367</v>
          </cell>
          <cell r="AM143">
            <v>335510.27070634119</v>
          </cell>
          <cell r="AN143">
            <v>-72229.179999999993</v>
          </cell>
          <cell r="AO143">
            <v>663033.24780339689</v>
          </cell>
          <cell r="AP143">
            <v>0</v>
          </cell>
          <cell r="AQ143">
            <v>-138212.82</v>
          </cell>
          <cell r="AR143">
            <v>0</v>
          </cell>
          <cell r="AS143">
            <v>0</v>
          </cell>
          <cell r="AT143">
            <v>3975468.5185097381</v>
          </cell>
          <cell r="AU143">
            <v>9.6136797168055663E-5</v>
          </cell>
          <cell r="AV143">
            <v>0</v>
          </cell>
          <cell r="AW143">
            <v>0</v>
          </cell>
          <cell r="AY143">
            <v>0</v>
          </cell>
          <cell r="AZ143">
            <v>0</v>
          </cell>
          <cell r="BA143">
            <v>0</v>
          </cell>
          <cell r="BB143">
            <v>0</v>
          </cell>
          <cell r="BC143">
            <v>0</v>
          </cell>
          <cell r="BD143">
            <v>0</v>
          </cell>
          <cell r="BE143">
            <v>0</v>
          </cell>
          <cell r="BF143">
            <v>0</v>
          </cell>
          <cell r="BG143">
            <v>0</v>
          </cell>
          <cell r="BH143">
            <v>0</v>
          </cell>
          <cell r="BJ143">
            <v>0</v>
          </cell>
          <cell r="BL143">
            <v>0</v>
          </cell>
          <cell r="BM143">
            <v>0</v>
          </cell>
          <cell r="BN143">
            <v>0</v>
          </cell>
          <cell r="BO143">
            <v>0</v>
          </cell>
          <cell r="BQ143">
            <v>0</v>
          </cell>
          <cell r="BR143">
            <v>0</v>
          </cell>
          <cell r="BS143">
            <v>0</v>
          </cell>
          <cell r="BT143">
            <v>0</v>
          </cell>
          <cell r="CB143">
            <v>0</v>
          </cell>
          <cell r="CC143">
            <v>0</v>
          </cell>
          <cell r="CD143">
            <v>0</v>
          </cell>
          <cell r="CE143">
            <v>0</v>
          </cell>
          <cell r="CF143">
            <v>0</v>
          </cell>
          <cell r="CI143">
            <v>0</v>
          </cell>
          <cell r="CJ143">
            <v>0</v>
          </cell>
          <cell r="CK143">
            <v>0</v>
          </cell>
          <cell r="CV143">
            <v>9.1382949996967092E-5</v>
          </cell>
          <cell r="DG143">
            <v>3975469</v>
          </cell>
          <cell r="DR143">
            <v>1272069.9199999997</v>
          </cell>
          <cell r="EC143">
            <v>3.1251969231376848</v>
          </cell>
          <cell r="EN143">
            <v>2.4095909012463064E-2</v>
          </cell>
        </row>
        <row r="144">
          <cell r="B144">
            <v>33207</v>
          </cell>
          <cell r="C144" t="str">
            <v>Invest Collegiate Charter (Buncombe)</v>
          </cell>
          <cell r="D144">
            <v>1.8750286738630526E-4</v>
          </cell>
          <cell r="E144">
            <v>324423.6804343937</v>
          </cell>
          <cell r="F144">
            <v>252960.58374832058</v>
          </cell>
          <cell r="G144">
            <v>656385</v>
          </cell>
          <cell r="H144">
            <v>-90525.73468459498</v>
          </cell>
          <cell r="I144">
            <v>-3746.1257050233039</v>
          </cell>
          <cell r="J144">
            <v>273768.19898344367</v>
          </cell>
          <cell r="K144">
            <v>0</v>
          </cell>
          <cell r="L144">
            <v>-14384.235653480691</v>
          </cell>
          <cell r="M144">
            <v>2581.3541618719519</v>
          </cell>
          <cell r="N144">
            <v>97.310238116144703</v>
          </cell>
          <cell r="O144">
            <v>-43.915046570546558</v>
          </cell>
          <cell r="P144">
            <v>0</v>
          </cell>
          <cell r="Q144">
            <v>0</v>
          </cell>
          <cell r="R144">
            <v>0</v>
          </cell>
          <cell r="S144">
            <v>1401516.1164764767</v>
          </cell>
          <cell r="T144">
            <v>3304737</v>
          </cell>
          <cell r="U144">
            <v>1368840.9949172183</v>
          </cell>
          <cell r="V144">
            <v>10325.416647487807</v>
          </cell>
          <cell r="W144">
            <v>0</v>
          </cell>
          <cell r="X144">
            <v>4683903.4115647068</v>
          </cell>
          <cell r="Y144">
            <v>22808.76999999999</v>
          </cell>
          <cell r="Z144">
            <v>0</v>
          </cell>
          <cell r="AA144">
            <v>0</v>
          </cell>
          <cell r="AB144">
            <v>18730.628525116517</v>
          </cell>
          <cell r="AC144">
            <v>41539.398525116507</v>
          </cell>
          <cell r="AD144" t="str">
            <v>N/A</v>
          </cell>
          <cell r="AE144">
            <v>928988</v>
          </cell>
          <cell r="AF144">
            <v>928989</v>
          </cell>
          <cell r="AG144">
            <v>928989</v>
          </cell>
          <cell r="AH144">
            <v>928989</v>
          </cell>
          <cell r="AI144">
            <v>926408</v>
          </cell>
          <cell r="AJ144">
            <v>0</v>
          </cell>
          <cell r="AK144">
            <v>4642363</v>
          </cell>
          <cell r="AL144">
            <v>2250879</v>
          </cell>
          <cell r="AM144">
            <v>1401516.1164764767</v>
          </cell>
          <cell r="AN144">
            <v>-137746.23000000001</v>
          </cell>
          <cell r="AO144">
            <v>1360435.7830395899</v>
          </cell>
          <cell r="AP144">
            <v>0</v>
          </cell>
          <cell r="AQ144">
            <v>3281928.23</v>
          </cell>
          <cell r="AR144">
            <v>0</v>
          </cell>
          <cell r="AS144">
            <v>0</v>
          </cell>
          <cell r="AT144">
            <v>8157012.8995160665</v>
          </cell>
          <cell r="AU144">
            <v>6.7890614210609432E-5</v>
          </cell>
          <cell r="AV144">
            <v>0</v>
          </cell>
          <cell r="AW144">
            <v>0</v>
          </cell>
          <cell r="AY144">
            <v>0</v>
          </cell>
          <cell r="AZ144">
            <v>0</v>
          </cell>
          <cell r="BA144">
            <v>0</v>
          </cell>
          <cell r="BB144">
            <v>0</v>
          </cell>
          <cell r="BC144">
            <v>0</v>
          </cell>
          <cell r="BD144">
            <v>0</v>
          </cell>
          <cell r="BE144">
            <v>0</v>
          </cell>
          <cell r="BF144">
            <v>0</v>
          </cell>
          <cell r="BG144">
            <v>0</v>
          </cell>
          <cell r="BH144">
            <v>0</v>
          </cell>
          <cell r="BJ144">
            <v>0</v>
          </cell>
          <cell r="BL144">
            <v>0</v>
          </cell>
          <cell r="BM144">
            <v>0</v>
          </cell>
          <cell r="BN144">
            <v>0</v>
          </cell>
          <cell r="BO144">
            <v>0</v>
          </cell>
          <cell r="BQ144">
            <v>0</v>
          </cell>
          <cell r="BR144">
            <v>0</v>
          </cell>
          <cell r="BS144">
            <v>0</v>
          </cell>
          <cell r="BT144">
            <v>0</v>
          </cell>
          <cell r="CB144">
            <v>0</v>
          </cell>
          <cell r="CC144">
            <v>0</v>
          </cell>
          <cell r="CD144">
            <v>0</v>
          </cell>
          <cell r="CE144">
            <v>0</v>
          </cell>
          <cell r="CF144">
            <v>0</v>
          </cell>
          <cell r="CI144">
            <v>0</v>
          </cell>
          <cell r="CJ144">
            <v>0</v>
          </cell>
          <cell r="CK144">
            <v>0</v>
          </cell>
          <cell r="CV144">
            <v>1.8750286738630526E-4</v>
          </cell>
          <cell r="DG144">
            <v>8157012</v>
          </cell>
          <cell r="DR144">
            <v>1940969.2600000007</v>
          </cell>
          <cell r="EC144">
            <v>4.2025456910121273</v>
          </cell>
          <cell r="EN144">
            <v>2.4095909012463064E-2</v>
          </cell>
        </row>
        <row r="145">
          <cell r="B145">
            <v>33208</v>
          </cell>
          <cell r="C145" t="str">
            <v>Kipp Halifax College Prep Charter</v>
          </cell>
          <cell r="D145">
            <v>2.9970915411450654E-5</v>
          </cell>
          <cell r="E145">
            <v>51856.671950185206</v>
          </cell>
          <cell r="F145">
            <v>40433.836365458301</v>
          </cell>
          <cell r="G145">
            <v>62822</v>
          </cell>
          <cell r="H145">
            <v>-14469.854112692794</v>
          </cell>
          <cell r="I145">
            <v>-598.78986487496593</v>
          </cell>
          <cell r="J145">
            <v>43759.776308771587</v>
          </cell>
          <cell r="K145">
            <v>0</v>
          </cell>
          <cell r="L145">
            <v>-2299.2112922766401</v>
          </cell>
          <cell r="M145">
            <v>412.60994197527117</v>
          </cell>
          <cell r="N145">
            <v>15.554305680234661</v>
          </cell>
          <cell r="O145">
            <v>-7.0194880985158576</v>
          </cell>
          <cell r="P145">
            <v>0</v>
          </cell>
          <cell r="Q145">
            <v>0</v>
          </cell>
          <cell r="R145">
            <v>0</v>
          </cell>
          <cell r="S145">
            <v>181925.57411412767</v>
          </cell>
          <cell r="T145">
            <v>314109.83</v>
          </cell>
          <cell r="U145">
            <v>218798.88154385795</v>
          </cell>
          <cell r="V145">
            <v>1650.4397679010847</v>
          </cell>
          <cell r="W145">
            <v>0</v>
          </cell>
          <cell r="X145">
            <v>534559.15131175902</v>
          </cell>
          <cell r="Y145">
            <v>0</v>
          </cell>
          <cell r="Z145">
            <v>0</v>
          </cell>
          <cell r="AA145">
            <v>0</v>
          </cell>
          <cell r="AB145">
            <v>2993.9493243748298</v>
          </cell>
          <cell r="AC145">
            <v>2993.9493243748298</v>
          </cell>
          <cell r="AD145" t="str">
            <v>N/A</v>
          </cell>
          <cell r="AE145">
            <v>106396</v>
          </cell>
          <cell r="AF145">
            <v>106396</v>
          </cell>
          <cell r="AG145">
            <v>106396</v>
          </cell>
          <cell r="AH145">
            <v>106396</v>
          </cell>
          <cell r="AI145">
            <v>105983</v>
          </cell>
          <cell r="AJ145">
            <v>0</v>
          </cell>
          <cell r="AK145">
            <v>531567</v>
          </cell>
          <cell r="AL145">
            <v>618533</v>
          </cell>
          <cell r="AM145">
            <v>181925.57411412767</v>
          </cell>
          <cell r="AN145">
            <v>-28186.83</v>
          </cell>
          <cell r="AO145">
            <v>217455.37198738422</v>
          </cell>
          <cell r="AP145">
            <v>0</v>
          </cell>
          <cell r="AQ145">
            <v>314109.83</v>
          </cell>
          <cell r="AR145">
            <v>0</v>
          </cell>
          <cell r="AS145">
            <v>0</v>
          </cell>
          <cell r="AT145">
            <v>1303836.9461015121</v>
          </cell>
          <cell r="AU145">
            <v>1.8656076932907597E-5</v>
          </cell>
          <cell r="AV145">
            <v>0</v>
          </cell>
          <cell r="AW145">
            <v>0</v>
          </cell>
          <cell r="AY145">
            <v>0</v>
          </cell>
          <cell r="AZ145">
            <v>0</v>
          </cell>
          <cell r="BA145">
            <v>0</v>
          </cell>
          <cell r="BB145">
            <v>0</v>
          </cell>
          <cell r="BC145">
            <v>0</v>
          </cell>
          <cell r="BD145">
            <v>0</v>
          </cell>
          <cell r="BE145">
            <v>0</v>
          </cell>
          <cell r="BF145">
            <v>0</v>
          </cell>
          <cell r="BG145">
            <v>0</v>
          </cell>
          <cell r="BH145">
            <v>0</v>
          </cell>
          <cell r="BJ145">
            <v>0</v>
          </cell>
          <cell r="BL145">
            <v>0</v>
          </cell>
          <cell r="BM145">
            <v>0</v>
          </cell>
          <cell r="BN145">
            <v>0</v>
          </cell>
          <cell r="BO145">
            <v>0</v>
          </cell>
          <cell r="BQ145">
            <v>0</v>
          </cell>
          <cell r="BR145">
            <v>0</v>
          </cell>
          <cell r="BS145">
            <v>0</v>
          </cell>
          <cell r="BT145">
            <v>0</v>
          </cell>
          <cell r="CB145">
            <v>0</v>
          </cell>
          <cell r="CC145">
            <v>0</v>
          </cell>
          <cell r="CD145">
            <v>0</v>
          </cell>
          <cell r="CE145">
            <v>0</v>
          </cell>
          <cell r="CF145">
            <v>0</v>
          </cell>
          <cell r="CI145">
            <v>0</v>
          </cell>
          <cell r="CJ145">
            <v>0</v>
          </cell>
          <cell r="CK145">
            <v>0</v>
          </cell>
          <cell r="CV145">
            <v>2.9970915411450654E-5</v>
          </cell>
          <cell r="DG145">
            <v>1303837</v>
          </cell>
          <cell r="DR145">
            <v>364821.84</v>
          </cell>
          <cell r="EC145">
            <v>3.5739006195462419</v>
          </cell>
          <cell r="EN145">
            <v>2.4095909012463064E-2</v>
          </cell>
        </row>
        <row r="146">
          <cell r="B146">
            <v>33209</v>
          </cell>
          <cell r="C146" t="str">
            <v>Pioneer Springs Community Charter</v>
          </cell>
          <cell r="D146">
            <v>6.9109201951951491E-5</v>
          </cell>
          <cell r="E146">
            <v>119575.03350038601</v>
          </cell>
          <cell r="F146">
            <v>93235.395873327638</v>
          </cell>
          <cell r="G146">
            <v>142841</v>
          </cell>
          <cell r="H146">
            <v>-33365.68324193739</v>
          </cell>
          <cell r="I146">
            <v>-1380.7349268556359</v>
          </cell>
          <cell r="J146">
            <v>100904.59956854352</v>
          </cell>
          <cell r="K146">
            <v>0</v>
          </cell>
          <cell r="L146">
            <v>-5301.6951716945496</v>
          </cell>
          <cell r="M146">
            <v>951.42718918947457</v>
          </cell>
          <cell r="N146">
            <v>35.866293629023787</v>
          </cell>
          <cell r="O146">
            <v>-16.18606618916656</v>
          </cell>
          <cell r="P146">
            <v>0</v>
          </cell>
          <cell r="Q146">
            <v>0</v>
          </cell>
          <cell r="R146">
            <v>0</v>
          </cell>
          <cell r="S146">
            <v>417479.02301839902</v>
          </cell>
          <cell r="T146">
            <v>727344</v>
          </cell>
          <cell r="U146">
            <v>504522.99784271762</v>
          </cell>
          <cell r="V146">
            <v>3805.7087567578983</v>
          </cell>
          <cell r="W146">
            <v>0</v>
          </cell>
          <cell r="X146">
            <v>1235672.7065994756</v>
          </cell>
          <cell r="Y146">
            <v>13140.879999999997</v>
          </cell>
          <cell r="Z146">
            <v>0</v>
          </cell>
          <cell r="AA146">
            <v>0</v>
          </cell>
          <cell r="AB146">
            <v>6903.6746342781789</v>
          </cell>
          <cell r="AC146">
            <v>20044.554634278174</v>
          </cell>
          <cell r="AD146" t="str">
            <v>N/A</v>
          </cell>
          <cell r="AE146">
            <v>243316</v>
          </cell>
          <cell r="AF146">
            <v>243316</v>
          </cell>
          <cell r="AG146">
            <v>243316</v>
          </cell>
          <cell r="AH146">
            <v>243316</v>
          </cell>
          <cell r="AI146">
            <v>242365</v>
          </cell>
          <cell r="AJ146">
            <v>0</v>
          </cell>
          <cell r="AK146">
            <v>1215629</v>
          </cell>
          <cell r="AL146">
            <v>1418468</v>
          </cell>
          <cell r="AM146">
            <v>417479.02301839902</v>
          </cell>
          <cell r="AN146">
            <v>-45089.120000000003</v>
          </cell>
          <cell r="AO146">
            <v>501425.03196519736</v>
          </cell>
          <cell r="AP146">
            <v>0</v>
          </cell>
          <cell r="AQ146">
            <v>714203.12</v>
          </cell>
          <cell r="AR146">
            <v>0</v>
          </cell>
          <cell r="AS146">
            <v>0</v>
          </cell>
          <cell r="AT146">
            <v>3006486.0549835963</v>
          </cell>
          <cell r="AU146">
            <v>4.2783569407861607E-5</v>
          </cell>
          <cell r="AV146">
            <v>0</v>
          </cell>
          <cell r="AW146">
            <v>0</v>
          </cell>
          <cell r="AY146">
            <v>0</v>
          </cell>
          <cell r="AZ146">
            <v>0</v>
          </cell>
          <cell r="BA146">
            <v>0</v>
          </cell>
          <cell r="BB146">
            <v>0</v>
          </cell>
          <cell r="BC146">
            <v>0</v>
          </cell>
          <cell r="BD146">
            <v>0</v>
          </cell>
          <cell r="BE146">
            <v>0</v>
          </cell>
          <cell r="BF146">
            <v>0</v>
          </cell>
          <cell r="BG146">
            <v>0</v>
          </cell>
          <cell r="BH146">
            <v>0</v>
          </cell>
          <cell r="BJ146">
            <v>0</v>
          </cell>
          <cell r="BL146">
            <v>0</v>
          </cell>
          <cell r="BM146">
            <v>0</v>
          </cell>
          <cell r="BN146">
            <v>0</v>
          </cell>
          <cell r="BO146">
            <v>0</v>
          </cell>
          <cell r="BQ146">
            <v>0</v>
          </cell>
          <cell r="BR146">
            <v>0</v>
          </cell>
          <cell r="BS146">
            <v>0</v>
          </cell>
          <cell r="BT146">
            <v>0</v>
          </cell>
          <cell r="CB146">
            <v>0</v>
          </cell>
          <cell r="CC146">
            <v>0</v>
          </cell>
          <cell r="CD146">
            <v>0</v>
          </cell>
          <cell r="CE146">
            <v>0</v>
          </cell>
          <cell r="CF146">
            <v>0</v>
          </cell>
          <cell r="CI146">
            <v>0</v>
          </cell>
          <cell r="CJ146">
            <v>0</v>
          </cell>
          <cell r="CK146">
            <v>0</v>
          </cell>
          <cell r="CV146">
            <v>6.9109201951951491E-5</v>
          </cell>
          <cell r="DG146">
            <v>3006485</v>
          </cell>
          <cell r="DR146">
            <v>801128.51</v>
          </cell>
          <cell r="EC146">
            <v>3.752812392109226</v>
          </cell>
          <cell r="EN146">
            <v>2.4095909012463064E-2</v>
          </cell>
        </row>
        <row r="147">
          <cell r="B147">
            <v>33300</v>
          </cell>
          <cell r="C147" t="str">
            <v>Edgecombe County Schools</v>
          </cell>
          <cell r="D147">
            <v>1.9979924577220956E-3</v>
          </cell>
          <cell r="E147">
            <v>3456992.8217626</v>
          </cell>
          <cell r="F147">
            <v>2695496.5834673797</v>
          </cell>
          <cell r="G147">
            <v>-66132</v>
          </cell>
          <cell r="H147">
            <v>-964623.83562878007</v>
          </cell>
          <cell r="I147">
            <v>-39917.954368638602</v>
          </cell>
          <cell r="J147">
            <v>2917218.3036867674</v>
          </cell>
          <cell r="K147">
            <v>0</v>
          </cell>
          <cell r="L147">
            <v>-153275.49251041879</v>
          </cell>
          <cell r="M147">
            <v>27506.38546504913</v>
          </cell>
          <cell r="N147">
            <v>1036.9181257086132</v>
          </cell>
          <cell r="O147">
            <v>-467.94981352309202</v>
          </cell>
          <cell r="P147">
            <v>0</v>
          </cell>
          <cell r="Q147">
            <v>0</v>
          </cell>
          <cell r="R147">
            <v>0</v>
          </cell>
          <cell r="S147">
            <v>7873833.7801861446</v>
          </cell>
          <cell r="T147">
            <v>0</v>
          </cell>
          <cell r="U147">
            <v>14586091.518433837</v>
          </cell>
          <cell r="V147">
            <v>110025.54186019652</v>
          </cell>
          <cell r="W147">
            <v>0</v>
          </cell>
          <cell r="X147">
            <v>14696117.060294034</v>
          </cell>
          <cell r="Y147">
            <v>330660.01</v>
          </cell>
          <cell r="Z147">
            <v>0</v>
          </cell>
          <cell r="AA147">
            <v>0</v>
          </cell>
          <cell r="AB147">
            <v>199589.77184319301</v>
          </cell>
          <cell r="AC147">
            <v>530249.78184319299</v>
          </cell>
          <cell r="AD147" t="str">
            <v>N/A</v>
          </cell>
          <cell r="AE147">
            <v>2838675</v>
          </cell>
          <cell r="AF147">
            <v>2838675</v>
          </cell>
          <cell r="AG147">
            <v>2838675</v>
          </cell>
          <cell r="AH147">
            <v>2838675</v>
          </cell>
          <cell r="AI147">
            <v>2811168</v>
          </cell>
          <cell r="AJ147">
            <v>0</v>
          </cell>
          <cell r="AK147">
            <v>14165868</v>
          </cell>
          <cell r="AL147">
            <v>66604119</v>
          </cell>
          <cell r="AM147">
            <v>7873833.7801861446</v>
          </cell>
          <cell r="AN147">
            <v>-1724356.99</v>
          </cell>
          <cell r="AO147">
            <v>14496527.288450843</v>
          </cell>
          <cell r="AP147">
            <v>0</v>
          </cell>
          <cell r="AQ147">
            <v>-330660.01</v>
          </cell>
          <cell r="AR147">
            <v>0</v>
          </cell>
          <cell r="AS147">
            <v>0</v>
          </cell>
          <cell r="AT147">
            <v>86919463.068636984</v>
          </cell>
          <cell r="AU147">
            <v>2.0089017525020784E-3</v>
          </cell>
          <cell r="AV147">
            <v>0</v>
          </cell>
          <cell r="AW147">
            <v>0</v>
          </cell>
          <cell r="AY147">
            <v>0</v>
          </cell>
          <cell r="AZ147">
            <v>0</v>
          </cell>
          <cell r="BA147">
            <v>0</v>
          </cell>
          <cell r="BB147">
            <v>0</v>
          </cell>
          <cell r="BC147">
            <v>0</v>
          </cell>
          <cell r="BD147">
            <v>0</v>
          </cell>
          <cell r="BE147">
            <v>0</v>
          </cell>
          <cell r="BF147">
            <v>0</v>
          </cell>
          <cell r="BG147">
            <v>0</v>
          </cell>
          <cell r="BH147">
            <v>0</v>
          </cell>
          <cell r="BJ147">
            <v>0</v>
          </cell>
          <cell r="BL147">
            <v>0</v>
          </cell>
          <cell r="BM147">
            <v>0</v>
          </cell>
          <cell r="BN147">
            <v>0</v>
          </cell>
          <cell r="BO147">
            <v>0</v>
          </cell>
          <cell r="BQ147">
            <v>0</v>
          </cell>
          <cell r="BR147">
            <v>0</v>
          </cell>
          <cell r="BS147">
            <v>0</v>
          </cell>
          <cell r="BT147">
            <v>0</v>
          </cell>
          <cell r="CB147">
            <v>0</v>
          </cell>
          <cell r="CC147">
            <v>0</v>
          </cell>
          <cell r="CD147">
            <v>0</v>
          </cell>
          <cell r="CE147">
            <v>0</v>
          </cell>
          <cell r="CF147">
            <v>0</v>
          </cell>
          <cell r="CI147">
            <v>0</v>
          </cell>
          <cell r="CJ147">
            <v>0</v>
          </cell>
          <cell r="CK147">
            <v>0</v>
          </cell>
          <cell r="CV147">
            <v>1.9979924577220956E-3</v>
          </cell>
          <cell r="DG147">
            <v>86919463</v>
          </cell>
          <cell r="DR147">
            <v>30152921.930000052</v>
          </cell>
          <cell r="EC147">
            <v>2.8826215648945519</v>
          </cell>
          <cell r="EN147">
            <v>2.4095909012463064E-2</v>
          </cell>
        </row>
        <row r="148">
          <cell r="B148">
            <v>33305</v>
          </cell>
          <cell r="C148" t="str">
            <v>Edgecombe Technical College</v>
          </cell>
          <cell r="D148">
            <v>5.0947246059903392E-4</v>
          </cell>
          <cell r="E148">
            <v>881506.15002049413</v>
          </cell>
          <cell r="F148">
            <v>687330.56103779713</v>
          </cell>
          <cell r="G148">
            <v>-132634</v>
          </cell>
          <cell r="H148">
            <v>-245971.53867666362</v>
          </cell>
          <cell r="I148">
            <v>-10178.76636904652</v>
          </cell>
          <cell r="J148">
            <v>743867.86673774396</v>
          </cell>
          <cell r="K148">
            <v>0</v>
          </cell>
          <cell r="L148">
            <v>-39084.052603402517</v>
          </cell>
          <cell r="M148">
            <v>7013.9133062799983</v>
          </cell>
          <cell r="N148">
            <v>264.40601760168664</v>
          </cell>
          <cell r="O148">
            <v>-119.32354499689974</v>
          </cell>
          <cell r="P148">
            <v>0</v>
          </cell>
          <cell r="Q148">
            <v>0</v>
          </cell>
          <cell r="R148">
            <v>0</v>
          </cell>
          <cell r="S148">
            <v>1891995.2159258076</v>
          </cell>
          <cell r="T148">
            <v>87548.70000000007</v>
          </cell>
          <cell r="U148">
            <v>3719339.3336887197</v>
          </cell>
          <cell r="V148">
            <v>28055.653225119993</v>
          </cell>
          <cell r="W148">
            <v>0</v>
          </cell>
          <cell r="X148">
            <v>3834943.68691384</v>
          </cell>
          <cell r="Y148">
            <v>750722</v>
          </cell>
          <cell r="Z148">
            <v>0</v>
          </cell>
          <cell r="AA148">
            <v>0</v>
          </cell>
          <cell r="AB148">
            <v>50893.831845232591</v>
          </cell>
          <cell r="AC148">
            <v>801615.83184523263</v>
          </cell>
          <cell r="AD148" t="str">
            <v>N/A</v>
          </cell>
          <cell r="AE148">
            <v>608069</v>
          </cell>
          <cell r="AF148">
            <v>608068</v>
          </cell>
          <cell r="AG148">
            <v>608068</v>
          </cell>
          <cell r="AH148">
            <v>608068</v>
          </cell>
          <cell r="AI148">
            <v>601054</v>
          </cell>
          <cell r="AJ148">
            <v>0</v>
          </cell>
          <cell r="AK148">
            <v>3033327</v>
          </cell>
          <cell r="AL148">
            <v>17792167</v>
          </cell>
          <cell r="AM148">
            <v>1891995.2159258076</v>
          </cell>
          <cell r="AN148">
            <v>-553706.70000000007</v>
          </cell>
          <cell r="AO148">
            <v>3696501.1550686075</v>
          </cell>
          <cell r="AP148">
            <v>0</v>
          </cell>
          <cell r="AQ148">
            <v>-663173.29999999993</v>
          </cell>
          <cell r="AR148">
            <v>0</v>
          </cell>
          <cell r="AS148">
            <v>0</v>
          </cell>
          <cell r="AT148">
            <v>22163783.370994415</v>
          </cell>
          <cell r="AU148">
            <v>5.3664421705445478E-4</v>
          </cell>
          <cell r="AV148">
            <v>0</v>
          </cell>
          <cell r="AW148">
            <v>0</v>
          </cell>
          <cell r="AY148">
            <v>0</v>
          </cell>
          <cell r="AZ148">
            <v>0</v>
          </cell>
          <cell r="BA148">
            <v>0</v>
          </cell>
          <cell r="BB148">
            <v>0</v>
          </cell>
          <cell r="BC148">
            <v>0</v>
          </cell>
          <cell r="BD148">
            <v>0</v>
          </cell>
          <cell r="BE148">
            <v>0</v>
          </cell>
          <cell r="BF148">
            <v>0</v>
          </cell>
          <cell r="BG148">
            <v>0</v>
          </cell>
          <cell r="BH148">
            <v>0</v>
          </cell>
          <cell r="BJ148">
            <v>0</v>
          </cell>
          <cell r="BL148">
            <v>0</v>
          </cell>
          <cell r="BM148">
            <v>0</v>
          </cell>
          <cell r="BN148">
            <v>0</v>
          </cell>
          <cell r="BO148">
            <v>0</v>
          </cell>
          <cell r="BQ148">
            <v>0</v>
          </cell>
          <cell r="BR148">
            <v>0</v>
          </cell>
          <cell r="BS148">
            <v>0</v>
          </cell>
          <cell r="BT148">
            <v>0</v>
          </cell>
          <cell r="CB148">
            <v>0</v>
          </cell>
          <cell r="CC148">
            <v>0</v>
          </cell>
          <cell r="CD148">
            <v>0</v>
          </cell>
          <cell r="CE148">
            <v>0</v>
          </cell>
          <cell r="CF148">
            <v>0</v>
          </cell>
          <cell r="CI148">
            <v>0</v>
          </cell>
          <cell r="CJ148">
            <v>0</v>
          </cell>
          <cell r="CK148">
            <v>0</v>
          </cell>
          <cell r="CV148">
            <v>5.0947246059903392E-4</v>
          </cell>
          <cell r="DG148">
            <v>22163784</v>
          </cell>
          <cell r="DR148">
            <v>9481893.4399999995</v>
          </cell>
          <cell r="EC148">
            <v>2.3374850329471748</v>
          </cell>
          <cell r="EN148">
            <v>2.4095909012463064E-2</v>
          </cell>
        </row>
        <row r="149">
          <cell r="B149">
            <v>33400</v>
          </cell>
          <cell r="C149" t="str">
            <v>Winston-Salem-Forsyth County Schools</v>
          </cell>
          <cell r="D149">
            <v>1.7769357204634899E-2</v>
          </cell>
          <cell r="E149">
            <v>30745131.227268424</v>
          </cell>
          <cell r="F149">
            <v>23972683.905980468</v>
          </cell>
          <cell r="G149">
            <v>89100</v>
          </cell>
          <cell r="H149">
            <v>-8578984.0883257985</v>
          </cell>
          <cell r="I149">
            <v>-355014.54838490469</v>
          </cell>
          <cell r="J149">
            <v>25944589.471177764</v>
          </cell>
          <cell r="K149">
            <v>0</v>
          </cell>
          <cell r="L149">
            <v>-1363171.8010783424</v>
          </cell>
          <cell r="M149">
            <v>244630.94785356766</v>
          </cell>
          <cell r="N149">
            <v>9221.9410020614196</v>
          </cell>
          <cell r="O149">
            <v>-4161.7611508975397</v>
          </cell>
          <cell r="P149">
            <v>0</v>
          </cell>
          <cell r="Q149">
            <v>0</v>
          </cell>
          <cell r="R149">
            <v>0</v>
          </cell>
          <cell r="S149">
            <v>70704025.294342324</v>
          </cell>
          <cell r="T149">
            <v>445495.31000000238</v>
          </cell>
          <cell r="U149">
            <v>129722947.35588881</v>
          </cell>
          <cell r="V149">
            <v>978523.79141427064</v>
          </cell>
          <cell r="W149">
            <v>0</v>
          </cell>
          <cell r="X149">
            <v>131146966.45730309</v>
          </cell>
          <cell r="Y149">
            <v>0</v>
          </cell>
          <cell r="Z149">
            <v>0</v>
          </cell>
          <cell r="AA149">
            <v>0</v>
          </cell>
          <cell r="AB149">
            <v>1775072.7419245234</v>
          </cell>
          <cell r="AC149">
            <v>1775072.7419245234</v>
          </cell>
          <cell r="AD149" t="str">
            <v>N/A</v>
          </cell>
          <cell r="AE149">
            <v>25923305</v>
          </cell>
          <cell r="AF149">
            <v>25923306</v>
          </cell>
          <cell r="AG149">
            <v>25923306</v>
          </cell>
          <cell r="AH149">
            <v>25923306</v>
          </cell>
          <cell r="AI149">
            <v>25678675</v>
          </cell>
          <cell r="AJ149">
            <v>0</v>
          </cell>
          <cell r="AK149">
            <v>129371898</v>
          </cell>
          <cell r="AL149">
            <v>588665314</v>
          </cell>
          <cell r="AM149">
            <v>70704025.294342324</v>
          </cell>
          <cell r="AN149">
            <v>-15713796.310000002</v>
          </cell>
          <cell r="AO149">
            <v>128926398.40537857</v>
          </cell>
          <cell r="AP149">
            <v>0</v>
          </cell>
          <cell r="AQ149">
            <v>445495.31000000238</v>
          </cell>
          <cell r="AR149">
            <v>0</v>
          </cell>
          <cell r="AS149">
            <v>0</v>
          </cell>
          <cell r="AT149">
            <v>773027436.69972086</v>
          </cell>
          <cell r="AU149">
            <v>1.7755219836229876E-2</v>
          </cell>
          <cell r="AV149">
            <v>0</v>
          </cell>
          <cell r="AW149">
            <v>0</v>
          </cell>
          <cell r="AY149">
            <v>0</v>
          </cell>
          <cell r="AZ149">
            <v>0</v>
          </cell>
          <cell r="BA149">
            <v>0</v>
          </cell>
          <cell r="BB149">
            <v>0</v>
          </cell>
          <cell r="BC149">
            <v>0</v>
          </cell>
          <cell r="BD149">
            <v>0</v>
          </cell>
          <cell r="BE149">
            <v>0</v>
          </cell>
          <cell r="BF149">
            <v>0</v>
          </cell>
          <cell r="BG149">
            <v>0</v>
          </cell>
          <cell r="BH149">
            <v>0</v>
          </cell>
          <cell r="BJ149">
            <v>0</v>
          </cell>
          <cell r="BL149">
            <v>0</v>
          </cell>
          <cell r="BM149">
            <v>0</v>
          </cell>
          <cell r="BN149">
            <v>0</v>
          </cell>
          <cell r="BO149">
            <v>0</v>
          </cell>
          <cell r="BQ149">
            <v>0</v>
          </cell>
          <cell r="BR149">
            <v>0</v>
          </cell>
          <cell r="BS149">
            <v>0</v>
          </cell>
          <cell r="BT149">
            <v>0</v>
          </cell>
          <cell r="CB149">
            <v>0</v>
          </cell>
          <cell r="CC149">
            <v>0</v>
          </cell>
          <cell r="CD149">
            <v>0</v>
          </cell>
          <cell r="CE149">
            <v>0</v>
          </cell>
          <cell r="CF149">
            <v>0</v>
          </cell>
          <cell r="CI149">
            <v>0</v>
          </cell>
          <cell r="CJ149">
            <v>0</v>
          </cell>
          <cell r="CK149">
            <v>0</v>
          </cell>
          <cell r="CV149">
            <v>1.7769357204634899E-2</v>
          </cell>
          <cell r="DG149">
            <v>773027436</v>
          </cell>
          <cell r="DR149">
            <v>271727145.94999874</v>
          </cell>
          <cell r="EC149">
            <v>2.8448664313511278</v>
          </cell>
          <cell r="EN149">
            <v>2.4095909012463064E-2</v>
          </cell>
        </row>
        <row r="150">
          <cell r="B150">
            <v>33402</v>
          </cell>
          <cell r="C150" t="str">
            <v>Arts Based Elementary Charter</v>
          </cell>
          <cell r="D150">
            <v>1.4056542009747432E-4</v>
          </cell>
          <cell r="E150">
            <v>243210.95226706928</v>
          </cell>
          <cell r="F150">
            <v>189637.1571183879</v>
          </cell>
          <cell r="G150">
            <v>43162</v>
          </cell>
          <cell r="H150">
            <v>-67864.497769819078</v>
          </cell>
          <cell r="I150">
            <v>-2808.360964313486</v>
          </cell>
          <cell r="J150">
            <v>205236.0181786071</v>
          </cell>
          <cell r="K150">
            <v>0</v>
          </cell>
          <cell r="L150">
            <v>-10783.441104646583</v>
          </cell>
          <cell r="M150">
            <v>1935.1657776855752</v>
          </cell>
          <cell r="N150">
            <v>72.950641722187228</v>
          </cell>
          <cell r="O150">
            <v>-32.921827041029459</v>
          </cell>
          <cell r="P150">
            <v>0</v>
          </cell>
          <cell r="Q150">
            <v>0</v>
          </cell>
          <cell r="R150">
            <v>0</v>
          </cell>
          <cell r="S150">
            <v>601765.02231765189</v>
          </cell>
          <cell r="T150">
            <v>232721</v>
          </cell>
          <cell r="U150">
            <v>1026180.0908930356</v>
          </cell>
          <cell r="V150">
            <v>7740.6631107423009</v>
          </cell>
          <cell r="W150">
            <v>0</v>
          </cell>
          <cell r="X150">
            <v>1266641.7540037781</v>
          </cell>
          <cell r="Y150">
            <v>16910.510000000009</v>
          </cell>
          <cell r="Z150">
            <v>0</v>
          </cell>
          <cell r="AA150">
            <v>0</v>
          </cell>
          <cell r="AB150">
            <v>14041.804821567428</v>
          </cell>
          <cell r="AC150">
            <v>30952.314821567437</v>
          </cell>
          <cell r="AD150" t="str">
            <v>N/A</v>
          </cell>
          <cell r="AE150">
            <v>247525</v>
          </cell>
          <cell r="AF150">
            <v>247525</v>
          </cell>
          <cell r="AG150">
            <v>247525</v>
          </cell>
          <cell r="AH150">
            <v>247525</v>
          </cell>
          <cell r="AI150">
            <v>245590</v>
          </cell>
          <cell r="AJ150">
            <v>0</v>
          </cell>
          <cell r="AK150">
            <v>1235690</v>
          </cell>
          <cell r="AL150">
            <v>4381110</v>
          </cell>
          <cell r="AM150">
            <v>601765.02231765189</v>
          </cell>
          <cell r="AN150">
            <v>-103491.48999999999</v>
          </cell>
          <cell r="AO150">
            <v>1019878.9491822105</v>
          </cell>
          <cell r="AP150">
            <v>0</v>
          </cell>
          <cell r="AQ150">
            <v>215810.49</v>
          </cell>
          <cell r="AR150">
            <v>0</v>
          </cell>
          <cell r="AS150">
            <v>0</v>
          </cell>
          <cell r="AT150">
            <v>6115072.9714998621</v>
          </cell>
          <cell r="AU150">
            <v>1.3214227145512793E-4</v>
          </cell>
          <cell r="AV150">
            <v>0</v>
          </cell>
          <cell r="AW150">
            <v>0</v>
          </cell>
          <cell r="AY150">
            <v>0</v>
          </cell>
          <cell r="AZ150">
            <v>0</v>
          </cell>
          <cell r="BA150">
            <v>0</v>
          </cell>
          <cell r="BB150">
            <v>0</v>
          </cell>
          <cell r="BC150">
            <v>0</v>
          </cell>
          <cell r="BD150">
            <v>0</v>
          </cell>
          <cell r="BE150">
            <v>0</v>
          </cell>
          <cell r="BF150">
            <v>0</v>
          </cell>
          <cell r="BG150">
            <v>0</v>
          </cell>
          <cell r="BH150">
            <v>0</v>
          </cell>
          <cell r="BJ150">
            <v>0</v>
          </cell>
          <cell r="BL150">
            <v>0</v>
          </cell>
          <cell r="BM150">
            <v>0</v>
          </cell>
          <cell r="BN150">
            <v>0</v>
          </cell>
          <cell r="BO150">
            <v>0</v>
          </cell>
          <cell r="BQ150">
            <v>0</v>
          </cell>
          <cell r="BR150">
            <v>0</v>
          </cell>
          <cell r="BS150">
            <v>0</v>
          </cell>
          <cell r="BT150">
            <v>0</v>
          </cell>
          <cell r="CB150">
            <v>0</v>
          </cell>
          <cell r="CC150">
            <v>0</v>
          </cell>
          <cell r="CD150">
            <v>0</v>
          </cell>
          <cell r="CE150">
            <v>0</v>
          </cell>
          <cell r="CF150">
            <v>0</v>
          </cell>
          <cell r="CI150">
            <v>0</v>
          </cell>
          <cell r="CJ150">
            <v>0</v>
          </cell>
          <cell r="CK150">
            <v>0</v>
          </cell>
          <cell r="CV150">
            <v>1.4056542009747432E-4</v>
          </cell>
          <cell r="DG150">
            <v>6115074</v>
          </cell>
          <cell r="DR150">
            <v>1807378.6900000004</v>
          </cell>
          <cell r="EC150">
            <v>3.3833938807810102</v>
          </cell>
          <cell r="EN150">
            <v>2.4095909012463064E-2</v>
          </cell>
        </row>
        <row r="151">
          <cell r="B151">
            <v>33405</v>
          </cell>
          <cell r="C151" t="str">
            <v>Forsyth Technical Institute</v>
          </cell>
          <cell r="D151">
            <v>1.7860272560133689E-3</v>
          </cell>
          <cell r="E151">
            <v>3090243.5990923853</v>
          </cell>
          <cell r="F151">
            <v>2409533.8037723838</v>
          </cell>
          <cell r="G151">
            <v>19382</v>
          </cell>
          <cell r="H151">
            <v>-862287.77069427492</v>
          </cell>
          <cell r="I151">
            <v>-35683.09491416657</v>
          </cell>
          <cell r="J151">
            <v>2607733.2684557876</v>
          </cell>
          <cell r="K151">
            <v>0</v>
          </cell>
          <cell r="L151">
            <v>-137014.63498745495</v>
          </cell>
          <cell r="M151">
            <v>24588.25806129289</v>
          </cell>
          <cell r="N151">
            <v>926.91242532581816</v>
          </cell>
          <cell r="O151">
            <v>-418.30544363089109</v>
          </cell>
          <cell r="P151">
            <v>0</v>
          </cell>
          <cell r="Q151">
            <v>0</v>
          </cell>
          <cell r="R151">
            <v>0</v>
          </cell>
          <cell r="S151">
            <v>7117004.0357676493</v>
          </cell>
          <cell r="T151">
            <v>96910.160000000149</v>
          </cell>
          <cell r="U151">
            <v>13038666.342278937</v>
          </cell>
          <cell r="V151">
            <v>98353.032245171562</v>
          </cell>
          <cell r="W151">
            <v>0</v>
          </cell>
          <cell r="X151">
            <v>13233929.534524109</v>
          </cell>
          <cell r="Y151">
            <v>0</v>
          </cell>
          <cell r="Z151">
            <v>0</v>
          </cell>
          <cell r="AA151">
            <v>0</v>
          </cell>
          <cell r="AB151">
            <v>178415.47457083286</v>
          </cell>
          <cell r="AC151">
            <v>178415.47457083286</v>
          </cell>
          <cell r="AD151" t="str">
            <v>N/A</v>
          </cell>
          <cell r="AE151">
            <v>2616020</v>
          </cell>
          <cell r="AF151">
            <v>2616021</v>
          </cell>
          <cell r="AG151">
            <v>2616021</v>
          </cell>
          <cell r="AH151">
            <v>2616021</v>
          </cell>
          <cell r="AI151">
            <v>2591433</v>
          </cell>
          <cell r="AJ151">
            <v>0</v>
          </cell>
          <cell r="AK151">
            <v>13055516</v>
          </cell>
          <cell r="AL151">
            <v>59204762</v>
          </cell>
          <cell r="AM151">
            <v>7117004.0357676493</v>
          </cell>
          <cell r="AN151">
            <v>-1679024.1600000001</v>
          </cell>
          <cell r="AO151">
            <v>12958603.899953278</v>
          </cell>
          <cell r="AP151">
            <v>0</v>
          </cell>
          <cell r="AQ151">
            <v>96910.160000000149</v>
          </cell>
          <cell r="AR151">
            <v>0</v>
          </cell>
          <cell r="AS151">
            <v>0</v>
          </cell>
          <cell r="AT151">
            <v>77698255.935720921</v>
          </cell>
          <cell r="AU151">
            <v>1.7857236360827411E-3</v>
          </cell>
          <cell r="AV151">
            <v>0</v>
          </cell>
          <cell r="AW151">
            <v>0</v>
          </cell>
          <cell r="AY151">
            <v>0</v>
          </cell>
          <cell r="AZ151">
            <v>0</v>
          </cell>
          <cell r="BA151">
            <v>0</v>
          </cell>
          <cell r="BB151">
            <v>0</v>
          </cell>
          <cell r="BC151">
            <v>0</v>
          </cell>
          <cell r="BD151">
            <v>0</v>
          </cell>
          <cell r="BE151">
            <v>0</v>
          </cell>
          <cell r="BF151">
            <v>0</v>
          </cell>
          <cell r="BG151">
            <v>0</v>
          </cell>
          <cell r="BH151">
            <v>0</v>
          </cell>
          <cell r="BJ151">
            <v>0</v>
          </cell>
          <cell r="BL151">
            <v>0</v>
          </cell>
          <cell r="BM151">
            <v>0</v>
          </cell>
          <cell r="BN151">
            <v>0</v>
          </cell>
          <cell r="BO151">
            <v>0</v>
          </cell>
          <cell r="BQ151">
            <v>0</v>
          </cell>
          <cell r="BR151">
            <v>0</v>
          </cell>
          <cell r="BS151">
            <v>0</v>
          </cell>
          <cell r="BT151">
            <v>0</v>
          </cell>
          <cell r="CB151">
            <v>0</v>
          </cell>
          <cell r="CC151">
            <v>0</v>
          </cell>
          <cell r="CD151">
            <v>0</v>
          </cell>
          <cell r="CE151">
            <v>0</v>
          </cell>
          <cell r="CF151">
            <v>0</v>
          </cell>
          <cell r="CI151">
            <v>0</v>
          </cell>
          <cell r="CJ151">
            <v>0</v>
          </cell>
          <cell r="CK151">
            <v>0</v>
          </cell>
          <cell r="CV151">
            <v>1.7860272560133689E-3</v>
          </cell>
          <cell r="DG151">
            <v>77698256</v>
          </cell>
          <cell r="DR151">
            <v>29326717.320000004</v>
          </cell>
          <cell r="EC151">
            <v>2.6494017435429758</v>
          </cell>
          <cell r="EN151">
            <v>2.4095909012463064E-2</v>
          </cell>
        </row>
        <row r="152">
          <cell r="B152">
            <v>33500</v>
          </cell>
          <cell r="C152" t="str">
            <v>Franklin County Schools</v>
          </cell>
          <cell r="D152">
            <v>2.9704637198475579E-3</v>
          </cell>
          <cell r="E152">
            <v>5139594.8553913683</v>
          </cell>
          <cell r="F152">
            <v>4007459.9767466127</v>
          </cell>
          <cell r="G152">
            <v>596271</v>
          </cell>
          <cell r="H152">
            <v>-1434129.5914111184</v>
          </cell>
          <cell r="I152">
            <v>-59346.988405430755</v>
          </cell>
          <cell r="J152">
            <v>4337099.0218132632</v>
          </cell>
          <cell r="K152">
            <v>0</v>
          </cell>
          <cell r="L152">
            <v>-227878.382565593</v>
          </cell>
          <cell r="M152">
            <v>40894.408671203993</v>
          </cell>
          <cell r="N152">
            <v>1541.6112613264856</v>
          </cell>
          <cell r="O152">
            <v>-695.71230782549651</v>
          </cell>
          <cell r="P152">
            <v>0</v>
          </cell>
          <cell r="Q152">
            <v>0</v>
          </cell>
          <cell r="R152">
            <v>0</v>
          </cell>
          <cell r="S152">
            <v>12400810.199193807</v>
          </cell>
          <cell r="T152">
            <v>3054213</v>
          </cell>
          <cell r="U152">
            <v>21685495.109066315</v>
          </cell>
          <cell r="V152">
            <v>163577.63468481597</v>
          </cell>
          <cell r="W152">
            <v>0</v>
          </cell>
          <cell r="X152">
            <v>24903285.743751131</v>
          </cell>
          <cell r="Y152">
            <v>72861.060000000522</v>
          </cell>
          <cell r="Z152">
            <v>0</v>
          </cell>
          <cell r="AA152">
            <v>0</v>
          </cell>
          <cell r="AB152">
            <v>296734.94202715374</v>
          </cell>
          <cell r="AC152">
            <v>369596.00202715426</v>
          </cell>
          <cell r="AD152" t="str">
            <v>N/A</v>
          </cell>
          <cell r="AE152">
            <v>4914917</v>
          </cell>
          <cell r="AF152">
            <v>4914917</v>
          </cell>
          <cell r="AG152">
            <v>4914917</v>
          </cell>
          <cell r="AH152">
            <v>4914917</v>
          </cell>
          <cell r="AI152">
            <v>4874023</v>
          </cell>
          <cell r="AJ152">
            <v>0</v>
          </cell>
          <cell r="AK152">
            <v>24533691</v>
          </cell>
          <cell r="AL152">
            <v>94819163</v>
          </cell>
          <cell r="AM152">
            <v>12400810.199193807</v>
          </cell>
          <cell r="AN152">
            <v>-2528393.9399999995</v>
          </cell>
          <cell r="AO152">
            <v>21552337.801723979</v>
          </cell>
          <cell r="AP152">
            <v>0</v>
          </cell>
          <cell r="AQ152">
            <v>2981351.9399999995</v>
          </cell>
          <cell r="AR152">
            <v>0</v>
          </cell>
          <cell r="AS152">
            <v>0</v>
          </cell>
          <cell r="AT152">
            <v>129225269.00091779</v>
          </cell>
          <cell r="AU152">
            <v>2.8599189544238654E-3</v>
          </cell>
          <cell r="AV152">
            <v>0</v>
          </cell>
          <cell r="AW152">
            <v>0</v>
          </cell>
          <cell r="AY152">
            <v>0</v>
          </cell>
          <cell r="AZ152">
            <v>0</v>
          </cell>
          <cell r="BA152">
            <v>0</v>
          </cell>
          <cell r="BB152">
            <v>0</v>
          </cell>
          <cell r="BC152">
            <v>0</v>
          </cell>
          <cell r="BD152">
            <v>0</v>
          </cell>
          <cell r="BE152">
            <v>0</v>
          </cell>
          <cell r="BF152">
            <v>0</v>
          </cell>
          <cell r="BG152">
            <v>0</v>
          </cell>
          <cell r="BH152">
            <v>0</v>
          </cell>
          <cell r="BJ152">
            <v>0</v>
          </cell>
          <cell r="BL152">
            <v>0</v>
          </cell>
          <cell r="BM152">
            <v>0</v>
          </cell>
          <cell r="BN152">
            <v>0</v>
          </cell>
          <cell r="BO152">
            <v>0</v>
          </cell>
          <cell r="BQ152">
            <v>0</v>
          </cell>
          <cell r="BR152">
            <v>0</v>
          </cell>
          <cell r="BS152">
            <v>0</v>
          </cell>
          <cell r="BT152">
            <v>0</v>
          </cell>
          <cell r="CB152">
            <v>0</v>
          </cell>
          <cell r="CC152">
            <v>0</v>
          </cell>
          <cell r="CD152">
            <v>0</v>
          </cell>
          <cell r="CE152">
            <v>0</v>
          </cell>
          <cell r="CF152">
            <v>0</v>
          </cell>
          <cell r="CI152">
            <v>0</v>
          </cell>
          <cell r="CJ152">
            <v>0</v>
          </cell>
          <cell r="CK152">
            <v>0</v>
          </cell>
          <cell r="CV152">
            <v>2.9704637198475579E-3</v>
          </cell>
          <cell r="DG152">
            <v>129225268</v>
          </cell>
          <cell r="DR152">
            <v>43377886.109999992</v>
          </cell>
          <cell r="EC152">
            <v>2.9790586768636804</v>
          </cell>
          <cell r="EN152">
            <v>2.4095909012463064E-2</v>
          </cell>
        </row>
        <row r="153">
          <cell r="B153">
            <v>33501</v>
          </cell>
          <cell r="C153" t="str">
            <v>A Childs Garden Charter (AKA Cross Creek Charter)</v>
          </cell>
          <cell r="D153">
            <v>6.1684665278100188E-5</v>
          </cell>
          <cell r="E153">
            <v>106728.85388283155</v>
          </cell>
          <cell r="F153">
            <v>83218.935019911311</v>
          </cell>
          <cell r="G153">
            <v>14396</v>
          </cell>
          <cell r="H153">
            <v>-29781.142661507856</v>
          </cell>
          <cell r="I153">
            <v>-1232.3998743334789</v>
          </cell>
          <cell r="J153">
            <v>90064.221168894292</v>
          </cell>
          <cell r="K153">
            <v>0</v>
          </cell>
          <cell r="L153">
            <v>-4732.1236946111703</v>
          </cell>
          <cell r="M153">
            <v>849.21350621932925</v>
          </cell>
          <cell r="N153">
            <v>32.013107586028433</v>
          </cell>
          <cell r="O153">
            <v>-14.447165454783844</v>
          </cell>
          <cell r="P153">
            <v>0</v>
          </cell>
          <cell r="Q153">
            <v>0</v>
          </cell>
          <cell r="R153">
            <v>0</v>
          </cell>
          <cell r="S153">
            <v>259529.12328953523</v>
          </cell>
          <cell r="T153">
            <v>76357</v>
          </cell>
          <cell r="U153">
            <v>450321.10584447143</v>
          </cell>
          <cell r="V153">
            <v>3396.854024877317</v>
          </cell>
          <cell r="W153">
            <v>0</v>
          </cell>
          <cell r="X153">
            <v>530074.95986934868</v>
          </cell>
          <cell r="Y153">
            <v>4382.8700000000026</v>
          </cell>
          <cell r="Z153">
            <v>0</v>
          </cell>
          <cell r="AA153">
            <v>0</v>
          </cell>
          <cell r="AB153">
            <v>6161.9993716673944</v>
          </cell>
          <cell r="AC153">
            <v>10544.869371667397</v>
          </cell>
          <cell r="AD153" t="str">
            <v>N/A</v>
          </cell>
          <cell r="AE153">
            <v>104075</v>
          </cell>
          <cell r="AF153">
            <v>104077</v>
          </cell>
          <cell r="AG153">
            <v>104077</v>
          </cell>
          <cell r="AH153">
            <v>104077</v>
          </cell>
          <cell r="AI153">
            <v>103228</v>
          </cell>
          <cell r="AJ153">
            <v>0</v>
          </cell>
          <cell r="AK153">
            <v>519534</v>
          </cell>
          <cell r="AL153">
            <v>1953495</v>
          </cell>
          <cell r="AM153">
            <v>259529.12328953523</v>
          </cell>
          <cell r="AN153">
            <v>-49061.13</v>
          </cell>
          <cell r="AO153">
            <v>447555.9604976814</v>
          </cell>
          <cell r="AP153">
            <v>0</v>
          </cell>
          <cell r="AQ153">
            <v>71974.13</v>
          </cell>
          <cell r="AR153">
            <v>0</v>
          </cell>
          <cell r="AS153">
            <v>0</v>
          </cell>
          <cell r="AT153">
            <v>2683493.0837872168</v>
          </cell>
          <cell r="AU153">
            <v>5.8920963816648025E-5</v>
          </cell>
          <cell r="AV153">
            <v>0</v>
          </cell>
          <cell r="AW153">
            <v>0</v>
          </cell>
          <cell r="AY153">
            <v>0</v>
          </cell>
          <cell r="AZ153">
            <v>0</v>
          </cell>
          <cell r="BA153">
            <v>0</v>
          </cell>
          <cell r="BB153">
            <v>0</v>
          </cell>
          <cell r="BC153">
            <v>0</v>
          </cell>
          <cell r="BD153">
            <v>0</v>
          </cell>
          <cell r="BE153">
            <v>0</v>
          </cell>
          <cell r="BF153">
            <v>0</v>
          </cell>
          <cell r="BG153">
            <v>0</v>
          </cell>
          <cell r="BH153">
            <v>0</v>
          </cell>
          <cell r="BJ153">
            <v>0</v>
          </cell>
          <cell r="BL153">
            <v>0</v>
          </cell>
          <cell r="BM153">
            <v>0</v>
          </cell>
          <cell r="BN153">
            <v>0</v>
          </cell>
          <cell r="BO153">
            <v>0</v>
          </cell>
          <cell r="BQ153">
            <v>0</v>
          </cell>
          <cell r="BR153">
            <v>0</v>
          </cell>
          <cell r="BS153">
            <v>0</v>
          </cell>
          <cell r="BT153">
            <v>0</v>
          </cell>
          <cell r="CB153">
            <v>0</v>
          </cell>
          <cell r="CC153">
            <v>0</v>
          </cell>
          <cell r="CD153">
            <v>0</v>
          </cell>
          <cell r="CE153">
            <v>0</v>
          </cell>
          <cell r="CF153">
            <v>0</v>
          </cell>
          <cell r="CI153">
            <v>0</v>
          </cell>
          <cell r="CJ153">
            <v>0</v>
          </cell>
          <cell r="CK153">
            <v>0</v>
          </cell>
          <cell r="CV153">
            <v>6.1684665278100188E-5</v>
          </cell>
          <cell r="DG153">
            <v>2683493</v>
          </cell>
          <cell r="DR153">
            <v>814819.99</v>
          </cell>
          <cell r="EC153">
            <v>3.2933568554202997</v>
          </cell>
          <cell r="EN153">
            <v>2.4095909012463064E-2</v>
          </cell>
        </row>
        <row r="154">
          <cell r="B154">
            <v>33600</v>
          </cell>
          <cell r="C154" t="str">
            <v>Gaston County Schools</v>
          </cell>
          <cell r="D154">
            <v>9.4147007227892501E-3</v>
          </cell>
          <cell r="E154">
            <v>16289627.466778236</v>
          </cell>
          <cell r="F154">
            <v>12701396.111163935</v>
          </cell>
          <cell r="G154">
            <v>1617097</v>
          </cell>
          <cell r="H154">
            <v>-4545384.8874224313</v>
          </cell>
          <cell r="I154">
            <v>-188096.60286463556</v>
          </cell>
          <cell r="J154">
            <v>13746166.641472859</v>
          </cell>
          <cell r="K154">
            <v>0</v>
          </cell>
          <cell r="L154">
            <v>-722246.41516861704</v>
          </cell>
          <cell r="M154">
            <v>129612.29464017207</v>
          </cell>
          <cell r="N154">
            <v>4886.0413811131648</v>
          </cell>
          <cell r="O154">
            <v>-2205.0170562844701</v>
          </cell>
          <cell r="P154">
            <v>0</v>
          </cell>
          <cell r="Q154">
            <v>0</v>
          </cell>
          <cell r="R154">
            <v>0</v>
          </cell>
          <cell r="S154">
            <v>39030852.632924341</v>
          </cell>
          <cell r="T154">
            <v>8281272</v>
          </cell>
          <cell r="U154">
            <v>68730833.207364291</v>
          </cell>
          <cell r="V154">
            <v>518449.17856068828</v>
          </cell>
          <cell r="W154">
            <v>0</v>
          </cell>
          <cell r="X154">
            <v>77530554.38592498</v>
          </cell>
          <cell r="Y154">
            <v>195786.12000000011</v>
          </cell>
          <cell r="Z154">
            <v>0</v>
          </cell>
          <cell r="AA154">
            <v>0</v>
          </cell>
          <cell r="AB154">
            <v>940483.01432317775</v>
          </cell>
          <cell r="AC154">
            <v>1136269.1343231779</v>
          </cell>
          <cell r="AD154" t="str">
            <v>N/A</v>
          </cell>
          <cell r="AE154">
            <v>15304779</v>
          </cell>
          <cell r="AF154">
            <v>15304780</v>
          </cell>
          <cell r="AG154">
            <v>15304780</v>
          </cell>
          <cell r="AH154">
            <v>15304780</v>
          </cell>
          <cell r="AI154">
            <v>15175168</v>
          </cell>
          <cell r="AJ154">
            <v>0</v>
          </cell>
          <cell r="AK154">
            <v>76394287</v>
          </cell>
          <cell r="AL154">
            <v>302202104</v>
          </cell>
          <cell r="AM154">
            <v>39030852.632924341</v>
          </cell>
          <cell r="AN154">
            <v>-8055759.8799999999</v>
          </cell>
          <cell r="AO154">
            <v>68308799.371601805</v>
          </cell>
          <cell r="AP154">
            <v>0</v>
          </cell>
          <cell r="AQ154">
            <v>8085485.8799999999</v>
          </cell>
          <cell r="AR154">
            <v>0</v>
          </cell>
          <cell r="AS154">
            <v>0</v>
          </cell>
          <cell r="AT154">
            <v>409571482.00452614</v>
          </cell>
          <cell r="AU154">
            <v>9.1149668153587826E-3</v>
          </cell>
          <cell r="AV154">
            <v>0</v>
          </cell>
          <cell r="AW154">
            <v>0</v>
          </cell>
          <cell r="AY154">
            <v>0</v>
          </cell>
          <cell r="AZ154">
            <v>0</v>
          </cell>
          <cell r="BA154">
            <v>0</v>
          </cell>
          <cell r="BB154">
            <v>0</v>
          </cell>
          <cell r="BC154">
            <v>0</v>
          </cell>
          <cell r="BD154">
            <v>0</v>
          </cell>
          <cell r="BE154">
            <v>0</v>
          </cell>
          <cell r="BF154">
            <v>0</v>
          </cell>
          <cell r="BG154">
            <v>0</v>
          </cell>
          <cell r="BH154">
            <v>0</v>
          </cell>
          <cell r="BJ154">
            <v>0</v>
          </cell>
          <cell r="BL154">
            <v>0</v>
          </cell>
          <cell r="BM154">
            <v>0</v>
          </cell>
          <cell r="BN154">
            <v>0</v>
          </cell>
          <cell r="BO154">
            <v>0</v>
          </cell>
          <cell r="BQ154">
            <v>0</v>
          </cell>
          <cell r="BR154">
            <v>0</v>
          </cell>
          <cell r="BS154">
            <v>0</v>
          </cell>
          <cell r="BT154">
            <v>0</v>
          </cell>
          <cell r="CB154">
            <v>0</v>
          </cell>
          <cell r="CC154">
            <v>0</v>
          </cell>
          <cell r="CD154">
            <v>0</v>
          </cell>
          <cell r="CE154">
            <v>0</v>
          </cell>
          <cell r="CF154">
            <v>0</v>
          </cell>
          <cell r="CI154">
            <v>0</v>
          </cell>
          <cell r="CJ154">
            <v>0</v>
          </cell>
          <cell r="CK154">
            <v>0</v>
          </cell>
          <cell r="CV154">
            <v>9.4147007227892501E-3</v>
          </cell>
          <cell r="DG154">
            <v>409571482</v>
          </cell>
          <cell r="DR154">
            <v>138243699.03999978</v>
          </cell>
          <cell r="EC154">
            <v>2.9626773939367288</v>
          </cell>
          <cell r="EN154">
            <v>2.4095909012463064E-2</v>
          </cell>
        </row>
        <row r="155">
          <cell r="B155">
            <v>33605</v>
          </cell>
          <cell r="C155" t="str">
            <v>Gaston College</v>
          </cell>
          <cell r="D155">
            <v>1.2534016746131289E-3</v>
          </cell>
          <cell r="E155">
            <v>2168677.1514957808</v>
          </cell>
          <cell r="F155">
            <v>1690967.3099986792</v>
          </cell>
          <cell r="G155">
            <v>48046</v>
          </cell>
          <cell r="H155">
            <v>-605137.98551937437</v>
          </cell>
          <cell r="I155">
            <v>-25041.751613929919</v>
          </cell>
          <cell r="J155">
            <v>1830060.1150525704</v>
          </cell>
          <cell r="K155">
            <v>0</v>
          </cell>
          <cell r="L155">
            <v>-96154.396502948541</v>
          </cell>
          <cell r="M155">
            <v>17255.595470942571</v>
          </cell>
          <cell r="N155">
            <v>650.49040109072166</v>
          </cell>
          <cell r="O155">
            <v>-293.55920621114092</v>
          </cell>
          <cell r="P155">
            <v>0</v>
          </cell>
          <cell r="Q155">
            <v>0</v>
          </cell>
          <cell r="R155">
            <v>0</v>
          </cell>
          <cell r="S155">
            <v>5029028.9695766</v>
          </cell>
          <cell r="T155">
            <v>240228.45999999996</v>
          </cell>
          <cell r="U155">
            <v>9150300.575262852</v>
          </cell>
          <cell r="V155">
            <v>69022.381883770286</v>
          </cell>
          <cell r="W155">
            <v>0</v>
          </cell>
          <cell r="X155">
            <v>9459551.4171466231</v>
          </cell>
          <cell r="Y155">
            <v>0</v>
          </cell>
          <cell r="Z155">
            <v>0</v>
          </cell>
          <cell r="AA155">
            <v>0</v>
          </cell>
          <cell r="AB155">
            <v>125208.75806964959</v>
          </cell>
          <cell r="AC155">
            <v>125208.75806964959</v>
          </cell>
          <cell r="AD155" t="str">
            <v>N/A</v>
          </cell>
          <cell r="AE155">
            <v>1870320</v>
          </cell>
          <cell r="AF155">
            <v>1870320</v>
          </cell>
          <cell r="AG155">
            <v>1870320</v>
          </cell>
          <cell r="AH155">
            <v>1870320</v>
          </cell>
          <cell r="AI155">
            <v>1853064</v>
          </cell>
          <cell r="AJ155">
            <v>0</v>
          </cell>
          <cell r="AK155">
            <v>9334344</v>
          </cell>
          <cell r="AL155">
            <v>41442769</v>
          </cell>
          <cell r="AM155">
            <v>5029028.9695766</v>
          </cell>
          <cell r="AN155">
            <v>-1278907.46</v>
          </cell>
          <cell r="AO155">
            <v>9094114.1990769729</v>
          </cell>
          <cell r="AP155">
            <v>0</v>
          </cell>
          <cell r="AQ155">
            <v>240228.45999999996</v>
          </cell>
          <cell r="AR155">
            <v>0</v>
          </cell>
          <cell r="AS155">
            <v>0</v>
          </cell>
          <cell r="AT155">
            <v>54527233.16865357</v>
          </cell>
          <cell r="AU155">
            <v>1.2499895237390113E-3</v>
          </cell>
          <cell r="AV155">
            <v>0</v>
          </cell>
          <cell r="AW155">
            <v>0</v>
          </cell>
          <cell r="AY155">
            <v>0</v>
          </cell>
          <cell r="AZ155">
            <v>0</v>
          </cell>
          <cell r="BA155">
            <v>0</v>
          </cell>
          <cell r="BB155">
            <v>0</v>
          </cell>
          <cell r="BC155">
            <v>0</v>
          </cell>
          <cell r="BD155">
            <v>0</v>
          </cell>
          <cell r="BE155">
            <v>0</v>
          </cell>
          <cell r="BF155">
            <v>0</v>
          </cell>
          <cell r="BG155">
            <v>0</v>
          </cell>
          <cell r="BH155">
            <v>0</v>
          </cell>
          <cell r="BJ155">
            <v>0</v>
          </cell>
          <cell r="BL155">
            <v>0</v>
          </cell>
          <cell r="BM155">
            <v>0</v>
          </cell>
          <cell r="BN155">
            <v>0</v>
          </cell>
          <cell r="BO155">
            <v>0</v>
          </cell>
          <cell r="BQ155">
            <v>0</v>
          </cell>
          <cell r="BR155">
            <v>0</v>
          </cell>
          <cell r="BS155">
            <v>0</v>
          </cell>
          <cell r="BT155">
            <v>0</v>
          </cell>
          <cell r="CB155">
            <v>0</v>
          </cell>
          <cell r="CC155">
            <v>0</v>
          </cell>
          <cell r="CD155">
            <v>0</v>
          </cell>
          <cell r="CE155">
            <v>0</v>
          </cell>
          <cell r="CF155">
            <v>0</v>
          </cell>
          <cell r="CI155">
            <v>0</v>
          </cell>
          <cell r="CJ155">
            <v>0</v>
          </cell>
          <cell r="CK155">
            <v>0</v>
          </cell>
          <cell r="CV155">
            <v>1.2534016746131289E-3</v>
          </cell>
          <cell r="DG155">
            <v>54527233</v>
          </cell>
          <cell r="DR155">
            <v>21891172.329999983</v>
          </cell>
          <cell r="EC155">
            <v>2.4908320202328809</v>
          </cell>
          <cell r="EN155">
            <v>2.4095909012463064E-2</v>
          </cell>
        </row>
        <row r="156">
          <cell r="B156">
            <v>33700</v>
          </cell>
          <cell r="C156" t="str">
            <v>Gates County Schools</v>
          </cell>
          <cell r="D156">
            <v>6.6795511279260232E-4</v>
          </cell>
          <cell r="E156">
            <v>1155718.0915568967</v>
          </cell>
          <cell r="F156">
            <v>901139.90044523915</v>
          </cell>
          <cell r="G156">
            <v>-246088</v>
          </cell>
          <cell r="H156">
            <v>-322486.41402002476</v>
          </cell>
          <cell r="I156">
            <v>-13345.096278868243</v>
          </cell>
          <cell r="J156">
            <v>975264.38278015214</v>
          </cell>
          <cell r="K156">
            <v>0</v>
          </cell>
          <cell r="L156">
            <v>-51242.009694502478</v>
          </cell>
          <cell r="M156">
            <v>9195.7458271743017</v>
          </cell>
          <cell r="N156">
            <v>346.65534443710476</v>
          </cell>
          <cell r="O156">
            <v>-156.44176696715539</v>
          </cell>
          <cell r="P156">
            <v>0</v>
          </cell>
          <cell r="Q156">
            <v>0</v>
          </cell>
          <cell r="R156">
            <v>0</v>
          </cell>
          <cell r="S156">
            <v>2408346.8141935365</v>
          </cell>
          <cell r="T156">
            <v>0</v>
          </cell>
          <cell r="U156">
            <v>4876321.9139007609</v>
          </cell>
          <cell r="V156">
            <v>36782.983308697207</v>
          </cell>
          <cell r="W156">
            <v>0</v>
          </cell>
          <cell r="X156">
            <v>4913104.8972094581</v>
          </cell>
          <cell r="Y156">
            <v>1230442.92</v>
          </cell>
          <cell r="Z156">
            <v>0</v>
          </cell>
          <cell r="AA156">
            <v>0</v>
          </cell>
          <cell r="AB156">
            <v>66725.481394341215</v>
          </cell>
          <cell r="AC156">
            <v>1297168.4013943411</v>
          </cell>
          <cell r="AD156" t="str">
            <v>N/A</v>
          </cell>
          <cell r="AE156">
            <v>725027</v>
          </cell>
          <cell r="AF156">
            <v>725027</v>
          </cell>
          <cell r="AG156">
            <v>725027</v>
          </cell>
          <cell r="AH156">
            <v>725027</v>
          </cell>
          <cell r="AI156">
            <v>715831</v>
          </cell>
          <cell r="AJ156">
            <v>0</v>
          </cell>
          <cell r="AK156">
            <v>3615939</v>
          </cell>
          <cell r="AL156">
            <v>23615834</v>
          </cell>
          <cell r="AM156">
            <v>2408346.8141935365</v>
          </cell>
          <cell r="AN156">
            <v>-581800.07999999996</v>
          </cell>
          <cell r="AO156">
            <v>4846379.4158151178</v>
          </cell>
          <cell r="AP156">
            <v>0</v>
          </cell>
          <cell r="AQ156">
            <v>-1230442.92</v>
          </cell>
          <cell r="AR156">
            <v>0</v>
          </cell>
          <cell r="AS156">
            <v>0</v>
          </cell>
          <cell r="AT156">
            <v>29058317.230008654</v>
          </cell>
          <cell r="AU156">
            <v>7.1229664502386436E-4</v>
          </cell>
          <cell r="AV156">
            <v>0</v>
          </cell>
          <cell r="AW156">
            <v>0</v>
          </cell>
          <cell r="AY156">
            <v>0</v>
          </cell>
          <cell r="AZ156">
            <v>0</v>
          </cell>
          <cell r="BA156">
            <v>0</v>
          </cell>
          <cell r="BB156">
            <v>0</v>
          </cell>
          <cell r="BC156">
            <v>0</v>
          </cell>
          <cell r="BD156">
            <v>0</v>
          </cell>
          <cell r="BE156">
            <v>0</v>
          </cell>
          <cell r="BF156">
            <v>0</v>
          </cell>
          <cell r="BG156">
            <v>0</v>
          </cell>
          <cell r="BH156">
            <v>0</v>
          </cell>
          <cell r="BJ156">
            <v>0</v>
          </cell>
          <cell r="BL156">
            <v>0</v>
          </cell>
          <cell r="BM156">
            <v>0</v>
          </cell>
          <cell r="BN156">
            <v>0</v>
          </cell>
          <cell r="BO156">
            <v>0</v>
          </cell>
          <cell r="BQ156">
            <v>0</v>
          </cell>
          <cell r="BR156">
            <v>0</v>
          </cell>
          <cell r="BS156">
            <v>0</v>
          </cell>
          <cell r="BT156">
            <v>0</v>
          </cell>
          <cell r="CB156">
            <v>0</v>
          </cell>
          <cell r="CC156">
            <v>0</v>
          </cell>
          <cell r="CD156">
            <v>0</v>
          </cell>
          <cell r="CE156">
            <v>0</v>
          </cell>
          <cell r="CF156">
            <v>0</v>
          </cell>
          <cell r="CI156">
            <v>0</v>
          </cell>
          <cell r="CJ156">
            <v>0</v>
          </cell>
          <cell r="CK156">
            <v>0</v>
          </cell>
          <cell r="CV156">
            <v>6.6795511279260232E-4</v>
          </cell>
          <cell r="DG156">
            <v>29058318</v>
          </cell>
          <cell r="DR156">
            <v>10624542.059999999</v>
          </cell>
          <cell r="EC156">
            <v>2.7350183975835289</v>
          </cell>
          <cell r="EN156">
            <v>2.4095909012463064E-2</v>
          </cell>
        </row>
        <row r="157">
          <cell r="B157">
            <v>33800</v>
          </cell>
          <cell r="C157" t="str">
            <v>Graham County Schools</v>
          </cell>
          <cell r="D157">
            <v>5.0504283975162081E-4</v>
          </cell>
          <cell r="E157">
            <v>873841.87310420605</v>
          </cell>
          <cell r="F157">
            <v>681354.54855881585</v>
          </cell>
          <cell r="G157">
            <v>34712</v>
          </cell>
          <cell r="H157">
            <v>-243832.93307998165</v>
          </cell>
          <cell r="I157">
            <v>-10090.266834339065</v>
          </cell>
          <cell r="J157">
            <v>737400.28926290281</v>
          </cell>
          <cell r="K157">
            <v>0</v>
          </cell>
          <cell r="L157">
            <v>-38744.235346136324</v>
          </cell>
          <cell r="M157">
            <v>6952.9306644176386</v>
          </cell>
          <cell r="N157">
            <v>262.10713297429618</v>
          </cell>
          <cell r="O157">
            <v>-118.28608349822711</v>
          </cell>
          <cell r="P157">
            <v>0</v>
          </cell>
          <cell r="Q157">
            <v>0</v>
          </cell>
          <cell r="R157">
            <v>0</v>
          </cell>
          <cell r="S157">
            <v>2041738.027379361</v>
          </cell>
          <cell r="T157">
            <v>173558.58999999997</v>
          </cell>
          <cell r="U157">
            <v>3687001.4463145137</v>
          </cell>
          <cell r="V157">
            <v>27811.722657670554</v>
          </cell>
          <cell r="W157">
            <v>0</v>
          </cell>
          <cell r="X157">
            <v>3888371.7589721843</v>
          </cell>
          <cell r="Y157">
            <v>0</v>
          </cell>
          <cell r="Z157">
            <v>0</v>
          </cell>
          <cell r="AA157">
            <v>0</v>
          </cell>
          <cell r="AB157">
            <v>50451.334171695329</v>
          </cell>
          <cell r="AC157">
            <v>50451.334171695329</v>
          </cell>
          <cell r="AD157" t="str">
            <v>N/A</v>
          </cell>
          <cell r="AE157">
            <v>768975</v>
          </cell>
          <cell r="AF157">
            <v>768975</v>
          </cell>
          <cell r="AG157">
            <v>768975</v>
          </cell>
          <cell r="AH157">
            <v>768975</v>
          </cell>
          <cell r="AI157">
            <v>762022</v>
          </cell>
          <cell r="AJ157">
            <v>0</v>
          </cell>
          <cell r="AK157">
            <v>3837922</v>
          </cell>
          <cell r="AL157">
            <v>16539444</v>
          </cell>
          <cell r="AM157">
            <v>2041738.027379361</v>
          </cell>
          <cell r="AN157">
            <v>-448022.58999999997</v>
          </cell>
          <cell r="AO157">
            <v>3664361.8348004892</v>
          </cell>
          <cell r="AP157">
            <v>0</v>
          </cell>
          <cell r="AQ157">
            <v>173558.58999999997</v>
          </cell>
          <cell r="AR157">
            <v>0</v>
          </cell>
          <cell r="AS157">
            <v>0</v>
          </cell>
          <cell r="AT157">
            <v>21971079.862179849</v>
          </cell>
          <cell r="AU157">
            <v>4.9885979553380099E-4</v>
          </cell>
          <cell r="AV157">
            <v>0</v>
          </cell>
          <cell r="AW157">
            <v>0</v>
          </cell>
          <cell r="AY157">
            <v>0</v>
          </cell>
          <cell r="AZ157">
            <v>0</v>
          </cell>
          <cell r="BA157">
            <v>0</v>
          </cell>
          <cell r="BB157">
            <v>0</v>
          </cell>
          <cell r="BC157">
            <v>0</v>
          </cell>
          <cell r="BD157">
            <v>0</v>
          </cell>
          <cell r="BE157">
            <v>0</v>
          </cell>
          <cell r="BF157">
            <v>0</v>
          </cell>
          <cell r="BG157">
            <v>0</v>
          </cell>
          <cell r="BH157">
            <v>0</v>
          </cell>
          <cell r="BJ157">
            <v>0</v>
          </cell>
          <cell r="BL157">
            <v>0</v>
          </cell>
          <cell r="BM157">
            <v>0</v>
          </cell>
          <cell r="BN157">
            <v>0</v>
          </cell>
          <cell r="BO157">
            <v>0</v>
          </cell>
          <cell r="BQ157">
            <v>0</v>
          </cell>
          <cell r="BR157">
            <v>0</v>
          </cell>
          <cell r="BS157">
            <v>0</v>
          </cell>
          <cell r="BT157">
            <v>0</v>
          </cell>
          <cell r="CB157">
            <v>0</v>
          </cell>
          <cell r="CC157">
            <v>0</v>
          </cell>
          <cell r="CD157">
            <v>0</v>
          </cell>
          <cell r="CE157">
            <v>0</v>
          </cell>
          <cell r="CF157">
            <v>0</v>
          </cell>
          <cell r="CI157">
            <v>0</v>
          </cell>
          <cell r="CJ157">
            <v>0</v>
          </cell>
          <cell r="CK157">
            <v>0</v>
          </cell>
          <cell r="CV157">
            <v>5.0504283975162081E-4</v>
          </cell>
          <cell r="DG157">
            <v>21971080</v>
          </cell>
          <cell r="DR157">
            <v>7657986.129999998</v>
          </cell>
          <cell r="EC157">
            <v>2.8690414982509256</v>
          </cell>
          <cell r="EN157">
            <v>2.4095909012463064E-2</v>
          </cell>
        </row>
        <row r="158">
          <cell r="B158">
            <v>33900</v>
          </cell>
          <cell r="C158" t="str">
            <v>Granville County Schools And Oxford Orphanage</v>
          </cell>
          <cell r="D158">
            <v>2.6348934399150169E-3</v>
          </cell>
          <cell r="E158">
            <v>4558980.0265214704</v>
          </cell>
          <cell r="F158">
            <v>3554741.2792483214</v>
          </cell>
          <cell r="G158">
            <v>150072</v>
          </cell>
          <cell r="H158">
            <v>-1272117.4229965294</v>
          </cell>
          <cell r="I158">
            <v>-52642.619192200407</v>
          </cell>
          <cell r="J158">
            <v>3847141.3350317138</v>
          </cell>
          <cell r="K158">
            <v>0</v>
          </cell>
          <cell r="L158">
            <v>-202135.19232995025</v>
          </cell>
          <cell r="M158">
            <v>36274.60871411988</v>
          </cell>
          <cell r="N158">
            <v>1367.4569974470955</v>
          </cell>
          <cell r="O158">
            <v>-617.11839256249607</v>
          </cell>
          <cell r="P158">
            <v>0</v>
          </cell>
          <cell r="Q158">
            <v>0</v>
          </cell>
          <cell r="R158">
            <v>0</v>
          </cell>
          <cell r="S158">
            <v>10621064.35360183</v>
          </cell>
          <cell r="T158">
            <v>750361.99000000022</v>
          </cell>
          <cell r="U158">
            <v>19235706.675158568</v>
          </cell>
          <cell r="V158">
            <v>145098.43485647952</v>
          </cell>
          <cell r="W158">
            <v>0</v>
          </cell>
          <cell r="X158">
            <v>20131167.100015048</v>
          </cell>
          <cell r="Y158">
            <v>0</v>
          </cell>
          <cell r="Z158">
            <v>0</v>
          </cell>
          <cell r="AA158">
            <v>0</v>
          </cell>
          <cell r="AB158">
            <v>263213.09596100199</v>
          </cell>
          <cell r="AC158">
            <v>263213.09596100199</v>
          </cell>
          <cell r="AD158" t="str">
            <v>N/A</v>
          </cell>
          <cell r="AE158">
            <v>3980845</v>
          </cell>
          <cell r="AF158">
            <v>3980845</v>
          </cell>
          <cell r="AG158">
            <v>3980845</v>
          </cell>
          <cell r="AH158">
            <v>3980845</v>
          </cell>
          <cell r="AI158">
            <v>3944571</v>
          </cell>
          <cell r="AJ158">
            <v>0</v>
          </cell>
          <cell r="AK158">
            <v>19867951</v>
          </cell>
          <cell r="AL158">
            <v>86459269</v>
          </cell>
          <cell r="AM158">
            <v>10621064.35360183</v>
          </cell>
          <cell r="AN158">
            <v>-2321466.9900000002</v>
          </cell>
          <cell r="AO158">
            <v>19117592.014054049</v>
          </cell>
          <cell r="AP158">
            <v>0</v>
          </cell>
          <cell r="AQ158">
            <v>750361.99000000022</v>
          </cell>
          <cell r="AR158">
            <v>0</v>
          </cell>
          <cell r="AS158">
            <v>0</v>
          </cell>
          <cell r="AT158">
            <v>114626820.36765587</v>
          </cell>
          <cell r="AU158">
            <v>2.6077692770783891E-3</v>
          </cell>
          <cell r="AV158">
            <v>0</v>
          </cell>
          <cell r="AW158">
            <v>0</v>
          </cell>
          <cell r="AY158">
            <v>0</v>
          </cell>
          <cell r="AZ158">
            <v>0</v>
          </cell>
          <cell r="BA158">
            <v>0</v>
          </cell>
          <cell r="BB158">
            <v>0</v>
          </cell>
          <cell r="BC158">
            <v>0</v>
          </cell>
          <cell r="BD158">
            <v>0</v>
          </cell>
          <cell r="BE158">
            <v>0</v>
          </cell>
          <cell r="BF158">
            <v>0</v>
          </cell>
          <cell r="BG158">
            <v>0</v>
          </cell>
          <cell r="BH158">
            <v>0</v>
          </cell>
          <cell r="BJ158">
            <v>0</v>
          </cell>
          <cell r="BL158">
            <v>0</v>
          </cell>
          <cell r="BM158">
            <v>0</v>
          </cell>
          <cell r="BN158">
            <v>0</v>
          </cell>
          <cell r="BO158">
            <v>0</v>
          </cell>
          <cell r="BQ158">
            <v>0</v>
          </cell>
          <cell r="BR158">
            <v>0</v>
          </cell>
          <cell r="BS158">
            <v>0</v>
          </cell>
          <cell r="BT158">
            <v>0</v>
          </cell>
          <cell r="CB158">
            <v>0</v>
          </cell>
          <cell r="CC158">
            <v>0</v>
          </cell>
          <cell r="CD158">
            <v>0</v>
          </cell>
          <cell r="CE158">
            <v>0</v>
          </cell>
          <cell r="CF158">
            <v>0</v>
          </cell>
          <cell r="CI158">
            <v>0</v>
          </cell>
          <cell r="CJ158">
            <v>0</v>
          </cell>
          <cell r="CK158">
            <v>0</v>
          </cell>
          <cell r="CV158">
            <v>2.6348934399150169E-3</v>
          </cell>
          <cell r="DG158">
            <v>114626821</v>
          </cell>
          <cell r="DR158">
            <v>40592529.850000031</v>
          </cell>
          <cell r="EC158">
            <v>2.823840283509699</v>
          </cell>
          <cell r="EN158">
            <v>2.4095909012463064E-2</v>
          </cell>
        </row>
        <row r="159">
          <cell r="B159">
            <v>34000</v>
          </cell>
          <cell r="C159" t="str">
            <v>Greene County Schools</v>
          </cell>
          <cell r="D159">
            <v>1.1494173860556655E-3</v>
          </cell>
          <cell r="E159">
            <v>1988760.0863787907</v>
          </cell>
          <cell r="F159">
            <v>1550681.8482304772</v>
          </cell>
          <cell r="G159">
            <v>-229834</v>
          </cell>
          <cell r="H159">
            <v>-554934.73130499735</v>
          </cell>
          <cell r="I159">
            <v>-22964.246231139568</v>
          </cell>
          <cell r="J159">
            <v>1678235.282729869</v>
          </cell>
          <cell r="K159">
            <v>0</v>
          </cell>
          <cell r="L159">
            <v>-88177.2677703597</v>
          </cell>
          <cell r="M159">
            <v>15824.042557759192</v>
          </cell>
          <cell r="N159">
            <v>596.52463501516934</v>
          </cell>
          <cell r="O159">
            <v>-269.20504598809742</v>
          </cell>
          <cell r="P159">
            <v>0</v>
          </cell>
          <cell r="Q159">
            <v>0</v>
          </cell>
          <cell r="R159">
            <v>0</v>
          </cell>
          <cell r="S159">
            <v>4337918.3341794265</v>
          </cell>
          <cell r="T159">
            <v>0</v>
          </cell>
          <cell r="U159">
            <v>8391176.4136493448</v>
          </cell>
          <cell r="V159">
            <v>63296.170231036769</v>
          </cell>
          <cell r="W159">
            <v>0</v>
          </cell>
          <cell r="X159">
            <v>8454472.5838803817</v>
          </cell>
          <cell r="Y159">
            <v>1149172.21</v>
          </cell>
          <cell r="Z159">
            <v>0</v>
          </cell>
          <cell r="AA159">
            <v>0</v>
          </cell>
          <cell r="AB159">
            <v>114821.23115569784</v>
          </cell>
          <cell r="AC159">
            <v>1263993.4411556977</v>
          </cell>
          <cell r="AD159" t="str">
            <v>N/A</v>
          </cell>
          <cell r="AE159">
            <v>1441261</v>
          </cell>
          <cell r="AF159">
            <v>1441260</v>
          </cell>
          <cell r="AG159">
            <v>1441260</v>
          </cell>
          <cell r="AH159">
            <v>1441260</v>
          </cell>
          <cell r="AI159">
            <v>1425436</v>
          </cell>
          <cell r="AJ159">
            <v>0</v>
          </cell>
          <cell r="AK159">
            <v>7190477</v>
          </cell>
          <cell r="AL159">
            <v>39436879</v>
          </cell>
          <cell r="AM159">
            <v>4337918.3341794265</v>
          </cell>
          <cell r="AN159">
            <v>-961712.79</v>
          </cell>
          <cell r="AO159">
            <v>8339651.3527246853</v>
          </cell>
          <cell r="AP159">
            <v>0</v>
          </cell>
          <cell r="AQ159">
            <v>-1149172.21</v>
          </cell>
          <cell r="AR159">
            <v>0</v>
          </cell>
          <cell r="AS159">
            <v>0</v>
          </cell>
          <cell r="AT159">
            <v>50003563.68690411</v>
          </cell>
          <cell r="AU159">
            <v>1.1894882282020263E-3</v>
          </cell>
          <cell r="AV159">
            <v>0</v>
          </cell>
          <cell r="AW159">
            <v>0</v>
          </cell>
          <cell r="AY159">
            <v>0</v>
          </cell>
          <cell r="AZ159">
            <v>0</v>
          </cell>
          <cell r="BA159">
            <v>0</v>
          </cell>
          <cell r="BB159">
            <v>0</v>
          </cell>
          <cell r="BC159">
            <v>0</v>
          </cell>
          <cell r="BD159">
            <v>0</v>
          </cell>
          <cell r="BE159">
            <v>0</v>
          </cell>
          <cell r="BF159">
            <v>0</v>
          </cell>
          <cell r="BG159">
            <v>0</v>
          </cell>
          <cell r="BH159">
            <v>0</v>
          </cell>
          <cell r="BJ159">
            <v>0</v>
          </cell>
          <cell r="BL159">
            <v>0</v>
          </cell>
          <cell r="BM159">
            <v>0</v>
          </cell>
          <cell r="BN159">
            <v>0</v>
          </cell>
          <cell r="BO159">
            <v>0</v>
          </cell>
          <cell r="BQ159">
            <v>0</v>
          </cell>
          <cell r="BR159">
            <v>0</v>
          </cell>
          <cell r="BS159">
            <v>0</v>
          </cell>
          <cell r="BT159">
            <v>0</v>
          </cell>
          <cell r="CB159">
            <v>0</v>
          </cell>
          <cell r="CC159">
            <v>0</v>
          </cell>
          <cell r="CD159">
            <v>0</v>
          </cell>
          <cell r="CE159">
            <v>0</v>
          </cell>
          <cell r="CF159">
            <v>0</v>
          </cell>
          <cell r="CI159">
            <v>0</v>
          </cell>
          <cell r="CJ159">
            <v>0</v>
          </cell>
          <cell r="CK159">
            <v>0</v>
          </cell>
          <cell r="CV159">
            <v>1.1494173860556655E-3</v>
          </cell>
          <cell r="DG159">
            <v>50003563</v>
          </cell>
          <cell r="DR159">
            <v>16688110.669999991</v>
          </cell>
          <cell r="EC159">
            <v>2.9963585446428507</v>
          </cell>
          <cell r="EN159">
            <v>2.4095909012463064E-2</v>
          </cell>
        </row>
        <row r="160">
          <cell r="B160">
            <v>34100</v>
          </cell>
          <cell r="C160" t="str">
            <v>Guilford County Schools</v>
          </cell>
          <cell r="D160">
            <v>2.6079346093567862E-2</v>
          </cell>
          <cell r="E160">
            <v>45123349.636921689</v>
          </cell>
          <cell r="F160">
            <v>35183710.540339403</v>
          </cell>
          <cell r="G160">
            <v>-3123597</v>
          </cell>
          <cell r="H160">
            <v>-12591017.930142242</v>
          </cell>
          <cell r="I160">
            <v>-521040.07865668065</v>
          </cell>
          <cell r="J160">
            <v>38077794.277099393</v>
          </cell>
          <cell r="K160">
            <v>0</v>
          </cell>
          <cell r="L160">
            <v>-2000670.5237509338</v>
          </cell>
          <cell r="M160">
            <v>359034.66179444315</v>
          </cell>
          <cell r="N160">
            <v>13534.659035639848</v>
          </cell>
          <cell r="O160">
            <v>-6108.0436485745286</v>
          </cell>
          <cell r="P160">
            <v>0</v>
          </cell>
          <cell r="Q160">
            <v>0</v>
          </cell>
          <cell r="R160">
            <v>0</v>
          </cell>
          <cell r="S160">
            <v>100514990.19899213</v>
          </cell>
          <cell r="T160">
            <v>0</v>
          </cell>
          <cell r="U160">
            <v>190388971.38549697</v>
          </cell>
          <cell r="V160">
            <v>1436138.6471777726</v>
          </cell>
          <cell r="W160">
            <v>0</v>
          </cell>
          <cell r="X160">
            <v>191825110.03267476</v>
          </cell>
          <cell r="Y160">
            <v>15617982.099999998</v>
          </cell>
          <cell r="Z160">
            <v>0</v>
          </cell>
          <cell r="AA160">
            <v>0</v>
          </cell>
          <cell r="AB160">
            <v>2605200.393283403</v>
          </cell>
          <cell r="AC160">
            <v>18223182.493283402</v>
          </cell>
          <cell r="AD160" t="str">
            <v>N/A</v>
          </cell>
          <cell r="AE160">
            <v>34792193</v>
          </cell>
          <cell r="AF160">
            <v>34792192</v>
          </cell>
          <cell r="AG160">
            <v>34792192</v>
          </cell>
          <cell r="AH160">
            <v>34792192</v>
          </cell>
          <cell r="AI160">
            <v>34433157</v>
          </cell>
          <cell r="AJ160">
            <v>0</v>
          </cell>
          <cell r="AK160">
            <v>173601926</v>
          </cell>
          <cell r="AL160">
            <v>882082297</v>
          </cell>
          <cell r="AM160">
            <v>100514990.19899213</v>
          </cell>
          <cell r="AN160">
            <v>-21659015.900000002</v>
          </cell>
          <cell r="AO160">
            <v>189219909.63939136</v>
          </cell>
          <cell r="AP160">
            <v>0</v>
          </cell>
          <cell r="AQ160">
            <v>-15617982.099999998</v>
          </cell>
          <cell r="AR160">
            <v>0</v>
          </cell>
          <cell r="AS160">
            <v>0</v>
          </cell>
          <cell r="AT160">
            <v>1134540198.8383837</v>
          </cell>
          <cell r="AU160">
            <v>2.6605211370241317E-2</v>
          </cell>
          <cell r="AV160">
            <v>0</v>
          </cell>
          <cell r="AW160">
            <v>0</v>
          </cell>
          <cell r="AY160">
            <v>0</v>
          </cell>
          <cell r="AZ160">
            <v>0</v>
          </cell>
          <cell r="BA160">
            <v>0</v>
          </cell>
          <cell r="BB160">
            <v>0</v>
          </cell>
          <cell r="BC160">
            <v>0</v>
          </cell>
          <cell r="BD160">
            <v>0</v>
          </cell>
          <cell r="BE160">
            <v>0</v>
          </cell>
          <cell r="BF160">
            <v>0</v>
          </cell>
          <cell r="BG160">
            <v>0</v>
          </cell>
          <cell r="BH160">
            <v>0</v>
          </cell>
          <cell r="BJ160">
            <v>0</v>
          </cell>
          <cell r="BL160">
            <v>0</v>
          </cell>
          <cell r="BM160">
            <v>0</v>
          </cell>
          <cell r="BN160">
            <v>0</v>
          </cell>
          <cell r="BO160">
            <v>0</v>
          </cell>
          <cell r="BQ160">
            <v>0</v>
          </cell>
          <cell r="BR160">
            <v>0</v>
          </cell>
          <cell r="BS160">
            <v>0</v>
          </cell>
          <cell r="BT160">
            <v>0</v>
          </cell>
          <cell r="CB160">
            <v>0</v>
          </cell>
          <cell r="CC160">
            <v>0</v>
          </cell>
          <cell r="CD160">
            <v>0</v>
          </cell>
          <cell r="CE160">
            <v>0</v>
          </cell>
          <cell r="CF160">
            <v>0</v>
          </cell>
          <cell r="CI160">
            <v>0</v>
          </cell>
          <cell r="CJ160">
            <v>0</v>
          </cell>
          <cell r="CK160">
            <v>0</v>
          </cell>
          <cell r="CV160">
            <v>2.6079346093567862E-2</v>
          </cell>
          <cell r="DG160">
            <v>1134540199</v>
          </cell>
          <cell r="DR160">
            <v>379271646.59000385</v>
          </cell>
          <cell r="EC160">
            <v>2.9913657116226471</v>
          </cell>
          <cell r="EN160">
            <v>2.4095909012463064E-2</v>
          </cell>
        </row>
        <row r="161">
          <cell r="B161">
            <v>34105</v>
          </cell>
          <cell r="C161" t="str">
            <v>Guilford Technical Community College</v>
          </cell>
          <cell r="D161">
            <v>2.1879300458095808E-3</v>
          </cell>
          <cell r="E161">
            <v>3785629.1367114261</v>
          </cell>
          <cell r="F161">
            <v>2951741.8549563186</v>
          </cell>
          <cell r="G161">
            <v>-618986</v>
          </cell>
          <cell r="H161">
            <v>-1056325.0450317003</v>
          </cell>
          <cell r="I161">
            <v>-43712.723435389555</v>
          </cell>
          <cell r="J161">
            <v>3194541.3768472364</v>
          </cell>
          <cell r="K161">
            <v>0</v>
          </cell>
          <cell r="L161">
            <v>-167846.50715455902</v>
          </cell>
          <cell r="M161">
            <v>30121.258455206724</v>
          </cell>
          <cell r="N161">
            <v>1135.4919351742562</v>
          </cell>
          <cell r="O161">
            <v>-512.43509602906192</v>
          </cell>
          <cell r="P161">
            <v>0</v>
          </cell>
          <cell r="Q161">
            <v>0</v>
          </cell>
          <cell r="R161">
            <v>0</v>
          </cell>
          <cell r="S161">
            <v>8075786.4081876837</v>
          </cell>
          <cell r="T161">
            <v>88477.240000000224</v>
          </cell>
          <cell r="U161">
            <v>15972706.884236181</v>
          </cell>
          <cell r="V161">
            <v>120485.03382082689</v>
          </cell>
          <cell r="W161">
            <v>0</v>
          </cell>
          <cell r="X161">
            <v>16181669.158057008</v>
          </cell>
          <cell r="Y161">
            <v>3183409</v>
          </cell>
          <cell r="Z161">
            <v>0</v>
          </cell>
          <cell r="AA161">
            <v>0</v>
          </cell>
          <cell r="AB161">
            <v>218563.61717694777</v>
          </cell>
          <cell r="AC161">
            <v>3401972.6171769476</v>
          </cell>
          <cell r="AD161" t="str">
            <v>N/A</v>
          </cell>
          <cell r="AE161">
            <v>2561963</v>
          </cell>
          <cell r="AF161">
            <v>2561964</v>
          </cell>
          <cell r="AG161">
            <v>2561964</v>
          </cell>
          <cell r="AH161">
            <v>2561964</v>
          </cell>
          <cell r="AI161">
            <v>2531843</v>
          </cell>
          <cell r="AJ161">
            <v>0</v>
          </cell>
          <cell r="AK161">
            <v>12779698</v>
          </cell>
          <cell r="AL161">
            <v>76359803</v>
          </cell>
          <cell r="AM161">
            <v>8075786.4081876837</v>
          </cell>
          <cell r="AN161">
            <v>-2032892.2400000002</v>
          </cell>
          <cell r="AO161">
            <v>15874628.300880061</v>
          </cell>
          <cell r="AP161">
            <v>0</v>
          </cell>
          <cell r="AQ161">
            <v>-3094931.76</v>
          </cell>
          <cell r="AR161">
            <v>0</v>
          </cell>
          <cell r="AS161">
            <v>0</v>
          </cell>
          <cell r="AT161">
            <v>95182393.709067747</v>
          </cell>
          <cell r="AU161">
            <v>2.3031509821002847E-3</v>
          </cell>
          <cell r="AV161">
            <v>0</v>
          </cell>
          <cell r="AW161">
            <v>0</v>
          </cell>
          <cell r="AY161">
            <v>0</v>
          </cell>
          <cell r="AZ161">
            <v>0</v>
          </cell>
          <cell r="BA161">
            <v>0</v>
          </cell>
          <cell r="BB161">
            <v>0</v>
          </cell>
          <cell r="BC161">
            <v>0</v>
          </cell>
          <cell r="BD161">
            <v>0</v>
          </cell>
          <cell r="BE161">
            <v>0</v>
          </cell>
          <cell r="BF161">
            <v>0</v>
          </cell>
          <cell r="BG161">
            <v>0</v>
          </cell>
          <cell r="BH161">
            <v>0</v>
          </cell>
          <cell r="BJ161">
            <v>0</v>
          </cell>
          <cell r="BL161">
            <v>0</v>
          </cell>
          <cell r="BM161">
            <v>0</v>
          </cell>
          <cell r="BN161">
            <v>0</v>
          </cell>
          <cell r="BO161">
            <v>0</v>
          </cell>
          <cell r="BQ161">
            <v>0</v>
          </cell>
          <cell r="BR161">
            <v>0</v>
          </cell>
          <cell r="BS161">
            <v>0</v>
          </cell>
          <cell r="BT161">
            <v>0</v>
          </cell>
          <cell r="CB161">
            <v>0</v>
          </cell>
          <cell r="CC161">
            <v>0</v>
          </cell>
          <cell r="CD161">
            <v>0</v>
          </cell>
          <cell r="CE161">
            <v>0</v>
          </cell>
          <cell r="CF161">
            <v>0</v>
          </cell>
          <cell r="CI161">
            <v>0</v>
          </cell>
          <cell r="CJ161">
            <v>0</v>
          </cell>
          <cell r="CK161">
            <v>0</v>
          </cell>
          <cell r="CV161">
            <v>2.1879300458095808E-3</v>
          </cell>
          <cell r="DG161">
            <v>95182394</v>
          </cell>
          <cell r="DR161">
            <v>35328585.719999991</v>
          </cell>
          <cell r="EC161">
            <v>2.6942033500683262</v>
          </cell>
          <cell r="EN161">
            <v>2.4095909012463064E-2</v>
          </cell>
        </row>
        <row r="162">
          <cell r="B162">
            <v>34200</v>
          </cell>
          <cell r="C162" t="str">
            <v>Halifax County Schools</v>
          </cell>
          <cell r="D162">
            <v>1.0017279265030735E-3</v>
          </cell>
          <cell r="E162">
            <v>1733222.8847492118</v>
          </cell>
          <cell r="F162">
            <v>1351433.6318022611</v>
          </cell>
          <cell r="G162">
            <v>-931635</v>
          </cell>
          <cell r="H162">
            <v>-483630.77197074314</v>
          </cell>
          <cell r="I162">
            <v>-20013.553857720573</v>
          </cell>
          <cell r="J162">
            <v>1462597.6345479386</v>
          </cell>
          <cell r="K162">
            <v>0</v>
          </cell>
          <cell r="L162">
            <v>-76847.307757732982</v>
          </cell>
          <cell r="M162">
            <v>13790.800045818025</v>
          </cell>
          <cell r="N162">
            <v>519.87675929656507</v>
          </cell>
          <cell r="O162">
            <v>-234.61469766628483</v>
          </cell>
          <cell r="P162">
            <v>0</v>
          </cell>
          <cell r="Q162">
            <v>0</v>
          </cell>
          <cell r="R162">
            <v>0</v>
          </cell>
          <cell r="S162">
            <v>3049203.5796206635</v>
          </cell>
          <cell r="T162">
            <v>10833.380000000005</v>
          </cell>
          <cell r="U162">
            <v>7312988.172739693</v>
          </cell>
          <cell r="V162">
            <v>55163.2001832721</v>
          </cell>
          <cell r="W162">
            <v>0</v>
          </cell>
          <cell r="X162">
            <v>7378984.7529229652</v>
          </cell>
          <cell r="Y162">
            <v>4669012</v>
          </cell>
          <cell r="Z162">
            <v>0</v>
          </cell>
          <cell r="AA162">
            <v>0</v>
          </cell>
          <cell r="AB162">
            <v>100067.76928860285</v>
          </cell>
          <cell r="AC162">
            <v>4769079.7692886032</v>
          </cell>
          <cell r="AD162" t="str">
            <v>N/A</v>
          </cell>
          <cell r="AE162">
            <v>524740</v>
          </cell>
          <cell r="AF162">
            <v>524739</v>
          </cell>
          <cell r="AG162">
            <v>524739</v>
          </cell>
          <cell r="AH162">
            <v>524739</v>
          </cell>
          <cell r="AI162">
            <v>510948</v>
          </cell>
          <cell r="AJ162">
            <v>0</v>
          </cell>
          <cell r="AK162">
            <v>2609905</v>
          </cell>
          <cell r="AL162">
            <v>38814596</v>
          </cell>
          <cell r="AM162">
            <v>3049203.5796206635</v>
          </cell>
          <cell r="AN162">
            <v>-895134.38</v>
          </cell>
          <cell r="AO162">
            <v>7268083.6036343621</v>
          </cell>
          <cell r="AP162">
            <v>0</v>
          </cell>
          <cell r="AQ162">
            <v>-4658178.62</v>
          </cell>
          <cell r="AR162">
            <v>0</v>
          </cell>
          <cell r="AS162">
            <v>0</v>
          </cell>
          <cell r="AT162">
            <v>43578570.183255032</v>
          </cell>
          <cell r="AU162">
            <v>1.1707190288918895E-3</v>
          </cell>
          <cell r="AV162">
            <v>0</v>
          </cell>
          <cell r="AW162">
            <v>0</v>
          </cell>
          <cell r="AY162">
            <v>0</v>
          </cell>
          <cell r="AZ162">
            <v>0</v>
          </cell>
          <cell r="BA162">
            <v>0</v>
          </cell>
          <cell r="BB162">
            <v>0</v>
          </cell>
          <cell r="BC162">
            <v>0</v>
          </cell>
          <cell r="BD162">
            <v>0</v>
          </cell>
          <cell r="BE162">
            <v>0</v>
          </cell>
          <cell r="BF162">
            <v>0</v>
          </cell>
          <cell r="BG162">
            <v>0</v>
          </cell>
          <cell r="BH162">
            <v>0</v>
          </cell>
          <cell r="BJ162">
            <v>0</v>
          </cell>
          <cell r="BL162">
            <v>0</v>
          </cell>
          <cell r="BM162">
            <v>0</v>
          </cell>
          <cell r="BN162">
            <v>0</v>
          </cell>
          <cell r="BO162">
            <v>0</v>
          </cell>
          <cell r="BQ162">
            <v>0</v>
          </cell>
          <cell r="BR162">
            <v>0</v>
          </cell>
          <cell r="BS162">
            <v>0</v>
          </cell>
          <cell r="BT162">
            <v>0</v>
          </cell>
          <cell r="CB162">
            <v>0</v>
          </cell>
          <cell r="CC162">
            <v>0</v>
          </cell>
          <cell r="CD162">
            <v>0</v>
          </cell>
          <cell r="CE162">
            <v>0</v>
          </cell>
          <cell r="CF162">
            <v>0</v>
          </cell>
          <cell r="CI162">
            <v>0</v>
          </cell>
          <cell r="CJ162">
            <v>0</v>
          </cell>
          <cell r="CK162">
            <v>0</v>
          </cell>
          <cell r="CV162">
            <v>1.0017279265030735E-3</v>
          </cell>
          <cell r="DG162">
            <v>43578570</v>
          </cell>
          <cell r="DR162">
            <v>16579502.449999988</v>
          </cell>
          <cell r="EC162">
            <v>2.6284606628831635</v>
          </cell>
          <cell r="EN162">
            <v>2.4095909012463064E-2</v>
          </cell>
        </row>
        <row r="163">
          <cell r="B163">
            <v>34205</v>
          </cell>
          <cell r="C163" t="str">
            <v>Halifax Community College</v>
          </cell>
          <cell r="D163">
            <v>4.0870677652817434E-4</v>
          </cell>
          <cell r="E163">
            <v>707158.02114411793</v>
          </cell>
          <cell r="F163">
            <v>551387.32657062553</v>
          </cell>
          <cell r="G163">
            <v>-90396</v>
          </cell>
          <cell r="H163">
            <v>-197322.21555609041</v>
          </cell>
          <cell r="I163">
            <v>-8165.5655868718422</v>
          </cell>
          <cell r="J163">
            <v>596742.43750055484</v>
          </cell>
          <cell r="K163">
            <v>0</v>
          </cell>
          <cell r="L163">
            <v>-31353.838310342093</v>
          </cell>
          <cell r="M163">
            <v>5626.6709585974495</v>
          </cell>
          <cell r="N163">
            <v>212.11064288259192</v>
          </cell>
          <cell r="O163">
            <v>-95.723214130663706</v>
          </cell>
          <cell r="P163">
            <v>0</v>
          </cell>
          <cell r="Q163">
            <v>0</v>
          </cell>
          <cell r="R163">
            <v>0</v>
          </cell>
          <cell r="S163">
            <v>1533793.2241493433</v>
          </cell>
          <cell r="T163">
            <v>31915.049999999988</v>
          </cell>
          <cell r="U163">
            <v>2983712.1875027739</v>
          </cell>
          <cell r="V163">
            <v>22506.683834389798</v>
          </cell>
          <cell r="W163">
            <v>0</v>
          </cell>
          <cell r="X163">
            <v>3038133.9213371635</v>
          </cell>
          <cell r="Y163">
            <v>483893</v>
          </cell>
          <cell r="Z163">
            <v>0</v>
          </cell>
          <cell r="AA163">
            <v>0</v>
          </cell>
          <cell r="AB163">
            <v>40827.827934359215</v>
          </cell>
          <cell r="AC163">
            <v>524720.8279343592</v>
          </cell>
          <cell r="AD163" t="str">
            <v>N/A</v>
          </cell>
          <cell r="AE163">
            <v>503808</v>
          </cell>
          <cell r="AF163">
            <v>503808</v>
          </cell>
          <cell r="AG163">
            <v>503808</v>
          </cell>
          <cell r="AH163">
            <v>503808</v>
          </cell>
          <cell r="AI163">
            <v>498181</v>
          </cell>
          <cell r="AJ163">
            <v>0</v>
          </cell>
          <cell r="AK163">
            <v>2513413</v>
          </cell>
          <cell r="AL163">
            <v>14131138</v>
          </cell>
          <cell r="AM163">
            <v>1533793.2241493433</v>
          </cell>
          <cell r="AN163">
            <v>-398210.05</v>
          </cell>
          <cell r="AO163">
            <v>2965391.043402805</v>
          </cell>
          <cell r="AP163">
            <v>0</v>
          </cell>
          <cell r="AQ163">
            <v>-451977.95</v>
          </cell>
          <cell r="AR163">
            <v>0</v>
          </cell>
          <cell r="AS163">
            <v>0</v>
          </cell>
          <cell r="AT163">
            <v>17780134.267552149</v>
          </cell>
          <cell r="AU163">
            <v>4.2622090937176506E-4</v>
          </cell>
          <cell r="AV163">
            <v>0</v>
          </cell>
          <cell r="AW163">
            <v>0</v>
          </cell>
          <cell r="AY163">
            <v>0</v>
          </cell>
          <cell r="AZ163">
            <v>0</v>
          </cell>
          <cell r="BA163">
            <v>0</v>
          </cell>
          <cell r="BB163">
            <v>0</v>
          </cell>
          <cell r="BC163">
            <v>0</v>
          </cell>
          <cell r="BD163">
            <v>0</v>
          </cell>
          <cell r="BE163">
            <v>0</v>
          </cell>
          <cell r="BF163">
            <v>0</v>
          </cell>
          <cell r="BG163">
            <v>0</v>
          </cell>
          <cell r="BH163">
            <v>0</v>
          </cell>
          <cell r="BJ163">
            <v>0</v>
          </cell>
          <cell r="BL163">
            <v>0</v>
          </cell>
          <cell r="BM163">
            <v>0</v>
          </cell>
          <cell r="BN163">
            <v>0</v>
          </cell>
          <cell r="BO163">
            <v>0</v>
          </cell>
          <cell r="BQ163">
            <v>0</v>
          </cell>
          <cell r="BR163">
            <v>0</v>
          </cell>
          <cell r="BS163">
            <v>0</v>
          </cell>
          <cell r="BT163">
            <v>0</v>
          </cell>
          <cell r="CB163">
            <v>0</v>
          </cell>
          <cell r="CC163">
            <v>0</v>
          </cell>
          <cell r="CD163">
            <v>0</v>
          </cell>
          <cell r="CE163">
            <v>0</v>
          </cell>
          <cell r="CF163">
            <v>0</v>
          </cell>
          <cell r="CI163">
            <v>0</v>
          </cell>
          <cell r="CJ163">
            <v>0</v>
          </cell>
          <cell r="CK163">
            <v>0</v>
          </cell>
          <cell r="CV163">
            <v>4.0870677652817434E-4</v>
          </cell>
          <cell r="DG163">
            <v>17780134</v>
          </cell>
          <cell r="DR163">
            <v>7032339.1499999976</v>
          </cell>
          <cell r="EC163">
            <v>2.528338525880113</v>
          </cell>
          <cell r="EN163">
            <v>2.4095909012463064E-2</v>
          </cell>
        </row>
        <row r="164">
          <cell r="B164">
            <v>34220</v>
          </cell>
          <cell r="C164" t="str">
            <v>Roanoke Rapids City Schools</v>
          </cell>
          <cell r="D164">
            <v>9.1141766955882503E-4</v>
          </cell>
          <cell r="E164">
            <v>1576965.0826833607</v>
          </cell>
          <cell r="F164">
            <v>1229595.8400205956</v>
          </cell>
          <cell r="G164">
            <v>-122229</v>
          </cell>
          <cell r="H164">
            <v>-440029.29283928452</v>
          </cell>
          <cell r="I164">
            <v>-18209.242384077381</v>
          </cell>
          <cell r="J164">
            <v>1330737.910278118</v>
          </cell>
          <cell r="K164">
            <v>0</v>
          </cell>
          <cell r="L164">
            <v>-69919.178946048793</v>
          </cell>
          <cell r="M164">
            <v>12547.497685313496</v>
          </cell>
          <cell r="N164">
            <v>473.00754214763901</v>
          </cell>
          <cell r="O164">
            <v>-213.46313238737241</v>
          </cell>
          <cell r="P164">
            <v>0</v>
          </cell>
          <cell r="Q164">
            <v>0</v>
          </cell>
          <cell r="R164">
            <v>0</v>
          </cell>
          <cell r="S164">
            <v>3499719.1609077374</v>
          </cell>
          <cell r="T164">
            <v>61156.439999999944</v>
          </cell>
          <cell r="U164">
            <v>6653689.5513905901</v>
          </cell>
          <cell r="V164">
            <v>50189.990741253983</v>
          </cell>
          <cell r="W164">
            <v>0</v>
          </cell>
          <cell r="X164">
            <v>6765035.9821318435</v>
          </cell>
          <cell r="Y164">
            <v>672300</v>
          </cell>
          <cell r="Z164">
            <v>0</v>
          </cell>
          <cell r="AA164">
            <v>0</v>
          </cell>
          <cell r="AB164">
            <v>91046.211920386893</v>
          </cell>
          <cell r="AC164">
            <v>763346.21192038688</v>
          </cell>
          <cell r="AD164" t="str">
            <v>N/A</v>
          </cell>
          <cell r="AE164">
            <v>1202847</v>
          </cell>
          <cell r="AF164">
            <v>1202847</v>
          </cell>
          <cell r="AG164">
            <v>1202847</v>
          </cell>
          <cell r="AH164">
            <v>1202847</v>
          </cell>
          <cell r="AI164">
            <v>1190300</v>
          </cell>
          <cell r="AJ164">
            <v>0</v>
          </cell>
          <cell r="AK164">
            <v>6001688</v>
          </cell>
          <cell r="AL164">
            <v>31024351</v>
          </cell>
          <cell r="AM164">
            <v>3499719.1609077374</v>
          </cell>
          <cell r="AN164">
            <v>-875993.44</v>
          </cell>
          <cell r="AO164">
            <v>6612833.3302114578</v>
          </cell>
          <cell r="AP164">
            <v>0</v>
          </cell>
          <cell r="AQ164">
            <v>-611143.56000000006</v>
          </cell>
          <cell r="AR164">
            <v>0</v>
          </cell>
          <cell r="AS164">
            <v>0</v>
          </cell>
          <cell r="AT164">
            <v>39649766.491119199</v>
          </cell>
          <cell r="AU164">
            <v>9.3575101871192694E-4</v>
          </cell>
          <cell r="AV164">
            <v>0</v>
          </cell>
          <cell r="AW164">
            <v>0</v>
          </cell>
          <cell r="AY164">
            <v>0</v>
          </cell>
          <cell r="AZ164">
            <v>0</v>
          </cell>
          <cell r="BA164">
            <v>0</v>
          </cell>
          <cell r="BB164">
            <v>0</v>
          </cell>
          <cell r="BC164">
            <v>0</v>
          </cell>
          <cell r="BD164">
            <v>0</v>
          </cell>
          <cell r="BE164">
            <v>0</v>
          </cell>
          <cell r="BF164">
            <v>0</v>
          </cell>
          <cell r="BG164">
            <v>0</v>
          </cell>
          <cell r="BH164">
            <v>0</v>
          </cell>
          <cell r="BJ164">
            <v>0</v>
          </cell>
          <cell r="BL164">
            <v>0</v>
          </cell>
          <cell r="BM164">
            <v>0</v>
          </cell>
          <cell r="BN164">
            <v>0</v>
          </cell>
          <cell r="BO164">
            <v>0</v>
          </cell>
          <cell r="BQ164">
            <v>0</v>
          </cell>
          <cell r="BR164">
            <v>0</v>
          </cell>
          <cell r="BS164">
            <v>0</v>
          </cell>
          <cell r="BT164">
            <v>0</v>
          </cell>
          <cell r="CB164">
            <v>0</v>
          </cell>
          <cell r="CC164">
            <v>0</v>
          </cell>
          <cell r="CD164">
            <v>0</v>
          </cell>
          <cell r="CE164">
            <v>0</v>
          </cell>
          <cell r="CF164">
            <v>0</v>
          </cell>
          <cell r="CI164">
            <v>0</v>
          </cell>
          <cell r="CJ164">
            <v>0</v>
          </cell>
          <cell r="CK164">
            <v>0</v>
          </cell>
          <cell r="CV164">
            <v>9.1141766955882503E-4</v>
          </cell>
          <cell r="DG164">
            <v>39649767</v>
          </cell>
          <cell r="DR164">
            <v>15110977.050000003</v>
          </cell>
          <cell r="EC164">
            <v>2.6239049181799925</v>
          </cell>
          <cell r="EN164">
            <v>2.4095909012463064E-2</v>
          </cell>
        </row>
        <row r="165">
          <cell r="B165">
            <v>34230</v>
          </cell>
          <cell r="C165" t="str">
            <v>Weldon City Schools</v>
          </cell>
          <cell r="D165">
            <v>4.2912639671802925E-4</v>
          </cell>
          <cell r="E165">
            <v>742488.72529498697</v>
          </cell>
          <cell r="F165">
            <v>578935.48684757052</v>
          </cell>
          <cell r="G165">
            <v>-31160</v>
          </cell>
          <cell r="H165">
            <v>-207180.73743063115</v>
          </cell>
          <cell r="I165">
            <v>-8573.5298230796525</v>
          </cell>
          <cell r="J165">
            <v>626556.60899151757</v>
          </cell>
          <cell r="K165">
            <v>0</v>
          </cell>
          <cell r="L165">
            <v>-32920.324374580799</v>
          </cell>
          <cell r="M165">
            <v>5907.7881078745831</v>
          </cell>
          <cell r="N165">
            <v>222.70801736872281</v>
          </cell>
          <cell r="O165">
            <v>-100.50569337532963</v>
          </cell>
          <cell r="P165">
            <v>0</v>
          </cell>
          <cell r="Q165">
            <v>0</v>
          </cell>
          <cell r="R165">
            <v>0</v>
          </cell>
          <cell r="S165">
            <v>1674176.2199376514</v>
          </cell>
          <cell r="T165">
            <v>4594.6300000000047</v>
          </cell>
          <cell r="U165">
            <v>3132783.0449575875</v>
          </cell>
          <cell r="V165">
            <v>23631.152431498333</v>
          </cell>
          <cell r="W165">
            <v>0</v>
          </cell>
          <cell r="X165">
            <v>3161008.8273890857</v>
          </cell>
          <cell r="Y165">
            <v>160392</v>
          </cell>
          <cell r="Z165">
            <v>0</v>
          </cell>
          <cell r="AA165">
            <v>0</v>
          </cell>
          <cell r="AB165">
            <v>42867.649115398264</v>
          </cell>
          <cell r="AC165">
            <v>203259.64911539826</v>
          </cell>
          <cell r="AD165" t="str">
            <v>N/A</v>
          </cell>
          <cell r="AE165">
            <v>592732</v>
          </cell>
          <cell r="AF165">
            <v>592731</v>
          </cell>
          <cell r="AG165">
            <v>592731</v>
          </cell>
          <cell r="AH165">
            <v>592731</v>
          </cell>
          <cell r="AI165">
            <v>586823</v>
          </cell>
          <cell r="AJ165">
            <v>0</v>
          </cell>
          <cell r="AK165">
            <v>2957748</v>
          </cell>
          <cell r="AL165">
            <v>14419939</v>
          </cell>
          <cell r="AM165">
            <v>1674176.2199376514</v>
          </cell>
          <cell r="AN165">
            <v>-383407.63</v>
          </cell>
          <cell r="AO165">
            <v>3113546.5482736882</v>
          </cell>
          <cell r="AP165">
            <v>0</v>
          </cell>
          <cell r="AQ165">
            <v>-155797.37</v>
          </cell>
          <cell r="AR165">
            <v>0</v>
          </cell>
          <cell r="AS165">
            <v>0</v>
          </cell>
          <cell r="AT165">
            <v>18668456.768211339</v>
          </cell>
          <cell r="AU165">
            <v>4.3493167610547304E-4</v>
          </cell>
          <cell r="AV165">
            <v>0</v>
          </cell>
          <cell r="AW165">
            <v>0</v>
          </cell>
          <cell r="AY165">
            <v>0</v>
          </cell>
          <cell r="AZ165">
            <v>0</v>
          </cell>
          <cell r="BA165">
            <v>0</v>
          </cell>
          <cell r="BB165">
            <v>0</v>
          </cell>
          <cell r="BC165">
            <v>0</v>
          </cell>
          <cell r="BD165">
            <v>0</v>
          </cell>
          <cell r="BE165">
            <v>0</v>
          </cell>
          <cell r="BF165">
            <v>0</v>
          </cell>
          <cell r="BG165">
            <v>0</v>
          </cell>
          <cell r="BH165">
            <v>0</v>
          </cell>
          <cell r="BJ165">
            <v>0</v>
          </cell>
          <cell r="BL165">
            <v>0</v>
          </cell>
          <cell r="BM165">
            <v>0</v>
          </cell>
          <cell r="BN165">
            <v>0</v>
          </cell>
          <cell r="BO165">
            <v>0</v>
          </cell>
          <cell r="BQ165">
            <v>0</v>
          </cell>
          <cell r="BR165">
            <v>0</v>
          </cell>
          <cell r="BS165">
            <v>0</v>
          </cell>
          <cell r="BT165">
            <v>0</v>
          </cell>
          <cell r="CB165">
            <v>0</v>
          </cell>
          <cell r="CC165">
            <v>0</v>
          </cell>
          <cell r="CD165">
            <v>0</v>
          </cell>
          <cell r="CE165">
            <v>0</v>
          </cell>
          <cell r="CF165">
            <v>0</v>
          </cell>
          <cell r="CI165">
            <v>0</v>
          </cell>
          <cell r="CJ165">
            <v>0</v>
          </cell>
          <cell r="CK165">
            <v>0</v>
          </cell>
          <cell r="CV165">
            <v>4.2912639671802925E-4</v>
          </cell>
          <cell r="DG165">
            <v>18668457</v>
          </cell>
          <cell r="DR165">
            <v>6807248.9900000021</v>
          </cell>
          <cell r="EC165">
            <v>2.742437808198932</v>
          </cell>
          <cell r="EN165">
            <v>2.4095909012463064E-2</v>
          </cell>
        </row>
        <row r="166">
          <cell r="B166">
            <v>34300</v>
          </cell>
          <cell r="C166" t="str">
            <v>Harnett County Schools</v>
          </cell>
          <cell r="D166">
            <v>6.1604554914126784E-3</v>
          </cell>
          <cell r="E166">
            <v>10659024.427390411</v>
          </cell>
          <cell r="F166">
            <v>8311085.7929051407</v>
          </cell>
          <cell r="G166">
            <v>-539295</v>
          </cell>
          <cell r="H166">
            <v>-2974246.5655360525</v>
          </cell>
          <cell r="I166">
            <v>-123079.93468434046</v>
          </cell>
          <cell r="J166">
            <v>8994725.4050627649</v>
          </cell>
          <cell r="K166">
            <v>0</v>
          </cell>
          <cell r="L166">
            <v>-472597.80480419076</v>
          </cell>
          <cell r="M166">
            <v>84811.06259043004</v>
          </cell>
          <cell r="N166">
            <v>3197.1531909333517</v>
          </cell>
          <cell r="O166">
            <v>-1442.8402806437634</v>
          </cell>
          <cell r="P166">
            <v>0</v>
          </cell>
          <cell r="Q166">
            <v>0</v>
          </cell>
          <cell r="R166">
            <v>0</v>
          </cell>
          <cell r="S166">
            <v>23942181.695834454</v>
          </cell>
          <cell r="T166">
            <v>0</v>
          </cell>
          <cell r="U166">
            <v>44973627.025313824</v>
          </cell>
          <cell r="V166">
            <v>339244.25036172016</v>
          </cell>
          <cell r="W166">
            <v>0</v>
          </cell>
          <cell r="X166">
            <v>45312871.275675543</v>
          </cell>
          <cell r="Y166">
            <v>2696478.37</v>
          </cell>
          <cell r="Z166">
            <v>0</v>
          </cell>
          <cell r="AA166">
            <v>0</v>
          </cell>
          <cell r="AB166">
            <v>615399.67342170235</v>
          </cell>
          <cell r="AC166">
            <v>3311878.0434217025</v>
          </cell>
          <cell r="AD166" t="str">
            <v>N/A</v>
          </cell>
          <cell r="AE166">
            <v>8417162</v>
          </cell>
          <cell r="AF166">
            <v>8417161</v>
          </cell>
          <cell r="AG166">
            <v>8417161</v>
          </cell>
          <cell r="AH166">
            <v>8417161</v>
          </cell>
          <cell r="AI166">
            <v>8332349</v>
          </cell>
          <cell r="AJ166">
            <v>0</v>
          </cell>
          <cell r="AK166">
            <v>42000994</v>
          </cell>
          <cell r="AL166">
            <v>207203370</v>
          </cell>
          <cell r="AM166">
            <v>23942181.695834454</v>
          </cell>
          <cell r="AN166">
            <v>-5145791.63</v>
          </cell>
          <cell r="AO166">
            <v>44697471.602253847</v>
          </cell>
          <cell r="AP166">
            <v>0</v>
          </cell>
          <cell r="AQ166">
            <v>-2696478.37</v>
          </cell>
          <cell r="AR166">
            <v>0</v>
          </cell>
          <cell r="AS166">
            <v>0</v>
          </cell>
          <cell r="AT166">
            <v>268000753.29808831</v>
          </cell>
          <cell r="AU166">
            <v>6.2496316588030757E-3</v>
          </cell>
          <cell r="AV166">
            <v>0</v>
          </cell>
          <cell r="AW166">
            <v>0</v>
          </cell>
          <cell r="AY166">
            <v>0</v>
          </cell>
          <cell r="AZ166">
            <v>0</v>
          </cell>
          <cell r="BA166">
            <v>0</v>
          </cell>
          <cell r="BB166">
            <v>0</v>
          </cell>
          <cell r="BC166">
            <v>0</v>
          </cell>
          <cell r="BD166">
            <v>0</v>
          </cell>
          <cell r="BE166">
            <v>0</v>
          </cell>
          <cell r="BF166">
            <v>0</v>
          </cell>
          <cell r="BG166">
            <v>0</v>
          </cell>
          <cell r="BH166">
            <v>0</v>
          </cell>
          <cell r="BJ166">
            <v>0</v>
          </cell>
          <cell r="BL166">
            <v>0</v>
          </cell>
          <cell r="BM166">
            <v>0</v>
          </cell>
          <cell r="BN166">
            <v>0</v>
          </cell>
          <cell r="BO166">
            <v>0</v>
          </cell>
          <cell r="BQ166">
            <v>0</v>
          </cell>
          <cell r="BR166">
            <v>0</v>
          </cell>
          <cell r="BS166">
            <v>0</v>
          </cell>
          <cell r="BT166">
            <v>0</v>
          </cell>
          <cell r="CB166">
            <v>0</v>
          </cell>
          <cell r="CC166">
            <v>0</v>
          </cell>
          <cell r="CD166">
            <v>0</v>
          </cell>
          <cell r="CE166">
            <v>0</v>
          </cell>
          <cell r="CF166">
            <v>0</v>
          </cell>
          <cell r="CI166">
            <v>0</v>
          </cell>
          <cell r="CJ166">
            <v>0</v>
          </cell>
          <cell r="CK166">
            <v>0</v>
          </cell>
          <cell r="CV166">
            <v>6.1604554914126784E-3</v>
          </cell>
          <cell r="DG166">
            <v>268000753</v>
          </cell>
          <cell r="DR166">
            <v>88020095.33999981</v>
          </cell>
          <cell r="EC166">
            <v>3.0447678108593217</v>
          </cell>
          <cell r="EN166">
            <v>2.4095909012463064E-2</v>
          </cell>
        </row>
        <row r="167">
          <cell r="B167">
            <v>34400</v>
          </cell>
          <cell r="C167" t="str">
            <v>Haywood County Schools</v>
          </cell>
          <cell r="D167">
            <v>2.6150590035770769E-3</v>
          </cell>
          <cell r="E167">
            <v>4524661.8268811479</v>
          </cell>
          <cell r="F167">
            <v>3527982.5919583444</v>
          </cell>
          <cell r="G167">
            <v>10604</v>
          </cell>
          <cell r="H167">
            <v>-1262541.4258580557</v>
          </cell>
          <cell r="I167">
            <v>-52246.346362638164</v>
          </cell>
          <cell r="J167">
            <v>3818181.575696928</v>
          </cell>
          <cell r="K167">
            <v>0</v>
          </cell>
          <cell r="L167">
            <v>-200613.59849879518</v>
          </cell>
          <cell r="M167">
            <v>36001.547797756182</v>
          </cell>
          <cell r="N167">
            <v>1357.1633216764315</v>
          </cell>
          <cell r="O167">
            <v>-612.47296922778719</v>
          </cell>
          <cell r="P167">
            <v>0</v>
          </cell>
          <cell r="Q167">
            <v>0</v>
          </cell>
          <cell r="R167">
            <v>0</v>
          </cell>
          <cell r="S167">
            <v>10402774.861967133</v>
          </cell>
          <cell r="T167">
            <v>137906</v>
          </cell>
          <cell r="U167">
            <v>19090907.87848464</v>
          </cell>
          <cell r="V167">
            <v>144006.19119102473</v>
          </cell>
          <cell r="W167">
            <v>0</v>
          </cell>
          <cell r="X167">
            <v>19372820.069675665</v>
          </cell>
          <cell r="Y167">
            <v>84885.049999999814</v>
          </cell>
          <cell r="Z167">
            <v>0</v>
          </cell>
          <cell r="AA167">
            <v>0</v>
          </cell>
          <cell r="AB167">
            <v>261231.7318131908</v>
          </cell>
          <cell r="AC167">
            <v>346116.78181319061</v>
          </cell>
          <cell r="AD167" t="str">
            <v>N/A</v>
          </cell>
          <cell r="AE167">
            <v>3812541</v>
          </cell>
          <cell r="AF167">
            <v>3812541</v>
          </cell>
          <cell r="AG167">
            <v>3812541</v>
          </cell>
          <cell r="AH167">
            <v>3812541</v>
          </cell>
          <cell r="AI167">
            <v>3776539</v>
          </cell>
          <cell r="AJ167">
            <v>0</v>
          </cell>
          <cell r="AK167">
            <v>19026703</v>
          </cell>
          <cell r="AL167">
            <v>86535469</v>
          </cell>
          <cell r="AM167">
            <v>10402774.861967133</v>
          </cell>
          <cell r="AN167">
            <v>-2200991.9500000002</v>
          </cell>
          <cell r="AO167">
            <v>18973682.337862477</v>
          </cell>
          <cell r="AP167">
            <v>0</v>
          </cell>
          <cell r="AQ167">
            <v>53020.950000000186</v>
          </cell>
          <cell r="AR167">
            <v>0</v>
          </cell>
          <cell r="AS167">
            <v>0</v>
          </cell>
          <cell r="AT167">
            <v>113763955.19982961</v>
          </cell>
          <cell r="AU167">
            <v>2.6100676176731594E-3</v>
          </cell>
          <cell r="AV167">
            <v>0</v>
          </cell>
          <cell r="AW167">
            <v>0</v>
          </cell>
          <cell r="AY167">
            <v>0</v>
          </cell>
          <cell r="AZ167">
            <v>0</v>
          </cell>
          <cell r="BA167">
            <v>0</v>
          </cell>
          <cell r="BB167">
            <v>0</v>
          </cell>
          <cell r="BC167">
            <v>0</v>
          </cell>
          <cell r="BD167">
            <v>0</v>
          </cell>
          <cell r="BE167">
            <v>0</v>
          </cell>
          <cell r="BF167">
            <v>0</v>
          </cell>
          <cell r="BG167">
            <v>0</v>
          </cell>
          <cell r="BH167">
            <v>0</v>
          </cell>
          <cell r="BJ167">
            <v>0</v>
          </cell>
          <cell r="BL167">
            <v>0</v>
          </cell>
          <cell r="BM167">
            <v>0</v>
          </cell>
          <cell r="BN167">
            <v>0</v>
          </cell>
          <cell r="BO167">
            <v>0</v>
          </cell>
          <cell r="BQ167">
            <v>0</v>
          </cell>
          <cell r="BR167">
            <v>0</v>
          </cell>
          <cell r="BS167">
            <v>0</v>
          </cell>
          <cell r="BT167">
            <v>0</v>
          </cell>
          <cell r="CB167">
            <v>0</v>
          </cell>
          <cell r="CC167">
            <v>0</v>
          </cell>
          <cell r="CD167">
            <v>0</v>
          </cell>
          <cell r="CE167">
            <v>0</v>
          </cell>
          <cell r="CF167">
            <v>0</v>
          </cell>
          <cell r="CI167">
            <v>0</v>
          </cell>
          <cell r="CJ167">
            <v>0</v>
          </cell>
          <cell r="CK167">
            <v>0</v>
          </cell>
          <cell r="CV167">
            <v>2.6150590035770769E-3</v>
          </cell>
          <cell r="DG167">
            <v>113763955</v>
          </cell>
          <cell r="DR167">
            <v>38324638.400000051</v>
          </cell>
          <cell r="EC167">
            <v>2.9684286597208924</v>
          </cell>
          <cell r="EN167">
            <v>2.4095909012463064E-2</v>
          </cell>
        </row>
        <row r="168">
          <cell r="B168">
            <v>34405</v>
          </cell>
          <cell r="C168" t="str">
            <v>Haywood Technical College</v>
          </cell>
          <cell r="D168">
            <v>5.4795195720686181E-4</v>
          </cell>
          <cell r="E168">
            <v>948084.65137778095</v>
          </cell>
          <cell r="F168">
            <v>739243.34541246749</v>
          </cell>
          <cell r="G168">
            <v>81268</v>
          </cell>
          <cell r="H168">
            <v>-264549.30630909302</v>
          </cell>
          <cell r="I168">
            <v>-10947.549446171181</v>
          </cell>
          <cell r="J168">
            <v>800050.8074626493</v>
          </cell>
          <cell r="K168">
            <v>0</v>
          </cell>
          <cell r="L168">
            <v>-42035.997577630325</v>
          </cell>
          <cell r="M168">
            <v>7543.6609848086146</v>
          </cell>
          <cell r="N168">
            <v>284.37610675121715</v>
          </cell>
          <cell r="O168">
            <v>-128.33582789741911</v>
          </cell>
          <cell r="P168">
            <v>0</v>
          </cell>
          <cell r="Q168">
            <v>0</v>
          </cell>
          <cell r="R168">
            <v>0</v>
          </cell>
          <cell r="S168">
            <v>2258813.6521836654</v>
          </cell>
          <cell r="T168">
            <v>416047</v>
          </cell>
          <cell r="U168">
            <v>4000254.0373132462</v>
          </cell>
          <cell r="V168">
            <v>30174.643939234458</v>
          </cell>
          <cell r="W168">
            <v>0</v>
          </cell>
          <cell r="X168">
            <v>4446475.6812524805</v>
          </cell>
          <cell r="Y168">
            <v>9709.960000000021</v>
          </cell>
          <cell r="Z168">
            <v>0</v>
          </cell>
          <cell r="AA168">
            <v>0</v>
          </cell>
          <cell r="AB168">
            <v>54737.747230855901</v>
          </cell>
          <cell r="AC168">
            <v>64447.707230855922</v>
          </cell>
          <cell r="AD168" t="str">
            <v>N/A</v>
          </cell>
          <cell r="AE168">
            <v>877914</v>
          </cell>
          <cell r="AF168">
            <v>877915</v>
          </cell>
          <cell r="AG168">
            <v>877915</v>
          </cell>
          <cell r="AH168">
            <v>877915</v>
          </cell>
          <cell r="AI168">
            <v>870371</v>
          </cell>
          <cell r="AJ168">
            <v>0</v>
          </cell>
          <cell r="AK168">
            <v>4382030</v>
          </cell>
          <cell r="AL168">
            <v>17667812</v>
          </cell>
          <cell r="AM168">
            <v>2258813.6521836654</v>
          </cell>
          <cell r="AN168">
            <v>-470881.04</v>
          </cell>
          <cell r="AO168">
            <v>3975690.9340216252</v>
          </cell>
          <cell r="AP168">
            <v>0</v>
          </cell>
          <cell r="AQ168">
            <v>406337.04</v>
          </cell>
          <cell r="AR168">
            <v>0</v>
          </cell>
          <cell r="AS168">
            <v>0</v>
          </cell>
          <cell r="AT168">
            <v>23837772.586205292</v>
          </cell>
          <cell r="AU168">
            <v>5.3289343165832496E-4</v>
          </cell>
          <cell r="AV168">
            <v>0</v>
          </cell>
          <cell r="AW168">
            <v>0</v>
          </cell>
          <cell r="AY168">
            <v>0</v>
          </cell>
          <cell r="AZ168">
            <v>0</v>
          </cell>
          <cell r="BA168">
            <v>0</v>
          </cell>
          <cell r="BB168">
            <v>0</v>
          </cell>
          <cell r="BC168">
            <v>0</v>
          </cell>
          <cell r="BD168">
            <v>0</v>
          </cell>
          <cell r="BE168">
            <v>0</v>
          </cell>
          <cell r="BF168">
            <v>0</v>
          </cell>
          <cell r="BG168">
            <v>0</v>
          </cell>
          <cell r="BH168">
            <v>0</v>
          </cell>
          <cell r="BJ168">
            <v>0</v>
          </cell>
          <cell r="BL168">
            <v>0</v>
          </cell>
          <cell r="BM168">
            <v>0</v>
          </cell>
          <cell r="BN168">
            <v>0</v>
          </cell>
          <cell r="BO168">
            <v>0</v>
          </cell>
          <cell r="BQ168">
            <v>0</v>
          </cell>
          <cell r="BR168">
            <v>0</v>
          </cell>
          <cell r="BS168">
            <v>0</v>
          </cell>
          <cell r="BT168">
            <v>0</v>
          </cell>
          <cell r="CB168">
            <v>0</v>
          </cell>
          <cell r="CC168">
            <v>0</v>
          </cell>
          <cell r="CD168">
            <v>0</v>
          </cell>
          <cell r="CE168">
            <v>0</v>
          </cell>
          <cell r="CF168">
            <v>0</v>
          </cell>
          <cell r="CI168">
            <v>0</v>
          </cell>
          <cell r="CJ168">
            <v>0</v>
          </cell>
          <cell r="CK168">
            <v>0</v>
          </cell>
          <cell r="CV168">
            <v>5.4795195720686181E-4</v>
          </cell>
          <cell r="DG168">
            <v>23837773</v>
          </cell>
          <cell r="DR168">
            <v>8141265.6999999993</v>
          </cell>
          <cell r="EC168">
            <v>2.9280180598945447</v>
          </cell>
          <cell r="EN168">
            <v>2.4095909012463064E-2</v>
          </cell>
        </row>
        <row r="169">
          <cell r="B169">
            <v>34500</v>
          </cell>
          <cell r="C169" t="str">
            <v>Henderson County Schools</v>
          </cell>
          <cell r="D169">
            <v>4.4938371957256697E-3</v>
          </cell>
          <cell r="E169">
            <v>7775386.172130499</v>
          </cell>
          <cell r="F169">
            <v>6062646.913866384</v>
          </cell>
          <cell r="G169">
            <v>299864</v>
          </cell>
          <cell r="H169">
            <v>-2169609.0271403417</v>
          </cell>
          <cell r="I169">
            <v>-89782.515157031245</v>
          </cell>
          <cell r="J169">
            <v>6561338.1424399568</v>
          </cell>
          <cell r="K169">
            <v>0</v>
          </cell>
          <cell r="L169">
            <v>-344743.59839265072</v>
          </cell>
          <cell r="M169">
            <v>61866.709078437743</v>
          </cell>
          <cell r="N169">
            <v>2332.211627837708</v>
          </cell>
          <cell r="O169">
            <v>-1052.5016096109091</v>
          </cell>
          <cell r="P169">
            <v>0</v>
          </cell>
          <cell r="Q169">
            <v>0</v>
          </cell>
          <cell r="R169">
            <v>0</v>
          </cell>
          <cell r="S169">
            <v>18158246.506843481</v>
          </cell>
          <cell r="T169">
            <v>1613282</v>
          </cell>
          <cell r="U169">
            <v>32806690.712199785</v>
          </cell>
          <cell r="V169">
            <v>247466.83631375097</v>
          </cell>
          <cell r="W169">
            <v>0</v>
          </cell>
          <cell r="X169">
            <v>34667439.548513539</v>
          </cell>
          <cell r="Y169">
            <v>113965.67000000039</v>
          </cell>
          <cell r="Z169">
            <v>0</v>
          </cell>
          <cell r="AA169">
            <v>0</v>
          </cell>
          <cell r="AB169">
            <v>448912.57578515622</v>
          </cell>
          <cell r="AC169">
            <v>562878.24578515661</v>
          </cell>
          <cell r="AD169" t="str">
            <v>N/A</v>
          </cell>
          <cell r="AE169">
            <v>6833285</v>
          </cell>
          <cell r="AF169">
            <v>6833286</v>
          </cell>
          <cell r="AG169">
            <v>6833286</v>
          </cell>
          <cell r="AH169">
            <v>6833286</v>
          </cell>
          <cell r="AI169">
            <v>6771420</v>
          </cell>
          <cell r="AJ169">
            <v>0</v>
          </cell>
          <cell r="AK169">
            <v>34104563</v>
          </cell>
          <cell r="AL169">
            <v>147054955</v>
          </cell>
          <cell r="AM169">
            <v>18158246.506843481</v>
          </cell>
          <cell r="AN169">
            <v>-3820570.3299999996</v>
          </cell>
          <cell r="AO169">
            <v>32605244.972728383</v>
          </cell>
          <cell r="AP169">
            <v>0</v>
          </cell>
          <cell r="AQ169">
            <v>1499316.3299999996</v>
          </cell>
          <cell r="AR169">
            <v>0</v>
          </cell>
          <cell r="AS169">
            <v>0</v>
          </cell>
          <cell r="AT169">
            <v>195497192.47957185</v>
          </cell>
          <cell r="AU169">
            <v>4.4354457241586528E-3</v>
          </cell>
          <cell r="AV169">
            <v>0</v>
          </cell>
          <cell r="AW169">
            <v>0</v>
          </cell>
          <cell r="AY169">
            <v>0</v>
          </cell>
          <cell r="AZ169">
            <v>0</v>
          </cell>
          <cell r="BA169">
            <v>0</v>
          </cell>
          <cell r="BB169">
            <v>0</v>
          </cell>
          <cell r="BC169">
            <v>0</v>
          </cell>
          <cell r="BD169">
            <v>0</v>
          </cell>
          <cell r="BE169">
            <v>0</v>
          </cell>
          <cell r="BF169">
            <v>0</v>
          </cell>
          <cell r="BG169">
            <v>0</v>
          </cell>
          <cell r="BH169">
            <v>0</v>
          </cell>
          <cell r="BJ169">
            <v>0</v>
          </cell>
          <cell r="BL169">
            <v>0</v>
          </cell>
          <cell r="BM169">
            <v>0</v>
          </cell>
          <cell r="BN169">
            <v>0</v>
          </cell>
          <cell r="BO169">
            <v>0</v>
          </cell>
          <cell r="BQ169">
            <v>0</v>
          </cell>
          <cell r="BR169">
            <v>0</v>
          </cell>
          <cell r="BS169">
            <v>0</v>
          </cell>
          <cell r="BT169">
            <v>0</v>
          </cell>
          <cell r="CB169">
            <v>0</v>
          </cell>
          <cell r="CC169">
            <v>0</v>
          </cell>
          <cell r="CD169">
            <v>0</v>
          </cell>
          <cell r="CE169">
            <v>0</v>
          </cell>
          <cell r="CF169">
            <v>0</v>
          </cell>
          <cell r="CI169">
            <v>0</v>
          </cell>
          <cell r="CJ169">
            <v>0</v>
          </cell>
          <cell r="CK169">
            <v>0</v>
          </cell>
          <cell r="CV169">
            <v>4.4938371957256697E-3</v>
          </cell>
          <cell r="DG169">
            <v>195497193</v>
          </cell>
          <cell r="DR169">
            <v>66754769.790000111</v>
          </cell>
          <cell r="EC169">
            <v>2.9285876292436193</v>
          </cell>
          <cell r="EN169">
            <v>2.4095909012463064E-2</v>
          </cell>
        </row>
        <row r="170">
          <cell r="B170">
            <v>34501</v>
          </cell>
          <cell r="C170" t="str">
            <v>Mountain Community School</v>
          </cell>
          <cell r="D170">
            <v>5.1589004249023141E-5</v>
          </cell>
          <cell r="E170">
            <v>89261.00630734177</v>
          </cell>
          <cell r="F170">
            <v>69598.853669480595</v>
          </cell>
          <cell r="G170">
            <v>-31116</v>
          </cell>
          <cell r="H170">
            <v>-24906.992497708368</v>
          </cell>
          <cell r="I170">
            <v>-1030.6983440186962</v>
          </cell>
          <cell r="J170">
            <v>75323.801590224801</v>
          </cell>
          <cell r="K170">
            <v>0</v>
          </cell>
          <cell r="L170">
            <v>-3957.6375795763661</v>
          </cell>
          <cell r="M170">
            <v>710.22642310147455</v>
          </cell>
          <cell r="N170">
            <v>26.773661425158028</v>
          </cell>
          <cell r="O170">
            <v>-12.08266068516371</v>
          </cell>
          <cell r="P170">
            <v>0</v>
          </cell>
          <cell r="Q170">
            <v>0</v>
          </cell>
          <cell r="R170">
            <v>0</v>
          </cell>
          <cell r="S170">
            <v>173897.25056958519</v>
          </cell>
          <cell r="T170">
            <v>0</v>
          </cell>
          <cell r="U170">
            <v>376619.00795112399</v>
          </cell>
          <cell r="V170">
            <v>2840.9056924058982</v>
          </cell>
          <cell r="W170">
            <v>0</v>
          </cell>
          <cell r="X170">
            <v>379459.91364352987</v>
          </cell>
          <cell r="Y170">
            <v>155576.72</v>
          </cell>
          <cell r="Z170">
            <v>0</v>
          </cell>
          <cell r="AA170">
            <v>0</v>
          </cell>
          <cell r="AB170">
            <v>5153.4917200934806</v>
          </cell>
          <cell r="AC170">
            <v>160730.21172009347</v>
          </cell>
          <cell r="AD170" t="str">
            <v>N/A</v>
          </cell>
          <cell r="AE170">
            <v>43887</v>
          </cell>
          <cell r="AF170">
            <v>43887</v>
          </cell>
          <cell r="AG170">
            <v>43887</v>
          </cell>
          <cell r="AH170">
            <v>43887</v>
          </cell>
          <cell r="AI170">
            <v>43177</v>
          </cell>
          <cell r="AJ170">
            <v>0</v>
          </cell>
          <cell r="AK170">
            <v>218725</v>
          </cell>
          <cell r="AL170">
            <v>1895421</v>
          </cell>
          <cell r="AM170">
            <v>173897.25056958519</v>
          </cell>
          <cell r="AN170">
            <v>-43751.279999999992</v>
          </cell>
          <cell r="AO170">
            <v>374306.42192343646</v>
          </cell>
          <cell r="AP170">
            <v>0</v>
          </cell>
          <cell r="AQ170">
            <v>-155576.72</v>
          </cell>
          <cell r="AR170">
            <v>0</v>
          </cell>
          <cell r="AS170">
            <v>0</v>
          </cell>
          <cell r="AT170">
            <v>2244296.6724930215</v>
          </cell>
          <cell r="AU170">
            <v>5.7169358129020601E-5</v>
          </cell>
          <cell r="AV170">
            <v>0</v>
          </cell>
          <cell r="AW170">
            <v>0</v>
          </cell>
          <cell r="AY170">
            <v>0</v>
          </cell>
          <cell r="AZ170">
            <v>0</v>
          </cell>
          <cell r="BA170">
            <v>0</v>
          </cell>
          <cell r="BB170">
            <v>0</v>
          </cell>
          <cell r="BC170">
            <v>0</v>
          </cell>
          <cell r="BD170">
            <v>0</v>
          </cell>
          <cell r="BE170">
            <v>0</v>
          </cell>
          <cell r="BF170">
            <v>0</v>
          </cell>
          <cell r="BG170">
            <v>0</v>
          </cell>
          <cell r="BH170">
            <v>0</v>
          </cell>
          <cell r="BJ170">
            <v>0</v>
          </cell>
          <cell r="BL170">
            <v>0</v>
          </cell>
          <cell r="BM170">
            <v>0</v>
          </cell>
          <cell r="BN170">
            <v>0</v>
          </cell>
          <cell r="BO170">
            <v>0</v>
          </cell>
          <cell r="BQ170">
            <v>0</v>
          </cell>
          <cell r="BR170">
            <v>0</v>
          </cell>
          <cell r="BS170">
            <v>0</v>
          </cell>
          <cell r="BT170">
            <v>0</v>
          </cell>
          <cell r="CB170">
            <v>0</v>
          </cell>
          <cell r="CC170">
            <v>0</v>
          </cell>
          <cell r="CD170">
            <v>0</v>
          </cell>
          <cell r="CE170">
            <v>0</v>
          </cell>
          <cell r="CF170">
            <v>0</v>
          </cell>
          <cell r="CI170">
            <v>0</v>
          </cell>
          <cell r="CJ170">
            <v>0</v>
          </cell>
          <cell r="CK170">
            <v>0</v>
          </cell>
          <cell r="CV170">
            <v>5.1589004249023141E-5</v>
          </cell>
          <cell r="DG170">
            <v>2244297</v>
          </cell>
          <cell r="DR170">
            <v>756108.58000000007</v>
          </cell>
          <cell r="EC170">
            <v>2.9682205166882247</v>
          </cell>
          <cell r="EN170">
            <v>2.4095909012463064E-2</v>
          </cell>
        </row>
        <row r="171">
          <cell r="B171">
            <v>34505</v>
          </cell>
          <cell r="C171" t="str">
            <v>Blue Ridge Community College</v>
          </cell>
          <cell r="D171">
            <v>5.5545647658876765E-4</v>
          </cell>
          <cell r="E171">
            <v>961069.21972975775</v>
          </cell>
          <cell r="F171">
            <v>749367.71113582677</v>
          </cell>
          <cell r="G171">
            <v>37200</v>
          </cell>
          <cell r="H171">
            <v>-268172.46226383455</v>
          </cell>
          <cell r="I171">
            <v>-11097.482475741779</v>
          </cell>
          <cell r="J171">
            <v>811007.96659338346</v>
          </cell>
          <cell r="K171">
            <v>0</v>
          </cell>
          <cell r="L171">
            <v>-42611.704908191023</v>
          </cell>
          <cell r="M171">
            <v>7646.975790653265</v>
          </cell>
          <cell r="N171">
            <v>288.27080222003866</v>
          </cell>
          <cell r="O171">
            <v>-130.09346138185526</v>
          </cell>
          <cell r="P171">
            <v>0</v>
          </cell>
          <cell r="Q171">
            <v>0</v>
          </cell>
          <cell r="R171">
            <v>0</v>
          </cell>
          <cell r="S171">
            <v>2244568.4009426916</v>
          </cell>
          <cell r="T171">
            <v>186003.14999999991</v>
          </cell>
          <cell r="U171">
            <v>4055039.8329669177</v>
          </cell>
          <cell r="V171">
            <v>30587.90316261306</v>
          </cell>
          <cell r="W171">
            <v>0</v>
          </cell>
          <cell r="X171">
            <v>4271630.8861295311</v>
          </cell>
          <cell r="Y171">
            <v>0</v>
          </cell>
          <cell r="Z171">
            <v>0</v>
          </cell>
          <cell r="AA171">
            <v>0</v>
          </cell>
          <cell r="AB171">
            <v>55487.412378708897</v>
          </cell>
          <cell r="AC171">
            <v>55487.412378708897</v>
          </cell>
          <cell r="AD171" t="str">
            <v>N/A</v>
          </cell>
          <cell r="AE171">
            <v>844757</v>
          </cell>
          <cell r="AF171">
            <v>844758</v>
          </cell>
          <cell r="AG171">
            <v>844758</v>
          </cell>
          <cell r="AH171">
            <v>844758</v>
          </cell>
          <cell r="AI171">
            <v>837111</v>
          </cell>
          <cell r="AJ171">
            <v>0</v>
          </cell>
          <cell r="AK171">
            <v>4216142</v>
          </cell>
          <cell r="AL171">
            <v>18253907</v>
          </cell>
          <cell r="AM171">
            <v>2244568.4009426916</v>
          </cell>
          <cell r="AN171">
            <v>-550374.14999999991</v>
          </cell>
          <cell r="AO171">
            <v>4030140.3237508219</v>
          </cell>
          <cell r="AP171">
            <v>0</v>
          </cell>
          <cell r="AQ171">
            <v>186003.14999999991</v>
          </cell>
          <cell r="AR171">
            <v>0</v>
          </cell>
          <cell r="AS171">
            <v>0</v>
          </cell>
          <cell r="AT171">
            <v>24164244.724693514</v>
          </cell>
          <cell r="AU171">
            <v>5.5057112825791289E-4</v>
          </cell>
          <cell r="AV171">
            <v>0</v>
          </cell>
          <cell r="AW171">
            <v>0</v>
          </cell>
          <cell r="AY171">
            <v>0</v>
          </cell>
          <cell r="AZ171">
            <v>0</v>
          </cell>
          <cell r="BA171">
            <v>0</v>
          </cell>
          <cell r="BB171">
            <v>0</v>
          </cell>
          <cell r="BC171">
            <v>0</v>
          </cell>
          <cell r="BD171">
            <v>0</v>
          </cell>
          <cell r="BE171">
            <v>0</v>
          </cell>
          <cell r="BF171">
            <v>0</v>
          </cell>
          <cell r="BG171">
            <v>0</v>
          </cell>
          <cell r="BH171">
            <v>0</v>
          </cell>
          <cell r="BJ171">
            <v>0</v>
          </cell>
          <cell r="BL171">
            <v>0</v>
          </cell>
          <cell r="BM171">
            <v>0</v>
          </cell>
          <cell r="BN171">
            <v>0</v>
          </cell>
          <cell r="BO171">
            <v>0</v>
          </cell>
          <cell r="BQ171">
            <v>0</v>
          </cell>
          <cell r="BR171">
            <v>0</v>
          </cell>
          <cell r="BS171">
            <v>0</v>
          </cell>
          <cell r="BT171">
            <v>0</v>
          </cell>
          <cell r="CB171">
            <v>0</v>
          </cell>
          <cell r="CC171">
            <v>0</v>
          </cell>
          <cell r="CD171">
            <v>0</v>
          </cell>
          <cell r="CE171">
            <v>0</v>
          </cell>
          <cell r="CF171">
            <v>0</v>
          </cell>
          <cell r="CI171">
            <v>0</v>
          </cell>
          <cell r="CJ171">
            <v>0</v>
          </cell>
          <cell r="CK171">
            <v>0</v>
          </cell>
          <cell r="CV171">
            <v>5.5545647658876765E-4</v>
          </cell>
          <cell r="DG171">
            <v>24164245</v>
          </cell>
          <cell r="DR171">
            <v>9672640.7699999996</v>
          </cell>
          <cell r="EC171">
            <v>2.4982055650144859</v>
          </cell>
          <cell r="EN171">
            <v>2.4095909012463064E-2</v>
          </cell>
        </row>
        <row r="172">
          <cell r="B172">
            <v>34600</v>
          </cell>
          <cell r="C172" t="str">
            <v>Hertford County Schools</v>
          </cell>
          <cell r="D172">
            <v>1.0584263195967936E-3</v>
          </cell>
          <cell r="E172">
            <v>1831324.325108967</v>
          </cell>
          <cell r="F172">
            <v>1427925.5746429535</v>
          </cell>
          <cell r="G172">
            <v>-158584</v>
          </cell>
          <cell r="H172">
            <v>-511004.55969885475</v>
          </cell>
          <cell r="I172">
            <v>-21146.332842717649</v>
          </cell>
          <cell r="J172">
            <v>1545381.5256899509</v>
          </cell>
          <cell r="K172">
            <v>0</v>
          </cell>
          <cell r="L172">
            <v>-81196.910826754203</v>
          </cell>
          <cell r="M172">
            <v>14571.367484727582</v>
          </cell>
          <cell r="N172">
            <v>549.30209134434392</v>
          </cell>
          <cell r="O172">
            <v>-247.89402831276502</v>
          </cell>
          <cell r="P172">
            <v>0</v>
          </cell>
          <cell r="Q172">
            <v>0</v>
          </cell>
          <cell r="R172">
            <v>0</v>
          </cell>
          <cell r="S172">
            <v>4047572.3976213033</v>
          </cell>
          <cell r="T172">
            <v>31111.170000000042</v>
          </cell>
          <cell r="U172">
            <v>7726907.6284497548</v>
          </cell>
          <cell r="V172">
            <v>58285.469938910326</v>
          </cell>
          <cell r="W172">
            <v>0</v>
          </cell>
          <cell r="X172">
            <v>7816304.2683886653</v>
          </cell>
          <cell r="Y172">
            <v>824032</v>
          </cell>
          <cell r="Z172">
            <v>0</v>
          </cell>
          <cell r="AA172">
            <v>0</v>
          </cell>
          <cell r="AB172">
            <v>105731.66421358824</v>
          </cell>
          <cell r="AC172">
            <v>929763.66421358823</v>
          </cell>
          <cell r="AD172" t="str">
            <v>N/A</v>
          </cell>
          <cell r="AE172">
            <v>1380223</v>
          </cell>
          <cell r="AF172">
            <v>1380222</v>
          </cell>
          <cell r="AG172">
            <v>1380222</v>
          </cell>
          <cell r="AH172">
            <v>1380222</v>
          </cell>
          <cell r="AI172">
            <v>1365650</v>
          </cell>
          <cell r="AJ172">
            <v>0</v>
          </cell>
          <cell r="AK172">
            <v>6886539</v>
          </cell>
          <cell r="AL172">
            <v>36080426</v>
          </cell>
          <cell r="AM172">
            <v>4047572.3976213033</v>
          </cell>
          <cell r="AN172">
            <v>-969396.17</v>
          </cell>
          <cell r="AO172">
            <v>7679461.4341750769</v>
          </cell>
          <cell r="AP172">
            <v>0</v>
          </cell>
          <cell r="AQ172">
            <v>-792920.83</v>
          </cell>
          <cell r="AR172">
            <v>0</v>
          </cell>
          <cell r="AS172">
            <v>0</v>
          </cell>
          <cell r="AT172">
            <v>46045142.831796378</v>
          </cell>
          <cell r="AU172">
            <v>1.0882514752291229E-3</v>
          </cell>
          <cell r="AV172">
            <v>0</v>
          </cell>
          <cell r="AW172">
            <v>0</v>
          </cell>
          <cell r="AY172">
            <v>0</v>
          </cell>
          <cell r="AZ172">
            <v>0</v>
          </cell>
          <cell r="BA172">
            <v>0</v>
          </cell>
          <cell r="BB172">
            <v>0</v>
          </cell>
          <cell r="BC172">
            <v>0</v>
          </cell>
          <cell r="BD172">
            <v>0</v>
          </cell>
          <cell r="BE172">
            <v>0</v>
          </cell>
          <cell r="BF172">
            <v>0</v>
          </cell>
          <cell r="BG172">
            <v>0</v>
          </cell>
          <cell r="BH172">
            <v>0</v>
          </cell>
          <cell r="BJ172">
            <v>0</v>
          </cell>
          <cell r="BL172">
            <v>0</v>
          </cell>
          <cell r="BM172">
            <v>0</v>
          </cell>
          <cell r="BN172">
            <v>0</v>
          </cell>
          <cell r="BO172">
            <v>0</v>
          </cell>
          <cell r="BQ172">
            <v>0</v>
          </cell>
          <cell r="BR172">
            <v>0</v>
          </cell>
          <cell r="BS172">
            <v>0</v>
          </cell>
          <cell r="BT172">
            <v>0</v>
          </cell>
          <cell r="CB172">
            <v>0</v>
          </cell>
          <cell r="CC172">
            <v>0</v>
          </cell>
          <cell r="CD172">
            <v>0</v>
          </cell>
          <cell r="CE172">
            <v>0</v>
          </cell>
          <cell r="CF172">
            <v>0</v>
          </cell>
          <cell r="CI172">
            <v>0</v>
          </cell>
          <cell r="CJ172">
            <v>0</v>
          </cell>
          <cell r="CK172">
            <v>0</v>
          </cell>
          <cell r="CV172">
            <v>1.0584263195967936E-3</v>
          </cell>
          <cell r="DG172">
            <v>46045142</v>
          </cell>
          <cell r="DR172">
            <v>16910461.929999992</v>
          </cell>
          <cell r="EC172">
            <v>2.7228790195443242</v>
          </cell>
          <cell r="EN172">
            <v>2.4095909012463064E-2</v>
          </cell>
        </row>
        <row r="173">
          <cell r="B173">
            <v>34605</v>
          </cell>
          <cell r="C173" t="str">
            <v>Roanoke-Chowan Community College</v>
          </cell>
          <cell r="D173">
            <v>2.4764422203784329E-4</v>
          </cell>
          <cell r="E173">
            <v>428482.24708107725</v>
          </cell>
          <cell r="F173">
            <v>334097.43457164289</v>
          </cell>
          <cell r="G173">
            <v>62984</v>
          </cell>
          <cell r="H173">
            <v>-119561.77232310474</v>
          </cell>
          <cell r="I173">
            <v>-4947.6917276424574</v>
          </cell>
          <cell r="J173">
            <v>361579.07130175503</v>
          </cell>
          <cell r="K173">
            <v>0</v>
          </cell>
          <cell r="L173">
            <v>-18997.964658728233</v>
          </cell>
          <cell r="M173">
            <v>3409.3208926980833</v>
          </cell>
          <cell r="N173">
            <v>128.52239835319992</v>
          </cell>
          <cell r="O173">
            <v>-58.000753243483274</v>
          </cell>
          <cell r="P173">
            <v>0</v>
          </cell>
          <cell r="Q173">
            <v>0</v>
          </cell>
          <cell r="R173">
            <v>0</v>
          </cell>
          <cell r="S173">
            <v>1047115.1667828076</v>
          </cell>
          <cell r="T173">
            <v>314917.58999999997</v>
          </cell>
          <cell r="U173">
            <v>1807895.3565087754</v>
          </cell>
          <cell r="V173">
            <v>13637.283570792333</v>
          </cell>
          <cell r="W173">
            <v>0</v>
          </cell>
          <cell r="X173">
            <v>2136450.230079568</v>
          </cell>
          <cell r="Y173">
            <v>0</v>
          </cell>
          <cell r="Z173">
            <v>0</v>
          </cell>
          <cell r="AA173">
            <v>0</v>
          </cell>
          <cell r="AB173">
            <v>24738.458638212287</v>
          </cell>
          <cell r="AC173">
            <v>24738.458638212287</v>
          </cell>
          <cell r="AD173" t="str">
            <v>N/A</v>
          </cell>
          <cell r="AE173">
            <v>423025</v>
          </cell>
          <cell r="AF173">
            <v>423025</v>
          </cell>
          <cell r="AG173">
            <v>423025</v>
          </cell>
          <cell r="AH173">
            <v>423025</v>
          </cell>
          <cell r="AI173">
            <v>419615</v>
          </cell>
          <cell r="AJ173">
            <v>0</v>
          </cell>
          <cell r="AK173">
            <v>2111715</v>
          </cell>
          <cell r="AL173">
            <v>7856029</v>
          </cell>
          <cell r="AM173">
            <v>1047115.1667828076</v>
          </cell>
          <cell r="AN173">
            <v>-241490.59</v>
          </cell>
          <cell r="AO173">
            <v>1796794.1814413555</v>
          </cell>
          <cell r="AP173">
            <v>0</v>
          </cell>
          <cell r="AQ173">
            <v>314917.58999999997</v>
          </cell>
          <cell r="AR173">
            <v>0</v>
          </cell>
          <cell r="AS173">
            <v>0</v>
          </cell>
          <cell r="AT173">
            <v>10773365.348224163</v>
          </cell>
          <cell r="AU173">
            <v>2.3695216199379654E-4</v>
          </cell>
          <cell r="AV173">
            <v>0</v>
          </cell>
          <cell r="AW173">
            <v>0</v>
          </cell>
          <cell r="AY173">
            <v>0</v>
          </cell>
          <cell r="AZ173">
            <v>0</v>
          </cell>
          <cell r="BA173">
            <v>0</v>
          </cell>
          <cell r="BB173">
            <v>0</v>
          </cell>
          <cell r="BC173">
            <v>0</v>
          </cell>
          <cell r="BD173">
            <v>0</v>
          </cell>
          <cell r="BE173">
            <v>0</v>
          </cell>
          <cell r="BF173">
            <v>0</v>
          </cell>
          <cell r="BG173">
            <v>0</v>
          </cell>
          <cell r="BH173">
            <v>0</v>
          </cell>
          <cell r="BJ173">
            <v>0</v>
          </cell>
          <cell r="BL173">
            <v>0</v>
          </cell>
          <cell r="BM173">
            <v>0</v>
          </cell>
          <cell r="BN173">
            <v>0</v>
          </cell>
          <cell r="BO173">
            <v>0</v>
          </cell>
          <cell r="BQ173">
            <v>0</v>
          </cell>
          <cell r="BR173">
            <v>0</v>
          </cell>
          <cell r="BS173">
            <v>0</v>
          </cell>
          <cell r="BT173">
            <v>0</v>
          </cell>
          <cell r="CB173">
            <v>0</v>
          </cell>
          <cell r="CC173">
            <v>0</v>
          </cell>
          <cell r="CD173">
            <v>0</v>
          </cell>
          <cell r="CE173">
            <v>0</v>
          </cell>
          <cell r="CF173">
            <v>0</v>
          </cell>
          <cell r="CI173">
            <v>0</v>
          </cell>
          <cell r="CJ173">
            <v>0</v>
          </cell>
          <cell r="CK173">
            <v>0</v>
          </cell>
          <cell r="CV173">
            <v>2.4764422203784329E-4</v>
          </cell>
          <cell r="DG173">
            <v>10773365</v>
          </cell>
          <cell r="DR173">
            <v>4201772.21</v>
          </cell>
          <cell r="EC173">
            <v>2.5640050106381183</v>
          </cell>
          <cell r="EN173">
            <v>2.4095909012463064E-2</v>
          </cell>
        </row>
        <row r="174">
          <cell r="B174">
            <v>34700</v>
          </cell>
          <cell r="C174" t="str">
            <v>Hoke County Schools</v>
          </cell>
          <cell r="D174">
            <v>2.9499284301126028E-3</v>
          </cell>
          <cell r="E174">
            <v>5104064.0159569234</v>
          </cell>
          <cell r="F174">
            <v>3979755.7663992965</v>
          </cell>
          <cell r="G174">
            <v>731778</v>
          </cell>
          <cell r="H174">
            <v>-1424215.2246809935</v>
          </cell>
          <cell r="I174">
            <v>-58936.713203730906</v>
          </cell>
          <cell r="J174">
            <v>4307115.964142154</v>
          </cell>
          <cell r="K174">
            <v>0</v>
          </cell>
          <cell r="L174">
            <v>-226303.02294108376</v>
          </cell>
          <cell r="M174">
            <v>40611.699097950586</v>
          </cell>
          <cell r="N174">
            <v>1530.9538566598385</v>
          </cell>
          <cell r="O174">
            <v>-690.90273761667265</v>
          </cell>
          <cell r="P174">
            <v>0</v>
          </cell>
          <cell r="Q174">
            <v>0</v>
          </cell>
          <cell r="R174">
            <v>0</v>
          </cell>
          <cell r="S174">
            <v>12454710.535889557</v>
          </cell>
          <cell r="T174">
            <v>3920876</v>
          </cell>
          <cell r="U174">
            <v>21535579.820710771</v>
          </cell>
          <cell r="V174">
            <v>162446.79639180235</v>
          </cell>
          <cell r="W174">
            <v>0</v>
          </cell>
          <cell r="X174">
            <v>25618902.617102575</v>
          </cell>
          <cell r="Y174">
            <v>261986.9700000002</v>
          </cell>
          <cell r="Z174">
            <v>0</v>
          </cell>
          <cell r="AA174">
            <v>0</v>
          </cell>
          <cell r="AB174">
            <v>294683.5660186545</v>
          </cell>
          <cell r="AC174">
            <v>556670.5360186547</v>
          </cell>
          <cell r="AD174" t="str">
            <v>N/A</v>
          </cell>
          <cell r="AE174">
            <v>5020569</v>
          </cell>
          <cell r="AF174">
            <v>5020569</v>
          </cell>
          <cell r="AG174">
            <v>5020569</v>
          </cell>
          <cell r="AH174">
            <v>5020569</v>
          </cell>
          <cell r="AI174">
            <v>4979957</v>
          </cell>
          <cell r="AJ174">
            <v>0</v>
          </cell>
          <cell r="AK174">
            <v>25062233</v>
          </cell>
          <cell r="AL174">
            <v>93098331</v>
          </cell>
          <cell r="AM174">
            <v>12454710.535889557</v>
          </cell>
          <cell r="AN174">
            <v>-2283360.0299999998</v>
          </cell>
          <cell r="AO174">
            <v>21403343.051083922</v>
          </cell>
          <cell r="AP174">
            <v>0</v>
          </cell>
          <cell r="AQ174">
            <v>3658889.03</v>
          </cell>
          <cell r="AR174">
            <v>0</v>
          </cell>
          <cell r="AS174">
            <v>0</v>
          </cell>
          <cell r="AT174">
            <v>128331913.58697347</v>
          </cell>
          <cell r="AU174">
            <v>2.808015515772702E-3</v>
          </cell>
          <cell r="AV174">
            <v>0</v>
          </cell>
          <cell r="AW174">
            <v>0</v>
          </cell>
          <cell r="AY174">
            <v>0</v>
          </cell>
          <cell r="AZ174">
            <v>0</v>
          </cell>
          <cell r="BA174">
            <v>0</v>
          </cell>
          <cell r="BB174">
            <v>0</v>
          </cell>
          <cell r="BC174">
            <v>0</v>
          </cell>
          <cell r="BD174">
            <v>0</v>
          </cell>
          <cell r="BE174">
            <v>0</v>
          </cell>
          <cell r="BF174">
            <v>0</v>
          </cell>
          <cell r="BG174">
            <v>0</v>
          </cell>
          <cell r="BH174">
            <v>0</v>
          </cell>
          <cell r="BJ174">
            <v>0</v>
          </cell>
          <cell r="BL174">
            <v>0</v>
          </cell>
          <cell r="BM174">
            <v>0</v>
          </cell>
          <cell r="BN174">
            <v>0</v>
          </cell>
          <cell r="BO174">
            <v>0</v>
          </cell>
          <cell r="BQ174">
            <v>0</v>
          </cell>
          <cell r="BR174">
            <v>0</v>
          </cell>
          <cell r="BS174">
            <v>0</v>
          </cell>
          <cell r="BT174">
            <v>0</v>
          </cell>
          <cell r="CB174">
            <v>0</v>
          </cell>
          <cell r="CC174">
            <v>0</v>
          </cell>
          <cell r="CD174">
            <v>0</v>
          </cell>
          <cell r="CE174">
            <v>0</v>
          </cell>
          <cell r="CF174">
            <v>0</v>
          </cell>
          <cell r="CI174">
            <v>0</v>
          </cell>
          <cell r="CJ174">
            <v>0</v>
          </cell>
          <cell r="CK174">
            <v>0</v>
          </cell>
          <cell r="CV174">
            <v>2.9499284301126028E-3</v>
          </cell>
          <cell r="DG174">
            <v>128331914</v>
          </cell>
          <cell r="DR174">
            <v>39591307.19000005</v>
          </cell>
          <cell r="EC174">
            <v>3.2414164398293472</v>
          </cell>
          <cell r="EN174">
            <v>2.4095909012463064E-2</v>
          </cell>
        </row>
        <row r="175">
          <cell r="B175">
            <v>34800</v>
          </cell>
          <cell r="C175" t="str">
            <v>Hyde County Schools</v>
          </cell>
          <cell r="D175">
            <v>3.0197101229566622E-4</v>
          </cell>
          <cell r="E175">
            <v>522480.26155046851</v>
          </cell>
          <cell r="F175">
            <v>407389.84214042005</v>
          </cell>
          <cell r="G175">
            <v>96968</v>
          </cell>
          <cell r="H175">
            <v>-145790.55841954879</v>
          </cell>
          <cell r="I175">
            <v>-6033.0883847343493</v>
          </cell>
          <cell r="J175">
            <v>440900.24506702495</v>
          </cell>
          <cell r="K175">
            <v>0</v>
          </cell>
          <cell r="L175">
            <v>-23165.630808365044</v>
          </cell>
          <cell r="M175">
            <v>4157.2384477093956</v>
          </cell>
          <cell r="N175">
            <v>156.71691596120485</v>
          </cell>
          <cell r="O175">
            <v>-70.724630789767986</v>
          </cell>
          <cell r="P175">
            <v>0</v>
          </cell>
          <cell r="Q175">
            <v>0</v>
          </cell>
          <cell r="R175">
            <v>0</v>
          </cell>
          <cell r="S175">
            <v>1296992.3018781461</v>
          </cell>
          <cell r="T175">
            <v>484837.2</v>
          </cell>
          <cell r="U175">
            <v>2204501.2253351249</v>
          </cell>
          <cell r="V175">
            <v>16628.953790837582</v>
          </cell>
          <cell r="W175">
            <v>0</v>
          </cell>
          <cell r="X175">
            <v>2705967.3791259625</v>
          </cell>
          <cell r="Y175">
            <v>0</v>
          </cell>
          <cell r="Z175">
            <v>0</v>
          </cell>
          <cell r="AA175">
            <v>0</v>
          </cell>
          <cell r="AB175">
            <v>30165.441923671748</v>
          </cell>
          <cell r="AC175">
            <v>30165.441923671748</v>
          </cell>
          <cell r="AD175" t="str">
            <v>N/A</v>
          </cell>
          <cell r="AE175">
            <v>535992</v>
          </cell>
          <cell r="AF175">
            <v>535992</v>
          </cell>
          <cell r="AG175">
            <v>535992</v>
          </cell>
          <cell r="AH175">
            <v>535992</v>
          </cell>
          <cell r="AI175">
            <v>531835</v>
          </cell>
          <cell r="AJ175">
            <v>0</v>
          </cell>
          <cell r="AK175">
            <v>2675803</v>
          </cell>
          <cell r="AL175">
            <v>9466808</v>
          </cell>
          <cell r="AM175">
            <v>1296992.3018781461</v>
          </cell>
          <cell r="AN175">
            <v>-302836.2</v>
          </cell>
          <cell r="AO175">
            <v>2190964.7372022909</v>
          </cell>
          <cell r="AP175">
            <v>0</v>
          </cell>
          <cell r="AQ175">
            <v>484837.2</v>
          </cell>
          <cell r="AR175">
            <v>0</v>
          </cell>
          <cell r="AS175">
            <v>0</v>
          </cell>
          <cell r="AT175">
            <v>13136766.039080437</v>
          </cell>
          <cell r="AU175">
            <v>2.8553619787913319E-4</v>
          </cell>
          <cell r="AV175">
            <v>0</v>
          </cell>
          <cell r="AW175">
            <v>0</v>
          </cell>
          <cell r="AY175">
            <v>0</v>
          </cell>
          <cell r="AZ175">
            <v>0</v>
          </cell>
          <cell r="BA175">
            <v>0</v>
          </cell>
          <cell r="BB175">
            <v>0</v>
          </cell>
          <cell r="BC175">
            <v>0</v>
          </cell>
          <cell r="BD175">
            <v>0</v>
          </cell>
          <cell r="BE175">
            <v>0</v>
          </cell>
          <cell r="BF175">
            <v>0</v>
          </cell>
          <cell r="BG175">
            <v>0</v>
          </cell>
          <cell r="BH175">
            <v>0</v>
          </cell>
          <cell r="BJ175">
            <v>0</v>
          </cell>
          <cell r="BL175">
            <v>0</v>
          </cell>
          <cell r="BM175">
            <v>0</v>
          </cell>
          <cell r="BN175">
            <v>0</v>
          </cell>
          <cell r="BO175">
            <v>0</v>
          </cell>
          <cell r="BQ175">
            <v>0</v>
          </cell>
          <cell r="BR175">
            <v>0</v>
          </cell>
          <cell r="BS175">
            <v>0</v>
          </cell>
          <cell r="BT175">
            <v>0</v>
          </cell>
          <cell r="CB175">
            <v>0</v>
          </cell>
          <cell r="CC175">
            <v>0</v>
          </cell>
          <cell r="CD175">
            <v>0</v>
          </cell>
          <cell r="CE175">
            <v>0</v>
          </cell>
          <cell r="CF175">
            <v>0</v>
          </cell>
          <cell r="CI175">
            <v>0</v>
          </cell>
          <cell r="CJ175">
            <v>0</v>
          </cell>
          <cell r="CK175">
            <v>0</v>
          </cell>
          <cell r="CV175">
            <v>3.0197101229566622E-4</v>
          </cell>
          <cell r="DG175">
            <v>13136765</v>
          </cell>
          <cell r="DR175">
            <v>5121679.4700000016</v>
          </cell>
          <cell r="EC175">
            <v>2.5649330609125363</v>
          </cell>
          <cell r="EN175">
            <v>2.4095909012463064E-2</v>
          </cell>
        </row>
        <row r="176">
          <cell r="B176">
            <v>34900</v>
          </cell>
          <cell r="C176" t="str">
            <v>Iredell County Schools</v>
          </cell>
          <cell r="D176">
            <v>6.4268871434988049E-3</v>
          </cell>
          <cell r="E176">
            <v>11120013.309101295</v>
          </cell>
          <cell r="F176">
            <v>8670529.3959828522</v>
          </cell>
          <cell r="G176">
            <v>-645571</v>
          </cell>
          <cell r="H176">
            <v>-3102878.8439888172</v>
          </cell>
          <cell r="I176">
            <v>-128402.98106984103</v>
          </cell>
          <cell r="J176">
            <v>9383735.5282707773</v>
          </cell>
          <cell r="K176">
            <v>0</v>
          </cell>
          <cell r="L176">
            <v>-493037.04246799269</v>
          </cell>
          <cell r="M176">
            <v>88479.030251692457</v>
          </cell>
          <cell r="N176">
            <v>3335.4258897330096</v>
          </cell>
          <cell r="O176">
            <v>-1505.2412378788551</v>
          </cell>
          <cell r="P176">
            <v>0</v>
          </cell>
          <cell r="Q176">
            <v>0</v>
          </cell>
          <cell r="R176">
            <v>0</v>
          </cell>
          <cell r="S176">
            <v>24894697.58073182</v>
          </cell>
          <cell r="T176">
            <v>0</v>
          </cell>
          <cell r="U176">
            <v>46918677.64135389</v>
          </cell>
          <cell r="V176">
            <v>353916.12100676983</v>
          </cell>
          <cell r="W176">
            <v>0</v>
          </cell>
          <cell r="X176">
            <v>47272593.762360662</v>
          </cell>
          <cell r="Y176">
            <v>3227851.1899999995</v>
          </cell>
          <cell r="Z176">
            <v>0</v>
          </cell>
          <cell r="AA176">
            <v>0</v>
          </cell>
          <cell r="AB176">
            <v>642014.90534920513</v>
          </cell>
          <cell r="AC176">
            <v>3869866.0953492047</v>
          </cell>
          <cell r="AD176" t="str">
            <v>N/A</v>
          </cell>
          <cell r="AE176">
            <v>8698242</v>
          </cell>
          <cell r="AF176">
            <v>8698241</v>
          </cell>
          <cell r="AG176">
            <v>8698241</v>
          </cell>
          <cell r="AH176">
            <v>8698241</v>
          </cell>
          <cell r="AI176">
            <v>8609762</v>
          </cell>
          <cell r="AJ176">
            <v>0</v>
          </cell>
          <cell r="AK176">
            <v>43402727</v>
          </cell>
          <cell r="AL176">
            <v>216810108</v>
          </cell>
          <cell r="AM176">
            <v>24894697.58073182</v>
          </cell>
          <cell r="AN176">
            <v>-5516097.8100000005</v>
          </cell>
          <cell r="AO176">
            <v>46630578.85701146</v>
          </cell>
          <cell r="AP176">
            <v>0</v>
          </cell>
          <cell r="AQ176">
            <v>-3227851.1899999995</v>
          </cell>
          <cell r="AR176">
            <v>0</v>
          </cell>
          <cell r="AS176">
            <v>0</v>
          </cell>
          <cell r="AT176">
            <v>279591435.43774325</v>
          </cell>
          <cell r="AU176">
            <v>6.5393884122890216E-3</v>
          </cell>
          <cell r="AV176">
            <v>0</v>
          </cell>
          <cell r="AW176">
            <v>0</v>
          </cell>
          <cell r="AY176">
            <v>0</v>
          </cell>
          <cell r="AZ176">
            <v>0</v>
          </cell>
          <cell r="BA176">
            <v>0</v>
          </cell>
          <cell r="BB176">
            <v>0</v>
          </cell>
          <cell r="BC176">
            <v>0</v>
          </cell>
          <cell r="BD176">
            <v>0</v>
          </cell>
          <cell r="BE176">
            <v>0</v>
          </cell>
          <cell r="BF176">
            <v>0</v>
          </cell>
          <cell r="BG176">
            <v>0</v>
          </cell>
          <cell r="BH176">
            <v>0</v>
          </cell>
          <cell r="BJ176">
            <v>0</v>
          </cell>
          <cell r="BL176">
            <v>0</v>
          </cell>
          <cell r="BM176">
            <v>0</v>
          </cell>
          <cell r="BN176">
            <v>0</v>
          </cell>
          <cell r="BO176">
            <v>0</v>
          </cell>
          <cell r="BQ176">
            <v>0</v>
          </cell>
          <cell r="BR176">
            <v>0</v>
          </cell>
          <cell r="BS176">
            <v>0</v>
          </cell>
          <cell r="BT176">
            <v>0</v>
          </cell>
          <cell r="CB176">
            <v>0</v>
          </cell>
          <cell r="CC176">
            <v>0</v>
          </cell>
          <cell r="CD176">
            <v>0</v>
          </cell>
          <cell r="CE176">
            <v>0</v>
          </cell>
          <cell r="CF176">
            <v>0</v>
          </cell>
          <cell r="CI176">
            <v>0</v>
          </cell>
          <cell r="CJ176">
            <v>0</v>
          </cell>
          <cell r="CK176">
            <v>0</v>
          </cell>
          <cell r="CV176">
            <v>6.4268871434988049E-3</v>
          </cell>
          <cell r="DG176">
            <v>279591436</v>
          </cell>
          <cell r="DR176">
            <v>96933813.520000041</v>
          </cell>
          <cell r="EC176">
            <v>2.8843540334076798</v>
          </cell>
          <cell r="EN176">
            <v>2.4095909012463064E-2</v>
          </cell>
        </row>
        <row r="177">
          <cell r="B177">
            <v>34901</v>
          </cell>
          <cell r="C177" t="str">
            <v>American Renaissance Middle School</v>
          </cell>
          <cell r="D177">
            <v>1.6389090689676063E-4</v>
          </cell>
          <cell r="E177">
            <v>283569.4832102661</v>
          </cell>
          <cell r="F177">
            <v>221105.62925009546</v>
          </cell>
          <cell r="G177">
            <v>47511</v>
          </cell>
          <cell r="H177">
            <v>-79125.961974688282</v>
          </cell>
          <cell r="I177">
            <v>-3274.3816012190641</v>
          </cell>
          <cell r="J177">
            <v>239292.97208265768</v>
          </cell>
          <cell r="K177">
            <v>0</v>
          </cell>
          <cell r="L177">
            <v>-12572.850000254719</v>
          </cell>
          <cell r="M177">
            <v>2256.2880264615142</v>
          </cell>
          <cell r="N177">
            <v>85.056102861280834</v>
          </cell>
          <cell r="O177">
            <v>-38.384889304290304</v>
          </cell>
          <cell r="P177">
            <v>0</v>
          </cell>
          <cell r="Q177">
            <v>0</v>
          </cell>
          <cell r="R177">
            <v>0</v>
          </cell>
          <cell r="S177">
            <v>698808.85020687571</v>
          </cell>
          <cell r="T177">
            <v>255662</v>
          </cell>
          <cell r="U177">
            <v>1196464.8604132885</v>
          </cell>
          <cell r="V177">
            <v>9025.1521058460567</v>
          </cell>
          <cell r="W177">
            <v>0</v>
          </cell>
          <cell r="X177">
            <v>1461152.0125191344</v>
          </cell>
          <cell r="Y177">
            <v>18112.839999999982</v>
          </cell>
          <cell r="Z177">
            <v>0</v>
          </cell>
          <cell r="AA177">
            <v>0</v>
          </cell>
          <cell r="AB177">
            <v>16371.90800609532</v>
          </cell>
          <cell r="AC177">
            <v>34484.748006095302</v>
          </cell>
          <cell r="AD177" t="str">
            <v>N/A</v>
          </cell>
          <cell r="AE177">
            <v>285784</v>
          </cell>
          <cell r="AF177">
            <v>285786</v>
          </cell>
          <cell r="AG177">
            <v>285786</v>
          </cell>
          <cell r="AH177">
            <v>285786</v>
          </cell>
          <cell r="AI177">
            <v>283530</v>
          </cell>
          <cell r="AJ177">
            <v>0</v>
          </cell>
          <cell r="AK177">
            <v>1426672</v>
          </cell>
          <cell r="AL177">
            <v>5126925</v>
          </cell>
          <cell r="AM177">
            <v>698808.85020687571</v>
          </cell>
          <cell r="AN177">
            <v>-122589.16000000002</v>
          </cell>
          <cell r="AO177">
            <v>1189118.1045130391</v>
          </cell>
          <cell r="AP177">
            <v>0</v>
          </cell>
          <cell r="AQ177">
            <v>237549.16000000003</v>
          </cell>
          <cell r="AR177">
            <v>0</v>
          </cell>
          <cell r="AS177">
            <v>0</v>
          </cell>
          <cell r="AT177">
            <v>7129811.9547199151</v>
          </cell>
          <cell r="AU177">
            <v>1.5463741092972694E-4</v>
          </cell>
          <cell r="AV177">
            <v>0</v>
          </cell>
          <cell r="AW177">
            <v>0</v>
          </cell>
          <cell r="AY177">
            <v>0</v>
          </cell>
          <cell r="AZ177">
            <v>0</v>
          </cell>
          <cell r="BA177">
            <v>0</v>
          </cell>
          <cell r="BB177">
            <v>0</v>
          </cell>
          <cell r="BC177">
            <v>0</v>
          </cell>
          <cell r="BD177">
            <v>0</v>
          </cell>
          <cell r="BE177">
            <v>0</v>
          </cell>
          <cell r="BF177">
            <v>0</v>
          </cell>
          <cell r="BG177">
            <v>0</v>
          </cell>
          <cell r="BH177">
            <v>0</v>
          </cell>
          <cell r="BJ177">
            <v>0</v>
          </cell>
          <cell r="BL177">
            <v>0</v>
          </cell>
          <cell r="BM177">
            <v>0</v>
          </cell>
          <cell r="BN177">
            <v>0</v>
          </cell>
          <cell r="BO177">
            <v>0</v>
          </cell>
          <cell r="BQ177">
            <v>0</v>
          </cell>
          <cell r="BR177">
            <v>0</v>
          </cell>
          <cell r="BS177">
            <v>0</v>
          </cell>
          <cell r="BT177">
            <v>0</v>
          </cell>
          <cell r="CB177">
            <v>0</v>
          </cell>
          <cell r="CC177">
            <v>0</v>
          </cell>
          <cell r="CD177">
            <v>0</v>
          </cell>
          <cell r="CE177">
            <v>0</v>
          </cell>
          <cell r="CF177">
            <v>0</v>
          </cell>
          <cell r="CI177">
            <v>0</v>
          </cell>
          <cell r="CJ177">
            <v>0</v>
          </cell>
          <cell r="CK177">
            <v>0</v>
          </cell>
          <cell r="CV177">
            <v>1.6389090689676063E-4</v>
          </cell>
          <cell r="DG177">
            <v>7129812</v>
          </cell>
          <cell r="DR177">
            <v>2162233.81</v>
          </cell>
          <cell r="EC177">
            <v>3.2974287826902495</v>
          </cell>
          <cell r="EN177">
            <v>2.4095909012463064E-2</v>
          </cell>
        </row>
        <row r="178">
          <cell r="B178">
            <v>34903</v>
          </cell>
          <cell r="C178" t="str">
            <v>Success Institute</v>
          </cell>
          <cell r="D178">
            <v>1.0277800466765437E-5</v>
          </cell>
          <cell r="E178">
            <v>17782.99127196124</v>
          </cell>
          <cell r="F178">
            <v>13865.806117862256</v>
          </cell>
          <cell r="G178">
            <v>-27445</v>
          </cell>
          <cell r="H178">
            <v>-4962.0864532099895</v>
          </cell>
          <cell r="I178">
            <v>-205.34049988860383</v>
          </cell>
          <cell r="J178">
            <v>15006.356769470283</v>
          </cell>
          <cell r="K178">
            <v>0</v>
          </cell>
          <cell r="L178">
            <v>-788.45889651821733</v>
          </cell>
          <cell r="M178">
            <v>141.49459888052991</v>
          </cell>
          <cell r="N178">
            <v>5.3339728862419262</v>
          </cell>
          <cell r="O178">
            <v>-2.4071636473211329</v>
          </cell>
          <cell r="P178">
            <v>0</v>
          </cell>
          <cell r="Q178">
            <v>0</v>
          </cell>
          <cell r="R178">
            <v>0</v>
          </cell>
          <cell r="S178">
            <v>13398.689717796418</v>
          </cell>
          <cell r="T178">
            <v>5130.6699999999983</v>
          </cell>
          <cell r="U178">
            <v>75031.783847351413</v>
          </cell>
          <cell r="V178">
            <v>565.97839552211963</v>
          </cell>
          <cell r="W178">
            <v>0</v>
          </cell>
          <cell r="X178">
            <v>80728.432242873532</v>
          </cell>
          <cell r="Y178">
            <v>142353</v>
          </cell>
          <cell r="Z178">
            <v>0</v>
          </cell>
          <cell r="AA178">
            <v>0</v>
          </cell>
          <cell r="AB178">
            <v>1026.7024994430192</v>
          </cell>
          <cell r="AC178">
            <v>143379.70249944302</v>
          </cell>
          <cell r="AD178" t="str">
            <v>N/A</v>
          </cell>
          <cell r="AE178">
            <v>-12502</v>
          </cell>
          <cell r="AF178">
            <v>-12502</v>
          </cell>
          <cell r="AG178">
            <v>-12502</v>
          </cell>
          <cell r="AH178">
            <v>-12502</v>
          </cell>
          <cell r="AI178">
            <v>-12644</v>
          </cell>
          <cell r="AJ178">
            <v>0</v>
          </cell>
          <cell r="AK178">
            <v>-62652</v>
          </cell>
          <cell r="AL178">
            <v>511579</v>
          </cell>
          <cell r="AM178">
            <v>13398.689717796418</v>
          </cell>
          <cell r="AN178">
            <v>-15207.669999999998</v>
          </cell>
          <cell r="AO178">
            <v>74571.059743430524</v>
          </cell>
          <cell r="AP178">
            <v>0</v>
          </cell>
          <cell r="AQ178">
            <v>-137222.33000000002</v>
          </cell>
          <cell r="AR178">
            <v>0</v>
          </cell>
          <cell r="AS178">
            <v>0</v>
          </cell>
          <cell r="AT178">
            <v>447118.74946122692</v>
          </cell>
          <cell r="AU178">
            <v>1.5430163940450943E-5</v>
          </cell>
          <cell r="AV178">
            <v>0</v>
          </cell>
          <cell r="AW178">
            <v>0</v>
          </cell>
          <cell r="AY178">
            <v>0</v>
          </cell>
          <cell r="AZ178">
            <v>0</v>
          </cell>
          <cell r="BA178">
            <v>0</v>
          </cell>
          <cell r="BB178">
            <v>0</v>
          </cell>
          <cell r="BC178">
            <v>0</v>
          </cell>
          <cell r="BD178">
            <v>0</v>
          </cell>
          <cell r="BE178">
            <v>0</v>
          </cell>
          <cell r="BF178">
            <v>0</v>
          </cell>
          <cell r="BG178">
            <v>0</v>
          </cell>
          <cell r="BH178">
            <v>0</v>
          </cell>
          <cell r="BJ178">
            <v>0</v>
          </cell>
          <cell r="BL178">
            <v>0</v>
          </cell>
          <cell r="BM178">
            <v>0</v>
          </cell>
          <cell r="BN178">
            <v>0</v>
          </cell>
          <cell r="BO178">
            <v>0</v>
          </cell>
          <cell r="BQ178">
            <v>0</v>
          </cell>
          <cell r="BR178">
            <v>0</v>
          </cell>
          <cell r="BS178">
            <v>0</v>
          </cell>
          <cell r="BT178">
            <v>0</v>
          </cell>
          <cell r="CB178">
            <v>0</v>
          </cell>
          <cell r="CC178">
            <v>0</v>
          </cell>
          <cell r="CD178">
            <v>0</v>
          </cell>
          <cell r="CE178">
            <v>0</v>
          </cell>
          <cell r="CF178">
            <v>0</v>
          </cell>
          <cell r="CI178">
            <v>0</v>
          </cell>
          <cell r="CJ178">
            <v>0</v>
          </cell>
          <cell r="CK178">
            <v>0</v>
          </cell>
          <cell r="CV178">
            <v>1.0277800466765437E-5</v>
          </cell>
          <cell r="DG178">
            <v>447119</v>
          </cell>
          <cell r="DR178">
            <v>241292.06</v>
          </cell>
          <cell r="EC178">
            <v>1.8530199460355223</v>
          </cell>
          <cell r="EN178">
            <v>2.4095909012463064E-2</v>
          </cell>
        </row>
        <row r="179">
          <cell r="B179">
            <v>34905</v>
          </cell>
          <cell r="C179" t="str">
            <v>Mitchell Community College</v>
          </cell>
          <cell r="D179">
            <v>6.4680458820755033E-4</v>
          </cell>
          <cell r="E179">
            <v>1119122.7523780898</v>
          </cell>
          <cell r="F179">
            <v>872605.67523472523</v>
          </cell>
          <cell r="G179">
            <v>-278301</v>
          </cell>
          <cell r="H179">
            <v>-312275.01403603569</v>
          </cell>
          <cell r="I179">
            <v>-12922.529280681752</v>
          </cell>
          <cell r="J179">
            <v>944383.03624972759</v>
          </cell>
          <cell r="K179">
            <v>0</v>
          </cell>
          <cell r="L179">
            <v>-49619.452482087574</v>
          </cell>
          <cell r="M179">
            <v>8904.5663085650485</v>
          </cell>
          <cell r="N179">
            <v>335.67864518795449</v>
          </cell>
          <cell r="O179">
            <v>-151.48810260409036</v>
          </cell>
          <cell r="P179">
            <v>0</v>
          </cell>
          <cell r="Q179">
            <v>0</v>
          </cell>
          <cell r="R179">
            <v>0</v>
          </cell>
          <cell r="S179">
            <v>2292082.2249148865</v>
          </cell>
          <cell r="T179">
            <v>4387.6899999999441</v>
          </cell>
          <cell r="U179">
            <v>4721915.1812486378</v>
          </cell>
          <cell r="V179">
            <v>35618.265234260194</v>
          </cell>
          <cell r="W179">
            <v>0</v>
          </cell>
          <cell r="X179">
            <v>4761921.1364828981</v>
          </cell>
          <cell r="Y179">
            <v>1395896</v>
          </cell>
          <cell r="Z179">
            <v>0</v>
          </cell>
          <cell r="AA179">
            <v>0</v>
          </cell>
          <cell r="AB179">
            <v>64612.646403408755</v>
          </cell>
          <cell r="AC179">
            <v>1460508.6464034088</v>
          </cell>
          <cell r="AD179" t="str">
            <v>N/A</v>
          </cell>
          <cell r="AE179">
            <v>662064</v>
          </cell>
          <cell r="AF179">
            <v>662063</v>
          </cell>
          <cell r="AG179">
            <v>662063</v>
          </cell>
          <cell r="AH179">
            <v>662063</v>
          </cell>
          <cell r="AI179">
            <v>653159</v>
          </cell>
          <cell r="AJ179">
            <v>0</v>
          </cell>
          <cell r="AK179">
            <v>3301412</v>
          </cell>
          <cell r="AL179">
            <v>23119553</v>
          </cell>
          <cell r="AM179">
            <v>2292082.2249148865</v>
          </cell>
          <cell r="AN179">
            <v>-574849.68999999994</v>
          </cell>
          <cell r="AO179">
            <v>4692920.8000794901</v>
          </cell>
          <cell r="AP179">
            <v>0</v>
          </cell>
          <cell r="AQ179">
            <v>-1391508.31</v>
          </cell>
          <cell r="AR179">
            <v>0</v>
          </cell>
          <cell r="AS179">
            <v>0</v>
          </cell>
          <cell r="AT179">
            <v>28138198.024994377</v>
          </cell>
          <cell r="AU179">
            <v>6.9732791259809873E-4</v>
          </cell>
          <cell r="AV179">
            <v>0</v>
          </cell>
          <cell r="AW179">
            <v>0</v>
          </cell>
          <cell r="AY179">
            <v>0</v>
          </cell>
          <cell r="AZ179">
            <v>0</v>
          </cell>
          <cell r="BA179">
            <v>0</v>
          </cell>
          <cell r="BB179">
            <v>0</v>
          </cell>
          <cell r="BC179">
            <v>0</v>
          </cell>
          <cell r="BD179">
            <v>0</v>
          </cell>
          <cell r="BE179">
            <v>0</v>
          </cell>
          <cell r="BF179">
            <v>0</v>
          </cell>
          <cell r="BG179">
            <v>0</v>
          </cell>
          <cell r="BH179">
            <v>0</v>
          </cell>
          <cell r="BJ179">
            <v>0</v>
          </cell>
          <cell r="BL179">
            <v>0</v>
          </cell>
          <cell r="BM179">
            <v>0</v>
          </cell>
          <cell r="BN179">
            <v>0</v>
          </cell>
          <cell r="BO179">
            <v>0</v>
          </cell>
          <cell r="BQ179">
            <v>0</v>
          </cell>
          <cell r="BR179">
            <v>0</v>
          </cell>
          <cell r="BS179">
            <v>0</v>
          </cell>
          <cell r="BT179">
            <v>0</v>
          </cell>
          <cell r="CB179">
            <v>0</v>
          </cell>
          <cell r="CC179">
            <v>0</v>
          </cell>
          <cell r="CD179">
            <v>0</v>
          </cell>
          <cell r="CE179">
            <v>0</v>
          </cell>
          <cell r="CF179">
            <v>0</v>
          </cell>
          <cell r="CI179">
            <v>0</v>
          </cell>
          <cell r="CJ179">
            <v>0</v>
          </cell>
          <cell r="CK179">
            <v>0</v>
          </cell>
          <cell r="CV179">
            <v>6.4680458820755033E-4</v>
          </cell>
          <cell r="DG179">
            <v>28138198</v>
          </cell>
          <cell r="DR179">
            <v>10185169.599999998</v>
          </cell>
          <cell r="EC179">
            <v>2.7626636673777143</v>
          </cell>
          <cell r="EN179">
            <v>2.4095909012463064E-2</v>
          </cell>
        </row>
        <row r="180">
          <cell r="B180">
            <v>34910</v>
          </cell>
          <cell r="C180" t="str">
            <v>Mooresville City Schools</v>
          </cell>
          <cell r="D180">
            <v>2.0249211906262152E-3</v>
          </cell>
          <cell r="E180">
            <v>3503585.8086324492</v>
          </cell>
          <cell r="F180">
            <v>2731826.2038619011</v>
          </cell>
          <cell r="G180">
            <v>292746</v>
          </cell>
          <cell r="H180">
            <v>-977624.93456796731</v>
          </cell>
          <cell r="I180">
            <v>-40455.964373189592</v>
          </cell>
          <cell r="J180">
            <v>2956536.2661842597</v>
          </cell>
          <cell r="K180">
            <v>0</v>
          </cell>
          <cell r="L180">
            <v>-155341.32353125568</v>
          </cell>
          <cell r="M180">
            <v>27877.113644969562</v>
          </cell>
          <cell r="N180">
            <v>1050.8935995111931</v>
          </cell>
          <cell r="O180">
            <v>-474.25679205656587</v>
          </cell>
          <cell r="P180">
            <v>0</v>
          </cell>
          <cell r="Q180">
            <v>0</v>
          </cell>
          <cell r="R180">
            <v>0</v>
          </cell>
          <cell r="S180">
            <v>8339725.80665862</v>
          </cell>
          <cell r="T180">
            <v>1563174</v>
          </cell>
          <cell r="U180">
            <v>14782681.3309213</v>
          </cell>
          <cell r="V180">
            <v>111508.45457987825</v>
          </cell>
          <cell r="W180">
            <v>0</v>
          </cell>
          <cell r="X180">
            <v>16457363.785501178</v>
          </cell>
          <cell r="Y180">
            <v>99443.689999999944</v>
          </cell>
          <cell r="Z180">
            <v>0</v>
          </cell>
          <cell r="AA180">
            <v>0</v>
          </cell>
          <cell r="AB180">
            <v>202279.82186594795</v>
          </cell>
          <cell r="AC180">
            <v>301723.51186594786</v>
          </cell>
          <cell r="AD180" t="str">
            <v>N/A</v>
          </cell>
          <cell r="AE180">
            <v>3236703</v>
          </cell>
          <cell r="AF180">
            <v>3236703</v>
          </cell>
          <cell r="AG180">
            <v>3236703</v>
          </cell>
          <cell r="AH180">
            <v>3236703</v>
          </cell>
          <cell r="AI180">
            <v>3208826</v>
          </cell>
          <cell r="AJ180">
            <v>0</v>
          </cell>
          <cell r="AK180">
            <v>16155638</v>
          </cell>
          <cell r="AL180">
            <v>65259427</v>
          </cell>
          <cell r="AM180">
            <v>8339725.80665862</v>
          </cell>
          <cell r="AN180">
            <v>-1663838.31</v>
          </cell>
          <cell r="AO180">
            <v>14691909.96363523</v>
          </cell>
          <cell r="AP180">
            <v>0</v>
          </cell>
          <cell r="AQ180">
            <v>1463730.31</v>
          </cell>
          <cell r="AR180">
            <v>0</v>
          </cell>
          <cell r="AS180">
            <v>0</v>
          </cell>
          <cell r="AT180">
            <v>88090954.770293862</v>
          </cell>
          <cell r="AU180">
            <v>1.9683433939587879E-3</v>
          </cell>
          <cell r="AV180">
            <v>0</v>
          </cell>
          <cell r="AW180">
            <v>0</v>
          </cell>
          <cell r="AY180">
            <v>0</v>
          </cell>
          <cell r="AZ180">
            <v>0</v>
          </cell>
          <cell r="BA180">
            <v>0</v>
          </cell>
          <cell r="BB180">
            <v>0</v>
          </cell>
          <cell r="BC180">
            <v>0</v>
          </cell>
          <cell r="BD180">
            <v>0</v>
          </cell>
          <cell r="BE180">
            <v>0</v>
          </cell>
          <cell r="BF180">
            <v>0</v>
          </cell>
          <cell r="BG180">
            <v>0</v>
          </cell>
          <cell r="BH180">
            <v>0</v>
          </cell>
          <cell r="BJ180">
            <v>0</v>
          </cell>
          <cell r="BL180">
            <v>0</v>
          </cell>
          <cell r="BM180">
            <v>0</v>
          </cell>
          <cell r="BN180">
            <v>0</v>
          </cell>
          <cell r="BO180">
            <v>0</v>
          </cell>
          <cell r="BQ180">
            <v>0</v>
          </cell>
          <cell r="BR180">
            <v>0</v>
          </cell>
          <cell r="BS180">
            <v>0</v>
          </cell>
          <cell r="BT180">
            <v>0</v>
          </cell>
          <cell r="CB180">
            <v>0</v>
          </cell>
          <cell r="CC180">
            <v>0</v>
          </cell>
          <cell r="CD180">
            <v>0</v>
          </cell>
          <cell r="CE180">
            <v>0</v>
          </cell>
          <cell r="CF180">
            <v>0</v>
          </cell>
          <cell r="CI180">
            <v>0</v>
          </cell>
          <cell r="CJ180">
            <v>0</v>
          </cell>
          <cell r="CK180">
            <v>0</v>
          </cell>
          <cell r="CV180">
            <v>2.0249211906262152E-3</v>
          </cell>
          <cell r="DG180">
            <v>88090955</v>
          </cell>
          <cell r="DR180">
            <v>28760253.99000001</v>
          </cell>
          <cell r="EC180">
            <v>3.0629407873320376</v>
          </cell>
          <cell r="EN180">
            <v>2.4095909012463064E-2</v>
          </cell>
        </row>
        <row r="181">
          <cell r="B181">
            <v>35000</v>
          </cell>
          <cell r="C181" t="str">
            <v>Jackson County Schools</v>
          </cell>
          <cell r="D181">
            <v>1.3013259753777465E-3</v>
          </cell>
          <cell r="E181">
            <v>2251597.3662798544</v>
          </cell>
          <cell r="F181">
            <v>1755622.1031020361</v>
          </cell>
          <cell r="G181">
            <v>-42224</v>
          </cell>
          <cell r="H181">
            <v>-628275.67187285447</v>
          </cell>
          <cell r="I181">
            <v>-25999.232731377164</v>
          </cell>
          <cell r="J181">
            <v>1900033.1756823007</v>
          </cell>
          <cell r="K181">
            <v>0</v>
          </cell>
          <cell r="L181">
            <v>-99830.897269767709</v>
          </cell>
          <cell r="M181">
            <v>17915.369878438294</v>
          </cell>
          <cell r="N181">
            <v>675.36215470154286</v>
          </cell>
          <cell r="O181">
            <v>-304.78355669322201</v>
          </cell>
          <cell r="P181">
            <v>0</v>
          </cell>
          <cell r="Q181">
            <v>0</v>
          </cell>
          <cell r="R181">
            <v>0</v>
          </cell>
          <cell r="S181">
            <v>5129208.791666639</v>
          </cell>
          <cell r="T181">
            <v>0</v>
          </cell>
          <cell r="U181">
            <v>9500165.8784115035</v>
          </cell>
          <cell r="V181">
            <v>71661.479513753176</v>
          </cell>
          <cell r="W181">
            <v>0</v>
          </cell>
          <cell r="X181">
            <v>9571827.3579252567</v>
          </cell>
          <cell r="Y181">
            <v>211122.25</v>
          </cell>
          <cell r="Z181">
            <v>0</v>
          </cell>
          <cell r="AA181">
            <v>0</v>
          </cell>
          <cell r="AB181">
            <v>129996.16365688581</v>
          </cell>
          <cell r="AC181">
            <v>341118.41365688579</v>
          </cell>
          <cell r="AD181" t="str">
            <v>N/A</v>
          </cell>
          <cell r="AE181">
            <v>1849725</v>
          </cell>
          <cell r="AF181">
            <v>1849724</v>
          </cell>
          <cell r="AG181">
            <v>1849724</v>
          </cell>
          <cell r="AH181">
            <v>1849724</v>
          </cell>
          <cell r="AI181">
            <v>1831809</v>
          </cell>
          <cell r="AJ181">
            <v>0</v>
          </cell>
          <cell r="AK181">
            <v>9230706</v>
          </cell>
          <cell r="AL181">
            <v>43375569</v>
          </cell>
          <cell r="AM181">
            <v>5129208.791666639</v>
          </cell>
          <cell r="AN181">
            <v>-1123383.75</v>
          </cell>
          <cell r="AO181">
            <v>9441831.1942683719</v>
          </cell>
          <cell r="AP181">
            <v>0</v>
          </cell>
          <cell r="AQ181">
            <v>-211122.25</v>
          </cell>
          <cell r="AR181">
            <v>0</v>
          </cell>
          <cell r="AS181">
            <v>0</v>
          </cell>
          <cell r="AT181">
            <v>56612102.985935017</v>
          </cell>
          <cell r="AU181">
            <v>1.3082863040847189E-3</v>
          </cell>
          <cell r="AV181">
            <v>0</v>
          </cell>
          <cell r="AW181">
            <v>0</v>
          </cell>
          <cell r="AY181">
            <v>0</v>
          </cell>
          <cell r="AZ181">
            <v>0</v>
          </cell>
          <cell r="BA181">
            <v>0</v>
          </cell>
          <cell r="BB181">
            <v>0</v>
          </cell>
          <cell r="BC181">
            <v>0</v>
          </cell>
          <cell r="BD181">
            <v>0</v>
          </cell>
          <cell r="BE181">
            <v>0</v>
          </cell>
          <cell r="BF181">
            <v>0</v>
          </cell>
          <cell r="BG181">
            <v>0</v>
          </cell>
          <cell r="BH181">
            <v>0</v>
          </cell>
          <cell r="BJ181">
            <v>0</v>
          </cell>
          <cell r="BL181">
            <v>0</v>
          </cell>
          <cell r="BM181">
            <v>0</v>
          </cell>
          <cell r="BN181">
            <v>0</v>
          </cell>
          <cell r="BO181">
            <v>0</v>
          </cell>
          <cell r="BQ181">
            <v>0</v>
          </cell>
          <cell r="BR181">
            <v>0</v>
          </cell>
          <cell r="BS181">
            <v>0</v>
          </cell>
          <cell r="BT181">
            <v>0</v>
          </cell>
          <cell r="CB181">
            <v>0</v>
          </cell>
          <cell r="CC181">
            <v>0</v>
          </cell>
          <cell r="CD181">
            <v>0</v>
          </cell>
          <cell r="CE181">
            <v>0</v>
          </cell>
          <cell r="CF181">
            <v>0</v>
          </cell>
          <cell r="CI181">
            <v>0</v>
          </cell>
          <cell r="CJ181">
            <v>0</v>
          </cell>
          <cell r="CK181">
            <v>0</v>
          </cell>
          <cell r="CV181">
            <v>1.3013259753777465E-3</v>
          </cell>
          <cell r="DG181">
            <v>56612103</v>
          </cell>
          <cell r="DR181">
            <v>18923949.79000001</v>
          </cell>
          <cell r="EC181">
            <v>2.9915585080401956</v>
          </cell>
          <cell r="EN181">
            <v>2.4095909012463064E-2</v>
          </cell>
        </row>
        <row r="182">
          <cell r="B182">
            <v>35005</v>
          </cell>
          <cell r="C182" t="str">
            <v>Southwestern Community College</v>
          </cell>
          <cell r="D182">
            <v>6.1334207961408302E-4</v>
          </cell>
          <cell r="E182">
            <v>1061224.8100917251</v>
          </cell>
          <cell r="F182">
            <v>827461.32184173318</v>
          </cell>
          <cell r="G182">
            <v>48096</v>
          </cell>
          <cell r="H182">
            <v>-296119.43083328812</v>
          </cell>
          <cell r="I182">
            <v>-12253.980765430049</v>
          </cell>
          <cell r="J182">
            <v>895525.27295895328</v>
          </cell>
          <cell r="K182">
            <v>0</v>
          </cell>
          <cell r="L182">
            <v>-47052.384490677156</v>
          </cell>
          <cell r="M182">
            <v>8443.8875625357414</v>
          </cell>
          <cell r="N182">
            <v>318.31227247811682</v>
          </cell>
          <cell r="O182">
            <v>-143.65084846641437</v>
          </cell>
          <cell r="P182">
            <v>0</v>
          </cell>
          <cell r="Q182">
            <v>0</v>
          </cell>
          <cell r="R182">
            <v>0</v>
          </cell>
          <cell r="S182">
            <v>2485500.1577895633</v>
          </cell>
          <cell r="T182">
            <v>240482.01</v>
          </cell>
          <cell r="U182">
            <v>4477626.3647947665</v>
          </cell>
          <cell r="V182">
            <v>33775.550250142966</v>
          </cell>
          <cell r="W182">
            <v>0</v>
          </cell>
          <cell r="X182">
            <v>4751883.9250449091</v>
          </cell>
          <cell r="Y182">
            <v>0</v>
          </cell>
          <cell r="Z182">
            <v>0</v>
          </cell>
          <cell r="AA182">
            <v>0</v>
          </cell>
          <cell r="AB182">
            <v>61269.90382715025</v>
          </cell>
          <cell r="AC182">
            <v>61269.90382715025</v>
          </cell>
          <cell r="AD182" t="str">
            <v>N/A</v>
          </cell>
          <cell r="AE182">
            <v>939811</v>
          </cell>
          <cell r="AF182">
            <v>939811</v>
          </cell>
          <cell r="AG182">
            <v>939811</v>
          </cell>
          <cell r="AH182">
            <v>939811</v>
          </cell>
          <cell r="AI182">
            <v>931367</v>
          </cell>
          <cell r="AJ182">
            <v>0</v>
          </cell>
          <cell r="AK182">
            <v>4690611</v>
          </cell>
          <cell r="AL182">
            <v>20053303</v>
          </cell>
          <cell r="AM182">
            <v>2485500.1577895633</v>
          </cell>
          <cell r="AN182">
            <v>-546952.01</v>
          </cell>
          <cell r="AO182">
            <v>4450132.0112177599</v>
          </cell>
          <cell r="AP182">
            <v>0</v>
          </cell>
          <cell r="AQ182">
            <v>240482.01</v>
          </cell>
          <cell r="AR182">
            <v>0</v>
          </cell>
          <cell r="AS182">
            <v>0</v>
          </cell>
          <cell r="AT182">
            <v>26682465.16900732</v>
          </cell>
          <cell r="AU182">
            <v>6.0484421486170265E-4</v>
          </cell>
          <cell r="AV182">
            <v>0</v>
          </cell>
          <cell r="AW182">
            <v>0</v>
          </cell>
          <cell r="AY182">
            <v>0</v>
          </cell>
          <cell r="AZ182">
            <v>0</v>
          </cell>
          <cell r="BA182">
            <v>0</v>
          </cell>
          <cell r="BB182">
            <v>0</v>
          </cell>
          <cell r="BC182">
            <v>0</v>
          </cell>
          <cell r="BD182">
            <v>0</v>
          </cell>
          <cell r="BE182">
            <v>0</v>
          </cell>
          <cell r="BF182">
            <v>0</v>
          </cell>
          <cell r="BG182">
            <v>0</v>
          </cell>
          <cell r="BH182">
            <v>0</v>
          </cell>
          <cell r="BJ182">
            <v>0</v>
          </cell>
          <cell r="BL182">
            <v>0</v>
          </cell>
          <cell r="BM182">
            <v>0</v>
          </cell>
          <cell r="BN182">
            <v>0</v>
          </cell>
          <cell r="BO182">
            <v>0</v>
          </cell>
          <cell r="BQ182">
            <v>0</v>
          </cell>
          <cell r="BR182">
            <v>0</v>
          </cell>
          <cell r="BS182">
            <v>0</v>
          </cell>
          <cell r="BT182">
            <v>0</v>
          </cell>
          <cell r="CB182">
            <v>0</v>
          </cell>
          <cell r="CC182">
            <v>0</v>
          </cell>
          <cell r="CD182">
            <v>0</v>
          </cell>
          <cell r="CE182">
            <v>0</v>
          </cell>
          <cell r="CF182">
            <v>0</v>
          </cell>
          <cell r="CI182">
            <v>0</v>
          </cell>
          <cell r="CJ182">
            <v>0</v>
          </cell>
          <cell r="CK182">
            <v>0</v>
          </cell>
          <cell r="CV182">
            <v>6.1334207961408302E-4</v>
          </cell>
          <cell r="DG182">
            <v>26682465</v>
          </cell>
          <cell r="DR182">
            <v>9473854.3199999947</v>
          </cell>
          <cell r="EC182">
            <v>2.8164318448164627</v>
          </cell>
          <cell r="EN182">
            <v>2.4095909012463064E-2</v>
          </cell>
        </row>
        <row r="183">
          <cell r="B183">
            <v>35100</v>
          </cell>
          <cell r="C183" t="str">
            <v>Johnston County Schools</v>
          </cell>
          <cell r="D183">
            <v>1.1413440915809547E-2</v>
          </cell>
          <cell r="E183">
            <v>19747914.044955414</v>
          </cell>
          <cell r="F183">
            <v>15397901.466177898</v>
          </cell>
          <cell r="G183">
            <v>950099</v>
          </cell>
          <cell r="H183">
            <v>-5510369.727062312</v>
          </cell>
          <cell r="I183">
            <v>-228029.49626039513</v>
          </cell>
          <cell r="J183">
            <v>16664476.694575293</v>
          </cell>
          <cell r="K183">
            <v>0</v>
          </cell>
          <cell r="L183">
            <v>-875579.27000573336</v>
          </cell>
          <cell r="M183">
            <v>157128.97418579124</v>
          </cell>
          <cell r="N183">
            <v>5923.3475664868383</v>
          </cell>
          <cell r="O183">
            <v>-2673.1419968917539</v>
          </cell>
          <cell r="P183">
            <v>0</v>
          </cell>
          <cell r="Q183">
            <v>0</v>
          </cell>
          <cell r="R183">
            <v>0</v>
          </cell>
          <cell r="S183">
            <v>46306791.892135561</v>
          </cell>
          <cell r="T183">
            <v>5393316</v>
          </cell>
          <cell r="U183">
            <v>83322383.472876459</v>
          </cell>
          <cell r="V183">
            <v>628515.89674316498</v>
          </cell>
          <cell r="W183">
            <v>0</v>
          </cell>
          <cell r="X183">
            <v>89344215.369619623</v>
          </cell>
          <cell r="Y183">
            <v>642818.80000000075</v>
          </cell>
          <cell r="Z183">
            <v>0</v>
          </cell>
          <cell r="AA183">
            <v>0</v>
          </cell>
          <cell r="AB183">
            <v>1140147.4813019757</v>
          </cell>
          <cell r="AC183">
            <v>1782966.2813019764</v>
          </cell>
          <cell r="AD183" t="str">
            <v>N/A</v>
          </cell>
          <cell r="AE183">
            <v>17543675</v>
          </cell>
          <cell r="AF183">
            <v>17543675</v>
          </cell>
          <cell r="AG183">
            <v>17543675</v>
          </cell>
          <cell r="AH183">
            <v>17543675</v>
          </cell>
          <cell r="AI183">
            <v>17386546</v>
          </cell>
          <cell r="AJ183">
            <v>0</v>
          </cell>
          <cell r="AK183">
            <v>87561246</v>
          </cell>
          <cell r="AL183">
            <v>371934869</v>
          </cell>
          <cell r="AM183">
            <v>46306791.892135561</v>
          </cell>
          <cell r="AN183">
            <v>-9279436.1999999993</v>
          </cell>
          <cell r="AO183">
            <v>82810751.888317659</v>
          </cell>
          <cell r="AP183">
            <v>0</v>
          </cell>
          <cell r="AQ183">
            <v>4750497.1999999993</v>
          </cell>
          <cell r="AR183">
            <v>0</v>
          </cell>
          <cell r="AS183">
            <v>0</v>
          </cell>
          <cell r="AT183">
            <v>496523473.78045321</v>
          </cell>
          <cell r="AU183">
            <v>1.1218234207632584E-2</v>
          </cell>
          <cell r="AV183">
            <v>0</v>
          </cell>
          <cell r="AW183">
            <v>0</v>
          </cell>
          <cell r="AY183">
            <v>0</v>
          </cell>
          <cell r="AZ183">
            <v>0</v>
          </cell>
          <cell r="BA183">
            <v>0</v>
          </cell>
          <cell r="BB183">
            <v>0</v>
          </cell>
          <cell r="BC183">
            <v>0</v>
          </cell>
          <cell r="BD183">
            <v>0</v>
          </cell>
          <cell r="BE183">
            <v>0</v>
          </cell>
          <cell r="BF183">
            <v>0</v>
          </cell>
          <cell r="BG183">
            <v>0</v>
          </cell>
          <cell r="BH183">
            <v>0</v>
          </cell>
          <cell r="BJ183">
            <v>0</v>
          </cell>
          <cell r="BL183">
            <v>0</v>
          </cell>
          <cell r="BM183">
            <v>0</v>
          </cell>
          <cell r="BN183">
            <v>0</v>
          </cell>
          <cell r="BO183">
            <v>0</v>
          </cell>
          <cell r="BQ183">
            <v>0</v>
          </cell>
          <cell r="BR183">
            <v>0</v>
          </cell>
          <cell r="BS183">
            <v>0</v>
          </cell>
          <cell r="BT183">
            <v>0</v>
          </cell>
          <cell r="CB183">
            <v>0</v>
          </cell>
          <cell r="CC183">
            <v>0</v>
          </cell>
          <cell r="CD183">
            <v>0</v>
          </cell>
          <cell r="CE183">
            <v>0</v>
          </cell>
          <cell r="CF183">
            <v>0</v>
          </cell>
          <cell r="CI183">
            <v>0</v>
          </cell>
          <cell r="CJ183">
            <v>0</v>
          </cell>
          <cell r="CK183">
            <v>0</v>
          </cell>
          <cell r="CV183">
            <v>1.1413440915809547E-2</v>
          </cell>
          <cell r="DG183">
            <v>496523474</v>
          </cell>
          <cell r="DR183">
            <v>160761230.99999928</v>
          </cell>
          <cell r="EC183">
            <v>3.0885772080210199</v>
          </cell>
          <cell r="EN183">
            <v>2.4095909012463064E-2</v>
          </cell>
        </row>
        <row r="184">
          <cell r="B184">
            <v>35105</v>
          </cell>
          <cell r="C184" t="str">
            <v>Johnston Technical College</v>
          </cell>
          <cell r="D184">
            <v>1.0623775128854984E-3</v>
          </cell>
          <cell r="E184">
            <v>1838160.8107942143</v>
          </cell>
          <cell r="F184">
            <v>1433256.1393150871</v>
          </cell>
          <cell r="G184">
            <v>183872</v>
          </cell>
          <cell r="H184">
            <v>-512912.18212792359</v>
          </cell>
          <cell r="I184">
            <v>-21225.273858130695</v>
          </cell>
          <cell r="J184">
            <v>1551150.5631748848</v>
          </cell>
          <cell r="K184">
            <v>0</v>
          </cell>
          <cell r="L184">
            <v>-81500.025633313868</v>
          </cell>
          <cell r="M184">
            <v>14625.763608810021</v>
          </cell>
          <cell r="N184">
            <v>551.35268163731598</v>
          </cell>
          <cell r="O184">
            <v>-248.81943729291257</v>
          </cell>
          <cell r="P184">
            <v>0</v>
          </cell>
          <cell r="Q184">
            <v>0</v>
          </cell>
          <cell r="R184">
            <v>0</v>
          </cell>
          <cell r="S184">
            <v>4405730.3285179716</v>
          </cell>
          <cell r="T184">
            <v>959474</v>
          </cell>
          <cell r="U184">
            <v>7755752.8158744238</v>
          </cell>
          <cell r="V184">
            <v>58503.054435240083</v>
          </cell>
          <cell r="W184">
            <v>0</v>
          </cell>
          <cell r="X184">
            <v>8773729.8703096639</v>
          </cell>
          <cell r="Y184">
            <v>40113.789999999804</v>
          </cell>
          <cell r="Z184">
            <v>0</v>
          </cell>
          <cell r="AA184">
            <v>0</v>
          </cell>
          <cell r="AB184">
            <v>106126.36929065347</v>
          </cell>
          <cell r="AC184">
            <v>146240.15929065328</v>
          </cell>
          <cell r="AD184" t="str">
            <v>N/A</v>
          </cell>
          <cell r="AE184">
            <v>1728423</v>
          </cell>
          <cell r="AF184">
            <v>1728423</v>
          </cell>
          <cell r="AG184">
            <v>1728423</v>
          </cell>
          <cell r="AH184">
            <v>1728423</v>
          </cell>
          <cell r="AI184">
            <v>1713797</v>
          </cell>
          <cell r="AJ184">
            <v>0</v>
          </cell>
          <cell r="AK184">
            <v>8627489</v>
          </cell>
          <cell r="AL184">
            <v>34071219</v>
          </cell>
          <cell r="AM184">
            <v>4405730.3285179716</v>
          </cell>
          <cell r="AN184">
            <v>-887406.2100000002</v>
          </cell>
          <cell r="AO184">
            <v>7708129.5010190113</v>
          </cell>
          <cell r="AP184">
            <v>0</v>
          </cell>
          <cell r="AQ184">
            <v>919360.2100000002</v>
          </cell>
          <cell r="AR184">
            <v>0</v>
          </cell>
          <cell r="AS184">
            <v>0</v>
          </cell>
          <cell r="AT184">
            <v>46217032.829536982</v>
          </cell>
          <cell r="AU184">
            <v>1.0276501268383588E-3</v>
          </cell>
          <cell r="AV184">
            <v>0</v>
          </cell>
          <cell r="AW184">
            <v>0</v>
          </cell>
          <cell r="AY184">
            <v>0</v>
          </cell>
          <cell r="AZ184">
            <v>0</v>
          </cell>
          <cell r="BA184">
            <v>0</v>
          </cell>
          <cell r="BB184">
            <v>0</v>
          </cell>
          <cell r="BC184">
            <v>0</v>
          </cell>
          <cell r="BD184">
            <v>0</v>
          </cell>
          <cell r="BE184">
            <v>0</v>
          </cell>
          <cell r="BF184">
            <v>0</v>
          </cell>
          <cell r="BG184">
            <v>0</v>
          </cell>
          <cell r="BH184">
            <v>0</v>
          </cell>
          <cell r="BJ184">
            <v>0</v>
          </cell>
          <cell r="BL184">
            <v>0</v>
          </cell>
          <cell r="BM184">
            <v>0</v>
          </cell>
          <cell r="BN184">
            <v>0</v>
          </cell>
          <cell r="BO184">
            <v>0</v>
          </cell>
          <cell r="BQ184">
            <v>0</v>
          </cell>
          <cell r="BR184">
            <v>0</v>
          </cell>
          <cell r="BS184">
            <v>0</v>
          </cell>
          <cell r="BT184">
            <v>0</v>
          </cell>
          <cell r="CB184">
            <v>0</v>
          </cell>
          <cell r="CC184">
            <v>0</v>
          </cell>
          <cell r="CD184">
            <v>0</v>
          </cell>
          <cell r="CE184">
            <v>0</v>
          </cell>
          <cell r="CF184">
            <v>0</v>
          </cell>
          <cell r="CI184">
            <v>0</v>
          </cell>
          <cell r="CJ184">
            <v>0</v>
          </cell>
          <cell r="CK184">
            <v>0</v>
          </cell>
          <cell r="CV184">
            <v>1.0623775128854984E-3</v>
          </cell>
          <cell r="DG184">
            <v>46217033</v>
          </cell>
          <cell r="DR184">
            <v>15728539.479999999</v>
          </cell>
          <cell r="EC184">
            <v>2.9384186026152253</v>
          </cell>
          <cell r="EN184">
            <v>2.4095909012463064E-2</v>
          </cell>
        </row>
        <row r="185">
          <cell r="B185">
            <v>35106</v>
          </cell>
          <cell r="C185" t="str">
            <v>Neuse Charter School</v>
          </cell>
          <cell r="D185">
            <v>2.6629198982874028E-4</v>
          </cell>
          <cell r="E185">
            <v>460747.23344069708</v>
          </cell>
          <cell r="F185">
            <v>359255.18437964912</v>
          </cell>
          <cell r="G185">
            <v>158620</v>
          </cell>
          <cell r="H185">
            <v>-128564.8499988223</v>
          </cell>
          <cell r="I185">
            <v>-5320.2560688525646</v>
          </cell>
          <cell r="J185">
            <v>388806.20587488858</v>
          </cell>
          <cell r="K185">
            <v>0</v>
          </cell>
          <cell r="L185">
            <v>-20428.523508599137</v>
          </cell>
          <cell r="M185">
            <v>3666.0449293363063</v>
          </cell>
          <cell r="N185">
            <v>138.20021688131962</v>
          </cell>
          <cell r="O185">
            <v>-62.368246937789259</v>
          </cell>
          <cell r="P185">
            <v>0</v>
          </cell>
          <cell r="Q185">
            <v>0</v>
          </cell>
          <cell r="R185">
            <v>0</v>
          </cell>
          <cell r="S185">
            <v>1216856.8710182405</v>
          </cell>
          <cell r="T185">
            <v>828574</v>
          </cell>
          <cell r="U185">
            <v>1944031.0293744428</v>
          </cell>
          <cell r="V185">
            <v>14664.179717345225</v>
          </cell>
          <cell r="W185">
            <v>0</v>
          </cell>
          <cell r="X185">
            <v>2787269.2090917882</v>
          </cell>
          <cell r="Y185">
            <v>35472.290000000008</v>
          </cell>
          <cell r="Z185">
            <v>0</v>
          </cell>
          <cell r="AA185">
            <v>0</v>
          </cell>
          <cell r="AB185">
            <v>26601.280344262821</v>
          </cell>
          <cell r="AC185">
            <v>62073.570344262829</v>
          </cell>
          <cell r="AD185" t="str">
            <v>N/A</v>
          </cell>
          <cell r="AE185">
            <v>545773</v>
          </cell>
          <cell r="AF185">
            <v>545772</v>
          </cell>
          <cell r="AG185">
            <v>545772</v>
          </cell>
          <cell r="AH185">
            <v>545772</v>
          </cell>
          <cell r="AI185">
            <v>542106</v>
          </cell>
          <cell r="AJ185">
            <v>0</v>
          </cell>
          <cell r="AK185">
            <v>2725195</v>
          </cell>
          <cell r="AL185">
            <v>7834487</v>
          </cell>
          <cell r="AM185">
            <v>1216856.8710182405</v>
          </cell>
          <cell r="AN185">
            <v>-191932.71</v>
          </cell>
          <cell r="AO185">
            <v>1932093.9287475254</v>
          </cell>
          <cell r="AP185">
            <v>0</v>
          </cell>
          <cell r="AQ185">
            <v>793101.71</v>
          </cell>
          <cell r="AR185">
            <v>0</v>
          </cell>
          <cell r="AS185">
            <v>0</v>
          </cell>
          <cell r="AT185">
            <v>11584606.799765766</v>
          </cell>
          <cell r="AU185">
            <v>2.3630241392937746E-4</v>
          </cell>
          <cell r="AV185">
            <v>0</v>
          </cell>
          <cell r="AW185">
            <v>0</v>
          </cell>
          <cell r="AY185">
            <v>0</v>
          </cell>
          <cell r="AZ185">
            <v>0</v>
          </cell>
          <cell r="BA185">
            <v>0</v>
          </cell>
          <cell r="BB185">
            <v>0</v>
          </cell>
          <cell r="BC185">
            <v>0</v>
          </cell>
          <cell r="BD185">
            <v>0</v>
          </cell>
          <cell r="BE185">
            <v>0</v>
          </cell>
          <cell r="BF185">
            <v>0</v>
          </cell>
          <cell r="BG185">
            <v>0</v>
          </cell>
          <cell r="BH185">
            <v>0</v>
          </cell>
          <cell r="BJ185">
            <v>0</v>
          </cell>
          <cell r="BL185">
            <v>0</v>
          </cell>
          <cell r="BM185">
            <v>0</v>
          </cell>
          <cell r="BN185">
            <v>0</v>
          </cell>
          <cell r="BO185">
            <v>0</v>
          </cell>
          <cell r="BQ185">
            <v>0</v>
          </cell>
          <cell r="BR185">
            <v>0</v>
          </cell>
          <cell r="BS185">
            <v>0</v>
          </cell>
          <cell r="BT185">
            <v>0</v>
          </cell>
          <cell r="CB185">
            <v>0</v>
          </cell>
          <cell r="CC185">
            <v>0</v>
          </cell>
          <cell r="CD185">
            <v>0</v>
          </cell>
          <cell r="CE185">
            <v>0</v>
          </cell>
          <cell r="CF185">
            <v>0</v>
          </cell>
          <cell r="CI185">
            <v>0</v>
          </cell>
          <cell r="CJ185">
            <v>0</v>
          </cell>
          <cell r="CK185">
            <v>0</v>
          </cell>
          <cell r="CV185">
            <v>2.6629198982874028E-4</v>
          </cell>
          <cell r="DG185">
            <v>11584607</v>
          </cell>
          <cell r="DR185">
            <v>3395559.830000001</v>
          </cell>
          <cell r="EC185">
            <v>3.4116927929377692</v>
          </cell>
          <cell r="EN185">
            <v>2.4095909012463064E-2</v>
          </cell>
        </row>
        <row r="186">
          <cell r="B186">
            <v>35200</v>
          </cell>
          <cell r="C186" t="str">
            <v>Jones County Schools</v>
          </cell>
          <cell r="D186">
            <v>4.906476542015859E-4</v>
          </cell>
          <cell r="E186">
            <v>848934.84559162613</v>
          </cell>
          <cell r="F186">
            <v>661933.96800630644</v>
          </cell>
          <cell r="G186">
            <v>51397</v>
          </cell>
          <cell r="H186">
            <v>-236882.98737513451</v>
          </cell>
          <cell r="I186">
            <v>-9802.6649679288639</v>
          </cell>
          <cell r="J186">
            <v>716382.24256846914</v>
          </cell>
          <cell r="K186">
            <v>0</v>
          </cell>
          <cell r="L186">
            <v>-37639.912281035264</v>
          </cell>
          <cell r="M186">
            <v>6754.7519770808512</v>
          </cell>
          <cell r="N186">
            <v>254.63631957753904</v>
          </cell>
          <cell r="O186">
            <v>-114.91458709055344</v>
          </cell>
          <cell r="P186">
            <v>0</v>
          </cell>
          <cell r="Q186">
            <v>0</v>
          </cell>
          <cell r="R186">
            <v>0</v>
          </cell>
          <cell r="S186">
            <v>2001216.9652518709</v>
          </cell>
          <cell r="T186">
            <v>256982.06</v>
          </cell>
          <cell r="U186">
            <v>3581911.2128423457</v>
          </cell>
          <cell r="V186">
            <v>27019.007908323405</v>
          </cell>
          <cell r="W186">
            <v>0</v>
          </cell>
          <cell r="X186">
            <v>3865912.2807506691</v>
          </cell>
          <cell r="Y186">
            <v>0</v>
          </cell>
          <cell r="Z186">
            <v>0</v>
          </cell>
          <cell r="AA186">
            <v>0</v>
          </cell>
          <cell r="AB186">
            <v>49013.324839644323</v>
          </cell>
          <cell r="AC186">
            <v>49013.324839644323</v>
          </cell>
          <cell r="AD186" t="str">
            <v>N/A</v>
          </cell>
          <cell r="AE186">
            <v>764730</v>
          </cell>
          <cell r="AF186">
            <v>764731</v>
          </cell>
          <cell r="AG186">
            <v>764731</v>
          </cell>
          <cell r="AH186">
            <v>764731</v>
          </cell>
          <cell r="AI186">
            <v>757977</v>
          </cell>
          <cell r="AJ186">
            <v>0</v>
          </cell>
          <cell r="AK186">
            <v>3816900</v>
          </cell>
          <cell r="AL186">
            <v>16003381</v>
          </cell>
          <cell r="AM186">
            <v>2001216.9652518709</v>
          </cell>
          <cell r="AN186">
            <v>-476656.06</v>
          </cell>
          <cell r="AO186">
            <v>3559916.8959110253</v>
          </cell>
          <cell r="AP186">
            <v>0</v>
          </cell>
          <cell r="AQ186">
            <v>256982.06</v>
          </cell>
          <cell r="AR186">
            <v>0</v>
          </cell>
          <cell r="AS186">
            <v>0</v>
          </cell>
          <cell r="AT186">
            <v>21344840.861162897</v>
          </cell>
          <cell r="AU186">
            <v>4.8269115606973812E-4</v>
          </cell>
          <cell r="AV186">
            <v>0</v>
          </cell>
          <cell r="AW186">
            <v>0</v>
          </cell>
          <cell r="AY186">
            <v>0</v>
          </cell>
          <cell r="AZ186">
            <v>0</v>
          </cell>
          <cell r="BA186">
            <v>0</v>
          </cell>
          <cell r="BB186">
            <v>0</v>
          </cell>
          <cell r="BC186">
            <v>0</v>
          </cell>
          <cell r="BD186">
            <v>0</v>
          </cell>
          <cell r="BE186">
            <v>0</v>
          </cell>
          <cell r="BF186">
            <v>0</v>
          </cell>
          <cell r="BG186">
            <v>0</v>
          </cell>
          <cell r="BH186">
            <v>0</v>
          </cell>
          <cell r="BJ186">
            <v>0</v>
          </cell>
          <cell r="BL186">
            <v>0</v>
          </cell>
          <cell r="BM186">
            <v>0</v>
          </cell>
          <cell r="BN186">
            <v>0</v>
          </cell>
          <cell r="BO186">
            <v>0</v>
          </cell>
          <cell r="BQ186">
            <v>0</v>
          </cell>
          <cell r="BR186">
            <v>0</v>
          </cell>
          <cell r="BS186">
            <v>0</v>
          </cell>
          <cell r="BT186">
            <v>0</v>
          </cell>
          <cell r="CB186">
            <v>0</v>
          </cell>
          <cell r="CC186">
            <v>0</v>
          </cell>
          <cell r="CD186">
            <v>0</v>
          </cell>
          <cell r="CE186">
            <v>0</v>
          </cell>
          <cell r="CF186">
            <v>0</v>
          </cell>
          <cell r="CI186">
            <v>0</v>
          </cell>
          <cell r="CJ186">
            <v>0</v>
          </cell>
          <cell r="CK186">
            <v>0</v>
          </cell>
          <cell r="CV186">
            <v>4.906476542015859E-4</v>
          </cell>
          <cell r="DG186">
            <v>21344841</v>
          </cell>
          <cell r="DR186">
            <v>8278732.1899999976</v>
          </cell>
          <cell r="EC186">
            <v>2.5782741258115278</v>
          </cell>
          <cell r="EN186">
            <v>2.4095909012463064E-2</v>
          </cell>
        </row>
        <row r="187">
          <cell r="B187">
            <v>35300</v>
          </cell>
          <cell r="C187" t="str">
            <v>Sanford-Lee County Board Of Education</v>
          </cell>
          <cell r="D187">
            <v>3.3455649867538506E-3</v>
          </cell>
          <cell r="E187">
            <v>5788607.509126558</v>
          </cell>
          <cell r="F187">
            <v>4513510.0268819025</v>
          </cell>
          <cell r="G187">
            <v>750283</v>
          </cell>
          <cell r="H187">
            <v>-1615227.1833634353</v>
          </cell>
          <cell r="I187">
            <v>-66841.148454991155</v>
          </cell>
          <cell r="J187">
            <v>4884774.9038347034</v>
          </cell>
          <cell r="K187">
            <v>0</v>
          </cell>
          <cell r="L187">
            <v>-256654.18259633615</v>
          </cell>
          <cell r="M187">
            <v>46058.432186946346</v>
          </cell>
          <cell r="N187">
            <v>1736.2813168255134</v>
          </cell>
          <cell r="O187">
            <v>-783.56477554761932</v>
          </cell>
          <cell r="P187">
            <v>0</v>
          </cell>
          <cell r="Q187">
            <v>0</v>
          </cell>
          <cell r="R187">
            <v>0</v>
          </cell>
          <cell r="S187">
            <v>14045464.074156627</v>
          </cell>
          <cell r="T187">
            <v>3848715</v>
          </cell>
          <cell r="U187">
            <v>24423874.519173514</v>
          </cell>
          <cell r="V187">
            <v>184233.72874778538</v>
          </cell>
          <cell r="W187">
            <v>0</v>
          </cell>
          <cell r="X187">
            <v>28456823.247921299</v>
          </cell>
          <cell r="Y187">
            <v>97301.279999999795</v>
          </cell>
          <cell r="Z187">
            <v>0</v>
          </cell>
          <cell r="AA187">
            <v>0</v>
          </cell>
          <cell r="AB187">
            <v>334205.74227495573</v>
          </cell>
          <cell r="AC187">
            <v>431507.02227495553</v>
          </cell>
          <cell r="AD187" t="str">
            <v>N/A</v>
          </cell>
          <cell r="AE187">
            <v>5614275</v>
          </cell>
          <cell r="AF187">
            <v>5614275</v>
          </cell>
          <cell r="AG187">
            <v>5614275</v>
          </cell>
          <cell r="AH187">
            <v>5614275</v>
          </cell>
          <cell r="AI187">
            <v>5568217</v>
          </cell>
          <cell r="AJ187">
            <v>0</v>
          </cell>
          <cell r="AK187">
            <v>28025317</v>
          </cell>
          <cell r="AL187">
            <v>106302053</v>
          </cell>
          <cell r="AM187">
            <v>14045464.074156627</v>
          </cell>
          <cell r="AN187">
            <v>-2829384.72</v>
          </cell>
          <cell r="AO187">
            <v>24273902.505646344</v>
          </cell>
          <cell r="AP187">
            <v>0</v>
          </cell>
          <cell r="AQ187">
            <v>3751413.72</v>
          </cell>
          <cell r="AR187">
            <v>0</v>
          </cell>
          <cell r="AS187">
            <v>0</v>
          </cell>
          <cell r="AT187">
            <v>145543448.57980296</v>
          </cell>
          <cell r="AU187">
            <v>3.2062638597825256E-3</v>
          </cell>
          <cell r="AV187">
            <v>0</v>
          </cell>
          <cell r="AW187">
            <v>0</v>
          </cell>
          <cell r="AY187">
            <v>0</v>
          </cell>
          <cell r="AZ187">
            <v>0</v>
          </cell>
          <cell r="BA187">
            <v>0</v>
          </cell>
          <cell r="BB187">
            <v>0</v>
          </cell>
          <cell r="BC187">
            <v>0</v>
          </cell>
          <cell r="BD187">
            <v>0</v>
          </cell>
          <cell r="BE187">
            <v>0</v>
          </cell>
          <cell r="BF187">
            <v>0</v>
          </cell>
          <cell r="BG187">
            <v>0</v>
          </cell>
          <cell r="BH187">
            <v>0</v>
          </cell>
          <cell r="BJ187">
            <v>0</v>
          </cell>
          <cell r="BL187">
            <v>0</v>
          </cell>
          <cell r="BM187">
            <v>0</v>
          </cell>
          <cell r="BN187">
            <v>0</v>
          </cell>
          <cell r="BO187">
            <v>0</v>
          </cell>
          <cell r="BQ187">
            <v>0</v>
          </cell>
          <cell r="BR187">
            <v>0</v>
          </cell>
          <cell r="BS187">
            <v>0</v>
          </cell>
          <cell r="BT187">
            <v>0</v>
          </cell>
          <cell r="CB187">
            <v>0</v>
          </cell>
          <cell r="CC187">
            <v>0</v>
          </cell>
          <cell r="CD187">
            <v>0</v>
          </cell>
          <cell r="CE187">
            <v>0</v>
          </cell>
          <cell r="CF187">
            <v>0</v>
          </cell>
          <cell r="CI187">
            <v>0</v>
          </cell>
          <cell r="CJ187">
            <v>0</v>
          </cell>
          <cell r="CK187">
            <v>0</v>
          </cell>
          <cell r="CV187">
            <v>3.3455649867538506E-3</v>
          </cell>
          <cell r="DG187">
            <v>145543449</v>
          </cell>
          <cell r="DR187">
            <v>47527684.359999925</v>
          </cell>
          <cell r="EC187">
            <v>3.0622878215058114</v>
          </cell>
          <cell r="EN187">
            <v>2.4095909012463064E-2</v>
          </cell>
        </row>
        <row r="188">
          <cell r="B188">
            <v>35305</v>
          </cell>
          <cell r="C188" t="str">
            <v>Central Carolina Community College</v>
          </cell>
          <cell r="D188">
            <v>1.2597015295089031E-3</v>
          </cell>
          <cell r="E188">
            <v>2179577.3693963364</v>
          </cell>
          <cell r="F188">
            <v>1699466.4598739792</v>
          </cell>
          <cell r="G188">
            <v>536665</v>
          </cell>
          <cell r="H188">
            <v>-608179.53363432304</v>
          </cell>
          <cell r="I188">
            <v>-25167.616613713384</v>
          </cell>
          <cell r="J188">
            <v>1839258.3740056974</v>
          </cell>
          <cell r="K188">
            <v>0</v>
          </cell>
          <cell r="L188">
            <v>-96637.688298251334</v>
          </cell>
          <cell r="M188">
            <v>17342.325646758451</v>
          </cell>
          <cell r="N188">
            <v>653.75989978453049</v>
          </cell>
          <cell r="O188">
            <v>-295.03469522628018</v>
          </cell>
          <cell r="P188">
            <v>0</v>
          </cell>
          <cell r="Q188">
            <v>0</v>
          </cell>
          <cell r="R188">
            <v>0</v>
          </cell>
          <cell r="S188">
            <v>5542683.415581041</v>
          </cell>
          <cell r="T188">
            <v>2683324.21</v>
          </cell>
          <cell r="U188">
            <v>9196291.8700284883</v>
          </cell>
          <cell r="V188">
            <v>69369.302587033802</v>
          </cell>
          <cell r="W188">
            <v>0</v>
          </cell>
          <cell r="X188">
            <v>11948985.382615523</v>
          </cell>
          <cell r="Y188">
            <v>0</v>
          </cell>
          <cell r="Z188">
            <v>0</v>
          </cell>
          <cell r="AA188">
            <v>0</v>
          </cell>
          <cell r="AB188">
            <v>125838.08306856692</v>
          </cell>
          <cell r="AC188">
            <v>125838.08306856692</v>
          </cell>
          <cell r="AD188" t="str">
            <v>N/A</v>
          </cell>
          <cell r="AE188">
            <v>2368098</v>
          </cell>
          <cell r="AF188">
            <v>2368098</v>
          </cell>
          <cell r="AG188">
            <v>2368098</v>
          </cell>
          <cell r="AH188">
            <v>2368098</v>
          </cell>
          <cell r="AI188">
            <v>2350756</v>
          </cell>
          <cell r="AJ188">
            <v>0</v>
          </cell>
          <cell r="AK188">
            <v>11823148</v>
          </cell>
          <cell r="AL188">
            <v>38557191</v>
          </cell>
          <cell r="AM188">
            <v>5542683.415581041</v>
          </cell>
          <cell r="AN188">
            <v>-1121723.2100000002</v>
          </cell>
          <cell r="AO188">
            <v>9139823.0895469561</v>
          </cell>
          <cell r="AP188">
            <v>0</v>
          </cell>
          <cell r="AQ188">
            <v>2683324.21</v>
          </cell>
          <cell r="AR188">
            <v>0</v>
          </cell>
          <cell r="AS188">
            <v>0</v>
          </cell>
          <cell r="AT188">
            <v>54801298.505127996</v>
          </cell>
          <cell r="AU188">
            <v>1.1629552377531902E-3</v>
          </cell>
          <cell r="AV188">
            <v>0</v>
          </cell>
          <cell r="AW188">
            <v>0</v>
          </cell>
          <cell r="AY188">
            <v>0</v>
          </cell>
          <cell r="AZ188">
            <v>0</v>
          </cell>
          <cell r="BA188">
            <v>0</v>
          </cell>
          <cell r="BB188">
            <v>0</v>
          </cell>
          <cell r="BC188">
            <v>0</v>
          </cell>
          <cell r="BD188">
            <v>0</v>
          </cell>
          <cell r="BE188">
            <v>0</v>
          </cell>
          <cell r="BF188">
            <v>0</v>
          </cell>
          <cell r="BG188">
            <v>0</v>
          </cell>
          <cell r="BH188">
            <v>0</v>
          </cell>
          <cell r="BJ188">
            <v>0</v>
          </cell>
          <cell r="BL188">
            <v>0</v>
          </cell>
          <cell r="BM188">
            <v>0</v>
          </cell>
          <cell r="BN188">
            <v>0</v>
          </cell>
          <cell r="BO188">
            <v>0</v>
          </cell>
          <cell r="BQ188">
            <v>0</v>
          </cell>
          <cell r="BR188">
            <v>0</v>
          </cell>
          <cell r="BS188">
            <v>0</v>
          </cell>
          <cell r="BT188">
            <v>0</v>
          </cell>
          <cell r="CB188">
            <v>0</v>
          </cell>
          <cell r="CC188">
            <v>0</v>
          </cell>
          <cell r="CD188">
            <v>0</v>
          </cell>
          <cell r="CE188">
            <v>0</v>
          </cell>
          <cell r="CF188">
            <v>0</v>
          </cell>
          <cell r="CI188">
            <v>0</v>
          </cell>
          <cell r="CJ188">
            <v>0</v>
          </cell>
          <cell r="CK188">
            <v>0</v>
          </cell>
          <cell r="CV188">
            <v>1.2597015295089031E-3</v>
          </cell>
          <cell r="DG188">
            <v>54801298</v>
          </cell>
          <cell r="DR188">
            <v>18830477.289999992</v>
          </cell>
          <cell r="EC188">
            <v>2.9102447673539573</v>
          </cell>
          <cell r="EN188">
            <v>2.4095909012463064E-2</v>
          </cell>
        </row>
        <row r="189">
          <cell r="B189">
            <v>35400</v>
          </cell>
          <cell r="C189" t="str">
            <v>Lenoir County Schools</v>
          </cell>
          <cell r="D189">
            <v>2.6768339883394055E-3</v>
          </cell>
          <cell r="E189">
            <v>4631546.9545313986</v>
          </cell>
          <cell r="F189">
            <v>3611323.3772185892</v>
          </cell>
          <cell r="G189">
            <v>-87210</v>
          </cell>
          <cell r="H189">
            <v>-1292366.1744535959</v>
          </cell>
          <cell r="I189">
            <v>-53480.550732797485</v>
          </cell>
          <cell r="J189">
            <v>3908377.6700626169</v>
          </cell>
          <cell r="K189">
            <v>0</v>
          </cell>
          <cell r="L189">
            <v>-205352.65103008682</v>
          </cell>
          <cell r="M189">
            <v>36852.004733368143</v>
          </cell>
          <cell r="N189">
            <v>1389.2233032683846</v>
          </cell>
          <cell r="O189">
            <v>-626.94128840897213</v>
          </cell>
          <cell r="P189">
            <v>0</v>
          </cell>
          <cell r="Q189">
            <v>0</v>
          </cell>
          <cell r="R189">
            <v>0</v>
          </cell>
          <cell r="S189">
            <v>10550452.912344351</v>
          </cell>
          <cell r="T189">
            <v>50329.89000000013</v>
          </cell>
          <cell r="U189">
            <v>19541888.350313082</v>
          </cell>
          <cell r="V189">
            <v>147408.01893347257</v>
          </cell>
          <cell r="W189">
            <v>0</v>
          </cell>
          <cell r="X189">
            <v>19739626.259246554</v>
          </cell>
          <cell r="Y189">
            <v>486381</v>
          </cell>
          <cell r="Z189">
            <v>0</v>
          </cell>
          <cell r="AA189">
            <v>0</v>
          </cell>
          <cell r="AB189">
            <v>267402.75366398745</v>
          </cell>
          <cell r="AC189">
            <v>753783.75366398739</v>
          </cell>
          <cell r="AD189" t="str">
            <v>N/A</v>
          </cell>
          <cell r="AE189">
            <v>3804539</v>
          </cell>
          <cell r="AF189">
            <v>3804539</v>
          </cell>
          <cell r="AG189">
            <v>3804539</v>
          </cell>
          <cell r="AH189">
            <v>3804539</v>
          </cell>
          <cell r="AI189">
            <v>3767687</v>
          </cell>
          <cell r="AJ189">
            <v>0</v>
          </cell>
          <cell r="AK189">
            <v>18985843</v>
          </cell>
          <cell r="AL189">
            <v>89332731</v>
          </cell>
          <cell r="AM189">
            <v>10550452.912344351</v>
          </cell>
          <cell r="AN189">
            <v>-2417648.89</v>
          </cell>
          <cell r="AO189">
            <v>19421893.61558257</v>
          </cell>
          <cell r="AP189">
            <v>0</v>
          </cell>
          <cell r="AQ189">
            <v>-436051.10999999987</v>
          </cell>
          <cell r="AR189">
            <v>0</v>
          </cell>
          <cell r="AS189">
            <v>0</v>
          </cell>
          <cell r="AT189">
            <v>116451377.52792692</v>
          </cell>
          <cell r="AU189">
            <v>2.6944381381537237E-3</v>
          </cell>
          <cell r="AV189">
            <v>0</v>
          </cell>
          <cell r="AW189">
            <v>0</v>
          </cell>
          <cell r="AY189">
            <v>0</v>
          </cell>
          <cell r="AZ189">
            <v>0</v>
          </cell>
          <cell r="BA189">
            <v>0</v>
          </cell>
          <cell r="BB189">
            <v>0</v>
          </cell>
          <cell r="BC189">
            <v>0</v>
          </cell>
          <cell r="BD189">
            <v>0</v>
          </cell>
          <cell r="BE189">
            <v>0</v>
          </cell>
          <cell r="BF189">
            <v>0</v>
          </cell>
          <cell r="BG189">
            <v>0</v>
          </cell>
          <cell r="BH189">
            <v>0</v>
          </cell>
          <cell r="BJ189">
            <v>0</v>
          </cell>
          <cell r="BL189">
            <v>0</v>
          </cell>
          <cell r="BM189">
            <v>0</v>
          </cell>
          <cell r="BN189">
            <v>0</v>
          </cell>
          <cell r="BO189">
            <v>0</v>
          </cell>
          <cell r="BQ189">
            <v>0</v>
          </cell>
          <cell r="BR189">
            <v>0</v>
          </cell>
          <cell r="BS189">
            <v>0</v>
          </cell>
          <cell r="BT189">
            <v>0</v>
          </cell>
          <cell r="CB189">
            <v>0</v>
          </cell>
          <cell r="CC189">
            <v>0</v>
          </cell>
          <cell r="CD189">
            <v>0</v>
          </cell>
          <cell r="CE189">
            <v>0</v>
          </cell>
          <cell r="CF189">
            <v>0</v>
          </cell>
          <cell r="CI189">
            <v>0</v>
          </cell>
          <cell r="CJ189">
            <v>0</v>
          </cell>
          <cell r="CK189">
            <v>0</v>
          </cell>
          <cell r="CV189">
            <v>2.6768339883394055E-3</v>
          </cell>
          <cell r="DG189">
            <v>116451377</v>
          </cell>
          <cell r="DR189">
            <v>41850396.309999958</v>
          </cell>
          <cell r="EC189">
            <v>2.7825633032816581</v>
          </cell>
          <cell r="EN189">
            <v>2.4095909012463064E-2</v>
          </cell>
        </row>
        <row r="190">
          <cell r="B190">
            <v>35401</v>
          </cell>
          <cell r="C190" t="str">
            <v>Childrens Village Academy</v>
          </cell>
          <cell r="D190">
            <v>2.4651261078602637E-5</v>
          </cell>
          <cell r="E190">
            <v>42652.429575877002</v>
          </cell>
          <cell r="F190">
            <v>33257.077502330641</v>
          </cell>
          <cell r="G190">
            <v>-3724</v>
          </cell>
          <cell r="H190">
            <v>-11901.543433171271</v>
          </cell>
          <cell r="I190">
            <v>-492.50832307292279</v>
          </cell>
          <cell r="J190">
            <v>35992.683430571466</v>
          </cell>
          <cell r="K190">
            <v>0</v>
          </cell>
          <cell r="L190">
            <v>-1891.1153384099941</v>
          </cell>
          <cell r="M190">
            <v>339.37419873980349</v>
          </cell>
          <cell r="N190">
            <v>12.793511474573197</v>
          </cell>
          <cell r="O190">
            <v>-5.7735718572195234</v>
          </cell>
          <cell r="P190">
            <v>0</v>
          </cell>
          <cell r="Q190">
            <v>0</v>
          </cell>
          <cell r="R190">
            <v>0</v>
          </cell>
          <cell r="S190">
            <v>94239.417552482104</v>
          </cell>
          <cell r="T190">
            <v>825.77999999999884</v>
          </cell>
          <cell r="U190">
            <v>179963.41715285732</v>
          </cell>
          <cell r="V190">
            <v>1357.496794959214</v>
          </cell>
          <cell r="W190">
            <v>0</v>
          </cell>
          <cell r="X190">
            <v>182146.69394781653</v>
          </cell>
          <cell r="Y190">
            <v>19443</v>
          </cell>
          <cell r="Z190">
            <v>0</v>
          </cell>
          <cell r="AA190">
            <v>0</v>
          </cell>
          <cell r="AB190">
            <v>2462.5416153646138</v>
          </cell>
          <cell r="AC190">
            <v>21905.541615364615</v>
          </cell>
          <cell r="AD190" t="str">
            <v>N/A</v>
          </cell>
          <cell r="AE190">
            <v>32116</v>
          </cell>
          <cell r="AF190">
            <v>32116</v>
          </cell>
          <cell r="AG190">
            <v>32116</v>
          </cell>
          <cell r="AH190">
            <v>32116</v>
          </cell>
          <cell r="AI190">
            <v>31776</v>
          </cell>
          <cell r="AJ190">
            <v>0</v>
          </cell>
          <cell r="AK190">
            <v>160240</v>
          </cell>
          <cell r="AL190">
            <v>840632</v>
          </cell>
          <cell r="AM190">
            <v>94239.417552482104</v>
          </cell>
          <cell r="AN190">
            <v>-22698.78</v>
          </cell>
          <cell r="AO190">
            <v>178858.37233245192</v>
          </cell>
          <cell r="AP190">
            <v>0</v>
          </cell>
          <cell r="AQ190">
            <v>-18617.22</v>
          </cell>
          <cell r="AR190">
            <v>0</v>
          </cell>
          <cell r="AS190">
            <v>0</v>
          </cell>
          <cell r="AT190">
            <v>1072413.789884934</v>
          </cell>
          <cell r="AU190">
            <v>2.5354994484920251E-5</v>
          </cell>
          <cell r="AV190">
            <v>0</v>
          </cell>
          <cell r="AW190">
            <v>0</v>
          </cell>
          <cell r="AY190">
            <v>0</v>
          </cell>
          <cell r="AZ190">
            <v>0</v>
          </cell>
          <cell r="BA190">
            <v>0</v>
          </cell>
          <cell r="BB190">
            <v>0</v>
          </cell>
          <cell r="BC190">
            <v>0</v>
          </cell>
          <cell r="BD190">
            <v>0</v>
          </cell>
          <cell r="BE190">
            <v>0</v>
          </cell>
          <cell r="BF190">
            <v>0</v>
          </cell>
          <cell r="BG190">
            <v>0</v>
          </cell>
          <cell r="BH190">
            <v>0</v>
          </cell>
          <cell r="BJ190">
            <v>0</v>
          </cell>
          <cell r="BL190">
            <v>0</v>
          </cell>
          <cell r="BM190">
            <v>0</v>
          </cell>
          <cell r="BN190">
            <v>0</v>
          </cell>
          <cell r="BO190">
            <v>0</v>
          </cell>
          <cell r="BQ190">
            <v>0</v>
          </cell>
          <cell r="BR190">
            <v>0</v>
          </cell>
          <cell r="BS190">
            <v>0</v>
          </cell>
          <cell r="BT190">
            <v>0</v>
          </cell>
          <cell r="CB190">
            <v>0</v>
          </cell>
          <cell r="CC190">
            <v>0</v>
          </cell>
          <cell r="CD190">
            <v>0</v>
          </cell>
          <cell r="CE190">
            <v>0</v>
          </cell>
          <cell r="CF190">
            <v>0</v>
          </cell>
          <cell r="CI190">
            <v>0</v>
          </cell>
          <cell r="CJ190">
            <v>0</v>
          </cell>
          <cell r="CK190">
            <v>0</v>
          </cell>
          <cell r="CV190">
            <v>2.4651261078602637E-5</v>
          </cell>
          <cell r="DG190">
            <v>1072414</v>
          </cell>
          <cell r="DR190">
            <v>344520.31</v>
          </cell>
          <cell r="EC190">
            <v>3.1127743963773864</v>
          </cell>
          <cell r="EN190">
            <v>2.4095909012463064E-2</v>
          </cell>
        </row>
        <row r="191">
          <cell r="B191">
            <v>35405</v>
          </cell>
          <cell r="C191" t="str">
            <v>Lenoir County Community College</v>
          </cell>
          <cell r="D191">
            <v>9.2830572145810521E-4</v>
          </cell>
          <cell r="E191">
            <v>1606185.3502392888</v>
          </cell>
          <cell r="F191">
            <v>1252379.552751838</v>
          </cell>
          <cell r="G191">
            <v>239268</v>
          </cell>
          <cell r="H191">
            <v>-448182.78577987076</v>
          </cell>
          <cell r="I191">
            <v>-18546.649305952975</v>
          </cell>
          <cell r="J191">
            <v>1355395.7281411346</v>
          </cell>
          <cell r="K191">
            <v>0</v>
          </cell>
          <cell r="L191">
            <v>-71214.741630682183</v>
          </cell>
          <cell r="M191">
            <v>12779.995692750903</v>
          </cell>
          <cell r="N191">
            <v>481.77210332232744</v>
          </cell>
          <cell r="O191">
            <v>-217.41848302270282</v>
          </cell>
          <cell r="P191">
            <v>0</v>
          </cell>
          <cell r="Q191">
            <v>0</v>
          </cell>
          <cell r="R191">
            <v>0</v>
          </cell>
          <cell r="S191">
            <v>3928328.8037288059</v>
          </cell>
          <cell r="T191">
            <v>1197255</v>
          </cell>
          <cell r="U191">
            <v>6776978.640705673</v>
          </cell>
          <cell r="V191">
            <v>51119.982771003612</v>
          </cell>
          <cell r="W191">
            <v>0</v>
          </cell>
          <cell r="X191">
            <v>8025353.6234766766</v>
          </cell>
          <cell r="Y191">
            <v>915.47999999998137</v>
          </cell>
          <cell r="Z191">
            <v>0</v>
          </cell>
          <cell r="AA191">
            <v>0</v>
          </cell>
          <cell r="AB191">
            <v>92733.246529764874</v>
          </cell>
          <cell r="AC191">
            <v>93648.726529764856</v>
          </cell>
          <cell r="AD191" t="str">
            <v>N/A</v>
          </cell>
          <cell r="AE191">
            <v>1588897</v>
          </cell>
          <cell r="AF191">
            <v>1588897</v>
          </cell>
          <cell r="AG191">
            <v>1588897</v>
          </cell>
          <cell r="AH191">
            <v>1588897</v>
          </cell>
          <cell r="AI191">
            <v>1576117</v>
          </cell>
          <cell r="AJ191">
            <v>0</v>
          </cell>
          <cell r="AK191">
            <v>7931705</v>
          </cell>
          <cell r="AL191">
            <v>29340800</v>
          </cell>
          <cell r="AM191">
            <v>3928328.8037288059</v>
          </cell>
          <cell r="AN191">
            <v>-816379.52</v>
          </cell>
          <cell r="AO191">
            <v>6735365.3769469121</v>
          </cell>
          <cell r="AP191">
            <v>0</v>
          </cell>
          <cell r="AQ191">
            <v>1196339.52</v>
          </cell>
          <cell r="AR191">
            <v>0</v>
          </cell>
          <cell r="AS191">
            <v>0</v>
          </cell>
          <cell r="AT191">
            <v>40384454.180675723</v>
          </cell>
          <cell r="AU191">
            <v>8.8497206143644657E-4</v>
          </cell>
          <cell r="AV191">
            <v>0</v>
          </cell>
          <cell r="AW191">
            <v>0</v>
          </cell>
          <cell r="AY191">
            <v>0</v>
          </cell>
          <cell r="AZ191">
            <v>0</v>
          </cell>
          <cell r="BA191">
            <v>0</v>
          </cell>
          <cell r="BB191">
            <v>0</v>
          </cell>
          <cell r="BC191">
            <v>0</v>
          </cell>
          <cell r="BD191">
            <v>0</v>
          </cell>
          <cell r="BE191">
            <v>0</v>
          </cell>
          <cell r="BF191">
            <v>0</v>
          </cell>
          <cell r="BG191">
            <v>0</v>
          </cell>
          <cell r="BH191">
            <v>0</v>
          </cell>
          <cell r="BJ191">
            <v>0</v>
          </cell>
          <cell r="BL191">
            <v>0</v>
          </cell>
          <cell r="BM191">
            <v>0</v>
          </cell>
          <cell r="BN191">
            <v>0</v>
          </cell>
          <cell r="BO191">
            <v>0</v>
          </cell>
          <cell r="BQ191">
            <v>0</v>
          </cell>
          <cell r="BR191">
            <v>0</v>
          </cell>
          <cell r="BS191">
            <v>0</v>
          </cell>
          <cell r="BT191">
            <v>0</v>
          </cell>
          <cell r="CB191">
            <v>0</v>
          </cell>
          <cell r="CC191">
            <v>0</v>
          </cell>
          <cell r="CD191">
            <v>0</v>
          </cell>
          <cell r="CE191">
            <v>0</v>
          </cell>
          <cell r="CF191">
            <v>0</v>
          </cell>
          <cell r="CI191">
            <v>0</v>
          </cell>
          <cell r="CJ191">
            <v>0</v>
          </cell>
          <cell r="CK191">
            <v>0</v>
          </cell>
          <cell r="CV191">
            <v>9.2830572145810521E-4</v>
          </cell>
          <cell r="DG191">
            <v>40384454</v>
          </cell>
          <cell r="DR191">
            <v>14071193.000000006</v>
          </cell>
          <cell r="EC191">
            <v>2.8700092451293919</v>
          </cell>
          <cell r="EN191">
            <v>2.4095909012463064E-2</v>
          </cell>
        </row>
        <row r="192">
          <cell r="B192">
            <v>35500</v>
          </cell>
          <cell r="C192" t="str">
            <v>Lincoln County Schools</v>
          </cell>
          <cell r="D192">
            <v>3.816186104927143E-3</v>
          </cell>
          <cell r="E192">
            <v>6602891.7778218575</v>
          </cell>
          <cell r="F192">
            <v>5148426.1454292098</v>
          </cell>
          <cell r="G192">
            <v>21964</v>
          </cell>
          <cell r="H192">
            <v>-1842441.4285352109</v>
          </cell>
          <cell r="I192">
            <v>-76243.702627581617</v>
          </cell>
          <cell r="J192">
            <v>5571916.907164338</v>
          </cell>
          <cell r="K192">
            <v>0</v>
          </cell>
          <cell r="L192">
            <v>-292757.76416643674</v>
          </cell>
          <cell r="M192">
            <v>52537.478608986232</v>
          </cell>
          <cell r="N192">
            <v>1980.5242647350888</v>
          </cell>
          <cell r="O192">
            <v>-893.78894763498613</v>
          </cell>
          <cell r="P192">
            <v>0</v>
          </cell>
          <cell r="Q192">
            <v>0</v>
          </cell>
          <cell r="R192">
            <v>0</v>
          </cell>
          <cell r="S192">
            <v>15187380.149012258</v>
          </cell>
          <cell r="T192">
            <v>262040</v>
          </cell>
          <cell r="U192">
            <v>27859584.535821691</v>
          </cell>
          <cell r="V192">
            <v>210149.91443594493</v>
          </cell>
          <cell r="W192">
            <v>0</v>
          </cell>
          <cell r="X192">
            <v>28331774.450257637</v>
          </cell>
          <cell r="Y192">
            <v>152220.91999999946</v>
          </cell>
          <cell r="Z192">
            <v>0</v>
          </cell>
          <cell r="AA192">
            <v>0</v>
          </cell>
          <cell r="AB192">
            <v>381218.51313790807</v>
          </cell>
          <cell r="AC192">
            <v>533439.43313790753</v>
          </cell>
          <cell r="AD192" t="str">
            <v>N/A</v>
          </cell>
          <cell r="AE192">
            <v>5570175</v>
          </cell>
          <cell r="AF192">
            <v>5570175</v>
          </cell>
          <cell r="AG192">
            <v>5570175</v>
          </cell>
          <cell r="AH192">
            <v>5570175</v>
          </cell>
          <cell r="AI192">
            <v>5517637</v>
          </cell>
          <cell r="AJ192">
            <v>0</v>
          </cell>
          <cell r="AK192">
            <v>27798337</v>
          </cell>
          <cell r="AL192">
            <v>126209268</v>
          </cell>
          <cell r="AM192">
            <v>15187380.149012258</v>
          </cell>
          <cell r="AN192">
            <v>-3177916.0800000005</v>
          </cell>
          <cell r="AO192">
            <v>27688515.93711973</v>
          </cell>
          <cell r="AP192">
            <v>0</v>
          </cell>
          <cell r="AQ192">
            <v>109819.08000000054</v>
          </cell>
          <cell r="AR192">
            <v>0</v>
          </cell>
          <cell r="AS192">
            <v>0</v>
          </cell>
          <cell r="AT192">
            <v>166017067.08613199</v>
          </cell>
          <cell r="AU192">
            <v>3.8067017956261722E-3</v>
          </cell>
          <cell r="AV192">
            <v>0</v>
          </cell>
          <cell r="AW192">
            <v>0</v>
          </cell>
          <cell r="AY192">
            <v>0</v>
          </cell>
          <cell r="AZ192">
            <v>0</v>
          </cell>
          <cell r="BA192">
            <v>0</v>
          </cell>
          <cell r="BB192">
            <v>0</v>
          </cell>
          <cell r="BC192">
            <v>0</v>
          </cell>
          <cell r="BD192">
            <v>0</v>
          </cell>
          <cell r="BE192">
            <v>0</v>
          </cell>
          <cell r="BF192">
            <v>0</v>
          </cell>
          <cell r="BG192">
            <v>0</v>
          </cell>
          <cell r="BH192">
            <v>0</v>
          </cell>
          <cell r="BJ192">
            <v>0</v>
          </cell>
          <cell r="BL192">
            <v>0</v>
          </cell>
          <cell r="BM192">
            <v>0</v>
          </cell>
          <cell r="BN192">
            <v>0</v>
          </cell>
          <cell r="BO192">
            <v>0</v>
          </cell>
          <cell r="BQ192">
            <v>0</v>
          </cell>
          <cell r="BR192">
            <v>0</v>
          </cell>
          <cell r="BS192">
            <v>0</v>
          </cell>
          <cell r="BT192">
            <v>0</v>
          </cell>
          <cell r="CB192">
            <v>0</v>
          </cell>
          <cell r="CC192">
            <v>0</v>
          </cell>
          <cell r="CD192">
            <v>0</v>
          </cell>
          <cell r="CE192">
            <v>0</v>
          </cell>
          <cell r="CF192">
            <v>0</v>
          </cell>
          <cell r="CI192">
            <v>0</v>
          </cell>
          <cell r="CJ192">
            <v>0</v>
          </cell>
          <cell r="CK192">
            <v>0</v>
          </cell>
          <cell r="CV192">
            <v>3.816186104927143E-3</v>
          </cell>
          <cell r="DG192">
            <v>166017067</v>
          </cell>
          <cell r="DR192">
            <v>55798882.090000018</v>
          </cell>
          <cell r="EC192">
            <v>2.9752758618394024</v>
          </cell>
          <cell r="EN192">
            <v>2.4095909012463064E-2</v>
          </cell>
        </row>
        <row r="193">
          <cell r="B193">
            <v>35600</v>
          </cell>
          <cell r="C193" t="str">
            <v>Macon County Schools</v>
          </cell>
          <cell r="D193">
            <v>1.4624347078516144E-3</v>
          </cell>
          <cell r="E193">
            <v>2530353.039021688</v>
          </cell>
          <cell r="F193">
            <v>1972974.293933216</v>
          </cell>
          <cell r="G193">
            <v>-123243</v>
          </cell>
          <cell r="H193">
            <v>-706058.40967628697</v>
          </cell>
          <cell r="I193">
            <v>-29218.02918199699</v>
          </cell>
          <cell r="J193">
            <v>2135263.9651880707</v>
          </cell>
          <cell r="K193">
            <v>0</v>
          </cell>
          <cell r="L193">
            <v>-112190.3134538583</v>
          </cell>
          <cell r="M193">
            <v>20133.355677175517</v>
          </cell>
          <cell r="N193">
            <v>758.97436468083083</v>
          </cell>
          <cell r="O193">
            <v>-342.51683292592662</v>
          </cell>
          <cell r="P193">
            <v>0</v>
          </cell>
          <cell r="Q193">
            <v>0</v>
          </cell>
          <cell r="R193">
            <v>0</v>
          </cell>
          <cell r="S193">
            <v>5688431.359039763</v>
          </cell>
          <cell r="T193">
            <v>14387.350000000326</v>
          </cell>
          <cell r="U193">
            <v>10676319.825940352</v>
          </cell>
          <cell r="V193">
            <v>80533.42270870207</v>
          </cell>
          <cell r="W193">
            <v>0</v>
          </cell>
          <cell r="X193">
            <v>10771240.598649053</v>
          </cell>
          <cell r="Y193">
            <v>630600</v>
          </cell>
          <cell r="Z193">
            <v>0</v>
          </cell>
          <cell r="AA193">
            <v>0</v>
          </cell>
          <cell r="AB193">
            <v>146090.14590998495</v>
          </cell>
          <cell r="AC193">
            <v>776690.14590998495</v>
          </cell>
          <cell r="AD193" t="str">
            <v>N/A</v>
          </cell>
          <cell r="AE193">
            <v>2002936</v>
          </cell>
          <cell r="AF193">
            <v>2002937</v>
          </cell>
          <cell r="AG193">
            <v>2002937</v>
          </cell>
          <cell r="AH193">
            <v>2002937</v>
          </cell>
          <cell r="AI193">
            <v>1982804</v>
          </cell>
          <cell r="AJ193">
            <v>0</v>
          </cell>
          <cell r="AK193">
            <v>9994551</v>
          </cell>
          <cell r="AL193">
            <v>49243001</v>
          </cell>
          <cell r="AM193">
            <v>5688431.359039763</v>
          </cell>
          <cell r="AN193">
            <v>-1305102.3500000003</v>
          </cell>
          <cell r="AO193">
            <v>10610763.102739071</v>
          </cell>
          <cell r="AP193">
            <v>0</v>
          </cell>
          <cell r="AQ193">
            <v>-616212.64999999967</v>
          </cell>
          <cell r="AR193">
            <v>0</v>
          </cell>
          <cell r="AS193">
            <v>0</v>
          </cell>
          <cell r="AT193">
            <v>63620880.461778834</v>
          </cell>
          <cell r="AU193">
            <v>1.4852587410871857E-3</v>
          </cell>
          <cell r="AV193">
            <v>0</v>
          </cell>
          <cell r="AW193">
            <v>0</v>
          </cell>
          <cell r="AY193">
            <v>0</v>
          </cell>
          <cell r="AZ193">
            <v>0</v>
          </cell>
          <cell r="BA193">
            <v>0</v>
          </cell>
          <cell r="BB193">
            <v>0</v>
          </cell>
          <cell r="BC193">
            <v>0</v>
          </cell>
          <cell r="BD193">
            <v>0</v>
          </cell>
          <cell r="BE193">
            <v>0</v>
          </cell>
          <cell r="BF193">
            <v>0</v>
          </cell>
          <cell r="BG193">
            <v>0</v>
          </cell>
          <cell r="BH193">
            <v>0</v>
          </cell>
          <cell r="BJ193">
            <v>0</v>
          </cell>
          <cell r="BL193">
            <v>0</v>
          </cell>
          <cell r="BM193">
            <v>0</v>
          </cell>
          <cell r="BN193">
            <v>0</v>
          </cell>
          <cell r="BO193">
            <v>0</v>
          </cell>
          <cell r="BQ193">
            <v>0</v>
          </cell>
          <cell r="BR193">
            <v>0</v>
          </cell>
          <cell r="BS193">
            <v>0</v>
          </cell>
          <cell r="BT193">
            <v>0</v>
          </cell>
          <cell r="CB193">
            <v>0</v>
          </cell>
          <cell r="CC193">
            <v>0</v>
          </cell>
          <cell r="CD193">
            <v>0</v>
          </cell>
          <cell r="CE193">
            <v>0</v>
          </cell>
          <cell r="CF193">
            <v>0</v>
          </cell>
          <cell r="CI193">
            <v>0</v>
          </cell>
          <cell r="CJ193">
            <v>0</v>
          </cell>
          <cell r="CK193">
            <v>0</v>
          </cell>
          <cell r="CV193">
            <v>1.4624347078516144E-3</v>
          </cell>
          <cell r="DG193">
            <v>63620881</v>
          </cell>
          <cell r="DR193">
            <v>22403744.750000019</v>
          </cell>
          <cell r="EC193">
            <v>2.8397431639190565</v>
          </cell>
          <cell r="EN193">
            <v>2.4095909012463064E-2</v>
          </cell>
        </row>
        <row r="194">
          <cell r="B194">
            <v>35700</v>
          </cell>
          <cell r="C194" t="str">
            <v>Madison County Schools</v>
          </cell>
          <cell r="D194">
            <v>8.2385240165957683E-4</v>
          </cell>
          <cell r="E194">
            <v>1425456.7517117104</v>
          </cell>
          <cell r="F194">
            <v>1111461.3197722416</v>
          </cell>
          <cell r="G194">
            <v>-334675</v>
          </cell>
          <cell r="H194">
            <v>-397753.08490748104</v>
          </cell>
          <cell r="I194">
            <v>-16459.773133194958</v>
          </cell>
          <cell r="J194">
            <v>1202886.0751544978</v>
          </cell>
          <cell r="K194">
            <v>0</v>
          </cell>
          <cell r="L194">
            <v>-63201.631283548624</v>
          </cell>
          <cell r="M194">
            <v>11341.985621002174</v>
          </cell>
          <cell r="N194">
            <v>427.5629194132872</v>
          </cell>
          <cell r="O194">
            <v>-192.95447099268949</v>
          </cell>
          <cell r="P194">
            <v>0</v>
          </cell>
          <cell r="Q194">
            <v>0</v>
          </cell>
          <cell r="R194">
            <v>0</v>
          </cell>
          <cell r="S194">
            <v>2939291.2513836478</v>
          </cell>
          <cell r="T194">
            <v>12655.170000000042</v>
          </cell>
          <cell r="U194">
            <v>6014430.3757724883</v>
          </cell>
          <cell r="V194">
            <v>45367.942484008694</v>
          </cell>
          <cell r="W194">
            <v>0</v>
          </cell>
          <cell r="X194">
            <v>6072453.4882564973</v>
          </cell>
          <cell r="Y194">
            <v>1686031</v>
          </cell>
          <cell r="Z194">
            <v>0</v>
          </cell>
          <cell r="AA194">
            <v>0</v>
          </cell>
          <cell r="AB194">
            <v>82298.865665974779</v>
          </cell>
          <cell r="AC194">
            <v>1768329.8656659748</v>
          </cell>
          <cell r="AD194" t="str">
            <v>N/A</v>
          </cell>
          <cell r="AE194">
            <v>863093</v>
          </cell>
          <cell r="AF194">
            <v>863093</v>
          </cell>
          <cell r="AG194">
            <v>863093</v>
          </cell>
          <cell r="AH194">
            <v>863093</v>
          </cell>
          <cell r="AI194">
            <v>851751</v>
          </cell>
          <cell r="AJ194">
            <v>0</v>
          </cell>
          <cell r="AK194">
            <v>4304123</v>
          </cell>
          <cell r="AL194">
            <v>29337646</v>
          </cell>
          <cell r="AM194">
            <v>2939291.2513836478</v>
          </cell>
          <cell r="AN194">
            <v>-740681.17</v>
          </cell>
          <cell r="AO194">
            <v>5977499.4525905233</v>
          </cell>
          <cell r="AP194">
            <v>0</v>
          </cell>
          <cell r="AQ194">
            <v>-1673375.83</v>
          </cell>
          <cell r="AR194">
            <v>0</v>
          </cell>
          <cell r="AS194">
            <v>0</v>
          </cell>
          <cell r="AT194">
            <v>35840379.703974172</v>
          </cell>
          <cell r="AU194">
            <v>8.8487693575365961E-4</v>
          </cell>
          <cell r="AV194">
            <v>0</v>
          </cell>
          <cell r="AW194">
            <v>0</v>
          </cell>
          <cell r="AY194">
            <v>0</v>
          </cell>
          <cell r="AZ194">
            <v>0</v>
          </cell>
          <cell r="BA194">
            <v>0</v>
          </cell>
          <cell r="BB194">
            <v>0</v>
          </cell>
          <cell r="BC194">
            <v>0</v>
          </cell>
          <cell r="BD194">
            <v>0</v>
          </cell>
          <cell r="BE194">
            <v>0</v>
          </cell>
          <cell r="BF194">
            <v>0</v>
          </cell>
          <cell r="BG194">
            <v>0</v>
          </cell>
          <cell r="BH194">
            <v>0</v>
          </cell>
          <cell r="BJ194">
            <v>0</v>
          </cell>
          <cell r="BL194">
            <v>0</v>
          </cell>
          <cell r="BM194">
            <v>0</v>
          </cell>
          <cell r="BN194">
            <v>0</v>
          </cell>
          <cell r="BO194">
            <v>0</v>
          </cell>
          <cell r="BQ194">
            <v>0</v>
          </cell>
          <cell r="BR194">
            <v>0</v>
          </cell>
          <cell r="BS194">
            <v>0</v>
          </cell>
          <cell r="BT194">
            <v>0</v>
          </cell>
          <cell r="CB194">
            <v>0</v>
          </cell>
          <cell r="CC194">
            <v>0</v>
          </cell>
          <cell r="CD194">
            <v>0</v>
          </cell>
          <cell r="CE194">
            <v>0</v>
          </cell>
          <cell r="CF194">
            <v>0</v>
          </cell>
          <cell r="CI194">
            <v>0</v>
          </cell>
          <cell r="CJ194">
            <v>0</v>
          </cell>
          <cell r="CK194">
            <v>0</v>
          </cell>
          <cell r="CV194">
            <v>8.2385240165957683E-4</v>
          </cell>
          <cell r="DG194">
            <v>35840380</v>
          </cell>
          <cell r="DR194">
            <v>12609939.180000005</v>
          </cell>
          <cell r="EC194">
            <v>2.8422325824413677</v>
          </cell>
          <cell r="EN194">
            <v>2.4095909012463064E-2</v>
          </cell>
        </row>
        <row r="195">
          <cell r="B195">
            <v>35800</v>
          </cell>
          <cell r="C195" t="str">
            <v>Martin County Schools</v>
          </cell>
          <cell r="D195">
            <v>1.1867186442876363E-3</v>
          </cell>
          <cell r="E195">
            <v>2053299.9606171807</v>
          </cell>
          <cell r="F195">
            <v>1601005.0682880459</v>
          </cell>
          <cell r="G195">
            <v>-339263</v>
          </cell>
          <cell r="H195">
            <v>-572943.64953210903</v>
          </cell>
          <cell r="I195">
            <v>-23709.489246568268</v>
          </cell>
          <cell r="J195">
            <v>1732697.9073730635</v>
          </cell>
          <cell r="K195">
            <v>0</v>
          </cell>
          <cell r="L195">
            <v>-91038.824481780917</v>
          </cell>
          <cell r="M195">
            <v>16337.569414827356</v>
          </cell>
          <cell r="N195">
            <v>615.88324201239743</v>
          </cell>
          <cell r="O195">
            <v>-277.94137367860731</v>
          </cell>
          <cell r="P195">
            <v>0</v>
          </cell>
          <cell r="Q195">
            <v>0</v>
          </cell>
          <cell r="R195">
            <v>0</v>
          </cell>
          <cell r="S195">
            <v>4376723.4843009925</v>
          </cell>
          <cell r="T195">
            <v>73051.520000000019</v>
          </cell>
          <cell r="U195">
            <v>8663489.5368653163</v>
          </cell>
          <cell r="V195">
            <v>65350.277659309424</v>
          </cell>
          <cell r="W195">
            <v>0</v>
          </cell>
          <cell r="X195">
            <v>8801891.3345246259</v>
          </cell>
          <cell r="Y195">
            <v>1769364</v>
          </cell>
          <cell r="Z195">
            <v>0</v>
          </cell>
          <cell r="AA195">
            <v>0</v>
          </cell>
          <cell r="AB195">
            <v>118547.44623284134</v>
          </cell>
          <cell r="AC195">
            <v>1887911.4462328414</v>
          </cell>
          <cell r="AD195" t="str">
            <v>N/A</v>
          </cell>
          <cell r="AE195">
            <v>1386063</v>
          </cell>
          <cell r="AF195">
            <v>1386063</v>
          </cell>
          <cell r="AG195">
            <v>1386063</v>
          </cell>
          <cell r="AH195">
            <v>1386063</v>
          </cell>
          <cell r="AI195">
            <v>1369725</v>
          </cell>
          <cell r="AJ195">
            <v>0</v>
          </cell>
          <cell r="AK195">
            <v>6913977</v>
          </cell>
          <cell r="AL195">
            <v>41468292</v>
          </cell>
          <cell r="AM195">
            <v>4376723.4843009925</v>
          </cell>
          <cell r="AN195">
            <v>-1132700.52</v>
          </cell>
          <cell r="AO195">
            <v>8610292.3682917859</v>
          </cell>
          <cell r="AP195">
            <v>0</v>
          </cell>
          <cell r="AQ195">
            <v>-1696312.48</v>
          </cell>
          <cell r="AR195">
            <v>0</v>
          </cell>
          <cell r="AS195">
            <v>0</v>
          </cell>
          <cell r="AT195">
            <v>51626294.852592781</v>
          </cell>
          <cell r="AU195">
            <v>1.2507593363649612E-3</v>
          </cell>
          <cell r="AV195">
            <v>0</v>
          </cell>
          <cell r="AW195">
            <v>0</v>
          </cell>
          <cell r="AY195">
            <v>0</v>
          </cell>
          <cell r="AZ195">
            <v>0</v>
          </cell>
          <cell r="BA195">
            <v>0</v>
          </cell>
          <cell r="BB195">
            <v>0</v>
          </cell>
          <cell r="BC195">
            <v>0</v>
          </cell>
          <cell r="BD195">
            <v>0</v>
          </cell>
          <cell r="BE195">
            <v>0</v>
          </cell>
          <cell r="BF195">
            <v>0</v>
          </cell>
          <cell r="BG195">
            <v>0</v>
          </cell>
          <cell r="BH195">
            <v>0</v>
          </cell>
          <cell r="BJ195">
            <v>0</v>
          </cell>
          <cell r="BL195">
            <v>0</v>
          </cell>
          <cell r="BM195">
            <v>0</v>
          </cell>
          <cell r="BN195">
            <v>0</v>
          </cell>
          <cell r="BO195">
            <v>0</v>
          </cell>
          <cell r="BQ195">
            <v>0</v>
          </cell>
          <cell r="BR195">
            <v>0</v>
          </cell>
          <cell r="BS195">
            <v>0</v>
          </cell>
          <cell r="BT195">
            <v>0</v>
          </cell>
          <cell r="CB195">
            <v>0</v>
          </cell>
          <cell r="CC195">
            <v>0</v>
          </cell>
          <cell r="CD195">
            <v>0</v>
          </cell>
          <cell r="CE195">
            <v>0</v>
          </cell>
          <cell r="CF195">
            <v>0</v>
          </cell>
          <cell r="CI195">
            <v>0</v>
          </cell>
          <cell r="CJ195">
            <v>0</v>
          </cell>
          <cell r="CK195">
            <v>0</v>
          </cell>
          <cell r="CV195">
            <v>1.1867186442876363E-3</v>
          </cell>
          <cell r="DG195">
            <v>51626295</v>
          </cell>
          <cell r="DR195">
            <v>19721483.920000002</v>
          </cell>
          <cell r="EC195">
            <v>2.6177692920787066</v>
          </cell>
          <cell r="EN195">
            <v>2.4095909012463064E-2</v>
          </cell>
        </row>
        <row r="196">
          <cell r="B196">
            <v>35805</v>
          </cell>
          <cell r="C196" t="str">
            <v>Martin Community College</v>
          </cell>
          <cell r="D196">
            <v>1.8563772340785819E-4</v>
          </cell>
          <cell r="E196">
            <v>321196.54645792395</v>
          </cell>
          <cell r="F196">
            <v>250444.31337795561</v>
          </cell>
          <cell r="G196">
            <v>24617</v>
          </cell>
          <cell r="H196">
            <v>-89625.24963444582</v>
          </cell>
          <cell r="I196">
            <v>-3708.8619346147434</v>
          </cell>
          <cell r="J196">
            <v>271044.94938762678</v>
          </cell>
          <cell r="K196">
            <v>0</v>
          </cell>
          <cell r="L196">
            <v>-14241.151598886587</v>
          </cell>
          <cell r="M196">
            <v>2555.6767029702946</v>
          </cell>
          <cell r="N196">
            <v>96.342265694210241</v>
          </cell>
          <cell r="O196">
            <v>-43.478211199354469</v>
          </cell>
          <cell r="P196">
            <v>0</v>
          </cell>
          <cell r="Q196">
            <v>0</v>
          </cell>
          <cell r="R196">
            <v>0</v>
          </cell>
          <cell r="S196">
            <v>762336.08681302425</v>
          </cell>
          <cell r="T196">
            <v>123083.18</v>
          </cell>
          <cell r="U196">
            <v>1355224.7469381338</v>
          </cell>
          <cell r="V196">
            <v>10222.706811881179</v>
          </cell>
          <cell r="W196">
            <v>0</v>
          </cell>
          <cell r="X196">
            <v>1488530.6337500149</v>
          </cell>
          <cell r="Y196">
            <v>0</v>
          </cell>
          <cell r="Z196">
            <v>0</v>
          </cell>
          <cell r="AA196">
            <v>0</v>
          </cell>
          <cell r="AB196">
            <v>18544.309673073716</v>
          </cell>
          <cell r="AC196">
            <v>18544.309673073716</v>
          </cell>
          <cell r="AD196" t="str">
            <v>N/A</v>
          </cell>
          <cell r="AE196">
            <v>294509</v>
          </cell>
          <cell r="AF196">
            <v>294509</v>
          </cell>
          <cell r="AG196">
            <v>294509</v>
          </cell>
          <cell r="AH196">
            <v>294509</v>
          </cell>
          <cell r="AI196">
            <v>291953</v>
          </cell>
          <cell r="AJ196">
            <v>0</v>
          </cell>
          <cell r="AK196">
            <v>1469989</v>
          </cell>
          <cell r="AL196">
            <v>6053909</v>
          </cell>
          <cell r="AM196">
            <v>762336.08681302425</v>
          </cell>
          <cell r="AN196">
            <v>-210359.18</v>
          </cell>
          <cell r="AO196">
            <v>1346903.1440769415</v>
          </cell>
          <cell r="AP196">
            <v>0</v>
          </cell>
          <cell r="AQ196">
            <v>123083.18</v>
          </cell>
          <cell r="AR196">
            <v>0</v>
          </cell>
          <cell r="AS196">
            <v>0</v>
          </cell>
          <cell r="AT196">
            <v>8075872.2308899658</v>
          </cell>
          <cell r="AU196">
            <v>1.8259693092330072E-4</v>
          </cell>
          <cell r="AV196">
            <v>0</v>
          </cell>
          <cell r="AW196">
            <v>0</v>
          </cell>
          <cell r="AY196">
            <v>0</v>
          </cell>
          <cell r="AZ196">
            <v>0</v>
          </cell>
          <cell r="BA196">
            <v>0</v>
          </cell>
          <cell r="BB196">
            <v>0</v>
          </cell>
          <cell r="BC196">
            <v>0</v>
          </cell>
          <cell r="BD196">
            <v>0</v>
          </cell>
          <cell r="BE196">
            <v>0</v>
          </cell>
          <cell r="BF196">
            <v>0</v>
          </cell>
          <cell r="BG196">
            <v>0</v>
          </cell>
          <cell r="BH196">
            <v>0</v>
          </cell>
          <cell r="BJ196">
            <v>0</v>
          </cell>
          <cell r="BL196">
            <v>0</v>
          </cell>
          <cell r="BM196">
            <v>0</v>
          </cell>
          <cell r="BN196">
            <v>0</v>
          </cell>
          <cell r="BO196">
            <v>0</v>
          </cell>
          <cell r="BQ196">
            <v>0</v>
          </cell>
          <cell r="BR196">
            <v>0</v>
          </cell>
          <cell r="BS196">
            <v>0</v>
          </cell>
          <cell r="BT196">
            <v>0</v>
          </cell>
          <cell r="CB196">
            <v>0</v>
          </cell>
          <cell r="CC196">
            <v>0</v>
          </cell>
          <cell r="CD196">
            <v>0</v>
          </cell>
          <cell r="CE196">
            <v>0</v>
          </cell>
          <cell r="CF196">
            <v>0</v>
          </cell>
          <cell r="CI196">
            <v>0</v>
          </cell>
          <cell r="CJ196">
            <v>0</v>
          </cell>
          <cell r="CK196">
            <v>0</v>
          </cell>
          <cell r="CV196">
            <v>1.8563772340785819E-4</v>
          </cell>
          <cell r="DG196">
            <v>8075872</v>
          </cell>
          <cell r="DR196">
            <v>3495280.6200000006</v>
          </cell>
          <cell r="EC196">
            <v>2.3105074750764931</v>
          </cell>
          <cell r="EN196">
            <v>2.4095909012463064E-2</v>
          </cell>
        </row>
        <row r="197">
          <cell r="B197">
            <v>35900</v>
          </cell>
          <cell r="C197" t="str">
            <v>Mcdowell County Schools</v>
          </cell>
          <cell r="D197">
            <v>2.225742813351026E-3</v>
          </cell>
          <cell r="E197">
            <v>3851054.0413233214</v>
          </cell>
          <cell r="F197">
            <v>3002755.1534927986</v>
          </cell>
          <cell r="G197">
            <v>-62690</v>
          </cell>
          <cell r="H197">
            <v>-1074580.9181810683</v>
          </cell>
          <cell r="I197">
            <v>-44468.185911455264</v>
          </cell>
          <cell r="J197">
            <v>3249750.8433087459</v>
          </cell>
          <cell r="K197">
            <v>0</v>
          </cell>
          <cell r="L197">
            <v>-170747.30417493652</v>
          </cell>
          <cell r="M197">
            <v>30641.827266903387</v>
          </cell>
          <cell r="N197">
            <v>1155.1160052729156</v>
          </cell>
          <cell r="O197">
            <v>-521.29122431494386</v>
          </cell>
          <cell r="P197">
            <v>0</v>
          </cell>
          <cell r="Q197">
            <v>0</v>
          </cell>
          <cell r="R197">
            <v>0</v>
          </cell>
          <cell r="S197">
            <v>8782349.2819052674</v>
          </cell>
          <cell r="T197">
            <v>0</v>
          </cell>
          <cell r="U197">
            <v>16248754.21654373</v>
          </cell>
          <cell r="V197">
            <v>122567.30906761355</v>
          </cell>
          <cell r="W197">
            <v>0</v>
          </cell>
          <cell r="X197">
            <v>16371321.525611345</v>
          </cell>
          <cell r="Y197">
            <v>313446.18000000017</v>
          </cell>
          <cell r="Z197">
            <v>0</v>
          </cell>
          <cell r="AA197">
            <v>0</v>
          </cell>
          <cell r="AB197">
            <v>222340.92955727631</v>
          </cell>
          <cell r="AC197">
            <v>535787.10955727648</v>
          </cell>
          <cell r="AD197" t="str">
            <v>N/A</v>
          </cell>
          <cell r="AE197">
            <v>3173235</v>
          </cell>
          <cell r="AF197">
            <v>3173234</v>
          </cell>
          <cell r="AG197">
            <v>3173234</v>
          </cell>
          <cell r="AH197">
            <v>3173234</v>
          </cell>
          <cell r="AI197">
            <v>3142593</v>
          </cell>
          <cell r="AJ197">
            <v>0</v>
          </cell>
          <cell r="AK197">
            <v>15835530</v>
          </cell>
          <cell r="AL197">
            <v>74108822</v>
          </cell>
          <cell r="AM197">
            <v>8782349.2819052674</v>
          </cell>
          <cell r="AN197">
            <v>-1899327.8199999998</v>
          </cell>
          <cell r="AO197">
            <v>16148980.596054068</v>
          </cell>
          <cell r="AP197">
            <v>0</v>
          </cell>
          <cell r="AQ197">
            <v>-313446.18000000017</v>
          </cell>
          <cell r="AR197">
            <v>0</v>
          </cell>
          <cell r="AS197">
            <v>0</v>
          </cell>
          <cell r="AT197">
            <v>96827377.877959326</v>
          </cell>
          <cell r="AU197">
            <v>2.2352572897208051E-3</v>
          </cell>
          <cell r="AV197">
            <v>0</v>
          </cell>
          <cell r="AW197">
            <v>0</v>
          </cell>
          <cell r="AY197">
            <v>0</v>
          </cell>
          <cell r="AZ197">
            <v>0</v>
          </cell>
          <cell r="BA197">
            <v>0</v>
          </cell>
          <cell r="BB197">
            <v>0</v>
          </cell>
          <cell r="BC197">
            <v>0</v>
          </cell>
          <cell r="BD197">
            <v>0</v>
          </cell>
          <cell r="BE197">
            <v>0</v>
          </cell>
          <cell r="BF197">
            <v>0</v>
          </cell>
          <cell r="BG197">
            <v>0</v>
          </cell>
          <cell r="BH197">
            <v>0</v>
          </cell>
          <cell r="BJ197">
            <v>0</v>
          </cell>
          <cell r="BL197">
            <v>0</v>
          </cell>
          <cell r="BM197">
            <v>0</v>
          </cell>
          <cell r="BN197">
            <v>0</v>
          </cell>
          <cell r="BO197">
            <v>0</v>
          </cell>
          <cell r="BQ197">
            <v>0</v>
          </cell>
          <cell r="BR197">
            <v>0</v>
          </cell>
          <cell r="BS197">
            <v>0</v>
          </cell>
          <cell r="BT197">
            <v>0</v>
          </cell>
          <cell r="CB197">
            <v>0</v>
          </cell>
          <cell r="CC197">
            <v>0</v>
          </cell>
          <cell r="CD197">
            <v>0</v>
          </cell>
          <cell r="CE197">
            <v>0</v>
          </cell>
          <cell r="CF197">
            <v>0</v>
          </cell>
          <cell r="CI197">
            <v>0</v>
          </cell>
          <cell r="CJ197">
            <v>0</v>
          </cell>
          <cell r="CK197">
            <v>0</v>
          </cell>
          <cell r="CV197">
            <v>2.225742813351026E-3</v>
          </cell>
          <cell r="DG197">
            <v>96827378</v>
          </cell>
          <cell r="DR197">
            <v>33198038.550000027</v>
          </cell>
          <cell r="EC197">
            <v>2.9166596048789732</v>
          </cell>
          <cell r="EN197">
            <v>2.4095909012463064E-2</v>
          </cell>
        </row>
        <row r="198">
          <cell r="B198">
            <v>35905</v>
          </cell>
          <cell r="C198" t="str">
            <v>Mcdowell Technical College</v>
          </cell>
          <cell r="D198">
            <v>2.9266541278908449E-4</v>
          </cell>
          <cell r="E198">
            <v>506379.40462675079</v>
          </cell>
          <cell r="F198">
            <v>394835.63475081656</v>
          </cell>
          <cell r="G198">
            <v>-132166</v>
          </cell>
          <cell r="H198">
            <v>-141297.84722128024</v>
          </cell>
          <cell r="I198">
            <v>-5847.1715185115136</v>
          </cell>
          <cell r="J198">
            <v>427313.37435464584</v>
          </cell>
          <cell r="K198">
            <v>0</v>
          </cell>
          <cell r="L198">
            <v>-22451.754065756031</v>
          </cell>
          <cell r="M198">
            <v>4029.1281507850367</v>
          </cell>
          <cell r="N198">
            <v>151.88749592927908</v>
          </cell>
          <cell r="O198">
            <v>-68.545166329331479</v>
          </cell>
          <cell r="P198">
            <v>0</v>
          </cell>
          <cell r="Q198">
            <v>0</v>
          </cell>
          <cell r="R198">
            <v>0</v>
          </cell>
          <cell r="S198">
            <v>1030878.1114070503</v>
          </cell>
          <cell r="T198">
            <v>57614.160000000033</v>
          </cell>
          <cell r="U198">
            <v>2136566.871773229</v>
          </cell>
          <cell r="V198">
            <v>16116.512603140147</v>
          </cell>
          <cell r="W198">
            <v>0</v>
          </cell>
          <cell r="X198">
            <v>2210297.5443763691</v>
          </cell>
          <cell r="Y198">
            <v>718445</v>
          </cell>
          <cell r="Z198">
            <v>0</v>
          </cell>
          <cell r="AA198">
            <v>0</v>
          </cell>
          <cell r="AB198">
            <v>29235.857592557564</v>
          </cell>
          <cell r="AC198">
            <v>747680.85759255756</v>
          </cell>
          <cell r="AD198" t="str">
            <v>N/A</v>
          </cell>
          <cell r="AE198">
            <v>293329</v>
          </cell>
          <cell r="AF198">
            <v>293329</v>
          </cell>
          <cell r="AG198">
            <v>293329</v>
          </cell>
          <cell r="AH198">
            <v>293329</v>
          </cell>
          <cell r="AI198">
            <v>289300</v>
          </cell>
          <cell r="AJ198">
            <v>0</v>
          </cell>
          <cell r="AK198">
            <v>1462616</v>
          </cell>
          <cell r="AL198">
            <v>10565307</v>
          </cell>
          <cell r="AM198">
            <v>1030878.1114070503</v>
          </cell>
          <cell r="AN198">
            <v>-326862.16000000003</v>
          </cell>
          <cell r="AO198">
            <v>2123447.5267838119</v>
          </cell>
          <cell r="AP198">
            <v>0</v>
          </cell>
          <cell r="AQ198">
            <v>-660830.84</v>
          </cell>
          <cell r="AR198">
            <v>0</v>
          </cell>
          <cell r="AS198">
            <v>0</v>
          </cell>
          <cell r="AT198">
            <v>12731939.638190862</v>
          </cell>
          <cell r="AU198">
            <v>3.1866893214690196E-4</v>
          </cell>
          <cell r="AV198">
            <v>0</v>
          </cell>
          <cell r="AW198">
            <v>0</v>
          </cell>
          <cell r="AY198">
            <v>0</v>
          </cell>
          <cell r="AZ198">
            <v>0</v>
          </cell>
          <cell r="BA198">
            <v>0</v>
          </cell>
          <cell r="BB198">
            <v>0</v>
          </cell>
          <cell r="BC198">
            <v>0</v>
          </cell>
          <cell r="BD198">
            <v>0</v>
          </cell>
          <cell r="BE198">
            <v>0</v>
          </cell>
          <cell r="BF198">
            <v>0</v>
          </cell>
          <cell r="BG198">
            <v>0</v>
          </cell>
          <cell r="BH198">
            <v>0</v>
          </cell>
          <cell r="BJ198">
            <v>0</v>
          </cell>
          <cell r="BL198">
            <v>0</v>
          </cell>
          <cell r="BM198">
            <v>0</v>
          </cell>
          <cell r="BN198">
            <v>0</v>
          </cell>
          <cell r="BO198">
            <v>0</v>
          </cell>
          <cell r="BQ198">
            <v>0</v>
          </cell>
          <cell r="BR198">
            <v>0</v>
          </cell>
          <cell r="BS198">
            <v>0</v>
          </cell>
          <cell r="BT198">
            <v>0</v>
          </cell>
          <cell r="CB198">
            <v>0</v>
          </cell>
          <cell r="CC198">
            <v>0</v>
          </cell>
          <cell r="CD198">
            <v>0</v>
          </cell>
          <cell r="CE198">
            <v>0</v>
          </cell>
          <cell r="CF198">
            <v>0</v>
          </cell>
          <cell r="CI198">
            <v>0</v>
          </cell>
          <cell r="CJ198">
            <v>0</v>
          </cell>
          <cell r="CK198">
            <v>0</v>
          </cell>
          <cell r="CV198">
            <v>2.9266541278908449E-4</v>
          </cell>
          <cell r="DG198">
            <v>12731940</v>
          </cell>
          <cell r="DR198">
            <v>5626005.3199999994</v>
          </cell>
          <cell r="EC198">
            <v>2.2630515393824764</v>
          </cell>
          <cell r="EN198">
            <v>2.4095909012463064E-2</v>
          </cell>
        </row>
        <row r="199">
          <cell r="B199">
            <v>36000</v>
          </cell>
          <cell r="C199" t="str">
            <v>Charlotte-Mecklenburg County Schools</v>
          </cell>
          <cell r="D199">
            <v>5.223530484919834E-2</v>
          </cell>
          <cell r="E199">
            <v>90379257.042909518</v>
          </cell>
          <cell r="F199">
            <v>70470779.413210034</v>
          </cell>
          <cell r="G199">
            <v>10876567</v>
          </cell>
          <cell r="H199">
            <v>-25219024.18806868</v>
          </cell>
          <cell r="I199">
            <v>-1043610.8041065739</v>
          </cell>
          <cell r="J199">
            <v>76267448.766282901</v>
          </cell>
          <cell r="K199">
            <v>0</v>
          </cell>
          <cell r="L199">
            <v>-4007218.3687423943</v>
          </cell>
          <cell r="M199">
            <v>719124.05100092094</v>
          </cell>
          <cell r="N199">
            <v>27109.078510636955</v>
          </cell>
          <cell r="O199">
            <v>-12234.030748730744</v>
          </cell>
          <cell r="P199">
            <v>0</v>
          </cell>
          <cell r="Q199">
            <v>0</v>
          </cell>
          <cell r="R199">
            <v>0</v>
          </cell>
          <cell r="S199">
            <v>218458197.96024761</v>
          </cell>
          <cell r="T199">
            <v>58077887</v>
          </cell>
          <cell r="U199">
            <v>381337243.83141446</v>
          </cell>
          <cell r="V199">
            <v>2876496.2040036838</v>
          </cell>
          <cell r="W199">
            <v>0</v>
          </cell>
          <cell r="X199">
            <v>442291627.03541815</v>
          </cell>
          <cell r="Y199">
            <v>3695054.8200000003</v>
          </cell>
          <cell r="Z199">
            <v>0</v>
          </cell>
          <cell r="AA199">
            <v>0</v>
          </cell>
          <cell r="AB199">
            <v>5218054.0205328697</v>
          </cell>
          <cell r="AC199">
            <v>8913108.8405328691</v>
          </cell>
          <cell r="AD199" t="str">
            <v>N/A</v>
          </cell>
          <cell r="AE199">
            <v>86819528</v>
          </cell>
          <cell r="AF199">
            <v>86819529</v>
          </cell>
          <cell r="AG199">
            <v>86819529</v>
          </cell>
          <cell r="AH199">
            <v>86819529</v>
          </cell>
          <cell r="AI199">
            <v>86100405</v>
          </cell>
          <cell r="AJ199">
            <v>0</v>
          </cell>
          <cell r="AK199">
            <v>433378520</v>
          </cell>
          <cell r="AL199">
            <v>1662141589</v>
          </cell>
          <cell r="AM199">
            <v>218458197.96024761</v>
          </cell>
          <cell r="AN199">
            <v>-41564996.18</v>
          </cell>
          <cell r="AO199">
            <v>378995686.01488531</v>
          </cell>
          <cell r="AP199">
            <v>0</v>
          </cell>
          <cell r="AQ199">
            <v>54382832.18</v>
          </cell>
          <cell r="AR199">
            <v>0</v>
          </cell>
          <cell r="AS199">
            <v>0</v>
          </cell>
          <cell r="AT199">
            <v>2272413308.9751325</v>
          </cell>
          <cell r="AU199">
            <v>5.0133222789853771E-2</v>
          </cell>
          <cell r="AV199">
            <v>0</v>
          </cell>
          <cell r="AW199">
            <v>0</v>
          </cell>
          <cell r="AY199">
            <v>0</v>
          </cell>
          <cell r="AZ199">
            <v>0</v>
          </cell>
          <cell r="BA199">
            <v>0</v>
          </cell>
          <cell r="BB199">
            <v>0</v>
          </cell>
          <cell r="BC199">
            <v>0</v>
          </cell>
          <cell r="BD199">
            <v>0</v>
          </cell>
          <cell r="BE199">
            <v>0</v>
          </cell>
          <cell r="BF199">
            <v>0</v>
          </cell>
          <cell r="BG199">
            <v>0</v>
          </cell>
          <cell r="BH199">
            <v>0</v>
          </cell>
          <cell r="BJ199">
            <v>0</v>
          </cell>
          <cell r="BL199">
            <v>0</v>
          </cell>
          <cell r="BM199">
            <v>0</v>
          </cell>
          <cell r="BN199">
            <v>0</v>
          </cell>
          <cell r="BO199">
            <v>0</v>
          </cell>
          <cell r="BQ199">
            <v>0</v>
          </cell>
          <cell r="BR199">
            <v>0</v>
          </cell>
          <cell r="BS199">
            <v>0</v>
          </cell>
          <cell r="BT199">
            <v>0</v>
          </cell>
          <cell r="CB199">
            <v>0</v>
          </cell>
          <cell r="CC199">
            <v>0</v>
          </cell>
          <cell r="CD199">
            <v>0</v>
          </cell>
          <cell r="CE199">
            <v>0</v>
          </cell>
          <cell r="CF199">
            <v>0</v>
          </cell>
          <cell r="CI199">
            <v>0</v>
          </cell>
          <cell r="CJ199">
            <v>0</v>
          </cell>
          <cell r="CK199">
            <v>0</v>
          </cell>
          <cell r="CV199">
            <v>5.223530484919834E-2</v>
          </cell>
          <cell r="DG199">
            <v>2272413309</v>
          </cell>
          <cell r="DR199">
            <v>714265233.25000679</v>
          </cell>
          <cell r="EC199">
            <v>3.1814698563168213</v>
          </cell>
          <cell r="EN199">
            <v>2.4095909012463064E-2</v>
          </cell>
        </row>
        <row r="200">
          <cell r="B200">
            <v>36001</v>
          </cell>
          <cell r="C200" t="str">
            <v>Community Charter School</v>
          </cell>
          <cell r="D200">
            <v>2.6673578625407405E-5</v>
          </cell>
          <cell r="E200">
            <v>46151.51047360932</v>
          </cell>
          <cell r="F200">
            <v>35985.391123851121</v>
          </cell>
          <cell r="G200">
            <v>-10042</v>
          </cell>
          <cell r="H200">
            <v>-12877.911337523759</v>
          </cell>
          <cell r="I200">
            <v>-532.91226916403377</v>
          </cell>
          <cell r="J200">
            <v>38945.418182199021</v>
          </cell>
          <cell r="K200">
            <v>0</v>
          </cell>
          <cell r="L200">
            <v>-2046.2569240555979</v>
          </cell>
          <cell r="M200">
            <v>367.2154679899208</v>
          </cell>
          <cell r="N200">
            <v>13.843053835013935</v>
          </cell>
          <cell r="O200">
            <v>-6.2472188498566679</v>
          </cell>
          <cell r="P200">
            <v>0</v>
          </cell>
          <cell r="Q200">
            <v>0</v>
          </cell>
          <cell r="R200">
            <v>0</v>
          </cell>
          <cell r="S200">
            <v>95958.050551891152</v>
          </cell>
          <cell r="T200">
            <v>0</v>
          </cell>
          <cell r="U200">
            <v>194727.09091099512</v>
          </cell>
          <cell r="V200">
            <v>1468.8618719596832</v>
          </cell>
          <cell r="W200">
            <v>0</v>
          </cell>
          <cell r="X200">
            <v>196195.95278295479</v>
          </cell>
          <cell r="Y200">
            <v>50209.94</v>
          </cell>
          <cell r="Z200">
            <v>0</v>
          </cell>
          <cell r="AA200">
            <v>0</v>
          </cell>
          <cell r="AB200">
            <v>2664.5613458201688</v>
          </cell>
          <cell r="AC200">
            <v>52874.501345820172</v>
          </cell>
          <cell r="AD200" t="str">
            <v>N/A</v>
          </cell>
          <cell r="AE200">
            <v>28738</v>
          </cell>
          <cell r="AF200">
            <v>28738</v>
          </cell>
          <cell r="AG200">
            <v>28738</v>
          </cell>
          <cell r="AH200">
            <v>28738</v>
          </cell>
          <cell r="AI200">
            <v>28371</v>
          </cell>
          <cell r="AJ200">
            <v>0</v>
          </cell>
          <cell r="AK200">
            <v>143323</v>
          </cell>
          <cell r="AL200">
            <v>941855</v>
          </cell>
          <cell r="AM200">
            <v>95958.050551891152</v>
          </cell>
          <cell r="AN200">
            <v>-20743.060000000001</v>
          </cell>
          <cell r="AO200">
            <v>193531.39143713465</v>
          </cell>
          <cell r="AP200">
            <v>0</v>
          </cell>
          <cell r="AQ200">
            <v>-50209.94</v>
          </cell>
          <cell r="AR200">
            <v>0</v>
          </cell>
          <cell r="AS200">
            <v>0</v>
          </cell>
          <cell r="AT200">
            <v>1160391.4419890258</v>
          </cell>
          <cell r="AU200">
            <v>2.8408073839590356E-5</v>
          </cell>
          <cell r="AV200">
            <v>0</v>
          </cell>
          <cell r="AW200">
            <v>0</v>
          </cell>
          <cell r="AY200">
            <v>0</v>
          </cell>
          <cell r="AZ200">
            <v>0</v>
          </cell>
          <cell r="BA200">
            <v>0</v>
          </cell>
          <cell r="BB200">
            <v>0</v>
          </cell>
          <cell r="BC200">
            <v>0</v>
          </cell>
          <cell r="BD200">
            <v>0</v>
          </cell>
          <cell r="BE200">
            <v>0</v>
          </cell>
          <cell r="BF200">
            <v>0</v>
          </cell>
          <cell r="BG200">
            <v>0</v>
          </cell>
          <cell r="BH200">
            <v>0</v>
          </cell>
          <cell r="BJ200">
            <v>0</v>
          </cell>
          <cell r="BL200">
            <v>0</v>
          </cell>
          <cell r="BM200">
            <v>0</v>
          </cell>
          <cell r="BN200">
            <v>0</v>
          </cell>
          <cell r="BO200">
            <v>0</v>
          </cell>
          <cell r="BQ200">
            <v>0</v>
          </cell>
          <cell r="BR200">
            <v>0</v>
          </cell>
          <cell r="BS200">
            <v>0</v>
          </cell>
          <cell r="BT200">
            <v>0</v>
          </cell>
          <cell r="CB200">
            <v>0</v>
          </cell>
          <cell r="CC200">
            <v>0</v>
          </cell>
          <cell r="CD200">
            <v>0</v>
          </cell>
          <cell r="CE200">
            <v>0</v>
          </cell>
          <cell r="CF200">
            <v>0</v>
          </cell>
          <cell r="CI200">
            <v>0</v>
          </cell>
          <cell r="CJ200">
            <v>0</v>
          </cell>
          <cell r="CK200">
            <v>0</v>
          </cell>
          <cell r="CV200">
            <v>2.6673578625407405E-5</v>
          </cell>
          <cell r="DG200">
            <v>1160391</v>
          </cell>
          <cell r="DR200">
            <v>353785.51</v>
          </cell>
          <cell r="EC200">
            <v>3.2799279993123518</v>
          </cell>
          <cell r="EN200">
            <v>2.4095909012463064E-2</v>
          </cell>
        </row>
        <row r="201">
          <cell r="B201">
            <v>36002</v>
          </cell>
          <cell r="C201" t="str">
            <v>Kennedy Charter</v>
          </cell>
          <cell r="D201">
            <v>1.4676337160561461E-4</v>
          </cell>
          <cell r="E201">
            <v>253934.85354630719</v>
          </cell>
          <cell r="F201">
            <v>197998.82888052042</v>
          </cell>
          <cell r="G201">
            <v>-293915</v>
          </cell>
          <cell r="H201">
            <v>-70856.8472823091</v>
          </cell>
          <cell r="I201">
            <v>-2932.1900330993858</v>
          </cell>
          <cell r="J201">
            <v>214285.49057027153</v>
          </cell>
          <cell r="K201">
            <v>0</v>
          </cell>
          <cell r="L201">
            <v>-11258.915407011558</v>
          </cell>
          <cell r="M201">
            <v>2020.4930483755541</v>
          </cell>
          <cell r="N201">
            <v>76.167254595881872</v>
          </cell>
          <cell r="O201">
            <v>-34.373449263750999</v>
          </cell>
          <cell r="P201">
            <v>0</v>
          </cell>
          <cell r="Q201">
            <v>0</v>
          </cell>
          <cell r="R201">
            <v>0</v>
          </cell>
          <cell r="S201">
            <v>289318.50712838676</v>
          </cell>
          <cell r="T201">
            <v>0</v>
          </cell>
          <cell r="U201">
            <v>1071427.4528513576</v>
          </cell>
          <cell r="V201">
            <v>8081.9721935022162</v>
          </cell>
          <cell r="W201">
            <v>0</v>
          </cell>
          <cell r="X201">
            <v>1079509.4250448598</v>
          </cell>
          <cell r="Y201">
            <v>1469574.41</v>
          </cell>
          <cell r="Z201">
            <v>0</v>
          </cell>
          <cell r="AA201">
            <v>0</v>
          </cell>
          <cell r="AB201">
            <v>14660.950165496928</v>
          </cell>
          <cell r="AC201">
            <v>1484235.3601654968</v>
          </cell>
          <cell r="AD201" t="str">
            <v>N/A</v>
          </cell>
          <cell r="AE201">
            <v>-80541</v>
          </cell>
          <cell r="AF201">
            <v>-80541</v>
          </cell>
          <cell r="AG201">
            <v>-80541</v>
          </cell>
          <cell r="AH201">
            <v>-80541</v>
          </cell>
          <cell r="AI201">
            <v>-82562</v>
          </cell>
          <cell r="AJ201">
            <v>0</v>
          </cell>
          <cell r="AK201">
            <v>-404726</v>
          </cell>
          <cell r="AL201">
            <v>6600441</v>
          </cell>
          <cell r="AM201">
            <v>289318.50712838676</v>
          </cell>
          <cell r="AN201">
            <v>-100328.58999999998</v>
          </cell>
          <cell r="AO201">
            <v>1064848.4748793631</v>
          </cell>
          <cell r="AP201">
            <v>0</v>
          </cell>
          <cell r="AQ201">
            <v>-1469574.41</v>
          </cell>
          <cell r="AR201">
            <v>0</v>
          </cell>
          <cell r="AS201">
            <v>0</v>
          </cell>
          <cell r="AT201">
            <v>6384704.9820077494</v>
          </cell>
          <cell r="AU201">
            <v>1.9908134100986438E-4</v>
          </cell>
          <cell r="AV201">
            <v>0</v>
          </cell>
          <cell r="AW201">
            <v>0</v>
          </cell>
          <cell r="AY201">
            <v>0</v>
          </cell>
          <cell r="AZ201">
            <v>0</v>
          </cell>
          <cell r="BA201">
            <v>0</v>
          </cell>
          <cell r="BB201">
            <v>0</v>
          </cell>
          <cell r="BC201">
            <v>0</v>
          </cell>
          <cell r="BD201">
            <v>0</v>
          </cell>
          <cell r="BE201">
            <v>0</v>
          </cell>
          <cell r="BF201">
            <v>0</v>
          </cell>
          <cell r="BG201">
            <v>0</v>
          </cell>
          <cell r="BH201">
            <v>0</v>
          </cell>
          <cell r="BJ201">
            <v>0</v>
          </cell>
          <cell r="BL201">
            <v>0</v>
          </cell>
          <cell r="BM201">
            <v>0</v>
          </cell>
          <cell r="BN201">
            <v>0</v>
          </cell>
          <cell r="BO201">
            <v>0</v>
          </cell>
          <cell r="BQ201">
            <v>0</v>
          </cell>
          <cell r="BR201">
            <v>0</v>
          </cell>
          <cell r="BS201">
            <v>0</v>
          </cell>
          <cell r="BT201">
            <v>0</v>
          </cell>
          <cell r="CB201">
            <v>0</v>
          </cell>
          <cell r="CC201">
            <v>0</v>
          </cell>
          <cell r="CD201">
            <v>0</v>
          </cell>
          <cell r="CE201">
            <v>0</v>
          </cell>
          <cell r="CF201">
            <v>0</v>
          </cell>
          <cell r="CI201">
            <v>0</v>
          </cell>
          <cell r="CJ201">
            <v>0</v>
          </cell>
          <cell r="CK201">
            <v>0</v>
          </cell>
          <cell r="CV201">
            <v>1.4676337160561461E-4</v>
          </cell>
          <cell r="DG201">
            <v>6384706</v>
          </cell>
          <cell r="DR201">
            <v>1857050.5799999996</v>
          </cell>
          <cell r="EC201">
            <v>3.438089446115141</v>
          </cell>
          <cell r="EN201">
            <v>2.4095909012463064E-2</v>
          </cell>
        </row>
        <row r="202">
          <cell r="B202">
            <v>36003</v>
          </cell>
          <cell r="C202" t="str">
            <v>Community School Of Davidson</v>
          </cell>
          <cell r="D202">
            <v>3.876324350915837E-4</v>
          </cell>
          <cell r="E202">
            <v>670694.49657569767</v>
          </cell>
          <cell r="F202">
            <v>522955.8802347774</v>
          </cell>
          <cell r="G202">
            <v>19404</v>
          </cell>
          <cell r="H202">
            <v>-187147.5965322071</v>
          </cell>
          <cell r="I202">
            <v>-7744.5206542127698</v>
          </cell>
          <cell r="J202">
            <v>565972.32406025787</v>
          </cell>
          <cell r="K202">
            <v>0</v>
          </cell>
          <cell r="L202">
            <v>-29737.125469139039</v>
          </cell>
          <cell r="M202">
            <v>5336.5402542814736</v>
          </cell>
          <cell r="N202">
            <v>201.1734811638301</v>
          </cell>
          <cell r="O202">
            <v>-90.787392622799814</v>
          </cell>
          <cell r="P202">
            <v>0</v>
          </cell>
          <cell r="Q202">
            <v>0</v>
          </cell>
          <cell r="R202">
            <v>0</v>
          </cell>
          <cell r="S202">
            <v>1559844.3845579964</v>
          </cell>
          <cell r="T202">
            <v>148457</v>
          </cell>
          <cell r="U202">
            <v>2829861.620301289</v>
          </cell>
          <cell r="V202">
            <v>21346.161017125894</v>
          </cell>
          <cell r="W202">
            <v>0</v>
          </cell>
          <cell r="X202">
            <v>2999664.781318415</v>
          </cell>
          <cell r="Y202">
            <v>51432.159999999974</v>
          </cell>
          <cell r="Z202">
            <v>0</v>
          </cell>
          <cell r="AA202">
            <v>0</v>
          </cell>
          <cell r="AB202">
            <v>38722.603271063846</v>
          </cell>
          <cell r="AC202">
            <v>90154.763271063828</v>
          </cell>
          <cell r="AD202" t="str">
            <v>N/A</v>
          </cell>
          <cell r="AE202">
            <v>582969</v>
          </cell>
          <cell r="AF202">
            <v>582969</v>
          </cell>
          <cell r="AG202">
            <v>582969</v>
          </cell>
          <cell r="AH202">
            <v>582969</v>
          </cell>
          <cell r="AI202">
            <v>577633</v>
          </cell>
          <cell r="AJ202">
            <v>0</v>
          </cell>
          <cell r="AK202">
            <v>2909509</v>
          </cell>
          <cell r="AL202">
            <v>12673609</v>
          </cell>
          <cell r="AM202">
            <v>1559844.3845579964</v>
          </cell>
          <cell r="AN202">
            <v>-279634.84000000003</v>
          </cell>
          <cell r="AO202">
            <v>2812485.1780473515</v>
          </cell>
          <cell r="AP202">
            <v>0</v>
          </cell>
          <cell r="AQ202">
            <v>97024.840000000026</v>
          </cell>
          <cell r="AR202">
            <v>0</v>
          </cell>
          <cell r="AS202">
            <v>0</v>
          </cell>
          <cell r="AT202">
            <v>16863328.562605347</v>
          </cell>
          <cell r="AU202">
            <v>3.8225918370144178E-4</v>
          </cell>
          <cell r="AV202">
            <v>0</v>
          </cell>
          <cell r="AW202">
            <v>0</v>
          </cell>
          <cell r="AY202">
            <v>0</v>
          </cell>
          <cell r="AZ202">
            <v>0</v>
          </cell>
          <cell r="BA202">
            <v>0</v>
          </cell>
          <cell r="BB202">
            <v>0</v>
          </cell>
          <cell r="BC202">
            <v>0</v>
          </cell>
          <cell r="BD202">
            <v>0</v>
          </cell>
          <cell r="BE202">
            <v>0</v>
          </cell>
          <cell r="BF202">
            <v>0</v>
          </cell>
          <cell r="BG202">
            <v>0</v>
          </cell>
          <cell r="BH202">
            <v>0</v>
          </cell>
          <cell r="BJ202">
            <v>0</v>
          </cell>
          <cell r="BL202">
            <v>0</v>
          </cell>
          <cell r="BM202">
            <v>0</v>
          </cell>
          <cell r="BN202">
            <v>0</v>
          </cell>
          <cell r="BO202">
            <v>0</v>
          </cell>
          <cell r="BQ202">
            <v>0</v>
          </cell>
          <cell r="BR202">
            <v>0</v>
          </cell>
          <cell r="BS202">
            <v>0</v>
          </cell>
          <cell r="BT202">
            <v>0</v>
          </cell>
          <cell r="CB202">
            <v>0</v>
          </cell>
          <cell r="CC202">
            <v>0</v>
          </cell>
          <cell r="CD202">
            <v>0</v>
          </cell>
          <cell r="CE202">
            <v>0</v>
          </cell>
          <cell r="CF202">
            <v>0</v>
          </cell>
          <cell r="CI202">
            <v>0</v>
          </cell>
          <cell r="CJ202">
            <v>0</v>
          </cell>
          <cell r="CK202">
            <v>0</v>
          </cell>
          <cell r="CV202">
            <v>3.876324350915837E-4</v>
          </cell>
          <cell r="DG202">
            <v>16863328</v>
          </cell>
          <cell r="DR202">
            <v>4819997.4300000006</v>
          </cell>
          <cell r="EC202">
            <v>3.4986176330803556</v>
          </cell>
          <cell r="EN202">
            <v>2.4095909012463064E-2</v>
          </cell>
        </row>
        <row r="203">
          <cell r="B203">
            <v>36004</v>
          </cell>
          <cell r="C203" t="str">
            <v>Corvian Community School</v>
          </cell>
          <cell r="D203">
            <v>1.9730645184590787E-4</v>
          </cell>
          <cell r="E203">
            <v>341386.1674414911</v>
          </cell>
          <cell r="F203">
            <v>266186.62387397769</v>
          </cell>
          <cell r="G203">
            <v>221317</v>
          </cell>
          <cell r="H203">
            <v>-95258.871292685188</v>
          </cell>
          <cell r="I203">
            <v>-3941.9918283387419</v>
          </cell>
          <cell r="J203">
            <v>288082.16494300379</v>
          </cell>
          <cell r="K203">
            <v>0</v>
          </cell>
          <cell r="L203">
            <v>-15136.315187417593</v>
          </cell>
          <cell r="M203">
            <v>2716.3202234518012</v>
          </cell>
          <cell r="N203">
            <v>102.39810237898926</v>
          </cell>
          <cell r="O203">
            <v>-46.211144086830082</v>
          </cell>
          <cell r="P203">
            <v>0</v>
          </cell>
          <cell r="Q203">
            <v>0</v>
          </cell>
          <cell r="R203">
            <v>0</v>
          </cell>
          <cell r="S203">
            <v>1005407.2851317751</v>
          </cell>
          <cell r="T203">
            <v>1142128</v>
          </cell>
          <cell r="U203">
            <v>1440410.824715019</v>
          </cell>
          <cell r="V203">
            <v>10865.280893807205</v>
          </cell>
          <cell r="W203">
            <v>0</v>
          </cell>
          <cell r="X203">
            <v>2593404.1056088265</v>
          </cell>
          <cell r="Y203">
            <v>35545.830000000016</v>
          </cell>
          <cell r="Z203">
            <v>0</v>
          </cell>
          <cell r="AA203">
            <v>0</v>
          </cell>
          <cell r="AB203">
            <v>19709.959141693711</v>
          </cell>
          <cell r="AC203">
            <v>55255.789141693727</v>
          </cell>
          <cell r="AD203" t="str">
            <v>N/A</v>
          </cell>
          <cell r="AE203">
            <v>508173</v>
          </cell>
          <cell r="AF203">
            <v>508173</v>
          </cell>
          <cell r="AG203">
            <v>508173</v>
          </cell>
          <cell r="AH203">
            <v>508173</v>
          </cell>
          <cell r="AI203">
            <v>505457</v>
          </cell>
          <cell r="AJ203">
            <v>0</v>
          </cell>
          <cell r="AK203">
            <v>2538149</v>
          </cell>
          <cell r="AL203">
            <v>5171041</v>
          </cell>
          <cell r="AM203">
            <v>1005407.2851317751</v>
          </cell>
          <cell r="AN203">
            <v>-131096.16999999998</v>
          </cell>
          <cell r="AO203">
            <v>1431566.1464671325</v>
          </cell>
          <cell r="AP203">
            <v>0</v>
          </cell>
          <cell r="AQ203">
            <v>1106582.17</v>
          </cell>
          <cell r="AR203">
            <v>0</v>
          </cell>
          <cell r="AS203">
            <v>0</v>
          </cell>
          <cell r="AT203">
            <v>8583500.4315989073</v>
          </cell>
          <cell r="AU203">
            <v>1.5596802992803741E-4</v>
          </cell>
          <cell r="AV203">
            <v>0</v>
          </cell>
          <cell r="AW203">
            <v>0</v>
          </cell>
          <cell r="AY203">
            <v>0</v>
          </cell>
          <cell r="AZ203">
            <v>0</v>
          </cell>
          <cell r="BA203">
            <v>0</v>
          </cell>
          <cell r="BB203">
            <v>0</v>
          </cell>
          <cell r="BC203">
            <v>0</v>
          </cell>
          <cell r="BD203">
            <v>0</v>
          </cell>
          <cell r="BE203">
            <v>0</v>
          </cell>
          <cell r="BF203">
            <v>0</v>
          </cell>
          <cell r="BG203">
            <v>0</v>
          </cell>
          <cell r="BH203">
            <v>0</v>
          </cell>
          <cell r="BJ203">
            <v>0</v>
          </cell>
          <cell r="BL203">
            <v>0</v>
          </cell>
          <cell r="BM203">
            <v>0</v>
          </cell>
          <cell r="BN203">
            <v>0</v>
          </cell>
          <cell r="BO203">
            <v>0</v>
          </cell>
          <cell r="BQ203">
            <v>0</v>
          </cell>
          <cell r="BR203">
            <v>0</v>
          </cell>
          <cell r="BS203">
            <v>0</v>
          </cell>
          <cell r="BT203">
            <v>0</v>
          </cell>
          <cell r="CB203">
            <v>0</v>
          </cell>
          <cell r="CC203">
            <v>0</v>
          </cell>
          <cell r="CD203">
            <v>0</v>
          </cell>
          <cell r="CE203">
            <v>0</v>
          </cell>
          <cell r="CF203">
            <v>0</v>
          </cell>
          <cell r="CI203">
            <v>0</v>
          </cell>
          <cell r="CJ203">
            <v>0</v>
          </cell>
          <cell r="CK203">
            <v>0</v>
          </cell>
          <cell r="CV203">
            <v>1.9730645184590787E-4</v>
          </cell>
          <cell r="DG203">
            <v>8583501</v>
          </cell>
          <cell r="DR203">
            <v>2255330.2499999995</v>
          </cell>
          <cell r="EC203">
            <v>3.805873219675922</v>
          </cell>
          <cell r="EN203">
            <v>2.4095909012463064E-2</v>
          </cell>
        </row>
        <row r="204">
          <cell r="B204">
            <v>36005</v>
          </cell>
          <cell r="C204" t="str">
            <v>Central Piedmont Community College</v>
          </cell>
          <cell r="D204">
            <v>4.444733449763769E-3</v>
          </cell>
          <cell r="E204">
            <v>7690425.242145068</v>
          </cell>
          <cell r="F204">
            <v>5996400.9283201443</v>
          </cell>
          <cell r="G204">
            <v>1388775</v>
          </cell>
          <cell r="H204">
            <v>-2145901.9087323411</v>
          </cell>
          <cell r="I204">
            <v>-88801.469866764673</v>
          </cell>
          <cell r="J204">
            <v>6489643.0036790445</v>
          </cell>
          <cell r="K204">
            <v>0</v>
          </cell>
          <cell r="L204">
            <v>-340976.6167820206</v>
          </cell>
          <cell r="M204">
            <v>61190.69723515692</v>
          </cell>
          <cell r="N204">
            <v>2306.7277657584009</v>
          </cell>
          <cell r="O204">
            <v>-1041.0010212691723</v>
          </cell>
          <cell r="P204">
            <v>0</v>
          </cell>
          <cell r="Q204">
            <v>0</v>
          </cell>
          <cell r="R204">
            <v>0</v>
          </cell>
          <cell r="S204">
            <v>19052020.602742776</v>
          </cell>
          <cell r="T204">
            <v>6943875.2200000007</v>
          </cell>
          <cell r="U204">
            <v>32448215.018395223</v>
          </cell>
          <cell r="V204">
            <v>244762.78894062768</v>
          </cell>
          <cell r="W204">
            <v>0</v>
          </cell>
          <cell r="X204">
            <v>39636853.027335852</v>
          </cell>
          <cell r="Y204">
            <v>0</v>
          </cell>
          <cell r="Z204">
            <v>0</v>
          </cell>
          <cell r="AA204">
            <v>0</v>
          </cell>
          <cell r="AB204">
            <v>444007.34933382337</v>
          </cell>
          <cell r="AC204">
            <v>444007.34933382337</v>
          </cell>
          <cell r="AD204" t="str">
            <v>N/A</v>
          </cell>
          <cell r="AE204">
            <v>7850807</v>
          </cell>
          <cell r="AF204">
            <v>7850807</v>
          </cell>
          <cell r="AG204">
            <v>7850807</v>
          </cell>
          <cell r="AH204">
            <v>7850807</v>
          </cell>
          <cell r="AI204">
            <v>7789617</v>
          </cell>
          <cell r="AJ204">
            <v>0</v>
          </cell>
          <cell r="AK204">
            <v>39192845</v>
          </cell>
          <cell r="AL204">
            <v>139117085</v>
          </cell>
          <cell r="AM204">
            <v>19052020.602742776</v>
          </cell>
          <cell r="AN204">
            <v>-4000939.22</v>
          </cell>
          <cell r="AO204">
            <v>32248970.458002031</v>
          </cell>
          <cell r="AP204">
            <v>0</v>
          </cell>
          <cell r="AQ204">
            <v>6943875.2200000007</v>
          </cell>
          <cell r="AR204">
            <v>0</v>
          </cell>
          <cell r="AS204">
            <v>0</v>
          </cell>
          <cell r="AT204">
            <v>193361012.06074482</v>
          </cell>
          <cell r="AU204">
            <v>4.1960250917593847E-3</v>
          </cell>
          <cell r="AV204">
            <v>0</v>
          </cell>
          <cell r="AW204">
            <v>0</v>
          </cell>
          <cell r="AY204">
            <v>0</v>
          </cell>
          <cell r="AZ204">
            <v>0</v>
          </cell>
          <cell r="BA204">
            <v>0</v>
          </cell>
          <cell r="BB204">
            <v>0</v>
          </cell>
          <cell r="BC204">
            <v>0</v>
          </cell>
          <cell r="BD204">
            <v>0</v>
          </cell>
          <cell r="BE204">
            <v>0</v>
          </cell>
          <cell r="BF204">
            <v>0</v>
          </cell>
          <cell r="BG204">
            <v>0</v>
          </cell>
          <cell r="BH204">
            <v>0</v>
          </cell>
          <cell r="BJ204">
            <v>0</v>
          </cell>
          <cell r="BL204">
            <v>0</v>
          </cell>
          <cell r="BM204">
            <v>0</v>
          </cell>
          <cell r="BN204">
            <v>0</v>
          </cell>
          <cell r="BO204">
            <v>0</v>
          </cell>
          <cell r="BQ204">
            <v>0</v>
          </cell>
          <cell r="BR204">
            <v>0</v>
          </cell>
          <cell r="BS204">
            <v>0</v>
          </cell>
          <cell r="BT204">
            <v>0</v>
          </cell>
          <cell r="CB204">
            <v>0</v>
          </cell>
          <cell r="CC204">
            <v>0</v>
          </cell>
          <cell r="CD204">
            <v>0</v>
          </cell>
          <cell r="CE204">
            <v>0</v>
          </cell>
          <cell r="CF204">
            <v>0</v>
          </cell>
          <cell r="CI204">
            <v>0</v>
          </cell>
          <cell r="CJ204">
            <v>0</v>
          </cell>
          <cell r="CK204">
            <v>0</v>
          </cell>
          <cell r="CV204">
            <v>4.444733449763769E-3</v>
          </cell>
          <cell r="DG204">
            <v>193361013</v>
          </cell>
          <cell r="DR204">
            <v>69143334.120000049</v>
          </cell>
          <cell r="EC204">
            <v>2.7965242848199501</v>
          </cell>
          <cell r="EN204">
            <v>2.4095909012463064E-2</v>
          </cell>
        </row>
        <row r="205">
          <cell r="B205">
            <v>36006</v>
          </cell>
          <cell r="C205" t="str">
            <v>Lake Norman Charter School</v>
          </cell>
          <cell r="D205">
            <v>4.8326750042809637E-4</v>
          </cell>
          <cell r="E205">
            <v>836165.458740414</v>
          </cell>
          <cell r="F205">
            <v>651977.38423392072</v>
          </cell>
          <cell r="G205">
            <v>35473</v>
          </cell>
          <cell r="H205">
            <v>-233319.87470521475</v>
          </cell>
          <cell r="I205">
            <v>-9655.2166427737411</v>
          </cell>
          <cell r="J205">
            <v>705606.666520203</v>
          </cell>
          <cell r="K205">
            <v>0</v>
          </cell>
          <cell r="L205">
            <v>-37073.745627071061</v>
          </cell>
          <cell r="M205">
            <v>6653.149314017558</v>
          </cell>
          <cell r="N205">
            <v>250.80616737217346</v>
          </cell>
          <cell r="O205">
            <v>-113.18608127526446</v>
          </cell>
          <cell r="P205">
            <v>0</v>
          </cell>
          <cell r="Q205">
            <v>0</v>
          </cell>
          <cell r="R205">
            <v>0</v>
          </cell>
          <cell r="S205">
            <v>1955964.4419195927</v>
          </cell>
          <cell r="T205">
            <v>238779</v>
          </cell>
          <cell r="U205">
            <v>3528033.332601015</v>
          </cell>
          <cell r="V205">
            <v>26612.597256070232</v>
          </cell>
          <cell r="W205">
            <v>0</v>
          </cell>
          <cell r="X205">
            <v>3793424.929857085</v>
          </cell>
          <cell r="Y205">
            <v>61412.820000000007</v>
          </cell>
          <cell r="Z205">
            <v>0</v>
          </cell>
          <cell r="AA205">
            <v>0</v>
          </cell>
          <cell r="AB205">
            <v>48276.083213868704</v>
          </cell>
          <cell r="AC205">
            <v>109688.9032138687</v>
          </cell>
          <cell r="AD205" t="str">
            <v>N/A</v>
          </cell>
          <cell r="AE205">
            <v>738078</v>
          </cell>
          <cell r="AF205">
            <v>738079</v>
          </cell>
          <cell r="AG205">
            <v>738079</v>
          </cell>
          <cell r="AH205">
            <v>738079</v>
          </cell>
          <cell r="AI205">
            <v>731425</v>
          </cell>
          <cell r="AJ205">
            <v>0</v>
          </cell>
          <cell r="AK205">
            <v>3683740</v>
          </cell>
          <cell r="AL205">
            <v>15735954</v>
          </cell>
          <cell r="AM205">
            <v>1955964.4419195927</v>
          </cell>
          <cell r="AN205">
            <v>-351875.18</v>
          </cell>
          <cell r="AO205">
            <v>3506369.8466432169</v>
          </cell>
          <cell r="AP205">
            <v>0</v>
          </cell>
          <cell r="AQ205">
            <v>177366.18</v>
          </cell>
          <cell r="AR205">
            <v>0</v>
          </cell>
          <cell r="AS205">
            <v>0</v>
          </cell>
          <cell r="AT205">
            <v>21023779.288562808</v>
          </cell>
          <cell r="AU205">
            <v>4.7462507611900477E-4</v>
          </cell>
          <cell r="AV205">
            <v>0</v>
          </cell>
          <cell r="AW205">
            <v>0</v>
          </cell>
          <cell r="AY205">
            <v>0</v>
          </cell>
          <cell r="AZ205">
            <v>0</v>
          </cell>
          <cell r="BA205">
            <v>0</v>
          </cell>
          <cell r="BB205">
            <v>0</v>
          </cell>
          <cell r="BC205">
            <v>0</v>
          </cell>
          <cell r="BD205">
            <v>0</v>
          </cell>
          <cell r="BE205">
            <v>0</v>
          </cell>
          <cell r="BF205">
            <v>0</v>
          </cell>
          <cell r="BG205">
            <v>0</v>
          </cell>
          <cell r="BH205">
            <v>0</v>
          </cell>
          <cell r="BJ205">
            <v>0</v>
          </cell>
          <cell r="BL205">
            <v>0</v>
          </cell>
          <cell r="BM205">
            <v>0</v>
          </cell>
          <cell r="BN205">
            <v>0</v>
          </cell>
          <cell r="BO205">
            <v>0</v>
          </cell>
          <cell r="BQ205">
            <v>0</v>
          </cell>
          <cell r="BR205">
            <v>0</v>
          </cell>
          <cell r="BS205">
            <v>0</v>
          </cell>
          <cell r="BT205">
            <v>0</v>
          </cell>
          <cell r="CB205">
            <v>0</v>
          </cell>
          <cell r="CC205">
            <v>0</v>
          </cell>
          <cell r="CD205">
            <v>0</v>
          </cell>
          <cell r="CE205">
            <v>0</v>
          </cell>
          <cell r="CF205">
            <v>0</v>
          </cell>
          <cell r="CI205">
            <v>0</v>
          </cell>
          <cell r="CJ205">
            <v>0</v>
          </cell>
          <cell r="CK205">
            <v>0</v>
          </cell>
          <cell r="CV205">
            <v>4.8326750042809637E-4</v>
          </cell>
          <cell r="DG205">
            <v>21023779</v>
          </cell>
          <cell r="DR205">
            <v>6132666.4799999995</v>
          </cell>
          <cell r="EC205">
            <v>3.4281627850728973</v>
          </cell>
          <cell r="EN205">
            <v>2.4095909012463064E-2</v>
          </cell>
        </row>
        <row r="206">
          <cell r="B206">
            <v>36007</v>
          </cell>
          <cell r="C206" t="str">
            <v>Socrates Academy</v>
          </cell>
          <cell r="D206">
            <v>1.6440453688332634E-4</v>
          </cell>
          <cell r="E206">
            <v>284458.18284961511</v>
          </cell>
          <cell r="F206">
            <v>221798.56873973334</v>
          </cell>
          <cell r="G206">
            <v>-9512</v>
          </cell>
          <cell r="H206">
            <v>-79373.940752496012</v>
          </cell>
          <cell r="I206">
            <v>-3284.6434309306087</v>
          </cell>
          <cell r="J206">
            <v>240042.91024800998</v>
          </cell>
          <cell r="K206">
            <v>0</v>
          </cell>
          <cell r="L206">
            <v>-12612.252996424553</v>
          </cell>
          <cell r="M206">
            <v>2263.35917647626</v>
          </cell>
          <cell r="N206">
            <v>85.322666551708707</v>
          </cell>
          <cell r="O206">
            <v>-38.505186583443859</v>
          </cell>
          <cell r="P206">
            <v>0</v>
          </cell>
          <cell r="Q206">
            <v>0</v>
          </cell>
          <cell r="R206">
            <v>0</v>
          </cell>
          <cell r="S206">
            <v>643827.00131395168</v>
          </cell>
          <cell r="T206">
            <v>0</v>
          </cell>
          <cell r="U206">
            <v>1200214.55124005</v>
          </cell>
          <cell r="V206">
            <v>9053.4367059050401</v>
          </cell>
          <cell r="W206">
            <v>0</v>
          </cell>
          <cell r="X206">
            <v>1209267.987945955</v>
          </cell>
          <cell r="Y206">
            <v>47562.17</v>
          </cell>
          <cell r="Z206">
            <v>0</v>
          </cell>
          <cell r="AA206">
            <v>0</v>
          </cell>
          <cell r="AB206">
            <v>16423.217154653044</v>
          </cell>
          <cell r="AC206">
            <v>63985.387154653043</v>
          </cell>
          <cell r="AD206" t="str">
            <v>N/A</v>
          </cell>
          <cell r="AE206">
            <v>229510</v>
          </cell>
          <cell r="AF206">
            <v>229509</v>
          </cell>
          <cell r="AG206">
            <v>229509</v>
          </cell>
          <cell r="AH206">
            <v>229509</v>
          </cell>
          <cell r="AI206">
            <v>227245</v>
          </cell>
          <cell r="AJ206">
            <v>0</v>
          </cell>
          <cell r="AK206">
            <v>1145282</v>
          </cell>
          <cell r="AL206">
            <v>5487475</v>
          </cell>
          <cell r="AM206">
            <v>643827.00131395168</v>
          </cell>
          <cell r="AN206">
            <v>-124428.83</v>
          </cell>
          <cell r="AO206">
            <v>1192844.770791302</v>
          </cell>
          <cell r="AP206">
            <v>0</v>
          </cell>
          <cell r="AQ206">
            <v>-47562.17</v>
          </cell>
          <cell r="AR206">
            <v>0</v>
          </cell>
          <cell r="AS206">
            <v>0</v>
          </cell>
          <cell r="AT206">
            <v>7152155.7721052542</v>
          </cell>
          <cell r="AU206">
            <v>1.6551226589657202E-4</v>
          </cell>
          <cell r="AV206">
            <v>0</v>
          </cell>
          <cell r="AW206">
            <v>0</v>
          </cell>
          <cell r="AY206">
            <v>0</v>
          </cell>
          <cell r="AZ206">
            <v>0</v>
          </cell>
          <cell r="BA206">
            <v>0</v>
          </cell>
          <cell r="BB206">
            <v>0</v>
          </cell>
          <cell r="BC206">
            <v>0</v>
          </cell>
          <cell r="BD206">
            <v>0</v>
          </cell>
          <cell r="BE206">
            <v>0</v>
          </cell>
          <cell r="BF206">
            <v>0</v>
          </cell>
          <cell r="BG206">
            <v>0</v>
          </cell>
          <cell r="BH206">
            <v>0</v>
          </cell>
          <cell r="BJ206">
            <v>0</v>
          </cell>
          <cell r="BL206">
            <v>0</v>
          </cell>
          <cell r="BM206">
            <v>0</v>
          </cell>
          <cell r="BN206">
            <v>0</v>
          </cell>
          <cell r="BO206">
            <v>0</v>
          </cell>
          <cell r="BQ206">
            <v>0</v>
          </cell>
          <cell r="BR206">
            <v>0</v>
          </cell>
          <cell r="BS206">
            <v>0</v>
          </cell>
          <cell r="BT206">
            <v>0</v>
          </cell>
          <cell r="CB206">
            <v>0</v>
          </cell>
          <cell r="CC206">
            <v>0</v>
          </cell>
          <cell r="CD206">
            <v>0</v>
          </cell>
          <cell r="CE206">
            <v>0</v>
          </cell>
          <cell r="CF206">
            <v>0</v>
          </cell>
          <cell r="CI206">
            <v>0</v>
          </cell>
          <cell r="CJ206">
            <v>0</v>
          </cell>
          <cell r="CK206">
            <v>0</v>
          </cell>
          <cell r="CV206">
            <v>1.6440453688332634E-4</v>
          </cell>
          <cell r="DG206">
            <v>7152156</v>
          </cell>
          <cell r="DR206">
            <v>2123885.6199999996</v>
          </cell>
          <cell r="EC206">
            <v>3.3674864280120702</v>
          </cell>
          <cell r="EN206">
            <v>2.4095909012463064E-2</v>
          </cell>
        </row>
        <row r="207">
          <cell r="B207">
            <v>36008</v>
          </cell>
          <cell r="C207" t="str">
            <v>Pine Lake Prep Charter</v>
          </cell>
          <cell r="D207">
            <v>5.1236741829565377E-4</v>
          </cell>
          <cell r="E207">
            <v>886515.10185003758</v>
          </cell>
          <cell r="F207">
            <v>691236.15565121127</v>
          </cell>
          <cell r="G207">
            <v>125540</v>
          </cell>
          <cell r="H207">
            <v>-247369.21422168557</v>
          </cell>
          <cell r="I207">
            <v>-10236.604820230945</v>
          </cell>
          <cell r="J207">
            <v>748094.72132287419</v>
          </cell>
          <cell r="K207">
            <v>0</v>
          </cell>
          <cell r="L207">
            <v>-39306.138560249477</v>
          </cell>
          <cell r="M207">
            <v>7053.7682226489123</v>
          </cell>
          <cell r="N207">
            <v>265.90844274707837</v>
          </cell>
          <cell r="O207">
            <v>-120.00157303902508</v>
          </cell>
          <cell r="P207">
            <v>0</v>
          </cell>
          <cell r="Q207">
            <v>0</v>
          </cell>
          <cell r="R207">
            <v>0</v>
          </cell>
          <cell r="S207">
            <v>2161673.6963143134</v>
          </cell>
          <cell r="T207">
            <v>723078</v>
          </cell>
          <cell r="U207">
            <v>3740473.6066143708</v>
          </cell>
          <cell r="V207">
            <v>28215.072890595649</v>
          </cell>
          <cell r="W207">
            <v>0</v>
          </cell>
          <cell r="X207">
            <v>4491766.6795049664</v>
          </cell>
          <cell r="Y207">
            <v>95380.920000000042</v>
          </cell>
          <cell r="Z207">
            <v>0</v>
          </cell>
          <cell r="AA207">
            <v>0</v>
          </cell>
          <cell r="AB207">
            <v>51183.024101154719</v>
          </cell>
          <cell r="AC207">
            <v>146563.94410115475</v>
          </cell>
          <cell r="AD207" t="str">
            <v>N/A</v>
          </cell>
          <cell r="AE207">
            <v>870452</v>
          </cell>
          <cell r="AF207">
            <v>870452</v>
          </cell>
          <cell r="AG207">
            <v>870452</v>
          </cell>
          <cell r="AH207">
            <v>870452</v>
          </cell>
          <cell r="AI207">
            <v>863398</v>
          </cell>
          <cell r="AJ207">
            <v>0</v>
          </cell>
          <cell r="AK207">
            <v>4345206</v>
          </cell>
          <cell r="AL207">
            <v>16119588</v>
          </cell>
          <cell r="AM207">
            <v>2161673.6963143134</v>
          </cell>
          <cell r="AN207">
            <v>-336740.07999999996</v>
          </cell>
          <cell r="AO207">
            <v>3717505.655403812</v>
          </cell>
          <cell r="AP207">
            <v>0</v>
          </cell>
          <cell r="AQ207">
            <v>627697.07999999996</v>
          </cell>
          <cell r="AR207">
            <v>0</v>
          </cell>
          <cell r="AS207">
            <v>0</v>
          </cell>
          <cell r="AT207">
            <v>22289724.351718124</v>
          </cell>
          <cell r="AU207">
            <v>4.8619618220996239E-4</v>
          </cell>
          <cell r="AV207">
            <v>0</v>
          </cell>
          <cell r="AW207">
            <v>0</v>
          </cell>
          <cell r="AY207">
            <v>0</v>
          </cell>
          <cell r="AZ207">
            <v>0</v>
          </cell>
          <cell r="BA207">
            <v>0</v>
          </cell>
          <cell r="BB207">
            <v>0</v>
          </cell>
          <cell r="BC207">
            <v>0</v>
          </cell>
          <cell r="BD207">
            <v>0</v>
          </cell>
          <cell r="BE207">
            <v>0</v>
          </cell>
          <cell r="BF207">
            <v>0</v>
          </cell>
          <cell r="BG207">
            <v>0</v>
          </cell>
          <cell r="BH207">
            <v>0</v>
          </cell>
          <cell r="BJ207">
            <v>0</v>
          </cell>
          <cell r="BL207">
            <v>0</v>
          </cell>
          <cell r="BM207">
            <v>0</v>
          </cell>
          <cell r="BN207">
            <v>0</v>
          </cell>
          <cell r="BO207">
            <v>0</v>
          </cell>
          <cell r="BQ207">
            <v>0</v>
          </cell>
          <cell r="BR207">
            <v>0</v>
          </cell>
          <cell r="BS207">
            <v>0</v>
          </cell>
          <cell r="BT207">
            <v>0</v>
          </cell>
          <cell r="CB207">
            <v>0</v>
          </cell>
          <cell r="CC207">
            <v>0</v>
          </cell>
          <cell r="CD207">
            <v>0</v>
          </cell>
          <cell r="CE207">
            <v>0</v>
          </cell>
          <cell r="CF207">
            <v>0</v>
          </cell>
          <cell r="CI207">
            <v>0</v>
          </cell>
          <cell r="CJ207">
            <v>0</v>
          </cell>
          <cell r="CK207">
            <v>0</v>
          </cell>
          <cell r="CV207">
            <v>5.1236741829565377E-4</v>
          </cell>
          <cell r="DG207">
            <v>22289724</v>
          </cell>
          <cell r="DR207">
            <v>5994908.870000002</v>
          </cell>
          <cell r="EC207">
            <v>3.7181088959572444</v>
          </cell>
          <cell r="EN207">
            <v>2.4095909012463064E-2</v>
          </cell>
        </row>
        <row r="208">
          <cell r="B208">
            <v>36009</v>
          </cell>
          <cell r="C208" t="str">
            <v>Charlotte Secondary Charter</v>
          </cell>
          <cell r="D208">
            <v>1.5927350958971524E-4</v>
          </cell>
          <cell r="E208">
            <v>275580.3092351649</v>
          </cell>
          <cell r="F208">
            <v>214876.2870833877</v>
          </cell>
          <cell r="G208">
            <v>136423</v>
          </cell>
          <cell r="H208">
            <v>-76896.69855393334</v>
          </cell>
          <cell r="I208">
            <v>-3182.1304746984706</v>
          </cell>
          <cell r="J208">
            <v>232551.22694370762</v>
          </cell>
          <cell r="K208">
            <v>0</v>
          </cell>
          <cell r="L208">
            <v>-12218.62751877421</v>
          </cell>
          <cell r="M208">
            <v>2192.7202638896415</v>
          </cell>
          <cell r="N208">
            <v>82.659766006870413</v>
          </cell>
          <cell r="O208">
            <v>-37.303448681007204</v>
          </cell>
          <cell r="P208">
            <v>0</v>
          </cell>
          <cell r="Q208">
            <v>0</v>
          </cell>
          <cell r="R208">
            <v>0</v>
          </cell>
          <cell r="S208">
            <v>769371.44329606974</v>
          </cell>
          <cell r="T208">
            <v>707265</v>
          </cell>
          <cell r="U208">
            <v>1162756.134718538</v>
          </cell>
          <cell r="V208">
            <v>8770.881055558566</v>
          </cell>
          <cell r="W208">
            <v>0</v>
          </cell>
          <cell r="X208">
            <v>1878792.0157740966</v>
          </cell>
          <cell r="Y208">
            <v>25151.42</v>
          </cell>
          <cell r="Z208">
            <v>0</v>
          </cell>
          <cell r="AA208">
            <v>0</v>
          </cell>
          <cell r="AB208">
            <v>15910.652373492352</v>
          </cell>
          <cell r="AC208">
            <v>41062.072373492352</v>
          </cell>
          <cell r="AD208" t="str">
            <v>N/A</v>
          </cell>
          <cell r="AE208">
            <v>367985</v>
          </cell>
          <cell r="AF208">
            <v>367985</v>
          </cell>
          <cell r="AG208">
            <v>367985</v>
          </cell>
          <cell r="AH208">
            <v>367985</v>
          </cell>
          <cell r="AI208">
            <v>365792</v>
          </cell>
          <cell r="AJ208">
            <v>0</v>
          </cell>
          <cell r="AK208">
            <v>1837732</v>
          </cell>
          <cell r="AL208">
            <v>4431914</v>
          </cell>
          <cell r="AM208">
            <v>769371.44329606974</v>
          </cell>
          <cell r="AN208">
            <v>-110076.58</v>
          </cell>
          <cell r="AO208">
            <v>1155616.3634006043</v>
          </cell>
          <cell r="AP208">
            <v>0</v>
          </cell>
          <cell r="AQ208">
            <v>682113.58</v>
          </cell>
          <cell r="AR208">
            <v>0</v>
          </cell>
          <cell r="AS208">
            <v>0</v>
          </cell>
          <cell r="AT208">
            <v>6928938.8066966739</v>
          </cell>
          <cell r="AU208">
            <v>1.3367459981016111E-4</v>
          </cell>
          <cell r="AV208">
            <v>0</v>
          </cell>
          <cell r="AW208">
            <v>0</v>
          </cell>
          <cell r="AY208">
            <v>0</v>
          </cell>
          <cell r="AZ208">
            <v>0</v>
          </cell>
          <cell r="BA208">
            <v>0</v>
          </cell>
          <cell r="BB208">
            <v>0</v>
          </cell>
          <cell r="BC208">
            <v>0</v>
          </cell>
          <cell r="BD208">
            <v>0</v>
          </cell>
          <cell r="BE208">
            <v>0</v>
          </cell>
          <cell r="BF208">
            <v>0</v>
          </cell>
          <cell r="BG208">
            <v>0</v>
          </cell>
          <cell r="BH208">
            <v>0</v>
          </cell>
          <cell r="BJ208">
            <v>0</v>
          </cell>
          <cell r="BL208">
            <v>0</v>
          </cell>
          <cell r="BM208">
            <v>0</v>
          </cell>
          <cell r="BN208">
            <v>0</v>
          </cell>
          <cell r="BO208">
            <v>0</v>
          </cell>
          <cell r="BQ208">
            <v>0</v>
          </cell>
          <cell r="BR208">
            <v>0</v>
          </cell>
          <cell r="BS208">
            <v>0</v>
          </cell>
          <cell r="BT208">
            <v>0</v>
          </cell>
          <cell r="CB208">
            <v>0</v>
          </cell>
          <cell r="CC208">
            <v>0</v>
          </cell>
          <cell r="CD208">
            <v>0</v>
          </cell>
          <cell r="CE208">
            <v>0</v>
          </cell>
          <cell r="CF208">
            <v>0</v>
          </cell>
          <cell r="CI208">
            <v>0</v>
          </cell>
          <cell r="CJ208">
            <v>0</v>
          </cell>
          <cell r="CK208">
            <v>0</v>
          </cell>
          <cell r="CV208">
            <v>1.5927350958971524E-4</v>
          </cell>
          <cell r="DG208">
            <v>6928939</v>
          </cell>
          <cell r="DR208">
            <v>1841895.1</v>
          </cell>
          <cell r="EC208">
            <v>3.761853213030427</v>
          </cell>
          <cell r="EN208">
            <v>2.4095909012463064E-2</v>
          </cell>
        </row>
        <row r="209">
          <cell r="B209">
            <v>36100</v>
          </cell>
          <cell r="C209" t="str">
            <v>Mitchell County Schools</v>
          </cell>
          <cell r="D209">
            <v>6.7253678859313421E-4</v>
          </cell>
          <cell r="E209">
            <v>1163645.4589965816</v>
          </cell>
          <cell r="F209">
            <v>907321.05063885346</v>
          </cell>
          <cell r="G209">
            <v>-82714</v>
          </cell>
          <cell r="H209">
            <v>-324698.43122120848</v>
          </cell>
          <cell r="I209">
            <v>-13436.633724282847</v>
          </cell>
          <cell r="J209">
            <v>981953.9718500271</v>
          </cell>
          <cell r="K209">
            <v>0</v>
          </cell>
          <cell r="L209">
            <v>-51593.491809530198</v>
          </cell>
          <cell r="M209">
            <v>9258.8218113494368</v>
          </cell>
          <cell r="N209">
            <v>349.03314254406479</v>
          </cell>
          <cell r="O209">
            <v>-157.51484125639797</v>
          </cell>
          <cell r="P209">
            <v>0</v>
          </cell>
          <cell r="Q209">
            <v>0</v>
          </cell>
          <cell r="R209">
            <v>0</v>
          </cell>
          <cell r="S209">
            <v>2589928.2648430779</v>
          </cell>
          <cell r="T209">
            <v>30312.339999999967</v>
          </cell>
          <cell r="U209">
            <v>4909769.8592501357</v>
          </cell>
          <cell r="V209">
            <v>37035.287245397747</v>
          </cell>
          <cell r="W209">
            <v>0</v>
          </cell>
          <cell r="X209">
            <v>4977117.486495533</v>
          </cell>
          <cell r="Y209">
            <v>443879</v>
          </cell>
          <cell r="Z209">
            <v>0</v>
          </cell>
          <cell r="AA209">
            <v>0</v>
          </cell>
          <cell r="AB209">
            <v>67183.168621414225</v>
          </cell>
          <cell r="AC209">
            <v>511062.16862141422</v>
          </cell>
          <cell r="AD209" t="str">
            <v>N/A</v>
          </cell>
          <cell r="AE209">
            <v>895062</v>
          </cell>
          <cell r="AF209">
            <v>895063</v>
          </cell>
          <cell r="AG209">
            <v>895063</v>
          </cell>
          <cell r="AH209">
            <v>895063</v>
          </cell>
          <cell r="AI209">
            <v>885804</v>
          </cell>
          <cell r="AJ209">
            <v>0</v>
          </cell>
          <cell r="AK209">
            <v>4466055</v>
          </cell>
          <cell r="AL209">
            <v>22830271</v>
          </cell>
          <cell r="AM209">
            <v>2589928.2648430779</v>
          </cell>
          <cell r="AN209">
            <v>-628618.34</v>
          </cell>
          <cell r="AO209">
            <v>4879621.9778741198</v>
          </cell>
          <cell r="AP209">
            <v>0</v>
          </cell>
          <cell r="AQ209">
            <v>-413566.66000000003</v>
          </cell>
          <cell r="AR209">
            <v>0</v>
          </cell>
          <cell r="AS209">
            <v>0</v>
          </cell>
          <cell r="AT209">
            <v>29257636.242717195</v>
          </cell>
          <cell r="AU209">
            <v>6.8860262771461116E-4</v>
          </cell>
          <cell r="AV209">
            <v>0</v>
          </cell>
          <cell r="AW209">
            <v>0</v>
          </cell>
          <cell r="AY209">
            <v>0</v>
          </cell>
          <cell r="AZ209">
            <v>0</v>
          </cell>
          <cell r="BA209">
            <v>0</v>
          </cell>
          <cell r="BB209">
            <v>0</v>
          </cell>
          <cell r="BC209">
            <v>0</v>
          </cell>
          <cell r="BD209">
            <v>0</v>
          </cell>
          <cell r="BE209">
            <v>0</v>
          </cell>
          <cell r="BF209">
            <v>0</v>
          </cell>
          <cell r="BG209">
            <v>0</v>
          </cell>
          <cell r="BH209">
            <v>0</v>
          </cell>
          <cell r="BJ209">
            <v>0</v>
          </cell>
          <cell r="BL209">
            <v>0</v>
          </cell>
          <cell r="BM209">
            <v>0</v>
          </cell>
          <cell r="BN209">
            <v>0</v>
          </cell>
          <cell r="BO209">
            <v>0</v>
          </cell>
          <cell r="BQ209">
            <v>0</v>
          </cell>
          <cell r="BR209">
            <v>0</v>
          </cell>
          <cell r="BS209">
            <v>0</v>
          </cell>
          <cell r="BT209">
            <v>0</v>
          </cell>
          <cell r="CB209">
            <v>0</v>
          </cell>
          <cell r="CC209">
            <v>0</v>
          </cell>
          <cell r="CD209">
            <v>0</v>
          </cell>
          <cell r="CE209">
            <v>0</v>
          </cell>
          <cell r="CF209">
            <v>0</v>
          </cell>
          <cell r="CI209">
            <v>0</v>
          </cell>
          <cell r="CJ209">
            <v>0</v>
          </cell>
          <cell r="CK209">
            <v>0</v>
          </cell>
          <cell r="CV209">
            <v>6.7253678859313421E-4</v>
          </cell>
          <cell r="DG209">
            <v>29257636</v>
          </cell>
          <cell r="DR209">
            <v>10989867.26999999</v>
          </cell>
          <cell r="EC209">
            <v>2.6622374302797223</v>
          </cell>
          <cell r="EN209">
            <v>2.4095909012463064E-2</v>
          </cell>
        </row>
        <row r="210">
          <cell r="B210">
            <v>36102</v>
          </cell>
          <cell r="C210" t="str">
            <v>Kipp Charlotte Charter</v>
          </cell>
          <cell r="D210">
            <v>1.6273927781060074E-4</v>
          </cell>
          <cell r="E210">
            <v>281576.89636700711</v>
          </cell>
          <cell r="F210">
            <v>219551.96359176523</v>
          </cell>
          <cell r="G210">
            <v>177923</v>
          </cell>
          <cell r="H210">
            <v>-78569.959442236417</v>
          </cell>
          <cell r="I210">
            <v>-3251.3731673617422</v>
          </cell>
          <cell r="J210">
            <v>237611.50755248926</v>
          </cell>
          <cell r="K210">
            <v>0</v>
          </cell>
          <cell r="L210">
            <v>-12484.503062463109</v>
          </cell>
          <cell r="M210">
            <v>2240.433535402628</v>
          </cell>
          <cell r="N210">
            <v>84.458430398145566</v>
          </cell>
          <cell r="O210">
            <v>-38.1151662560208</v>
          </cell>
          <cell r="P210">
            <v>0</v>
          </cell>
          <cell r="Q210">
            <v>0</v>
          </cell>
          <cell r="R210">
            <v>0</v>
          </cell>
          <cell r="S210">
            <v>824644.3086387451</v>
          </cell>
          <cell r="T210">
            <v>923911</v>
          </cell>
          <cell r="U210">
            <v>1188057.5377624463</v>
          </cell>
          <cell r="V210">
            <v>8961.7341416105119</v>
          </cell>
          <cell r="W210">
            <v>0</v>
          </cell>
          <cell r="X210">
            <v>2120930.2719040569</v>
          </cell>
          <cell r="Y210">
            <v>34294.78</v>
          </cell>
          <cell r="Z210">
            <v>0</v>
          </cell>
          <cell r="AA210">
            <v>0</v>
          </cell>
          <cell r="AB210">
            <v>16256.865836808709</v>
          </cell>
          <cell r="AC210">
            <v>50551.645836808704</v>
          </cell>
          <cell r="AD210" t="str">
            <v>N/A</v>
          </cell>
          <cell r="AE210">
            <v>414524</v>
          </cell>
          <cell r="AF210">
            <v>414524</v>
          </cell>
          <cell r="AG210">
            <v>414524</v>
          </cell>
          <cell r="AH210">
            <v>414524</v>
          </cell>
          <cell r="AI210">
            <v>412283</v>
          </cell>
          <cell r="AJ210">
            <v>0</v>
          </cell>
          <cell r="AK210">
            <v>2070379</v>
          </cell>
          <cell r="AL210">
            <v>4286845</v>
          </cell>
          <cell r="AM210">
            <v>824644.3086387451</v>
          </cell>
          <cell r="AN210">
            <v>-102156.22</v>
          </cell>
          <cell r="AO210">
            <v>1180762.4060672482</v>
          </cell>
          <cell r="AP210">
            <v>0</v>
          </cell>
          <cell r="AQ210">
            <v>889616.22</v>
          </cell>
          <cell r="AR210">
            <v>0</v>
          </cell>
          <cell r="AS210">
            <v>0</v>
          </cell>
          <cell r="AT210">
            <v>7079711.7147059934</v>
          </cell>
          <cell r="AU210">
            <v>1.2929906699602807E-4</v>
          </cell>
          <cell r="AV210">
            <v>0</v>
          </cell>
          <cell r="AW210">
            <v>0</v>
          </cell>
          <cell r="AY210">
            <v>0</v>
          </cell>
          <cell r="AZ210">
            <v>0</v>
          </cell>
          <cell r="BA210">
            <v>0</v>
          </cell>
          <cell r="BB210">
            <v>0</v>
          </cell>
          <cell r="BC210">
            <v>0</v>
          </cell>
          <cell r="BD210">
            <v>0</v>
          </cell>
          <cell r="BE210">
            <v>0</v>
          </cell>
          <cell r="BF210">
            <v>0</v>
          </cell>
          <cell r="BG210">
            <v>0</v>
          </cell>
          <cell r="BH210">
            <v>0</v>
          </cell>
          <cell r="BJ210">
            <v>0</v>
          </cell>
          <cell r="BL210">
            <v>0</v>
          </cell>
          <cell r="BM210">
            <v>0</v>
          </cell>
          <cell r="BN210">
            <v>0</v>
          </cell>
          <cell r="BO210">
            <v>0</v>
          </cell>
          <cell r="BQ210">
            <v>0</v>
          </cell>
          <cell r="BR210">
            <v>0</v>
          </cell>
          <cell r="BS210">
            <v>0</v>
          </cell>
          <cell r="BT210">
            <v>0</v>
          </cell>
          <cell r="CB210">
            <v>0</v>
          </cell>
          <cell r="CC210">
            <v>0</v>
          </cell>
          <cell r="CD210">
            <v>0</v>
          </cell>
          <cell r="CE210">
            <v>0</v>
          </cell>
          <cell r="CF210">
            <v>0</v>
          </cell>
          <cell r="CI210">
            <v>0</v>
          </cell>
          <cell r="CJ210">
            <v>0</v>
          </cell>
          <cell r="CK210">
            <v>0</v>
          </cell>
          <cell r="CV210">
            <v>1.6273927781060074E-4</v>
          </cell>
          <cell r="DG210">
            <v>7079712</v>
          </cell>
          <cell r="DR210">
            <v>1834403.22</v>
          </cell>
          <cell r="EC210">
            <v>3.8594088381506442</v>
          </cell>
          <cell r="EN210">
            <v>2.4095909012463064E-2</v>
          </cell>
        </row>
        <row r="211">
          <cell r="B211">
            <v>36105</v>
          </cell>
          <cell r="C211" t="str">
            <v>Mayland Technical College</v>
          </cell>
          <cell r="D211">
            <v>3.4452709511830436E-4</v>
          </cell>
          <cell r="E211">
            <v>596112.20759290818</v>
          </cell>
          <cell r="F211">
            <v>464802.3590950417</v>
          </cell>
          <cell r="G211">
            <v>-77364</v>
          </cell>
          <cell r="H211">
            <v>-166336.48775128959</v>
          </cell>
          <cell r="I211">
            <v>-6883.3177065000664</v>
          </cell>
          <cell r="J211">
            <v>503035.30631993269</v>
          </cell>
          <cell r="K211">
            <v>0</v>
          </cell>
          <cell r="L211">
            <v>-26430.310076169018</v>
          </cell>
          <cell r="M211">
            <v>4743.1085361964151</v>
          </cell>
          <cell r="N211">
            <v>178.80267182449759</v>
          </cell>
          <cell r="O211">
            <v>-80.69169094765806</v>
          </cell>
          <cell r="P211">
            <v>0</v>
          </cell>
          <cell r="Q211">
            <v>0</v>
          </cell>
          <cell r="R211">
            <v>0</v>
          </cell>
          <cell r="S211">
            <v>1291776.9769909973</v>
          </cell>
          <cell r="T211">
            <v>39895.189999999944</v>
          </cell>
          <cell r="U211">
            <v>2515176.5315996632</v>
          </cell>
          <cell r="V211">
            <v>18972.43414478566</v>
          </cell>
          <cell r="W211">
            <v>0</v>
          </cell>
          <cell r="X211">
            <v>2574044.1557444488</v>
          </cell>
          <cell r="Y211">
            <v>426715</v>
          </cell>
          <cell r="Z211">
            <v>0</v>
          </cell>
          <cell r="AA211">
            <v>0</v>
          </cell>
          <cell r="AB211">
            <v>34416.588532500333</v>
          </cell>
          <cell r="AC211">
            <v>461131.58853250032</v>
          </cell>
          <cell r="AD211" t="str">
            <v>N/A</v>
          </cell>
          <cell r="AE211">
            <v>423531</v>
          </cell>
          <cell r="AF211">
            <v>423531</v>
          </cell>
          <cell r="AG211">
            <v>423531</v>
          </cell>
          <cell r="AH211">
            <v>423531</v>
          </cell>
          <cell r="AI211">
            <v>418788</v>
          </cell>
          <cell r="AJ211">
            <v>0</v>
          </cell>
          <cell r="AK211">
            <v>2112912</v>
          </cell>
          <cell r="AL211">
            <v>11934679</v>
          </cell>
          <cell r="AM211">
            <v>1291776.9769909973</v>
          </cell>
          <cell r="AN211">
            <v>-351269.18999999994</v>
          </cell>
          <cell r="AO211">
            <v>2499732.3772119489</v>
          </cell>
          <cell r="AP211">
            <v>0</v>
          </cell>
          <cell r="AQ211">
            <v>-386819.81000000006</v>
          </cell>
          <cell r="AR211">
            <v>0</v>
          </cell>
          <cell r="AS211">
            <v>0</v>
          </cell>
          <cell r="AT211">
            <v>14988099.354202947</v>
          </cell>
          <cell r="AU211">
            <v>3.599716783877378E-4</v>
          </cell>
          <cell r="AV211">
            <v>0</v>
          </cell>
          <cell r="AW211">
            <v>0</v>
          </cell>
          <cell r="AY211">
            <v>0</v>
          </cell>
          <cell r="AZ211">
            <v>0</v>
          </cell>
          <cell r="BA211">
            <v>0</v>
          </cell>
          <cell r="BB211">
            <v>0</v>
          </cell>
          <cell r="BC211">
            <v>0</v>
          </cell>
          <cell r="BD211">
            <v>0</v>
          </cell>
          <cell r="BE211">
            <v>0</v>
          </cell>
          <cell r="BF211">
            <v>0</v>
          </cell>
          <cell r="BG211">
            <v>0</v>
          </cell>
          <cell r="BH211">
            <v>0</v>
          </cell>
          <cell r="BJ211">
            <v>0</v>
          </cell>
          <cell r="BL211">
            <v>0</v>
          </cell>
          <cell r="BM211">
            <v>0</v>
          </cell>
          <cell r="BN211">
            <v>0</v>
          </cell>
          <cell r="BO211">
            <v>0</v>
          </cell>
          <cell r="BQ211">
            <v>0</v>
          </cell>
          <cell r="BR211">
            <v>0</v>
          </cell>
          <cell r="BS211">
            <v>0</v>
          </cell>
          <cell r="BT211">
            <v>0</v>
          </cell>
          <cell r="CB211">
            <v>0</v>
          </cell>
          <cell r="CC211">
            <v>0</v>
          </cell>
          <cell r="CD211">
            <v>0</v>
          </cell>
          <cell r="CE211">
            <v>0</v>
          </cell>
          <cell r="CF211">
            <v>0</v>
          </cell>
          <cell r="CI211">
            <v>0</v>
          </cell>
          <cell r="CJ211">
            <v>0</v>
          </cell>
          <cell r="CK211">
            <v>0</v>
          </cell>
          <cell r="CV211">
            <v>3.4452709511830436E-4</v>
          </cell>
          <cell r="DG211">
            <v>14988100</v>
          </cell>
          <cell r="DR211">
            <v>5969869.6899999995</v>
          </cell>
          <cell r="EC211">
            <v>2.5106243148164933</v>
          </cell>
          <cell r="EN211">
            <v>2.4095909012463064E-2</v>
          </cell>
        </row>
        <row r="212">
          <cell r="B212">
            <v>36200</v>
          </cell>
          <cell r="C212" t="str">
            <v>Montgomery County Schools</v>
          </cell>
          <cell r="D212">
            <v>1.3812649658540327E-3</v>
          </cell>
          <cell r="E212">
            <v>2389910.4590983</v>
          </cell>
          <cell r="F212">
            <v>1863467.9935516545</v>
          </cell>
          <cell r="G212">
            <v>90690</v>
          </cell>
          <cell r="H212">
            <v>-666869.93948958092</v>
          </cell>
          <cell r="I212">
            <v>-27596.336344944091</v>
          </cell>
          <cell r="J212">
            <v>2016750.0758359348</v>
          </cell>
          <cell r="K212">
            <v>0</v>
          </cell>
          <cell r="L212">
            <v>-105963.39696398962</v>
          </cell>
          <cell r="M212">
            <v>19015.890892533866</v>
          </cell>
          <cell r="N212">
            <v>716.84889197892585</v>
          </cell>
          <cell r="O212">
            <v>-323.50606765267298</v>
          </cell>
          <cell r="P212">
            <v>0</v>
          </cell>
          <cell r="Q212">
            <v>0</v>
          </cell>
          <cell r="R212">
            <v>0</v>
          </cell>
          <cell r="S212">
            <v>5579798.0894042356</v>
          </cell>
          <cell r="T212">
            <v>453449.17999999993</v>
          </cell>
          <cell r="U212">
            <v>10083750.379179675</v>
          </cell>
          <cell r="V212">
            <v>76063.563570135462</v>
          </cell>
          <cell r="W212">
            <v>0</v>
          </cell>
          <cell r="X212">
            <v>10613263.122749811</v>
          </cell>
          <cell r="Y212">
            <v>0</v>
          </cell>
          <cell r="Z212">
            <v>0</v>
          </cell>
          <cell r="AA212">
            <v>0</v>
          </cell>
          <cell r="AB212">
            <v>137981.68172472046</v>
          </cell>
          <cell r="AC212">
            <v>137981.68172472046</v>
          </cell>
          <cell r="AD212" t="str">
            <v>N/A</v>
          </cell>
          <cell r="AE212">
            <v>2098860</v>
          </cell>
          <cell r="AF212">
            <v>2098860</v>
          </cell>
          <cell r="AG212">
            <v>2098860</v>
          </cell>
          <cell r="AH212">
            <v>2098860</v>
          </cell>
          <cell r="AI212">
            <v>2079844</v>
          </cell>
          <cell r="AJ212">
            <v>0</v>
          </cell>
          <cell r="AK212">
            <v>10475284</v>
          </cell>
          <cell r="AL212">
            <v>45314695</v>
          </cell>
          <cell r="AM212">
            <v>5579798.0894042356</v>
          </cell>
          <cell r="AN212">
            <v>-1280053.18</v>
          </cell>
          <cell r="AO212">
            <v>10021832.26102509</v>
          </cell>
          <cell r="AP212">
            <v>0</v>
          </cell>
          <cell r="AQ212">
            <v>453449.17999999993</v>
          </cell>
          <cell r="AR212">
            <v>0</v>
          </cell>
          <cell r="AS212">
            <v>0</v>
          </cell>
          <cell r="AT212">
            <v>60089721.350429319</v>
          </cell>
          <cell r="AU212">
            <v>1.3667738617282928E-3</v>
          </cell>
          <cell r="AV212">
            <v>0</v>
          </cell>
          <cell r="AW212">
            <v>0</v>
          </cell>
          <cell r="AY212">
            <v>0</v>
          </cell>
          <cell r="AZ212">
            <v>0</v>
          </cell>
          <cell r="BA212">
            <v>0</v>
          </cell>
          <cell r="BB212">
            <v>0</v>
          </cell>
          <cell r="BC212">
            <v>0</v>
          </cell>
          <cell r="BD212">
            <v>0</v>
          </cell>
          <cell r="BE212">
            <v>0</v>
          </cell>
          <cell r="BF212">
            <v>0</v>
          </cell>
          <cell r="BG212">
            <v>0</v>
          </cell>
          <cell r="BH212">
            <v>0</v>
          </cell>
          <cell r="BJ212">
            <v>0</v>
          </cell>
          <cell r="BL212">
            <v>0</v>
          </cell>
          <cell r="BM212">
            <v>0</v>
          </cell>
          <cell r="BN212">
            <v>0</v>
          </cell>
          <cell r="BO212">
            <v>0</v>
          </cell>
          <cell r="BQ212">
            <v>0</v>
          </cell>
          <cell r="BR212">
            <v>0</v>
          </cell>
          <cell r="BS212">
            <v>0</v>
          </cell>
          <cell r="BT212">
            <v>0</v>
          </cell>
          <cell r="CB212">
            <v>0</v>
          </cell>
          <cell r="CC212">
            <v>0</v>
          </cell>
          <cell r="CD212">
            <v>0</v>
          </cell>
          <cell r="CE212">
            <v>0</v>
          </cell>
          <cell r="CF212">
            <v>0</v>
          </cell>
          <cell r="CI212">
            <v>0</v>
          </cell>
          <cell r="CJ212">
            <v>0</v>
          </cell>
          <cell r="CK212">
            <v>0</v>
          </cell>
          <cell r="CV212">
            <v>1.3812649658540327E-3</v>
          </cell>
          <cell r="DG212">
            <v>60089721</v>
          </cell>
          <cell r="DR212">
            <v>22195620.610000007</v>
          </cell>
          <cell r="EC212">
            <v>2.7072782534824551</v>
          </cell>
          <cell r="EN212">
            <v>2.4095909012463064E-2</v>
          </cell>
        </row>
        <row r="213">
          <cell r="B213">
            <v>36205</v>
          </cell>
          <cell r="C213" t="str">
            <v>Montgomery Community College</v>
          </cell>
          <cell r="D213">
            <v>2.4367880035541003E-4</v>
          </cell>
          <cell r="E213">
            <v>421621.14295705943</v>
          </cell>
          <cell r="F213">
            <v>328747.67433821713</v>
          </cell>
          <cell r="G213">
            <v>-2007</v>
          </cell>
          <cell r="H213">
            <v>-117647.28047484455</v>
          </cell>
          <cell r="I213">
            <v>-4868.4664427020689</v>
          </cell>
          <cell r="J213">
            <v>355789.25929865107</v>
          </cell>
          <cell r="K213">
            <v>0</v>
          </cell>
          <cell r="L213">
            <v>-18693.758324496419</v>
          </cell>
          <cell r="M213">
            <v>3354.7288861532597</v>
          </cell>
          <cell r="N213">
            <v>126.4644238084507</v>
          </cell>
          <cell r="O213">
            <v>-57.072011831240587</v>
          </cell>
          <cell r="P213">
            <v>0</v>
          </cell>
          <cell r="Q213">
            <v>0</v>
          </cell>
          <cell r="R213">
            <v>0</v>
          </cell>
          <cell r="S213">
            <v>966365.69265001523</v>
          </cell>
          <cell r="T213">
            <v>7384.5199999999895</v>
          </cell>
          <cell r="U213">
            <v>1778946.2964932553</v>
          </cell>
          <cell r="V213">
            <v>13418.915544613039</v>
          </cell>
          <cell r="W213">
            <v>0</v>
          </cell>
          <cell r="X213">
            <v>1799749.7320378684</v>
          </cell>
          <cell r="Y213">
            <v>17419</v>
          </cell>
          <cell r="Z213">
            <v>0</v>
          </cell>
          <cell r="AA213">
            <v>0</v>
          </cell>
          <cell r="AB213">
            <v>24342.332213510344</v>
          </cell>
          <cell r="AC213">
            <v>41761.332213510344</v>
          </cell>
          <cell r="AD213" t="str">
            <v>N/A</v>
          </cell>
          <cell r="AE213">
            <v>352269</v>
          </cell>
          <cell r="AF213">
            <v>352269</v>
          </cell>
          <cell r="AG213">
            <v>352269</v>
          </cell>
          <cell r="AH213">
            <v>352269</v>
          </cell>
          <cell r="AI213">
            <v>348914</v>
          </cell>
          <cell r="AJ213">
            <v>0</v>
          </cell>
          <cell r="AK213">
            <v>1757990</v>
          </cell>
          <cell r="AL213">
            <v>8099950</v>
          </cell>
          <cell r="AM213">
            <v>966365.69265001523</v>
          </cell>
          <cell r="AN213">
            <v>-223448.52</v>
          </cell>
          <cell r="AO213">
            <v>1768022.879824358</v>
          </cell>
          <cell r="AP213">
            <v>0</v>
          </cell>
          <cell r="AQ213">
            <v>-10034.48000000001</v>
          </cell>
          <cell r="AR213">
            <v>0</v>
          </cell>
          <cell r="AS213">
            <v>0</v>
          </cell>
          <cell r="AT213">
            <v>10600855.572474372</v>
          </cell>
          <cell r="AU213">
            <v>2.4430927666928694E-4</v>
          </cell>
          <cell r="AV213">
            <v>0</v>
          </cell>
          <cell r="AW213">
            <v>0</v>
          </cell>
          <cell r="AY213">
            <v>0</v>
          </cell>
          <cell r="AZ213">
            <v>0</v>
          </cell>
          <cell r="BA213">
            <v>0</v>
          </cell>
          <cell r="BB213">
            <v>0</v>
          </cell>
          <cell r="BC213">
            <v>0</v>
          </cell>
          <cell r="BD213">
            <v>0</v>
          </cell>
          <cell r="BE213">
            <v>0</v>
          </cell>
          <cell r="BF213">
            <v>0</v>
          </cell>
          <cell r="BG213">
            <v>0</v>
          </cell>
          <cell r="BH213">
            <v>0</v>
          </cell>
          <cell r="BJ213">
            <v>0</v>
          </cell>
          <cell r="BL213">
            <v>0</v>
          </cell>
          <cell r="BM213">
            <v>0</v>
          </cell>
          <cell r="BN213">
            <v>0</v>
          </cell>
          <cell r="BO213">
            <v>0</v>
          </cell>
          <cell r="BQ213">
            <v>0</v>
          </cell>
          <cell r="BR213">
            <v>0</v>
          </cell>
          <cell r="BS213">
            <v>0</v>
          </cell>
          <cell r="BT213">
            <v>0</v>
          </cell>
          <cell r="CB213">
            <v>0</v>
          </cell>
          <cell r="CC213">
            <v>0</v>
          </cell>
          <cell r="CD213">
            <v>0</v>
          </cell>
          <cell r="CE213">
            <v>0</v>
          </cell>
          <cell r="CF213">
            <v>0</v>
          </cell>
          <cell r="CI213">
            <v>0</v>
          </cell>
          <cell r="CJ213">
            <v>0</v>
          </cell>
          <cell r="CK213">
            <v>0</v>
          </cell>
          <cell r="CV213">
            <v>2.4367880035541003E-4</v>
          </cell>
          <cell r="DG213">
            <v>10600856</v>
          </cell>
          <cell r="DR213">
            <v>3891820.2999999989</v>
          </cell>
          <cell r="EC213">
            <v>2.7238811617278431</v>
          </cell>
          <cell r="EN213">
            <v>2.4095909012463064E-2</v>
          </cell>
        </row>
        <row r="214">
          <cell r="B214">
            <v>36300</v>
          </cell>
          <cell r="C214" t="str">
            <v>Moore County Schools</v>
          </cell>
          <cell r="D214">
            <v>4.3680148372305747E-3</v>
          </cell>
          <cell r="E214">
            <v>7557684.1540604765</v>
          </cell>
          <cell r="F214">
            <v>5892899.6577461055</v>
          </cell>
          <cell r="G214">
            <v>563426</v>
          </cell>
          <cell r="H214">
            <v>-2108862.428428066</v>
          </cell>
          <cell r="I214">
            <v>-87268.706285756576</v>
          </cell>
          <cell r="J214">
            <v>6377628.0959899304</v>
          </cell>
          <cell r="K214">
            <v>0</v>
          </cell>
          <cell r="L214">
            <v>-335091.16757759877</v>
          </cell>
          <cell r="M214">
            <v>60134.511201758338</v>
          </cell>
          <cell r="N214">
            <v>2266.9123402259238</v>
          </cell>
          <cell r="O214">
            <v>-1023.0327550277729</v>
          </cell>
          <cell r="P214">
            <v>0</v>
          </cell>
          <cell r="Q214">
            <v>0</v>
          </cell>
          <cell r="R214">
            <v>0</v>
          </cell>
          <cell r="S214">
            <v>17921793.996292051</v>
          </cell>
          <cell r="T214">
            <v>2833370</v>
          </cell>
          <cell r="U214">
            <v>31888140.479949649</v>
          </cell>
          <cell r="V214">
            <v>240538.04480703335</v>
          </cell>
          <cell r="W214">
            <v>0</v>
          </cell>
          <cell r="X214">
            <v>34962048.524756685</v>
          </cell>
          <cell r="Y214">
            <v>16239.030000000726</v>
          </cell>
          <cell r="Z214">
            <v>0</v>
          </cell>
          <cell r="AA214">
            <v>0</v>
          </cell>
          <cell r="AB214">
            <v>436343.53142878285</v>
          </cell>
          <cell r="AC214">
            <v>452582.56142878358</v>
          </cell>
          <cell r="AD214" t="str">
            <v>N/A</v>
          </cell>
          <cell r="AE214">
            <v>6913920</v>
          </cell>
          <cell r="AF214">
            <v>6913920</v>
          </cell>
          <cell r="AG214">
            <v>6913920</v>
          </cell>
          <cell r="AH214">
            <v>6913920</v>
          </cell>
          <cell r="AI214">
            <v>6853785</v>
          </cell>
          <cell r="AJ214">
            <v>0</v>
          </cell>
          <cell r="AK214">
            <v>34509465</v>
          </cell>
          <cell r="AL214">
            <v>141419274</v>
          </cell>
          <cell r="AM214">
            <v>17921793.996292051</v>
          </cell>
          <cell r="AN214">
            <v>-3827040.9699999993</v>
          </cell>
          <cell r="AO214">
            <v>31692334.993327904</v>
          </cell>
          <cell r="AP214">
            <v>0</v>
          </cell>
          <cell r="AQ214">
            <v>2817130.9699999993</v>
          </cell>
          <cell r="AR214">
            <v>0</v>
          </cell>
          <cell r="AS214">
            <v>0</v>
          </cell>
          <cell r="AT214">
            <v>190023492.98961997</v>
          </cell>
          <cell r="AU214">
            <v>4.2654633217207253E-3</v>
          </cell>
          <cell r="AV214">
            <v>0</v>
          </cell>
          <cell r="AW214">
            <v>0</v>
          </cell>
          <cell r="AY214">
            <v>0</v>
          </cell>
          <cell r="AZ214">
            <v>0</v>
          </cell>
          <cell r="BA214">
            <v>0</v>
          </cell>
          <cell r="BB214">
            <v>0</v>
          </cell>
          <cell r="BC214">
            <v>0</v>
          </cell>
          <cell r="BD214">
            <v>0</v>
          </cell>
          <cell r="BE214">
            <v>0</v>
          </cell>
          <cell r="BF214">
            <v>0</v>
          </cell>
          <cell r="BG214">
            <v>0</v>
          </cell>
          <cell r="BH214">
            <v>0</v>
          </cell>
          <cell r="BJ214">
            <v>0</v>
          </cell>
          <cell r="BL214">
            <v>0</v>
          </cell>
          <cell r="BM214">
            <v>0</v>
          </cell>
          <cell r="BN214">
            <v>0</v>
          </cell>
          <cell r="BO214">
            <v>0</v>
          </cell>
          <cell r="BQ214">
            <v>0</v>
          </cell>
          <cell r="BR214">
            <v>0</v>
          </cell>
          <cell r="BS214">
            <v>0</v>
          </cell>
          <cell r="BT214">
            <v>0</v>
          </cell>
          <cell r="CB214">
            <v>0</v>
          </cell>
          <cell r="CC214">
            <v>0</v>
          </cell>
          <cell r="CD214">
            <v>0</v>
          </cell>
          <cell r="CE214">
            <v>0</v>
          </cell>
          <cell r="CF214">
            <v>0</v>
          </cell>
          <cell r="CI214">
            <v>0</v>
          </cell>
          <cell r="CJ214">
            <v>0</v>
          </cell>
          <cell r="CK214">
            <v>0</v>
          </cell>
          <cell r="CV214">
            <v>4.3680148372305747E-3</v>
          </cell>
          <cell r="DG214">
            <v>190023492</v>
          </cell>
          <cell r="DR214">
            <v>65112504.539999925</v>
          </cell>
          <cell r="EC214">
            <v>2.9183870800617835</v>
          </cell>
          <cell r="EN214">
            <v>2.4095909012463064E-2</v>
          </cell>
        </row>
        <row r="215">
          <cell r="B215">
            <v>36301</v>
          </cell>
          <cell r="C215" t="str">
            <v>Academy Of Moore County</v>
          </cell>
          <cell r="D215">
            <v>5.6376106519571636E-5</v>
          </cell>
          <cell r="E215">
            <v>97543.809439239994</v>
          </cell>
          <cell r="F215">
            <v>76057.145223635802</v>
          </cell>
          <cell r="G215">
            <v>57027</v>
          </cell>
          <cell r="H215">
            <v>-27218.188886822074</v>
          </cell>
          <cell r="I215">
            <v>-1126.3400113609362</v>
          </cell>
          <cell r="J215">
            <v>82313.328658403043</v>
          </cell>
          <cell r="K215">
            <v>0</v>
          </cell>
          <cell r="L215">
            <v>-4324.8789349579602</v>
          </cell>
          <cell r="M215">
            <v>776.13051588490873</v>
          </cell>
          <cell r="N215">
            <v>29.258071761527287</v>
          </cell>
          <cell r="O215">
            <v>-13.203847907948873</v>
          </cell>
          <cell r="P215">
            <v>0</v>
          </cell>
          <cell r="Q215">
            <v>0</v>
          </cell>
          <cell r="R215">
            <v>0</v>
          </cell>
          <cell r="S215">
            <v>281064.06022787635</v>
          </cell>
          <cell r="T215">
            <v>292499</v>
          </cell>
          <cell r="U215">
            <v>411566.64329201519</v>
          </cell>
          <cell r="V215">
            <v>3104.5220635396349</v>
          </cell>
          <cell r="W215">
            <v>0</v>
          </cell>
          <cell r="X215">
            <v>707170.16535555478</v>
          </cell>
          <cell r="Y215">
            <v>7364.4700000000012</v>
          </cell>
          <cell r="Z215">
            <v>0</v>
          </cell>
          <cell r="AA215">
            <v>0</v>
          </cell>
          <cell r="AB215">
            <v>5631.7000568046806</v>
          </cell>
          <cell r="AC215">
            <v>12996.170056804682</v>
          </cell>
          <cell r="AD215" t="str">
            <v>N/A</v>
          </cell>
          <cell r="AE215">
            <v>138990</v>
          </cell>
          <cell r="AF215">
            <v>138990</v>
          </cell>
          <cell r="AG215">
            <v>138990</v>
          </cell>
          <cell r="AH215">
            <v>138990</v>
          </cell>
          <cell r="AI215">
            <v>138214</v>
          </cell>
          <cell r="AJ215">
            <v>0</v>
          </cell>
          <cell r="AK215">
            <v>694174</v>
          </cell>
          <cell r="AL215">
            <v>1518122</v>
          </cell>
          <cell r="AM215">
            <v>281064.06022787635</v>
          </cell>
          <cell r="AN215">
            <v>-40808.53</v>
          </cell>
          <cell r="AO215">
            <v>409039.46529875015</v>
          </cell>
          <cell r="AP215">
            <v>0</v>
          </cell>
          <cell r="AQ215">
            <v>285134.53000000003</v>
          </cell>
          <cell r="AR215">
            <v>0</v>
          </cell>
          <cell r="AS215">
            <v>0</v>
          </cell>
          <cell r="AT215">
            <v>2452551.525526626</v>
          </cell>
          <cell r="AU215">
            <v>4.5789344165860129E-5</v>
          </cell>
          <cell r="AV215">
            <v>0</v>
          </cell>
          <cell r="AW215">
            <v>0</v>
          </cell>
          <cell r="AY215">
            <v>0</v>
          </cell>
          <cell r="AZ215">
            <v>0</v>
          </cell>
          <cell r="BA215">
            <v>0</v>
          </cell>
          <cell r="BB215">
            <v>0</v>
          </cell>
          <cell r="BC215">
            <v>0</v>
          </cell>
          <cell r="BD215">
            <v>0</v>
          </cell>
          <cell r="BE215">
            <v>0</v>
          </cell>
          <cell r="BF215">
            <v>0</v>
          </cell>
          <cell r="BG215">
            <v>0</v>
          </cell>
          <cell r="BH215">
            <v>0</v>
          </cell>
          <cell r="BJ215">
            <v>0</v>
          </cell>
          <cell r="BL215">
            <v>0</v>
          </cell>
          <cell r="BM215">
            <v>0</v>
          </cell>
          <cell r="BN215">
            <v>0</v>
          </cell>
          <cell r="BO215">
            <v>0</v>
          </cell>
          <cell r="BQ215">
            <v>0</v>
          </cell>
          <cell r="BR215">
            <v>0</v>
          </cell>
          <cell r="BS215">
            <v>0</v>
          </cell>
          <cell r="BT215">
            <v>0</v>
          </cell>
          <cell r="CB215">
            <v>0</v>
          </cell>
          <cell r="CC215">
            <v>0</v>
          </cell>
          <cell r="CD215">
            <v>0</v>
          </cell>
          <cell r="CE215">
            <v>0</v>
          </cell>
          <cell r="CF215">
            <v>0</v>
          </cell>
          <cell r="CI215">
            <v>0</v>
          </cell>
          <cell r="CJ215">
            <v>0</v>
          </cell>
          <cell r="CK215">
            <v>0</v>
          </cell>
          <cell r="CV215">
            <v>5.6376106519571636E-5</v>
          </cell>
          <cell r="DG215">
            <v>2452552</v>
          </cell>
          <cell r="DR215">
            <v>726906.58000000007</v>
          </cell>
          <cell r="EC215">
            <v>3.3739576274024095</v>
          </cell>
          <cell r="EN215">
            <v>2.4095909012463064E-2</v>
          </cell>
        </row>
        <row r="216">
          <cell r="B216">
            <v>36302</v>
          </cell>
          <cell r="C216" t="str">
            <v>Stars Charter School</v>
          </cell>
          <cell r="D216">
            <v>1.1096453713236779E-4</v>
          </cell>
          <cell r="E216">
            <v>191994.52272915488</v>
          </cell>
          <cell r="F216">
            <v>149702.53244466431</v>
          </cell>
          <cell r="G216">
            <v>24268</v>
          </cell>
          <cell r="H216">
            <v>-53573.294040074434</v>
          </cell>
          <cell r="I216">
            <v>-2216.9639893620988</v>
          </cell>
          <cell r="J216">
            <v>162016.51689502943</v>
          </cell>
          <cell r="K216">
            <v>0</v>
          </cell>
          <cell r="L216">
            <v>-8512.6167590969053</v>
          </cell>
          <cell r="M216">
            <v>1527.6500767142568</v>
          </cell>
          <cell r="N216">
            <v>57.588375480956238</v>
          </cell>
          <cell r="O216">
            <v>-25.989004241771859</v>
          </cell>
          <cell r="P216">
            <v>0</v>
          </cell>
          <cell r="Q216">
            <v>0</v>
          </cell>
          <cell r="R216">
            <v>0</v>
          </cell>
          <cell r="S216">
            <v>465237.94672826858</v>
          </cell>
          <cell r="T216">
            <v>135052</v>
          </cell>
          <cell r="U216">
            <v>810082.58447514719</v>
          </cell>
          <cell r="V216">
            <v>6110.6003068570271</v>
          </cell>
          <cell r="W216">
            <v>0</v>
          </cell>
          <cell r="X216">
            <v>951245.18478200422</v>
          </cell>
          <cell r="Y216">
            <v>13712.070000000007</v>
          </cell>
          <cell r="Z216">
            <v>0</v>
          </cell>
          <cell r="AA216">
            <v>0</v>
          </cell>
          <cell r="AB216">
            <v>11084.819946810494</v>
          </cell>
          <cell r="AC216">
            <v>24796.889946810501</v>
          </cell>
          <cell r="AD216" t="str">
            <v>N/A</v>
          </cell>
          <cell r="AE216">
            <v>185595</v>
          </cell>
          <cell r="AF216">
            <v>185595</v>
          </cell>
          <cell r="AG216">
            <v>185595</v>
          </cell>
          <cell r="AH216">
            <v>185595</v>
          </cell>
          <cell r="AI216">
            <v>184068</v>
          </cell>
          <cell r="AJ216">
            <v>0</v>
          </cell>
          <cell r="AK216">
            <v>926448</v>
          </cell>
          <cell r="AL216">
            <v>3516911</v>
          </cell>
          <cell r="AM216">
            <v>465237.94672826858</v>
          </cell>
          <cell r="AN216">
            <v>-81262.929999999993</v>
          </cell>
          <cell r="AO216">
            <v>805108.36483519385</v>
          </cell>
          <cell r="AP216">
            <v>0</v>
          </cell>
          <cell r="AQ216">
            <v>121339.93</v>
          </cell>
          <cell r="AR216">
            <v>0</v>
          </cell>
          <cell r="AS216">
            <v>0</v>
          </cell>
          <cell r="AT216">
            <v>4827334.311563462</v>
          </cell>
          <cell r="AU216">
            <v>1.0607645393740597E-4</v>
          </cell>
          <cell r="AV216">
            <v>0</v>
          </cell>
          <cell r="AW216">
            <v>0</v>
          </cell>
          <cell r="AY216">
            <v>0</v>
          </cell>
          <cell r="AZ216">
            <v>0</v>
          </cell>
          <cell r="BA216">
            <v>0</v>
          </cell>
          <cell r="BB216">
            <v>0</v>
          </cell>
          <cell r="BC216">
            <v>0</v>
          </cell>
          <cell r="BD216">
            <v>0</v>
          </cell>
          <cell r="BE216">
            <v>0</v>
          </cell>
          <cell r="BF216">
            <v>0</v>
          </cell>
          <cell r="BG216">
            <v>0</v>
          </cell>
          <cell r="BH216">
            <v>0</v>
          </cell>
          <cell r="BJ216">
            <v>0</v>
          </cell>
          <cell r="BL216">
            <v>0</v>
          </cell>
          <cell r="BM216">
            <v>0</v>
          </cell>
          <cell r="BN216">
            <v>0</v>
          </cell>
          <cell r="BO216">
            <v>0</v>
          </cell>
          <cell r="BQ216">
            <v>0</v>
          </cell>
          <cell r="BR216">
            <v>0</v>
          </cell>
          <cell r="BS216">
            <v>0</v>
          </cell>
          <cell r="BT216">
            <v>0</v>
          </cell>
          <cell r="CB216">
            <v>0</v>
          </cell>
          <cell r="CC216">
            <v>0</v>
          </cell>
          <cell r="CD216">
            <v>0</v>
          </cell>
          <cell r="CE216">
            <v>0</v>
          </cell>
          <cell r="CF216">
            <v>0</v>
          </cell>
          <cell r="CI216">
            <v>0</v>
          </cell>
          <cell r="CJ216">
            <v>0</v>
          </cell>
          <cell r="CK216">
            <v>0</v>
          </cell>
          <cell r="CV216">
            <v>1.1096453713236779E-4</v>
          </cell>
          <cell r="DG216">
            <v>4827335</v>
          </cell>
          <cell r="DR216">
            <v>1436669.5200000003</v>
          </cell>
          <cell r="EC216">
            <v>3.3600872941189697</v>
          </cell>
          <cell r="EN216">
            <v>2.4095909012463064E-2</v>
          </cell>
        </row>
        <row r="217">
          <cell r="B217">
            <v>36305</v>
          </cell>
          <cell r="C217" t="str">
            <v>Sandhills Community College</v>
          </cell>
          <cell r="D217">
            <v>8.7947635124209923E-4</v>
          </cell>
          <cell r="E217">
            <v>1521699.1542701744</v>
          </cell>
          <cell r="F217">
            <v>1186503.7282053495</v>
          </cell>
          <cell r="G217">
            <v>176391</v>
          </cell>
          <cell r="H217">
            <v>-424608.13503128773</v>
          </cell>
          <cell r="I217">
            <v>-17571.085777372828</v>
          </cell>
          <cell r="J217">
            <v>1284101.1984740745</v>
          </cell>
          <cell r="K217">
            <v>0</v>
          </cell>
          <cell r="L217">
            <v>-67468.808686888806</v>
          </cell>
          <cell r="M217">
            <v>12107.761183563449</v>
          </cell>
          <cell r="N217">
            <v>456.43063676762466</v>
          </cell>
          <cell r="O217">
            <v>-205.98215622441205</v>
          </cell>
          <cell r="P217">
            <v>0</v>
          </cell>
          <cell r="Q217">
            <v>0</v>
          </cell>
          <cell r="R217">
            <v>0</v>
          </cell>
          <cell r="S217">
            <v>3671405.2611181564</v>
          </cell>
          <cell r="T217">
            <v>881950.71000000008</v>
          </cell>
          <cell r="U217">
            <v>6420505.9923703726</v>
          </cell>
          <cell r="V217">
            <v>48431.044734253795</v>
          </cell>
          <cell r="W217">
            <v>0</v>
          </cell>
          <cell r="X217">
            <v>7350887.7471046261</v>
          </cell>
          <cell r="Y217">
            <v>0</v>
          </cell>
          <cell r="Z217">
            <v>0</v>
          </cell>
          <cell r="AA217">
            <v>0</v>
          </cell>
          <cell r="AB217">
            <v>87855.428886864131</v>
          </cell>
          <cell r="AC217">
            <v>87855.428886864131</v>
          </cell>
          <cell r="AD217" t="str">
            <v>N/A</v>
          </cell>
          <cell r="AE217">
            <v>1455028</v>
          </cell>
          <cell r="AF217">
            <v>1455029</v>
          </cell>
          <cell r="AG217">
            <v>1455029</v>
          </cell>
          <cell r="AH217">
            <v>1455029</v>
          </cell>
          <cell r="AI217">
            <v>1442921</v>
          </cell>
          <cell r="AJ217">
            <v>0</v>
          </cell>
          <cell r="AK217">
            <v>7263036</v>
          </cell>
          <cell r="AL217">
            <v>28178928</v>
          </cell>
          <cell r="AM217">
            <v>3671405.2611181564</v>
          </cell>
          <cell r="AN217">
            <v>-853154.71000000008</v>
          </cell>
          <cell r="AO217">
            <v>6381081.6082177628</v>
          </cell>
          <cell r="AP217">
            <v>0</v>
          </cell>
          <cell r="AQ217">
            <v>881950.71000000008</v>
          </cell>
          <cell r="AR217">
            <v>0</v>
          </cell>
          <cell r="AS217">
            <v>0</v>
          </cell>
          <cell r="AT217">
            <v>38260210.86933592</v>
          </cell>
          <cell r="AU217">
            <v>8.4992788967464417E-4</v>
          </cell>
          <cell r="AV217">
            <v>0</v>
          </cell>
          <cell r="AW217">
            <v>0</v>
          </cell>
          <cell r="AY217">
            <v>0</v>
          </cell>
          <cell r="AZ217">
            <v>0</v>
          </cell>
          <cell r="BA217">
            <v>0</v>
          </cell>
          <cell r="BB217">
            <v>0</v>
          </cell>
          <cell r="BC217">
            <v>0</v>
          </cell>
          <cell r="BD217">
            <v>0</v>
          </cell>
          <cell r="BE217">
            <v>0</v>
          </cell>
          <cell r="BF217">
            <v>0</v>
          </cell>
          <cell r="BG217">
            <v>0</v>
          </cell>
          <cell r="BH217">
            <v>0</v>
          </cell>
          <cell r="BJ217">
            <v>0</v>
          </cell>
          <cell r="BL217">
            <v>0</v>
          </cell>
          <cell r="BM217">
            <v>0</v>
          </cell>
          <cell r="BN217">
            <v>0</v>
          </cell>
          <cell r="BO217">
            <v>0</v>
          </cell>
          <cell r="BQ217">
            <v>0</v>
          </cell>
          <cell r="BR217">
            <v>0</v>
          </cell>
          <cell r="BS217">
            <v>0</v>
          </cell>
          <cell r="BT217">
            <v>0</v>
          </cell>
          <cell r="CB217">
            <v>0</v>
          </cell>
          <cell r="CC217">
            <v>0</v>
          </cell>
          <cell r="CD217">
            <v>0</v>
          </cell>
          <cell r="CE217">
            <v>0</v>
          </cell>
          <cell r="CF217">
            <v>0</v>
          </cell>
          <cell r="CI217">
            <v>0</v>
          </cell>
          <cell r="CJ217">
            <v>0</v>
          </cell>
          <cell r="CK217">
            <v>0</v>
          </cell>
          <cell r="CV217">
            <v>8.7947635124209923E-4</v>
          </cell>
          <cell r="DG217">
            <v>38260211</v>
          </cell>
          <cell r="DR217">
            <v>14893977.860000012</v>
          </cell>
          <cell r="EC217">
            <v>2.5688376442906815</v>
          </cell>
          <cell r="EN217">
            <v>2.4095909012463064E-2</v>
          </cell>
        </row>
        <row r="218">
          <cell r="B218">
            <v>36400</v>
          </cell>
          <cell r="C218" t="str">
            <v>Nash-Rocky Mount Schools</v>
          </cell>
          <cell r="D218">
            <v>4.6871375997386069E-3</v>
          </cell>
          <cell r="E218">
            <v>8109840.9427347835</v>
          </cell>
          <cell r="F218">
            <v>6323428.9686664166</v>
          </cell>
          <cell r="G218">
            <v>-150925</v>
          </cell>
          <cell r="H218">
            <v>-2262933.7924200553</v>
          </cell>
          <cell r="I218">
            <v>-93644.470029285862</v>
          </cell>
          <cell r="J218">
            <v>6843571.178163969</v>
          </cell>
          <cell r="K218">
            <v>0</v>
          </cell>
          <cell r="L218">
            <v>-359572.59062084206</v>
          </cell>
          <cell r="M218">
            <v>64527.877994656512</v>
          </cell>
          <cell r="N218">
            <v>2432.5306715123425</v>
          </cell>
          <cell r="O218">
            <v>-1097.7744972347791</v>
          </cell>
          <cell r="P218">
            <v>0</v>
          </cell>
          <cell r="Q218">
            <v>0</v>
          </cell>
          <cell r="R218">
            <v>0</v>
          </cell>
          <cell r="S218">
            <v>18475627.870663922</v>
          </cell>
          <cell r="T218">
            <v>163868.46999999881</v>
          </cell>
          <cell r="U218">
            <v>34217855.890819848</v>
          </cell>
          <cell r="V218">
            <v>258111.51197862605</v>
          </cell>
          <cell r="W218">
            <v>0</v>
          </cell>
          <cell r="X218">
            <v>34639835.872798473</v>
          </cell>
          <cell r="Y218">
            <v>918494</v>
          </cell>
          <cell r="Z218">
            <v>0</v>
          </cell>
          <cell r="AA218">
            <v>0</v>
          </cell>
          <cell r="AB218">
            <v>468222.35014642932</v>
          </cell>
          <cell r="AC218">
            <v>1386716.3501464294</v>
          </cell>
          <cell r="AD218" t="str">
            <v>N/A</v>
          </cell>
          <cell r="AE218">
            <v>6663530</v>
          </cell>
          <cell r="AF218">
            <v>6663530</v>
          </cell>
          <cell r="AG218">
            <v>6663530</v>
          </cell>
          <cell r="AH218">
            <v>6663530</v>
          </cell>
          <cell r="AI218">
            <v>6599002</v>
          </cell>
          <cell r="AJ218">
            <v>0</v>
          </cell>
          <cell r="AK218">
            <v>33253122</v>
          </cell>
          <cell r="AL218">
            <v>156501864</v>
          </cell>
          <cell r="AM218">
            <v>18475627.870663922</v>
          </cell>
          <cell r="AN218">
            <v>-4324194.4699999988</v>
          </cell>
          <cell r="AO218">
            <v>34007745.052652046</v>
          </cell>
          <cell r="AP218">
            <v>0</v>
          </cell>
          <cell r="AQ218">
            <v>-754625.53000000119</v>
          </cell>
          <cell r="AR218">
            <v>0</v>
          </cell>
          <cell r="AS218">
            <v>0</v>
          </cell>
          <cell r="AT218">
            <v>203906416.92331597</v>
          </cell>
          <cell r="AU218">
            <v>4.7203817312791458E-3</v>
          </cell>
          <cell r="AV218">
            <v>0</v>
          </cell>
          <cell r="AW218">
            <v>0</v>
          </cell>
          <cell r="AY218">
            <v>0</v>
          </cell>
          <cell r="AZ218">
            <v>0</v>
          </cell>
          <cell r="BA218">
            <v>0</v>
          </cell>
          <cell r="BB218">
            <v>0</v>
          </cell>
          <cell r="BC218">
            <v>0</v>
          </cell>
          <cell r="BD218">
            <v>0</v>
          </cell>
          <cell r="BE218">
            <v>0</v>
          </cell>
          <cell r="BF218">
            <v>0</v>
          </cell>
          <cell r="BG218">
            <v>0</v>
          </cell>
          <cell r="BH218">
            <v>0</v>
          </cell>
          <cell r="BJ218">
            <v>0</v>
          </cell>
          <cell r="BL218">
            <v>0</v>
          </cell>
          <cell r="BM218">
            <v>0</v>
          </cell>
          <cell r="BN218">
            <v>0</v>
          </cell>
          <cell r="BO218">
            <v>0</v>
          </cell>
          <cell r="BQ218">
            <v>0</v>
          </cell>
          <cell r="BR218">
            <v>0</v>
          </cell>
          <cell r="BS218">
            <v>0</v>
          </cell>
          <cell r="BT218">
            <v>0</v>
          </cell>
          <cell r="CB218">
            <v>0</v>
          </cell>
          <cell r="CC218">
            <v>0</v>
          </cell>
          <cell r="CD218">
            <v>0</v>
          </cell>
          <cell r="CE218">
            <v>0</v>
          </cell>
          <cell r="CF218">
            <v>0</v>
          </cell>
          <cell r="CI218">
            <v>0</v>
          </cell>
          <cell r="CJ218">
            <v>0</v>
          </cell>
          <cell r="CK218">
            <v>0</v>
          </cell>
          <cell r="CV218">
            <v>4.6871375997386069E-3</v>
          </cell>
          <cell r="DG218">
            <v>203906417</v>
          </cell>
          <cell r="DR218">
            <v>73556121.539999887</v>
          </cell>
          <cell r="EC218">
            <v>2.7721202903434148</v>
          </cell>
          <cell r="EN218">
            <v>2.4095909012463064E-2</v>
          </cell>
        </row>
        <row r="219">
          <cell r="B219">
            <v>36405</v>
          </cell>
          <cell r="C219" t="str">
            <v>Nash Technical College</v>
          </cell>
          <cell r="D219">
            <v>7.9709936527595955E-4</v>
          </cell>
          <cell r="E219">
            <v>1379167.760789312</v>
          </cell>
          <cell r="F219">
            <v>1075368.7319895858</v>
          </cell>
          <cell r="G219">
            <v>260459</v>
          </cell>
          <cell r="H219">
            <v>-384836.81163961132</v>
          </cell>
          <cell r="I219">
            <v>-15925.273374971996</v>
          </cell>
          <cell r="J219">
            <v>1163824.6427072177</v>
          </cell>
          <cell r="K219">
            <v>0</v>
          </cell>
          <cell r="L219">
            <v>-61149.278777411964</v>
          </cell>
          <cell r="M219">
            <v>10973.676257128382</v>
          </cell>
          <cell r="N219">
            <v>413.67862859091747</v>
          </cell>
          <cell r="O219">
            <v>-186.68864234128247</v>
          </cell>
          <cell r="P219">
            <v>0</v>
          </cell>
          <cell r="Q219">
            <v>0</v>
          </cell>
          <cell r="R219">
            <v>0</v>
          </cell>
          <cell r="S219">
            <v>3428109.4379374981</v>
          </cell>
          <cell r="T219">
            <v>1302291.57</v>
          </cell>
          <cell r="U219">
            <v>5819123.2135360893</v>
          </cell>
          <cell r="V219">
            <v>43894.705028513526</v>
          </cell>
          <cell r="W219">
            <v>0</v>
          </cell>
          <cell r="X219">
            <v>7165309.488564603</v>
          </cell>
          <cell r="Y219">
            <v>0</v>
          </cell>
          <cell r="Z219">
            <v>0</v>
          </cell>
          <cell r="AA219">
            <v>0</v>
          </cell>
          <cell r="AB219">
            <v>79626.366874859974</v>
          </cell>
          <cell r="AC219">
            <v>79626.366874859974</v>
          </cell>
          <cell r="AD219" t="str">
            <v>N/A</v>
          </cell>
          <cell r="AE219">
            <v>1419331</v>
          </cell>
          <cell r="AF219">
            <v>1419332</v>
          </cell>
          <cell r="AG219">
            <v>1419332</v>
          </cell>
          <cell r="AH219">
            <v>1419332</v>
          </cell>
          <cell r="AI219">
            <v>1408358</v>
          </cell>
          <cell r="AJ219">
            <v>0</v>
          </cell>
          <cell r="AK219">
            <v>7085685</v>
          </cell>
          <cell r="AL219">
            <v>24893168</v>
          </cell>
          <cell r="AM219">
            <v>3428109.4379374981</v>
          </cell>
          <cell r="AN219">
            <v>-730429.57000000007</v>
          </cell>
          <cell r="AO219">
            <v>5783391.5516897431</v>
          </cell>
          <cell r="AP219">
            <v>0</v>
          </cell>
          <cell r="AQ219">
            <v>1302291.57</v>
          </cell>
          <cell r="AR219">
            <v>0</v>
          </cell>
          <cell r="AS219">
            <v>0</v>
          </cell>
          <cell r="AT219">
            <v>34676530.989627242</v>
          </cell>
          <cell r="AU219">
            <v>7.5082335496289888E-4</v>
          </cell>
          <cell r="AV219">
            <v>0</v>
          </cell>
          <cell r="AW219">
            <v>0</v>
          </cell>
          <cell r="AY219">
            <v>0</v>
          </cell>
          <cell r="AZ219">
            <v>0</v>
          </cell>
          <cell r="BA219">
            <v>0</v>
          </cell>
          <cell r="BB219">
            <v>0</v>
          </cell>
          <cell r="BC219">
            <v>0</v>
          </cell>
          <cell r="BD219">
            <v>0</v>
          </cell>
          <cell r="BE219">
            <v>0</v>
          </cell>
          <cell r="BF219">
            <v>0</v>
          </cell>
          <cell r="BG219">
            <v>0</v>
          </cell>
          <cell r="BH219">
            <v>0</v>
          </cell>
          <cell r="BJ219">
            <v>0</v>
          </cell>
          <cell r="BL219">
            <v>0</v>
          </cell>
          <cell r="BM219">
            <v>0</v>
          </cell>
          <cell r="BN219">
            <v>0</v>
          </cell>
          <cell r="BO219">
            <v>0</v>
          </cell>
          <cell r="BQ219">
            <v>0</v>
          </cell>
          <cell r="BR219">
            <v>0</v>
          </cell>
          <cell r="BS219">
            <v>0</v>
          </cell>
          <cell r="BT219">
            <v>0</v>
          </cell>
          <cell r="CB219">
            <v>0</v>
          </cell>
          <cell r="CC219">
            <v>0</v>
          </cell>
          <cell r="CD219">
            <v>0</v>
          </cell>
          <cell r="CE219">
            <v>0</v>
          </cell>
          <cell r="CF219">
            <v>0</v>
          </cell>
          <cell r="CI219">
            <v>0</v>
          </cell>
          <cell r="CJ219">
            <v>0</v>
          </cell>
          <cell r="CK219">
            <v>0</v>
          </cell>
          <cell r="CV219">
            <v>7.9709936527595955E-4</v>
          </cell>
          <cell r="DG219">
            <v>34676532</v>
          </cell>
          <cell r="DR219">
            <v>12522920.060000004</v>
          </cell>
          <cell r="EC219">
            <v>2.7690452253833193</v>
          </cell>
          <cell r="EN219">
            <v>2.4095909012463064E-2</v>
          </cell>
        </row>
        <row r="220">
          <cell r="B220">
            <v>36500</v>
          </cell>
          <cell r="C220" t="str">
            <v>New Hanover County Schools</v>
          </cell>
          <cell r="D220">
            <v>9.2600936236601917E-3</v>
          </cell>
          <cell r="E220">
            <v>16022121.135702267</v>
          </cell>
          <cell r="F220">
            <v>12492815.290014435</v>
          </cell>
          <cell r="G220">
            <v>792952</v>
          </cell>
          <cell r="H220">
            <v>-4470741.1156699881</v>
          </cell>
          <cell r="I220">
            <v>-185007.70275180053</v>
          </cell>
          <cell r="J220">
            <v>13520428.72253526</v>
          </cell>
          <cell r="K220">
            <v>0</v>
          </cell>
          <cell r="L220">
            <v>-710385.77016316436</v>
          </cell>
          <cell r="M220">
            <v>127483.81690351163</v>
          </cell>
          <cell r="N220">
            <v>4805.8033888071659</v>
          </cell>
          <cell r="O220">
            <v>-2168.8065275974536</v>
          </cell>
          <cell r="P220">
            <v>0</v>
          </cell>
          <cell r="Q220">
            <v>0</v>
          </cell>
          <cell r="R220">
            <v>0</v>
          </cell>
          <cell r="S220">
            <v>37592303.37343172</v>
          </cell>
          <cell r="T220">
            <v>4166781</v>
          </cell>
          <cell r="U220">
            <v>67602143.612676308</v>
          </cell>
          <cell r="V220">
            <v>509935.26761404652</v>
          </cell>
          <cell r="W220">
            <v>0</v>
          </cell>
          <cell r="X220">
            <v>72278859.880290359</v>
          </cell>
          <cell r="Y220">
            <v>202021.27000000048</v>
          </cell>
          <cell r="Z220">
            <v>0</v>
          </cell>
          <cell r="AA220">
            <v>0</v>
          </cell>
          <cell r="AB220">
            <v>925038.51375900256</v>
          </cell>
          <cell r="AC220">
            <v>1127059.783759003</v>
          </cell>
          <cell r="AD220" t="str">
            <v>N/A</v>
          </cell>
          <cell r="AE220">
            <v>14255857</v>
          </cell>
          <cell r="AF220">
            <v>14255857</v>
          </cell>
          <cell r="AG220">
            <v>14255857</v>
          </cell>
          <cell r="AH220">
            <v>14255857</v>
          </cell>
          <cell r="AI220">
            <v>14128373</v>
          </cell>
          <cell r="AJ220">
            <v>0</v>
          </cell>
          <cell r="AK220">
            <v>71151801</v>
          </cell>
          <cell r="AL220">
            <v>302013573</v>
          </cell>
          <cell r="AM220">
            <v>37592303.37343172</v>
          </cell>
          <cell r="AN220">
            <v>-7912128.7299999995</v>
          </cell>
          <cell r="AO220">
            <v>67187040.366531342</v>
          </cell>
          <cell r="AP220">
            <v>0</v>
          </cell>
          <cell r="AQ220">
            <v>3964759.7299999995</v>
          </cell>
          <cell r="AR220">
            <v>0</v>
          </cell>
          <cell r="AS220">
            <v>0</v>
          </cell>
          <cell r="AT220">
            <v>402845547.73996305</v>
          </cell>
          <cell r="AU220">
            <v>9.1092803688785605E-3</v>
          </cell>
          <cell r="AV220">
            <v>0</v>
          </cell>
          <cell r="AW220">
            <v>0</v>
          </cell>
          <cell r="AY220">
            <v>0</v>
          </cell>
          <cell r="AZ220">
            <v>0</v>
          </cell>
          <cell r="BA220">
            <v>0</v>
          </cell>
          <cell r="BB220">
            <v>0</v>
          </cell>
          <cell r="BC220">
            <v>0</v>
          </cell>
          <cell r="BD220">
            <v>0</v>
          </cell>
          <cell r="BE220">
            <v>0</v>
          </cell>
          <cell r="BF220">
            <v>0</v>
          </cell>
          <cell r="BG220">
            <v>0</v>
          </cell>
          <cell r="BH220">
            <v>0</v>
          </cell>
          <cell r="BJ220">
            <v>0</v>
          </cell>
          <cell r="BL220">
            <v>0</v>
          </cell>
          <cell r="BM220">
            <v>0</v>
          </cell>
          <cell r="BN220">
            <v>0</v>
          </cell>
          <cell r="BO220">
            <v>0</v>
          </cell>
          <cell r="BQ220">
            <v>0</v>
          </cell>
          <cell r="BR220">
            <v>0</v>
          </cell>
          <cell r="BS220">
            <v>0</v>
          </cell>
          <cell r="BT220">
            <v>0</v>
          </cell>
          <cell r="CB220">
            <v>0</v>
          </cell>
          <cell r="CC220">
            <v>0</v>
          </cell>
          <cell r="CD220">
            <v>0</v>
          </cell>
          <cell r="CE220">
            <v>0</v>
          </cell>
          <cell r="CF220">
            <v>0</v>
          </cell>
          <cell r="CI220">
            <v>0</v>
          </cell>
          <cell r="CJ220">
            <v>0</v>
          </cell>
          <cell r="CK220">
            <v>0</v>
          </cell>
          <cell r="CV220">
            <v>9.2600936236601917E-3</v>
          </cell>
          <cell r="DG220">
            <v>402845548</v>
          </cell>
          <cell r="DR220">
            <v>137779977.63999993</v>
          </cell>
          <cell r="EC220">
            <v>2.9238322933436658</v>
          </cell>
          <cell r="EN220">
            <v>2.4095909012463064E-2</v>
          </cell>
        </row>
        <row r="221">
          <cell r="B221">
            <v>36501</v>
          </cell>
          <cell r="C221" t="str">
            <v>Cape Fear Center For Inquiry</v>
          </cell>
          <cell r="D221">
            <v>1.1067121475554864E-4</v>
          </cell>
          <cell r="E221">
            <v>191487.0066235725</v>
          </cell>
          <cell r="F221">
            <v>149306.81049811002</v>
          </cell>
          <cell r="G221">
            <v>-6393</v>
          </cell>
          <cell r="H221">
            <v>-53431.679012895795</v>
          </cell>
          <cell r="I221">
            <v>-2211.1036923384972</v>
          </cell>
          <cell r="J221">
            <v>161588.2443040942</v>
          </cell>
          <cell r="K221">
            <v>0</v>
          </cell>
          <cell r="L221">
            <v>-8490.1146061996224</v>
          </cell>
          <cell r="M221">
            <v>1523.6119041320087</v>
          </cell>
          <cell r="N221">
            <v>57.436147033834636</v>
          </cell>
          <cell r="O221">
            <v>-25.920305207897048</v>
          </cell>
          <cell r="P221">
            <v>0</v>
          </cell>
          <cell r="Q221">
            <v>0</v>
          </cell>
          <cell r="R221">
            <v>0</v>
          </cell>
          <cell r="S221">
            <v>433411.29186030076</v>
          </cell>
          <cell r="T221">
            <v>0</v>
          </cell>
          <cell r="U221">
            <v>807941.22152047104</v>
          </cell>
          <cell r="V221">
            <v>6094.4476165280348</v>
          </cell>
          <cell r="W221">
            <v>0</v>
          </cell>
          <cell r="X221">
            <v>814035.66913699906</v>
          </cell>
          <cell r="Y221">
            <v>31959.699999999997</v>
          </cell>
          <cell r="Z221">
            <v>0</v>
          </cell>
          <cell r="AA221">
            <v>0</v>
          </cell>
          <cell r="AB221">
            <v>11055.518461692485</v>
          </cell>
          <cell r="AC221">
            <v>43015.218461692479</v>
          </cell>
          <cell r="AD221" t="str">
            <v>N/A</v>
          </cell>
          <cell r="AE221">
            <v>154509</v>
          </cell>
          <cell r="AF221">
            <v>154509</v>
          </cell>
          <cell r="AG221">
            <v>154509</v>
          </cell>
          <cell r="AH221">
            <v>154509</v>
          </cell>
          <cell r="AI221">
            <v>152985</v>
          </cell>
          <cell r="AJ221">
            <v>0</v>
          </cell>
          <cell r="AK221">
            <v>771021</v>
          </cell>
          <cell r="AL221">
            <v>3695273</v>
          </cell>
          <cell r="AM221">
            <v>433411.29186030076</v>
          </cell>
          <cell r="AN221">
            <v>-85130.3</v>
          </cell>
          <cell r="AO221">
            <v>802980.15067530656</v>
          </cell>
          <cell r="AP221">
            <v>0</v>
          </cell>
          <cell r="AQ221">
            <v>-31959.699999999997</v>
          </cell>
          <cell r="AR221">
            <v>0</v>
          </cell>
          <cell r="AS221">
            <v>0</v>
          </cell>
          <cell r="AT221">
            <v>4814574.4425356071</v>
          </cell>
          <cell r="AU221">
            <v>1.1145617199183244E-4</v>
          </cell>
          <cell r="AV221">
            <v>0</v>
          </cell>
          <cell r="AW221">
            <v>0</v>
          </cell>
          <cell r="AY221">
            <v>0</v>
          </cell>
          <cell r="AZ221">
            <v>0</v>
          </cell>
          <cell r="BA221">
            <v>0</v>
          </cell>
          <cell r="BB221">
            <v>0</v>
          </cell>
          <cell r="BC221">
            <v>0</v>
          </cell>
          <cell r="BD221">
            <v>0</v>
          </cell>
          <cell r="BE221">
            <v>0</v>
          </cell>
          <cell r="BF221">
            <v>0</v>
          </cell>
          <cell r="BG221">
            <v>0</v>
          </cell>
          <cell r="BH221">
            <v>0</v>
          </cell>
          <cell r="BJ221">
            <v>0</v>
          </cell>
          <cell r="BL221">
            <v>0</v>
          </cell>
          <cell r="BM221">
            <v>0</v>
          </cell>
          <cell r="BN221">
            <v>0</v>
          </cell>
          <cell r="BO221">
            <v>0</v>
          </cell>
          <cell r="BQ221">
            <v>0</v>
          </cell>
          <cell r="BR221">
            <v>0</v>
          </cell>
          <cell r="BS221">
            <v>0</v>
          </cell>
          <cell r="BT221">
            <v>0</v>
          </cell>
          <cell r="CB221">
            <v>0</v>
          </cell>
          <cell r="CC221">
            <v>0</v>
          </cell>
          <cell r="CD221">
            <v>0</v>
          </cell>
          <cell r="CE221">
            <v>0</v>
          </cell>
          <cell r="CF221">
            <v>0</v>
          </cell>
          <cell r="CI221">
            <v>0</v>
          </cell>
          <cell r="CJ221">
            <v>0</v>
          </cell>
          <cell r="CK221">
            <v>0</v>
          </cell>
          <cell r="CV221">
            <v>1.1067121475554864E-4</v>
          </cell>
          <cell r="DG221">
            <v>4814574</v>
          </cell>
          <cell r="DR221">
            <v>1499516.45</v>
          </cell>
          <cell r="EC221">
            <v>3.2107510391099745</v>
          </cell>
          <cell r="EN221">
            <v>2.4095909012463064E-2</v>
          </cell>
        </row>
        <row r="222">
          <cell r="B222">
            <v>36502</v>
          </cell>
          <cell r="C222" t="str">
            <v>Wilmington Preparatory Academy</v>
          </cell>
          <cell r="D222">
            <v>4.5678848884780135E-5</v>
          </cell>
          <cell r="E222">
            <v>79035.059462185251</v>
          </cell>
          <cell r="F222">
            <v>61625.448399352055</v>
          </cell>
          <cell r="G222">
            <v>-5546</v>
          </cell>
          <cell r="H222">
            <v>-22053.589966290467</v>
          </cell>
          <cell r="I222">
            <v>-912.61916347444628</v>
          </cell>
          <cell r="J222">
            <v>66694.533076439271</v>
          </cell>
          <cell r="K222">
            <v>0</v>
          </cell>
          <cell r="L222">
            <v>-3504.2414865299324</v>
          </cell>
          <cell r="M222">
            <v>628.86124528066432</v>
          </cell>
          <cell r="N222">
            <v>23.706408994223196</v>
          </cell>
          <cell r="O222">
            <v>-10.698443197304355</v>
          </cell>
          <cell r="P222">
            <v>0</v>
          </cell>
          <cell r="Q222">
            <v>0</v>
          </cell>
          <cell r="R222">
            <v>0</v>
          </cell>
          <cell r="S222">
            <v>175980.4595327593</v>
          </cell>
          <cell r="T222">
            <v>0</v>
          </cell>
          <cell r="U222">
            <v>333472.66538219637</v>
          </cell>
          <cell r="V222">
            <v>2515.4449811226573</v>
          </cell>
          <cell r="W222">
            <v>0</v>
          </cell>
          <cell r="X222">
            <v>335988.11036331905</v>
          </cell>
          <cell r="Y222">
            <v>27727.260000000006</v>
          </cell>
          <cell r="Z222">
            <v>0</v>
          </cell>
          <cell r="AA222">
            <v>0</v>
          </cell>
          <cell r="AB222">
            <v>4563.0958173722311</v>
          </cell>
          <cell r="AC222">
            <v>32290.355817372238</v>
          </cell>
          <cell r="AD222" t="str">
            <v>N/A</v>
          </cell>
          <cell r="AE222">
            <v>60866</v>
          </cell>
          <cell r="AF222">
            <v>60865</v>
          </cell>
          <cell r="AG222">
            <v>60865</v>
          </cell>
          <cell r="AH222">
            <v>60865</v>
          </cell>
          <cell r="AI222">
            <v>60236</v>
          </cell>
          <cell r="AJ222">
            <v>0</v>
          </cell>
          <cell r="AK222">
            <v>303697</v>
          </cell>
          <cell r="AL222">
            <v>1539314</v>
          </cell>
          <cell r="AM222">
            <v>175980.4595327593</v>
          </cell>
          <cell r="AN222">
            <v>-31806.739999999994</v>
          </cell>
          <cell r="AO222">
            <v>331425.01454594685</v>
          </cell>
          <cell r="AP222">
            <v>0</v>
          </cell>
          <cell r="AQ222">
            <v>-27727.260000000006</v>
          </cell>
          <cell r="AR222">
            <v>0</v>
          </cell>
          <cell r="AS222">
            <v>0</v>
          </cell>
          <cell r="AT222">
            <v>1987185.4740787062</v>
          </cell>
          <cell r="AU222">
            <v>4.6428511604156449E-5</v>
          </cell>
          <cell r="AV222">
            <v>0</v>
          </cell>
          <cell r="AW222">
            <v>0</v>
          </cell>
          <cell r="AY222">
            <v>0</v>
          </cell>
          <cell r="AZ222">
            <v>0</v>
          </cell>
          <cell r="BA222">
            <v>0</v>
          </cell>
          <cell r="BB222">
            <v>0</v>
          </cell>
          <cell r="BC222">
            <v>0</v>
          </cell>
          <cell r="BD222">
            <v>0</v>
          </cell>
          <cell r="BE222">
            <v>0</v>
          </cell>
          <cell r="BF222">
            <v>0</v>
          </cell>
          <cell r="BG222">
            <v>0</v>
          </cell>
          <cell r="BH222">
            <v>0</v>
          </cell>
          <cell r="BJ222">
            <v>0</v>
          </cell>
          <cell r="BL222">
            <v>0</v>
          </cell>
          <cell r="BM222">
            <v>0</v>
          </cell>
          <cell r="BN222">
            <v>0</v>
          </cell>
          <cell r="BO222">
            <v>0</v>
          </cell>
          <cell r="BQ222">
            <v>0</v>
          </cell>
          <cell r="BR222">
            <v>0</v>
          </cell>
          <cell r="BS222">
            <v>0</v>
          </cell>
          <cell r="BT222">
            <v>0</v>
          </cell>
          <cell r="CB222">
            <v>0</v>
          </cell>
          <cell r="CC222">
            <v>0</v>
          </cell>
          <cell r="CD222">
            <v>0</v>
          </cell>
          <cell r="CE222">
            <v>0</v>
          </cell>
          <cell r="CF222">
            <v>0</v>
          </cell>
          <cell r="CI222">
            <v>0</v>
          </cell>
          <cell r="CJ222">
            <v>0</v>
          </cell>
          <cell r="CK222">
            <v>0</v>
          </cell>
          <cell r="CV222">
            <v>4.5678848884780135E-5</v>
          </cell>
          <cell r="DG222">
            <v>1987185</v>
          </cell>
          <cell r="DR222">
            <v>539505.5</v>
          </cell>
          <cell r="EC222">
            <v>3.6833452114946001</v>
          </cell>
          <cell r="EN222">
            <v>2.4095909012463064E-2</v>
          </cell>
        </row>
        <row r="223">
          <cell r="B223">
            <v>36505</v>
          </cell>
          <cell r="C223" t="str">
            <v>Cape Fear Community College</v>
          </cell>
          <cell r="D223">
            <v>1.8479689584723819E-3</v>
          </cell>
          <cell r="E223">
            <v>3197417.187231299</v>
          </cell>
          <cell r="F223">
            <v>2493099.5082909972</v>
          </cell>
          <cell r="G223">
            <v>-104580</v>
          </cell>
          <cell r="H223">
            <v>-892193.01001610456</v>
          </cell>
          <cell r="I223">
            <v>-36920.630142449496</v>
          </cell>
          <cell r="J223">
            <v>2698172.7831179025</v>
          </cell>
          <cell r="K223">
            <v>0</v>
          </cell>
          <cell r="L223">
            <v>-141766.4772252196</v>
          </cell>
          <cell r="M223">
            <v>25441.010201379286</v>
          </cell>
          <cell r="N223">
            <v>959.05893006799681</v>
          </cell>
          <cell r="O223">
            <v>-432.81280976381657</v>
          </cell>
          <cell r="P223">
            <v>0</v>
          </cell>
          <cell r="Q223">
            <v>0</v>
          </cell>
          <cell r="R223">
            <v>0</v>
          </cell>
          <cell r="S223">
            <v>7239196.6175781097</v>
          </cell>
          <cell r="T223">
            <v>93130.929999999935</v>
          </cell>
          <cell r="U223">
            <v>13490863.915589513</v>
          </cell>
          <cell r="V223">
            <v>101764.04080551714</v>
          </cell>
          <cell r="W223">
            <v>0</v>
          </cell>
          <cell r="X223">
            <v>13685758.88639503</v>
          </cell>
          <cell r="Y223">
            <v>616031</v>
          </cell>
          <cell r="Z223">
            <v>0</v>
          </cell>
          <cell r="AA223">
            <v>0</v>
          </cell>
          <cell r="AB223">
            <v>184603.15071224747</v>
          </cell>
          <cell r="AC223">
            <v>800634.15071224747</v>
          </cell>
          <cell r="AD223" t="str">
            <v>N/A</v>
          </cell>
          <cell r="AE223">
            <v>2582113</v>
          </cell>
          <cell r="AF223">
            <v>2582113</v>
          </cell>
          <cell r="AG223">
            <v>2582113</v>
          </cell>
          <cell r="AH223">
            <v>2582113</v>
          </cell>
          <cell r="AI223">
            <v>2556672</v>
          </cell>
          <cell r="AJ223">
            <v>0</v>
          </cell>
          <cell r="AK223">
            <v>12885124</v>
          </cell>
          <cell r="AL223">
            <v>62007711</v>
          </cell>
          <cell r="AM223">
            <v>7239196.6175781097</v>
          </cell>
          <cell r="AN223">
            <v>-1739101.93</v>
          </cell>
          <cell r="AO223">
            <v>13408024.805682784</v>
          </cell>
          <cell r="AP223">
            <v>0</v>
          </cell>
          <cell r="AQ223">
            <v>-522900.07000000007</v>
          </cell>
          <cell r="AR223">
            <v>0</v>
          </cell>
          <cell r="AS223">
            <v>0</v>
          </cell>
          <cell r="AT223">
            <v>80392930.423260882</v>
          </cell>
          <cell r="AU223">
            <v>1.8702656823009782E-3</v>
          </cell>
          <cell r="AV223">
            <v>0</v>
          </cell>
          <cell r="AW223">
            <v>0</v>
          </cell>
          <cell r="AY223">
            <v>0</v>
          </cell>
          <cell r="AZ223">
            <v>0</v>
          </cell>
          <cell r="BA223">
            <v>0</v>
          </cell>
          <cell r="BB223">
            <v>0</v>
          </cell>
          <cell r="BC223">
            <v>0</v>
          </cell>
          <cell r="BD223">
            <v>0</v>
          </cell>
          <cell r="BE223">
            <v>0</v>
          </cell>
          <cell r="BF223">
            <v>0</v>
          </cell>
          <cell r="BG223">
            <v>0</v>
          </cell>
          <cell r="BH223">
            <v>0</v>
          </cell>
          <cell r="BJ223">
            <v>0</v>
          </cell>
          <cell r="BL223">
            <v>0</v>
          </cell>
          <cell r="BM223">
            <v>0</v>
          </cell>
          <cell r="BN223">
            <v>0</v>
          </cell>
          <cell r="BO223">
            <v>0</v>
          </cell>
          <cell r="BQ223">
            <v>0</v>
          </cell>
          <cell r="BR223">
            <v>0</v>
          </cell>
          <cell r="BS223">
            <v>0</v>
          </cell>
          <cell r="BT223">
            <v>0</v>
          </cell>
          <cell r="CB223">
            <v>0</v>
          </cell>
          <cell r="CC223">
            <v>0</v>
          </cell>
          <cell r="CD223">
            <v>0</v>
          </cell>
          <cell r="CE223">
            <v>0</v>
          </cell>
          <cell r="CF223">
            <v>0</v>
          </cell>
          <cell r="CI223">
            <v>0</v>
          </cell>
          <cell r="CJ223">
            <v>0</v>
          </cell>
          <cell r="CK223">
            <v>0</v>
          </cell>
          <cell r="CV223">
            <v>1.8479689584723819E-3</v>
          </cell>
          <cell r="DG223">
            <v>80392931</v>
          </cell>
          <cell r="DR223">
            <v>29087117.839999989</v>
          </cell>
          <cell r="EC223">
            <v>2.7638672020452071</v>
          </cell>
          <cell r="EN223">
            <v>2.4095909012463064E-2</v>
          </cell>
        </row>
        <row r="224">
          <cell r="B224">
            <v>36600</v>
          </cell>
          <cell r="C224" t="str">
            <v>Northampton County Schools</v>
          </cell>
          <cell r="D224">
            <v>6.8401931828023085E-4</v>
          </cell>
          <cell r="E224">
            <v>1183512.9127252235</v>
          </cell>
          <cell r="F224">
            <v>922812.15993784403</v>
          </cell>
          <cell r="G224">
            <v>-294057</v>
          </cell>
          <cell r="H224">
            <v>-330242.15676765854</v>
          </cell>
          <cell r="I224">
            <v>-13666.043547285199</v>
          </cell>
          <cell r="J224">
            <v>998719.32331387349</v>
          </cell>
          <cell r="K224">
            <v>0</v>
          </cell>
          <cell r="L224">
            <v>-52474.371207374272</v>
          </cell>
          <cell r="M224">
            <v>9416.901931455217</v>
          </cell>
          <cell r="N224">
            <v>354.99234580107418</v>
          </cell>
          <cell r="O224">
            <v>-160.20416453441285</v>
          </cell>
          <cell r="P224">
            <v>0</v>
          </cell>
          <cell r="Q224">
            <v>0</v>
          </cell>
          <cell r="R224">
            <v>0</v>
          </cell>
          <cell r="S224">
            <v>2424216.5145673454</v>
          </cell>
          <cell r="T224">
            <v>57133.199999999953</v>
          </cell>
          <cell r="U224">
            <v>4993596.6165693672</v>
          </cell>
          <cell r="V224">
            <v>37667.607725820868</v>
          </cell>
          <cell r="W224">
            <v>0</v>
          </cell>
          <cell r="X224">
            <v>5088397.4242951879</v>
          </cell>
          <cell r="Y224">
            <v>1527418</v>
          </cell>
          <cell r="Z224">
            <v>0</v>
          </cell>
          <cell r="AA224">
            <v>0</v>
          </cell>
          <cell r="AB224">
            <v>68330.217736425999</v>
          </cell>
          <cell r="AC224">
            <v>1595748.217736426</v>
          </cell>
          <cell r="AD224" t="str">
            <v>N/A</v>
          </cell>
          <cell r="AE224">
            <v>700413</v>
          </cell>
          <cell r="AF224">
            <v>700413</v>
          </cell>
          <cell r="AG224">
            <v>700413</v>
          </cell>
          <cell r="AH224">
            <v>700413</v>
          </cell>
          <cell r="AI224">
            <v>690996</v>
          </cell>
          <cell r="AJ224">
            <v>0</v>
          </cell>
          <cell r="AK224">
            <v>3492648</v>
          </cell>
          <cell r="AL224">
            <v>24511216</v>
          </cell>
          <cell r="AM224">
            <v>2424216.5145673454</v>
          </cell>
          <cell r="AN224">
            <v>-670916.19999999995</v>
          </cell>
          <cell r="AO224">
            <v>4962934.0065587629</v>
          </cell>
          <cell r="AP224">
            <v>0</v>
          </cell>
          <cell r="AQ224">
            <v>-1470284.8</v>
          </cell>
          <cell r="AR224">
            <v>0</v>
          </cell>
          <cell r="AS224">
            <v>0</v>
          </cell>
          <cell r="AT224">
            <v>29757165.52112611</v>
          </cell>
          <cell r="AU224">
            <v>7.393029996716463E-4</v>
          </cell>
          <cell r="AV224">
            <v>0</v>
          </cell>
          <cell r="AW224">
            <v>0</v>
          </cell>
          <cell r="AY224">
            <v>0</v>
          </cell>
          <cell r="AZ224">
            <v>0</v>
          </cell>
          <cell r="BA224">
            <v>0</v>
          </cell>
          <cell r="BB224">
            <v>0</v>
          </cell>
          <cell r="BC224">
            <v>0</v>
          </cell>
          <cell r="BD224">
            <v>0</v>
          </cell>
          <cell r="BE224">
            <v>0</v>
          </cell>
          <cell r="BF224">
            <v>0</v>
          </cell>
          <cell r="BG224">
            <v>0</v>
          </cell>
          <cell r="BH224">
            <v>0</v>
          </cell>
          <cell r="BJ224">
            <v>0</v>
          </cell>
          <cell r="BL224">
            <v>0</v>
          </cell>
          <cell r="BM224">
            <v>0</v>
          </cell>
          <cell r="BN224">
            <v>0</v>
          </cell>
          <cell r="BO224">
            <v>0</v>
          </cell>
          <cell r="BQ224">
            <v>0</v>
          </cell>
          <cell r="BR224">
            <v>0</v>
          </cell>
          <cell r="BS224">
            <v>0</v>
          </cell>
          <cell r="BT224">
            <v>0</v>
          </cell>
          <cell r="CB224">
            <v>0</v>
          </cell>
          <cell r="CC224">
            <v>0</v>
          </cell>
          <cell r="CD224">
            <v>0</v>
          </cell>
          <cell r="CE224">
            <v>0</v>
          </cell>
          <cell r="CF224">
            <v>0</v>
          </cell>
          <cell r="CI224">
            <v>0</v>
          </cell>
          <cell r="CJ224">
            <v>0</v>
          </cell>
          <cell r="CK224">
            <v>0</v>
          </cell>
          <cell r="CV224">
            <v>6.8401931828023085E-4</v>
          </cell>
          <cell r="DG224">
            <v>29757165</v>
          </cell>
          <cell r="DR224">
            <v>11393591.629999992</v>
          </cell>
          <cell r="EC224">
            <v>2.6117457924020768</v>
          </cell>
          <cell r="EN224">
            <v>2.4095909012463064E-2</v>
          </cell>
        </row>
        <row r="225">
          <cell r="B225">
            <v>36601</v>
          </cell>
          <cell r="C225" t="str">
            <v>Gaston College Preparatory Charter</v>
          </cell>
          <cell r="D225">
            <v>3.6765854569084986E-4</v>
          </cell>
          <cell r="E225">
            <v>636135.01062061044</v>
          </cell>
          <cell r="F225">
            <v>496009.05647168087</v>
          </cell>
          <cell r="G225">
            <v>305635</v>
          </cell>
          <cell r="H225">
            <v>-177504.27193821565</v>
          </cell>
          <cell r="I225">
            <v>-7345.4616875078873</v>
          </cell>
          <cell r="J225">
            <v>536808.95283208648</v>
          </cell>
          <cell r="K225">
            <v>0</v>
          </cell>
          <cell r="L225">
            <v>-28204.833531092125</v>
          </cell>
          <cell r="M225">
            <v>5061.5594859760595</v>
          </cell>
          <cell r="N225">
            <v>190.80743204263726</v>
          </cell>
          <cell r="O225">
            <v>-86.109307986253938</v>
          </cell>
          <cell r="P225">
            <v>0</v>
          </cell>
          <cell r="Q225">
            <v>0</v>
          </cell>
          <cell r="R225">
            <v>0</v>
          </cell>
          <cell r="S225">
            <v>1766699.7103775947</v>
          </cell>
          <cell r="T225">
            <v>1577724</v>
          </cell>
          <cell r="U225">
            <v>2684044.7641604324</v>
          </cell>
          <cell r="V225">
            <v>20246.237943904238</v>
          </cell>
          <cell r="W225">
            <v>0</v>
          </cell>
          <cell r="X225">
            <v>4282015.0021043364</v>
          </cell>
          <cell r="Y225">
            <v>49549.429999999993</v>
          </cell>
          <cell r="Z225">
            <v>0</v>
          </cell>
          <cell r="AA225">
            <v>0</v>
          </cell>
          <cell r="AB225">
            <v>36727.308437539439</v>
          </cell>
          <cell r="AC225">
            <v>86276.738437539432</v>
          </cell>
          <cell r="AD225" t="str">
            <v>N/A</v>
          </cell>
          <cell r="AE225">
            <v>840160</v>
          </cell>
          <cell r="AF225">
            <v>840160</v>
          </cell>
          <cell r="AG225">
            <v>840160</v>
          </cell>
          <cell r="AH225">
            <v>840160</v>
          </cell>
          <cell r="AI225">
            <v>835098</v>
          </cell>
          <cell r="AJ225">
            <v>0</v>
          </cell>
          <cell r="AK225">
            <v>4195738</v>
          </cell>
          <cell r="AL225">
            <v>10296264</v>
          </cell>
          <cell r="AM225">
            <v>1766699.7103775947</v>
          </cell>
          <cell r="AN225">
            <v>-264305.57</v>
          </cell>
          <cell r="AO225">
            <v>2667563.6936667976</v>
          </cell>
          <cell r="AP225">
            <v>0</v>
          </cell>
          <cell r="AQ225">
            <v>1528174.57</v>
          </cell>
          <cell r="AR225">
            <v>0</v>
          </cell>
          <cell r="AS225">
            <v>0</v>
          </cell>
          <cell r="AT225">
            <v>15994396.404044392</v>
          </cell>
          <cell r="AU225">
            <v>3.1055410582913327E-4</v>
          </cell>
          <cell r="AV225">
            <v>0</v>
          </cell>
          <cell r="AW225">
            <v>0</v>
          </cell>
          <cell r="AY225">
            <v>0</v>
          </cell>
          <cell r="AZ225">
            <v>0</v>
          </cell>
          <cell r="BA225">
            <v>0</v>
          </cell>
          <cell r="BB225">
            <v>0</v>
          </cell>
          <cell r="BC225">
            <v>0</v>
          </cell>
          <cell r="BD225">
            <v>0</v>
          </cell>
          <cell r="BE225">
            <v>0</v>
          </cell>
          <cell r="BF225">
            <v>0</v>
          </cell>
          <cell r="BG225">
            <v>0</v>
          </cell>
          <cell r="BH225">
            <v>0</v>
          </cell>
          <cell r="BJ225">
            <v>0</v>
          </cell>
          <cell r="BL225">
            <v>0</v>
          </cell>
          <cell r="BM225">
            <v>0</v>
          </cell>
          <cell r="BN225">
            <v>0</v>
          </cell>
          <cell r="BO225">
            <v>0</v>
          </cell>
          <cell r="BQ225">
            <v>0</v>
          </cell>
          <cell r="BR225">
            <v>0</v>
          </cell>
          <cell r="BS225">
            <v>0</v>
          </cell>
          <cell r="BT225">
            <v>0</v>
          </cell>
          <cell r="CB225">
            <v>0</v>
          </cell>
          <cell r="CC225">
            <v>0</v>
          </cell>
          <cell r="CD225">
            <v>0</v>
          </cell>
          <cell r="CE225">
            <v>0</v>
          </cell>
          <cell r="CF225">
            <v>0</v>
          </cell>
          <cell r="CI225">
            <v>0</v>
          </cell>
          <cell r="CJ225">
            <v>0</v>
          </cell>
          <cell r="CK225">
            <v>0</v>
          </cell>
          <cell r="CV225">
            <v>3.6765854569084986E-4</v>
          </cell>
          <cell r="DG225">
            <v>15994396</v>
          </cell>
          <cell r="DR225">
            <v>4426537.1399999978</v>
          </cell>
          <cell r="EC225">
            <v>3.6132975945165136</v>
          </cell>
          <cell r="EN225">
            <v>2.4095909012463064E-2</v>
          </cell>
        </row>
        <row r="226">
          <cell r="B226">
            <v>36700</v>
          </cell>
          <cell r="C226" t="str">
            <v>Onslow County Schools</v>
          </cell>
          <cell r="D226">
            <v>8.0039556616394655E-3</v>
          </cell>
          <cell r="E226">
            <v>13848709.568973944</v>
          </cell>
          <cell r="F226">
            <v>10798156.447883062</v>
          </cell>
          <cell r="G226">
            <v>-1582057</v>
          </cell>
          <cell r="H226">
            <v>-3864282.0600713464</v>
          </cell>
          <cell r="I226">
            <v>-159911.28276539812</v>
          </cell>
          <cell r="J226">
            <v>11686373.423377395</v>
          </cell>
          <cell r="K226">
            <v>0</v>
          </cell>
          <cell r="L226">
            <v>-614021.46005497244</v>
          </cell>
          <cell r="M226">
            <v>110190.55093191945</v>
          </cell>
          <cell r="N226">
            <v>4153.8929092776498</v>
          </cell>
          <cell r="O226">
            <v>-1874.6064555125793</v>
          </cell>
          <cell r="P226">
            <v>0</v>
          </cell>
          <cell r="Q226">
            <v>0</v>
          </cell>
          <cell r="R226">
            <v>0</v>
          </cell>
          <cell r="S226">
            <v>30225437.474728368</v>
          </cell>
          <cell r="T226">
            <v>0</v>
          </cell>
          <cell r="U226">
            <v>58431867.116886973</v>
          </cell>
          <cell r="V226">
            <v>440762.20372767781</v>
          </cell>
          <cell r="W226">
            <v>0</v>
          </cell>
          <cell r="X226">
            <v>58872629.320614651</v>
          </cell>
          <cell r="Y226">
            <v>7910288.0799999991</v>
          </cell>
          <cell r="Z226">
            <v>0</v>
          </cell>
          <cell r="AA226">
            <v>0</v>
          </cell>
          <cell r="AB226">
            <v>799556.41382699064</v>
          </cell>
          <cell r="AC226">
            <v>8709844.4938269891</v>
          </cell>
          <cell r="AD226" t="str">
            <v>N/A</v>
          </cell>
          <cell r="AE226">
            <v>10054596</v>
          </cell>
          <cell r="AF226">
            <v>10054595</v>
          </cell>
          <cell r="AG226">
            <v>10054595</v>
          </cell>
          <cell r="AH226">
            <v>10054595</v>
          </cell>
          <cell r="AI226">
            <v>9944404</v>
          </cell>
          <cell r="AJ226">
            <v>0</v>
          </cell>
          <cell r="AK226">
            <v>50162785</v>
          </cell>
          <cell r="AL226">
            <v>274531987</v>
          </cell>
          <cell r="AM226">
            <v>30225437.474728368</v>
          </cell>
          <cell r="AN226">
            <v>-6720931.9200000009</v>
          </cell>
          <cell r="AO226">
            <v>58073072.906787664</v>
          </cell>
          <cell r="AP226">
            <v>0</v>
          </cell>
          <cell r="AQ226">
            <v>-7910288.0799999991</v>
          </cell>
          <cell r="AR226">
            <v>0</v>
          </cell>
          <cell r="AS226">
            <v>0</v>
          </cell>
          <cell r="AT226">
            <v>348199277.38151604</v>
          </cell>
          <cell r="AU226">
            <v>8.2803856072083161E-3</v>
          </cell>
          <cell r="AV226">
            <v>0</v>
          </cell>
          <cell r="AW226">
            <v>0</v>
          </cell>
          <cell r="AY226">
            <v>0</v>
          </cell>
          <cell r="AZ226">
            <v>0</v>
          </cell>
          <cell r="BA226">
            <v>0</v>
          </cell>
          <cell r="BB226">
            <v>0</v>
          </cell>
          <cell r="BC226">
            <v>0</v>
          </cell>
          <cell r="BD226">
            <v>0</v>
          </cell>
          <cell r="BE226">
            <v>0</v>
          </cell>
          <cell r="BF226">
            <v>0</v>
          </cell>
          <cell r="BG226">
            <v>0</v>
          </cell>
          <cell r="BH226">
            <v>0</v>
          </cell>
          <cell r="BJ226">
            <v>0</v>
          </cell>
          <cell r="BL226">
            <v>0</v>
          </cell>
          <cell r="BM226">
            <v>0</v>
          </cell>
          <cell r="BN226">
            <v>0</v>
          </cell>
          <cell r="BO226">
            <v>0</v>
          </cell>
          <cell r="BQ226">
            <v>0</v>
          </cell>
          <cell r="BR226">
            <v>0</v>
          </cell>
          <cell r="BS226">
            <v>0</v>
          </cell>
          <cell r="BT226">
            <v>0</v>
          </cell>
          <cell r="CB226">
            <v>0</v>
          </cell>
          <cell r="CC226">
            <v>0</v>
          </cell>
          <cell r="CD226">
            <v>0</v>
          </cell>
          <cell r="CE226">
            <v>0</v>
          </cell>
          <cell r="CF226">
            <v>0</v>
          </cell>
          <cell r="CI226">
            <v>0</v>
          </cell>
          <cell r="CJ226">
            <v>0</v>
          </cell>
          <cell r="CK226">
            <v>0</v>
          </cell>
          <cell r="CV226">
            <v>8.0039556616394655E-3</v>
          </cell>
          <cell r="DG226">
            <v>348199277</v>
          </cell>
          <cell r="DR226">
            <v>117141754.23999991</v>
          </cell>
          <cell r="EC226">
            <v>2.9724608382303179</v>
          </cell>
          <cell r="EN226">
            <v>2.4095909012463064E-2</v>
          </cell>
        </row>
        <row r="227">
          <cell r="B227">
            <v>36701</v>
          </cell>
          <cell r="C227" t="str">
            <v>Zeca School Of The Arts And Technology</v>
          </cell>
          <cell r="D227">
            <v>4.1016009576822938E-5</v>
          </cell>
          <cell r="E227">
            <v>70967.2602298407</v>
          </cell>
          <cell r="F227">
            <v>55334.800316433102</v>
          </cell>
          <cell r="G227">
            <v>83303</v>
          </cell>
          <cell r="H227">
            <v>-19802.387304949923</v>
          </cell>
          <cell r="I227">
            <v>-819.46014978350513</v>
          </cell>
          <cell r="J227">
            <v>59886.439220153617</v>
          </cell>
          <cell r="K227">
            <v>0</v>
          </cell>
          <cell r="L227">
            <v>-3146.532933296</v>
          </cell>
          <cell r="M227">
            <v>564.66788215231702</v>
          </cell>
          <cell r="N227">
            <v>21.286488650179567</v>
          </cell>
          <cell r="O227">
            <v>-9.6063596029877001</v>
          </cell>
          <cell r="P227">
            <v>0</v>
          </cell>
          <cell r="Q227">
            <v>0</v>
          </cell>
          <cell r="R227">
            <v>0</v>
          </cell>
          <cell r="S227">
            <v>246299.4673895975</v>
          </cell>
          <cell r="T227">
            <v>424246</v>
          </cell>
          <cell r="U227">
            <v>299432.19610076811</v>
          </cell>
          <cell r="V227">
            <v>2258.6715286092681</v>
          </cell>
          <cell r="W227">
            <v>0</v>
          </cell>
          <cell r="X227">
            <v>725936.8676293774</v>
          </cell>
          <cell r="Y227">
            <v>7731.5299999999952</v>
          </cell>
          <cell r="Z227">
            <v>0</v>
          </cell>
          <cell r="AA227">
            <v>0</v>
          </cell>
          <cell r="AB227">
            <v>4097.3007489175252</v>
          </cell>
          <cell r="AC227">
            <v>11828.83074891752</v>
          </cell>
          <cell r="AD227" t="str">
            <v>N/A</v>
          </cell>
          <cell r="AE227">
            <v>142935</v>
          </cell>
          <cell r="AF227">
            <v>142935</v>
          </cell>
          <cell r="AG227">
            <v>142935</v>
          </cell>
          <cell r="AH227">
            <v>142935</v>
          </cell>
          <cell r="AI227">
            <v>142370</v>
          </cell>
          <cell r="AJ227">
            <v>0</v>
          </cell>
          <cell r="AK227">
            <v>714110</v>
          </cell>
          <cell r="AL227">
            <v>850770</v>
          </cell>
          <cell r="AM227">
            <v>246299.4673895975</v>
          </cell>
          <cell r="AN227">
            <v>-26841.470000000005</v>
          </cell>
          <cell r="AO227">
            <v>297593.56688045984</v>
          </cell>
          <cell r="AP227">
            <v>0</v>
          </cell>
          <cell r="AQ227">
            <v>416514.47000000003</v>
          </cell>
          <cell r="AR227">
            <v>0</v>
          </cell>
          <cell r="AS227">
            <v>0</v>
          </cell>
          <cell r="AT227">
            <v>1784336.0342700575</v>
          </cell>
          <cell r="AU227">
            <v>2.5660768930669772E-5</v>
          </cell>
          <cell r="AV227">
            <v>0</v>
          </cell>
          <cell r="AW227">
            <v>0</v>
          </cell>
          <cell r="AY227">
            <v>0</v>
          </cell>
          <cell r="AZ227">
            <v>0</v>
          </cell>
          <cell r="BA227">
            <v>0</v>
          </cell>
          <cell r="BB227">
            <v>0</v>
          </cell>
          <cell r="BC227">
            <v>0</v>
          </cell>
          <cell r="BD227">
            <v>0</v>
          </cell>
          <cell r="BE227">
            <v>0</v>
          </cell>
          <cell r="BF227">
            <v>0</v>
          </cell>
          <cell r="BG227">
            <v>0</v>
          </cell>
          <cell r="BH227">
            <v>0</v>
          </cell>
          <cell r="BJ227">
            <v>0</v>
          </cell>
          <cell r="BL227">
            <v>0</v>
          </cell>
          <cell r="BM227">
            <v>0</v>
          </cell>
          <cell r="BN227">
            <v>0</v>
          </cell>
          <cell r="BO227">
            <v>0</v>
          </cell>
          <cell r="BQ227">
            <v>0</v>
          </cell>
          <cell r="BR227">
            <v>0</v>
          </cell>
          <cell r="BS227">
            <v>0</v>
          </cell>
          <cell r="BT227">
            <v>0</v>
          </cell>
          <cell r="CB227">
            <v>0</v>
          </cell>
          <cell r="CC227">
            <v>0</v>
          </cell>
          <cell r="CD227">
            <v>0</v>
          </cell>
          <cell r="CE227">
            <v>0</v>
          </cell>
          <cell r="CF227">
            <v>0</v>
          </cell>
          <cell r="CI227">
            <v>0</v>
          </cell>
          <cell r="CJ227">
            <v>0</v>
          </cell>
          <cell r="CK227">
            <v>0</v>
          </cell>
          <cell r="CV227">
            <v>4.1016009576822938E-5</v>
          </cell>
          <cell r="DG227">
            <v>1784336</v>
          </cell>
          <cell r="DR227">
            <v>473452.91000000003</v>
          </cell>
          <cell r="EC227">
            <v>3.7687718510379415</v>
          </cell>
          <cell r="EN227">
            <v>2.4095909012463064E-2</v>
          </cell>
        </row>
        <row r="228">
          <cell r="B228">
            <v>36705</v>
          </cell>
          <cell r="C228" t="str">
            <v>Coastal Carolina Community College</v>
          </cell>
          <cell r="D228">
            <v>9.2992830888104065E-4</v>
          </cell>
          <cell r="E228">
            <v>1608992.8048180537</v>
          </cell>
          <cell r="F228">
            <v>1254568.5894711688</v>
          </cell>
          <cell r="G228">
            <v>-43486</v>
          </cell>
          <cell r="H228">
            <v>-448966.16536546708</v>
          </cell>
          <cell r="I228">
            <v>-18579.067031283983</v>
          </cell>
          <cell r="J228">
            <v>1357764.8270389931</v>
          </cell>
          <cell r="K228">
            <v>0</v>
          </cell>
          <cell r="L228">
            <v>-71339.218019684762</v>
          </cell>
          <cell r="M228">
            <v>12802.333872724259</v>
          </cell>
          <cell r="N228">
            <v>482.61419374308247</v>
          </cell>
          <cell r="O228">
            <v>-217.79850922302853</v>
          </cell>
          <cell r="P228">
            <v>0</v>
          </cell>
          <cell r="Q228">
            <v>0</v>
          </cell>
          <cell r="R228">
            <v>0</v>
          </cell>
          <cell r="S228">
            <v>3652022.9204690247</v>
          </cell>
          <cell r="T228">
            <v>6272.6099999998696</v>
          </cell>
          <cell r="U228">
            <v>6788824.1351949656</v>
          </cell>
          <cell r="V228">
            <v>51209.335490897036</v>
          </cell>
          <cell r="W228">
            <v>0</v>
          </cell>
          <cell r="X228">
            <v>6846306.0806858633</v>
          </cell>
          <cell r="Y228">
            <v>223706</v>
          </cell>
          <cell r="Z228">
            <v>0</v>
          </cell>
          <cell r="AA228">
            <v>0</v>
          </cell>
          <cell r="AB228">
            <v>92895.335156419911</v>
          </cell>
          <cell r="AC228">
            <v>316601.3351564199</v>
          </cell>
          <cell r="AD228" t="str">
            <v>N/A</v>
          </cell>
          <cell r="AE228">
            <v>1308502</v>
          </cell>
          <cell r="AF228">
            <v>1308501</v>
          </cell>
          <cell r="AG228">
            <v>1308501</v>
          </cell>
          <cell r="AH228">
            <v>1308501</v>
          </cell>
          <cell r="AI228">
            <v>1295699</v>
          </cell>
          <cell r="AJ228">
            <v>0</v>
          </cell>
          <cell r="AK228">
            <v>6529704</v>
          </cell>
          <cell r="AL228">
            <v>31099749</v>
          </cell>
          <cell r="AM228">
            <v>3652022.9204690247</v>
          </cell>
          <cell r="AN228">
            <v>-826433.60999999987</v>
          </cell>
          <cell r="AO228">
            <v>6747138.1355294436</v>
          </cell>
          <cell r="AP228">
            <v>0</v>
          </cell>
          <cell r="AQ228">
            <v>-217433.39000000013</v>
          </cell>
          <cell r="AR228">
            <v>0</v>
          </cell>
          <cell r="AS228">
            <v>0</v>
          </cell>
          <cell r="AT228">
            <v>40455043.055998467</v>
          </cell>
          <cell r="AU228">
            <v>9.3802516072585785E-4</v>
          </cell>
          <cell r="AV228">
            <v>0</v>
          </cell>
          <cell r="AW228">
            <v>0</v>
          </cell>
          <cell r="AY228">
            <v>0</v>
          </cell>
          <cell r="AZ228">
            <v>0</v>
          </cell>
          <cell r="BA228">
            <v>0</v>
          </cell>
          <cell r="BB228">
            <v>0</v>
          </cell>
          <cell r="BC228">
            <v>0</v>
          </cell>
          <cell r="BD228">
            <v>0</v>
          </cell>
          <cell r="BE228">
            <v>0</v>
          </cell>
          <cell r="BF228">
            <v>0</v>
          </cell>
          <cell r="BG228">
            <v>0</v>
          </cell>
          <cell r="BH228">
            <v>0</v>
          </cell>
          <cell r="BJ228">
            <v>0</v>
          </cell>
          <cell r="BL228">
            <v>0</v>
          </cell>
          <cell r="BM228">
            <v>0</v>
          </cell>
          <cell r="BN228">
            <v>0</v>
          </cell>
          <cell r="BO228">
            <v>0</v>
          </cell>
          <cell r="BQ228">
            <v>0</v>
          </cell>
          <cell r="BR228">
            <v>0</v>
          </cell>
          <cell r="BS228">
            <v>0</v>
          </cell>
          <cell r="BT228">
            <v>0</v>
          </cell>
          <cell r="CB228">
            <v>0</v>
          </cell>
          <cell r="CC228">
            <v>0</v>
          </cell>
          <cell r="CD228">
            <v>0</v>
          </cell>
          <cell r="CE228">
            <v>0</v>
          </cell>
          <cell r="CF228">
            <v>0</v>
          </cell>
          <cell r="CI228">
            <v>0</v>
          </cell>
          <cell r="CJ228">
            <v>0</v>
          </cell>
          <cell r="CK228">
            <v>0</v>
          </cell>
          <cell r="CV228">
            <v>9.2992830888104065E-4</v>
          </cell>
          <cell r="DG228">
            <v>40455042</v>
          </cell>
          <cell r="DR228">
            <v>13842596.460000001</v>
          </cell>
          <cell r="EC228">
            <v>2.9225038898518898</v>
          </cell>
          <cell r="EN228">
            <v>2.4095909012463064E-2</v>
          </cell>
        </row>
        <row r="229">
          <cell r="B229">
            <v>36800</v>
          </cell>
          <cell r="C229" t="str">
            <v>Orange County Schools</v>
          </cell>
          <cell r="D229">
            <v>3.0289783852879425E-3</v>
          </cell>
          <cell r="E229">
            <v>5240838.8704092596</v>
          </cell>
          <cell r="F229">
            <v>4086402.2571179392</v>
          </cell>
          <cell r="G229">
            <v>611596</v>
          </cell>
          <cell r="H229">
            <v>-1462380.2691348928</v>
          </cell>
          <cell r="I229">
            <v>-60516.054752962642</v>
          </cell>
          <cell r="J229">
            <v>4422534.8063163804</v>
          </cell>
          <cell r="K229">
            <v>0</v>
          </cell>
          <cell r="L229">
            <v>-232367.32051417901</v>
          </cell>
          <cell r="M229">
            <v>41699.980752690535</v>
          </cell>
          <cell r="N229">
            <v>1571.9792023967364</v>
          </cell>
          <cell r="O229">
            <v>-709.41702761828901</v>
          </cell>
          <cell r="P229">
            <v>0</v>
          </cell>
          <cell r="Q229">
            <v>0</v>
          </cell>
          <cell r="R229">
            <v>0</v>
          </cell>
          <cell r="S229">
            <v>12648670.832369013</v>
          </cell>
          <cell r="T229">
            <v>3080509</v>
          </cell>
          <cell r="U229">
            <v>22112674.031581901</v>
          </cell>
          <cell r="V229">
            <v>166799.92301076214</v>
          </cell>
          <cell r="W229">
            <v>0</v>
          </cell>
          <cell r="X229">
            <v>25359982.954592664</v>
          </cell>
          <cell r="Y229">
            <v>22529.39000000013</v>
          </cell>
          <cell r="Z229">
            <v>0</v>
          </cell>
          <cell r="AA229">
            <v>0</v>
          </cell>
          <cell r="AB229">
            <v>302580.2737648132</v>
          </cell>
          <cell r="AC229">
            <v>325109.66376481333</v>
          </cell>
          <cell r="AD229" t="str">
            <v>N/A</v>
          </cell>
          <cell r="AE229">
            <v>5015315</v>
          </cell>
          <cell r="AF229">
            <v>5015315</v>
          </cell>
          <cell r="AG229">
            <v>5015315</v>
          </cell>
          <cell r="AH229">
            <v>5015315</v>
          </cell>
          <cell r="AI229">
            <v>4973615</v>
          </cell>
          <cell r="AJ229">
            <v>0</v>
          </cell>
          <cell r="AK229">
            <v>25034875</v>
          </cell>
          <cell r="AL229">
            <v>96727632</v>
          </cell>
          <cell r="AM229">
            <v>12648670.832369013</v>
          </cell>
          <cell r="AN229">
            <v>-2640320.61</v>
          </cell>
          <cell r="AO229">
            <v>21976893.680827852</v>
          </cell>
          <cell r="AP229">
            <v>0</v>
          </cell>
          <cell r="AQ229">
            <v>3057979.61</v>
          </cell>
          <cell r="AR229">
            <v>0</v>
          </cell>
          <cell r="AS229">
            <v>0</v>
          </cell>
          <cell r="AT229">
            <v>131770855.51319687</v>
          </cell>
          <cell r="AU229">
            <v>2.917481854009773E-3</v>
          </cell>
          <cell r="AV229">
            <v>0</v>
          </cell>
          <cell r="AW229">
            <v>0</v>
          </cell>
          <cell r="AY229">
            <v>0</v>
          </cell>
          <cell r="AZ229">
            <v>0</v>
          </cell>
          <cell r="BA229">
            <v>0</v>
          </cell>
          <cell r="BB229">
            <v>0</v>
          </cell>
          <cell r="BC229">
            <v>0</v>
          </cell>
          <cell r="BD229">
            <v>0</v>
          </cell>
          <cell r="BE229">
            <v>0</v>
          </cell>
          <cell r="BF229">
            <v>0</v>
          </cell>
          <cell r="BG229">
            <v>0</v>
          </cell>
          <cell r="BH229">
            <v>0</v>
          </cell>
          <cell r="BJ229">
            <v>0</v>
          </cell>
          <cell r="BL229">
            <v>0</v>
          </cell>
          <cell r="BM229">
            <v>0</v>
          </cell>
          <cell r="BN229">
            <v>0</v>
          </cell>
          <cell r="BO229">
            <v>0</v>
          </cell>
          <cell r="BQ229">
            <v>0</v>
          </cell>
          <cell r="BR229">
            <v>0</v>
          </cell>
          <cell r="BS229">
            <v>0</v>
          </cell>
          <cell r="BT229">
            <v>0</v>
          </cell>
          <cell r="CB229">
            <v>0</v>
          </cell>
          <cell r="CC229">
            <v>0</v>
          </cell>
          <cell r="CD229">
            <v>0</v>
          </cell>
          <cell r="CE229">
            <v>0</v>
          </cell>
          <cell r="CF229">
            <v>0</v>
          </cell>
          <cell r="CI229">
            <v>0</v>
          </cell>
          <cell r="CJ229">
            <v>0</v>
          </cell>
          <cell r="CK229">
            <v>0</v>
          </cell>
          <cell r="CV229">
            <v>3.0289783852879425E-3</v>
          </cell>
          <cell r="DG229">
            <v>131770855</v>
          </cell>
          <cell r="DR229">
            <v>45896753.31000001</v>
          </cell>
          <cell r="EC229">
            <v>2.8710278069122093</v>
          </cell>
          <cell r="EN229">
            <v>2.4095909012463064E-2</v>
          </cell>
        </row>
        <row r="230">
          <cell r="B230">
            <v>36802</v>
          </cell>
          <cell r="C230" t="str">
            <v>Orange Charter School</v>
          </cell>
          <cell r="D230">
            <v>8.1244009819497317E-5</v>
          </cell>
          <cell r="E230">
            <v>140571.08057225597</v>
          </cell>
          <cell r="F230">
            <v>109606.49528443086</v>
          </cell>
          <cell r="G230">
            <v>-31201</v>
          </cell>
          <cell r="H230">
            <v>-39224.326433791968</v>
          </cell>
          <cell r="I230">
            <v>-1623.1766362108103</v>
          </cell>
          <cell r="J230">
            <v>118622.32592236878</v>
          </cell>
          <cell r="K230">
            <v>0</v>
          </cell>
          <cell r="L230">
            <v>-6232.6139272828141</v>
          </cell>
          <cell r="M230">
            <v>1118.4872306120399</v>
          </cell>
          <cell r="N230">
            <v>42.164016216122718</v>
          </cell>
          <cell r="O230">
            <v>-19.028159539824468</v>
          </cell>
          <cell r="P230">
            <v>0</v>
          </cell>
          <cell r="Q230">
            <v>0</v>
          </cell>
          <cell r="R230">
            <v>0</v>
          </cell>
          <cell r="S230">
            <v>291660.40786905837</v>
          </cell>
          <cell r="T230">
            <v>0</v>
          </cell>
          <cell r="U230">
            <v>593111.62961184396</v>
          </cell>
          <cell r="V230">
            <v>4473.9489224481595</v>
          </cell>
          <cell r="W230">
            <v>0</v>
          </cell>
          <cell r="X230">
            <v>597585.57853429217</v>
          </cell>
          <cell r="Y230">
            <v>156007.63</v>
          </cell>
          <cell r="Z230">
            <v>0</v>
          </cell>
          <cell r="AA230">
            <v>0</v>
          </cell>
          <cell r="AB230">
            <v>8115.8831810540505</v>
          </cell>
          <cell r="AC230">
            <v>164123.51318105406</v>
          </cell>
          <cell r="AD230" t="str">
            <v>N/A</v>
          </cell>
          <cell r="AE230">
            <v>86916</v>
          </cell>
          <cell r="AF230">
            <v>86917</v>
          </cell>
          <cell r="AG230">
            <v>86917</v>
          </cell>
          <cell r="AH230">
            <v>86917</v>
          </cell>
          <cell r="AI230">
            <v>85798</v>
          </cell>
          <cell r="AJ230">
            <v>0</v>
          </cell>
          <cell r="AK230">
            <v>433465</v>
          </cell>
          <cell r="AL230">
            <v>2864028</v>
          </cell>
          <cell r="AM230">
            <v>291660.40786905837</v>
          </cell>
          <cell r="AN230">
            <v>-54759.369999999995</v>
          </cell>
          <cell r="AO230">
            <v>589469.69535323803</v>
          </cell>
          <cell r="AP230">
            <v>0</v>
          </cell>
          <cell r="AQ230">
            <v>-156007.63</v>
          </cell>
          <cell r="AR230">
            <v>0</v>
          </cell>
          <cell r="AS230">
            <v>0</v>
          </cell>
          <cell r="AT230">
            <v>3534391.1032222961</v>
          </cell>
          <cell r="AU230">
            <v>8.6384295463492395E-5</v>
          </cell>
          <cell r="AV230">
            <v>0</v>
          </cell>
          <cell r="AW230">
            <v>0</v>
          </cell>
          <cell r="AY230">
            <v>0</v>
          </cell>
          <cell r="AZ230">
            <v>0</v>
          </cell>
          <cell r="BA230">
            <v>0</v>
          </cell>
          <cell r="BB230">
            <v>0</v>
          </cell>
          <cell r="BC230">
            <v>0</v>
          </cell>
          <cell r="BD230">
            <v>0</v>
          </cell>
          <cell r="BE230">
            <v>0</v>
          </cell>
          <cell r="BF230">
            <v>0</v>
          </cell>
          <cell r="BG230">
            <v>0</v>
          </cell>
          <cell r="BH230">
            <v>0</v>
          </cell>
          <cell r="BJ230">
            <v>0</v>
          </cell>
          <cell r="BL230">
            <v>0</v>
          </cell>
          <cell r="BM230">
            <v>0</v>
          </cell>
          <cell r="BN230">
            <v>0</v>
          </cell>
          <cell r="BO230">
            <v>0</v>
          </cell>
          <cell r="BQ230">
            <v>0</v>
          </cell>
          <cell r="BR230">
            <v>0</v>
          </cell>
          <cell r="BS230">
            <v>0</v>
          </cell>
          <cell r="BT230">
            <v>0</v>
          </cell>
          <cell r="CB230">
            <v>0</v>
          </cell>
          <cell r="CC230">
            <v>0</v>
          </cell>
          <cell r="CD230">
            <v>0</v>
          </cell>
          <cell r="CE230">
            <v>0</v>
          </cell>
          <cell r="CF230">
            <v>0</v>
          </cell>
          <cell r="CI230">
            <v>0</v>
          </cell>
          <cell r="CJ230">
            <v>0</v>
          </cell>
          <cell r="CK230">
            <v>0</v>
          </cell>
          <cell r="CV230">
            <v>8.1244009819497317E-5</v>
          </cell>
          <cell r="DG230">
            <v>3534391</v>
          </cell>
          <cell r="DR230">
            <v>1024131.2600000001</v>
          </cell>
          <cell r="EC230">
            <v>3.4511113350841369</v>
          </cell>
          <cell r="EN230">
            <v>2.4095909012463064E-2</v>
          </cell>
        </row>
        <row r="231">
          <cell r="B231">
            <v>36810</v>
          </cell>
          <cell r="C231" t="str">
            <v>Chapel Hill - Carboro City Schools</v>
          </cell>
          <cell r="D231">
            <v>5.9267746782739779E-3</v>
          </cell>
          <cell r="E231">
            <v>10254702.133538941</v>
          </cell>
          <cell r="F231">
            <v>7995826.4279346755</v>
          </cell>
          <cell r="G231">
            <v>1004407</v>
          </cell>
          <cell r="H231">
            <v>-2861426.2786468319</v>
          </cell>
          <cell r="I231">
            <v>-118411.21834377335</v>
          </cell>
          <cell r="J231">
            <v>8653533.9542772975</v>
          </cell>
          <cell r="K231">
            <v>0</v>
          </cell>
          <cell r="L231">
            <v>-454671.03957260179</v>
          </cell>
          <cell r="M231">
            <v>81593.976110880743</v>
          </cell>
          <cell r="N231">
            <v>3075.877522530629</v>
          </cell>
          <cell r="O231">
            <v>-1388.1098973985484</v>
          </cell>
          <cell r="P231">
            <v>0</v>
          </cell>
          <cell r="Q231">
            <v>0</v>
          </cell>
          <cell r="R231">
            <v>0</v>
          </cell>
          <cell r="S231">
            <v>24557242.722923722</v>
          </cell>
          <cell r="T231">
            <v>5338032</v>
          </cell>
          <cell r="U231">
            <v>43267669.771386489</v>
          </cell>
          <cell r="V231">
            <v>326375.90444352297</v>
          </cell>
          <cell r="W231">
            <v>0</v>
          </cell>
          <cell r="X231">
            <v>48932077.675830014</v>
          </cell>
          <cell r="Y231">
            <v>315995.75999999978</v>
          </cell>
          <cell r="Z231">
            <v>0</v>
          </cell>
          <cell r="AA231">
            <v>0</v>
          </cell>
          <cell r="AB231">
            <v>592056.09171886672</v>
          </cell>
          <cell r="AC231">
            <v>908051.8517188665</v>
          </cell>
          <cell r="AD231" t="str">
            <v>N/A</v>
          </cell>
          <cell r="AE231">
            <v>9621124</v>
          </cell>
          <cell r="AF231">
            <v>9621125</v>
          </cell>
          <cell r="AG231">
            <v>9621125</v>
          </cell>
          <cell r="AH231">
            <v>9621125</v>
          </cell>
          <cell r="AI231">
            <v>9539531</v>
          </cell>
          <cell r="AJ231">
            <v>0</v>
          </cell>
          <cell r="AK231">
            <v>48024030</v>
          </cell>
          <cell r="AL231">
            <v>190093572</v>
          </cell>
          <cell r="AM231">
            <v>24557242.722923722</v>
          </cell>
          <cell r="AN231">
            <v>-4839997.24</v>
          </cell>
          <cell r="AO231">
            <v>43001989.584111147</v>
          </cell>
          <cell r="AP231">
            <v>0</v>
          </cell>
          <cell r="AQ231">
            <v>5022036.24</v>
          </cell>
          <cell r="AR231">
            <v>0</v>
          </cell>
          <cell r="AS231">
            <v>0</v>
          </cell>
          <cell r="AT231">
            <v>257834843.30703488</v>
          </cell>
          <cell r="AU231">
            <v>5.7335689430849501E-3</v>
          </cell>
          <cell r="AV231">
            <v>0</v>
          </cell>
          <cell r="AW231">
            <v>0</v>
          </cell>
          <cell r="AY231">
            <v>0</v>
          </cell>
          <cell r="AZ231">
            <v>0</v>
          </cell>
          <cell r="BA231">
            <v>0</v>
          </cell>
          <cell r="BB231">
            <v>0</v>
          </cell>
          <cell r="BC231">
            <v>0</v>
          </cell>
          <cell r="BD231">
            <v>0</v>
          </cell>
          <cell r="BE231">
            <v>0</v>
          </cell>
          <cell r="BF231">
            <v>0</v>
          </cell>
          <cell r="BG231">
            <v>0</v>
          </cell>
          <cell r="BH231">
            <v>0</v>
          </cell>
          <cell r="BJ231">
            <v>0</v>
          </cell>
          <cell r="BL231">
            <v>0</v>
          </cell>
          <cell r="BM231">
            <v>0</v>
          </cell>
          <cell r="BN231">
            <v>0</v>
          </cell>
          <cell r="BO231">
            <v>0</v>
          </cell>
          <cell r="BQ231">
            <v>0</v>
          </cell>
          <cell r="BR231">
            <v>0</v>
          </cell>
          <cell r="BS231">
            <v>0</v>
          </cell>
          <cell r="BT231">
            <v>0</v>
          </cell>
          <cell r="CB231">
            <v>0</v>
          </cell>
          <cell r="CC231">
            <v>0</v>
          </cell>
          <cell r="CD231">
            <v>0</v>
          </cell>
          <cell r="CE231">
            <v>0</v>
          </cell>
          <cell r="CF231">
            <v>0</v>
          </cell>
          <cell r="CI231">
            <v>0</v>
          </cell>
          <cell r="CJ231">
            <v>0</v>
          </cell>
          <cell r="CK231">
            <v>0</v>
          </cell>
          <cell r="CV231">
            <v>5.9267746782739779E-3</v>
          </cell>
          <cell r="DG231">
            <v>257834844</v>
          </cell>
          <cell r="DR231">
            <v>85427898.969999939</v>
          </cell>
          <cell r="EC231">
            <v>3.018157383111399</v>
          </cell>
          <cell r="EN231">
            <v>2.4095909012463064E-2</v>
          </cell>
        </row>
        <row r="232">
          <cell r="B232">
            <v>36900</v>
          </cell>
          <cell r="C232" t="str">
            <v>Pamlico County Schools</v>
          </cell>
          <cell r="D232">
            <v>5.6583106420348881E-4</v>
          </cell>
          <cell r="E232">
            <v>979019.67533544486</v>
          </cell>
          <cell r="F232">
            <v>763364.09303520899</v>
          </cell>
          <cell r="G232">
            <v>121593</v>
          </cell>
          <cell r="H232">
            <v>-273181.27721671417</v>
          </cell>
          <cell r="I232">
            <v>-11304.756689113952</v>
          </cell>
          <cell r="J232">
            <v>826155.6398320361</v>
          </cell>
          <cell r="K232">
            <v>0</v>
          </cell>
          <cell r="L232">
            <v>-43407.58880659764</v>
          </cell>
          <cell r="M232">
            <v>7789.8028593283843</v>
          </cell>
          <cell r="N232">
            <v>293.65500570032663</v>
          </cell>
          <cell r="O232">
            <v>-132.52329354709912</v>
          </cell>
          <cell r="P232">
            <v>0</v>
          </cell>
          <cell r="Q232">
            <v>0</v>
          </cell>
          <cell r="R232">
            <v>0</v>
          </cell>
          <cell r="S232">
            <v>2370189.720061746</v>
          </cell>
          <cell r="T232">
            <v>607962.10000000009</v>
          </cell>
          <cell r="U232">
            <v>4130778.1991601801</v>
          </cell>
          <cell r="V232">
            <v>31159.211437313537</v>
          </cell>
          <cell r="W232">
            <v>0</v>
          </cell>
          <cell r="X232">
            <v>4769899.5105974944</v>
          </cell>
          <cell r="Y232">
            <v>0</v>
          </cell>
          <cell r="Z232">
            <v>0</v>
          </cell>
          <cell r="AA232">
            <v>0</v>
          </cell>
          <cell r="AB232">
            <v>56523.783445569759</v>
          </cell>
          <cell r="AC232">
            <v>56523.783445569759</v>
          </cell>
          <cell r="AD232" t="str">
            <v>N/A</v>
          </cell>
          <cell r="AE232">
            <v>944234</v>
          </cell>
          <cell r="AF232">
            <v>944234</v>
          </cell>
          <cell r="AG232">
            <v>944234</v>
          </cell>
          <cell r="AH232">
            <v>944234</v>
          </cell>
          <cell r="AI232">
            <v>936444</v>
          </cell>
          <cell r="AJ232">
            <v>0</v>
          </cell>
          <cell r="AK232">
            <v>4713380</v>
          </cell>
          <cell r="AL232">
            <v>18039016</v>
          </cell>
          <cell r="AM232">
            <v>2370189.720061746</v>
          </cell>
          <cell r="AN232">
            <v>-507007.10000000003</v>
          </cell>
          <cell r="AO232">
            <v>4105413.6271519242</v>
          </cell>
          <cell r="AP232">
            <v>0</v>
          </cell>
          <cell r="AQ232">
            <v>607962.10000000009</v>
          </cell>
          <cell r="AR232">
            <v>0</v>
          </cell>
          <cell r="AS232">
            <v>0</v>
          </cell>
          <cell r="AT232">
            <v>24615574.347213671</v>
          </cell>
          <cell r="AU232">
            <v>5.4408963391395701E-4</v>
          </cell>
          <cell r="AV232">
            <v>0</v>
          </cell>
          <cell r="AW232">
            <v>0</v>
          </cell>
          <cell r="AY232">
            <v>0</v>
          </cell>
          <cell r="AZ232">
            <v>0</v>
          </cell>
          <cell r="BA232">
            <v>0</v>
          </cell>
          <cell r="BB232">
            <v>0</v>
          </cell>
          <cell r="BC232">
            <v>0</v>
          </cell>
          <cell r="BD232">
            <v>0</v>
          </cell>
          <cell r="BE232">
            <v>0</v>
          </cell>
          <cell r="BF232">
            <v>0</v>
          </cell>
          <cell r="BG232">
            <v>0</v>
          </cell>
          <cell r="BH232">
            <v>0</v>
          </cell>
          <cell r="BJ232">
            <v>0</v>
          </cell>
          <cell r="BL232">
            <v>0</v>
          </cell>
          <cell r="BM232">
            <v>0</v>
          </cell>
          <cell r="BN232">
            <v>0</v>
          </cell>
          <cell r="BO232">
            <v>0</v>
          </cell>
          <cell r="BQ232">
            <v>0</v>
          </cell>
          <cell r="BR232">
            <v>0</v>
          </cell>
          <cell r="BS232">
            <v>0</v>
          </cell>
          <cell r="BT232">
            <v>0</v>
          </cell>
          <cell r="CB232">
            <v>0</v>
          </cell>
          <cell r="CC232">
            <v>0</v>
          </cell>
          <cell r="CD232">
            <v>0</v>
          </cell>
          <cell r="CE232">
            <v>0</v>
          </cell>
          <cell r="CF232">
            <v>0</v>
          </cell>
          <cell r="CI232">
            <v>0</v>
          </cell>
          <cell r="CJ232">
            <v>0</v>
          </cell>
          <cell r="CK232">
            <v>0</v>
          </cell>
          <cell r="CV232">
            <v>5.6583106420348881E-4</v>
          </cell>
          <cell r="DG232">
            <v>24615575</v>
          </cell>
          <cell r="DR232">
            <v>8727933.4099999983</v>
          </cell>
          <cell r="EC232">
            <v>2.8203211279999905</v>
          </cell>
          <cell r="EN232">
            <v>2.4095909012463064E-2</v>
          </cell>
        </row>
        <row r="233">
          <cell r="B233">
            <v>36901</v>
          </cell>
          <cell r="C233" t="str">
            <v>Arapahoe Charter School</v>
          </cell>
          <cell r="D233">
            <v>1.8517054549559798E-4</v>
          </cell>
          <cell r="E233">
            <v>320388.21973830718</v>
          </cell>
          <cell r="F233">
            <v>249814.04249705121</v>
          </cell>
          <cell r="G233">
            <v>37389</v>
          </cell>
          <cell r="H233">
            <v>-89399.697757158312</v>
          </cell>
          <cell r="I233">
            <v>-3699.5281723617568</v>
          </cell>
          <cell r="J233">
            <v>270362.83472225041</v>
          </cell>
          <cell r="K233">
            <v>0</v>
          </cell>
          <cell r="L233">
            <v>-14205.312161998367</v>
          </cell>
          <cell r="M233">
            <v>2549.2450592042132</v>
          </cell>
          <cell r="N233">
            <v>96.099809701305446</v>
          </cell>
          <cell r="O233">
            <v>-43.368793460524003</v>
          </cell>
          <cell r="P233">
            <v>0</v>
          </cell>
          <cell r="Q233">
            <v>0</v>
          </cell>
          <cell r="R233">
            <v>0</v>
          </cell>
          <cell r="S233">
            <v>773251.53494153533</v>
          </cell>
          <cell r="T233">
            <v>186944.29</v>
          </cell>
          <cell r="U233">
            <v>1351814.1736112519</v>
          </cell>
          <cell r="V233">
            <v>10196.980236816853</v>
          </cell>
          <cell r="W233">
            <v>0</v>
          </cell>
          <cell r="X233">
            <v>1548955.4438480688</v>
          </cell>
          <cell r="Y233">
            <v>0</v>
          </cell>
          <cell r="Z233">
            <v>0</v>
          </cell>
          <cell r="AA233">
            <v>0</v>
          </cell>
          <cell r="AB233">
            <v>18497.640861808784</v>
          </cell>
          <cell r="AC233">
            <v>18497.640861808784</v>
          </cell>
          <cell r="AD233" t="str">
            <v>N/A</v>
          </cell>
          <cell r="AE233">
            <v>306602</v>
          </cell>
          <cell r="AF233">
            <v>306602</v>
          </cell>
          <cell r="AG233">
            <v>306602</v>
          </cell>
          <cell r="AH233">
            <v>306602</v>
          </cell>
          <cell r="AI233">
            <v>304052</v>
          </cell>
          <cell r="AJ233">
            <v>0</v>
          </cell>
          <cell r="AK233">
            <v>1530460</v>
          </cell>
          <cell r="AL233">
            <v>5918622</v>
          </cell>
          <cell r="AM233">
            <v>773251.53494153533</v>
          </cell>
          <cell r="AN233">
            <v>-166782.29</v>
          </cell>
          <cell r="AO233">
            <v>1343513.51298626</v>
          </cell>
          <cell r="AP233">
            <v>0</v>
          </cell>
          <cell r="AQ233">
            <v>186944.29</v>
          </cell>
          <cell r="AR233">
            <v>0</v>
          </cell>
          <cell r="AS233">
            <v>0</v>
          </cell>
          <cell r="AT233">
            <v>8055549.0479277959</v>
          </cell>
          <cell r="AU233">
            <v>1.7851645264140253E-4</v>
          </cell>
          <cell r="AV233">
            <v>0</v>
          </cell>
          <cell r="AW233">
            <v>0</v>
          </cell>
          <cell r="AY233">
            <v>0</v>
          </cell>
          <cell r="AZ233">
            <v>0</v>
          </cell>
          <cell r="BA233">
            <v>0</v>
          </cell>
          <cell r="BB233">
            <v>0</v>
          </cell>
          <cell r="BC233">
            <v>0</v>
          </cell>
          <cell r="BD233">
            <v>0</v>
          </cell>
          <cell r="BE233">
            <v>0</v>
          </cell>
          <cell r="BF233">
            <v>0</v>
          </cell>
          <cell r="BG233">
            <v>0</v>
          </cell>
          <cell r="BH233">
            <v>0</v>
          </cell>
          <cell r="BJ233">
            <v>0</v>
          </cell>
          <cell r="BL233">
            <v>0</v>
          </cell>
          <cell r="BM233">
            <v>0</v>
          </cell>
          <cell r="BN233">
            <v>0</v>
          </cell>
          <cell r="BO233">
            <v>0</v>
          </cell>
          <cell r="BQ233">
            <v>0</v>
          </cell>
          <cell r="BR233">
            <v>0</v>
          </cell>
          <cell r="BS233">
            <v>0</v>
          </cell>
          <cell r="BT233">
            <v>0</v>
          </cell>
          <cell r="CB233">
            <v>0</v>
          </cell>
          <cell r="CC233">
            <v>0</v>
          </cell>
          <cell r="CD233">
            <v>0</v>
          </cell>
          <cell r="CE233">
            <v>0</v>
          </cell>
          <cell r="CF233">
            <v>0</v>
          </cell>
          <cell r="CI233">
            <v>0</v>
          </cell>
          <cell r="CJ233">
            <v>0</v>
          </cell>
          <cell r="CK233">
            <v>0</v>
          </cell>
          <cell r="CV233">
            <v>1.8517054549559798E-4</v>
          </cell>
          <cell r="DG233">
            <v>8055548</v>
          </cell>
          <cell r="DR233">
            <v>2816867.1299999994</v>
          </cell>
          <cell r="EC233">
            <v>2.8597543399215999</v>
          </cell>
          <cell r="EN233">
            <v>2.4095909012463064E-2</v>
          </cell>
        </row>
        <row r="234">
          <cell r="B234">
            <v>36905</v>
          </cell>
          <cell r="C234" t="str">
            <v>Pamlico Community College</v>
          </cell>
          <cell r="D234">
            <v>1.694935486756108E-4</v>
          </cell>
          <cell r="E234">
            <v>293263.35985005781</v>
          </cell>
          <cell r="F234">
            <v>228664.16717896226</v>
          </cell>
          <cell r="G234">
            <v>-142563</v>
          </cell>
          <cell r="H234">
            <v>-81830.898012600112</v>
          </cell>
          <cell r="I234">
            <v>-3386.3169581357502</v>
          </cell>
          <cell r="J234">
            <v>247473.24778044273</v>
          </cell>
          <cell r="K234">
            <v>0</v>
          </cell>
          <cell r="L234">
            <v>-13002.655265381578</v>
          </cell>
          <cell r="M234">
            <v>2333.4196611661514</v>
          </cell>
          <cell r="N234">
            <v>87.963761891668497</v>
          </cell>
          <cell r="O234">
            <v>-39.697084035314809</v>
          </cell>
          <cell r="P234">
            <v>0</v>
          </cell>
          <cell r="Q234">
            <v>0</v>
          </cell>
          <cell r="R234">
            <v>0</v>
          </cell>
          <cell r="S234">
            <v>530999.59091236803</v>
          </cell>
          <cell r="T234">
            <v>28381.440000000002</v>
          </cell>
          <cell r="U234">
            <v>1237366.2389022138</v>
          </cell>
          <cell r="V234">
            <v>9333.6786446646056</v>
          </cell>
          <cell r="W234">
            <v>0</v>
          </cell>
          <cell r="X234">
            <v>1275081.3575468783</v>
          </cell>
          <cell r="Y234">
            <v>741196</v>
          </cell>
          <cell r="Z234">
            <v>0</v>
          </cell>
          <cell r="AA234">
            <v>0</v>
          </cell>
          <cell r="AB234">
            <v>16931.584790678749</v>
          </cell>
          <cell r="AC234">
            <v>758127.58479067869</v>
          </cell>
          <cell r="AD234" t="str">
            <v>N/A</v>
          </cell>
          <cell r="AE234">
            <v>103857</v>
          </cell>
          <cell r="AF234">
            <v>103857</v>
          </cell>
          <cell r="AG234">
            <v>103857</v>
          </cell>
          <cell r="AH234">
            <v>103857</v>
          </cell>
          <cell r="AI234">
            <v>101524</v>
          </cell>
          <cell r="AJ234">
            <v>0</v>
          </cell>
          <cell r="AK234">
            <v>516952</v>
          </cell>
          <cell r="AL234">
            <v>6508908</v>
          </cell>
          <cell r="AM234">
            <v>530999.59091236803</v>
          </cell>
          <cell r="AN234">
            <v>-183315.44</v>
          </cell>
          <cell r="AO234">
            <v>1229768.3327561996</v>
          </cell>
          <cell r="AP234">
            <v>0</v>
          </cell>
          <cell r="AQ234">
            <v>-712814.56</v>
          </cell>
          <cell r="AR234">
            <v>0</v>
          </cell>
          <cell r="AS234">
            <v>0</v>
          </cell>
          <cell r="AT234">
            <v>7373545.9236685671</v>
          </cell>
          <cell r="AU234">
            <v>1.9632055372632428E-4</v>
          </cell>
          <cell r="AV234">
            <v>0</v>
          </cell>
          <cell r="AW234">
            <v>0</v>
          </cell>
          <cell r="AY234">
            <v>0</v>
          </cell>
          <cell r="AZ234">
            <v>0</v>
          </cell>
          <cell r="BA234">
            <v>0</v>
          </cell>
          <cell r="BB234">
            <v>0</v>
          </cell>
          <cell r="BC234">
            <v>0</v>
          </cell>
          <cell r="BD234">
            <v>0</v>
          </cell>
          <cell r="BE234">
            <v>0</v>
          </cell>
          <cell r="BF234">
            <v>0</v>
          </cell>
          <cell r="BG234">
            <v>0</v>
          </cell>
          <cell r="BH234">
            <v>0</v>
          </cell>
          <cell r="BJ234">
            <v>0</v>
          </cell>
          <cell r="BL234">
            <v>0</v>
          </cell>
          <cell r="BM234">
            <v>0</v>
          </cell>
          <cell r="BN234">
            <v>0</v>
          </cell>
          <cell r="BO234">
            <v>0</v>
          </cell>
          <cell r="BQ234">
            <v>0</v>
          </cell>
          <cell r="BR234">
            <v>0</v>
          </cell>
          <cell r="BS234">
            <v>0</v>
          </cell>
          <cell r="BT234">
            <v>0</v>
          </cell>
          <cell r="CB234">
            <v>0</v>
          </cell>
          <cell r="CC234">
            <v>0</v>
          </cell>
          <cell r="CD234">
            <v>0</v>
          </cell>
          <cell r="CE234">
            <v>0</v>
          </cell>
          <cell r="CF234">
            <v>0</v>
          </cell>
          <cell r="CI234">
            <v>0</v>
          </cell>
          <cell r="CJ234">
            <v>0</v>
          </cell>
          <cell r="CK234">
            <v>0</v>
          </cell>
          <cell r="CV234">
            <v>1.694935486756108E-4</v>
          </cell>
          <cell r="DG234">
            <v>7373545</v>
          </cell>
          <cell r="DR234">
            <v>3036657.6600000006</v>
          </cell>
          <cell r="EC234">
            <v>2.4281778934540807</v>
          </cell>
          <cell r="EN234">
            <v>2.4095909012463064E-2</v>
          </cell>
        </row>
        <row r="235">
          <cell r="B235">
            <v>37000</v>
          </cell>
          <cell r="C235" t="str">
            <v>Elizabeth City And Pasquotank County Schools</v>
          </cell>
          <cell r="D235">
            <v>1.9540507202358863E-3</v>
          </cell>
          <cell r="E235">
            <v>3380963.37006047</v>
          </cell>
          <cell r="F235">
            <v>2636214.6763671217</v>
          </cell>
          <cell r="G235">
            <v>535482</v>
          </cell>
          <cell r="H235">
            <v>-943408.91702670197</v>
          </cell>
          <cell r="I235">
            <v>-39040.041008618718</v>
          </cell>
          <cell r="J235">
            <v>2853060.0830713031</v>
          </cell>
          <cell r="K235">
            <v>0</v>
          </cell>
          <cell r="L235">
            <v>-149904.51309108653</v>
          </cell>
          <cell r="M235">
            <v>26901.439052649916</v>
          </cell>
          <cell r="N235">
            <v>1014.1132427880202</v>
          </cell>
          <cell r="O235">
            <v>-457.6582191864469</v>
          </cell>
          <cell r="P235">
            <v>0</v>
          </cell>
          <cell r="Q235">
            <v>0</v>
          </cell>
          <cell r="R235">
            <v>0</v>
          </cell>
          <cell r="S235">
            <v>8300824.5524487384</v>
          </cell>
          <cell r="T235">
            <v>2677408.52</v>
          </cell>
          <cell r="U235">
            <v>14265300.415356515</v>
          </cell>
          <cell r="V235">
            <v>107605.75621059966</v>
          </cell>
          <cell r="W235">
            <v>0</v>
          </cell>
          <cell r="X235">
            <v>17050314.691567115</v>
          </cell>
          <cell r="Y235">
            <v>0</v>
          </cell>
          <cell r="Z235">
            <v>0</v>
          </cell>
          <cell r="AA235">
            <v>0</v>
          </cell>
          <cell r="AB235">
            <v>195200.20504309356</v>
          </cell>
          <cell r="AC235">
            <v>195200.20504309356</v>
          </cell>
          <cell r="AD235" t="str">
            <v>N/A</v>
          </cell>
          <cell r="AE235">
            <v>3376403</v>
          </cell>
          <cell r="AF235">
            <v>3376403</v>
          </cell>
          <cell r="AG235">
            <v>3376403</v>
          </cell>
          <cell r="AH235">
            <v>3376403</v>
          </cell>
          <cell r="AI235">
            <v>3349502</v>
          </cell>
          <cell r="AJ235">
            <v>0</v>
          </cell>
          <cell r="AK235">
            <v>16855114</v>
          </cell>
          <cell r="AL235">
            <v>61585438</v>
          </cell>
          <cell r="AM235">
            <v>8300824.5524487384</v>
          </cell>
          <cell r="AN235">
            <v>-1733528.52</v>
          </cell>
          <cell r="AO235">
            <v>14177705.966524022</v>
          </cell>
          <cell r="AP235">
            <v>0</v>
          </cell>
          <cell r="AQ235">
            <v>2677408.52</v>
          </cell>
          <cell r="AR235">
            <v>0</v>
          </cell>
          <cell r="AS235">
            <v>0</v>
          </cell>
          <cell r="AT235">
            <v>85007848.518972754</v>
          </cell>
          <cell r="AU235">
            <v>1.8575291550537419E-3</v>
          </cell>
          <cell r="AV235">
            <v>0</v>
          </cell>
          <cell r="AW235">
            <v>0</v>
          </cell>
          <cell r="AY235">
            <v>0</v>
          </cell>
          <cell r="AZ235">
            <v>0</v>
          </cell>
          <cell r="BA235">
            <v>0</v>
          </cell>
          <cell r="BB235">
            <v>0</v>
          </cell>
          <cell r="BC235">
            <v>0</v>
          </cell>
          <cell r="BD235">
            <v>0</v>
          </cell>
          <cell r="BE235">
            <v>0</v>
          </cell>
          <cell r="BF235">
            <v>0</v>
          </cell>
          <cell r="BG235">
            <v>0</v>
          </cell>
          <cell r="BH235">
            <v>0</v>
          </cell>
          <cell r="BJ235">
            <v>0</v>
          </cell>
          <cell r="BL235">
            <v>0</v>
          </cell>
          <cell r="BM235">
            <v>0</v>
          </cell>
          <cell r="BN235">
            <v>0</v>
          </cell>
          <cell r="BO235">
            <v>0</v>
          </cell>
          <cell r="BQ235">
            <v>0</v>
          </cell>
          <cell r="BR235">
            <v>0</v>
          </cell>
          <cell r="BS235">
            <v>0</v>
          </cell>
          <cell r="BT235">
            <v>0</v>
          </cell>
          <cell r="CB235">
            <v>0</v>
          </cell>
          <cell r="CC235">
            <v>0</v>
          </cell>
          <cell r="CD235">
            <v>0</v>
          </cell>
          <cell r="CE235">
            <v>0</v>
          </cell>
          <cell r="CF235">
            <v>0</v>
          </cell>
          <cell r="CI235">
            <v>0</v>
          </cell>
          <cell r="CJ235">
            <v>0</v>
          </cell>
          <cell r="CK235">
            <v>0</v>
          </cell>
          <cell r="CV235">
            <v>1.9540507202358863E-3</v>
          </cell>
          <cell r="DG235">
            <v>85007848</v>
          </cell>
          <cell r="DR235">
            <v>29918337.110000029</v>
          </cell>
          <cell r="EC235">
            <v>2.8413293054173998</v>
          </cell>
          <cell r="EN235">
            <v>2.4095909012463064E-2</v>
          </cell>
        </row>
        <row r="236">
          <cell r="B236">
            <v>37001</v>
          </cell>
          <cell r="C236" t="str">
            <v>N.E. ACADEMY OF AEROSPACE &amp; ADV.TECH</v>
          </cell>
          <cell r="D236">
            <v>3.1564032534837588E-5</v>
          </cell>
          <cell r="E236">
            <v>54613.136039171142</v>
          </cell>
          <cell r="F236">
            <v>42583.114630526783</v>
          </cell>
          <cell r="G236">
            <v>174684</v>
          </cell>
          <cell r="H236">
            <v>-15239.005539780484</v>
          </cell>
          <cell r="I236">
            <v>-630.61880216122563</v>
          </cell>
          <cell r="J236">
            <v>46085.846366893697</v>
          </cell>
          <cell r="K236">
            <v>0</v>
          </cell>
          <cell r="L236">
            <v>-2421.4268746078715</v>
          </cell>
          <cell r="M236">
            <v>434.54240399107442</v>
          </cell>
          <cell r="N236">
            <v>16.381101604930013</v>
          </cell>
          <cell r="O236">
            <v>-7.3926120599843115</v>
          </cell>
          <cell r="P236">
            <v>0</v>
          </cell>
          <cell r="Q236">
            <v>0</v>
          </cell>
          <cell r="R236">
            <v>0</v>
          </cell>
          <cell r="S236">
            <v>300118.57671357814</v>
          </cell>
          <cell r="T236">
            <v>873420.79</v>
          </cell>
          <cell r="U236">
            <v>230429.23183446849</v>
          </cell>
          <cell r="V236">
            <v>1738.1696159642977</v>
          </cell>
          <cell r="W236">
            <v>0</v>
          </cell>
          <cell r="X236">
            <v>1105588.1914504329</v>
          </cell>
          <cell r="Y236">
            <v>0</v>
          </cell>
          <cell r="Z236">
            <v>0</v>
          </cell>
          <cell r="AA236">
            <v>0</v>
          </cell>
          <cell r="AB236">
            <v>3153.0940108061282</v>
          </cell>
          <cell r="AC236">
            <v>3153.0940108061282</v>
          </cell>
          <cell r="AD236" t="str">
            <v>N/A</v>
          </cell>
          <cell r="AE236">
            <v>220574</v>
          </cell>
          <cell r="AF236">
            <v>220574</v>
          </cell>
          <cell r="AG236">
            <v>220574</v>
          </cell>
          <cell r="AH236">
            <v>220574</v>
          </cell>
          <cell r="AI236">
            <v>220139</v>
          </cell>
          <cell r="AJ236">
            <v>0</v>
          </cell>
          <cell r="AK236">
            <v>1102435</v>
          </cell>
          <cell r="AL236">
            <v>0</v>
          </cell>
          <cell r="AM236">
            <v>300118.57671357814</v>
          </cell>
          <cell r="AN236">
            <v>-29411.79</v>
          </cell>
          <cell r="AO236">
            <v>229014.30743962669</v>
          </cell>
          <cell r="AP236">
            <v>0</v>
          </cell>
          <cell r="AQ236">
            <v>873420.79</v>
          </cell>
          <cell r="AR236">
            <v>0</v>
          </cell>
          <cell r="AS236">
            <v>0</v>
          </cell>
          <cell r="AT236">
            <v>1373141.884153205</v>
          </cell>
          <cell r="AU236">
            <v>0</v>
          </cell>
          <cell r="AV236">
            <v>0</v>
          </cell>
          <cell r="AW236">
            <v>0</v>
          </cell>
          <cell r="AY236">
            <v>0</v>
          </cell>
          <cell r="AZ236">
            <v>0</v>
          </cell>
          <cell r="BA236">
            <v>0</v>
          </cell>
          <cell r="BB236">
            <v>0</v>
          </cell>
          <cell r="BC236">
            <v>0</v>
          </cell>
          <cell r="BD236">
            <v>0</v>
          </cell>
          <cell r="BE236">
            <v>0</v>
          </cell>
          <cell r="BF236">
            <v>0</v>
          </cell>
          <cell r="BG236">
            <v>0</v>
          </cell>
          <cell r="BH236">
            <v>0</v>
          </cell>
          <cell r="BJ236">
            <v>0</v>
          </cell>
          <cell r="BL236">
            <v>0</v>
          </cell>
          <cell r="BM236">
            <v>0</v>
          </cell>
          <cell r="BN236">
            <v>0</v>
          </cell>
          <cell r="BO236">
            <v>0</v>
          </cell>
          <cell r="BQ236">
            <v>0</v>
          </cell>
          <cell r="BR236">
            <v>0</v>
          </cell>
          <cell r="BS236">
            <v>0</v>
          </cell>
          <cell r="BT236">
            <v>0</v>
          </cell>
          <cell r="CB236">
            <v>0</v>
          </cell>
          <cell r="CC236">
            <v>0</v>
          </cell>
          <cell r="CD236">
            <v>0</v>
          </cell>
          <cell r="CE236">
            <v>0</v>
          </cell>
          <cell r="CF236">
            <v>0</v>
          </cell>
          <cell r="CI236">
            <v>0</v>
          </cell>
          <cell r="CJ236">
            <v>0</v>
          </cell>
          <cell r="CK236">
            <v>0</v>
          </cell>
          <cell r="CV236">
            <v>3.1564032534837588E-5</v>
          </cell>
          <cell r="DG236">
            <v>1373143</v>
          </cell>
          <cell r="DR236">
            <v>343321.99000000005</v>
          </cell>
          <cell r="EC236">
            <v>3.9995777724578603</v>
          </cell>
          <cell r="EN236">
            <v>2.4095909012463064E-2</v>
          </cell>
        </row>
        <row r="237">
          <cell r="B237">
            <v>37005</v>
          </cell>
          <cell r="C237" t="str">
            <v>College Of The Albemarle</v>
          </cell>
          <cell r="D237">
            <v>4.596533387831449E-4</v>
          </cell>
          <cell r="E237">
            <v>795307.4530041914</v>
          </cell>
          <cell r="F237">
            <v>620119.46015147329</v>
          </cell>
          <cell r="G237">
            <v>-141828</v>
          </cell>
          <cell r="H237">
            <v>-221919.03928510455</v>
          </cell>
          <cell r="I237">
            <v>-9183.4285620161609</v>
          </cell>
          <cell r="J237">
            <v>671128.22576802468</v>
          </cell>
          <cell r="K237">
            <v>0</v>
          </cell>
          <cell r="L237">
            <v>-35262.19111275766</v>
          </cell>
          <cell r="M237">
            <v>6328.0528752749651</v>
          </cell>
          <cell r="N237">
            <v>238.55088976167653</v>
          </cell>
          <cell r="O237">
            <v>-107.65540847640037</v>
          </cell>
          <cell r="P237">
            <v>0</v>
          </cell>
          <cell r="Q237">
            <v>0</v>
          </cell>
          <cell r="R237">
            <v>0</v>
          </cell>
          <cell r="S237">
            <v>1684821.4283203713</v>
          </cell>
          <cell r="T237">
            <v>48687.900000000023</v>
          </cell>
          <cell r="U237">
            <v>3355641.1288401233</v>
          </cell>
          <cell r="V237">
            <v>25312.21150109986</v>
          </cell>
          <cell r="W237">
            <v>0</v>
          </cell>
          <cell r="X237">
            <v>3429641.2403412228</v>
          </cell>
          <cell r="Y237">
            <v>757829</v>
          </cell>
          <cell r="Z237">
            <v>0</v>
          </cell>
          <cell r="AA237">
            <v>0</v>
          </cell>
          <cell r="AB237">
            <v>45917.142810080804</v>
          </cell>
          <cell r="AC237">
            <v>803746.14281008078</v>
          </cell>
          <cell r="AD237" t="str">
            <v>N/A</v>
          </cell>
          <cell r="AE237">
            <v>526445</v>
          </cell>
          <cell r="AF237">
            <v>526444</v>
          </cell>
          <cell r="AG237">
            <v>526444</v>
          </cell>
          <cell r="AH237">
            <v>526444</v>
          </cell>
          <cell r="AI237">
            <v>520116</v>
          </cell>
          <cell r="AJ237">
            <v>0</v>
          </cell>
          <cell r="AK237">
            <v>2625893</v>
          </cell>
          <cell r="AL237">
            <v>16148968</v>
          </cell>
          <cell r="AM237">
            <v>1684821.4283203713</v>
          </cell>
          <cell r="AN237">
            <v>-463201.9</v>
          </cell>
          <cell r="AO237">
            <v>3335036.1975311427</v>
          </cell>
          <cell r="AP237">
            <v>0</v>
          </cell>
          <cell r="AQ237">
            <v>-709141.1</v>
          </cell>
          <cell r="AR237">
            <v>0</v>
          </cell>
          <cell r="AS237">
            <v>0</v>
          </cell>
          <cell r="AT237">
            <v>19996482.625851512</v>
          </cell>
          <cell r="AU237">
            <v>4.8708232843368933E-4</v>
          </cell>
          <cell r="AV237">
            <v>0</v>
          </cell>
          <cell r="AW237">
            <v>0</v>
          </cell>
          <cell r="AY237">
            <v>0</v>
          </cell>
          <cell r="AZ237">
            <v>0</v>
          </cell>
          <cell r="BA237">
            <v>0</v>
          </cell>
          <cell r="BB237">
            <v>0</v>
          </cell>
          <cell r="BC237">
            <v>0</v>
          </cell>
          <cell r="BD237">
            <v>0</v>
          </cell>
          <cell r="BE237">
            <v>0</v>
          </cell>
          <cell r="BF237">
            <v>0</v>
          </cell>
          <cell r="BG237">
            <v>0</v>
          </cell>
          <cell r="BH237">
            <v>0</v>
          </cell>
          <cell r="BJ237">
            <v>0</v>
          </cell>
          <cell r="BL237">
            <v>0</v>
          </cell>
          <cell r="BM237">
            <v>0</v>
          </cell>
          <cell r="BN237">
            <v>0</v>
          </cell>
          <cell r="BO237">
            <v>0</v>
          </cell>
          <cell r="BQ237">
            <v>0</v>
          </cell>
          <cell r="BR237">
            <v>0</v>
          </cell>
          <cell r="BS237">
            <v>0</v>
          </cell>
          <cell r="BT237">
            <v>0</v>
          </cell>
          <cell r="CB237">
            <v>0</v>
          </cell>
          <cell r="CC237">
            <v>0</v>
          </cell>
          <cell r="CD237">
            <v>0</v>
          </cell>
          <cell r="CE237">
            <v>0</v>
          </cell>
          <cell r="CF237">
            <v>0</v>
          </cell>
          <cell r="CI237">
            <v>0</v>
          </cell>
          <cell r="CJ237">
            <v>0</v>
          </cell>
          <cell r="CK237">
            <v>0</v>
          </cell>
          <cell r="CV237">
            <v>4.596533387831449E-4</v>
          </cell>
          <cell r="DG237">
            <v>19996483</v>
          </cell>
          <cell r="DR237">
            <v>7770150.4700000007</v>
          </cell>
          <cell r="EC237">
            <v>2.5735000985122491</v>
          </cell>
          <cell r="EN237">
            <v>2.4095909012463064E-2</v>
          </cell>
        </row>
        <row r="238">
          <cell r="B238">
            <v>37100</v>
          </cell>
          <cell r="C238" t="str">
            <v>Pender County Schools</v>
          </cell>
          <cell r="D238">
            <v>2.754611115011029E-3</v>
          </cell>
          <cell r="E238">
            <v>4766119.5188881559</v>
          </cell>
          <cell r="F238">
            <v>3716252.6918438757</v>
          </cell>
          <cell r="G238">
            <v>515945</v>
          </cell>
          <cell r="H238">
            <v>-1329916.7017161979</v>
          </cell>
          <cell r="I238">
            <v>-55034.46240118354</v>
          </cell>
          <cell r="J238">
            <v>4021938.0874994793</v>
          </cell>
          <cell r="K238">
            <v>0</v>
          </cell>
          <cell r="L238">
            <v>-211319.30388233523</v>
          </cell>
          <cell r="M238">
            <v>37922.763343254344</v>
          </cell>
          <cell r="N238">
            <v>1429.5880764684239</v>
          </cell>
          <cell r="O238">
            <v>-645.15746924673306</v>
          </cell>
          <cell r="P238">
            <v>0</v>
          </cell>
          <cell r="Q238">
            <v>0</v>
          </cell>
          <cell r="R238">
            <v>0</v>
          </cell>
          <cell r="S238">
            <v>11462692.024182271</v>
          </cell>
          <cell r="T238">
            <v>2653879</v>
          </cell>
          <cell r="U238">
            <v>20109690.437497396</v>
          </cell>
          <cell r="V238">
            <v>151691.05337301738</v>
          </cell>
          <cell r="W238">
            <v>0</v>
          </cell>
          <cell r="X238">
            <v>22915260.490870412</v>
          </cell>
          <cell r="Y238">
            <v>74152.149999999907</v>
          </cell>
          <cell r="Z238">
            <v>0</v>
          </cell>
          <cell r="AA238">
            <v>0</v>
          </cell>
          <cell r="AB238">
            <v>275172.31200591772</v>
          </cell>
          <cell r="AC238">
            <v>349324.46200591762</v>
          </cell>
          <cell r="AD238" t="str">
            <v>N/A</v>
          </cell>
          <cell r="AE238">
            <v>4520772</v>
          </cell>
          <cell r="AF238">
            <v>4520771</v>
          </cell>
          <cell r="AG238">
            <v>4520771</v>
          </cell>
          <cell r="AH238">
            <v>4520771</v>
          </cell>
          <cell r="AI238">
            <v>4482849</v>
          </cell>
          <cell r="AJ238">
            <v>0</v>
          </cell>
          <cell r="AK238">
            <v>22565934</v>
          </cell>
          <cell r="AL238">
            <v>88143080</v>
          </cell>
          <cell r="AM238">
            <v>11462692.024182271</v>
          </cell>
          <cell r="AN238">
            <v>-2336761.85</v>
          </cell>
          <cell r="AO238">
            <v>19986209.178864498</v>
          </cell>
          <cell r="AP238">
            <v>0</v>
          </cell>
          <cell r="AQ238">
            <v>2579726.85</v>
          </cell>
          <cell r="AR238">
            <v>0</v>
          </cell>
          <cell r="AS238">
            <v>0</v>
          </cell>
          <cell r="AT238">
            <v>119834946.20304677</v>
          </cell>
          <cell r="AU238">
            <v>2.6585561174162693E-3</v>
          </cell>
          <cell r="AV238">
            <v>0</v>
          </cell>
          <cell r="AW238">
            <v>0</v>
          </cell>
          <cell r="AY238">
            <v>0</v>
          </cell>
          <cell r="AZ238">
            <v>0</v>
          </cell>
          <cell r="BA238">
            <v>0</v>
          </cell>
          <cell r="BB238">
            <v>0</v>
          </cell>
          <cell r="BC238">
            <v>0</v>
          </cell>
          <cell r="BD238">
            <v>0</v>
          </cell>
          <cell r="BE238">
            <v>0</v>
          </cell>
          <cell r="BF238">
            <v>0</v>
          </cell>
          <cell r="BG238">
            <v>0</v>
          </cell>
          <cell r="BH238">
            <v>0</v>
          </cell>
          <cell r="BJ238">
            <v>0</v>
          </cell>
          <cell r="BL238">
            <v>0</v>
          </cell>
          <cell r="BM238">
            <v>0</v>
          </cell>
          <cell r="BN238">
            <v>0</v>
          </cell>
          <cell r="BO238">
            <v>0</v>
          </cell>
          <cell r="BQ238">
            <v>0</v>
          </cell>
          <cell r="BR238">
            <v>0</v>
          </cell>
          <cell r="BS238">
            <v>0</v>
          </cell>
          <cell r="BT238">
            <v>0</v>
          </cell>
          <cell r="CB238">
            <v>0</v>
          </cell>
          <cell r="CC238">
            <v>0</v>
          </cell>
          <cell r="CD238">
            <v>0</v>
          </cell>
          <cell r="CE238">
            <v>0</v>
          </cell>
          <cell r="CF238">
            <v>0</v>
          </cell>
          <cell r="CI238">
            <v>0</v>
          </cell>
          <cell r="CJ238">
            <v>0</v>
          </cell>
          <cell r="CK238">
            <v>0</v>
          </cell>
          <cell r="CV238">
            <v>2.754611115011029E-3</v>
          </cell>
          <cell r="DG238">
            <v>119834946</v>
          </cell>
          <cell r="DR238">
            <v>39904202.460000046</v>
          </cell>
          <cell r="EC238">
            <v>3.0030658079214212</v>
          </cell>
          <cell r="EN238">
            <v>2.4095909012463064E-2</v>
          </cell>
        </row>
        <row r="239">
          <cell r="B239">
            <v>37200</v>
          </cell>
          <cell r="C239" t="str">
            <v>Perquimans County Schools</v>
          </cell>
          <cell r="D239">
            <v>6.2291965627409203E-4</v>
          </cell>
          <cell r="E239">
            <v>1077796.2509075131</v>
          </cell>
          <cell r="F239">
            <v>840382.454284037</v>
          </cell>
          <cell r="G239">
            <v>-13319</v>
          </cell>
          <cell r="H239">
            <v>-300743.45165884198</v>
          </cell>
          <cell r="I239">
            <v>-12445.331471784695</v>
          </cell>
          <cell r="J239">
            <v>909509.25064092898</v>
          </cell>
          <cell r="K239">
            <v>0</v>
          </cell>
          <cell r="L239">
            <v>-47787.125892700686</v>
          </cell>
          <cell r="M239">
            <v>8575.742172102995</v>
          </cell>
          <cell r="N239">
            <v>323.28284321312827</v>
          </cell>
          <cell r="O239">
            <v>-145.8940126959551</v>
          </cell>
          <cell r="P239">
            <v>0</v>
          </cell>
          <cell r="Q239">
            <v>0</v>
          </cell>
          <cell r="R239">
            <v>0</v>
          </cell>
          <cell r="S239">
            <v>2462146.1778117716</v>
          </cell>
          <cell r="T239">
            <v>15891.79999999993</v>
          </cell>
          <cell r="U239">
            <v>4547546.2532046447</v>
          </cell>
          <cell r="V239">
            <v>34302.96868841198</v>
          </cell>
          <cell r="W239">
            <v>0</v>
          </cell>
          <cell r="X239">
            <v>4597741.0218930561</v>
          </cell>
          <cell r="Y239">
            <v>82486</v>
          </cell>
          <cell r="Z239">
            <v>0</v>
          </cell>
          <cell r="AA239">
            <v>0</v>
          </cell>
          <cell r="AB239">
            <v>62226.657358923476</v>
          </cell>
          <cell r="AC239">
            <v>144712.65735892346</v>
          </cell>
          <cell r="AD239" t="str">
            <v>N/A</v>
          </cell>
          <cell r="AE239">
            <v>892321</v>
          </cell>
          <cell r="AF239">
            <v>892321</v>
          </cell>
          <cell r="AG239">
            <v>892321</v>
          </cell>
          <cell r="AH239">
            <v>892321</v>
          </cell>
          <cell r="AI239">
            <v>883745</v>
          </cell>
          <cell r="AJ239">
            <v>0</v>
          </cell>
          <cell r="AK239">
            <v>4453029</v>
          </cell>
          <cell r="AL239">
            <v>20751568</v>
          </cell>
          <cell r="AM239">
            <v>2462146.1778117716</v>
          </cell>
          <cell r="AN239">
            <v>-567620.79999999993</v>
          </cell>
          <cell r="AO239">
            <v>4519622.5645341333</v>
          </cell>
          <cell r="AP239">
            <v>0</v>
          </cell>
          <cell r="AQ239">
            <v>-66594.20000000007</v>
          </cell>
          <cell r="AR239">
            <v>0</v>
          </cell>
          <cell r="AS239">
            <v>0</v>
          </cell>
          <cell r="AT239">
            <v>27099121.742345903</v>
          </cell>
          <cell r="AU239">
            <v>6.2590514962913239E-4</v>
          </cell>
          <cell r="AV239">
            <v>0</v>
          </cell>
          <cell r="AW239">
            <v>0</v>
          </cell>
          <cell r="AY239">
            <v>0</v>
          </cell>
          <cell r="AZ239">
            <v>0</v>
          </cell>
          <cell r="BA239">
            <v>0</v>
          </cell>
          <cell r="BB239">
            <v>0</v>
          </cell>
          <cell r="BC239">
            <v>0</v>
          </cell>
          <cell r="BD239">
            <v>0</v>
          </cell>
          <cell r="BE239">
            <v>0</v>
          </cell>
          <cell r="BF239">
            <v>0</v>
          </cell>
          <cell r="BG239">
            <v>0</v>
          </cell>
          <cell r="BH239">
            <v>0</v>
          </cell>
          <cell r="BJ239">
            <v>0</v>
          </cell>
          <cell r="BL239">
            <v>0</v>
          </cell>
          <cell r="BM239">
            <v>0</v>
          </cell>
          <cell r="BN239">
            <v>0</v>
          </cell>
          <cell r="BO239">
            <v>0</v>
          </cell>
          <cell r="BQ239">
            <v>0</v>
          </cell>
          <cell r="BR239">
            <v>0</v>
          </cell>
          <cell r="BS239">
            <v>0</v>
          </cell>
          <cell r="BT239">
            <v>0</v>
          </cell>
          <cell r="CB239">
            <v>0</v>
          </cell>
          <cell r="CC239">
            <v>0</v>
          </cell>
          <cell r="CD239">
            <v>0</v>
          </cell>
          <cell r="CE239">
            <v>0</v>
          </cell>
          <cell r="CF239">
            <v>0</v>
          </cell>
          <cell r="CI239">
            <v>0</v>
          </cell>
          <cell r="CJ239">
            <v>0</v>
          </cell>
          <cell r="CK239">
            <v>0</v>
          </cell>
          <cell r="CV239">
            <v>6.2291965627409203E-4</v>
          </cell>
          <cell r="DG239">
            <v>27099122</v>
          </cell>
          <cell r="DR239">
            <v>9714594.7999999952</v>
          </cell>
          <cell r="EC239">
            <v>2.7895267438226052</v>
          </cell>
          <cell r="EN239">
            <v>2.4095909012463064E-2</v>
          </cell>
        </row>
        <row r="240">
          <cell r="B240">
            <v>37300</v>
          </cell>
          <cell r="C240" t="str">
            <v>Person County Schools</v>
          </cell>
          <cell r="D240">
            <v>1.6377178690144558E-3</v>
          </cell>
          <cell r="E240">
            <v>2833633.7784328088</v>
          </cell>
          <cell r="F240">
            <v>2209449.2416877579</v>
          </cell>
          <cell r="G240">
            <v>112004</v>
          </cell>
          <cell r="H240">
            <v>-790684.51253695926</v>
          </cell>
          <cell r="I240">
            <v>-32720.016990732875</v>
          </cell>
          <cell r="J240">
            <v>2391190.4798733634</v>
          </cell>
          <cell r="K240">
            <v>0</v>
          </cell>
          <cell r="L240">
            <v>-125637.11739557495</v>
          </cell>
          <cell r="M240">
            <v>22546.481000968939</v>
          </cell>
          <cell r="N240">
            <v>849.94281966112226</v>
          </cell>
          <cell r="O240">
            <v>-383.5699021018757</v>
          </cell>
          <cell r="P240">
            <v>0</v>
          </cell>
          <cell r="Q240">
            <v>0</v>
          </cell>
          <cell r="R240">
            <v>0</v>
          </cell>
          <cell r="S240">
            <v>6620248.7069891915</v>
          </cell>
          <cell r="T240">
            <v>578585</v>
          </cell>
          <cell r="U240">
            <v>11955952.399366817</v>
          </cell>
          <cell r="V240">
            <v>90185.924003875756</v>
          </cell>
          <cell r="W240">
            <v>0</v>
          </cell>
          <cell r="X240">
            <v>12624723.323370691</v>
          </cell>
          <cell r="Y240">
            <v>18567.469999999972</v>
          </cell>
          <cell r="Z240">
            <v>0</v>
          </cell>
          <cell r="AA240">
            <v>0</v>
          </cell>
          <cell r="AB240">
            <v>163600.08495366437</v>
          </cell>
          <cell r="AC240">
            <v>182167.55495366434</v>
          </cell>
          <cell r="AD240" t="str">
            <v>N/A</v>
          </cell>
          <cell r="AE240">
            <v>2493021</v>
          </cell>
          <cell r="AF240">
            <v>2493020</v>
          </cell>
          <cell r="AG240">
            <v>2493020</v>
          </cell>
          <cell r="AH240">
            <v>2493020</v>
          </cell>
          <cell r="AI240">
            <v>2470473</v>
          </cell>
          <cell r="AJ240">
            <v>0</v>
          </cell>
          <cell r="AK240">
            <v>12442554</v>
          </cell>
          <cell r="AL240">
            <v>53603404</v>
          </cell>
          <cell r="AM240">
            <v>6620248.7069891915</v>
          </cell>
          <cell r="AN240">
            <v>-1419914.53</v>
          </cell>
          <cell r="AO240">
            <v>11882538.238417029</v>
          </cell>
          <cell r="AP240">
            <v>0</v>
          </cell>
          <cell r="AQ240">
            <v>560017.53</v>
          </cell>
          <cell r="AR240">
            <v>0</v>
          </cell>
          <cell r="AS240">
            <v>0</v>
          </cell>
          <cell r="AT240">
            <v>71246293.945406228</v>
          </cell>
          <cell r="AU240">
            <v>1.6167764569411669E-3</v>
          </cell>
          <cell r="AV240">
            <v>0</v>
          </cell>
          <cell r="AW240">
            <v>0</v>
          </cell>
          <cell r="AY240">
            <v>0</v>
          </cell>
          <cell r="AZ240">
            <v>0</v>
          </cell>
          <cell r="BA240">
            <v>0</v>
          </cell>
          <cell r="BB240">
            <v>0</v>
          </cell>
          <cell r="BC240">
            <v>0</v>
          </cell>
          <cell r="BD240">
            <v>0</v>
          </cell>
          <cell r="BE240">
            <v>0</v>
          </cell>
          <cell r="BF240">
            <v>0</v>
          </cell>
          <cell r="BG240">
            <v>0</v>
          </cell>
          <cell r="BH240">
            <v>0</v>
          </cell>
          <cell r="BJ240">
            <v>0</v>
          </cell>
          <cell r="BL240">
            <v>0</v>
          </cell>
          <cell r="BM240">
            <v>0</v>
          </cell>
          <cell r="BN240">
            <v>0</v>
          </cell>
          <cell r="BO240">
            <v>0</v>
          </cell>
          <cell r="BQ240">
            <v>0</v>
          </cell>
          <cell r="BR240">
            <v>0</v>
          </cell>
          <cell r="BS240">
            <v>0</v>
          </cell>
          <cell r="BT240">
            <v>0</v>
          </cell>
          <cell r="CB240">
            <v>0</v>
          </cell>
          <cell r="CC240">
            <v>0</v>
          </cell>
          <cell r="CD240">
            <v>0</v>
          </cell>
          <cell r="CE240">
            <v>0</v>
          </cell>
          <cell r="CF240">
            <v>0</v>
          </cell>
          <cell r="CI240">
            <v>0</v>
          </cell>
          <cell r="CJ240">
            <v>0</v>
          </cell>
          <cell r="CK240">
            <v>0</v>
          </cell>
          <cell r="CV240">
            <v>1.6377178690144558E-3</v>
          </cell>
          <cell r="DG240">
            <v>71246294</v>
          </cell>
          <cell r="DR240">
            <v>23993814.67999997</v>
          </cell>
          <cell r="EC240">
            <v>2.969360851961039</v>
          </cell>
          <cell r="EN240">
            <v>2.4095909012463064E-2</v>
          </cell>
        </row>
        <row r="241">
          <cell r="B241">
            <v>37301</v>
          </cell>
          <cell r="C241" t="str">
            <v>Roxboro Community School</v>
          </cell>
          <cell r="D241">
            <v>1.7931735082704975E-4</v>
          </cell>
          <cell r="E241">
            <v>310260.82817817107</v>
          </cell>
          <cell r="F241">
            <v>241917.48304285345</v>
          </cell>
          <cell r="G241">
            <v>14926</v>
          </cell>
          <cell r="H241">
            <v>-86573.795652255445</v>
          </cell>
          <cell r="I241">
            <v>-3582.5870113544484</v>
          </cell>
          <cell r="J241">
            <v>261816.733081007</v>
          </cell>
          <cell r="K241">
            <v>0</v>
          </cell>
          <cell r="L241">
            <v>-13756.285794499498</v>
          </cell>
          <cell r="M241">
            <v>2468.6640599452803</v>
          </cell>
          <cell r="N241">
            <v>93.062118732222274</v>
          </cell>
          <cell r="O241">
            <v>-41.997916737203319</v>
          </cell>
          <cell r="P241">
            <v>0</v>
          </cell>
          <cell r="Q241">
            <v>0</v>
          </cell>
          <cell r="R241">
            <v>0</v>
          </cell>
          <cell r="S241">
            <v>727528.10410586244</v>
          </cell>
          <cell r="T241">
            <v>86431</v>
          </cell>
          <cell r="U241">
            <v>1309083.665405035</v>
          </cell>
          <cell r="V241">
            <v>9874.6562397811213</v>
          </cell>
          <cell r="W241">
            <v>0</v>
          </cell>
          <cell r="X241">
            <v>1405389.3216448161</v>
          </cell>
          <cell r="Y241">
            <v>11798.450000000012</v>
          </cell>
          <cell r="Z241">
            <v>0</v>
          </cell>
          <cell r="AA241">
            <v>0</v>
          </cell>
          <cell r="AB241">
            <v>17912.935056772243</v>
          </cell>
          <cell r="AC241">
            <v>29711.385056772255</v>
          </cell>
          <cell r="AD241" t="str">
            <v>N/A</v>
          </cell>
          <cell r="AE241">
            <v>275629</v>
          </cell>
          <cell r="AF241">
            <v>275629</v>
          </cell>
          <cell r="AG241">
            <v>275629</v>
          </cell>
          <cell r="AH241">
            <v>275629</v>
          </cell>
          <cell r="AI241">
            <v>273160</v>
          </cell>
          <cell r="AJ241">
            <v>0</v>
          </cell>
          <cell r="AK241">
            <v>1375676</v>
          </cell>
          <cell r="AL241">
            <v>5841459</v>
          </cell>
          <cell r="AM241">
            <v>727528.10410586244</v>
          </cell>
          <cell r="AN241">
            <v>-143750.54999999999</v>
          </cell>
          <cell r="AO241">
            <v>1301045.386588044</v>
          </cell>
          <cell r="AP241">
            <v>0</v>
          </cell>
          <cell r="AQ241">
            <v>74632.549999999988</v>
          </cell>
          <cell r="AR241">
            <v>0</v>
          </cell>
          <cell r="AS241">
            <v>0</v>
          </cell>
          <cell r="AT241">
            <v>7800914.4906939073</v>
          </cell>
          <cell r="AU241">
            <v>1.7618907416997172E-4</v>
          </cell>
          <cell r="AV241">
            <v>0</v>
          </cell>
          <cell r="AW241">
            <v>0</v>
          </cell>
          <cell r="AY241">
            <v>0</v>
          </cell>
          <cell r="AZ241">
            <v>0</v>
          </cell>
          <cell r="BA241">
            <v>0</v>
          </cell>
          <cell r="BB241">
            <v>0</v>
          </cell>
          <cell r="BC241">
            <v>0</v>
          </cell>
          <cell r="BD241">
            <v>0</v>
          </cell>
          <cell r="BE241">
            <v>0</v>
          </cell>
          <cell r="BF241">
            <v>0</v>
          </cell>
          <cell r="BG241">
            <v>0</v>
          </cell>
          <cell r="BH241">
            <v>0</v>
          </cell>
          <cell r="BJ241">
            <v>0</v>
          </cell>
          <cell r="BL241">
            <v>0</v>
          </cell>
          <cell r="BM241">
            <v>0</v>
          </cell>
          <cell r="BN241">
            <v>0</v>
          </cell>
          <cell r="BO241">
            <v>0</v>
          </cell>
          <cell r="BQ241">
            <v>0</v>
          </cell>
          <cell r="BR241">
            <v>0</v>
          </cell>
          <cell r="BS241">
            <v>0</v>
          </cell>
          <cell r="BT241">
            <v>0</v>
          </cell>
          <cell r="CB241">
            <v>0</v>
          </cell>
          <cell r="CC241">
            <v>0</v>
          </cell>
          <cell r="CD241">
            <v>0</v>
          </cell>
          <cell r="CE241">
            <v>0</v>
          </cell>
          <cell r="CF241">
            <v>0</v>
          </cell>
          <cell r="CI241">
            <v>0</v>
          </cell>
          <cell r="CJ241">
            <v>0</v>
          </cell>
          <cell r="CK241">
            <v>0</v>
          </cell>
          <cell r="CV241">
            <v>1.7931735082704975E-4</v>
          </cell>
          <cell r="DG241">
            <v>7800914</v>
          </cell>
          <cell r="DR241">
            <v>2604506.2000000002</v>
          </cell>
          <cell r="EC241">
            <v>2.995160464582499</v>
          </cell>
          <cell r="EN241">
            <v>2.4095909012463064E-2</v>
          </cell>
        </row>
        <row r="242">
          <cell r="B242">
            <v>37305</v>
          </cell>
          <cell r="C242" t="str">
            <v>Piedmont Community College</v>
          </cell>
          <cell r="D242">
            <v>4.8043594409186781E-4</v>
          </cell>
          <cell r="E242">
            <v>831266.2060475793</v>
          </cell>
          <cell r="F242">
            <v>648157.3245531643</v>
          </cell>
          <cell r="G242">
            <v>-442300</v>
          </cell>
          <cell r="H242">
            <v>-231952.80911730669</v>
          </cell>
          <cell r="I242">
            <v>-9598.6448893694942</v>
          </cell>
          <cell r="J242">
            <v>701472.38265940023</v>
          </cell>
          <cell r="K242">
            <v>0</v>
          </cell>
          <cell r="L242">
            <v>-36856.523489755666</v>
          </cell>
          <cell r="M242">
            <v>6614.1672449165053</v>
          </cell>
          <cell r="N242">
            <v>249.33664626479757</v>
          </cell>
          <cell r="O242">
            <v>-112.52290246575636</v>
          </cell>
          <cell r="P242">
            <v>0</v>
          </cell>
          <cell r="Q242">
            <v>0</v>
          </cell>
          <cell r="R242">
            <v>0</v>
          </cell>
          <cell r="S242">
            <v>1466938.9167524278</v>
          </cell>
          <cell r="T242">
            <v>69136.13</v>
          </cell>
          <cell r="U242">
            <v>3507361.9132970013</v>
          </cell>
          <cell r="V242">
            <v>26456.668979666021</v>
          </cell>
          <cell r="W242">
            <v>0</v>
          </cell>
          <cell r="X242">
            <v>3602954.7122766674</v>
          </cell>
          <cell r="Y242">
            <v>2280634</v>
          </cell>
          <cell r="Z242">
            <v>0</v>
          </cell>
          <cell r="AA242">
            <v>0</v>
          </cell>
          <cell r="AB242">
            <v>47993.224446847467</v>
          </cell>
          <cell r="AC242">
            <v>2328627.2244468476</v>
          </cell>
          <cell r="AD242" t="str">
            <v>N/A</v>
          </cell>
          <cell r="AE242">
            <v>256188</v>
          </cell>
          <cell r="AF242">
            <v>256188</v>
          </cell>
          <cell r="AG242">
            <v>256188</v>
          </cell>
          <cell r="AH242">
            <v>256188</v>
          </cell>
          <cell r="AI242">
            <v>249574</v>
          </cell>
          <cell r="AJ242">
            <v>0</v>
          </cell>
          <cell r="AK242">
            <v>1274326</v>
          </cell>
          <cell r="AL242">
            <v>18665371</v>
          </cell>
          <cell r="AM242">
            <v>1466938.9167524278</v>
          </cell>
          <cell r="AN242">
            <v>-506041.13</v>
          </cell>
          <cell r="AO242">
            <v>3485825.3578298199</v>
          </cell>
          <cell r="AP242">
            <v>0</v>
          </cell>
          <cell r="AQ242">
            <v>-2211497.87</v>
          </cell>
          <cell r="AR242">
            <v>0</v>
          </cell>
          <cell r="AS242">
            <v>0</v>
          </cell>
          <cell r="AT242">
            <v>20900596.274582248</v>
          </cell>
          <cell r="AU242">
            <v>5.6298165415007942E-4</v>
          </cell>
          <cell r="AV242">
            <v>0</v>
          </cell>
          <cell r="AW242">
            <v>0</v>
          </cell>
          <cell r="AY242">
            <v>0</v>
          </cell>
          <cell r="AZ242">
            <v>0</v>
          </cell>
          <cell r="BA242">
            <v>0</v>
          </cell>
          <cell r="BB242">
            <v>0</v>
          </cell>
          <cell r="BC242">
            <v>0</v>
          </cell>
          <cell r="BD242">
            <v>0</v>
          </cell>
          <cell r="BE242">
            <v>0</v>
          </cell>
          <cell r="BF242">
            <v>0</v>
          </cell>
          <cell r="BG242">
            <v>0</v>
          </cell>
          <cell r="BH242">
            <v>0</v>
          </cell>
          <cell r="BJ242">
            <v>0</v>
          </cell>
          <cell r="BL242">
            <v>0</v>
          </cell>
          <cell r="BM242">
            <v>0</v>
          </cell>
          <cell r="BN242">
            <v>0</v>
          </cell>
          <cell r="BO242">
            <v>0</v>
          </cell>
          <cell r="BQ242">
            <v>0</v>
          </cell>
          <cell r="BR242">
            <v>0</v>
          </cell>
          <cell r="BS242">
            <v>0</v>
          </cell>
          <cell r="BT242">
            <v>0</v>
          </cell>
          <cell r="CB242">
            <v>0</v>
          </cell>
          <cell r="CC242">
            <v>0</v>
          </cell>
          <cell r="CD242">
            <v>0</v>
          </cell>
          <cell r="CE242">
            <v>0</v>
          </cell>
          <cell r="CF242">
            <v>0</v>
          </cell>
          <cell r="CI242">
            <v>0</v>
          </cell>
          <cell r="CJ242">
            <v>0</v>
          </cell>
          <cell r="CK242">
            <v>0</v>
          </cell>
          <cell r="CV242">
            <v>4.8043594409186781E-4</v>
          </cell>
          <cell r="DG242">
            <v>20900597</v>
          </cell>
          <cell r="DR242">
            <v>8940572.0300000012</v>
          </cell>
          <cell r="EC242">
            <v>2.3377248043937517</v>
          </cell>
          <cell r="EN242">
            <v>2.4095909012463064E-2</v>
          </cell>
        </row>
        <row r="243">
          <cell r="B243">
            <v>37400</v>
          </cell>
          <cell r="C243" t="str">
            <v>Pitt County Schools</v>
          </cell>
          <cell r="D243">
            <v>8.0746685606175768E-3</v>
          </cell>
          <cell r="E243">
            <v>13971059.372262018</v>
          </cell>
          <cell r="F243">
            <v>10893555.395394547</v>
          </cell>
          <cell r="G243">
            <v>199670</v>
          </cell>
          <cell r="H243">
            <v>-3898422.0026807711</v>
          </cell>
          <cell r="I243">
            <v>-161324.05800575143</v>
          </cell>
          <cell r="J243">
            <v>11789619.540452775</v>
          </cell>
          <cell r="K243">
            <v>0</v>
          </cell>
          <cell r="L243">
            <v>-619446.1824435977</v>
          </cell>
          <cell r="M243">
            <v>111164.05623676958</v>
          </cell>
          <cell r="N243">
            <v>4190.5914895893102</v>
          </cell>
          <cell r="O243">
            <v>-1891.1681235822427</v>
          </cell>
          <cell r="P243">
            <v>0</v>
          </cell>
          <cell r="Q243">
            <v>0</v>
          </cell>
          <cell r="R243">
            <v>0</v>
          </cell>
          <cell r="S243">
            <v>32288175.544582002</v>
          </cell>
          <cell r="T243">
            <v>1466652</v>
          </cell>
          <cell r="U243">
            <v>58948097.702263869</v>
          </cell>
          <cell r="V243">
            <v>444656.22494707833</v>
          </cell>
          <cell r="W243">
            <v>0</v>
          </cell>
          <cell r="X243">
            <v>60859405.927210949</v>
          </cell>
          <cell r="Y243">
            <v>468304.48000000045</v>
          </cell>
          <cell r="Z243">
            <v>0</v>
          </cell>
          <cell r="AA243">
            <v>0</v>
          </cell>
          <cell r="AB243">
            <v>806620.29002875707</v>
          </cell>
          <cell r="AC243">
            <v>1274924.7700287574</v>
          </cell>
          <cell r="AD243" t="str">
            <v>N/A</v>
          </cell>
          <cell r="AE243">
            <v>11939129</v>
          </cell>
          <cell r="AF243">
            <v>11939130</v>
          </cell>
          <cell r="AG243">
            <v>11939130</v>
          </cell>
          <cell r="AH243">
            <v>11939130</v>
          </cell>
          <cell r="AI243">
            <v>11827965</v>
          </cell>
          <cell r="AJ243">
            <v>0</v>
          </cell>
          <cell r="AK243">
            <v>59584484</v>
          </cell>
          <cell r="AL243">
            <v>265951560</v>
          </cell>
          <cell r="AM243">
            <v>32288175.544582002</v>
          </cell>
          <cell r="AN243">
            <v>-6548688.5199999996</v>
          </cell>
          <cell r="AO243">
            <v>58586133.637182198</v>
          </cell>
          <cell r="AP243">
            <v>0</v>
          </cell>
          <cell r="AQ243">
            <v>998347.51999999955</v>
          </cell>
          <cell r="AR243">
            <v>0</v>
          </cell>
          <cell r="AS243">
            <v>0</v>
          </cell>
          <cell r="AT243">
            <v>351275528.18176419</v>
          </cell>
          <cell r="AU243">
            <v>8.0215842587854757E-3</v>
          </cell>
          <cell r="AV243">
            <v>0</v>
          </cell>
          <cell r="AW243">
            <v>0</v>
          </cell>
          <cell r="AY243">
            <v>0</v>
          </cell>
          <cell r="AZ243">
            <v>0</v>
          </cell>
          <cell r="BA243">
            <v>0</v>
          </cell>
          <cell r="BB243">
            <v>0</v>
          </cell>
          <cell r="BC243">
            <v>0</v>
          </cell>
          <cell r="BD243">
            <v>0</v>
          </cell>
          <cell r="BE243">
            <v>0</v>
          </cell>
          <cell r="BF243">
            <v>0</v>
          </cell>
          <cell r="BG243">
            <v>0</v>
          </cell>
          <cell r="BH243">
            <v>0</v>
          </cell>
          <cell r="BJ243">
            <v>0</v>
          </cell>
          <cell r="BL243">
            <v>0</v>
          </cell>
          <cell r="BM243">
            <v>0</v>
          </cell>
          <cell r="BN243">
            <v>0</v>
          </cell>
          <cell r="BO243">
            <v>0</v>
          </cell>
          <cell r="BQ243">
            <v>0</v>
          </cell>
          <cell r="BR243">
            <v>0</v>
          </cell>
          <cell r="BS243">
            <v>0</v>
          </cell>
          <cell r="BT243">
            <v>0</v>
          </cell>
          <cell r="CB243">
            <v>0</v>
          </cell>
          <cell r="CC243">
            <v>0</v>
          </cell>
          <cell r="CD243">
            <v>0</v>
          </cell>
          <cell r="CE243">
            <v>0</v>
          </cell>
          <cell r="CF243">
            <v>0</v>
          </cell>
          <cell r="CI243">
            <v>0</v>
          </cell>
          <cell r="CJ243">
            <v>0</v>
          </cell>
          <cell r="CK243">
            <v>0</v>
          </cell>
          <cell r="CV243">
            <v>8.0746685606175768E-3</v>
          </cell>
          <cell r="DG243">
            <v>351275528</v>
          </cell>
          <cell r="DR243">
            <v>113908109.3899996</v>
          </cell>
          <cell r="EC243">
            <v>3.083850042645337</v>
          </cell>
          <cell r="EN243">
            <v>2.4095909012463064E-2</v>
          </cell>
        </row>
        <row r="244">
          <cell r="B244">
            <v>37405</v>
          </cell>
          <cell r="C244" t="str">
            <v>Pitt Community College</v>
          </cell>
          <cell r="D244">
            <v>1.7930074196734541E-3</v>
          </cell>
          <cell r="E244">
            <v>3102320.9097821135</v>
          </cell>
          <cell r="F244">
            <v>2418950.759890053</v>
          </cell>
          <cell r="G244">
            <v>421243</v>
          </cell>
          <cell r="H244">
            <v>-865657.76952339185</v>
          </cell>
          <cell r="I244">
            <v>-35822.551824222472</v>
          </cell>
          <cell r="J244">
            <v>2617924.8290461339</v>
          </cell>
          <cell r="K244">
            <v>0</v>
          </cell>
          <cell r="L244">
            <v>-137550.11649974386</v>
          </cell>
          <cell r="M244">
            <v>24684.354055800464</v>
          </cell>
          <cell r="N244">
            <v>930.53499066212919</v>
          </cell>
          <cell r="O244">
            <v>-419.94026776171967</v>
          </cell>
          <cell r="P244">
            <v>0</v>
          </cell>
          <cell r="Q244">
            <v>0</v>
          </cell>
          <cell r="R244">
            <v>0</v>
          </cell>
          <cell r="S244">
            <v>7546604.0096496437</v>
          </cell>
          <cell r="T244">
            <v>2131272</v>
          </cell>
          <cell r="U244">
            <v>13089624.14523067</v>
          </cell>
          <cell r="V244">
            <v>98737.416223201857</v>
          </cell>
          <cell r="W244">
            <v>0</v>
          </cell>
          <cell r="X244">
            <v>15319633.561453871</v>
          </cell>
          <cell r="Y244">
            <v>25060.489999999991</v>
          </cell>
          <cell r="Z244">
            <v>0</v>
          </cell>
          <cell r="AA244">
            <v>0</v>
          </cell>
          <cell r="AB244">
            <v>179112.75912111232</v>
          </cell>
          <cell r="AC244">
            <v>204173.24912111231</v>
          </cell>
          <cell r="AD244" t="str">
            <v>N/A</v>
          </cell>
          <cell r="AE244">
            <v>3028029</v>
          </cell>
          <cell r="AF244">
            <v>3028030</v>
          </cell>
          <cell r="AG244">
            <v>3028030</v>
          </cell>
          <cell r="AH244">
            <v>3028030</v>
          </cell>
          <cell r="AI244">
            <v>3003345</v>
          </cell>
          <cell r="AJ244">
            <v>0</v>
          </cell>
          <cell r="AK244">
            <v>15115464</v>
          </cell>
          <cell r="AL244">
            <v>56888725</v>
          </cell>
          <cell r="AM244">
            <v>7546604.0096496437</v>
          </cell>
          <cell r="AN244">
            <v>-1548872.51</v>
          </cell>
          <cell r="AO244">
            <v>13009248.802332761</v>
          </cell>
          <cell r="AP244">
            <v>0</v>
          </cell>
          <cell r="AQ244">
            <v>2106211.5099999998</v>
          </cell>
          <cell r="AR244">
            <v>0</v>
          </cell>
          <cell r="AS244">
            <v>0</v>
          </cell>
          <cell r="AT244">
            <v>78001916.811982408</v>
          </cell>
          <cell r="AU244">
            <v>1.7158677328418088E-3</v>
          </cell>
          <cell r="AV244">
            <v>0</v>
          </cell>
          <cell r="AW244">
            <v>0</v>
          </cell>
          <cell r="AY244">
            <v>0</v>
          </cell>
          <cell r="AZ244">
            <v>0</v>
          </cell>
          <cell r="BA244">
            <v>0</v>
          </cell>
          <cell r="BB244">
            <v>0</v>
          </cell>
          <cell r="BC244">
            <v>0</v>
          </cell>
          <cell r="BD244">
            <v>0</v>
          </cell>
          <cell r="BE244">
            <v>0</v>
          </cell>
          <cell r="BF244">
            <v>0</v>
          </cell>
          <cell r="BG244">
            <v>0</v>
          </cell>
          <cell r="BH244">
            <v>0</v>
          </cell>
          <cell r="BJ244">
            <v>0</v>
          </cell>
          <cell r="BL244">
            <v>0</v>
          </cell>
          <cell r="BM244">
            <v>0</v>
          </cell>
          <cell r="BN244">
            <v>0</v>
          </cell>
          <cell r="BO244">
            <v>0</v>
          </cell>
          <cell r="BQ244">
            <v>0</v>
          </cell>
          <cell r="BR244">
            <v>0</v>
          </cell>
          <cell r="BS244">
            <v>0</v>
          </cell>
          <cell r="BT244">
            <v>0</v>
          </cell>
          <cell r="CB244">
            <v>0</v>
          </cell>
          <cell r="CC244">
            <v>0</v>
          </cell>
          <cell r="CD244">
            <v>0</v>
          </cell>
          <cell r="CE244">
            <v>0</v>
          </cell>
          <cell r="CF244">
            <v>0</v>
          </cell>
          <cell r="CI244">
            <v>0</v>
          </cell>
          <cell r="CJ244">
            <v>0</v>
          </cell>
          <cell r="CK244">
            <v>0</v>
          </cell>
          <cell r="CV244">
            <v>1.7930074196734541E-3</v>
          </cell>
          <cell r="DG244">
            <v>78001917</v>
          </cell>
          <cell r="DR244">
            <v>26844527.370000001</v>
          </cell>
          <cell r="EC244">
            <v>2.9056915744834733</v>
          </cell>
          <cell r="EN244">
            <v>2.4095909012463064E-2</v>
          </cell>
        </row>
        <row r="245">
          <cell r="B245">
            <v>37500</v>
          </cell>
          <cell r="C245" t="str">
            <v>Polk County Schools</v>
          </cell>
          <cell r="D245">
            <v>9.118318190722808E-4</v>
          </cell>
          <cell r="E245">
            <v>1577681.6579084671</v>
          </cell>
          <cell r="F245">
            <v>1230154.5701570632</v>
          </cell>
          <cell r="G245">
            <v>-137069</v>
          </cell>
          <cell r="H245">
            <v>-440229.24278937042</v>
          </cell>
          <cell r="I245">
            <v>-18217.516690277098</v>
          </cell>
          <cell r="J245">
            <v>1331342.5995182833</v>
          </cell>
          <cell r="K245">
            <v>0</v>
          </cell>
          <cell r="L245">
            <v>-69950.950322563527</v>
          </cell>
          <cell r="M245">
            <v>12553.199286494846</v>
          </cell>
          <cell r="N245">
            <v>473.2224774621323</v>
          </cell>
          <cell r="O245">
            <v>-213.56013034491889</v>
          </cell>
          <cell r="P245">
            <v>0</v>
          </cell>
          <cell r="Q245">
            <v>0</v>
          </cell>
          <cell r="R245">
            <v>0</v>
          </cell>
          <cell r="S245">
            <v>3486524.9794152151</v>
          </cell>
          <cell r="T245">
            <v>32310.280000000028</v>
          </cell>
          <cell r="U245">
            <v>6656712.9975914164</v>
          </cell>
          <cell r="V245">
            <v>50212.797145979384</v>
          </cell>
          <cell r="W245">
            <v>0</v>
          </cell>
          <cell r="X245">
            <v>6739236.0747373961</v>
          </cell>
          <cell r="Y245">
            <v>717656</v>
          </cell>
          <cell r="Z245">
            <v>0</v>
          </cell>
          <cell r="AA245">
            <v>0</v>
          </cell>
          <cell r="AB245">
            <v>91087.583451385493</v>
          </cell>
          <cell r="AC245">
            <v>808743.58345138549</v>
          </cell>
          <cell r="AD245" t="str">
            <v>N/A</v>
          </cell>
          <cell r="AE245">
            <v>1188609</v>
          </cell>
          <cell r="AF245">
            <v>1188609</v>
          </cell>
          <cell r="AG245">
            <v>1188609</v>
          </cell>
          <cell r="AH245">
            <v>1188609</v>
          </cell>
          <cell r="AI245">
            <v>1176056</v>
          </cell>
          <cell r="AJ245">
            <v>0</v>
          </cell>
          <cell r="AK245">
            <v>5930492</v>
          </cell>
          <cell r="AL245">
            <v>31092509</v>
          </cell>
          <cell r="AM245">
            <v>3486524.9794152151</v>
          </cell>
          <cell r="AN245">
            <v>-841742.28</v>
          </cell>
          <cell r="AO245">
            <v>6615838.2112860112</v>
          </cell>
          <cell r="AP245">
            <v>0</v>
          </cell>
          <cell r="AQ245">
            <v>-685345.72</v>
          </cell>
          <cell r="AR245">
            <v>0</v>
          </cell>
          <cell r="AS245">
            <v>0</v>
          </cell>
          <cell r="AT245">
            <v>39667784.190701224</v>
          </cell>
          <cell r="AU245">
            <v>9.3780679031075706E-4</v>
          </cell>
          <cell r="AV245">
            <v>0</v>
          </cell>
          <cell r="AW245">
            <v>0</v>
          </cell>
          <cell r="AY245">
            <v>0</v>
          </cell>
          <cell r="AZ245">
            <v>0</v>
          </cell>
          <cell r="BA245">
            <v>0</v>
          </cell>
          <cell r="BB245">
            <v>0</v>
          </cell>
          <cell r="BC245">
            <v>0</v>
          </cell>
          <cell r="BD245">
            <v>0</v>
          </cell>
          <cell r="BE245">
            <v>0</v>
          </cell>
          <cell r="BF245">
            <v>0</v>
          </cell>
          <cell r="BG245">
            <v>0</v>
          </cell>
          <cell r="BH245">
            <v>0</v>
          </cell>
          <cell r="BJ245">
            <v>0</v>
          </cell>
          <cell r="BL245">
            <v>0</v>
          </cell>
          <cell r="BM245">
            <v>0</v>
          </cell>
          <cell r="BN245">
            <v>0</v>
          </cell>
          <cell r="BO245">
            <v>0</v>
          </cell>
          <cell r="BQ245">
            <v>0</v>
          </cell>
          <cell r="BR245">
            <v>0</v>
          </cell>
          <cell r="BS245">
            <v>0</v>
          </cell>
          <cell r="BT245">
            <v>0</v>
          </cell>
          <cell r="CB245">
            <v>0</v>
          </cell>
          <cell r="CC245">
            <v>0</v>
          </cell>
          <cell r="CD245">
            <v>0</v>
          </cell>
          <cell r="CE245">
            <v>0</v>
          </cell>
          <cell r="CF245">
            <v>0</v>
          </cell>
          <cell r="CI245">
            <v>0</v>
          </cell>
          <cell r="CJ245">
            <v>0</v>
          </cell>
          <cell r="CK245">
            <v>0</v>
          </cell>
          <cell r="CV245">
            <v>9.118318190722808E-4</v>
          </cell>
          <cell r="DG245">
            <v>39667783</v>
          </cell>
          <cell r="DR245">
            <v>14478684.469999995</v>
          </cell>
          <cell r="EC245">
            <v>2.7397366854835545</v>
          </cell>
          <cell r="EN245">
            <v>2.4095909012463064E-2</v>
          </cell>
        </row>
        <row r="246">
          <cell r="B246">
            <v>37600</v>
          </cell>
          <cell r="C246" t="str">
            <v>Randolph County Schools</v>
          </cell>
          <cell r="D246">
            <v>5.5740698920838461E-3</v>
          </cell>
          <cell r="E246">
            <v>9644440.6136077214</v>
          </cell>
          <cell r="F246">
            <v>7519991.5255186781</v>
          </cell>
          <cell r="G246">
            <v>-384987</v>
          </cell>
          <cell r="H246">
            <v>-2691141.6299814181</v>
          </cell>
          <cell r="I246">
            <v>-111364.51828926471</v>
          </cell>
          <cell r="J246">
            <v>8138558.6078513926</v>
          </cell>
          <cell r="K246">
            <v>0</v>
          </cell>
          <cell r="L246">
            <v>-427613.37996776565</v>
          </cell>
          <cell r="M246">
            <v>76738.285206334345</v>
          </cell>
          <cell r="N246">
            <v>2892.8307925936742</v>
          </cell>
          <cell r="O246">
            <v>-1305.5029094249576</v>
          </cell>
          <cell r="P246">
            <v>0</v>
          </cell>
          <cell r="Q246">
            <v>0</v>
          </cell>
          <cell r="R246">
            <v>0</v>
          </cell>
          <cell r="S246">
            <v>21766209.831828848</v>
          </cell>
          <cell r="T246">
            <v>0</v>
          </cell>
          <cell r="U246">
            <v>40692793.039256968</v>
          </cell>
          <cell r="V246">
            <v>306953.14082533738</v>
          </cell>
          <cell r="W246">
            <v>0</v>
          </cell>
          <cell r="X246">
            <v>40999746.180082306</v>
          </cell>
          <cell r="Y246">
            <v>1924935.5700000003</v>
          </cell>
          <cell r="Z246">
            <v>0</v>
          </cell>
          <cell r="AA246">
            <v>0</v>
          </cell>
          <cell r="AB246">
            <v>556822.59144632355</v>
          </cell>
          <cell r="AC246">
            <v>2481758.1614463236</v>
          </cell>
          <cell r="AD246" t="str">
            <v>N/A</v>
          </cell>
          <cell r="AE246">
            <v>7718945</v>
          </cell>
          <cell r="AF246">
            <v>7718945</v>
          </cell>
          <cell r="AG246">
            <v>7718945</v>
          </cell>
          <cell r="AH246">
            <v>7718945</v>
          </cell>
          <cell r="AI246">
            <v>7642207</v>
          </cell>
          <cell r="AJ246">
            <v>0</v>
          </cell>
          <cell r="AK246">
            <v>38517987</v>
          </cell>
          <cell r="AL246">
            <v>186878911</v>
          </cell>
          <cell r="AM246">
            <v>21766209.831828848</v>
          </cell>
          <cell r="AN246">
            <v>-4672122.43</v>
          </cell>
          <cell r="AO246">
            <v>40442923.588635981</v>
          </cell>
          <cell r="AP246">
            <v>0</v>
          </cell>
          <cell r="AQ246">
            <v>-1924935.5700000003</v>
          </cell>
          <cell r="AR246">
            <v>0</v>
          </cell>
          <cell r="AS246">
            <v>0</v>
          </cell>
          <cell r="AT246">
            <v>242490986.42046481</v>
          </cell>
          <cell r="AU246">
            <v>5.6366089039696851E-3</v>
          </cell>
          <cell r="AV246">
            <v>0</v>
          </cell>
          <cell r="AW246">
            <v>0</v>
          </cell>
          <cell r="AY246">
            <v>0</v>
          </cell>
          <cell r="AZ246">
            <v>0</v>
          </cell>
          <cell r="BA246">
            <v>0</v>
          </cell>
          <cell r="BB246">
            <v>0</v>
          </cell>
          <cell r="BC246">
            <v>0</v>
          </cell>
          <cell r="BD246">
            <v>0</v>
          </cell>
          <cell r="BE246">
            <v>0</v>
          </cell>
          <cell r="BF246">
            <v>0</v>
          </cell>
          <cell r="BG246">
            <v>0</v>
          </cell>
          <cell r="BH246">
            <v>0</v>
          </cell>
          <cell r="BJ246">
            <v>0</v>
          </cell>
          <cell r="BL246">
            <v>0</v>
          </cell>
          <cell r="BM246">
            <v>0</v>
          </cell>
          <cell r="BN246">
            <v>0</v>
          </cell>
          <cell r="BO246">
            <v>0</v>
          </cell>
          <cell r="BQ246">
            <v>0</v>
          </cell>
          <cell r="BR246">
            <v>0</v>
          </cell>
          <cell r="BS246">
            <v>0</v>
          </cell>
          <cell r="BT246">
            <v>0</v>
          </cell>
          <cell r="CB246">
            <v>0</v>
          </cell>
          <cell r="CC246">
            <v>0</v>
          </cell>
          <cell r="CD246">
            <v>0</v>
          </cell>
          <cell r="CE246">
            <v>0</v>
          </cell>
          <cell r="CF246">
            <v>0</v>
          </cell>
          <cell r="CI246">
            <v>0</v>
          </cell>
          <cell r="CJ246">
            <v>0</v>
          </cell>
          <cell r="CK246">
            <v>0</v>
          </cell>
          <cell r="CV246">
            <v>5.5740698920838461E-3</v>
          </cell>
          <cell r="DG246">
            <v>242490987</v>
          </cell>
          <cell r="DR246">
            <v>81665226.429999739</v>
          </cell>
          <cell r="EC246">
            <v>2.9693297576031807</v>
          </cell>
          <cell r="EN246">
            <v>2.4095909012463064E-2</v>
          </cell>
        </row>
        <row r="247">
          <cell r="B247">
            <v>37601</v>
          </cell>
          <cell r="C247" t="str">
            <v>Uwharrie Charter Academy</v>
          </cell>
          <cell r="D247">
            <v>1.7666679564248822E-4</v>
          </cell>
          <cell r="E247">
            <v>305674.74968157778</v>
          </cell>
          <cell r="F247">
            <v>238341.61246503211</v>
          </cell>
          <cell r="G247">
            <v>597034</v>
          </cell>
          <cell r="H247">
            <v>-85294.116793210866</v>
          </cell>
          <cell r="I247">
            <v>-3529.6314856716772</v>
          </cell>
          <cell r="J247">
            <v>257946.72442834658</v>
          </cell>
          <cell r="K247">
            <v>0</v>
          </cell>
          <cell r="L247">
            <v>-13552.94911533961</v>
          </cell>
          <cell r="M247">
            <v>2432.1738358099724</v>
          </cell>
          <cell r="N247">
            <v>91.686533602538532</v>
          </cell>
          <cell r="O247">
            <v>-41.377130207427165</v>
          </cell>
          <cell r="P247">
            <v>0</v>
          </cell>
          <cell r="Q247">
            <v>0</v>
          </cell>
          <cell r="R247">
            <v>0</v>
          </cell>
          <cell r="S247">
            <v>1299102.8724199396</v>
          </cell>
          <cell r="T247">
            <v>3010156</v>
          </cell>
          <cell r="U247">
            <v>1289733.6221417328</v>
          </cell>
          <cell r="V247">
            <v>9728.6953432398896</v>
          </cell>
          <cell r="W247">
            <v>0</v>
          </cell>
          <cell r="X247">
            <v>4309618.317484973</v>
          </cell>
          <cell r="Y247">
            <v>24983.589999999997</v>
          </cell>
          <cell r="Z247">
            <v>0</v>
          </cell>
          <cell r="AA247">
            <v>0</v>
          </cell>
          <cell r="AB247">
            <v>17648.157428358387</v>
          </cell>
          <cell r="AC247">
            <v>42631.747428358387</v>
          </cell>
          <cell r="AD247" t="str">
            <v>N/A</v>
          </cell>
          <cell r="AE247">
            <v>853883</v>
          </cell>
          <cell r="AF247">
            <v>853883</v>
          </cell>
          <cell r="AG247">
            <v>853883</v>
          </cell>
          <cell r="AH247">
            <v>853883</v>
          </cell>
          <cell r="AI247">
            <v>851451</v>
          </cell>
          <cell r="AJ247">
            <v>0</v>
          </cell>
          <cell r="AK247">
            <v>4266983</v>
          </cell>
          <cell r="AL247">
            <v>2245111</v>
          </cell>
          <cell r="AM247">
            <v>1299102.8724199396</v>
          </cell>
          <cell r="AN247">
            <v>-125594.41</v>
          </cell>
          <cell r="AO247">
            <v>1281814.1600566145</v>
          </cell>
          <cell r="AP247">
            <v>0</v>
          </cell>
          <cell r="AQ247">
            <v>2985172.41</v>
          </cell>
          <cell r="AR247">
            <v>0</v>
          </cell>
          <cell r="AS247">
            <v>0</v>
          </cell>
          <cell r="AT247">
            <v>7685606.0324765537</v>
          </cell>
          <cell r="AU247">
            <v>6.7716651203526758E-5</v>
          </cell>
          <cell r="AV247">
            <v>0</v>
          </cell>
          <cell r="AW247">
            <v>0</v>
          </cell>
          <cell r="AY247">
            <v>0</v>
          </cell>
          <cell r="AZ247">
            <v>0</v>
          </cell>
          <cell r="BA247">
            <v>0</v>
          </cell>
          <cell r="BB247">
            <v>0</v>
          </cell>
          <cell r="BC247">
            <v>0</v>
          </cell>
          <cell r="BD247">
            <v>0</v>
          </cell>
          <cell r="BE247">
            <v>0</v>
          </cell>
          <cell r="BF247">
            <v>0</v>
          </cell>
          <cell r="BG247">
            <v>0</v>
          </cell>
          <cell r="BH247">
            <v>0</v>
          </cell>
          <cell r="BJ247">
            <v>0</v>
          </cell>
          <cell r="BL247">
            <v>0</v>
          </cell>
          <cell r="BM247">
            <v>0</v>
          </cell>
          <cell r="BN247">
            <v>0</v>
          </cell>
          <cell r="BO247">
            <v>0</v>
          </cell>
          <cell r="BQ247">
            <v>0</v>
          </cell>
          <cell r="BR247">
            <v>0</v>
          </cell>
          <cell r="BS247">
            <v>0</v>
          </cell>
          <cell r="BT247">
            <v>0</v>
          </cell>
          <cell r="CB247">
            <v>0</v>
          </cell>
          <cell r="CC247">
            <v>0</v>
          </cell>
          <cell r="CD247">
            <v>0</v>
          </cell>
          <cell r="CE247">
            <v>0</v>
          </cell>
          <cell r="CF247">
            <v>0</v>
          </cell>
          <cell r="CI247">
            <v>0</v>
          </cell>
          <cell r="CJ247">
            <v>0</v>
          </cell>
          <cell r="CK247">
            <v>0</v>
          </cell>
          <cell r="CV247">
            <v>1.7666679564248822E-4</v>
          </cell>
          <cell r="DG247">
            <v>7685606</v>
          </cell>
          <cell r="DR247">
            <v>2114213.23</v>
          </cell>
          <cell r="EC247">
            <v>3.6352085451664684</v>
          </cell>
          <cell r="EN247">
            <v>2.4095909012463064E-2</v>
          </cell>
        </row>
        <row r="248">
          <cell r="B248">
            <v>37605</v>
          </cell>
          <cell r="C248" t="str">
            <v>Randolph Community College</v>
          </cell>
          <cell r="D248">
            <v>6.714855743055173E-4</v>
          </cell>
          <cell r="E248">
            <v>1161826.6131684203</v>
          </cell>
          <cell r="F248">
            <v>905902.8548344539</v>
          </cell>
          <cell r="G248">
            <v>135756</v>
          </cell>
          <cell r="H248">
            <v>-324190.90860556014</v>
          </cell>
          <cell r="I248">
            <v>-13415.631480854663</v>
          </cell>
          <cell r="J248">
            <v>980419.12043000257</v>
          </cell>
          <cell r="K248">
            <v>0</v>
          </cell>
          <cell r="L248">
            <v>-51512.84816793599</v>
          </cell>
          <cell r="M248">
            <v>9244.3497319930793</v>
          </cell>
          <cell r="N248">
            <v>348.48758335307735</v>
          </cell>
          <cell r="O248">
            <v>-157.26863635809519</v>
          </cell>
          <cell r="P248">
            <v>0</v>
          </cell>
          <cell r="Q248">
            <v>0</v>
          </cell>
          <cell r="R248">
            <v>0</v>
          </cell>
          <cell r="S248">
            <v>2804220.7688575145</v>
          </cell>
          <cell r="T248">
            <v>687047</v>
          </cell>
          <cell r="U248">
            <v>4902095.6021500127</v>
          </cell>
          <cell r="V248">
            <v>36977.398927972317</v>
          </cell>
          <cell r="W248">
            <v>0</v>
          </cell>
          <cell r="X248">
            <v>5626120.0010779854</v>
          </cell>
          <cell r="Y248">
            <v>8266.0600000000559</v>
          </cell>
          <cell r="Z248">
            <v>0</v>
          </cell>
          <cell r="AA248">
            <v>0</v>
          </cell>
          <cell r="AB248">
            <v>67078.157404273312</v>
          </cell>
          <cell r="AC248">
            <v>75344.217404273368</v>
          </cell>
          <cell r="AD248" t="str">
            <v>N/A</v>
          </cell>
          <cell r="AE248">
            <v>1112004</v>
          </cell>
          <cell r="AF248">
            <v>1112005</v>
          </cell>
          <cell r="AG248">
            <v>1112005</v>
          </cell>
          <cell r="AH248">
            <v>1112005</v>
          </cell>
          <cell r="AI248">
            <v>1102760</v>
          </cell>
          <cell r="AJ248">
            <v>0</v>
          </cell>
          <cell r="AK248">
            <v>5550779</v>
          </cell>
          <cell r="AL248">
            <v>21438308</v>
          </cell>
          <cell r="AM248">
            <v>2804220.7688575145</v>
          </cell>
          <cell r="AN248">
            <v>-581399.93999999994</v>
          </cell>
          <cell r="AO248">
            <v>4871994.8436737126</v>
          </cell>
          <cell r="AP248">
            <v>0</v>
          </cell>
          <cell r="AQ248">
            <v>678780.94</v>
          </cell>
          <cell r="AR248">
            <v>0</v>
          </cell>
          <cell r="AS248">
            <v>0</v>
          </cell>
          <cell r="AT248">
            <v>29211904.61253123</v>
          </cell>
          <cell r="AU248">
            <v>6.4661847757700589E-4</v>
          </cell>
          <cell r="AV248">
            <v>0</v>
          </cell>
          <cell r="AW248">
            <v>0</v>
          </cell>
          <cell r="AY248">
            <v>0</v>
          </cell>
          <cell r="AZ248">
            <v>0</v>
          </cell>
          <cell r="BA248">
            <v>0</v>
          </cell>
          <cell r="BB248">
            <v>0</v>
          </cell>
          <cell r="BC248">
            <v>0</v>
          </cell>
          <cell r="BD248">
            <v>0</v>
          </cell>
          <cell r="BE248">
            <v>0</v>
          </cell>
          <cell r="BF248">
            <v>0</v>
          </cell>
          <cell r="BG248">
            <v>0</v>
          </cell>
          <cell r="BH248">
            <v>0</v>
          </cell>
          <cell r="BJ248">
            <v>0</v>
          </cell>
          <cell r="BL248">
            <v>0</v>
          </cell>
          <cell r="BM248">
            <v>0</v>
          </cell>
          <cell r="BN248">
            <v>0</v>
          </cell>
          <cell r="BO248">
            <v>0</v>
          </cell>
          <cell r="BQ248">
            <v>0</v>
          </cell>
          <cell r="BR248">
            <v>0</v>
          </cell>
          <cell r="BS248">
            <v>0</v>
          </cell>
          <cell r="BT248">
            <v>0</v>
          </cell>
          <cell r="CB248">
            <v>0</v>
          </cell>
          <cell r="CC248">
            <v>0</v>
          </cell>
          <cell r="CD248">
            <v>0</v>
          </cell>
          <cell r="CE248">
            <v>0</v>
          </cell>
          <cell r="CF248">
            <v>0</v>
          </cell>
          <cell r="CI248">
            <v>0</v>
          </cell>
          <cell r="CJ248">
            <v>0</v>
          </cell>
          <cell r="CK248">
            <v>0</v>
          </cell>
          <cell r="CV248">
            <v>6.714855743055173E-4</v>
          </cell>
          <cell r="DG248">
            <v>29211905</v>
          </cell>
          <cell r="DR248">
            <v>9863149.0599999987</v>
          </cell>
          <cell r="EC248">
            <v>2.9617219431944797</v>
          </cell>
          <cell r="EN248">
            <v>2.4095909012463064E-2</v>
          </cell>
        </row>
        <row r="249">
          <cell r="B249">
            <v>37610</v>
          </cell>
          <cell r="C249" t="str">
            <v>Asheboro City Schools</v>
          </cell>
          <cell r="D249">
            <v>1.707319596015172E-3</v>
          </cell>
          <cell r="E249">
            <v>2954060.9951091306</v>
          </cell>
          <cell r="F249">
            <v>2303349.1043267562</v>
          </cell>
          <cell r="G249">
            <v>-578780</v>
          </cell>
          <cell r="H249">
            <v>-824287.98516586178</v>
          </cell>
          <cell r="I249">
            <v>-34110.592091081664</v>
          </cell>
          <cell r="J249">
            <v>2492814.2028208403</v>
          </cell>
          <cell r="K249">
            <v>0</v>
          </cell>
          <cell r="L249">
            <v>-130976.59650340567</v>
          </cell>
          <cell r="M249">
            <v>23504.688788248339</v>
          </cell>
          <cell r="N249">
            <v>886.06472393995398</v>
          </cell>
          <cell r="O249">
            <v>-399.87132258271345</v>
          </cell>
          <cell r="P249">
            <v>0</v>
          </cell>
          <cell r="Q249">
            <v>0</v>
          </cell>
          <cell r="R249">
            <v>0</v>
          </cell>
          <cell r="S249">
            <v>6206060.0106859831</v>
          </cell>
          <cell r="T249">
            <v>0</v>
          </cell>
          <cell r="U249">
            <v>12464071.014104202</v>
          </cell>
          <cell r="V249">
            <v>94018.755152993355</v>
          </cell>
          <cell r="W249">
            <v>0</v>
          </cell>
          <cell r="X249">
            <v>12558089.769257195</v>
          </cell>
          <cell r="Y249">
            <v>2893896.16</v>
          </cell>
          <cell r="Z249">
            <v>0</v>
          </cell>
          <cell r="AA249">
            <v>0</v>
          </cell>
          <cell r="AB249">
            <v>170552.96045540832</v>
          </cell>
          <cell r="AC249">
            <v>3064449.1204554085</v>
          </cell>
          <cell r="AD249" t="str">
            <v>N/A</v>
          </cell>
          <cell r="AE249">
            <v>1903429</v>
          </cell>
          <cell r="AF249">
            <v>1903428</v>
          </cell>
          <cell r="AG249">
            <v>1903428</v>
          </cell>
          <cell r="AH249">
            <v>1903428</v>
          </cell>
          <cell r="AI249">
            <v>1879924</v>
          </cell>
          <cell r="AJ249">
            <v>0</v>
          </cell>
          <cell r="AK249">
            <v>9493637</v>
          </cell>
          <cell r="AL249">
            <v>59914805</v>
          </cell>
          <cell r="AM249">
            <v>6206060.0106859831</v>
          </cell>
          <cell r="AN249">
            <v>-1340299.8400000001</v>
          </cell>
          <cell r="AO249">
            <v>12387536.808801789</v>
          </cell>
          <cell r="AP249">
            <v>0</v>
          </cell>
          <cell r="AQ249">
            <v>-2893896.16</v>
          </cell>
          <cell r="AR249">
            <v>0</v>
          </cell>
          <cell r="AS249">
            <v>0</v>
          </cell>
          <cell r="AT249">
            <v>74274205.819487765</v>
          </cell>
          <cell r="AU249">
            <v>1.8071398300985161E-3</v>
          </cell>
          <cell r="AV249">
            <v>0</v>
          </cell>
          <cell r="AW249">
            <v>0</v>
          </cell>
          <cell r="AY249">
            <v>0</v>
          </cell>
          <cell r="AZ249">
            <v>0</v>
          </cell>
          <cell r="BA249">
            <v>0</v>
          </cell>
          <cell r="BB249">
            <v>0</v>
          </cell>
          <cell r="BC249">
            <v>0</v>
          </cell>
          <cell r="BD249">
            <v>0</v>
          </cell>
          <cell r="BE249">
            <v>0</v>
          </cell>
          <cell r="BF249">
            <v>0</v>
          </cell>
          <cell r="BG249">
            <v>0</v>
          </cell>
          <cell r="BH249">
            <v>0</v>
          </cell>
          <cell r="BJ249">
            <v>0</v>
          </cell>
          <cell r="BL249">
            <v>0</v>
          </cell>
          <cell r="BM249">
            <v>0</v>
          </cell>
          <cell r="BN249">
            <v>0</v>
          </cell>
          <cell r="BO249">
            <v>0</v>
          </cell>
          <cell r="BQ249">
            <v>0</v>
          </cell>
          <cell r="BR249">
            <v>0</v>
          </cell>
          <cell r="BS249">
            <v>0</v>
          </cell>
          <cell r="BT249">
            <v>0</v>
          </cell>
          <cell r="CB249">
            <v>0</v>
          </cell>
          <cell r="CC249">
            <v>0</v>
          </cell>
          <cell r="CD249">
            <v>0</v>
          </cell>
          <cell r="CE249">
            <v>0</v>
          </cell>
          <cell r="CF249">
            <v>0</v>
          </cell>
          <cell r="CI249">
            <v>0</v>
          </cell>
          <cell r="CJ249">
            <v>0</v>
          </cell>
          <cell r="CK249">
            <v>0</v>
          </cell>
          <cell r="CV249">
            <v>1.707319596015172E-3</v>
          </cell>
          <cell r="DG249">
            <v>74274206</v>
          </cell>
          <cell r="DR249">
            <v>23483385.259999994</v>
          </cell>
          <cell r="EC249">
            <v>3.1628406712942554</v>
          </cell>
          <cell r="EN249">
            <v>2.4095909012463064E-2</v>
          </cell>
        </row>
        <row r="250">
          <cell r="B250">
            <v>37700</v>
          </cell>
          <cell r="C250" t="str">
            <v>Richmond County Schools</v>
          </cell>
          <cell r="D250">
            <v>2.3816434519789462E-3</v>
          </cell>
          <cell r="E250">
            <v>4120798.4973456315</v>
          </cell>
          <cell r="F250">
            <v>3213081.0919906064</v>
          </cell>
          <cell r="G250">
            <v>220049</v>
          </cell>
          <cell r="H250">
            <v>-1149849.2063215023</v>
          </cell>
          <cell r="I250">
            <v>-47582.92969076163</v>
          </cell>
          <cell r="J250">
            <v>3477377.4265844086</v>
          </cell>
          <cell r="K250">
            <v>0</v>
          </cell>
          <cell r="L250">
            <v>-182707.18274005721</v>
          </cell>
          <cell r="M250">
            <v>32788.113176929262</v>
          </cell>
          <cell r="N250">
            <v>1236.0253187080334</v>
          </cell>
          <cell r="O250">
            <v>-557.80471288798901</v>
          </cell>
          <cell r="P250">
            <v>0</v>
          </cell>
          <cell r="Q250">
            <v>0</v>
          </cell>
          <cell r="R250">
            <v>0</v>
          </cell>
          <cell r="S250">
            <v>9684633.0309510753</v>
          </cell>
          <cell r="T250">
            <v>1125107</v>
          </cell>
          <cell r="U250">
            <v>17386887.132922042</v>
          </cell>
          <cell r="V250">
            <v>131152.45270771705</v>
          </cell>
          <cell r="W250">
            <v>0</v>
          </cell>
          <cell r="X250">
            <v>18643146.585629757</v>
          </cell>
          <cell r="Y250">
            <v>24862.29000000027</v>
          </cell>
          <cell r="Z250">
            <v>0</v>
          </cell>
          <cell r="AA250">
            <v>0</v>
          </cell>
          <cell r="AB250">
            <v>237914.64845380813</v>
          </cell>
          <cell r="AC250">
            <v>262776.93845380843</v>
          </cell>
          <cell r="AD250" t="str">
            <v>N/A</v>
          </cell>
          <cell r="AE250">
            <v>3682632</v>
          </cell>
          <cell r="AF250">
            <v>3682632</v>
          </cell>
          <cell r="AG250">
            <v>3682632</v>
          </cell>
          <cell r="AH250">
            <v>3682632</v>
          </cell>
          <cell r="AI250">
            <v>3649843</v>
          </cell>
          <cell r="AJ250">
            <v>0</v>
          </cell>
          <cell r="AK250">
            <v>18380371</v>
          </cell>
          <cell r="AL250">
            <v>77612052</v>
          </cell>
          <cell r="AM250">
            <v>9684633.0309510753</v>
          </cell>
          <cell r="AN250">
            <v>-2067469.7099999997</v>
          </cell>
          <cell r="AO250">
            <v>17280124.937175956</v>
          </cell>
          <cell r="AP250">
            <v>0</v>
          </cell>
          <cell r="AQ250">
            <v>1100244.7099999997</v>
          </cell>
          <cell r="AR250">
            <v>0</v>
          </cell>
          <cell r="AS250">
            <v>0</v>
          </cell>
          <cell r="AT250">
            <v>103609584.96812704</v>
          </cell>
          <cell r="AU250">
            <v>2.3409210972182718E-3</v>
          </cell>
          <cell r="AV250">
            <v>0</v>
          </cell>
          <cell r="AW250">
            <v>0</v>
          </cell>
          <cell r="AY250">
            <v>0</v>
          </cell>
          <cell r="AZ250">
            <v>0</v>
          </cell>
          <cell r="BA250">
            <v>0</v>
          </cell>
          <cell r="BB250">
            <v>0</v>
          </cell>
          <cell r="BC250">
            <v>0</v>
          </cell>
          <cell r="BD250">
            <v>0</v>
          </cell>
          <cell r="BE250">
            <v>0</v>
          </cell>
          <cell r="BF250">
            <v>0</v>
          </cell>
          <cell r="BG250">
            <v>0</v>
          </cell>
          <cell r="BH250">
            <v>0</v>
          </cell>
          <cell r="BJ250">
            <v>0</v>
          </cell>
          <cell r="BL250">
            <v>0</v>
          </cell>
          <cell r="BM250">
            <v>0</v>
          </cell>
          <cell r="BN250">
            <v>0</v>
          </cell>
          <cell r="BO250">
            <v>0</v>
          </cell>
          <cell r="BQ250">
            <v>0</v>
          </cell>
          <cell r="BR250">
            <v>0</v>
          </cell>
          <cell r="BS250">
            <v>0</v>
          </cell>
          <cell r="BT250">
            <v>0</v>
          </cell>
          <cell r="CB250">
            <v>0</v>
          </cell>
          <cell r="CC250">
            <v>0</v>
          </cell>
          <cell r="CD250">
            <v>0</v>
          </cell>
          <cell r="CE250">
            <v>0</v>
          </cell>
          <cell r="CF250">
            <v>0</v>
          </cell>
          <cell r="CI250">
            <v>0</v>
          </cell>
          <cell r="CJ250">
            <v>0</v>
          </cell>
          <cell r="CK250">
            <v>0</v>
          </cell>
          <cell r="CV250">
            <v>2.3816434519789462E-3</v>
          </cell>
          <cell r="DG250">
            <v>103609585</v>
          </cell>
          <cell r="DR250">
            <v>35867836.239999972</v>
          </cell>
          <cell r="EC250">
            <v>2.8886488804823451</v>
          </cell>
          <cell r="EN250">
            <v>2.4095909012463064E-2</v>
          </cell>
        </row>
        <row r="251">
          <cell r="B251">
            <v>37705</v>
          </cell>
          <cell r="C251" t="str">
            <v>Richmond Technical College</v>
          </cell>
          <cell r="D251">
            <v>6.9131020644434534E-4</v>
          </cell>
          <cell r="E251">
            <v>1196127.8492582438</v>
          </cell>
          <cell r="F251">
            <v>932648.31525507639</v>
          </cell>
          <cell r="G251">
            <v>84828</v>
          </cell>
          <cell r="H251">
            <v>-333762.17231067357</v>
          </cell>
          <cell r="I251">
            <v>-13811.708432013433</v>
          </cell>
          <cell r="J251">
            <v>1009364.5649013902</v>
          </cell>
          <cell r="K251">
            <v>0</v>
          </cell>
          <cell r="L251">
            <v>-53033.689872404226</v>
          </cell>
          <cell r="M251">
            <v>9517.2756738332737</v>
          </cell>
          <cell r="N251">
            <v>358.77617094048634</v>
          </cell>
          <cell r="O251">
            <v>-161.91176345133013</v>
          </cell>
          <cell r="P251">
            <v>0</v>
          </cell>
          <cell r="Q251">
            <v>0</v>
          </cell>
          <cell r="R251">
            <v>0</v>
          </cell>
          <cell r="S251">
            <v>2832075.2988809417</v>
          </cell>
          <cell r="T251">
            <v>424136.19000000006</v>
          </cell>
          <cell r="U251">
            <v>5046822.8245069506</v>
          </cell>
          <cell r="V251">
            <v>38069.102695333095</v>
          </cell>
          <cell r="W251">
            <v>0</v>
          </cell>
          <cell r="X251">
            <v>5509028.1172022838</v>
          </cell>
          <cell r="Y251">
            <v>0</v>
          </cell>
          <cell r="Z251">
            <v>0</v>
          </cell>
          <cell r="AA251">
            <v>0</v>
          </cell>
          <cell r="AB251">
            <v>69058.542160067169</v>
          </cell>
          <cell r="AC251">
            <v>69058.542160067169</v>
          </cell>
          <cell r="AD251" t="str">
            <v>N/A</v>
          </cell>
          <cell r="AE251">
            <v>1089897</v>
          </cell>
          <cell r="AF251">
            <v>1089898</v>
          </cell>
          <cell r="AG251">
            <v>1089898</v>
          </cell>
          <cell r="AH251">
            <v>1089898</v>
          </cell>
          <cell r="AI251">
            <v>1080381</v>
          </cell>
          <cell r="AJ251">
            <v>0</v>
          </cell>
          <cell r="AK251">
            <v>5439972</v>
          </cell>
          <cell r="AL251">
            <v>22415476</v>
          </cell>
          <cell r="AM251">
            <v>2832075.2988809417</v>
          </cell>
          <cell r="AN251">
            <v>-613177.19000000006</v>
          </cell>
          <cell r="AO251">
            <v>5015833.3850422176</v>
          </cell>
          <cell r="AP251">
            <v>0</v>
          </cell>
          <cell r="AQ251">
            <v>424136.19000000006</v>
          </cell>
          <cell r="AR251">
            <v>0</v>
          </cell>
          <cell r="AS251">
            <v>0</v>
          </cell>
          <cell r="AT251">
            <v>30074343.683923159</v>
          </cell>
          <cell r="AU251">
            <v>6.7609164069393809E-4</v>
          </cell>
          <cell r="AV251">
            <v>0</v>
          </cell>
          <cell r="AW251">
            <v>0</v>
          </cell>
          <cell r="AY251">
            <v>0</v>
          </cell>
          <cell r="AZ251">
            <v>0</v>
          </cell>
          <cell r="BA251">
            <v>0</v>
          </cell>
          <cell r="BB251">
            <v>0</v>
          </cell>
          <cell r="BC251">
            <v>0</v>
          </cell>
          <cell r="BD251">
            <v>0</v>
          </cell>
          <cell r="BE251">
            <v>0</v>
          </cell>
          <cell r="BF251">
            <v>0</v>
          </cell>
          <cell r="BG251">
            <v>0</v>
          </cell>
          <cell r="BH251">
            <v>0</v>
          </cell>
          <cell r="BJ251">
            <v>0</v>
          </cell>
          <cell r="BL251">
            <v>0</v>
          </cell>
          <cell r="BM251">
            <v>0</v>
          </cell>
          <cell r="BN251">
            <v>0</v>
          </cell>
          <cell r="BO251">
            <v>0</v>
          </cell>
          <cell r="BQ251">
            <v>0</v>
          </cell>
          <cell r="BR251">
            <v>0</v>
          </cell>
          <cell r="BS251">
            <v>0</v>
          </cell>
          <cell r="BT251">
            <v>0</v>
          </cell>
          <cell r="CB251">
            <v>0</v>
          </cell>
          <cell r="CC251">
            <v>0</v>
          </cell>
          <cell r="CD251">
            <v>0</v>
          </cell>
          <cell r="CE251">
            <v>0</v>
          </cell>
          <cell r="CF251">
            <v>0</v>
          </cell>
          <cell r="CI251">
            <v>0</v>
          </cell>
          <cell r="CJ251">
            <v>0</v>
          </cell>
          <cell r="CK251">
            <v>0</v>
          </cell>
          <cell r="CV251">
            <v>6.9131020644434534E-4</v>
          </cell>
          <cell r="DG251">
            <v>30074344</v>
          </cell>
          <cell r="DR251">
            <v>10587343.410000011</v>
          </cell>
          <cell r="EC251">
            <v>2.8405939842844834</v>
          </cell>
          <cell r="EN251">
            <v>2.4095909012463064E-2</v>
          </cell>
        </row>
        <row r="252">
          <cell r="B252">
            <v>37800</v>
          </cell>
          <cell r="C252" t="str">
            <v>Robeson County Schools</v>
          </cell>
          <cell r="D252">
            <v>7.1731948989898703E-3</v>
          </cell>
          <cell r="E252">
            <v>12411299.741933879</v>
          </cell>
          <cell r="F252">
            <v>9677375.0411535427</v>
          </cell>
          <cell r="G252">
            <v>242943</v>
          </cell>
          <cell r="H252">
            <v>-3463193.6424150635</v>
          </cell>
          <cell r="I252">
            <v>-143313.4872699586</v>
          </cell>
          <cell r="J252">
            <v>10473400.624896858</v>
          </cell>
          <cell r="K252">
            <v>0</v>
          </cell>
          <cell r="L252">
            <v>-550289.85558304051</v>
          </cell>
          <cell r="M252">
            <v>98753.457824605837</v>
          </cell>
          <cell r="N252">
            <v>3722.744688677763</v>
          </cell>
          <cell r="O252">
            <v>-1680.0339772924176</v>
          </cell>
          <cell r="P252">
            <v>0</v>
          </cell>
          <cell r="Q252">
            <v>0</v>
          </cell>
          <cell r="R252">
            <v>0</v>
          </cell>
          <cell r="S252">
            <v>28749017.591252204</v>
          </cell>
          <cell r="T252">
            <v>1214714.4499999993</v>
          </cell>
          <cell r="U252">
            <v>52367003.124484286</v>
          </cell>
          <cell r="V252">
            <v>395013.83129842335</v>
          </cell>
          <cell r="W252">
            <v>0</v>
          </cell>
          <cell r="X252">
            <v>53976731.405782714</v>
          </cell>
          <cell r="Y252">
            <v>0</v>
          </cell>
          <cell r="Z252">
            <v>0</v>
          </cell>
          <cell r="AA252">
            <v>0</v>
          </cell>
          <cell r="AB252">
            <v>716567.43634979299</v>
          </cell>
          <cell r="AC252">
            <v>716567.43634979299</v>
          </cell>
          <cell r="AD252" t="str">
            <v>N/A</v>
          </cell>
          <cell r="AE252">
            <v>10671783</v>
          </cell>
          <cell r="AF252">
            <v>10671785</v>
          </cell>
          <cell r="AG252">
            <v>10671785</v>
          </cell>
          <cell r="AH252">
            <v>10671785</v>
          </cell>
          <cell r="AI252">
            <v>10573031</v>
          </cell>
          <cell r="AJ252">
            <v>0</v>
          </cell>
          <cell r="AK252">
            <v>53260169</v>
          </cell>
          <cell r="AL252">
            <v>236376156</v>
          </cell>
          <cell r="AM252">
            <v>28749017.591252204</v>
          </cell>
          <cell r="AN252">
            <v>-6326977.4499999993</v>
          </cell>
          <cell r="AO252">
            <v>52045449.519432925</v>
          </cell>
          <cell r="AP252">
            <v>0</v>
          </cell>
          <cell r="AQ252">
            <v>1214714.4499999993</v>
          </cell>
          <cell r="AR252">
            <v>0</v>
          </cell>
          <cell r="AS252">
            <v>0</v>
          </cell>
          <cell r="AT252">
            <v>312058360.11068511</v>
          </cell>
          <cell r="AU252">
            <v>7.1295361318919059E-3</v>
          </cell>
          <cell r="AV252">
            <v>0</v>
          </cell>
          <cell r="AW252">
            <v>0</v>
          </cell>
          <cell r="AY252">
            <v>0</v>
          </cell>
          <cell r="AZ252">
            <v>0</v>
          </cell>
          <cell r="BA252">
            <v>0</v>
          </cell>
          <cell r="BB252">
            <v>0</v>
          </cell>
          <cell r="BC252">
            <v>0</v>
          </cell>
          <cell r="BD252">
            <v>0</v>
          </cell>
          <cell r="BE252">
            <v>0</v>
          </cell>
          <cell r="BF252">
            <v>0</v>
          </cell>
          <cell r="BG252">
            <v>0</v>
          </cell>
          <cell r="BH252">
            <v>0</v>
          </cell>
          <cell r="BJ252">
            <v>0</v>
          </cell>
          <cell r="BL252">
            <v>0</v>
          </cell>
          <cell r="BM252">
            <v>0</v>
          </cell>
          <cell r="BN252">
            <v>0</v>
          </cell>
          <cell r="BO252">
            <v>0</v>
          </cell>
          <cell r="BQ252">
            <v>0</v>
          </cell>
          <cell r="BR252">
            <v>0</v>
          </cell>
          <cell r="BS252">
            <v>0</v>
          </cell>
          <cell r="BT252">
            <v>0</v>
          </cell>
          <cell r="CB252">
            <v>0</v>
          </cell>
          <cell r="CC252">
            <v>0</v>
          </cell>
          <cell r="CD252">
            <v>0</v>
          </cell>
          <cell r="CE252">
            <v>0</v>
          </cell>
          <cell r="CF252">
            <v>0</v>
          </cell>
          <cell r="CI252">
            <v>0</v>
          </cell>
          <cell r="CJ252">
            <v>0</v>
          </cell>
          <cell r="CK252">
            <v>0</v>
          </cell>
          <cell r="CV252">
            <v>7.1731948989898703E-3</v>
          </cell>
          <cell r="DG252">
            <v>312058360</v>
          </cell>
          <cell r="DR252">
            <v>110477153.28999995</v>
          </cell>
          <cell r="EC252">
            <v>2.8246415725507887</v>
          </cell>
          <cell r="EN252">
            <v>2.4095909012463064E-2</v>
          </cell>
        </row>
        <row r="253">
          <cell r="B253">
            <v>37801</v>
          </cell>
          <cell r="C253" t="str">
            <v>Southeastern Academy Charter School</v>
          </cell>
          <cell r="D253">
            <v>4.4965534032614388E-5</v>
          </cell>
          <cell r="E253">
            <v>77800.858445027741</v>
          </cell>
          <cell r="F253">
            <v>60663.113561941595</v>
          </cell>
          <cell r="G253">
            <v>-21752</v>
          </cell>
          <cell r="H253">
            <v>-21709.204027270669</v>
          </cell>
          <cell r="I253">
            <v>-898.36782353110755</v>
          </cell>
          <cell r="J253">
            <v>65653.040084317588</v>
          </cell>
          <cell r="K253">
            <v>0</v>
          </cell>
          <cell r="L253">
            <v>-3449.5197157554057</v>
          </cell>
          <cell r="M253">
            <v>619.04103139257734</v>
          </cell>
          <cell r="N253">
            <v>23.336212852246216</v>
          </cell>
          <cell r="O253">
            <v>-10.531377725778617</v>
          </cell>
          <cell r="P253">
            <v>0</v>
          </cell>
          <cell r="Q253">
            <v>0</v>
          </cell>
          <cell r="R253">
            <v>0</v>
          </cell>
          <cell r="S253">
            <v>156939.76639124879</v>
          </cell>
          <cell r="T253">
            <v>0</v>
          </cell>
          <cell r="U253">
            <v>328265.20042158797</v>
          </cell>
          <cell r="V253">
            <v>2476.1641255703094</v>
          </cell>
          <cell r="W253">
            <v>0</v>
          </cell>
          <cell r="X253">
            <v>330741.3645471583</v>
          </cell>
          <cell r="Y253">
            <v>108760.39</v>
          </cell>
          <cell r="Z253">
            <v>0</v>
          </cell>
          <cell r="AA253">
            <v>0</v>
          </cell>
          <cell r="AB253">
            <v>4491.8391176555378</v>
          </cell>
          <cell r="AC253">
            <v>113252.22911765554</v>
          </cell>
          <cell r="AD253" t="str">
            <v>N/A</v>
          </cell>
          <cell r="AE253">
            <v>43622</v>
          </cell>
          <cell r="AF253">
            <v>43621</v>
          </cell>
          <cell r="AG253">
            <v>43621</v>
          </cell>
          <cell r="AH253">
            <v>43621</v>
          </cell>
          <cell r="AI253">
            <v>43002</v>
          </cell>
          <cell r="AJ253">
            <v>0</v>
          </cell>
          <cell r="AK253">
            <v>217487</v>
          </cell>
          <cell r="AL253">
            <v>1620531</v>
          </cell>
          <cell r="AM253">
            <v>156939.76639124879</v>
          </cell>
          <cell r="AN253">
            <v>-38806.61</v>
          </cell>
          <cell r="AO253">
            <v>326249.52542950277</v>
          </cell>
          <cell r="AP253">
            <v>0</v>
          </cell>
          <cell r="AQ253">
            <v>-108760.39</v>
          </cell>
          <cell r="AR253">
            <v>0</v>
          </cell>
          <cell r="AS253">
            <v>0</v>
          </cell>
          <cell r="AT253">
            <v>1956153.2918207517</v>
          </cell>
          <cell r="AU253">
            <v>4.8878182060460927E-5</v>
          </cell>
          <cell r="AV253">
            <v>0</v>
          </cell>
          <cell r="AW253">
            <v>0</v>
          </cell>
          <cell r="AY253">
            <v>0</v>
          </cell>
          <cell r="AZ253">
            <v>0</v>
          </cell>
          <cell r="BA253">
            <v>0</v>
          </cell>
          <cell r="BB253">
            <v>0</v>
          </cell>
          <cell r="BC253">
            <v>0</v>
          </cell>
          <cell r="BD253">
            <v>0</v>
          </cell>
          <cell r="BE253">
            <v>0</v>
          </cell>
          <cell r="BF253">
            <v>0</v>
          </cell>
          <cell r="BG253">
            <v>0</v>
          </cell>
          <cell r="BH253">
            <v>0</v>
          </cell>
          <cell r="BJ253">
            <v>0</v>
          </cell>
          <cell r="BL253">
            <v>0</v>
          </cell>
          <cell r="BM253">
            <v>0</v>
          </cell>
          <cell r="BN253">
            <v>0</v>
          </cell>
          <cell r="BO253">
            <v>0</v>
          </cell>
          <cell r="BQ253">
            <v>0</v>
          </cell>
          <cell r="BR253">
            <v>0</v>
          </cell>
          <cell r="BS253">
            <v>0</v>
          </cell>
          <cell r="BT253">
            <v>0</v>
          </cell>
          <cell r="CB253">
            <v>0</v>
          </cell>
          <cell r="CC253">
            <v>0</v>
          </cell>
          <cell r="CD253">
            <v>0</v>
          </cell>
          <cell r="CE253">
            <v>0</v>
          </cell>
          <cell r="CF253">
            <v>0</v>
          </cell>
          <cell r="CI253">
            <v>0</v>
          </cell>
          <cell r="CJ253">
            <v>0</v>
          </cell>
          <cell r="CK253">
            <v>0</v>
          </cell>
          <cell r="CV253">
            <v>4.4965534032614388E-5</v>
          </cell>
          <cell r="DG253">
            <v>1956154</v>
          </cell>
          <cell r="DR253">
            <v>600184.69000000006</v>
          </cell>
          <cell r="EC253">
            <v>3.2592534141449021</v>
          </cell>
          <cell r="EN253">
            <v>2.4095909012463064E-2</v>
          </cell>
        </row>
        <row r="254">
          <cell r="B254">
            <v>37805</v>
          </cell>
          <cell r="C254" t="str">
            <v>Robeson Community College</v>
          </cell>
          <cell r="D254">
            <v>5.8781813010430888E-4</v>
          </cell>
          <cell r="E254">
            <v>1017062.4260460327</v>
          </cell>
          <cell r="F254">
            <v>793026.8982110112</v>
          </cell>
          <cell r="G254">
            <v>-422245</v>
          </cell>
          <cell r="H254">
            <v>-283796.55644937576</v>
          </cell>
          <cell r="I254">
            <v>-11744.036972649068</v>
          </cell>
          <cell r="J254">
            <v>858258.39920049056</v>
          </cell>
          <cell r="K254">
            <v>0</v>
          </cell>
          <cell r="L254">
            <v>-45094.321077173598</v>
          </cell>
          <cell r="M254">
            <v>8092.4990519871435</v>
          </cell>
          <cell r="N254">
            <v>305.06585316153422</v>
          </cell>
          <cell r="O254">
            <v>-137.67288425173018</v>
          </cell>
          <cell r="P254">
            <v>0</v>
          </cell>
          <cell r="Q254">
            <v>0</v>
          </cell>
          <cell r="R254">
            <v>0</v>
          </cell>
          <cell r="S254">
            <v>1913727.7009792328</v>
          </cell>
          <cell r="T254">
            <v>20089.729999999981</v>
          </cell>
          <cell r="U254">
            <v>4291291.9960024534</v>
          </cell>
          <cell r="V254">
            <v>32369.996207948574</v>
          </cell>
          <cell r="W254">
            <v>0</v>
          </cell>
          <cell r="X254">
            <v>4343751.7222104017</v>
          </cell>
          <cell r="Y254">
            <v>2131317</v>
          </cell>
          <cell r="Z254">
            <v>0</v>
          </cell>
          <cell r="AA254">
            <v>0</v>
          </cell>
          <cell r="AB254">
            <v>58720.18486324534</v>
          </cell>
          <cell r="AC254">
            <v>2190037.1848632451</v>
          </cell>
          <cell r="AD254" t="str">
            <v>N/A</v>
          </cell>
          <cell r="AE254">
            <v>432362</v>
          </cell>
          <cell r="AF254">
            <v>432361</v>
          </cell>
          <cell r="AG254">
            <v>432361</v>
          </cell>
          <cell r="AH254">
            <v>432361</v>
          </cell>
          <cell r="AI254">
            <v>424268</v>
          </cell>
          <cell r="AJ254">
            <v>0</v>
          </cell>
          <cell r="AK254">
            <v>2153713</v>
          </cell>
          <cell r="AL254">
            <v>22046392</v>
          </cell>
          <cell r="AM254">
            <v>1913727.7009792328</v>
          </cell>
          <cell r="AN254">
            <v>-541747.73</v>
          </cell>
          <cell r="AO254">
            <v>4264941.8073471561</v>
          </cell>
          <cell r="AP254">
            <v>0</v>
          </cell>
          <cell r="AQ254">
            <v>-2111227.27</v>
          </cell>
          <cell r="AR254">
            <v>0</v>
          </cell>
          <cell r="AS254">
            <v>0</v>
          </cell>
          <cell r="AT254">
            <v>25572086.508326389</v>
          </cell>
          <cell r="AU254">
            <v>6.6495941749002152E-4</v>
          </cell>
          <cell r="AV254">
            <v>0</v>
          </cell>
          <cell r="AW254">
            <v>0</v>
          </cell>
          <cell r="AY254">
            <v>0</v>
          </cell>
          <cell r="AZ254">
            <v>0</v>
          </cell>
          <cell r="BA254">
            <v>0</v>
          </cell>
          <cell r="BB254">
            <v>0</v>
          </cell>
          <cell r="BC254">
            <v>0</v>
          </cell>
          <cell r="BD254">
            <v>0</v>
          </cell>
          <cell r="BE254">
            <v>0</v>
          </cell>
          <cell r="BF254">
            <v>0</v>
          </cell>
          <cell r="BG254">
            <v>0</v>
          </cell>
          <cell r="BH254">
            <v>0</v>
          </cell>
          <cell r="BJ254">
            <v>0</v>
          </cell>
          <cell r="BL254">
            <v>0</v>
          </cell>
          <cell r="BM254">
            <v>0</v>
          </cell>
          <cell r="BN254">
            <v>0</v>
          </cell>
          <cell r="BO254">
            <v>0</v>
          </cell>
          <cell r="BQ254">
            <v>0</v>
          </cell>
          <cell r="BR254">
            <v>0</v>
          </cell>
          <cell r="BS254">
            <v>0</v>
          </cell>
          <cell r="BT254">
            <v>0</v>
          </cell>
          <cell r="CB254">
            <v>0</v>
          </cell>
          <cell r="CC254">
            <v>0</v>
          </cell>
          <cell r="CD254">
            <v>0</v>
          </cell>
          <cell r="CE254">
            <v>0</v>
          </cell>
          <cell r="CF254">
            <v>0</v>
          </cell>
          <cell r="CI254">
            <v>0</v>
          </cell>
          <cell r="CJ254">
            <v>0</v>
          </cell>
          <cell r="CK254">
            <v>0</v>
          </cell>
          <cell r="CV254">
            <v>5.8781813010430888E-4</v>
          </cell>
          <cell r="DG254">
            <v>25572087</v>
          </cell>
          <cell r="DR254">
            <v>9578945.2599999998</v>
          </cell>
          <cell r="EC254">
            <v>2.6696140656304368</v>
          </cell>
          <cell r="EN254">
            <v>2.4095909012463064E-2</v>
          </cell>
        </row>
        <row r="255">
          <cell r="B255">
            <v>37900</v>
          </cell>
          <cell r="C255" t="str">
            <v>Rockingham County Schools</v>
          </cell>
          <cell r="D255">
            <v>3.9041682104257506E-3</v>
          </cell>
          <cell r="E255">
            <v>6755121.3350340053</v>
          </cell>
          <cell r="F255">
            <v>5267123.0223173955</v>
          </cell>
          <cell r="G255">
            <v>-1316550</v>
          </cell>
          <cell r="H255">
            <v>-1884918.8842156606</v>
          </cell>
          <cell r="I255">
            <v>-78001.499890016858</v>
          </cell>
          <cell r="J255">
            <v>5700377.3563344311</v>
          </cell>
          <cell r="K255">
            <v>0</v>
          </cell>
          <cell r="L255">
            <v>-299507.28942129051</v>
          </cell>
          <cell r="M255">
            <v>53748.729281388885</v>
          </cell>
          <cell r="N255">
            <v>2026.1852178467561</v>
          </cell>
          <cell r="O255">
            <v>-914.39523656381505</v>
          </cell>
          <cell r="P255">
            <v>0</v>
          </cell>
          <cell r="Q255">
            <v>0</v>
          </cell>
          <cell r="R255">
            <v>0</v>
          </cell>
          <cell r="S255">
            <v>14198504.559421536</v>
          </cell>
          <cell r="T255">
            <v>106590.18999999994</v>
          </cell>
          <cell r="U255">
            <v>28501886.781672154</v>
          </cell>
          <cell r="V255">
            <v>214994.91712555554</v>
          </cell>
          <cell r="W255">
            <v>0</v>
          </cell>
          <cell r="X255">
            <v>28823471.888797712</v>
          </cell>
          <cell r="Y255">
            <v>6689339</v>
          </cell>
          <cell r="Z255">
            <v>0</v>
          </cell>
          <cell r="AA255">
            <v>0</v>
          </cell>
          <cell r="AB255">
            <v>390007.49945008429</v>
          </cell>
          <cell r="AC255">
            <v>7079346.4994500838</v>
          </cell>
          <cell r="AD255" t="str">
            <v>N/A</v>
          </cell>
          <cell r="AE255">
            <v>4359575</v>
          </cell>
          <cell r="AF255">
            <v>4359575</v>
          </cell>
          <cell r="AG255">
            <v>4359575</v>
          </cell>
          <cell r="AH255">
            <v>4359575</v>
          </cell>
          <cell r="AI255">
            <v>4305826</v>
          </cell>
          <cell r="AJ255">
            <v>0</v>
          </cell>
          <cell r="AK255">
            <v>21744126</v>
          </cell>
          <cell r="AL255">
            <v>137467925</v>
          </cell>
          <cell r="AM255">
            <v>14198504.559421536</v>
          </cell>
          <cell r="AN255">
            <v>-3565967.19</v>
          </cell>
          <cell r="AO255">
            <v>28326874.199347626</v>
          </cell>
          <cell r="AP255">
            <v>0</v>
          </cell>
          <cell r="AQ255">
            <v>-6582748.8100000005</v>
          </cell>
          <cell r="AR255">
            <v>0</v>
          </cell>
          <cell r="AS255">
            <v>0</v>
          </cell>
          <cell r="AT255">
            <v>169844587.75876915</v>
          </cell>
          <cell r="AU255">
            <v>4.1462834077513203E-3</v>
          </cell>
          <cell r="AV255">
            <v>0</v>
          </cell>
          <cell r="AW255">
            <v>0</v>
          </cell>
          <cell r="AY255">
            <v>0</v>
          </cell>
          <cell r="AZ255">
            <v>0</v>
          </cell>
          <cell r="BA255">
            <v>0</v>
          </cell>
          <cell r="BB255">
            <v>0</v>
          </cell>
          <cell r="BC255">
            <v>0</v>
          </cell>
          <cell r="BD255">
            <v>0</v>
          </cell>
          <cell r="BE255">
            <v>0</v>
          </cell>
          <cell r="BF255">
            <v>0</v>
          </cell>
          <cell r="BG255">
            <v>0</v>
          </cell>
          <cell r="BH255">
            <v>0</v>
          </cell>
          <cell r="BJ255">
            <v>0</v>
          </cell>
          <cell r="BL255">
            <v>0</v>
          </cell>
          <cell r="BM255">
            <v>0</v>
          </cell>
          <cell r="BN255">
            <v>0</v>
          </cell>
          <cell r="BO255">
            <v>0</v>
          </cell>
          <cell r="BQ255">
            <v>0</v>
          </cell>
          <cell r="BR255">
            <v>0</v>
          </cell>
          <cell r="BS255">
            <v>0</v>
          </cell>
          <cell r="BT255">
            <v>0</v>
          </cell>
          <cell r="CB255">
            <v>0</v>
          </cell>
          <cell r="CC255">
            <v>0</v>
          </cell>
          <cell r="CD255">
            <v>0</v>
          </cell>
          <cell r="CE255">
            <v>0</v>
          </cell>
          <cell r="CF255">
            <v>0</v>
          </cell>
          <cell r="CI255">
            <v>0</v>
          </cell>
          <cell r="CJ255">
            <v>0</v>
          </cell>
          <cell r="CK255">
            <v>0</v>
          </cell>
          <cell r="CV255">
            <v>3.9041682104257506E-3</v>
          </cell>
          <cell r="DG255">
            <v>169844587</v>
          </cell>
          <cell r="DR255">
            <v>62086132.349999972</v>
          </cell>
          <cell r="EC255">
            <v>2.7356284015652665</v>
          </cell>
          <cell r="EN255">
            <v>2.4095909012463064E-2</v>
          </cell>
        </row>
        <row r="256">
          <cell r="B256">
            <v>37901</v>
          </cell>
          <cell r="C256" t="str">
            <v>Bethany Community Middle School</v>
          </cell>
          <cell r="D256">
            <v>5.7632588406695614E-5</v>
          </cell>
          <cell r="E256">
            <v>99717.816076589617</v>
          </cell>
          <cell r="F256">
            <v>77752.268055977547</v>
          </cell>
          <cell r="G256">
            <v>10728</v>
          </cell>
          <cell r="H256">
            <v>-27824.813988268881</v>
          </cell>
          <cell r="I256">
            <v>-1151.4433026378306</v>
          </cell>
          <cell r="J256">
            <v>84147.886113914108</v>
          </cell>
          <cell r="K256">
            <v>0</v>
          </cell>
          <cell r="L256">
            <v>-4421.2696291945731</v>
          </cell>
          <cell r="M256">
            <v>793.42851667740808</v>
          </cell>
          <cell r="N256">
            <v>29.910160731306888</v>
          </cell>
          <cell r="O256">
            <v>-13.498128530732179</v>
          </cell>
          <cell r="P256">
            <v>0</v>
          </cell>
          <cell r="Q256">
            <v>0</v>
          </cell>
          <cell r="R256">
            <v>0</v>
          </cell>
          <cell r="S256">
            <v>239758.28387525797</v>
          </cell>
          <cell r="T256">
            <v>60221</v>
          </cell>
          <cell r="U256">
            <v>420739.43056957051</v>
          </cell>
          <cell r="V256">
            <v>3173.7140667096323</v>
          </cell>
          <cell r="W256">
            <v>0</v>
          </cell>
          <cell r="X256">
            <v>484134.14463628014</v>
          </cell>
          <cell r="Y256">
            <v>6581.1100000000006</v>
          </cell>
          <cell r="Z256">
            <v>0</v>
          </cell>
          <cell r="AA256">
            <v>0</v>
          </cell>
          <cell r="AB256">
            <v>5757.2165131891525</v>
          </cell>
          <cell r="AC256">
            <v>12338.326513189153</v>
          </cell>
          <cell r="AD256" t="str">
            <v>N/A</v>
          </cell>
          <cell r="AE256">
            <v>94518</v>
          </cell>
          <cell r="AF256">
            <v>94518</v>
          </cell>
          <cell r="AG256">
            <v>94518</v>
          </cell>
          <cell r="AH256">
            <v>94518</v>
          </cell>
          <cell r="AI256">
            <v>93724</v>
          </cell>
          <cell r="AJ256">
            <v>0</v>
          </cell>
          <cell r="AK256">
            <v>471796</v>
          </cell>
          <cell r="AL256">
            <v>1838514</v>
          </cell>
          <cell r="AM256">
            <v>239758.28387525797</v>
          </cell>
          <cell r="AN256">
            <v>-42854.89</v>
          </cell>
          <cell r="AO256">
            <v>418155.92812309106</v>
          </cell>
          <cell r="AP256">
            <v>0</v>
          </cell>
          <cell r="AQ256">
            <v>53639.89</v>
          </cell>
          <cell r="AR256">
            <v>0</v>
          </cell>
          <cell r="AS256">
            <v>0</v>
          </cell>
          <cell r="AT256">
            <v>2507213.2119983491</v>
          </cell>
          <cell r="AU256">
            <v>5.5452930782065379E-5</v>
          </cell>
          <cell r="AV256">
            <v>0</v>
          </cell>
          <cell r="AW256">
            <v>0</v>
          </cell>
          <cell r="AY256">
            <v>0</v>
          </cell>
          <cell r="AZ256">
            <v>0</v>
          </cell>
          <cell r="BA256">
            <v>0</v>
          </cell>
          <cell r="BB256">
            <v>0</v>
          </cell>
          <cell r="BC256">
            <v>0</v>
          </cell>
          <cell r="BD256">
            <v>0</v>
          </cell>
          <cell r="BE256">
            <v>0</v>
          </cell>
          <cell r="BF256">
            <v>0</v>
          </cell>
          <cell r="BG256">
            <v>0</v>
          </cell>
          <cell r="BH256">
            <v>0</v>
          </cell>
          <cell r="BJ256">
            <v>0</v>
          </cell>
          <cell r="BL256">
            <v>0</v>
          </cell>
          <cell r="BM256">
            <v>0</v>
          </cell>
          <cell r="BN256">
            <v>0</v>
          </cell>
          <cell r="BO256">
            <v>0</v>
          </cell>
          <cell r="BQ256">
            <v>0</v>
          </cell>
          <cell r="BR256">
            <v>0</v>
          </cell>
          <cell r="BS256">
            <v>0</v>
          </cell>
          <cell r="BT256">
            <v>0</v>
          </cell>
          <cell r="CB256">
            <v>0</v>
          </cell>
          <cell r="CC256">
            <v>0</v>
          </cell>
          <cell r="CD256">
            <v>0</v>
          </cell>
          <cell r="CE256">
            <v>0</v>
          </cell>
          <cell r="CF256">
            <v>0</v>
          </cell>
          <cell r="CI256">
            <v>0</v>
          </cell>
          <cell r="CJ256">
            <v>0</v>
          </cell>
          <cell r="CK256">
            <v>0</v>
          </cell>
          <cell r="CV256">
            <v>5.7632588406695614E-5</v>
          </cell>
          <cell r="DG256">
            <v>2507213</v>
          </cell>
          <cell r="DR256">
            <v>832947.65000000026</v>
          </cell>
          <cell r="EC256">
            <v>3.0100487107443059</v>
          </cell>
          <cell r="EN256">
            <v>2.4095909012463064E-2</v>
          </cell>
        </row>
        <row r="257">
          <cell r="B257">
            <v>37905</v>
          </cell>
          <cell r="C257" t="str">
            <v>Rockingham Community College</v>
          </cell>
          <cell r="D257">
            <v>4.4464693495217513E-4</v>
          </cell>
          <cell r="E257">
            <v>769342.87534843886</v>
          </cell>
          <cell r="F257">
            <v>599874.28349919128</v>
          </cell>
          <cell r="G257">
            <v>-39697</v>
          </cell>
          <cell r="H257">
            <v>-214673.99951206759</v>
          </cell>
          <cell r="I257">
            <v>-8883.6151462813687</v>
          </cell>
          <cell r="J257">
            <v>649217.75470542104</v>
          </cell>
          <cell r="K257">
            <v>0</v>
          </cell>
          <cell r="L257">
            <v>-34110.978589851307</v>
          </cell>
          <cell r="M257">
            <v>6121.4595387368263</v>
          </cell>
          <cell r="N257">
            <v>230.76286630147985</v>
          </cell>
          <cell r="O257">
            <v>-104.14075863514894</v>
          </cell>
          <cell r="P257">
            <v>0</v>
          </cell>
          <cell r="Q257">
            <v>0</v>
          </cell>
          <cell r="R257">
            <v>0</v>
          </cell>
          <cell r="S257">
            <v>1727317.4019512536</v>
          </cell>
          <cell r="T257">
            <v>48472.659999999974</v>
          </cell>
          <cell r="U257">
            <v>3246088.7735271053</v>
          </cell>
          <cell r="V257">
            <v>24485.838154947305</v>
          </cell>
          <cell r="W257">
            <v>0</v>
          </cell>
          <cell r="X257">
            <v>3319047.2716820529</v>
          </cell>
          <cell r="Y257">
            <v>246956</v>
          </cell>
          <cell r="Z257">
            <v>0</v>
          </cell>
          <cell r="AA257">
            <v>0</v>
          </cell>
          <cell r="AB257">
            <v>44418.07573140684</v>
          </cell>
          <cell r="AC257">
            <v>291374.07573140686</v>
          </cell>
          <cell r="AD257" t="str">
            <v>N/A</v>
          </cell>
          <cell r="AE257">
            <v>606760</v>
          </cell>
          <cell r="AF257">
            <v>606759</v>
          </cell>
          <cell r="AG257">
            <v>606759</v>
          </cell>
          <cell r="AH257">
            <v>606759</v>
          </cell>
          <cell r="AI257">
            <v>600637</v>
          </cell>
          <cell r="AJ257">
            <v>0</v>
          </cell>
          <cell r="AK257">
            <v>3027674</v>
          </cell>
          <cell r="AL257">
            <v>15038391</v>
          </cell>
          <cell r="AM257">
            <v>1727317.4019512536</v>
          </cell>
          <cell r="AN257">
            <v>-449728.66</v>
          </cell>
          <cell r="AO257">
            <v>3226156.5359506463</v>
          </cell>
          <cell r="AP257">
            <v>0</v>
          </cell>
          <cell r="AQ257">
            <v>-198483.34000000003</v>
          </cell>
          <cell r="AR257">
            <v>0</v>
          </cell>
          <cell r="AS257">
            <v>0</v>
          </cell>
          <cell r="AT257">
            <v>19343652.937901899</v>
          </cell>
          <cell r="AU257">
            <v>4.5358529498222018E-4</v>
          </cell>
          <cell r="AV257">
            <v>0</v>
          </cell>
          <cell r="AW257">
            <v>0</v>
          </cell>
          <cell r="AY257">
            <v>0</v>
          </cell>
          <cell r="AZ257">
            <v>0</v>
          </cell>
          <cell r="BA257">
            <v>0</v>
          </cell>
          <cell r="BB257">
            <v>0</v>
          </cell>
          <cell r="BC257">
            <v>0</v>
          </cell>
          <cell r="BD257">
            <v>0</v>
          </cell>
          <cell r="BE257">
            <v>0</v>
          </cell>
          <cell r="BF257">
            <v>0</v>
          </cell>
          <cell r="BG257">
            <v>0</v>
          </cell>
          <cell r="BH257">
            <v>0</v>
          </cell>
          <cell r="BJ257">
            <v>0</v>
          </cell>
          <cell r="BL257">
            <v>0</v>
          </cell>
          <cell r="BM257">
            <v>0</v>
          </cell>
          <cell r="BN257">
            <v>0</v>
          </cell>
          <cell r="BO257">
            <v>0</v>
          </cell>
          <cell r="BQ257">
            <v>0</v>
          </cell>
          <cell r="BR257">
            <v>0</v>
          </cell>
          <cell r="BS257">
            <v>0</v>
          </cell>
          <cell r="BT257">
            <v>0</v>
          </cell>
          <cell r="CB257">
            <v>0</v>
          </cell>
          <cell r="CC257">
            <v>0</v>
          </cell>
          <cell r="CD257">
            <v>0</v>
          </cell>
          <cell r="CE257">
            <v>0</v>
          </cell>
          <cell r="CF257">
            <v>0</v>
          </cell>
          <cell r="CI257">
            <v>0</v>
          </cell>
          <cell r="CJ257">
            <v>0</v>
          </cell>
          <cell r="CK257">
            <v>0</v>
          </cell>
          <cell r="CV257">
            <v>4.4464693495217513E-4</v>
          </cell>
          <cell r="DG257">
            <v>19343653</v>
          </cell>
          <cell r="DR257">
            <v>7801983.4299999978</v>
          </cell>
          <cell r="EC257">
            <v>2.4793250554237596</v>
          </cell>
          <cell r="EN257">
            <v>2.4095909012463064E-2</v>
          </cell>
        </row>
        <row r="258">
          <cell r="B258">
            <v>38000</v>
          </cell>
          <cell r="C258" t="str">
            <v>Rowan-Salisbury School System</v>
          </cell>
          <cell r="D258">
            <v>6.2471042055790658E-3</v>
          </cell>
          <cell r="E258">
            <v>10808946.906692294</v>
          </cell>
          <cell r="F258">
            <v>8427983.7882377263</v>
          </cell>
          <cell r="G258">
            <v>-148011</v>
          </cell>
          <cell r="H258">
            <v>-3016080.2645014506</v>
          </cell>
          <cell r="I258">
            <v>-124811.09207926801</v>
          </cell>
          <cell r="J258">
            <v>9121239.0032398552</v>
          </cell>
          <cell r="K258">
            <v>0</v>
          </cell>
          <cell r="L258">
            <v>-479245.03927593114</v>
          </cell>
          <cell r="M258">
            <v>86003.956448812678</v>
          </cell>
          <cell r="N258">
            <v>3242.1221406114237</v>
          </cell>
          <cell r="O258">
            <v>-1463.1342759886729</v>
          </cell>
          <cell r="P258">
            <v>0</v>
          </cell>
          <cell r="Q258">
            <v>0</v>
          </cell>
          <cell r="R258">
            <v>0</v>
          </cell>
          <cell r="S258">
            <v>24677805.246626664</v>
          </cell>
          <cell r="T258">
            <v>0</v>
          </cell>
          <cell r="U258">
            <v>45606195.016199276</v>
          </cell>
          <cell r="V258">
            <v>344015.82579525071</v>
          </cell>
          <cell r="W258">
            <v>0</v>
          </cell>
          <cell r="X258">
            <v>45950210.841994524</v>
          </cell>
          <cell r="Y258">
            <v>740054.71</v>
          </cell>
          <cell r="Z258">
            <v>0</v>
          </cell>
          <cell r="AA258">
            <v>0</v>
          </cell>
          <cell r="AB258">
            <v>624055.46039634</v>
          </cell>
          <cell r="AC258">
            <v>1364110.1703963401</v>
          </cell>
          <cell r="AD258" t="str">
            <v>N/A</v>
          </cell>
          <cell r="AE258">
            <v>8934421</v>
          </cell>
          <cell r="AF258">
            <v>8934421</v>
          </cell>
          <cell r="AG258">
            <v>8934421</v>
          </cell>
          <cell r="AH258">
            <v>8934421</v>
          </cell>
          <cell r="AI258">
            <v>8848417</v>
          </cell>
          <cell r="AJ258">
            <v>0</v>
          </cell>
          <cell r="AK258">
            <v>44586101</v>
          </cell>
          <cell r="AL258">
            <v>207920199</v>
          </cell>
          <cell r="AM258">
            <v>24677805.246626664</v>
          </cell>
          <cell r="AN258">
            <v>-5413838.29</v>
          </cell>
          <cell r="AO258">
            <v>45326155.381598189</v>
          </cell>
          <cell r="AP258">
            <v>0</v>
          </cell>
          <cell r="AQ258">
            <v>-740054.71</v>
          </cell>
          <cell r="AR258">
            <v>0</v>
          </cell>
          <cell r="AS258">
            <v>0</v>
          </cell>
          <cell r="AT258">
            <v>271770266.62822491</v>
          </cell>
          <cell r="AU258">
            <v>6.2712525424480437E-3</v>
          </cell>
          <cell r="AV258">
            <v>0</v>
          </cell>
          <cell r="AW258">
            <v>0</v>
          </cell>
          <cell r="AY258">
            <v>0</v>
          </cell>
          <cell r="AZ258">
            <v>0</v>
          </cell>
          <cell r="BA258">
            <v>0</v>
          </cell>
          <cell r="BB258">
            <v>0</v>
          </cell>
          <cell r="BC258">
            <v>0</v>
          </cell>
          <cell r="BD258">
            <v>0</v>
          </cell>
          <cell r="BE258">
            <v>0</v>
          </cell>
          <cell r="BF258">
            <v>0</v>
          </cell>
          <cell r="BG258">
            <v>0</v>
          </cell>
          <cell r="BH258">
            <v>0</v>
          </cell>
          <cell r="BJ258">
            <v>0</v>
          </cell>
          <cell r="BL258">
            <v>0</v>
          </cell>
          <cell r="BM258">
            <v>0</v>
          </cell>
          <cell r="BN258">
            <v>0</v>
          </cell>
          <cell r="BO258">
            <v>0</v>
          </cell>
          <cell r="BQ258">
            <v>0</v>
          </cell>
          <cell r="BR258">
            <v>0</v>
          </cell>
          <cell r="BS258">
            <v>0</v>
          </cell>
          <cell r="BT258">
            <v>0</v>
          </cell>
          <cell r="CB258">
            <v>0</v>
          </cell>
          <cell r="CC258">
            <v>0</v>
          </cell>
          <cell r="CD258">
            <v>0</v>
          </cell>
          <cell r="CE258">
            <v>0</v>
          </cell>
          <cell r="CF258">
            <v>0</v>
          </cell>
          <cell r="CI258">
            <v>0</v>
          </cell>
          <cell r="CJ258">
            <v>0</v>
          </cell>
          <cell r="CK258">
            <v>0</v>
          </cell>
          <cell r="CV258">
            <v>6.2471042055790658E-3</v>
          </cell>
          <cell r="DG258">
            <v>271770267</v>
          </cell>
          <cell r="DR258">
            <v>93746939.509999946</v>
          </cell>
          <cell r="EC258">
            <v>2.8989774857771264</v>
          </cell>
          <cell r="EN258">
            <v>2.4095909012463064E-2</v>
          </cell>
        </row>
        <row r="259">
          <cell r="B259">
            <v>38005</v>
          </cell>
          <cell r="C259" t="str">
            <v>Rowan-Cabarrus Community College</v>
          </cell>
          <cell r="D259">
            <v>1.3299451332424062E-3</v>
          </cell>
          <cell r="E259">
            <v>2301115.1824861355</v>
          </cell>
          <cell r="F259">
            <v>1794232.2800062343</v>
          </cell>
          <cell r="G259">
            <v>292798</v>
          </cell>
          <cell r="H259">
            <v>-642092.90212573926</v>
          </cell>
          <cell r="I259">
            <v>-26571.015789563888</v>
          </cell>
          <cell r="J259">
            <v>1941819.284952238</v>
          </cell>
          <cell r="K259">
            <v>0</v>
          </cell>
          <cell r="L259">
            <v>-102026.408819366</v>
          </cell>
          <cell r="M259">
            <v>18309.370158503374</v>
          </cell>
          <cell r="N259">
            <v>690.21492525014401</v>
          </cell>
          <cell r="O259">
            <v>-311.48644965670394</v>
          </cell>
          <cell r="P259">
            <v>0</v>
          </cell>
          <cell r="Q259">
            <v>0</v>
          </cell>
          <cell r="R259">
            <v>0</v>
          </cell>
          <cell r="S259">
            <v>5577962.5193440355</v>
          </cell>
          <cell r="T259">
            <v>1467223</v>
          </cell>
          <cell r="U259">
            <v>9709096.4247611891</v>
          </cell>
          <cell r="V259">
            <v>73237.480634013496</v>
          </cell>
          <cell r="W259">
            <v>0</v>
          </cell>
          <cell r="X259">
            <v>11249556.905395202</v>
          </cell>
          <cell r="Y259">
            <v>3233.3300000000745</v>
          </cell>
          <cell r="Z259">
            <v>0</v>
          </cell>
          <cell r="AA259">
            <v>0</v>
          </cell>
          <cell r="AB259">
            <v>132855.07894781942</v>
          </cell>
          <cell r="AC259">
            <v>136088.40894781949</v>
          </cell>
          <cell r="AD259" t="str">
            <v>N/A</v>
          </cell>
          <cell r="AE259">
            <v>2226356</v>
          </cell>
          <cell r="AF259">
            <v>2226356</v>
          </cell>
          <cell r="AG259">
            <v>2226356</v>
          </cell>
          <cell r="AH259">
            <v>2226356</v>
          </cell>
          <cell r="AI259">
            <v>2208046</v>
          </cell>
          <cell r="AJ259">
            <v>0</v>
          </cell>
          <cell r="AK259">
            <v>11113470</v>
          </cell>
          <cell r="AL259">
            <v>42332989</v>
          </cell>
          <cell r="AM259">
            <v>5577962.5193440355</v>
          </cell>
          <cell r="AN259">
            <v>-1167285.67</v>
          </cell>
          <cell r="AO259">
            <v>9649478.8264473844</v>
          </cell>
          <cell r="AP259">
            <v>0</v>
          </cell>
          <cell r="AQ259">
            <v>1463989.67</v>
          </cell>
          <cell r="AR259">
            <v>0</v>
          </cell>
          <cell r="AS259">
            <v>0</v>
          </cell>
          <cell r="AT259">
            <v>57857134.345791414</v>
          </cell>
          <cell r="AU259">
            <v>1.2768401914825278E-3</v>
          </cell>
          <cell r="AV259">
            <v>0</v>
          </cell>
          <cell r="AW259">
            <v>0</v>
          </cell>
          <cell r="AY259">
            <v>0</v>
          </cell>
          <cell r="AZ259">
            <v>0</v>
          </cell>
          <cell r="BA259">
            <v>0</v>
          </cell>
          <cell r="BB259">
            <v>0</v>
          </cell>
          <cell r="BC259">
            <v>0</v>
          </cell>
          <cell r="BD259">
            <v>0</v>
          </cell>
          <cell r="BE259">
            <v>0</v>
          </cell>
          <cell r="BF259">
            <v>0</v>
          </cell>
          <cell r="BG259">
            <v>0</v>
          </cell>
          <cell r="BH259">
            <v>0</v>
          </cell>
          <cell r="BJ259">
            <v>0</v>
          </cell>
          <cell r="BL259">
            <v>0</v>
          </cell>
          <cell r="BM259">
            <v>0</v>
          </cell>
          <cell r="BN259">
            <v>0</v>
          </cell>
          <cell r="BO259">
            <v>0</v>
          </cell>
          <cell r="BQ259">
            <v>0</v>
          </cell>
          <cell r="BR259">
            <v>0</v>
          </cell>
          <cell r="BS259">
            <v>0</v>
          </cell>
          <cell r="BT259">
            <v>0</v>
          </cell>
          <cell r="CB259">
            <v>0</v>
          </cell>
          <cell r="CC259">
            <v>0</v>
          </cell>
          <cell r="CD259">
            <v>0</v>
          </cell>
          <cell r="CE259">
            <v>0</v>
          </cell>
          <cell r="CF259">
            <v>0</v>
          </cell>
          <cell r="CI259">
            <v>0</v>
          </cell>
          <cell r="CJ259">
            <v>0</v>
          </cell>
          <cell r="CK259">
            <v>0</v>
          </cell>
          <cell r="CV259">
            <v>1.3299451332424062E-3</v>
          </cell>
          <cell r="DG259">
            <v>57857134</v>
          </cell>
          <cell r="DR259">
            <v>20810332.490000002</v>
          </cell>
          <cell r="EC259">
            <v>2.7802118984788979</v>
          </cell>
          <cell r="EN259">
            <v>2.4095909012463064E-2</v>
          </cell>
        </row>
        <row r="260">
          <cell r="B260">
            <v>38100</v>
          </cell>
          <cell r="C260" t="str">
            <v>Rutherford County Schools</v>
          </cell>
          <cell r="D260">
            <v>2.8409398017833084E-3</v>
          </cell>
          <cell r="E260">
            <v>4915488.2761777658</v>
          </cell>
          <cell r="F260">
            <v>3832718.9374248041</v>
          </cell>
          <cell r="G260">
            <v>-40278</v>
          </cell>
          <cell r="H260">
            <v>-1371595.8925646024</v>
          </cell>
          <cell r="I260">
            <v>-56759.225958704264</v>
          </cell>
          <cell r="J260">
            <v>4147984.4217646532</v>
          </cell>
          <cell r="K260">
            <v>0</v>
          </cell>
          <cell r="L260">
            <v>-217941.98753244503</v>
          </cell>
          <cell r="M260">
            <v>39111.2513807703</v>
          </cell>
          <cell r="N260">
            <v>1474.3909383295013</v>
          </cell>
          <cell r="O260">
            <v>-665.37651097566868</v>
          </cell>
          <cell r="P260">
            <v>0</v>
          </cell>
          <cell r="Q260">
            <v>0</v>
          </cell>
          <cell r="R260">
            <v>0</v>
          </cell>
          <cell r="S260">
            <v>11249536.795119593</v>
          </cell>
          <cell r="T260">
            <v>48557.000000000466</v>
          </cell>
          <cell r="U260">
            <v>20739922.108823266</v>
          </cell>
          <cell r="V260">
            <v>156445.0055230812</v>
          </cell>
          <cell r="W260">
            <v>0</v>
          </cell>
          <cell r="X260">
            <v>20944924.114346348</v>
          </cell>
          <cell r="Y260">
            <v>249946</v>
          </cell>
          <cell r="Z260">
            <v>0</v>
          </cell>
          <cell r="AA260">
            <v>0</v>
          </cell>
          <cell r="AB260">
            <v>283796.12979352131</v>
          </cell>
          <cell r="AC260">
            <v>533742.12979352125</v>
          </cell>
          <cell r="AD260" t="str">
            <v>N/A</v>
          </cell>
          <cell r="AE260">
            <v>4090058</v>
          </cell>
          <cell r="AF260">
            <v>4090059</v>
          </cell>
          <cell r="AG260">
            <v>4090059</v>
          </cell>
          <cell r="AH260">
            <v>4090059</v>
          </cell>
          <cell r="AI260">
            <v>4050948</v>
          </cell>
          <cell r="AJ260">
            <v>0</v>
          </cell>
          <cell r="AK260">
            <v>20411183</v>
          </cell>
          <cell r="AL260">
            <v>94489854</v>
          </cell>
          <cell r="AM260">
            <v>11249536.795119593</v>
          </cell>
          <cell r="AN260">
            <v>-2560035.0000000005</v>
          </cell>
          <cell r="AO260">
            <v>20612570.984552827</v>
          </cell>
          <cell r="AP260">
            <v>0</v>
          </cell>
          <cell r="AQ260">
            <v>-201388.99999999953</v>
          </cell>
          <cell r="AR260">
            <v>0</v>
          </cell>
          <cell r="AS260">
            <v>0</v>
          </cell>
          <cell r="AT260">
            <v>123590537.77967243</v>
          </cell>
          <cell r="AU260">
            <v>2.8499863722386384E-3</v>
          </cell>
          <cell r="AV260">
            <v>0</v>
          </cell>
          <cell r="AW260">
            <v>0</v>
          </cell>
          <cell r="AY260">
            <v>0</v>
          </cell>
          <cell r="AZ260">
            <v>0</v>
          </cell>
          <cell r="BA260">
            <v>0</v>
          </cell>
          <cell r="BB260">
            <v>0</v>
          </cell>
          <cell r="BC260">
            <v>0</v>
          </cell>
          <cell r="BD260">
            <v>0</v>
          </cell>
          <cell r="BE260">
            <v>0</v>
          </cell>
          <cell r="BF260">
            <v>0</v>
          </cell>
          <cell r="BG260">
            <v>0</v>
          </cell>
          <cell r="BH260">
            <v>0</v>
          </cell>
          <cell r="BJ260">
            <v>0</v>
          </cell>
          <cell r="BL260">
            <v>0</v>
          </cell>
          <cell r="BM260">
            <v>0</v>
          </cell>
          <cell r="BN260">
            <v>0</v>
          </cell>
          <cell r="BO260">
            <v>0</v>
          </cell>
          <cell r="BQ260">
            <v>0</v>
          </cell>
          <cell r="BR260">
            <v>0</v>
          </cell>
          <cell r="BS260">
            <v>0</v>
          </cell>
          <cell r="BT260">
            <v>0</v>
          </cell>
          <cell r="CB260">
            <v>0</v>
          </cell>
          <cell r="CC260">
            <v>0</v>
          </cell>
          <cell r="CD260">
            <v>0</v>
          </cell>
          <cell r="CE260">
            <v>0</v>
          </cell>
          <cell r="CF260">
            <v>0</v>
          </cell>
          <cell r="CI260">
            <v>0</v>
          </cell>
          <cell r="CJ260">
            <v>0</v>
          </cell>
          <cell r="CK260">
            <v>0</v>
          </cell>
          <cell r="CV260">
            <v>2.8409398017833084E-3</v>
          </cell>
          <cell r="DG260">
            <v>123590538</v>
          </cell>
          <cell r="DR260">
            <v>44237044.530000061</v>
          </cell>
          <cell r="EC260">
            <v>2.7938244815651077</v>
          </cell>
          <cell r="EN260">
            <v>2.4095909012463064E-2</v>
          </cell>
        </row>
        <row r="261">
          <cell r="B261">
            <v>38105</v>
          </cell>
          <cell r="C261" t="str">
            <v>Isothermal Community College</v>
          </cell>
          <cell r="D261">
            <v>5.9904529846460555E-4</v>
          </cell>
          <cell r="E261">
            <v>1036488.0451369653</v>
          </cell>
          <cell r="F261">
            <v>808173.49891024269</v>
          </cell>
          <cell r="G261">
            <v>17810</v>
          </cell>
          <cell r="H261">
            <v>-289216.99443206302</v>
          </cell>
          <cell r="I261">
            <v>-11968.344923644188</v>
          </cell>
          <cell r="J261">
            <v>874650.90404336224</v>
          </cell>
          <cell r="K261">
            <v>0</v>
          </cell>
          <cell r="L261">
            <v>-45955.610494594024</v>
          </cell>
          <cell r="M261">
            <v>8247.0636097289716</v>
          </cell>
          <cell r="N261">
            <v>310.89252899716098</v>
          </cell>
          <cell r="O261">
            <v>-140.30239935339526</v>
          </cell>
          <cell r="P261">
            <v>0</v>
          </cell>
          <cell r="Q261">
            <v>0</v>
          </cell>
          <cell r="R261">
            <v>0</v>
          </cell>
          <cell r="S261">
            <v>2398399.1519796415</v>
          </cell>
          <cell r="T261">
            <v>90615</v>
          </cell>
          <cell r="U261">
            <v>4373254.5202168105</v>
          </cell>
          <cell r="V261">
            <v>32988.254438915887</v>
          </cell>
          <cell r="W261">
            <v>0</v>
          </cell>
          <cell r="X261">
            <v>4496857.7746557267</v>
          </cell>
          <cell r="Y261">
            <v>1565.1199999998789</v>
          </cell>
          <cell r="Z261">
            <v>0</v>
          </cell>
          <cell r="AA261">
            <v>0</v>
          </cell>
          <cell r="AB261">
            <v>59841.724618220935</v>
          </cell>
          <cell r="AC261">
            <v>61406.844618220814</v>
          </cell>
          <cell r="AD261" t="str">
            <v>N/A</v>
          </cell>
          <cell r="AE261">
            <v>888740</v>
          </cell>
          <cell r="AF261">
            <v>888740</v>
          </cell>
          <cell r="AG261">
            <v>888740</v>
          </cell>
          <cell r="AH261">
            <v>888740</v>
          </cell>
          <cell r="AI261">
            <v>880493</v>
          </cell>
          <cell r="AJ261">
            <v>0</v>
          </cell>
          <cell r="AK261">
            <v>4435453</v>
          </cell>
          <cell r="AL261">
            <v>19752305</v>
          </cell>
          <cell r="AM261">
            <v>2398399.1519796415</v>
          </cell>
          <cell r="AN261">
            <v>-525648.88000000012</v>
          </cell>
          <cell r="AO261">
            <v>4346401.050037506</v>
          </cell>
          <cell r="AP261">
            <v>0</v>
          </cell>
          <cell r="AQ261">
            <v>89049.880000000121</v>
          </cell>
          <cell r="AR261">
            <v>0</v>
          </cell>
          <cell r="AS261">
            <v>0</v>
          </cell>
          <cell r="AT261">
            <v>26060506.202017147</v>
          </cell>
          <cell r="AU261">
            <v>5.9576555276577038E-4</v>
          </cell>
          <cell r="AV261">
            <v>0</v>
          </cell>
          <cell r="AW261">
            <v>0</v>
          </cell>
          <cell r="AY261">
            <v>0</v>
          </cell>
          <cell r="AZ261">
            <v>0</v>
          </cell>
          <cell r="BA261">
            <v>0</v>
          </cell>
          <cell r="BB261">
            <v>0</v>
          </cell>
          <cell r="BC261">
            <v>0</v>
          </cell>
          <cell r="BD261">
            <v>0</v>
          </cell>
          <cell r="BE261">
            <v>0</v>
          </cell>
          <cell r="BF261">
            <v>0</v>
          </cell>
          <cell r="BG261">
            <v>0</v>
          </cell>
          <cell r="BH261">
            <v>0</v>
          </cell>
          <cell r="BJ261">
            <v>0</v>
          </cell>
          <cell r="BL261">
            <v>0</v>
          </cell>
          <cell r="BM261">
            <v>0</v>
          </cell>
          <cell r="BN261">
            <v>0</v>
          </cell>
          <cell r="BO261">
            <v>0</v>
          </cell>
          <cell r="BQ261">
            <v>0</v>
          </cell>
          <cell r="BR261">
            <v>0</v>
          </cell>
          <cell r="BS261">
            <v>0</v>
          </cell>
          <cell r="BT261">
            <v>0</v>
          </cell>
          <cell r="CB261">
            <v>0</v>
          </cell>
          <cell r="CC261">
            <v>0</v>
          </cell>
          <cell r="CD261">
            <v>0</v>
          </cell>
          <cell r="CE261">
            <v>0</v>
          </cell>
          <cell r="CF261">
            <v>0</v>
          </cell>
          <cell r="CI261">
            <v>0</v>
          </cell>
          <cell r="CJ261">
            <v>0</v>
          </cell>
          <cell r="CK261">
            <v>0</v>
          </cell>
          <cell r="CV261">
            <v>5.9904529846460555E-4</v>
          </cell>
          <cell r="DG261">
            <v>26060507</v>
          </cell>
          <cell r="DR261">
            <v>9339358.4699999988</v>
          </cell>
          <cell r="EC261">
            <v>2.7903958375419338</v>
          </cell>
          <cell r="EN261">
            <v>2.4095909012463064E-2</v>
          </cell>
        </row>
        <row r="262">
          <cell r="B262">
            <v>38200</v>
          </cell>
          <cell r="C262" t="str">
            <v>Sampson County Schools</v>
          </cell>
          <cell r="D262">
            <v>2.7972368238497903E-3</v>
          </cell>
          <cell r="E262">
            <v>4839871.9341731174</v>
          </cell>
          <cell r="F262">
            <v>3773759.1414296515</v>
          </cell>
          <cell r="G262">
            <v>-174241</v>
          </cell>
          <cell r="H262">
            <v>-1350496.2462472718</v>
          </cell>
          <cell r="I262">
            <v>-55886.082783322745</v>
          </cell>
          <cell r="J262">
            <v>4084174.8079392686</v>
          </cell>
          <cell r="K262">
            <v>0</v>
          </cell>
          <cell r="L262">
            <v>-214589.32449258098</v>
          </cell>
          <cell r="M262">
            <v>38509.591973917275</v>
          </cell>
          <cell r="N262">
            <v>1451.7099668415642</v>
          </cell>
          <cell r="O262">
            <v>-655.14083651385943</v>
          </cell>
          <cell r="P262">
            <v>0</v>
          </cell>
          <cell r="Q262">
            <v>0</v>
          </cell>
          <cell r="R262">
            <v>0</v>
          </cell>
          <cell r="S262">
            <v>10941899.391123107</v>
          </cell>
          <cell r="T262">
            <v>0</v>
          </cell>
          <cell r="U262">
            <v>20420874.039696343</v>
          </cell>
          <cell r="V262">
            <v>154038.3678956691</v>
          </cell>
          <cell r="W262">
            <v>0</v>
          </cell>
          <cell r="X262">
            <v>20574912.407592013</v>
          </cell>
          <cell r="Y262">
            <v>871208.10000000009</v>
          </cell>
          <cell r="Z262">
            <v>0</v>
          </cell>
          <cell r="AA262">
            <v>0</v>
          </cell>
          <cell r="AB262">
            <v>279430.41391661373</v>
          </cell>
          <cell r="AC262">
            <v>1150638.5139166138</v>
          </cell>
          <cell r="AD262" t="str">
            <v>N/A</v>
          </cell>
          <cell r="AE262">
            <v>3892557</v>
          </cell>
          <cell r="AF262">
            <v>3892556</v>
          </cell>
          <cell r="AG262">
            <v>3892556</v>
          </cell>
          <cell r="AH262">
            <v>3892556</v>
          </cell>
          <cell r="AI262">
            <v>3854047</v>
          </cell>
          <cell r="AJ262">
            <v>0</v>
          </cell>
          <cell r="AK262">
            <v>19424272</v>
          </cell>
          <cell r="AL262">
            <v>93717867</v>
          </cell>
          <cell r="AM262">
            <v>10941899.391123107</v>
          </cell>
          <cell r="AN262">
            <v>-2394730.9</v>
          </cell>
          <cell r="AO262">
            <v>20295481.9936754</v>
          </cell>
          <cell r="AP262">
            <v>0</v>
          </cell>
          <cell r="AQ262">
            <v>-871208.10000000009</v>
          </cell>
          <cell r="AR262">
            <v>0</v>
          </cell>
          <cell r="AS262">
            <v>0</v>
          </cell>
          <cell r="AT262">
            <v>121689309.3847985</v>
          </cell>
          <cell r="AU262">
            <v>2.8267018549442331E-3</v>
          </cell>
          <cell r="AV262">
            <v>0</v>
          </cell>
          <cell r="AW262">
            <v>0</v>
          </cell>
          <cell r="AY262">
            <v>0</v>
          </cell>
          <cell r="AZ262">
            <v>0</v>
          </cell>
          <cell r="BA262">
            <v>0</v>
          </cell>
          <cell r="BB262">
            <v>0</v>
          </cell>
          <cell r="BC262">
            <v>0</v>
          </cell>
          <cell r="BD262">
            <v>0</v>
          </cell>
          <cell r="BE262">
            <v>0</v>
          </cell>
          <cell r="BF262">
            <v>0</v>
          </cell>
          <cell r="BG262">
            <v>0</v>
          </cell>
          <cell r="BH262">
            <v>0</v>
          </cell>
          <cell r="BJ262">
            <v>0</v>
          </cell>
          <cell r="BL262">
            <v>0</v>
          </cell>
          <cell r="BM262">
            <v>0</v>
          </cell>
          <cell r="BN262">
            <v>0</v>
          </cell>
          <cell r="BO262">
            <v>0</v>
          </cell>
          <cell r="BQ262">
            <v>0</v>
          </cell>
          <cell r="BR262">
            <v>0</v>
          </cell>
          <cell r="BS262">
            <v>0</v>
          </cell>
          <cell r="BT262">
            <v>0</v>
          </cell>
          <cell r="CB262">
            <v>0</v>
          </cell>
          <cell r="CC262">
            <v>0</v>
          </cell>
          <cell r="CD262">
            <v>0</v>
          </cell>
          <cell r="CE262">
            <v>0</v>
          </cell>
          <cell r="CF262">
            <v>0</v>
          </cell>
          <cell r="CI262">
            <v>0</v>
          </cell>
          <cell r="CJ262">
            <v>0</v>
          </cell>
          <cell r="CK262">
            <v>0</v>
          </cell>
          <cell r="CV262">
            <v>2.7972368238497903E-3</v>
          </cell>
          <cell r="DG262">
            <v>121689310</v>
          </cell>
          <cell r="DR262">
            <v>41825389.139999889</v>
          </cell>
          <cell r="EC262">
            <v>2.9094603182931755</v>
          </cell>
          <cell r="EN262">
            <v>2.4095909012463064E-2</v>
          </cell>
        </row>
        <row r="263">
          <cell r="B263">
            <v>38205</v>
          </cell>
          <cell r="C263" t="str">
            <v>Sampson Community College</v>
          </cell>
          <cell r="D263">
            <v>3.8287703535390649E-4</v>
          </cell>
          <cell r="E263">
            <v>662466.54621771467</v>
          </cell>
          <cell r="F263">
            <v>516540.35864640033</v>
          </cell>
          <cell r="G263">
            <v>-92956</v>
          </cell>
          <cell r="H263">
            <v>-184851.70601611573</v>
          </cell>
          <cell r="I263">
            <v>-7649.5123727752843</v>
          </cell>
          <cell r="J263">
            <v>559029.08505928819</v>
          </cell>
          <cell r="K263">
            <v>0</v>
          </cell>
          <cell r="L263">
            <v>-29372.316165650784</v>
          </cell>
          <cell r="M263">
            <v>5271.0726106377779</v>
          </cell>
          <cell r="N263">
            <v>198.70552380797039</v>
          </cell>
          <cell r="O263">
            <v>-89.673630450238434</v>
          </cell>
          <cell r="P263">
            <v>0</v>
          </cell>
          <cell r="Q263">
            <v>0</v>
          </cell>
          <cell r="R263">
            <v>0</v>
          </cell>
          <cell r="S263">
            <v>1428586.5598728573</v>
          </cell>
          <cell r="T263">
            <v>38065.229999999981</v>
          </cell>
          <cell r="U263">
            <v>2795145.4252964412</v>
          </cell>
          <cell r="V263">
            <v>21084.290442551111</v>
          </cell>
          <cell r="W263">
            <v>0</v>
          </cell>
          <cell r="X263">
            <v>2854294.9457389922</v>
          </cell>
          <cell r="Y263">
            <v>502844</v>
          </cell>
          <cell r="Z263">
            <v>0</v>
          </cell>
          <cell r="AA263">
            <v>0</v>
          </cell>
          <cell r="AB263">
            <v>38247.561863876421</v>
          </cell>
          <cell r="AC263">
            <v>541091.56186387641</v>
          </cell>
          <cell r="AD263" t="str">
            <v>N/A</v>
          </cell>
          <cell r="AE263">
            <v>463695</v>
          </cell>
          <cell r="AF263">
            <v>463695</v>
          </cell>
          <cell r="AG263">
            <v>463695</v>
          </cell>
          <cell r="AH263">
            <v>463695</v>
          </cell>
          <cell r="AI263">
            <v>458424</v>
          </cell>
          <cell r="AJ263">
            <v>0</v>
          </cell>
          <cell r="AK263">
            <v>2313204</v>
          </cell>
          <cell r="AL263">
            <v>13297507</v>
          </cell>
          <cell r="AM263">
            <v>1428586.5598728573</v>
          </cell>
          <cell r="AN263">
            <v>-382844.23</v>
          </cell>
          <cell r="AO263">
            <v>2777982.1538751158</v>
          </cell>
          <cell r="AP263">
            <v>0</v>
          </cell>
          <cell r="AQ263">
            <v>-464778.77</v>
          </cell>
          <cell r="AR263">
            <v>0</v>
          </cell>
          <cell r="AS263">
            <v>0</v>
          </cell>
          <cell r="AT263">
            <v>16656452.713747974</v>
          </cell>
          <cell r="AU263">
            <v>4.0107707127556559E-4</v>
          </cell>
          <cell r="AV263">
            <v>0</v>
          </cell>
          <cell r="AW263">
            <v>0</v>
          </cell>
          <cell r="AY263">
            <v>0</v>
          </cell>
          <cell r="AZ263">
            <v>0</v>
          </cell>
          <cell r="BA263">
            <v>0</v>
          </cell>
          <cell r="BB263">
            <v>0</v>
          </cell>
          <cell r="BC263">
            <v>0</v>
          </cell>
          <cell r="BD263">
            <v>0</v>
          </cell>
          <cell r="BE263">
            <v>0</v>
          </cell>
          <cell r="BF263">
            <v>0</v>
          </cell>
          <cell r="BG263">
            <v>0</v>
          </cell>
          <cell r="BH263">
            <v>0</v>
          </cell>
          <cell r="BJ263">
            <v>0</v>
          </cell>
          <cell r="BL263">
            <v>0</v>
          </cell>
          <cell r="BM263">
            <v>0</v>
          </cell>
          <cell r="BN263">
            <v>0</v>
          </cell>
          <cell r="BO263">
            <v>0</v>
          </cell>
          <cell r="BQ263">
            <v>0</v>
          </cell>
          <cell r="BR263">
            <v>0</v>
          </cell>
          <cell r="BS263">
            <v>0</v>
          </cell>
          <cell r="BT263">
            <v>0</v>
          </cell>
          <cell r="CB263">
            <v>0</v>
          </cell>
          <cell r="CC263">
            <v>0</v>
          </cell>
          <cell r="CD263">
            <v>0</v>
          </cell>
          <cell r="CE263">
            <v>0</v>
          </cell>
          <cell r="CF263">
            <v>0</v>
          </cell>
          <cell r="CI263">
            <v>0</v>
          </cell>
          <cell r="CJ263">
            <v>0</v>
          </cell>
          <cell r="CK263">
            <v>0</v>
          </cell>
          <cell r="CV263">
            <v>3.8287703535390649E-4</v>
          </cell>
          <cell r="DG263">
            <v>16656452</v>
          </cell>
          <cell r="DR263">
            <v>6738604.7900000019</v>
          </cell>
          <cell r="EC263">
            <v>2.4717953521651763</v>
          </cell>
          <cell r="EN263">
            <v>2.4095909012463064E-2</v>
          </cell>
        </row>
        <row r="264">
          <cell r="B264">
            <v>38210</v>
          </cell>
          <cell r="C264" t="str">
            <v>Clinton City Schools</v>
          </cell>
          <cell r="D264">
            <v>1.0224584275585027E-3</v>
          </cell>
          <cell r="E264">
            <v>1769091.485285305</v>
          </cell>
          <cell r="F264">
            <v>1379401.2022265177</v>
          </cell>
          <cell r="G264">
            <v>187969</v>
          </cell>
          <cell r="H264">
            <v>-493639.38604999409</v>
          </cell>
          <cell r="I264">
            <v>-20427.729192552961</v>
          </cell>
          <cell r="J264">
            <v>1492865.7153356127</v>
          </cell>
          <cell r="K264">
            <v>0</v>
          </cell>
          <cell r="L264">
            <v>-78437.642969949593</v>
          </cell>
          <cell r="M264">
            <v>14076.197095596857</v>
          </cell>
          <cell r="N264">
            <v>530.63547473431174</v>
          </cell>
          <cell r="O264">
            <v>-239.46998831847691</v>
          </cell>
          <cell r="P264">
            <v>0</v>
          </cell>
          <cell r="Q264">
            <v>0</v>
          </cell>
          <cell r="R264">
            <v>0</v>
          </cell>
          <cell r="S264">
            <v>4251190.0072169518</v>
          </cell>
          <cell r="T264">
            <v>968497</v>
          </cell>
          <cell r="U264">
            <v>7464328.5766780628</v>
          </cell>
          <cell r="V264">
            <v>56304.788382387429</v>
          </cell>
          <cell r="W264">
            <v>0</v>
          </cell>
          <cell r="X264">
            <v>8489130.3650604505</v>
          </cell>
          <cell r="Y264">
            <v>28657.920000000275</v>
          </cell>
          <cell r="Z264">
            <v>0</v>
          </cell>
          <cell r="AA264">
            <v>0</v>
          </cell>
          <cell r="AB264">
            <v>102138.6459627648</v>
          </cell>
          <cell r="AC264">
            <v>130796.56596276507</v>
          </cell>
          <cell r="AD264" t="str">
            <v>N/A</v>
          </cell>
          <cell r="AE264">
            <v>1674481</v>
          </cell>
          <cell r="AF264">
            <v>1674483</v>
          </cell>
          <cell r="AG264">
            <v>1674483</v>
          </cell>
          <cell r="AH264">
            <v>1674483</v>
          </cell>
          <cell r="AI264">
            <v>1660407</v>
          </cell>
          <cell r="AJ264">
            <v>0</v>
          </cell>
          <cell r="AK264">
            <v>8358337</v>
          </cell>
          <cell r="AL264">
            <v>32736894</v>
          </cell>
          <cell r="AM264">
            <v>4251190.0072169518</v>
          </cell>
          <cell r="AN264">
            <v>-866001.07999999973</v>
          </cell>
          <cell r="AO264">
            <v>7418494.719097686</v>
          </cell>
          <cell r="AP264">
            <v>0</v>
          </cell>
          <cell r="AQ264">
            <v>939839.07999999973</v>
          </cell>
          <cell r="AR264">
            <v>0</v>
          </cell>
          <cell r="AS264">
            <v>0</v>
          </cell>
          <cell r="AT264">
            <v>44480416.726314642</v>
          </cell>
          <cell r="AU264">
            <v>9.8740444543833931E-4</v>
          </cell>
          <cell r="AV264">
            <v>0</v>
          </cell>
          <cell r="AW264">
            <v>0</v>
          </cell>
          <cell r="AY264">
            <v>0</v>
          </cell>
          <cell r="AZ264">
            <v>0</v>
          </cell>
          <cell r="BA264">
            <v>0</v>
          </cell>
          <cell r="BB264">
            <v>0</v>
          </cell>
          <cell r="BC264">
            <v>0</v>
          </cell>
          <cell r="BD264">
            <v>0</v>
          </cell>
          <cell r="BE264">
            <v>0</v>
          </cell>
          <cell r="BF264">
            <v>0</v>
          </cell>
          <cell r="BG264">
            <v>0</v>
          </cell>
          <cell r="BH264">
            <v>0</v>
          </cell>
          <cell r="BJ264">
            <v>0</v>
          </cell>
          <cell r="BL264">
            <v>0</v>
          </cell>
          <cell r="BM264">
            <v>0</v>
          </cell>
          <cell r="BN264">
            <v>0</v>
          </cell>
          <cell r="BO264">
            <v>0</v>
          </cell>
          <cell r="BQ264">
            <v>0</v>
          </cell>
          <cell r="BR264">
            <v>0</v>
          </cell>
          <cell r="BS264">
            <v>0</v>
          </cell>
          <cell r="BT264">
            <v>0</v>
          </cell>
          <cell r="CB264">
            <v>0</v>
          </cell>
          <cell r="CC264">
            <v>0</v>
          </cell>
          <cell r="CD264">
            <v>0</v>
          </cell>
          <cell r="CE264">
            <v>0</v>
          </cell>
          <cell r="CF264">
            <v>0</v>
          </cell>
          <cell r="CI264">
            <v>0</v>
          </cell>
          <cell r="CJ264">
            <v>0</v>
          </cell>
          <cell r="CK264">
            <v>0</v>
          </cell>
          <cell r="CV264">
            <v>1.0224584275585027E-3</v>
          </cell>
          <cell r="DG264">
            <v>44480417</v>
          </cell>
          <cell r="DR264">
            <v>15077834.040000003</v>
          </cell>
          <cell r="EC264">
            <v>2.9500534945535182</v>
          </cell>
          <cell r="EN264">
            <v>2.4095909012463064E-2</v>
          </cell>
        </row>
        <row r="265">
          <cell r="B265">
            <v>38300</v>
          </cell>
          <cell r="C265" t="str">
            <v>Scotland County Schools</v>
          </cell>
          <cell r="D265">
            <v>2.1694012522345762E-3</v>
          </cell>
          <cell r="E265">
            <v>3753570.0034863991</v>
          </cell>
          <cell r="F265">
            <v>2926744.6135582514</v>
          </cell>
          <cell r="G265">
            <v>-143954</v>
          </cell>
          <cell r="H265">
            <v>-1047379.407695175</v>
          </cell>
          <cell r="I265">
            <v>-43342.536083793537</v>
          </cell>
          <cell r="J265">
            <v>3167487.9535205727</v>
          </cell>
          <cell r="K265">
            <v>0</v>
          </cell>
          <cell r="L265">
            <v>-166425.07538195333</v>
          </cell>
          <cell r="M265">
            <v>29866.172337986107</v>
          </cell>
          <cell r="N265">
            <v>1125.8758618847003</v>
          </cell>
          <cell r="O265">
            <v>-508.09546728586008</v>
          </cell>
          <cell r="P265">
            <v>0</v>
          </cell>
          <cell r="Q265">
            <v>0</v>
          </cell>
          <cell r="R265">
            <v>0</v>
          </cell>
          <cell r="S265">
            <v>8477185.5041368864</v>
          </cell>
          <cell r="T265">
            <v>0</v>
          </cell>
          <cell r="U265">
            <v>15837439.767602863</v>
          </cell>
          <cell r="V265">
            <v>119464.68935194443</v>
          </cell>
          <cell r="W265">
            <v>0</v>
          </cell>
          <cell r="X265">
            <v>15956904.456954807</v>
          </cell>
          <cell r="Y265">
            <v>719770.33000000007</v>
          </cell>
          <cell r="Z265">
            <v>0</v>
          </cell>
          <cell r="AA265">
            <v>0</v>
          </cell>
          <cell r="AB265">
            <v>216712.68041896768</v>
          </cell>
          <cell r="AC265">
            <v>936483.01041896781</v>
          </cell>
          <cell r="AD265" t="str">
            <v>N/A</v>
          </cell>
          <cell r="AE265">
            <v>3010058</v>
          </cell>
          <cell r="AF265">
            <v>3010057</v>
          </cell>
          <cell r="AG265">
            <v>3010057</v>
          </cell>
          <cell r="AH265">
            <v>3010057</v>
          </cell>
          <cell r="AI265">
            <v>2980190</v>
          </cell>
          <cell r="AJ265">
            <v>0</v>
          </cell>
          <cell r="AK265">
            <v>15020419</v>
          </cell>
          <cell r="AL265">
            <v>72778345</v>
          </cell>
          <cell r="AM265">
            <v>8477185.5041368864</v>
          </cell>
          <cell r="AN265">
            <v>-1899623.67</v>
          </cell>
          <cell r="AO265">
            <v>15740191.776535841</v>
          </cell>
          <cell r="AP265">
            <v>0</v>
          </cell>
          <cell r="AQ265">
            <v>-719770.33000000007</v>
          </cell>
          <cell r="AR265">
            <v>0</v>
          </cell>
          <cell r="AS265">
            <v>0</v>
          </cell>
          <cell r="AT265">
            <v>94376328.280672729</v>
          </cell>
          <cell r="AU265">
            <v>2.1951276669120081E-3</v>
          </cell>
          <cell r="AV265">
            <v>0</v>
          </cell>
          <cell r="AW265">
            <v>0</v>
          </cell>
          <cell r="AY265">
            <v>0</v>
          </cell>
          <cell r="AZ265">
            <v>0</v>
          </cell>
          <cell r="BA265">
            <v>0</v>
          </cell>
          <cell r="BB265">
            <v>0</v>
          </cell>
          <cell r="BC265">
            <v>0</v>
          </cell>
          <cell r="BD265">
            <v>0</v>
          </cell>
          <cell r="BE265">
            <v>0</v>
          </cell>
          <cell r="BF265">
            <v>0</v>
          </cell>
          <cell r="BG265">
            <v>0</v>
          </cell>
          <cell r="BH265">
            <v>0</v>
          </cell>
          <cell r="BJ265">
            <v>0</v>
          </cell>
          <cell r="BL265">
            <v>0</v>
          </cell>
          <cell r="BM265">
            <v>0</v>
          </cell>
          <cell r="BN265">
            <v>0</v>
          </cell>
          <cell r="BO265">
            <v>0</v>
          </cell>
          <cell r="BQ265">
            <v>0</v>
          </cell>
          <cell r="BR265">
            <v>0</v>
          </cell>
          <cell r="BS265">
            <v>0</v>
          </cell>
          <cell r="BT265">
            <v>0</v>
          </cell>
          <cell r="CB265">
            <v>0</v>
          </cell>
          <cell r="CC265">
            <v>0</v>
          </cell>
          <cell r="CD265">
            <v>0</v>
          </cell>
          <cell r="CE265">
            <v>0</v>
          </cell>
          <cell r="CF265">
            <v>0</v>
          </cell>
          <cell r="CI265">
            <v>0</v>
          </cell>
          <cell r="CJ265">
            <v>0</v>
          </cell>
          <cell r="CK265">
            <v>0</v>
          </cell>
          <cell r="CV265">
            <v>2.1694012522345762E-3</v>
          </cell>
          <cell r="DG265">
            <v>94376328</v>
          </cell>
          <cell r="DR265">
            <v>32869761.020000018</v>
          </cell>
          <cell r="EC265">
            <v>2.8712203883251703</v>
          </cell>
          <cell r="EN265">
            <v>2.4095909012463064E-2</v>
          </cell>
        </row>
        <row r="266">
          <cell r="B266">
            <v>38400</v>
          </cell>
          <cell r="C266" t="str">
            <v>Stanly County Schools</v>
          </cell>
          <cell r="D266">
            <v>2.6936973243421778E-3</v>
          </cell>
          <cell r="E266">
            <v>4660724.4578233873</v>
          </cell>
          <cell r="F266">
            <v>3634073.7456725114</v>
          </cell>
          <cell r="G266">
            <v>-562641</v>
          </cell>
          <cell r="H266">
            <v>-1300507.7346449876</v>
          </cell>
          <cell r="I266">
            <v>-53817.463854996728</v>
          </cell>
          <cell r="J266">
            <v>3932999.4008696456</v>
          </cell>
          <cell r="K266">
            <v>0</v>
          </cell>
          <cell r="L266">
            <v>-206646.31764089098</v>
          </cell>
          <cell r="M266">
            <v>37084.1624767701</v>
          </cell>
          <cell r="N266">
            <v>1397.9750373871034</v>
          </cell>
          <cell r="O266">
            <v>-630.89085033418144</v>
          </cell>
          <cell r="P266">
            <v>0</v>
          </cell>
          <cell r="Q266">
            <v>0</v>
          </cell>
          <cell r="R266">
            <v>0</v>
          </cell>
          <cell r="S266">
            <v>10142036.334888494</v>
          </cell>
          <cell r="T266">
            <v>0</v>
          </cell>
          <cell r="U266">
            <v>19664997.00434823</v>
          </cell>
          <cell r="V266">
            <v>148336.6499070804</v>
          </cell>
          <cell r="W266">
            <v>0</v>
          </cell>
          <cell r="X266">
            <v>19813333.654255308</v>
          </cell>
          <cell r="Y266">
            <v>2813203.05</v>
          </cell>
          <cell r="Z266">
            <v>0</v>
          </cell>
          <cell r="AA266">
            <v>0</v>
          </cell>
          <cell r="AB266">
            <v>269087.3192749836</v>
          </cell>
          <cell r="AC266">
            <v>3082290.3692749832</v>
          </cell>
          <cell r="AD266" t="str">
            <v>N/A</v>
          </cell>
          <cell r="AE266">
            <v>3353625</v>
          </cell>
          <cell r="AF266">
            <v>3353625</v>
          </cell>
          <cell r="AG266">
            <v>3353625</v>
          </cell>
          <cell r="AH266">
            <v>3353625</v>
          </cell>
          <cell r="AI266">
            <v>3316541</v>
          </cell>
          <cell r="AJ266">
            <v>0</v>
          </cell>
          <cell r="AK266">
            <v>16731041</v>
          </cell>
          <cell r="AL266">
            <v>92650101</v>
          </cell>
          <cell r="AM266">
            <v>10142036.334888494</v>
          </cell>
          <cell r="AN266">
            <v>-2338191.9500000002</v>
          </cell>
          <cell r="AO266">
            <v>19544246.334980328</v>
          </cell>
          <cell r="AP266">
            <v>0</v>
          </cell>
          <cell r="AQ266">
            <v>-2813203.05</v>
          </cell>
          <cell r="AR266">
            <v>0</v>
          </cell>
          <cell r="AS266">
            <v>0</v>
          </cell>
          <cell r="AT266">
            <v>117184988.66986881</v>
          </cell>
          <cell r="AU266">
            <v>2.7944960664973819E-3</v>
          </cell>
          <cell r="AV266">
            <v>0</v>
          </cell>
          <cell r="AW266">
            <v>0</v>
          </cell>
          <cell r="AY266">
            <v>0</v>
          </cell>
          <cell r="AZ266">
            <v>0</v>
          </cell>
          <cell r="BA266">
            <v>0</v>
          </cell>
          <cell r="BB266">
            <v>0</v>
          </cell>
          <cell r="BC266">
            <v>0</v>
          </cell>
          <cell r="BD266">
            <v>0</v>
          </cell>
          <cell r="BE266">
            <v>0</v>
          </cell>
          <cell r="BF266">
            <v>0</v>
          </cell>
          <cell r="BG266">
            <v>0</v>
          </cell>
          <cell r="BH266">
            <v>0</v>
          </cell>
          <cell r="BJ266">
            <v>0</v>
          </cell>
          <cell r="BL266">
            <v>0</v>
          </cell>
          <cell r="BM266">
            <v>0</v>
          </cell>
          <cell r="BN266">
            <v>0</v>
          </cell>
          <cell r="BO266">
            <v>0</v>
          </cell>
          <cell r="BQ266">
            <v>0</v>
          </cell>
          <cell r="BR266">
            <v>0</v>
          </cell>
          <cell r="BS266">
            <v>0</v>
          </cell>
          <cell r="BT266">
            <v>0</v>
          </cell>
          <cell r="CB266">
            <v>0</v>
          </cell>
          <cell r="CC266">
            <v>0</v>
          </cell>
          <cell r="CD266">
            <v>0</v>
          </cell>
          <cell r="CE266">
            <v>0</v>
          </cell>
          <cell r="CF266">
            <v>0</v>
          </cell>
          <cell r="CI266">
            <v>0</v>
          </cell>
          <cell r="CJ266">
            <v>0</v>
          </cell>
          <cell r="CK266">
            <v>0</v>
          </cell>
          <cell r="CV266">
            <v>2.6936973243421778E-3</v>
          </cell>
          <cell r="DG266">
            <v>117184989</v>
          </cell>
          <cell r="DR266">
            <v>40948904.550000034</v>
          </cell>
          <cell r="EC266">
            <v>2.8617368471215894</v>
          </cell>
          <cell r="EN266">
            <v>2.4095909012463064E-2</v>
          </cell>
        </row>
        <row r="267">
          <cell r="B267">
            <v>38402</v>
          </cell>
          <cell r="C267" t="str">
            <v>Gray Stone Day School</v>
          </cell>
          <cell r="D267">
            <v>9.6334000593835368E-5</v>
          </cell>
          <cell r="E267">
            <v>166680.28312991964</v>
          </cell>
          <cell r="F267">
            <v>129964.43928946275</v>
          </cell>
          <cell r="G267">
            <v>22379</v>
          </cell>
          <cell r="H267">
            <v>-46509.721693461921</v>
          </cell>
          <cell r="I267">
            <v>-1924.6600381251269</v>
          </cell>
          <cell r="J267">
            <v>140654.84016896979</v>
          </cell>
          <cell r="K267">
            <v>0</v>
          </cell>
          <cell r="L267">
            <v>-7390.2388016786363</v>
          </cell>
          <cell r="M267">
            <v>1326.2313095742793</v>
          </cell>
          <cell r="N267">
            <v>49.995419628188678</v>
          </cell>
          <cell r="O267">
            <v>-22.562386279082183</v>
          </cell>
          <cell r="P267">
            <v>0</v>
          </cell>
          <cell r="Q267">
            <v>0</v>
          </cell>
          <cell r="R267">
            <v>0</v>
          </cell>
          <cell r="S267">
            <v>405207.60639800981</v>
          </cell>
          <cell r="T267">
            <v>117947</v>
          </cell>
          <cell r="U267">
            <v>703274.20084484888</v>
          </cell>
          <cell r="V267">
            <v>5304.9252382971172</v>
          </cell>
          <cell r="W267">
            <v>0</v>
          </cell>
          <cell r="X267">
            <v>826526.12608314597</v>
          </cell>
          <cell r="Y267">
            <v>6047.3400000000111</v>
          </cell>
          <cell r="Z267">
            <v>0</v>
          </cell>
          <cell r="AA267">
            <v>0</v>
          </cell>
          <cell r="AB267">
            <v>9623.3001906256341</v>
          </cell>
          <cell r="AC267">
            <v>15670.640190625645</v>
          </cell>
          <cell r="AD267" t="str">
            <v>N/A</v>
          </cell>
          <cell r="AE267">
            <v>162436</v>
          </cell>
          <cell r="AF267">
            <v>162436</v>
          </cell>
          <cell r="AG267">
            <v>162436</v>
          </cell>
          <cell r="AH267">
            <v>162436</v>
          </cell>
          <cell r="AI267">
            <v>161110</v>
          </cell>
          <cell r="AJ267">
            <v>0</v>
          </cell>
          <cell r="AK267">
            <v>810854</v>
          </cell>
          <cell r="AL267">
            <v>3052369</v>
          </cell>
          <cell r="AM267">
            <v>405207.60639800981</v>
          </cell>
          <cell r="AN267">
            <v>-77575.659999999989</v>
          </cell>
          <cell r="AO267">
            <v>698955.82589252049</v>
          </cell>
          <cell r="AP267">
            <v>0</v>
          </cell>
          <cell r="AQ267">
            <v>111899.65999999999</v>
          </cell>
          <cell r="AR267">
            <v>0</v>
          </cell>
          <cell r="AS267">
            <v>0</v>
          </cell>
          <cell r="AT267">
            <v>4190856.4322905303</v>
          </cell>
          <cell r="AU267">
            <v>9.2065003565337255E-5</v>
          </cell>
          <cell r="AV267">
            <v>0</v>
          </cell>
          <cell r="AW267">
            <v>0</v>
          </cell>
          <cell r="AY267">
            <v>0</v>
          </cell>
          <cell r="AZ267">
            <v>0</v>
          </cell>
          <cell r="BA267">
            <v>0</v>
          </cell>
          <cell r="BB267">
            <v>0</v>
          </cell>
          <cell r="BC267">
            <v>0</v>
          </cell>
          <cell r="BD267">
            <v>0</v>
          </cell>
          <cell r="BE267">
            <v>0</v>
          </cell>
          <cell r="BF267">
            <v>0</v>
          </cell>
          <cell r="BG267">
            <v>0</v>
          </cell>
          <cell r="BH267">
            <v>0</v>
          </cell>
          <cell r="BJ267">
            <v>0</v>
          </cell>
          <cell r="BL267">
            <v>0</v>
          </cell>
          <cell r="BM267">
            <v>0</v>
          </cell>
          <cell r="BN267">
            <v>0</v>
          </cell>
          <cell r="BO267">
            <v>0</v>
          </cell>
          <cell r="BQ267">
            <v>0</v>
          </cell>
          <cell r="BR267">
            <v>0</v>
          </cell>
          <cell r="BS267">
            <v>0</v>
          </cell>
          <cell r="BT267">
            <v>0</v>
          </cell>
          <cell r="CB267">
            <v>0</v>
          </cell>
          <cell r="CC267">
            <v>0</v>
          </cell>
          <cell r="CD267">
            <v>0</v>
          </cell>
          <cell r="CE267">
            <v>0</v>
          </cell>
          <cell r="CF267">
            <v>0</v>
          </cell>
          <cell r="CI267">
            <v>0</v>
          </cell>
          <cell r="CJ267">
            <v>0</v>
          </cell>
          <cell r="CK267">
            <v>0</v>
          </cell>
          <cell r="CV267">
            <v>9.6334000593835368E-5</v>
          </cell>
          <cell r="DG267">
            <v>4190856</v>
          </cell>
          <cell r="DR267">
            <v>1315384.7700000005</v>
          </cell>
          <cell r="EC267">
            <v>3.1860305026946589</v>
          </cell>
          <cell r="EN267">
            <v>2.4095909012463064E-2</v>
          </cell>
        </row>
        <row r="268">
          <cell r="B268">
            <v>38405</v>
          </cell>
          <cell r="C268" t="str">
            <v>Stanly Community College</v>
          </cell>
          <cell r="D268">
            <v>6.8747164768666325E-4</v>
          </cell>
          <cell r="E268">
            <v>1189486.2475745468</v>
          </cell>
          <cell r="F268">
            <v>927469.70610828954</v>
          </cell>
          <cell r="G268">
            <v>78725</v>
          </cell>
          <cell r="H268">
            <v>-331908.92944290856</v>
          </cell>
          <cell r="I268">
            <v>-13735.017745450388</v>
          </cell>
          <cell r="J268">
            <v>1003759.9822492345</v>
          </cell>
          <cell r="K268">
            <v>0</v>
          </cell>
          <cell r="L268">
            <v>-52739.215795767974</v>
          </cell>
          <cell r="M268">
            <v>9464.4301906529108</v>
          </cell>
          <cell r="N268">
            <v>356.78403571642451</v>
          </cell>
          <cell r="O268">
            <v>-161.01273460469341</v>
          </cell>
          <cell r="P268">
            <v>0</v>
          </cell>
          <cell r="Q268">
            <v>0</v>
          </cell>
          <cell r="R268">
            <v>0</v>
          </cell>
          <cell r="S268">
            <v>2810717.9744397085</v>
          </cell>
          <cell r="T268">
            <v>424570</v>
          </cell>
          <cell r="U268">
            <v>5018799.9112461722</v>
          </cell>
          <cell r="V268">
            <v>37857.720762611643</v>
          </cell>
          <cell r="W268">
            <v>0</v>
          </cell>
          <cell r="X268">
            <v>5481227.6320087835</v>
          </cell>
          <cell r="Y268">
            <v>30946.070000000065</v>
          </cell>
          <cell r="Z268">
            <v>0</v>
          </cell>
          <cell r="AA268">
            <v>0</v>
          </cell>
          <cell r="AB268">
            <v>68675.088727251947</v>
          </cell>
          <cell r="AC268">
            <v>99621.158727252012</v>
          </cell>
          <cell r="AD268" t="str">
            <v>N/A</v>
          </cell>
          <cell r="AE268">
            <v>1078214</v>
          </cell>
          <cell r="AF268">
            <v>1078214</v>
          </cell>
          <cell r="AG268">
            <v>1078214</v>
          </cell>
          <cell r="AH268">
            <v>1078214</v>
          </cell>
          <cell r="AI268">
            <v>1068750</v>
          </cell>
          <cell r="AJ268">
            <v>0</v>
          </cell>
          <cell r="AK268">
            <v>5381606</v>
          </cell>
          <cell r="AL268">
            <v>22283290</v>
          </cell>
          <cell r="AM268">
            <v>2810717.9744397085</v>
          </cell>
          <cell r="AN268">
            <v>-568260.92999999993</v>
          </cell>
          <cell r="AO268">
            <v>4987982.5432815319</v>
          </cell>
          <cell r="AP268">
            <v>0</v>
          </cell>
          <cell r="AQ268">
            <v>393623.92999999993</v>
          </cell>
          <cell r="AR268">
            <v>0</v>
          </cell>
          <cell r="AS268">
            <v>0</v>
          </cell>
          <cell r="AT268">
            <v>29907353.517721243</v>
          </cell>
          <cell r="AU268">
            <v>6.7210467655146164E-4</v>
          </cell>
          <cell r="AV268">
            <v>0</v>
          </cell>
          <cell r="AW268">
            <v>0</v>
          </cell>
          <cell r="AY268">
            <v>0</v>
          </cell>
          <cell r="AZ268">
            <v>0</v>
          </cell>
          <cell r="BA268">
            <v>0</v>
          </cell>
          <cell r="BB268">
            <v>0</v>
          </cell>
          <cell r="BC268">
            <v>0</v>
          </cell>
          <cell r="BD268">
            <v>0</v>
          </cell>
          <cell r="BE268">
            <v>0</v>
          </cell>
          <cell r="BF268">
            <v>0</v>
          </cell>
          <cell r="BG268">
            <v>0</v>
          </cell>
          <cell r="BH268">
            <v>0</v>
          </cell>
          <cell r="BJ268">
            <v>0</v>
          </cell>
          <cell r="BL268">
            <v>0</v>
          </cell>
          <cell r="BM268">
            <v>0</v>
          </cell>
          <cell r="BN268">
            <v>0</v>
          </cell>
          <cell r="BO268">
            <v>0</v>
          </cell>
          <cell r="BQ268">
            <v>0</v>
          </cell>
          <cell r="BR268">
            <v>0</v>
          </cell>
          <cell r="BS268">
            <v>0</v>
          </cell>
          <cell r="BT268">
            <v>0</v>
          </cell>
          <cell r="CB268">
            <v>0</v>
          </cell>
          <cell r="CC268">
            <v>0</v>
          </cell>
          <cell r="CD268">
            <v>0</v>
          </cell>
          <cell r="CE268">
            <v>0</v>
          </cell>
          <cell r="CF268">
            <v>0</v>
          </cell>
          <cell r="CI268">
            <v>0</v>
          </cell>
          <cell r="CJ268">
            <v>0</v>
          </cell>
          <cell r="CK268">
            <v>0</v>
          </cell>
          <cell r="CV268">
            <v>6.8747164768666325E-4</v>
          </cell>
          <cell r="DG268">
            <v>29907353</v>
          </cell>
          <cell r="DR268">
            <v>10006684.970000004</v>
          </cell>
          <cell r="EC268">
            <v>2.9887373380557203</v>
          </cell>
          <cell r="EN268">
            <v>2.4095909012463064E-2</v>
          </cell>
        </row>
        <row r="269">
          <cell r="B269">
            <v>38500</v>
          </cell>
          <cell r="C269" t="str">
            <v>Stokes County Schools</v>
          </cell>
          <cell r="D269">
            <v>2.1597062547939207E-3</v>
          </cell>
          <cell r="E269">
            <v>3736795.3973412067</v>
          </cell>
          <cell r="F269">
            <v>2913665.0684493547</v>
          </cell>
          <cell r="G269">
            <v>-456385</v>
          </cell>
          <cell r="H269">
            <v>-1042698.696523583</v>
          </cell>
          <cell r="I269">
            <v>-43148.839423956604</v>
          </cell>
          <cell r="J269">
            <v>3153332.5327236787</v>
          </cell>
          <cell r="K269">
            <v>0</v>
          </cell>
          <cell r="L269">
            <v>-165681.3260740616</v>
          </cell>
          <cell r="M269">
            <v>29732.70119516239</v>
          </cell>
          <cell r="N269">
            <v>1120.8443521129491</v>
          </cell>
          <cell r="O269">
            <v>-505.8248019352842</v>
          </cell>
          <cell r="P269">
            <v>0</v>
          </cell>
          <cell r="Q269">
            <v>0</v>
          </cell>
          <cell r="R269">
            <v>0</v>
          </cell>
          <cell r="S269">
            <v>8126226.8572379788</v>
          </cell>
          <cell r="T269">
            <v>0</v>
          </cell>
          <cell r="U269">
            <v>15766662.663618393</v>
          </cell>
          <cell r="V269">
            <v>118930.80478064956</v>
          </cell>
          <cell r="W269">
            <v>0</v>
          </cell>
          <cell r="X269">
            <v>15885593.468399042</v>
          </cell>
          <cell r="Y269">
            <v>2281925.2800000003</v>
          </cell>
          <cell r="Z269">
            <v>0</v>
          </cell>
          <cell r="AA269">
            <v>0</v>
          </cell>
          <cell r="AB269">
            <v>215744.197119783</v>
          </cell>
          <cell r="AC269">
            <v>2497669.4771197834</v>
          </cell>
          <cell r="AD269" t="str">
            <v>N/A</v>
          </cell>
          <cell r="AE269">
            <v>2683531</v>
          </cell>
          <cell r="AF269">
            <v>2683530</v>
          </cell>
          <cell r="AG269">
            <v>2683530</v>
          </cell>
          <cell r="AH269">
            <v>2683530</v>
          </cell>
          <cell r="AI269">
            <v>2653798</v>
          </cell>
          <cell r="AJ269">
            <v>0</v>
          </cell>
          <cell r="AK269">
            <v>13387919</v>
          </cell>
          <cell r="AL269">
            <v>74321596</v>
          </cell>
          <cell r="AM269">
            <v>8126226.8572379788</v>
          </cell>
          <cell r="AN269">
            <v>-1881183.72</v>
          </cell>
          <cell r="AO269">
            <v>15669849.271279262</v>
          </cell>
          <cell r="AP269">
            <v>0</v>
          </cell>
          <cell r="AQ269">
            <v>-2281925.2800000003</v>
          </cell>
          <cell r="AR269">
            <v>0</v>
          </cell>
          <cell r="AS269">
            <v>0</v>
          </cell>
          <cell r="AT269">
            <v>93954563.12851724</v>
          </cell>
          <cell r="AU269">
            <v>2.2416749322209215E-3</v>
          </cell>
          <cell r="AV269">
            <v>0</v>
          </cell>
          <cell r="AW269">
            <v>0</v>
          </cell>
          <cell r="AY269">
            <v>0</v>
          </cell>
          <cell r="AZ269">
            <v>0</v>
          </cell>
          <cell r="BA269">
            <v>0</v>
          </cell>
          <cell r="BB269">
            <v>0</v>
          </cell>
          <cell r="BC269">
            <v>0</v>
          </cell>
          <cell r="BD269">
            <v>0</v>
          </cell>
          <cell r="BE269">
            <v>0</v>
          </cell>
          <cell r="BF269">
            <v>0</v>
          </cell>
          <cell r="BG269">
            <v>0</v>
          </cell>
          <cell r="BH269">
            <v>0</v>
          </cell>
          <cell r="BJ269">
            <v>0</v>
          </cell>
          <cell r="BL269">
            <v>0</v>
          </cell>
          <cell r="BM269">
            <v>0</v>
          </cell>
          <cell r="BN269">
            <v>0</v>
          </cell>
          <cell r="BO269">
            <v>0</v>
          </cell>
          <cell r="BQ269">
            <v>0</v>
          </cell>
          <cell r="BR269">
            <v>0</v>
          </cell>
          <cell r="BS269">
            <v>0</v>
          </cell>
          <cell r="BT269">
            <v>0</v>
          </cell>
          <cell r="CB269">
            <v>0</v>
          </cell>
          <cell r="CC269">
            <v>0</v>
          </cell>
          <cell r="CD269">
            <v>0</v>
          </cell>
          <cell r="CE269">
            <v>0</v>
          </cell>
          <cell r="CF269">
            <v>0</v>
          </cell>
          <cell r="CI269">
            <v>0</v>
          </cell>
          <cell r="CJ269">
            <v>0</v>
          </cell>
          <cell r="CK269">
            <v>0</v>
          </cell>
          <cell r="CV269">
            <v>2.1597062547939207E-3</v>
          </cell>
          <cell r="DG269">
            <v>93954563</v>
          </cell>
          <cell r="DR269">
            <v>33024718.000000022</v>
          </cell>
          <cell r="EC269">
            <v>2.8449769957157525</v>
          </cell>
          <cell r="EN269">
            <v>2.4095909012463064E-2</v>
          </cell>
        </row>
        <row r="270">
          <cell r="B270">
            <v>38600</v>
          </cell>
          <cell r="C270" t="str">
            <v>Surry County Schools</v>
          </cell>
          <cell r="D270">
            <v>2.6427570235023103E-3</v>
          </cell>
          <cell r="E270">
            <v>4572585.8596714102</v>
          </cell>
          <cell r="F270">
            <v>3565350.059382319</v>
          </cell>
          <cell r="G270">
            <v>-554197</v>
          </cell>
          <cell r="H270">
            <v>-1275913.9339054897</v>
          </cell>
          <cell r="I270">
            <v>-52799.725976862363</v>
          </cell>
          <cell r="J270">
            <v>3858622.7547361585</v>
          </cell>
          <cell r="K270">
            <v>0</v>
          </cell>
          <cell r="L270">
            <v>-202738.44518137162</v>
          </cell>
          <cell r="M270">
            <v>36382.866761067329</v>
          </cell>
          <cell r="N270">
            <v>1371.538040057229</v>
          </cell>
          <cell r="O270">
            <v>-618.96012247447607</v>
          </cell>
          <cell r="P270">
            <v>0</v>
          </cell>
          <cell r="Q270">
            <v>0</v>
          </cell>
          <cell r="R270">
            <v>0</v>
          </cell>
          <cell r="S270">
            <v>9948045.0134048145</v>
          </cell>
          <cell r="T270">
            <v>0</v>
          </cell>
          <cell r="U270">
            <v>19293113.773680795</v>
          </cell>
          <cell r="V270">
            <v>145531.46704426932</v>
          </cell>
          <cell r="W270">
            <v>0</v>
          </cell>
          <cell r="X270">
            <v>19438645.240725063</v>
          </cell>
          <cell r="Y270">
            <v>2770984.62</v>
          </cell>
          <cell r="Z270">
            <v>0</v>
          </cell>
          <cell r="AA270">
            <v>0</v>
          </cell>
          <cell r="AB270">
            <v>263998.62988431181</v>
          </cell>
          <cell r="AC270">
            <v>3034983.249884312</v>
          </cell>
          <cell r="AD270" t="str">
            <v>N/A</v>
          </cell>
          <cell r="AE270">
            <v>3288009</v>
          </cell>
          <cell r="AF270">
            <v>3288009</v>
          </cell>
          <cell r="AG270">
            <v>3288009</v>
          </cell>
          <cell r="AH270">
            <v>3288009</v>
          </cell>
          <cell r="AI270">
            <v>3251626</v>
          </cell>
          <cell r="AJ270">
            <v>0</v>
          </cell>
          <cell r="AK270">
            <v>16403662</v>
          </cell>
          <cell r="AL270">
            <v>90936327</v>
          </cell>
          <cell r="AM270">
            <v>9948045.0134048145</v>
          </cell>
          <cell r="AN270">
            <v>-2319120.38</v>
          </cell>
          <cell r="AO270">
            <v>19174646.610840753</v>
          </cell>
          <cell r="AP270">
            <v>0</v>
          </cell>
          <cell r="AQ270">
            <v>-2770984.62</v>
          </cell>
          <cell r="AR270">
            <v>0</v>
          </cell>
          <cell r="AS270">
            <v>0</v>
          </cell>
          <cell r="AT270">
            <v>114968913.62424557</v>
          </cell>
          <cell r="AU270">
            <v>2.7428055248050602E-3</v>
          </cell>
          <cell r="AV270">
            <v>0</v>
          </cell>
          <cell r="AW270">
            <v>0</v>
          </cell>
          <cell r="AY270">
            <v>0</v>
          </cell>
          <cell r="AZ270">
            <v>0</v>
          </cell>
          <cell r="BA270">
            <v>0</v>
          </cell>
          <cell r="BB270">
            <v>0</v>
          </cell>
          <cell r="BC270">
            <v>0</v>
          </cell>
          <cell r="BD270">
            <v>0</v>
          </cell>
          <cell r="BE270">
            <v>0</v>
          </cell>
          <cell r="BF270">
            <v>0</v>
          </cell>
          <cell r="BG270">
            <v>0</v>
          </cell>
          <cell r="BH270">
            <v>0</v>
          </cell>
          <cell r="BJ270">
            <v>0</v>
          </cell>
          <cell r="BL270">
            <v>0</v>
          </cell>
          <cell r="BM270">
            <v>0</v>
          </cell>
          <cell r="BN270">
            <v>0</v>
          </cell>
          <cell r="BO270">
            <v>0</v>
          </cell>
          <cell r="BQ270">
            <v>0</v>
          </cell>
          <cell r="BR270">
            <v>0</v>
          </cell>
          <cell r="BS270">
            <v>0</v>
          </cell>
          <cell r="BT270">
            <v>0</v>
          </cell>
          <cell r="CB270">
            <v>0</v>
          </cell>
          <cell r="CC270">
            <v>0</v>
          </cell>
          <cell r="CD270">
            <v>0</v>
          </cell>
          <cell r="CE270">
            <v>0</v>
          </cell>
          <cell r="CF270">
            <v>0</v>
          </cell>
          <cell r="CI270">
            <v>0</v>
          </cell>
          <cell r="CJ270">
            <v>0</v>
          </cell>
          <cell r="CK270">
            <v>0</v>
          </cell>
          <cell r="CV270">
            <v>2.6427570235023103E-3</v>
          </cell>
          <cell r="DG270">
            <v>114968913</v>
          </cell>
          <cell r="DR270">
            <v>40492841.820000008</v>
          </cell>
          <cell r="EC270">
            <v>2.8392404146654675</v>
          </cell>
          <cell r="EN270">
            <v>2.4095909012463064E-2</v>
          </cell>
        </row>
        <row r="271">
          <cell r="B271">
            <v>38601</v>
          </cell>
          <cell r="C271" t="str">
            <v>Bridges Charter Schools</v>
          </cell>
          <cell r="D271">
            <v>3.7248194923832202E-5</v>
          </cell>
          <cell r="E271">
            <v>64448.062342591904</v>
          </cell>
          <cell r="F271">
            <v>50251.632216862876</v>
          </cell>
          <cell r="G271">
            <v>-12690</v>
          </cell>
          <cell r="H271">
            <v>-17983.299445804572</v>
          </cell>
          <cell r="I271">
            <v>-744.1828619207439</v>
          </cell>
          <cell r="J271">
            <v>54385.148247746649</v>
          </cell>
          <cell r="K271">
            <v>0</v>
          </cell>
          <cell r="L271">
            <v>-2857.4859729868758</v>
          </cell>
          <cell r="M271">
            <v>512.7963338862229</v>
          </cell>
          <cell r="N271">
            <v>19.331068201570435</v>
          </cell>
          <cell r="O271">
            <v>-8.7238997331107395</v>
          </cell>
          <cell r="P271">
            <v>0</v>
          </cell>
          <cell r="Q271">
            <v>0</v>
          </cell>
          <cell r="R271">
            <v>0</v>
          </cell>
          <cell r="S271">
            <v>135333.27802884392</v>
          </cell>
          <cell r="T271">
            <v>0</v>
          </cell>
          <cell r="U271">
            <v>271925.74123873323</v>
          </cell>
          <cell r="V271">
            <v>2051.1853355448916</v>
          </cell>
          <cell r="W271">
            <v>0</v>
          </cell>
          <cell r="X271">
            <v>273976.9265742781</v>
          </cell>
          <cell r="Y271">
            <v>63448.209999999992</v>
          </cell>
          <cell r="Z271">
            <v>0</v>
          </cell>
          <cell r="AA271">
            <v>0</v>
          </cell>
          <cell r="AB271">
            <v>3720.9143096037192</v>
          </cell>
          <cell r="AC271">
            <v>67169.124309603707</v>
          </cell>
          <cell r="AD271" t="str">
            <v>N/A</v>
          </cell>
          <cell r="AE271">
            <v>41465</v>
          </cell>
          <cell r="AF271">
            <v>41464</v>
          </cell>
          <cell r="AG271">
            <v>41464</v>
          </cell>
          <cell r="AH271">
            <v>41464</v>
          </cell>
          <cell r="AI271">
            <v>40951</v>
          </cell>
          <cell r="AJ271">
            <v>0</v>
          </cell>
          <cell r="AK271">
            <v>206808</v>
          </cell>
          <cell r="AL271">
            <v>1306174</v>
          </cell>
          <cell r="AM271">
            <v>135333.27802884392</v>
          </cell>
          <cell r="AN271">
            <v>-27891.790000000005</v>
          </cell>
          <cell r="AO271">
            <v>270256.01226467441</v>
          </cell>
          <cell r="AP271">
            <v>0</v>
          </cell>
          <cell r="AQ271">
            <v>-63448.209999999992</v>
          </cell>
          <cell r="AR271">
            <v>0</v>
          </cell>
          <cell r="AS271">
            <v>0</v>
          </cell>
          <cell r="AT271">
            <v>1620423.2902935185</v>
          </cell>
          <cell r="AU271">
            <v>3.9396594532019387E-5</v>
          </cell>
          <cell r="AV271">
            <v>0</v>
          </cell>
          <cell r="AW271">
            <v>0</v>
          </cell>
          <cell r="AY271">
            <v>0</v>
          </cell>
          <cell r="AZ271">
            <v>0</v>
          </cell>
          <cell r="BA271">
            <v>0</v>
          </cell>
          <cell r="BB271">
            <v>0</v>
          </cell>
          <cell r="BC271">
            <v>0</v>
          </cell>
          <cell r="BD271">
            <v>0</v>
          </cell>
          <cell r="BE271">
            <v>0</v>
          </cell>
          <cell r="BF271">
            <v>0</v>
          </cell>
          <cell r="BG271">
            <v>0</v>
          </cell>
          <cell r="BH271">
            <v>0</v>
          </cell>
          <cell r="BJ271">
            <v>0</v>
          </cell>
          <cell r="BL271">
            <v>0</v>
          </cell>
          <cell r="BM271">
            <v>0</v>
          </cell>
          <cell r="BN271">
            <v>0</v>
          </cell>
          <cell r="BO271">
            <v>0</v>
          </cell>
          <cell r="BQ271">
            <v>0</v>
          </cell>
          <cell r="BR271">
            <v>0</v>
          </cell>
          <cell r="BS271">
            <v>0</v>
          </cell>
          <cell r="BT271">
            <v>0</v>
          </cell>
          <cell r="CB271">
            <v>0</v>
          </cell>
          <cell r="CC271">
            <v>0</v>
          </cell>
          <cell r="CD271">
            <v>0</v>
          </cell>
          <cell r="CE271">
            <v>0</v>
          </cell>
          <cell r="CF271">
            <v>0</v>
          </cell>
          <cell r="CI271">
            <v>0</v>
          </cell>
          <cell r="CJ271">
            <v>0</v>
          </cell>
          <cell r="CK271">
            <v>0</v>
          </cell>
          <cell r="CV271">
            <v>3.7248194923832202E-5</v>
          </cell>
          <cell r="DG271">
            <v>1620423</v>
          </cell>
          <cell r="DR271">
            <v>503972.35</v>
          </cell>
          <cell r="EC271">
            <v>3.2153013950070872</v>
          </cell>
          <cell r="EN271">
            <v>2.4095909012463064E-2</v>
          </cell>
        </row>
        <row r="272">
          <cell r="B272">
            <v>38602</v>
          </cell>
          <cell r="C272" t="str">
            <v>Millennium Charter Academy</v>
          </cell>
          <cell r="D272">
            <v>1.6666563666537258E-4</v>
          </cell>
          <cell r="E272">
            <v>288370.41269093018</v>
          </cell>
          <cell r="F272">
            <v>224849.0240674442</v>
          </cell>
          <cell r="G272">
            <v>127309</v>
          </cell>
          <cell r="H272">
            <v>-80465.591892652723</v>
          </cell>
          <cell r="I272">
            <v>-3329.8180148354768</v>
          </cell>
          <cell r="J272">
            <v>243344.28490793621</v>
          </cell>
          <cell r="K272">
            <v>0</v>
          </cell>
          <cell r="L272">
            <v>-12785.712701624572</v>
          </cell>
          <cell r="M272">
            <v>2294.4877635435059</v>
          </cell>
          <cell r="N272">
            <v>86.496132116595064</v>
          </cell>
          <cell r="O272">
            <v>-39.034758763396916</v>
          </cell>
          <cell r="P272">
            <v>0</v>
          </cell>
          <cell r="Q272">
            <v>0</v>
          </cell>
          <cell r="R272">
            <v>0</v>
          </cell>
          <cell r="S272">
            <v>789633.54819409456</v>
          </cell>
          <cell r="T272">
            <v>642711</v>
          </cell>
          <cell r="U272">
            <v>1216721.4245396811</v>
          </cell>
          <cell r="V272">
            <v>9177.9510541740237</v>
          </cell>
          <cell r="W272">
            <v>0</v>
          </cell>
          <cell r="X272">
            <v>1868610.375593855</v>
          </cell>
          <cell r="Y272">
            <v>6167.2099999999627</v>
          </cell>
          <cell r="Z272">
            <v>0</v>
          </cell>
          <cell r="AA272">
            <v>0</v>
          </cell>
          <cell r="AB272">
            <v>16649.090074177384</v>
          </cell>
          <cell r="AC272">
            <v>22816.300074177347</v>
          </cell>
          <cell r="AD272" t="str">
            <v>N/A</v>
          </cell>
          <cell r="AE272">
            <v>369618</v>
          </cell>
          <cell r="AF272">
            <v>369617</v>
          </cell>
          <cell r="AG272">
            <v>369617</v>
          </cell>
          <cell r="AH272">
            <v>369617</v>
          </cell>
          <cell r="AI272">
            <v>367322</v>
          </cell>
          <cell r="AJ272">
            <v>0</v>
          </cell>
          <cell r="AK272">
            <v>1845791</v>
          </cell>
          <cell r="AL272">
            <v>4754462</v>
          </cell>
          <cell r="AM272">
            <v>789633.54819409456</v>
          </cell>
          <cell r="AN272">
            <v>-139367.79000000004</v>
          </cell>
          <cell r="AO272">
            <v>1209250.2855196779</v>
          </cell>
          <cell r="AP272">
            <v>0</v>
          </cell>
          <cell r="AQ272">
            <v>636543.79</v>
          </cell>
          <cell r="AR272">
            <v>0</v>
          </cell>
          <cell r="AS272">
            <v>0</v>
          </cell>
          <cell r="AT272">
            <v>7250521.8337137727</v>
          </cell>
          <cell r="AU272">
            <v>1.4340323318558199E-4</v>
          </cell>
          <cell r="AV272">
            <v>0</v>
          </cell>
          <cell r="AW272">
            <v>0</v>
          </cell>
          <cell r="AY272">
            <v>0</v>
          </cell>
          <cell r="AZ272">
            <v>0</v>
          </cell>
          <cell r="BA272">
            <v>0</v>
          </cell>
          <cell r="BB272">
            <v>0</v>
          </cell>
          <cell r="BC272">
            <v>0</v>
          </cell>
          <cell r="BD272">
            <v>0</v>
          </cell>
          <cell r="BE272">
            <v>0</v>
          </cell>
          <cell r="BF272">
            <v>0</v>
          </cell>
          <cell r="BG272">
            <v>0</v>
          </cell>
          <cell r="BH272">
            <v>0</v>
          </cell>
          <cell r="BJ272">
            <v>0</v>
          </cell>
          <cell r="BL272">
            <v>0</v>
          </cell>
          <cell r="BM272">
            <v>0</v>
          </cell>
          <cell r="BN272">
            <v>0</v>
          </cell>
          <cell r="BO272">
            <v>0</v>
          </cell>
          <cell r="BQ272">
            <v>0</v>
          </cell>
          <cell r="BR272">
            <v>0</v>
          </cell>
          <cell r="BS272">
            <v>0</v>
          </cell>
          <cell r="BT272">
            <v>0</v>
          </cell>
          <cell r="CB272">
            <v>0</v>
          </cell>
          <cell r="CC272">
            <v>0</v>
          </cell>
          <cell r="CD272">
            <v>0</v>
          </cell>
          <cell r="CE272">
            <v>0</v>
          </cell>
          <cell r="CF272">
            <v>0</v>
          </cell>
          <cell r="CI272">
            <v>0</v>
          </cell>
          <cell r="CJ272">
            <v>0</v>
          </cell>
          <cell r="CK272">
            <v>0</v>
          </cell>
          <cell r="CV272">
            <v>1.6666563666537258E-4</v>
          </cell>
          <cell r="DG272">
            <v>7250522</v>
          </cell>
          <cell r="DR272">
            <v>2406930.850000001</v>
          </cell>
          <cell r="EC272">
            <v>3.012351601210312</v>
          </cell>
          <cell r="EN272">
            <v>2.4095909012463064E-2</v>
          </cell>
        </row>
        <row r="273">
          <cell r="B273">
            <v>38605</v>
          </cell>
          <cell r="C273" t="str">
            <v>Surry Community College</v>
          </cell>
          <cell r="D273">
            <v>7.4540113900093731E-4</v>
          </cell>
          <cell r="E273">
            <v>1289717.7749098013</v>
          </cell>
          <cell r="F273">
            <v>1005622.5266137552</v>
          </cell>
          <cell r="G273">
            <v>-21038</v>
          </cell>
          <cell r="H273">
            <v>-359877.08712620026</v>
          </cell>
          <cell r="I273">
            <v>-14892.39288064886</v>
          </cell>
          <cell r="J273">
            <v>1088341.3687965751</v>
          </cell>
          <cell r="K273">
            <v>0</v>
          </cell>
          <cell r="L273">
            <v>-57183.262257383001</v>
          </cell>
          <cell r="M273">
            <v>10261.946173121285</v>
          </cell>
          <cell r="N273">
            <v>386.84828311870643</v>
          </cell>
          <cell r="O273">
            <v>-174.58040076540954</v>
          </cell>
          <cell r="P273">
            <v>0</v>
          </cell>
          <cell r="Q273">
            <v>0</v>
          </cell>
          <cell r="R273">
            <v>0</v>
          </cell>
          <cell r="S273">
            <v>2941165.1421113736</v>
          </cell>
          <cell r="T273">
            <v>1639.1299999998882</v>
          </cell>
          <cell r="U273">
            <v>5441706.8439828753</v>
          </cell>
          <cell r="V273">
            <v>41047.78469248514</v>
          </cell>
          <cell r="W273">
            <v>0</v>
          </cell>
          <cell r="X273">
            <v>5484393.7586753601</v>
          </cell>
          <cell r="Y273">
            <v>106829</v>
          </cell>
          <cell r="Z273">
            <v>0</v>
          </cell>
          <cell r="AA273">
            <v>0</v>
          </cell>
          <cell r="AB273">
            <v>74461.964403244303</v>
          </cell>
          <cell r="AC273">
            <v>181290.96440324432</v>
          </cell>
          <cell r="AD273" t="str">
            <v>N/A</v>
          </cell>
          <cell r="AE273">
            <v>1062673</v>
          </cell>
          <cell r="AF273">
            <v>1062673</v>
          </cell>
          <cell r="AG273">
            <v>1062673</v>
          </cell>
          <cell r="AH273">
            <v>1062673</v>
          </cell>
          <cell r="AI273">
            <v>1052411</v>
          </cell>
          <cell r="AJ273">
            <v>0</v>
          </cell>
          <cell r="AK273">
            <v>5303103</v>
          </cell>
          <cell r="AL273">
            <v>24841592</v>
          </cell>
          <cell r="AM273">
            <v>2941165.1421113736</v>
          </cell>
          <cell r="AN273">
            <v>-658377.12999999989</v>
          </cell>
          <cell r="AO273">
            <v>5408292.6642721174</v>
          </cell>
          <cell r="AP273">
            <v>0</v>
          </cell>
          <cell r="AQ273">
            <v>-105189.87000000011</v>
          </cell>
          <cell r="AR273">
            <v>0</v>
          </cell>
          <cell r="AS273">
            <v>0</v>
          </cell>
          <cell r="AT273">
            <v>32427482.806383491</v>
          </cell>
          <cell r="AU273">
            <v>7.4926773769812261E-4</v>
          </cell>
          <cell r="AV273">
            <v>0</v>
          </cell>
          <cell r="AW273">
            <v>0</v>
          </cell>
          <cell r="AY273">
            <v>0</v>
          </cell>
          <cell r="AZ273">
            <v>0</v>
          </cell>
          <cell r="BA273">
            <v>0</v>
          </cell>
          <cell r="BB273">
            <v>0</v>
          </cell>
          <cell r="BC273">
            <v>0</v>
          </cell>
          <cell r="BD273">
            <v>0</v>
          </cell>
          <cell r="BE273">
            <v>0</v>
          </cell>
          <cell r="BF273">
            <v>0</v>
          </cell>
          <cell r="BG273">
            <v>0</v>
          </cell>
          <cell r="BH273">
            <v>0</v>
          </cell>
          <cell r="BJ273">
            <v>0</v>
          </cell>
          <cell r="BL273">
            <v>0</v>
          </cell>
          <cell r="BM273">
            <v>0</v>
          </cell>
          <cell r="BN273">
            <v>0</v>
          </cell>
          <cell r="BO273">
            <v>0</v>
          </cell>
          <cell r="BQ273">
            <v>0</v>
          </cell>
          <cell r="BR273">
            <v>0</v>
          </cell>
          <cell r="BS273">
            <v>0</v>
          </cell>
          <cell r="BT273">
            <v>0</v>
          </cell>
          <cell r="CB273">
            <v>0</v>
          </cell>
          <cell r="CC273">
            <v>0</v>
          </cell>
          <cell r="CD273">
            <v>0</v>
          </cell>
          <cell r="CE273">
            <v>0</v>
          </cell>
          <cell r="CF273">
            <v>0</v>
          </cell>
          <cell r="CI273">
            <v>0</v>
          </cell>
          <cell r="CJ273">
            <v>0</v>
          </cell>
          <cell r="CK273">
            <v>0</v>
          </cell>
          <cell r="CV273">
            <v>7.4540113900093731E-4</v>
          </cell>
          <cell r="DG273">
            <v>32427483</v>
          </cell>
          <cell r="DR273">
            <v>11448381.560000028</v>
          </cell>
          <cell r="EC273">
            <v>2.8324949539854365</v>
          </cell>
          <cell r="EN273">
            <v>2.4095909012463064E-2</v>
          </cell>
        </row>
        <row r="274">
          <cell r="B274">
            <v>38610</v>
          </cell>
          <cell r="C274" t="str">
            <v>Mount Airy City Schools</v>
          </cell>
          <cell r="D274">
            <v>5.5285532827617642E-4</v>
          </cell>
          <cell r="E274">
            <v>956568.62664182403</v>
          </cell>
          <cell r="F274">
            <v>745858.49549160188</v>
          </cell>
          <cell r="G274">
            <v>-41607</v>
          </cell>
          <cell r="H274">
            <v>-266916.63687138451</v>
          </cell>
          <cell r="I274">
            <v>-11045.514051513363</v>
          </cell>
          <cell r="J274">
            <v>807210.0956661097</v>
          </cell>
          <cell r="K274">
            <v>0</v>
          </cell>
          <cell r="L274">
            <v>-42412.158464877815</v>
          </cell>
          <cell r="M274">
            <v>7611.16575150053</v>
          </cell>
          <cell r="N274">
            <v>286.92085826877002</v>
          </cell>
          <cell r="O274">
            <v>-129.48424643556328</v>
          </cell>
          <cell r="P274">
            <v>0</v>
          </cell>
          <cell r="Q274">
            <v>0</v>
          </cell>
          <cell r="R274">
            <v>0</v>
          </cell>
          <cell r="S274">
            <v>2155424.5107750935</v>
          </cell>
          <cell r="T274">
            <v>16544.940000000061</v>
          </cell>
          <cell r="U274">
            <v>4036050.4783305484</v>
          </cell>
          <cell r="V274">
            <v>30444.66300600212</v>
          </cell>
          <cell r="W274">
            <v>0</v>
          </cell>
          <cell r="X274">
            <v>4083040.0813365504</v>
          </cell>
          <cell r="Y274">
            <v>224578</v>
          </cell>
          <cell r="Z274">
            <v>0</v>
          </cell>
          <cell r="AA274">
            <v>0</v>
          </cell>
          <cell r="AB274">
            <v>55227.570257566811</v>
          </cell>
          <cell r="AC274">
            <v>279805.57025756681</v>
          </cell>
          <cell r="AD274" t="str">
            <v>N/A</v>
          </cell>
          <cell r="AE274">
            <v>762169</v>
          </cell>
          <cell r="AF274">
            <v>762169</v>
          </cell>
          <cell r="AG274">
            <v>762169</v>
          </cell>
          <cell r="AH274">
            <v>762169</v>
          </cell>
          <cell r="AI274">
            <v>754558</v>
          </cell>
          <cell r="AJ274">
            <v>0</v>
          </cell>
          <cell r="AK274">
            <v>3803234</v>
          </cell>
          <cell r="AL274">
            <v>18599132</v>
          </cell>
          <cell r="AM274">
            <v>2155424.5107750935</v>
          </cell>
          <cell r="AN274">
            <v>-506704.94000000006</v>
          </cell>
          <cell r="AO274">
            <v>4011267.5710789841</v>
          </cell>
          <cell r="AP274">
            <v>0</v>
          </cell>
          <cell r="AQ274">
            <v>-208033.05999999994</v>
          </cell>
          <cell r="AR274">
            <v>0</v>
          </cell>
          <cell r="AS274">
            <v>0</v>
          </cell>
          <cell r="AT274">
            <v>24051086.081854079</v>
          </cell>
          <cell r="AU274">
            <v>5.609837447125022E-4</v>
          </cell>
          <cell r="AV274">
            <v>0</v>
          </cell>
          <cell r="AW274">
            <v>0</v>
          </cell>
          <cell r="AY274">
            <v>0</v>
          </cell>
          <cell r="AZ274">
            <v>0</v>
          </cell>
          <cell r="BA274">
            <v>0</v>
          </cell>
          <cell r="BB274">
            <v>0</v>
          </cell>
          <cell r="BC274">
            <v>0</v>
          </cell>
          <cell r="BD274">
            <v>0</v>
          </cell>
          <cell r="BE274">
            <v>0</v>
          </cell>
          <cell r="BF274">
            <v>0</v>
          </cell>
          <cell r="BG274">
            <v>0</v>
          </cell>
          <cell r="BH274">
            <v>0</v>
          </cell>
          <cell r="BJ274">
            <v>0</v>
          </cell>
          <cell r="BL274">
            <v>0</v>
          </cell>
          <cell r="BM274">
            <v>0</v>
          </cell>
          <cell r="BN274">
            <v>0</v>
          </cell>
          <cell r="BO274">
            <v>0</v>
          </cell>
          <cell r="BQ274">
            <v>0</v>
          </cell>
          <cell r="BR274">
            <v>0</v>
          </cell>
          <cell r="BS274">
            <v>0</v>
          </cell>
          <cell r="BT274">
            <v>0</v>
          </cell>
          <cell r="CB274">
            <v>0</v>
          </cell>
          <cell r="CC274">
            <v>0</v>
          </cell>
          <cell r="CD274">
            <v>0</v>
          </cell>
          <cell r="CE274">
            <v>0</v>
          </cell>
          <cell r="CF274">
            <v>0</v>
          </cell>
          <cell r="CI274">
            <v>0</v>
          </cell>
          <cell r="CJ274">
            <v>0</v>
          </cell>
          <cell r="CK274">
            <v>0</v>
          </cell>
          <cell r="CV274">
            <v>5.5285532827617642E-4</v>
          </cell>
          <cell r="DG274">
            <v>24051086</v>
          </cell>
          <cell r="DR274">
            <v>8723212.9699999988</v>
          </cell>
          <cell r="EC274">
            <v>2.7571361702063322</v>
          </cell>
          <cell r="EN274">
            <v>2.4095909012463064E-2</v>
          </cell>
        </row>
        <row r="275">
          <cell r="B275">
            <v>38620</v>
          </cell>
          <cell r="C275" t="str">
            <v>Elkin City Schools</v>
          </cell>
          <cell r="D275">
            <v>4.586899091346144E-4</v>
          </cell>
          <cell r="E275">
            <v>793640.49507030589</v>
          </cell>
          <cell r="F275">
            <v>618819.69482153514</v>
          </cell>
          <cell r="G275">
            <v>-738</v>
          </cell>
          <cell r="H275">
            <v>-221453.89878903705</v>
          </cell>
          <cell r="I275">
            <v>-9164.1801706627321</v>
          </cell>
          <cell r="J275">
            <v>669721.54648145125</v>
          </cell>
          <cell r="K275">
            <v>0</v>
          </cell>
          <cell r="L275">
            <v>-35188.2818478318</v>
          </cell>
          <cell r="M275">
            <v>6314.7893280686112</v>
          </cell>
          <cell r="N275">
            <v>238.05088904268217</v>
          </cell>
          <cell r="O275">
            <v>-107.42976361841804</v>
          </cell>
          <cell r="P275">
            <v>0</v>
          </cell>
          <cell r="Q275">
            <v>0</v>
          </cell>
          <cell r="R275">
            <v>0</v>
          </cell>
          <cell r="S275">
            <v>1822082.7860192535</v>
          </cell>
          <cell r="T275">
            <v>3575.960000000021</v>
          </cell>
          <cell r="U275">
            <v>3348607.732407256</v>
          </cell>
          <cell r="V275">
            <v>25259.157312274445</v>
          </cell>
          <cell r="W275">
            <v>0</v>
          </cell>
          <cell r="X275">
            <v>3377442.8497195304</v>
          </cell>
          <cell r="Y275">
            <v>7263</v>
          </cell>
          <cell r="Z275">
            <v>0</v>
          </cell>
          <cell r="AA275">
            <v>0</v>
          </cell>
          <cell r="AB275">
            <v>45820.900853313658</v>
          </cell>
          <cell r="AC275">
            <v>53083.900853313658</v>
          </cell>
          <cell r="AD275" t="str">
            <v>N/A</v>
          </cell>
          <cell r="AE275">
            <v>666134</v>
          </cell>
          <cell r="AF275">
            <v>666134</v>
          </cell>
          <cell r="AG275">
            <v>666134</v>
          </cell>
          <cell r="AH275">
            <v>666134</v>
          </cell>
          <cell r="AI275">
            <v>659819</v>
          </cell>
          <cell r="AJ275">
            <v>0</v>
          </cell>
          <cell r="AK275">
            <v>3324355</v>
          </cell>
          <cell r="AL275">
            <v>15216347</v>
          </cell>
          <cell r="AM275">
            <v>1822082.7860192535</v>
          </cell>
          <cell r="AN275">
            <v>-408218.96</v>
          </cell>
          <cell r="AO275">
            <v>3328045.988866217</v>
          </cell>
          <cell r="AP275">
            <v>0</v>
          </cell>
          <cell r="AQ275">
            <v>-3687.039999999979</v>
          </cell>
          <cell r="AR275">
            <v>0</v>
          </cell>
          <cell r="AS275">
            <v>0</v>
          </cell>
          <cell r="AT275">
            <v>19954569.774885472</v>
          </cell>
          <cell r="AU275">
            <v>4.5895278001503308E-4</v>
          </cell>
          <cell r="AV275">
            <v>0</v>
          </cell>
          <cell r="AW275">
            <v>0</v>
          </cell>
          <cell r="AY275">
            <v>0</v>
          </cell>
          <cell r="AZ275">
            <v>0</v>
          </cell>
          <cell r="BA275">
            <v>0</v>
          </cell>
          <cell r="BB275">
            <v>0</v>
          </cell>
          <cell r="BC275">
            <v>0</v>
          </cell>
          <cell r="BD275">
            <v>0</v>
          </cell>
          <cell r="BE275">
            <v>0</v>
          </cell>
          <cell r="BF275">
            <v>0</v>
          </cell>
          <cell r="BG275">
            <v>0</v>
          </cell>
          <cell r="BH275">
            <v>0</v>
          </cell>
          <cell r="BJ275">
            <v>0</v>
          </cell>
          <cell r="BL275">
            <v>0</v>
          </cell>
          <cell r="BM275">
            <v>0</v>
          </cell>
          <cell r="BN275">
            <v>0</v>
          </cell>
          <cell r="BO275">
            <v>0</v>
          </cell>
          <cell r="BQ275">
            <v>0</v>
          </cell>
          <cell r="BR275">
            <v>0</v>
          </cell>
          <cell r="BS275">
            <v>0</v>
          </cell>
          <cell r="BT275">
            <v>0</v>
          </cell>
          <cell r="CB275">
            <v>0</v>
          </cell>
          <cell r="CC275">
            <v>0</v>
          </cell>
          <cell r="CD275">
            <v>0</v>
          </cell>
          <cell r="CE275">
            <v>0</v>
          </cell>
          <cell r="CF275">
            <v>0</v>
          </cell>
          <cell r="CI275">
            <v>0</v>
          </cell>
          <cell r="CJ275">
            <v>0</v>
          </cell>
          <cell r="CK275">
            <v>0</v>
          </cell>
          <cell r="CV275">
            <v>4.586899091346144E-4</v>
          </cell>
          <cell r="DG275">
            <v>19954570</v>
          </cell>
          <cell r="DR275">
            <v>7242311.8899999987</v>
          </cell>
          <cell r="EC275">
            <v>2.7552762575100869</v>
          </cell>
          <cell r="EN275">
            <v>2.4095909012463064E-2</v>
          </cell>
        </row>
        <row r="276">
          <cell r="B276">
            <v>38700</v>
          </cell>
          <cell r="C276" t="str">
            <v>Swain County Schools</v>
          </cell>
          <cell r="D276">
            <v>7.9049572641102942E-4</v>
          </cell>
          <cell r="E276">
            <v>1367741.9257891125</v>
          </cell>
          <cell r="F276">
            <v>1066459.7464075454</v>
          </cell>
          <cell r="G276">
            <v>134558</v>
          </cell>
          <cell r="H276">
            <v>-381648.59767695266</v>
          </cell>
          <cell r="I276">
            <v>-15793.339065681466</v>
          </cell>
          <cell r="J276">
            <v>1154182.8364565203</v>
          </cell>
          <cell r="K276">
            <v>0</v>
          </cell>
          <cell r="L276">
            <v>-60642.682270767946</v>
          </cell>
          <cell r="M276">
            <v>10882.763883866553</v>
          </cell>
          <cell r="N276">
            <v>410.25147209279606</v>
          </cell>
          <cell r="O276">
            <v>-185.1420040827272</v>
          </cell>
          <cell r="P276">
            <v>0</v>
          </cell>
          <cell r="Q276">
            <v>0</v>
          </cell>
          <cell r="R276">
            <v>0</v>
          </cell>
          <cell r="S276">
            <v>3275965.7629916514</v>
          </cell>
          <cell r="T276">
            <v>673506</v>
          </cell>
          <cell r="U276">
            <v>5770914.1822826015</v>
          </cell>
          <cell r="V276">
            <v>43531.055535466214</v>
          </cell>
          <cell r="W276">
            <v>0</v>
          </cell>
          <cell r="X276">
            <v>6487951.2378180679</v>
          </cell>
          <cell r="Y276">
            <v>714.42000000004191</v>
          </cell>
          <cell r="Z276">
            <v>0</v>
          </cell>
          <cell r="AA276">
            <v>0</v>
          </cell>
          <cell r="AB276">
            <v>78966.695328407324</v>
          </cell>
          <cell r="AC276">
            <v>79681.115328407366</v>
          </cell>
          <cell r="AD276" t="str">
            <v>N/A</v>
          </cell>
          <cell r="AE276">
            <v>1283830</v>
          </cell>
          <cell r="AF276">
            <v>1283830</v>
          </cell>
          <cell r="AG276">
            <v>1283830</v>
          </cell>
          <cell r="AH276">
            <v>1283830</v>
          </cell>
          <cell r="AI276">
            <v>1272947</v>
          </cell>
          <cell r="AJ276">
            <v>0</v>
          </cell>
          <cell r="AK276">
            <v>6408267</v>
          </cell>
          <cell r="AL276">
            <v>25400278</v>
          </cell>
          <cell r="AM276">
            <v>3275965.7629916514</v>
          </cell>
          <cell r="AN276">
            <v>-695262.58</v>
          </cell>
          <cell r="AO276">
            <v>5735478.5424896609</v>
          </cell>
          <cell r="AP276">
            <v>0</v>
          </cell>
          <cell r="AQ276">
            <v>672791.58</v>
          </cell>
          <cell r="AR276">
            <v>0</v>
          </cell>
          <cell r="AS276">
            <v>0</v>
          </cell>
          <cell r="AT276">
            <v>34389251.305481315</v>
          </cell>
          <cell r="AU276">
            <v>7.6611873442585746E-4</v>
          </cell>
          <cell r="AV276">
            <v>0</v>
          </cell>
          <cell r="AW276">
            <v>0</v>
          </cell>
          <cell r="AY276">
            <v>0</v>
          </cell>
          <cell r="AZ276">
            <v>0</v>
          </cell>
          <cell r="BA276">
            <v>0</v>
          </cell>
          <cell r="BB276">
            <v>0</v>
          </cell>
          <cell r="BC276">
            <v>0</v>
          </cell>
          <cell r="BD276">
            <v>0</v>
          </cell>
          <cell r="BE276">
            <v>0</v>
          </cell>
          <cell r="BF276">
            <v>0</v>
          </cell>
          <cell r="BG276">
            <v>0</v>
          </cell>
          <cell r="BH276">
            <v>0</v>
          </cell>
          <cell r="BJ276">
            <v>0</v>
          </cell>
          <cell r="BL276">
            <v>0</v>
          </cell>
          <cell r="BM276">
            <v>0</v>
          </cell>
          <cell r="BN276">
            <v>0</v>
          </cell>
          <cell r="BO276">
            <v>0</v>
          </cell>
          <cell r="BQ276">
            <v>0</v>
          </cell>
          <cell r="BR276">
            <v>0</v>
          </cell>
          <cell r="BS276">
            <v>0</v>
          </cell>
          <cell r="BT276">
            <v>0</v>
          </cell>
          <cell r="CB276">
            <v>0</v>
          </cell>
          <cell r="CC276">
            <v>0</v>
          </cell>
          <cell r="CD276">
            <v>0</v>
          </cell>
          <cell r="CE276">
            <v>0</v>
          </cell>
          <cell r="CF276">
            <v>0</v>
          </cell>
          <cell r="CI276">
            <v>0</v>
          </cell>
          <cell r="CJ276">
            <v>0</v>
          </cell>
          <cell r="CK276">
            <v>0</v>
          </cell>
          <cell r="CV276">
            <v>7.9049572641102942E-4</v>
          </cell>
          <cell r="DG276">
            <v>34389251</v>
          </cell>
          <cell r="DR276">
            <v>11830318.769999996</v>
          </cell>
          <cell r="EC276">
            <v>2.9068744189046067</v>
          </cell>
          <cell r="EN276">
            <v>2.4095909012463064E-2</v>
          </cell>
        </row>
        <row r="277">
          <cell r="B277">
            <v>38701</v>
          </cell>
          <cell r="C277" t="str">
            <v>Mountain Discovery Charter</v>
          </cell>
          <cell r="D277">
            <v>5.057752486594943E-5</v>
          </cell>
          <cell r="E277">
            <v>87510.91112898798</v>
          </cell>
          <cell r="F277">
            <v>68234.264323417054</v>
          </cell>
          <cell r="G277">
            <v>-25154</v>
          </cell>
          <cell r="H277">
            <v>-24418.653756293705</v>
          </cell>
          <cell r="I277">
            <v>-1010.4899655023989</v>
          </cell>
          <cell r="J277">
            <v>73846.966100330843</v>
          </cell>
          <cell r="K277">
            <v>0</v>
          </cell>
          <cell r="L277">
            <v>-3880.0421912626825</v>
          </cell>
          <cell r="M277">
            <v>696.30137463933193</v>
          </cell>
          <cell r="N277">
            <v>26.248723854930436</v>
          </cell>
          <cell r="O277">
            <v>-11.845762098854015</v>
          </cell>
          <cell r="P277">
            <v>0</v>
          </cell>
          <cell r="Q277">
            <v>0</v>
          </cell>
          <cell r="R277">
            <v>0</v>
          </cell>
          <cell r="S277">
            <v>175839.65997607249</v>
          </cell>
          <cell r="T277">
            <v>1557.7400000000052</v>
          </cell>
          <cell r="U277">
            <v>369234.83050165424</v>
          </cell>
          <cell r="V277">
            <v>2785.2054985573277</v>
          </cell>
          <cell r="W277">
            <v>0</v>
          </cell>
          <cell r="X277">
            <v>373577.77600021154</v>
          </cell>
          <cell r="Y277">
            <v>127326</v>
          </cell>
          <cell r="Z277">
            <v>0</v>
          </cell>
          <cell r="AA277">
            <v>0</v>
          </cell>
          <cell r="AB277">
            <v>5052.449827511995</v>
          </cell>
          <cell r="AC277">
            <v>132378.449827512</v>
          </cell>
          <cell r="AD277" t="str">
            <v>N/A</v>
          </cell>
          <cell r="AE277">
            <v>48380</v>
          </cell>
          <cell r="AF277">
            <v>48379</v>
          </cell>
          <cell r="AG277">
            <v>48379</v>
          </cell>
          <cell r="AH277">
            <v>48379</v>
          </cell>
          <cell r="AI277">
            <v>47682</v>
          </cell>
          <cell r="AJ277">
            <v>0</v>
          </cell>
          <cell r="AK277">
            <v>241199</v>
          </cell>
          <cell r="AL277">
            <v>1829663</v>
          </cell>
          <cell r="AM277">
            <v>175839.65997607249</v>
          </cell>
          <cell r="AN277">
            <v>-46407.740000000005</v>
          </cell>
          <cell r="AO277">
            <v>366967.58617269958</v>
          </cell>
          <cell r="AP277">
            <v>0</v>
          </cell>
          <cell r="AQ277">
            <v>-125768.26</v>
          </cell>
          <cell r="AR277">
            <v>0</v>
          </cell>
          <cell r="AS277">
            <v>0</v>
          </cell>
          <cell r="AT277">
            <v>2200294.2461487725</v>
          </cell>
          <cell r="AU277">
            <v>5.5185961254208455E-5</v>
          </cell>
          <cell r="AV277">
            <v>0</v>
          </cell>
          <cell r="AW277">
            <v>0</v>
          </cell>
          <cell r="AY277">
            <v>0</v>
          </cell>
          <cell r="AZ277">
            <v>0</v>
          </cell>
          <cell r="BA277">
            <v>0</v>
          </cell>
          <cell r="BB277">
            <v>0</v>
          </cell>
          <cell r="BC277">
            <v>0</v>
          </cell>
          <cell r="BD277">
            <v>0</v>
          </cell>
          <cell r="BE277">
            <v>0</v>
          </cell>
          <cell r="BF277">
            <v>0</v>
          </cell>
          <cell r="BG277">
            <v>0</v>
          </cell>
          <cell r="BH277">
            <v>0</v>
          </cell>
          <cell r="BJ277">
            <v>0</v>
          </cell>
          <cell r="BL277">
            <v>0</v>
          </cell>
          <cell r="BM277">
            <v>0</v>
          </cell>
          <cell r="BN277">
            <v>0</v>
          </cell>
          <cell r="BO277">
            <v>0</v>
          </cell>
          <cell r="BQ277">
            <v>0</v>
          </cell>
          <cell r="BR277">
            <v>0</v>
          </cell>
          <cell r="BS277">
            <v>0</v>
          </cell>
          <cell r="BT277">
            <v>0</v>
          </cell>
          <cell r="CB277">
            <v>0</v>
          </cell>
          <cell r="CC277">
            <v>0</v>
          </cell>
          <cell r="CD277">
            <v>0</v>
          </cell>
          <cell r="CE277">
            <v>0</v>
          </cell>
          <cell r="CF277">
            <v>0</v>
          </cell>
          <cell r="CI277">
            <v>0</v>
          </cell>
          <cell r="CJ277">
            <v>0</v>
          </cell>
          <cell r="CK277">
            <v>0</v>
          </cell>
          <cell r="CV277">
            <v>5.057752486594943E-5</v>
          </cell>
          <cell r="DG277">
            <v>2200294</v>
          </cell>
          <cell r="DR277">
            <v>838007.07999999984</v>
          </cell>
          <cell r="EC277">
            <v>2.6256269815763376</v>
          </cell>
          <cell r="EN277">
            <v>2.4095909012463064E-2</v>
          </cell>
        </row>
        <row r="278">
          <cell r="B278">
            <v>38800</v>
          </cell>
          <cell r="C278" t="str">
            <v>Transylvania County Schools</v>
          </cell>
          <cell r="D278">
            <v>1.375706345486662E-3</v>
          </cell>
          <cell r="E278">
            <v>2380292.7497647963</v>
          </cell>
          <cell r="F278">
            <v>1855968.84501827</v>
          </cell>
          <cell r="G278">
            <v>80894</v>
          </cell>
          <cell r="H278">
            <v>-664186.25683659909</v>
          </cell>
          <cell r="I278">
            <v>-27485.280493196653</v>
          </cell>
          <cell r="J278">
            <v>2008634.0746887499</v>
          </cell>
          <cell r="K278">
            <v>0</v>
          </cell>
          <cell r="L278">
            <v>-105536.96879045259</v>
          </cell>
          <cell r="M278">
            <v>18939.36530111442</v>
          </cell>
          <cell r="N278">
            <v>713.96407918066791</v>
          </cell>
          <cell r="O278">
            <v>-322.20418317643112</v>
          </cell>
          <cell r="P278">
            <v>0</v>
          </cell>
          <cell r="Q278">
            <v>0</v>
          </cell>
          <cell r="R278">
            <v>0</v>
          </cell>
          <cell r="S278">
            <v>5547912.2885486865</v>
          </cell>
          <cell r="T278">
            <v>427723</v>
          </cell>
          <cell r="U278">
            <v>10043170.373443749</v>
          </cell>
          <cell r="V278">
            <v>75757.461204457679</v>
          </cell>
          <cell r="W278">
            <v>0</v>
          </cell>
          <cell r="X278">
            <v>10546650.834648207</v>
          </cell>
          <cell r="Y278">
            <v>23253.649999999907</v>
          </cell>
          <cell r="Z278">
            <v>0</v>
          </cell>
          <cell r="AA278">
            <v>0</v>
          </cell>
          <cell r="AB278">
            <v>137426.40246598326</v>
          </cell>
          <cell r="AC278">
            <v>160680.05246598317</v>
          </cell>
          <cell r="AD278" t="str">
            <v>N/A</v>
          </cell>
          <cell r="AE278">
            <v>2080982</v>
          </cell>
          <cell r="AF278">
            <v>2080982</v>
          </cell>
          <cell r="AG278">
            <v>2080982</v>
          </cell>
          <cell r="AH278">
            <v>2080982</v>
          </cell>
          <cell r="AI278">
            <v>2062043</v>
          </cell>
          <cell r="AJ278">
            <v>0</v>
          </cell>
          <cell r="AK278">
            <v>10385971</v>
          </cell>
          <cell r="AL278">
            <v>45097579</v>
          </cell>
          <cell r="AM278">
            <v>5547912.2885486865</v>
          </cell>
          <cell r="AN278">
            <v>-1183559.3500000001</v>
          </cell>
          <cell r="AO278">
            <v>9981501.4321822245</v>
          </cell>
          <cell r="AP278">
            <v>0</v>
          </cell>
          <cell r="AQ278">
            <v>404469.35000000009</v>
          </cell>
          <cell r="AR278">
            <v>0</v>
          </cell>
          <cell r="AS278">
            <v>0</v>
          </cell>
          <cell r="AT278">
            <v>59847902.720730908</v>
          </cell>
          <cell r="AU278">
            <v>1.3602252629795213E-3</v>
          </cell>
          <cell r="AV278">
            <v>0</v>
          </cell>
          <cell r="AW278">
            <v>0</v>
          </cell>
          <cell r="AY278">
            <v>0</v>
          </cell>
          <cell r="AZ278">
            <v>0</v>
          </cell>
          <cell r="BA278">
            <v>0</v>
          </cell>
          <cell r="BB278">
            <v>0</v>
          </cell>
          <cell r="BC278">
            <v>0</v>
          </cell>
          <cell r="BD278">
            <v>0</v>
          </cell>
          <cell r="BE278">
            <v>0</v>
          </cell>
          <cell r="BF278">
            <v>0</v>
          </cell>
          <cell r="BG278">
            <v>0</v>
          </cell>
          <cell r="BH278">
            <v>0</v>
          </cell>
          <cell r="BJ278">
            <v>0</v>
          </cell>
          <cell r="BL278">
            <v>0</v>
          </cell>
          <cell r="BM278">
            <v>0</v>
          </cell>
          <cell r="BN278">
            <v>0</v>
          </cell>
          <cell r="BO278">
            <v>0</v>
          </cell>
          <cell r="BQ278">
            <v>0</v>
          </cell>
          <cell r="BR278">
            <v>0</v>
          </cell>
          <cell r="BS278">
            <v>0</v>
          </cell>
          <cell r="BT278">
            <v>0</v>
          </cell>
          <cell r="CB278">
            <v>0</v>
          </cell>
          <cell r="CC278">
            <v>0</v>
          </cell>
          <cell r="CD278">
            <v>0</v>
          </cell>
          <cell r="CE278">
            <v>0</v>
          </cell>
          <cell r="CF278">
            <v>0</v>
          </cell>
          <cell r="CI278">
            <v>0</v>
          </cell>
          <cell r="CJ278">
            <v>0</v>
          </cell>
          <cell r="CK278">
            <v>0</v>
          </cell>
          <cell r="CV278">
            <v>1.375706345486662E-3</v>
          </cell>
          <cell r="DG278">
            <v>59847902</v>
          </cell>
          <cell r="DR278">
            <v>20528974.84999999</v>
          </cell>
          <cell r="EC278">
            <v>2.9152893623424174</v>
          </cell>
          <cell r="EN278">
            <v>2.4095909012463064E-2</v>
          </cell>
        </row>
        <row r="279">
          <cell r="B279">
            <v>38801</v>
          </cell>
          <cell r="C279" t="str">
            <v>Brevard Academy Charter School</v>
          </cell>
          <cell r="D279">
            <v>9.3767503745672195E-5</v>
          </cell>
          <cell r="E279">
            <v>162239.64515509378</v>
          </cell>
          <cell r="F279">
            <v>126501.9720218982</v>
          </cell>
          <cell r="G279">
            <v>101701</v>
          </cell>
          <cell r="H279">
            <v>-45270.62590797188</v>
          </cell>
          <cell r="I279">
            <v>-1873.3839165981044</v>
          </cell>
          <cell r="J279">
            <v>136907.56296935916</v>
          </cell>
          <cell r="K279">
            <v>0</v>
          </cell>
          <cell r="L279">
            <v>-7193.3506368068129</v>
          </cell>
          <cell r="M279">
            <v>1290.8983175364137</v>
          </cell>
          <cell r="N279">
            <v>48.663459093928957</v>
          </cell>
          <cell r="O279">
            <v>-21.961287052273885</v>
          </cell>
          <cell r="P279">
            <v>0</v>
          </cell>
          <cell r="Q279">
            <v>0</v>
          </cell>
          <cell r="R279">
            <v>0</v>
          </cell>
          <cell r="S279">
            <v>474330.42017455248</v>
          </cell>
          <cell r="T279">
            <v>520923</v>
          </cell>
          <cell r="U279">
            <v>684537.81484679575</v>
          </cell>
          <cell r="V279">
            <v>5163.593270145655</v>
          </cell>
          <cell r="W279">
            <v>0</v>
          </cell>
          <cell r="X279">
            <v>1210624.4081169413</v>
          </cell>
          <cell r="Y279">
            <v>12420.680000000008</v>
          </cell>
          <cell r="Z279">
            <v>0</v>
          </cell>
          <cell r="AA279">
            <v>0</v>
          </cell>
          <cell r="AB279">
            <v>9366.919582990522</v>
          </cell>
          <cell r="AC279">
            <v>21787.59958299053</v>
          </cell>
          <cell r="AD279" t="str">
            <v>N/A</v>
          </cell>
          <cell r="AE279">
            <v>238026</v>
          </cell>
          <cell r="AF279">
            <v>238026</v>
          </cell>
          <cell r="AG279">
            <v>238026</v>
          </cell>
          <cell r="AH279">
            <v>238026</v>
          </cell>
          <cell r="AI279">
            <v>236735</v>
          </cell>
          <cell r="AJ279">
            <v>0</v>
          </cell>
          <cell r="AK279">
            <v>1188839</v>
          </cell>
          <cell r="AL279">
            <v>2483706</v>
          </cell>
          <cell r="AM279">
            <v>474330.42017455248</v>
          </cell>
          <cell r="AN279">
            <v>-67668.319999999992</v>
          </cell>
          <cell r="AO279">
            <v>680334.48853395099</v>
          </cell>
          <cell r="AP279">
            <v>0</v>
          </cell>
          <cell r="AQ279">
            <v>508502.32</v>
          </cell>
          <cell r="AR279">
            <v>0</v>
          </cell>
          <cell r="AS279">
            <v>0</v>
          </cell>
          <cell r="AT279">
            <v>4079204.9087085035</v>
          </cell>
          <cell r="AU279">
            <v>7.4913116459634409E-5</v>
          </cell>
          <cell r="AV279">
            <v>0</v>
          </cell>
          <cell r="AW279">
            <v>0</v>
          </cell>
          <cell r="AY279">
            <v>0</v>
          </cell>
          <cell r="AZ279">
            <v>0</v>
          </cell>
          <cell r="BA279">
            <v>0</v>
          </cell>
          <cell r="BB279">
            <v>0</v>
          </cell>
          <cell r="BC279">
            <v>0</v>
          </cell>
          <cell r="BD279">
            <v>0</v>
          </cell>
          <cell r="BE279">
            <v>0</v>
          </cell>
          <cell r="BF279">
            <v>0</v>
          </cell>
          <cell r="BG279">
            <v>0</v>
          </cell>
          <cell r="BH279">
            <v>0</v>
          </cell>
          <cell r="BJ279">
            <v>0</v>
          </cell>
          <cell r="BL279">
            <v>0</v>
          </cell>
          <cell r="BM279">
            <v>0</v>
          </cell>
          <cell r="BN279">
            <v>0</v>
          </cell>
          <cell r="BO279">
            <v>0</v>
          </cell>
          <cell r="BQ279">
            <v>0</v>
          </cell>
          <cell r="BR279">
            <v>0</v>
          </cell>
          <cell r="BS279">
            <v>0</v>
          </cell>
          <cell r="BT279">
            <v>0</v>
          </cell>
          <cell r="CB279">
            <v>0</v>
          </cell>
          <cell r="CC279">
            <v>0</v>
          </cell>
          <cell r="CD279">
            <v>0</v>
          </cell>
          <cell r="CE279">
            <v>0</v>
          </cell>
          <cell r="CF279">
            <v>0</v>
          </cell>
          <cell r="CI279">
            <v>0</v>
          </cell>
          <cell r="CJ279">
            <v>0</v>
          </cell>
          <cell r="CK279">
            <v>0</v>
          </cell>
          <cell r="CV279">
            <v>9.3767503745672195E-5</v>
          </cell>
          <cell r="DG279">
            <v>4079205</v>
          </cell>
          <cell r="DR279">
            <v>1091578.8099999996</v>
          </cell>
          <cell r="EC279">
            <v>3.7369770855115827</v>
          </cell>
          <cell r="EN279">
            <v>2.4095909012463064E-2</v>
          </cell>
        </row>
        <row r="280">
          <cell r="B280">
            <v>38900</v>
          </cell>
          <cell r="C280" t="str">
            <v>Tyrrell County Schools</v>
          </cell>
          <cell r="D280">
            <v>3.0670444720009053E-4</v>
          </cell>
          <cell r="E280">
            <v>530670.20762540586</v>
          </cell>
          <cell r="F280">
            <v>413775.73091774178</v>
          </cell>
          <cell r="G280">
            <v>166344</v>
          </cell>
          <cell r="H280">
            <v>-148075.8443902529</v>
          </cell>
          <cell r="I280">
            <v>-6127.6578300750743</v>
          </cell>
          <cell r="J280">
            <v>447811.41376995359</v>
          </cell>
          <cell r="K280">
            <v>0</v>
          </cell>
          <cell r="L280">
            <v>-23528.75508515476</v>
          </cell>
          <cell r="M280">
            <v>4222.4037012375566</v>
          </cell>
          <cell r="N280">
            <v>159.17347400790297</v>
          </cell>
          <cell r="O280">
            <v>-71.833248578733205</v>
          </cell>
          <cell r="P280">
            <v>0</v>
          </cell>
          <cell r="Q280">
            <v>0</v>
          </cell>
          <cell r="R280">
            <v>0</v>
          </cell>
          <cell r="S280">
            <v>1385178.8389342856</v>
          </cell>
          <cell r="T280">
            <v>849882</v>
          </cell>
          <cell r="U280">
            <v>2239057.068849768</v>
          </cell>
          <cell r="V280">
            <v>16889.614804950226</v>
          </cell>
          <cell r="W280">
            <v>0</v>
          </cell>
          <cell r="X280">
            <v>3105828.6836547181</v>
          </cell>
          <cell r="Y280">
            <v>18162.280000000028</v>
          </cell>
          <cell r="Z280">
            <v>0</v>
          </cell>
          <cell r="AA280">
            <v>0</v>
          </cell>
          <cell r="AB280">
            <v>30638.289150375374</v>
          </cell>
          <cell r="AC280">
            <v>48800.569150375406</v>
          </cell>
          <cell r="AD280" t="str">
            <v>N/A</v>
          </cell>
          <cell r="AE280">
            <v>612250</v>
          </cell>
          <cell r="AF280">
            <v>612250</v>
          </cell>
          <cell r="AG280">
            <v>612250</v>
          </cell>
          <cell r="AH280">
            <v>612250</v>
          </cell>
          <cell r="AI280">
            <v>608028</v>
          </cell>
          <cell r="AJ280">
            <v>0</v>
          </cell>
          <cell r="AK280">
            <v>3057028</v>
          </cell>
          <cell r="AL280">
            <v>9148771</v>
          </cell>
          <cell r="AM280">
            <v>1385178.8389342856</v>
          </cell>
          <cell r="AN280">
            <v>-248292.71999999997</v>
          </cell>
          <cell r="AO280">
            <v>2225308.3945043432</v>
          </cell>
          <cell r="AP280">
            <v>0</v>
          </cell>
          <cell r="AQ280">
            <v>831719.72</v>
          </cell>
          <cell r="AR280">
            <v>0</v>
          </cell>
          <cell r="AS280">
            <v>0</v>
          </cell>
          <cell r="AT280">
            <v>13342685.233438628</v>
          </cell>
          <cell r="AU280">
            <v>2.7594363778227297E-4</v>
          </cell>
          <cell r="AV280">
            <v>0</v>
          </cell>
          <cell r="AW280">
            <v>0</v>
          </cell>
          <cell r="AY280">
            <v>0</v>
          </cell>
          <cell r="AZ280">
            <v>0</v>
          </cell>
          <cell r="BA280">
            <v>0</v>
          </cell>
          <cell r="BB280">
            <v>0</v>
          </cell>
          <cell r="BC280">
            <v>0</v>
          </cell>
          <cell r="BD280">
            <v>0</v>
          </cell>
          <cell r="BE280">
            <v>0</v>
          </cell>
          <cell r="BF280">
            <v>0</v>
          </cell>
          <cell r="BG280">
            <v>0</v>
          </cell>
          <cell r="BH280">
            <v>0</v>
          </cell>
          <cell r="BJ280">
            <v>0</v>
          </cell>
          <cell r="BL280">
            <v>0</v>
          </cell>
          <cell r="BM280">
            <v>0</v>
          </cell>
          <cell r="BN280">
            <v>0</v>
          </cell>
          <cell r="BO280">
            <v>0</v>
          </cell>
          <cell r="BQ280">
            <v>0</v>
          </cell>
          <cell r="BR280">
            <v>0</v>
          </cell>
          <cell r="BS280">
            <v>0</v>
          </cell>
          <cell r="BT280">
            <v>0</v>
          </cell>
          <cell r="CB280">
            <v>0</v>
          </cell>
          <cell r="CC280">
            <v>0</v>
          </cell>
          <cell r="CD280">
            <v>0</v>
          </cell>
          <cell r="CE280">
            <v>0</v>
          </cell>
          <cell r="CF280">
            <v>0</v>
          </cell>
          <cell r="CI280">
            <v>0</v>
          </cell>
          <cell r="CJ280">
            <v>0</v>
          </cell>
          <cell r="CK280">
            <v>0</v>
          </cell>
          <cell r="CV280">
            <v>3.0670444720009053E-4</v>
          </cell>
          <cell r="DG280">
            <v>13342686</v>
          </cell>
          <cell r="DR280">
            <v>4694135.16</v>
          </cell>
          <cell r="EC280">
            <v>2.8424162375418263</v>
          </cell>
          <cell r="EN280">
            <v>2.4095909012463064E-2</v>
          </cell>
        </row>
        <row r="281">
          <cell r="B281">
            <v>39000</v>
          </cell>
          <cell r="C281" t="str">
            <v>Union County Schools</v>
          </cell>
          <cell r="D281">
            <v>1.3912259251114766E-2</v>
          </cell>
          <cell r="E281">
            <v>24071452.412005868</v>
          </cell>
          <cell r="F281">
            <v>18769063.484076627</v>
          </cell>
          <cell r="G281">
            <v>309528</v>
          </cell>
          <cell r="H281">
            <v>-6716790.5610477189</v>
          </cell>
          <cell r="I281">
            <v>-277953.46664312284</v>
          </cell>
          <cell r="J281">
            <v>20312938.2076139</v>
          </cell>
          <cell r="K281">
            <v>0</v>
          </cell>
          <cell r="L281">
            <v>-1067275.494662476</v>
          </cell>
          <cell r="M281">
            <v>191530.23534790819</v>
          </cell>
          <cell r="N281">
            <v>7220.1843061435411</v>
          </cell>
          <cell r="O281">
            <v>-3258.3902392035893</v>
          </cell>
          <cell r="P281">
            <v>0</v>
          </cell>
          <cell r="Q281">
            <v>0</v>
          </cell>
          <cell r="R281">
            <v>0</v>
          </cell>
          <cell r="S281">
            <v>55596454.610757925</v>
          </cell>
          <cell r="T281">
            <v>2212122</v>
          </cell>
          <cell r="U281">
            <v>101564691.0380695</v>
          </cell>
          <cell r="V281">
            <v>766120.94139163278</v>
          </cell>
          <cell r="W281">
            <v>0</v>
          </cell>
          <cell r="X281">
            <v>104542933.97946113</v>
          </cell>
          <cell r="Y281">
            <v>664486.50000000186</v>
          </cell>
          <cell r="Z281">
            <v>0</v>
          </cell>
          <cell r="AA281">
            <v>0</v>
          </cell>
          <cell r="AB281">
            <v>1389767.3332156141</v>
          </cell>
          <cell r="AC281">
            <v>2054253.8332156159</v>
          </cell>
          <cell r="AD281" t="str">
            <v>N/A</v>
          </cell>
          <cell r="AE281">
            <v>20536042</v>
          </cell>
          <cell r="AF281">
            <v>20536043</v>
          </cell>
          <cell r="AG281">
            <v>20536043</v>
          </cell>
          <cell r="AH281">
            <v>20536043</v>
          </cell>
          <cell r="AI281">
            <v>20344513</v>
          </cell>
          <cell r="AJ281">
            <v>0</v>
          </cell>
          <cell r="AK281">
            <v>102488684</v>
          </cell>
          <cell r="AL281">
            <v>458599356</v>
          </cell>
          <cell r="AM281">
            <v>55596454.610757925</v>
          </cell>
          <cell r="AN281">
            <v>-11453925.499999998</v>
          </cell>
          <cell r="AO281">
            <v>100941044.64624552</v>
          </cell>
          <cell r="AP281">
            <v>0</v>
          </cell>
          <cell r="AQ281">
            <v>1547635.4999999981</v>
          </cell>
          <cell r="AR281">
            <v>0</v>
          </cell>
          <cell r="AS281">
            <v>0</v>
          </cell>
          <cell r="AT281">
            <v>605230565.25700343</v>
          </cell>
          <cell r="AU281">
            <v>1.3832193252420312E-2</v>
          </cell>
          <cell r="AV281">
            <v>0</v>
          </cell>
          <cell r="AW281">
            <v>0</v>
          </cell>
          <cell r="AY281">
            <v>0</v>
          </cell>
          <cell r="AZ281">
            <v>0</v>
          </cell>
          <cell r="BA281">
            <v>0</v>
          </cell>
          <cell r="BB281">
            <v>0</v>
          </cell>
          <cell r="BC281">
            <v>0</v>
          </cell>
          <cell r="BD281">
            <v>0</v>
          </cell>
          <cell r="BE281">
            <v>0</v>
          </cell>
          <cell r="BF281">
            <v>0</v>
          </cell>
          <cell r="BG281">
            <v>0</v>
          </cell>
          <cell r="BH281">
            <v>0</v>
          </cell>
          <cell r="BJ281">
            <v>0</v>
          </cell>
          <cell r="BL281">
            <v>0</v>
          </cell>
          <cell r="BM281">
            <v>0</v>
          </cell>
          <cell r="BN281">
            <v>0</v>
          </cell>
          <cell r="BO281">
            <v>0</v>
          </cell>
          <cell r="BQ281">
            <v>0</v>
          </cell>
          <cell r="BR281">
            <v>0</v>
          </cell>
          <cell r="BS281">
            <v>0</v>
          </cell>
          <cell r="BT281">
            <v>0</v>
          </cell>
          <cell r="CB281">
            <v>0</v>
          </cell>
          <cell r="CC281">
            <v>0</v>
          </cell>
          <cell r="CD281">
            <v>0</v>
          </cell>
          <cell r="CE281">
            <v>0</v>
          </cell>
          <cell r="CF281">
            <v>0</v>
          </cell>
          <cell r="CI281">
            <v>0</v>
          </cell>
          <cell r="CJ281">
            <v>0</v>
          </cell>
          <cell r="CK281">
            <v>0</v>
          </cell>
          <cell r="CV281">
            <v>1.3912259251114766E-2</v>
          </cell>
          <cell r="DG281">
            <v>605230565</v>
          </cell>
          <cell r="DR281">
            <v>197758811.1799998</v>
          </cell>
          <cell r="EC281">
            <v>3.0604480345966478</v>
          </cell>
          <cell r="EN281">
            <v>2.4095909012463064E-2</v>
          </cell>
        </row>
        <row r="282">
          <cell r="B282">
            <v>39100</v>
          </cell>
          <cell r="C282" t="str">
            <v>Vance County Schools</v>
          </cell>
          <cell r="D282">
            <v>2.1343134136276353E-3</v>
          </cell>
          <cell r="E282">
            <v>3692859.8613001513</v>
          </cell>
          <cell r="F282">
            <v>2879407.5234102267</v>
          </cell>
          <cell r="G282">
            <v>-37320</v>
          </cell>
          <cell r="H282">
            <v>-1030439.1207936222</v>
          </cell>
          <cell r="I282">
            <v>-42641.51504890791</v>
          </cell>
          <cell r="J282">
            <v>3116257.0869447929</v>
          </cell>
          <cell r="K282">
            <v>0</v>
          </cell>
          <cell r="L282">
            <v>-163733.32060439198</v>
          </cell>
          <cell r="M282">
            <v>29383.117654707523</v>
          </cell>
          <cell r="N282">
            <v>1107.6659754044701</v>
          </cell>
          <cell r="O282">
            <v>-499.87754460572847</v>
          </cell>
          <cell r="P282">
            <v>0</v>
          </cell>
          <cell r="Q282">
            <v>0</v>
          </cell>
          <cell r="R282">
            <v>0</v>
          </cell>
          <cell r="S282">
            <v>8444381.421293756</v>
          </cell>
          <cell r="T282">
            <v>121488.72999999975</v>
          </cell>
          <cell r="U282">
            <v>15581285.434723964</v>
          </cell>
          <cell r="V282">
            <v>117532.47061883009</v>
          </cell>
          <cell r="W282">
            <v>0</v>
          </cell>
          <cell r="X282">
            <v>15820306.635342795</v>
          </cell>
          <cell r="Y282">
            <v>308092</v>
          </cell>
          <cell r="Z282">
            <v>0</v>
          </cell>
          <cell r="AA282">
            <v>0</v>
          </cell>
          <cell r="AB282">
            <v>213207.57524453953</v>
          </cell>
          <cell r="AC282">
            <v>521299.57524453953</v>
          </cell>
          <cell r="AD282" t="str">
            <v>N/A</v>
          </cell>
          <cell r="AE282">
            <v>3065679</v>
          </cell>
          <cell r="AF282">
            <v>3065678</v>
          </cell>
          <cell r="AG282">
            <v>3065678</v>
          </cell>
          <cell r="AH282">
            <v>3065678</v>
          </cell>
          <cell r="AI282">
            <v>3036295</v>
          </cell>
          <cell r="AJ282">
            <v>0</v>
          </cell>
          <cell r="AK282">
            <v>15299008</v>
          </cell>
          <cell r="AL282">
            <v>71131789</v>
          </cell>
          <cell r="AM282">
            <v>8444381.421293756</v>
          </cell>
          <cell r="AN282">
            <v>-2025289.7299999997</v>
          </cell>
          <cell r="AO282">
            <v>15485610.330098255</v>
          </cell>
          <cell r="AP282">
            <v>0</v>
          </cell>
          <cell r="AQ282">
            <v>-186603.27000000025</v>
          </cell>
          <cell r="AR282">
            <v>0</v>
          </cell>
          <cell r="AS282">
            <v>0</v>
          </cell>
          <cell r="AT282">
            <v>92849887.751392007</v>
          </cell>
          <cell r="AU282">
            <v>2.1454645216955467E-3</v>
          </cell>
          <cell r="AV282">
            <v>0</v>
          </cell>
          <cell r="AW282">
            <v>0</v>
          </cell>
          <cell r="AY282">
            <v>0</v>
          </cell>
          <cell r="AZ282">
            <v>0</v>
          </cell>
          <cell r="BA282">
            <v>0</v>
          </cell>
          <cell r="BB282">
            <v>0</v>
          </cell>
          <cell r="BC282">
            <v>0</v>
          </cell>
          <cell r="BD282">
            <v>0</v>
          </cell>
          <cell r="BE282">
            <v>0</v>
          </cell>
          <cell r="BF282">
            <v>0</v>
          </cell>
          <cell r="BG282">
            <v>0</v>
          </cell>
          <cell r="BH282">
            <v>0</v>
          </cell>
          <cell r="BJ282">
            <v>0</v>
          </cell>
          <cell r="BL282">
            <v>0</v>
          </cell>
          <cell r="BM282">
            <v>0</v>
          </cell>
          <cell r="BN282">
            <v>0</v>
          </cell>
          <cell r="BO282">
            <v>0</v>
          </cell>
          <cell r="BQ282">
            <v>0</v>
          </cell>
          <cell r="BR282">
            <v>0</v>
          </cell>
          <cell r="BS282">
            <v>0</v>
          </cell>
          <cell r="BT282">
            <v>0</v>
          </cell>
          <cell r="CB282">
            <v>0</v>
          </cell>
          <cell r="CC282">
            <v>0</v>
          </cell>
          <cell r="CD282">
            <v>0</v>
          </cell>
          <cell r="CE282">
            <v>0</v>
          </cell>
          <cell r="CF282">
            <v>0</v>
          </cell>
          <cell r="CI282">
            <v>0</v>
          </cell>
          <cell r="CJ282">
            <v>0</v>
          </cell>
          <cell r="CK282">
            <v>0</v>
          </cell>
          <cell r="CV282">
            <v>2.1343134136276353E-3</v>
          </cell>
          <cell r="DG282">
            <v>92849888</v>
          </cell>
          <cell r="DR282">
            <v>34567866.200000018</v>
          </cell>
          <cell r="EC282">
            <v>2.6860173394214293</v>
          </cell>
          <cell r="EN282">
            <v>2.4095909012463064E-2</v>
          </cell>
        </row>
        <row r="283">
          <cell r="B283">
            <v>39101</v>
          </cell>
          <cell r="C283" t="str">
            <v>Vance Charter School</v>
          </cell>
          <cell r="D283">
            <v>1.5215746481731001E-4</v>
          </cell>
          <cell r="E283">
            <v>263267.89253786032</v>
          </cell>
          <cell r="F283">
            <v>205276.0134198486</v>
          </cell>
          <cell r="G283">
            <v>36828</v>
          </cell>
          <cell r="H283">
            <v>-73461.096794610581</v>
          </cell>
          <cell r="I283">
            <v>-3039.9587916111809</v>
          </cell>
          <cell r="J283">
            <v>222161.26977460878</v>
          </cell>
          <cell r="K283">
            <v>0</v>
          </cell>
          <cell r="L283">
            <v>-11672.721920882152</v>
          </cell>
          <cell r="M283">
            <v>2094.7535925241823</v>
          </cell>
          <cell r="N283">
            <v>78.966681090887548</v>
          </cell>
          <cell r="O283">
            <v>-35.636799834862174</v>
          </cell>
          <cell r="P283">
            <v>0</v>
          </cell>
          <cell r="Q283">
            <v>0</v>
          </cell>
          <cell r="R283">
            <v>0</v>
          </cell>
          <cell r="S283">
            <v>641497.48169899406</v>
          </cell>
          <cell r="T283">
            <v>186264</v>
          </cell>
          <cell r="U283">
            <v>1110806.3488730439</v>
          </cell>
          <cell r="V283">
            <v>8379.0143700967292</v>
          </cell>
          <cell r="W283">
            <v>0</v>
          </cell>
          <cell r="X283">
            <v>1305449.3632431405</v>
          </cell>
          <cell r="Y283">
            <v>2125.3099999999977</v>
          </cell>
          <cell r="Z283">
            <v>0</v>
          </cell>
          <cell r="AA283">
            <v>0</v>
          </cell>
          <cell r="AB283">
            <v>15199.793958055903</v>
          </cell>
          <cell r="AC283">
            <v>17325.103958055901</v>
          </cell>
          <cell r="AD283" t="str">
            <v>N/A</v>
          </cell>
          <cell r="AE283">
            <v>258044</v>
          </cell>
          <cell r="AF283">
            <v>258044</v>
          </cell>
          <cell r="AG283">
            <v>258044</v>
          </cell>
          <cell r="AH283">
            <v>258044</v>
          </cell>
          <cell r="AI283">
            <v>255949</v>
          </cell>
          <cell r="AJ283">
            <v>0</v>
          </cell>
          <cell r="AK283">
            <v>1288125</v>
          </cell>
          <cell r="AL283">
            <v>4821187</v>
          </cell>
          <cell r="AM283">
            <v>641497.48169899406</v>
          </cell>
          <cell r="AN283">
            <v>-131441.69</v>
          </cell>
          <cell r="AO283">
            <v>1103985.569285085</v>
          </cell>
          <cell r="AP283">
            <v>0</v>
          </cell>
          <cell r="AQ283">
            <v>184138.69</v>
          </cell>
          <cell r="AR283">
            <v>0</v>
          </cell>
          <cell r="AS283">
            <v>0</v>
          </cell>
          <cell r="AT283">
            <v>6619367.0509840781</v>
          </cell>
          <cell r="AU283">
            <v>1.4541579333947972E-4</v>
          </cell>
          <cell r="AV283">
            <v>0</v>
          </cell>
          <cell r="AW283">
            <v>0</v>
          </cell>
          <cell r="AY283">
            <v>0</v>
          </cell>
          <cell r="AZ283">
            <v>0</v>
          </cell>
          <cell r="BA283">
            <v>0</v>
          </cell>
          <cell r="BB283">
            <v>0</v>
          </cell>
          <cell r="BC283">
            <v>0</v>
          </cell>
          <cell r="BD283">
            <v>0</v>
          </cell>
          <cell r="BE283">
            <v>0</v>
          </cell>
          <cell r="BF283">
            <v>0</v>
          </cell>
          <cell r="BG283">
            <v>0</v>
          </cell>
          <cell r="BH283">
            <v>0</v>
          </cell>
          <cell r="BJ283">
            <v>0</v>
          </cell>
          <cell r="BL283">
            <v>0</v>
          </cell>
          <cell r="BM283">
            <v>0</v>
          </cell>
          <cell r="BN283">
            <v>0</v>
          </cell>
          <cell r="BO283">
            <v>0</v>
          </cell>
          <cell r="BQ283">
            <v>0</v>
          </cell>
          <cell r="BR283">
            <v>0</v>
          </cell>
          <cell r="BS283">
            <v>0</v>
          </cell>
          <cell r="BT283">
            <v>0</v>
          </cell>
          <cell r="CB283">
            <v>0</v>
          </cell>
          <cell r="CC283">
            <v>0</v>
          </cell>
          <cell r="CD283">
            <v>0</v>
          </cell>
          <cell r="CE283">
            <v>0</v>
          </cell>
          <cell r="CF283">
            <v>0</v>
          </cell>
          <cell r="CI283">
            <v>0</v>
          </cell>
          <cell r="CJ283">
            <v>0</v>
          </cell>
          <cell r="CK283">
            <v>0</v>
          </cell>
          <cell r="CV283">
            <v>1.5215746481731001E-4</v>
          </cell>
          <cell r="DG283">
            <v>6619367</v>
          </cell>
          <cell r="DR283">
            <v>2334424.14</v>
          </cell>
          <cell r="EC283">
            <v>2.8355459860863159</v>
          </cell>
          <cell r="EN283">
            <v>2.4095909012463064E-2</v>
          </cell>
        </row>
        <row r="284">
          <cell r="B284">
            <v>39105</v>
          </cell>
          <cell r="C284" t="str">
            <v>Vance-Granville Community College</v>
          </cell>
          <cell r="D284">
            <v>8.8130321561062132E-4</v>
          </cell>
          <cell r="E284">
            <v>1524860.0555958557</v>
          </cell>
          <cell r="F284">
            <v>1188968.3554589599</v>
          </cell>
          <cell r="G284">
            <v>-15710</v>
          </cell>
          <cell r="H284">
            <v>-425490.13881840237</v>
          </cell>
          <cell r="I284">
            <v>-17607.584758246609</v>
          </cell>
          <cell r="J284">
            <v>1286768.5569786616</v>
          </cell>
          <cell r="K284">
            <v>0</v>
          </cell>
          <cell r="L284">
            <v>-67608.95613076564</v>
          </cell>
          <cell r="M284">
            <v>12132.911646628871</v>
          </cell>
          <cell r="N284">
            <v>457.37874283760027</v>
          </cell>
          <cell r="O284">
            <v>-206.41002612816362</v>
          </cell>
          <cell r="P284">
            <v>0</v>
          </cell>
          <cell r="Q284">
            <v>0</v>
          </cell>
          <cell r="R284">
            <v>0</v>
          </cell>
          <cell r="S284">
            <v>3486564.1686894009</v>
          </cell>
          <cell r="T284">
            <v>24041.95000000007</v>
          </cell>
          <cell r="U284">
            <v>6433842.7848933078</v>
          </cell>
          <cell r="V284">
            <v>48531.646586515482</v>
          </cell>
          <cell r="W284">
            <v>0</v>
          </cell>
          <cell r="X284">
            <v>6506416.381479824</v>
          </cell>
          <cell r="Y284">
            <v>102591</v>
          </cell>
          <cell r="Z284">
            <v>0</v>
          </cell>
          <cell r="AA284">
            <v>0</v>
          </cell>
          <cell r="AB284">
            <v>88037.923791233043</v>
          </cell>
          <cell r="AC284">
            <v>190628.92379123304</v>
          </cell>
          <cell r="AD284" t="str">
            <v>N/A</v>
          </cell>
          <cell r="AE284">
            <v>1265584</v>
          </cell>
          <cell r="AF284">
            <v>1265584</v>
          </cell>
          <cell r="AG284">
            <v>1265584</v>
          </cell>
          <cell r="AH284">
            <v>1265584</v>
          </cell>
          <cell r="AI284">
            <v>1253451</v>
          </cell>
          <cell r="AJ284">
            <v>0</v>
          </cell>
          <cell r="AK284">
            <v>6315787</v>
          </cell>
          <cell r="AL284">
            <v>29342270</v>
          </cell>
          <cell r="AM284">
            <v>3486564.1686894009</v>
          </cell>
          <cell r="AN284">
            <v>-804936.95000000007</v>
          </cell>
          <cell r="AO284">
            <v>6394336.5076885903</v>
          </cell>
          <cell r="AP284">
            <v>0</v>
          </cell>
          <cell r="AQ284">
            <v>-78549.04999999993</v>
          </cell>
          <cell r="AR284">
            <v>0</v>
          </cell>
          <cell r="AS284">
            <v>0</v>
          </cell>
          <cell r="AT284">
            <v>38339684.676377997</v>
          </cell>
          <cell r="AU284">
            <v>8.8501638459836463E-4</v>
          </cell>
          <cell r="AV284">
            <v>0</v>
          </cell>
          <cell r="AW284">
            <v>0</v>
          </cell>
          <cell r="AY284">
            <v>0</v>
          </cell>
          <cell r="AZ284">
            <v>0</v>
          </cell>
          <cell r="BA284">
            <v>0</v>
          </cell>
          <cell r="BB284">
            <v>0</v>
          </cell>
          <cell r="BC284">
            <v>0</v>
          </cell>
          <cell r="BD284">
            <v>0</v>
          </cell>
          <cell r="BE284">
            <v>0</v>
          </cell>
          <cell r="BF284">
            <v>0</v>
          </cell>
          <cell r="BG284">
            <v>0</v>
          </cell>
          <cell r="BH284">
            <v>0</v>
          </cell>
          <cell r="BJ284">
            <v>0</v>
          </cell>
          <cell r="BL284">
            <v>0</v>
          </cell>
          <cell r="BM284">
            <v>0</v>
          </cell>
          <cell r="BN284">
            <v>0</v>
          </cell>
          <cell r="BO284">
            <v>0</v>
          </cell>
          <cell r="BQ284">
            <v>0</v>
          </cell>
          <cell r="BR284">
            <v>0</v>
          </cell>
          <cell r="BS284">
            <v>0</v>
          </cell>
          <cell r="BT284">
            <v>0</v>
          </cell>
          <cell r="CB284">
            <v>0</v>
          </cell>
          <cell r="CC284">
            <v>0</v>
          </cell>
          <cell r="CD284">
            <v>0</v>
          </cell>
          <cell r="CE284">
            <v>0</v>
          </cell>
          <cell r="CF284">
            <v>0</v>
          </cell>
          <cell r="CI284">
            <v>0</v>
          </cell>
          <cell r="CJ284">
            <v>0</v>
          </cell>
          <cell r="CK284">
            <v>0</v>
          </cell>
          <cell r="CV284">
            <v>8.8130321561062132E-4</v>
          </cell>
          <cell r="DG284">
            <v>38339685</v>
          </cell>
          <cell r="DR284">
            <v>13797491.369999997</v>
          </cell>
          <cell r="EC284">
            <v>2.7787431767025637</v>
          </cell>
          <cell r="EN284">
            <v>2.4095909012463064E-2</v>
          </cell>
        </row>
        <row r="285">
          <cell r="B285">
            <v>39200</v>
          </cell>
          <cell r="C285" t="str">
            <v>Wake County Schools</v>
          </cell>
          <cell r="D285">
            <v>5.6205005681760727E-2</v>
          </cell>
          <cell r="E285">
            <v>97247765.094415873</v>
          </cell>
          <cell r="F285">
            <v>75826312.658695325</v>
          </cell>
          <cell r="G285">
            <v>12440559</v>
          </cell>
          <cell r="H285">
            <v>-27135581.995184142</v>
          </cell>
          <cell r="I285">
            <v>-1122921.5823224408</v>
          </cell>
          <cell r="J285">
            <v>82063508.648367971</v>
          </cell>
          <cell r="K285">
            <v>0</v>
          </cell>
          <cell r="L285">
            <v>-4311752.9769078922</v>
          </cell>
          <cell r="M285">
            <v>773774.96865547355</v>
          </cell>
          <cell r="N285">
            <v>29169.273848720182</v>
          </cell>
          <cell r="O285">
            <v>-13163.774380725179</v>
          </cell>
          <cell r="P285">
            <v>0</v>
          </cell>
          <cell r="Q285">
            <v>0</v>
          </cell>
          <cell r="R285">
            <v>0</v>
          </cell>
          <cell r="S285">
            <v>235797669.31518814</v>
          </cell>
          <cell r="T285">
            <v>64262666</v>
          </cell>
          <cell r="U285">
            <v>410317543.24183983</v>
          </cell>
          <cell r="V285">
            <v>3095099.8746218942</v>
          </cell>
          <cell r="W285">
            <v>0</v>
          </cell>
          <cell r="X285">
            <v>477675309.11646169</v>
          </cell>
          <cell r="Y285">
            <v>2059870.0199999958</v>
          </cell>
          <cell r="Z285">
            <v>0</v>
          </cell>
          <cell r="AA285">
            <v>0</v>
          </cell>
          <cell r="AB285">
            <v>5614607.9116122043</v>
          </cell>
          <cell r="AC285">
            <v>7674477.9316122001</v>
          </cell>
          <cell r="AD285" t="str">
            <v>N/A</v>
          </cell>
          <cell r="AE285">
            <v>94154921</v>
          </cell>
          <cell r="AF285">
            <v>94154921</v>
          </cell>
          <cell r="AG285">
            <v>94154921</v>
          </cell>
          <cell r="AH285">
            <v>94154921</v>
          </cell>
          <cell r="AI285">
            <v>93381146</v>
          </cell>
          <cell r="AJ285">
            <v>0</v>
          </cell>
          <cell r="AK285">
            <v>470000830</v>
          </cell>
          <cell r="AL285">
            <v>1786333274</v>
          </cell>
          <cell r="AM285">
            <v>235797669.31518814</v>
          </cell>
          <cell r="AN285">
            <v>-47022986.980000004</v>
          </cell>
          <cell r="AO285">
            <v>407798035.20484954</v>
          </cell>
          <cell r="AP285">
            <v>0</v>
          </cell>
          <cell r="AQ285">
            <v>62202795.980000004</v>
          </cell>
          <cell r="AR285">
            <v>0</v>
          </cell>
          <cell r="AS285">
            <v>0</v>
          </cell>
          <cell r="AT285">
            <v>2445108787.5200377</v>
          </cell>
          <cell r="AU285">
            <v>5.3879070587080385E-2</v>
          </cell>
          <cell r="AV285">
            <v>0</v>
          </cell>
          <cell r="AW285">
            <v>0</v>
          </cell>
          <cell r="AY285">
            <v>0</v>
          </cell>
          <cell r="AZ285">
            <v>0</v>
          </cell>
          <cell r="BA285">
            <v>0</v>
          </cell>
          <cell r="BB285">
            <v>0</v>
          </cell>
          <cell r="BC285">
            <v>0</v>
          </cell>
          <cell r="BD285">
            <v>0</v>
          </cell>
          <cell r="BE285">
            <v>0</v>
          </cell>
          <cell r="BF285">
            <v>0</v>
          </cell>
          <cell r="BG285">
            <v>0</v>
          </cell>
          <cell r="BH285">
            <v>0</v>
          </cell>
          <cell r="BJ285">
            <v>0</v>
          </cell>
          <cell r="BL285">
            <v>0</v>
          </cell>
          <cell r="BM285">
            <v>0</v>
          </cell>
          <cell r="BN285">
            <v>0</v>
          </cell>
          <cell r="BO285">
            <v>0</v>
          </cell>
          <cell r="BQ285">
            <v>0</v>
          </cell>
          <cell r="BR285">
            <v>0</v>
          </cell>
          <cell r="BS285">
            <v>0</v>
          </cell>
          <cell r="BT285">
            <v>0</v>
          </cell>
          <cell r="CB285">
            <v>0</v>
          </cell>
          <cell r="CC285">
            <v>0</v>
          </cell>
          <cell r="CD285">
            <v>0</v>
          </cell>
          <cell r="CE285">
            <v>0</v>
          </cell>
          <cell r="CF285">
            <v>0</v>
          </cell>
          <cell r="CI285">
            <v>0</v>
          </cell>
          <cell r="CJ285">
            <v>0</v>
          </cell>
          <cell r="CK285">
            <v>0</v>
          </cell>
          <cell r="CV285">
            <v>5.6205005681760727E-2</v>
          </cell>
          <cell r="DG285">
            <v>2445108788</v>
          </cell>
          <cell r="DR285">
            <v>801554623.66998684</v>
          </cell>
          <cell r="EC285">
            <v>3.0504580920572311</v>
          </cell>
          <cell r="EN285">
            <v>2.4095909012463064E-2</v>
          </cell>
        </row>
        <row r="286">
          <cell r="B286">
            <v>39201</v>
          </cell>
          <cell r="C286" t="str">
            <v>Endeavor Charter School</v>
          </cell>
          <cell r="D286">
            <v>1.7905342645631924E-4</v>
          </cell>
          <cell r="E286">
            <v>309804.17747782567</v>
          </cell>
          <cell r="F286">
            <v>241561.42201927534</v>
          </cell>
          <cell r="G286">
            <v>58806</v>
          </cell>
          <cell r="H286">
            <v>-86446.373880553554</v>
          </cell>
          <cell r="I286">
            <v>-3577.3140580222807</v>
          </cell>
          <cell r="J286">
            <v>261431.38377595413</v>
          </cell>
          <cell r="K286">
            <v>0</v>
          </cell>
          <cell r="L286">
            <v>-13736.038902298844</v>
          </cell>
          <cell r="M286">
            <v>2465.0306100556791</v>
          </cell>
          <cell r="N286">
            <v>92.925147262300555</v>
          </cell>
          <cell r="O286">
            <v>-41.936103010334527</v>
          </cell>
          <cell r="P286">
            <v>0</v>
          </cell>
          <cell r="Q286">
            <v>0</v>
          </cell>
          <cell r="R286">
            <v>0</v>
          </cell>
          <cell r="S286">
            <v>770359.27608648804</v>
          </cell>
          <cell r="T286">
            <v>326181</v>
          </cell>
          <cell r="U286">
            <v>1307156.9188797707</v>
          </cell>
          <cell r="V286">
            <v>9860.1224402227162</v>
          </cell>
          <cell r="W286">
            <v>0</v>
          </cell>
          <cell r="X286">
            <v>1643198.0413199933</v>
          </cell>
          <cell r="Y286">
            <v>32152.429999999993</v>
          </cell>
          <cell r="Z286">
            <v>0</v>
          </cell>
          <cell r="AA286">
            <v>0</v>
          </cell>
          <cell r="AB286">
            <v>17886.570290111402</v>
          </cell>
          <cell r="AC286">
            <v>50039.000290111391</v>
          </cell>
          <cell r="AD286" t="str">
            <v>N/A</v>
          </cell>
          <cell r="AE286">
            <v>319125</v>
          </cell>
          <cell r="AF286">
            <v>319124</v>
          </cell>
          <cell r="AG286">
            <v>319124</v>
          </cell>
          <cell r="AH286">
            <v>319124</v>
          </cell>
          <cell r="AI286">
            <v>316659</v>
          </cell>
          <cell r="AJ286">
            <v>0</v>
          </cell>
          <cell r="AK286">
            <v>1593156</v>
          </cell>
          <cell r="AL286">
            <v>5545009</v>
          </cell>
          <cell r="AM286">
            <v>770359.27608648804</v>
          </cell>
          <cell r="AN286">
            <v>-119094.57</v>
          </cell>
          <cell r="AO286">
            <v>1299130.4710298821</v>
          </cell>
          <cell r="AP286">
            <v>0</v>
          </cell>
          <cell r="AQ286">
            <v>294028.57</v>
          </cell>
          <cell r="AR286">
            <v>0</v>
          </cell>
          <cell r="AS286">
            <v>0</v>
          </cell>
          <cell r="AT286">
            <v>7789432.7471163701</v>
          </cell>
          <cell r="AU286">
            <v>1.6724759613249247E-4</v>
          </cell>
          <cell r="AV286">
            <v>0</v>
          </cell>
          <cell r="AW286">
            <v>0</v>
          </cell>
          <cell r="AY286">
            <v>0</v>
          </cell>
          <cell r="AZ286">
            <v>0</v>
          </cell>
          <cell r="BA286">
            <v>0</v>
          </cell>
          <cell r="BB286">
            <v>0</v>
          </cell>
          <cell r="BC286">
            <v>0</v>
          </cell>
          <cell r="BD286">
            <v>0</v>
          </cell>
          <cell r="BE286">
            <v>0</v>
          </cell>
          <cell r="BF286">
            <v>0</v>
          </cell>
          <cell r="BG286">
            <v>0</v>
          </cell>
          <cell r="BH286">
            <v>0</v>
          </cell>
          <cell r="BJ286">
            <v>0</v>
          </cell>
          <cell r="BL286">
            <v>0</v>
          </cell>
          <cell r="BM286">
            <v>0</v>
          </cell>
          <cell r="BN286">
            <v>0</v>
          </cell>
          <cell r="BO286">
            <v>0</v>
          </cell>
          <cell r="BQ286">
            <v>0</v>
          </cell>
          <cell r="BR286">
            <v>0</v>
          </cell>
          <cell r="BS286">
            <v>0</v>
          </cell>
          <cell r="BT286">
            <v>0</v>
          </cell>
          <cell r="CB286">
            <v>0</v>
          </cell>
          <cell r="CC286">
            <v>0</v>
          </cell>
          <cell r="CD286">
            <v>0</v>
          </cell>
          <cell r="CE286">
            <v>0</v>
          </cell>
          <cell r="CF286">
            <v>0</v>
          </cell>
          <cell r="CI286">
            <v>0</v>
          </cell>
          <cell r="CJ286">
            <v>0</v>
          </cell>
          <cell r="CK286">
            <v>0</v>
          </cell>
          <cell r="CV286">
            <v>1.7905342645631924E-4</v>
          </cell>
          <cell r="DG286">
            <v>7789433</v>
          </cell>
          <cell r="DR286">
            <v>2039344.5000000002</v>
          </cell>
          <cell r="EC286">
            <v>3.8195768297117034</v>
          </cell>
          <cell r="EN286">
            <v>2.4095909012463064E-2</v>
          </cell>
        </row>
        <row r="287">
          <cell r="B287">
            <v>39204</v>
          </cell>
          <cell r="C287" t="str">
            <v>Southern Wake Academy</v>
          </cell>
          <cell r="D287">
            <v>1.1647535282977027E-4</v>
          </cell>
          <cell r="E287">
            <v>201529.51883704652</v>
          </cell>
          <cell r="F287">
            <v>157137.18757914976</v>
          </cell>
          <cell r="G287">
            <v>72091</v>
          </cell>
          <cell r="H287">
            <v>-56233.896764036799</v>
          </cell>
          <cell r="I287">
            <v>-2327.0647500995483</v>
          </cell>
          <cell r="J287">
            <v>170062.71965148798</v>
          </cell>
          <cell r="K287">
            <v>0</v>
          </cell>
          <cell r="L287">
            <v>-8935.3776093137876</v>
          </cell>
          <cell r="M287">
            <v>1603.5175406847741</v>
          </cell>
          <cell r="N287">
            <v>60.448378611594173</v>
          </cell>
          <cell r="O287">
            <v>-27.279692386260496</v>
          </cell>
          <cell r="P287">
            <v>0</v>
          </cell>
          <cell r="Q287">
            <v>0</v>
          </cell>
          <cell r="R287">
            <v>0</v>
          </cell>
          <cell r="S287">
            <v>534960.77317114419</v>
          </cell>
          <cell r="T287">
            <v>370823</v>
          </cell>
          <cell r="U287">
            <v>850313.59825743979</v>
          </cell>
          <cell r="V287">
            <v>6414.0701627390963</v>
          </cell>
          <cell r="W287">
            <v>0</v>
          </cell>
          <cell r="X287">
            <v>1227550.6684201788</v>
          </cell>
          <cell r="Y287">
            <v>10371.540000000008</v>
          </cell>
          <cell r="Z287">
            <v>0</v>
          </cell>
          <cell r="AA287">
            <v>0</v>
          </cell>
          <cell r="AB287">
            <v>11635.323750497742</v>
          </cell>
          <cell r="AC287">
            <v>22006.863750497752</v>
          </cell>
          <cell r="AD287" t="str">
            <v>N/A</v>
          </cell>
          <cell r="AE287">
            <v>241430</v>
          </cell>
          <cell r="AF287">
            <v>241430</v>
          </cell>
          <cell r="AG287">
            <v>241430</v>
          </cell>
          <cell r="AH287">
            <v>241430</v>
          </cell>
          <cell r="AI287">
            <v>239827</v>
          </cell>
          <cell r="AJ287">
            <v>0</v>
          </cell>
          <cell r="AK287">
            <v>1205547</v>
          </cell>
          <cell r="AL287">
            <v>3416693</v>
          </cell>
          <cell r="AM287">
            <v>534960.77317114419</v>
          </cell>
          <cell r="AN287">
            <v>-90124.459999999992</v>
          </cell>
          <cell r="AO287">
            <v>845092.34466968128</v>
          </cell>
          <cell r="AP287">
            <v>0</v>
          </cell>
          <cell r="AQ287">
            <v>360451.45999999996</v>
          </cell>
          <cell r="AR287">
            <v>0</v>
          </cell>
          <cell r="AS287">
            <v>0</v>
          </cell>
          <cell r="AT287">
            <v>5067073.1178408256</v>
          </cell>
          <cell r="AU287">
            <v>1.0305369739751568E-4</v>
          </cell>
          <cell r="AV287">
            <v>0</v>
          </cell>
          <cell r="AW287">
            <v>0</v>
          </cell>
          <cell r="AY287">
            <v>0</v>
          </cell>
          <cell r="AZ287">
            <v>0</v>
          </cell>
          <cell r="BA287">
            <v>0</v>
          </cell>
          <cell r="BB287">
            <v>0</v>
          </cell>
          <cell r="BC287">
            <v>0</v>
          </cell>
          <cell r="BD287">
            <v>0</v>
          </cell>
          <cell r="BE287">
            <v>0</v>
          </cell>
          <cell r="BF287">
            <v>0</v>
          </cell>
          <cell r="BG287">
            <v>0</v>
          </cell>
          <cell r="BH287">
            <v>0</v>
          </cell>
          <cell r="BJ287">
            <v>0</v>
          </cell>
          <cell r="BL287">
            <v>0</v>
          </cell>
          <cell r="BM287">
            <v>0</v>
          </cell>
          <cell r="BN287">
            <v>0</v>
          </cell>
          <cell r="BO287">
            <v>0</v>
          </cell>
          <cell r="BQ287">
            <v>0</v>
          </cell>
          <cell r="BR287">
            <v>0</v>
          </cell>
          <cell r="BS287">
            <v>0</v>
          </cell>
          <cell r="BT287">
            <v>0</v>
          </cell>
          <cell r="CB287">
            <v>0</v>
          </cell>
          <cell r="CC287">
            <v>0</v>
          </cell>
          <cell r="CD287">
            <v>0</v>
          </cell>
          <cell r="CE287">
            <v>0</v>
          </cell>
          <cell r="CF287">
            <v>0</v>
          </cell>
          <cell r="CI287">
            <v>0</v>
          </cell>
          <cell r="CJ287">
            <v>0</v>
          </cell>
          <cell r="CK287">
            <v>0</v>
          </cell>
          <cell r="CV287">
            <v>1.1647535282977027E-4</v>
          </cell>
          <cell r="DG287">
            <v>5067074</v>
          </cell>
          <cell r="DR287">
            <v>1435585.1600000004</v>
          </cell>
          <cell r="EC287">
            <v>3.529622721928944</v>
          </cell>
          <cell r="EN287">
            <v>2.4095909012463064E-2</v>
          </cell>
        </row>
        <row r="288">
          <cell r="B288">
            <v>39205</v>
          </cell>
          <cell r="C288" t="str">
            <v>Wake Technical College</v>
          </cell>
          <cell r="D288">
            <v>4.3781538993554296E-3</v>
          </cell>
          <cell r="E288">
            <v>7575227.0956514524</v>
          </cell>
          <cell r="F288">
            <v>5906578.2916225661</v>
          </cell>
          <cell r="G288">
            <v>1450691</v>
          </cell>
          <cell r="H288">
            <v>-2113757.532490524</v>
          </cell>
          <cell r="I288">
            <v>-87471.274927933613</v>
          </cell>
          <cell r="J288">
            <v>6392431.8844119171</v>
          </cell>
          <cell r="K288">
            <v>0</v>
          </cell>
          <cell r="L288">
            <v>-335868.98319685925</v>
          </cell>
          <cell r="M288">
            <v>60274.095788267885</v>
          </cell>
          <cell r="N288">
            <v>2272.174310687481</v>
          </cell>
          <cell r="O288">
            <v>-1025.4074247680351</v>
          </cell>
          <cell r="P288">
            <v>0</v>
          </cell>
          <cell r="Q288">
            <v>0</v>
          </cell>
          <cell r="R288">
            <v>0</v>
          </cell>
          <cell r="S288">
            <v>18849351.343744811</v>
          </cell>
          <cell r="T288">
            <v>7253455.8300000001</v>
          </cell>
          <cell r="U288">
            <v>31962159.422059588</v>
          </cell>
          <cell r="V288">
            <v>241096.38315307154</v>
          </cell>
          <cell r="W288">
            <v>0</v>
          </cell>
          <cell r="X288">
            <v>39456711.63521266</v>
          </cell>
          <cell r="Y288">
            <v>0</v>
          </cell>
          <cell r="Z288">
            <v>0</v>
          </cell>
          <cell r="AA288">
            <v>0</v>
          </cell>
          <cell r="AB288">
            <v>437356.37463966809</v>
          </cell>
          <cell r="AC288">
            <v>437356.37463966809</v>
          </cell>
          <cell r="AD288" t="str">
            <v>N/A</v>
          </cell>
          <cell r="AE288">
            <v>7815926</v>
          </cell>
          <cell r="AF288">
            <v>7815926</v>
          </cell>
          <cell r="AG288">
            <v>7815926</v>
          </cell>
          <cell r="AH288">
            <v>7815926</v>
          </cell>
          <cell r="AI288">
            <v>7755652</v>
          </cell>
          <cell r="AJ288">
            <v>0</v>
          </cell>
          <cell r="AK288">
            <v>39019356</v>
          </cell>
          <cell r="AL288">
            <v>136626690</v>
          </cell>
          <cell r="AM288">
            <v>18849351.343744811</v>
          </cell>
          <cell r="AN288">
            <v>-4030820.8299999996</v>
          </cell>
          <cell r="AO288">
            <v>31765899.430572994</v>
          </cell>
          <cell r="AP288">
            <v>0</v>
          </cell>
          <cell r="AQ288">
            <v>7253455.8300000001</v>
          </cell>
          <cell r="AR288">
            <v>0</v>
          </cell>
          <cell r="AS288">
            <v>0</v>
          </cell>
          <cell r="AT288">
            <v>190464575.7743178</v>
          </cell>
          <cell r="AU288">
            <v>4.1209102446008112E-3</v>
          </cell>
          <cell r="AV288">
            <v>0</v>
          </cell>
          <cell r="AW288">
            <v>0</v>
          </cell>
          <cell r="AY288">
            <v>0</v>
          </cell>
          <cell r="AZ288">
            <v>0</v>
          </cell>
          <cell r="BA288">
            <v>0</v>
          </cell>
          <cell r="BB288">
            <v>0</v>
          </cell>
          <cell r="BC288">
            <v>0</v>
          </cell>
          <cell r="BD288">
            <v>0</v>
          </cell>
          <cell r="BE288">
            <v>0</v>
          </cell>
          <cell r="BF288">
            <v>0</v>
          </cell>
          <cell r="BG288">
            <v>0</v>
          </cell>
          <cell r="BH288">
            <v>0</v>
          </cell>
          <cell r="BJ288">
            <v>0</v>
          </cell>
          <cell r="BL288">
            <v>0</v>
          </cell>
          <cell r="BM288">
            <v>0</v>
          </cell>
          <cell r="BN288">
            <v>0</v>
          </cell>
          <cell r="BO288">
            <v>0</v>
          </cell>
          <cell r="BQ288">
            <v>0</v>
          </cell>
          <cell r="BR288">
            <v>0</v>
          </cell>
          <cell r="BS288">
            <v>0</v>
          </cell>
          <cell r="BT288">
            <v>0</v>
          </cell>
          <cell r="CB288">
            <v>0</v>
          </cell>
          <cell r="CC288">
            <v>0</v>
          </cell>
          <cell r="CD288">
            <v>0</v>
          </cell>
          <cell r="CE288">
            <v>0</v>
          </cell>
          <cell r="CF288">
            <v>0</v>
          </cell>
          <cell r="CI288">
            <v>0</v>
          </cell>
          <cell r="CJ288">
            <v>0</v>
          </cell>
          <cell r="CK288">
            <v>0</v>
          </cell>
          <cell r="CV288">
            <v>4.3781538993554296E-3</v>
          </cell>
          <cell r="DG288">
            <v>190464576</v>
          </cell>
          <cell r="DR288">
            <v>68393645.809999987</v>
          </cell>
          <cell r="EC288">
            <v>2.7848285282103173</v>
          </cell>
          <cell r="EN288">
            <v>2.4095909012463064E-2</v>
          </cell>
        </row>
        <row r="289">
          <cell r="B289">
            <v>39208</v>
          </cell>
          <cell r="C289" t="str">
            <v>East Wake Academy</v>
          </cell>
          <cell r="D289">
            <v>3.6078335581388513E-4</v>
          </cell>
          <cell r="E289">
            <v>624239.329052313</v>
          </cell>
          <cell r="F289">
            <v>486733.7207453507</v>
          </cell>
          <cell r="G289">
            <v>89574</v>
          </cell>
          <cell r="H289">
            <v>-174184.95408785951</v>
          </cell>
          <cell r="I289">
            <v>-7208.1020519778831</v>
          </cell>
          <cell r="J289">
            <v>526770.66181007249</v>
          </cell>
          <cell r="K289">
            <v>0</v>
          </cell>
          <cell r="L289">
            <v>-27677.405056364121</v>
          </cell>
          <cell r="M289">
            <v>4966.9086667648598</v>
          </cell>
          <cell r="N289">
            <v>187.23934600029011</v>
          </cell>
          <cell r="O289">
            <v>-84.499069765170034</v>
          </cell>
          <cell r="P289">
            <v>0</v>
          </cell>
          <cell r="Q289">
            <v>0</v>
          </cell>
          <cell r="R289">
            <v>0</v>
          </cell>
          <cell r="S289">
            <v>1523316.8993545347</v>
          </cell>
          <cell r="T289">
            <v>499557</v>
          </cell>
          <cell r="U289">
            <v>2633853.3090503621</v>
          </cell>
          <cell r="V289">
            <v>19867.634667059439</v>
          </cell>
          <cell r="W289">
            <v>0</v>
          </cell>
          <cell r="X289">
            <v>3153277.9437174215</v>
          </cell>
          <cell r="Y289">
            <v>51686.150000000023</v>
          </cell>
          <cell r="Z289">
            <v>0</v>
          </cell>
          <cell r="AA289">
            <v>0</v>
          </cell>
          <cell r="AB289">
            <v>36040.510259889415</v>
          </cell>
          <cell r="AC289">
            <v>87726.660259889439</v>
          </cell>
          <cell r="AD289" t="str">
            <v>N/A</v>
          </cell>
          <cell r="AE289">
            <v>614103</v>
          </cell>
          <cell r="AF289">
            <v>614104</v>
          </cell>
          <cell r="AG289">
            <v>614104</v>
          </cell>
          <cell r="AH289">
            <v>614104</v>
          </cell>
          <cell r="AI289">
            <v>609138</v>
          </cell>
          <cell r="AJ289">
            <v>0</v>
          </cell>
          <cell r="AK289">
            <v>3065553</v>
          </cell>
          <cell r="AL289">
            <v>11362121</v>
          </cell>
          <cell r="AM289">
            <v>1523316.8993545347</v>
          </cell>
          <cell r="AN289">
            <v>-255686.84999999998</v>
          </cell>
          <cell r="AO289">
            <v>2617680.4334575324</v>
          </cell>
          <cell r="AP289">
            <v>0</v>
          </cell>
          <cell r="AQ289">
            <v>447870.85</v>
          </cell>
          <cell r="AR289">
            <v>0</v>
          </cell>
          <cell r="AS289">
            <v>0</v>
          </cell>
          <cell r="AT289">
            <v>15695302.332812067</v>
          </cell>
          <cell r="AU289">
            <v>3.427022837792467E-4</v>
          </cell>
          <cell r="AV289">
            <v>0</v>
          </cell>
          <cell r="AW289">
            <v>0</v>
          </cell>
          <cell r="AY289">
            <v>0</v>
          </cell>
          <cell r="AZ289">
            <v>0</v>
          </cell>
          <cell r="BA289">
            <v>0</v>
          </cell>
          <cell r="BB289">
            <v>0</v>
          </cell>
          <cell r="BC289">
            <v>0</v>
          </cell>
          <cell r="BD289">
            <v>0</v>
          </cell>
          <cell r="BE289">
            <v>0</v>
          </cell>
          <cell r="BF289">
            <v>0</v>
          </cell>
          <cell r="BG289">
            <v>0</v>
          </cell>
          <cell r="BH289">
            <v>0</v>
          </cell>
          <cell r="BJ289">
            <v>0</v>
          </cell>
          <cell r="BL289">
            <v>0</v>
          </cell>
          <cell r="BM289">
            <v>0</v>
          </cell>
          <cell r="BN289">
            <v>0</v>
          </cell>
          <cell r="BO289">
            <v>0</v>
          </cell>
          <cell r="BQ289">
            <v>0</v>
          </cell>
          <cell r="BR289">
            <v>0</v>
          </cell>
          <cell r="BS289">
            <v>0</v>
          </cell>
          <cell r="BT289">
            <v>0</v>
          </cell>
          <cell r="CB289">
            <v>0</v>
          </cell>
          <cell r="CC289">
            <v>0</v>
          </cell>
          <cell r="CD289">
            <v>0</v>
          </cell>
          <cell r="CE289">
            <v>0</v>
          </cell>
          <cell r="CF289">
            <v>0</v>
          </cell>
          <cell r="CI289">
            <v>0</v>
          </cell>
          <cell r="CJ289">
            <v>0</v>
          </cell>
          <cell r="CK289">
            <v>0</v>
          </cell>
          <cell r="CV289">
            <v>3.6078335581388513E-4</v>
          </cell>
          <cell r="DG289">
            <v>15695302</v>
          </cell>
          <cell r="DR289">
            <v>4537560.049999998</v>
          </cell>
          <cell r="EC289">
            <v>3.458973947904008</v>
          </cell>
          <cell r="EN289">
            <v>2.4095909012463064E-2</v>
          </cell>
        </row>
        <row r="290">
          <cell r="B290">
            <v>39209</v>
          </cell>
          <cell r="C290" t="str">
            <v>Casa Esperanza Montessori</v>
          </cell>
          <cell r="D290">
            <v>1.7782890442666379E-4</v>
          </cell>
          <cell r="E290">
            <v>307685.46884594462</v>
          </cell>
          <cell r="F290">
            <v>239909.41630996455</v>
          </cell>
          <cell r="G290">
            <v>111430</v>
          </cell>
          <cell r="H290">
            <v>-85855.178887552989</v>
          </cell>
          <cell r="I290">
            <v>-3552.8492937463898</v>
          </cell>
          <cell r="J290">
            <v>259643.49010079424</v>
          </cell>
          <cell r="K290">
            <v>0</v>
          </cell>
          <cell r="L290">
            <v>-13642.100000547793</v>
          </cell>
          <cell r="M290">
            <v>2448.1726009936488</v>
          </cell>
          <cell r="N290">
            <v>92.289644819349974</v>
          </cell>
          <cell r="O290">
            <v>-41.649307705768926</v>
          </cell>
          <cell r="P290">
            <v>0</v>
          </cell>
          <cell r="Q290">
            <v>0</v>
          </cell>
          <cell r="R290">
            <v>0</v>
          </cell>
          <cell r="S290">
            <v>818117.06001296337</v>
          </cell>
          <cell r="T290">
            <v>583101</v>
          </cell>
          <cell r="U290">
            <v>1298217.4505039712</v>
          </cell>
          <cell r="V290">
            <v>9792.690403974595</v>
          </cell>
          <cell r="W290">
            <v>0</v>
          </cell>
          <cell r="X290">
            <v>1891111.1409079458</v>
          </cell>
          <cell r="Y290">
            <v>25949.479999999996</v>
          </cell>
          <cell r="Z290">
            <v>0</v>
          </cell>
          <cell r="AA290">
            <v>0</v>
          </cell>
          <cell r="AB290">
            <v>17764.246468731948</v>
          </cell>
          <cell r="AC290">
            <v>43713.72646873194</v>
          </cell>
          <cell r="AD290" t="str">
            <v>N/A</v>
          </cell>
          <cell r="AE290">
            <v>369969</v>
          </cell>
          <cell r="AF290">
            <v>369969</v>
          </cell>
          <cell r="AG290">
            <v>369969</v>
          </cell>
          <cell r="AH290">
            <v>369969</v>
          </cell>
          <cell r="AI290">
            <v>367521</v>
          </cell>
          <cell r="AJ290">
            <v>0</v>
          </cell>
          <cell r="AK290">
            <v>1847397</v>
          </cell>
          <cell r="AL290">
            <v>5196106</v>
          </cell>
          <cell r="AM290">
            <v>818117.06001296337</v>
          </cell>
          <cell r="AN290">
            <v>-125458.52</v>
          </cell>
          <cell r="AO290">
            <v>1290245.8944392139</v>
          </cell>
          <cell r="AP290">
            <v>0</v>
          </cell>
          <cell r="AQ290">
            <v>557151.52</v>
          </cell>
          <cell r="AR290">
            <v>0</v>
          </cell>
          <cell r="AS290">
            <v>0</v>
          </cell>
          <cell r="AT290">
            <v>7736161.9544521775</v>
          </cell>
          <cell r="AU290">
            <v>1.5672403443852371E-4</v>
          </cell>
          <cell r="AV290">
            <v>0</v>
          </cell>
          <cell r="AW290">
            <v>0</v>
          </cell>
          <cell r="AY290">
            <v>0</v>
          </cell>
          <cell r="AZ290">
            <v>0</v>
          </cell>
          <cell r="BA290">
            <v>0</v>
          </cell>
          <cell r="BB290">
            <v>0</v>
          </cell>
          <cell r="BC290">
            <v>0</v>
          </cell>
          <cell r="BD290">
            <v>0</v>
          </cell>
          <cell r="BE290">
            <v>0</v>
          </cell>
          <cell r="BF290">
            <v>0</v>
          </cell>
          <cell r="BG290">
            <v>0</v>
          </cell>
          <cell r="BH290">
            <v>0</v>
          </cell>
          <cell r="BJ290">
            <v>0</v>
          </cell>
          <cell r="BL290">
            <v>0</v>
          </cell>
          <cell r="BM290">
            <v>0</v>
          </cell>
          <cell r="BN290">
            <v>0</v>
          </cell>
          <cell r="BO290">
            <v>0</v>
          </cell>
          <cell r="BQ290">
            <v>0</v>
          </cell>
          <cell r="BR290">
            <v>0</v>
          </cell>
          <cell r="BS290">
            <v>0</v>
          </cell>
          <cell r="BT290">
            <v>0</v>
          </cell>
          <cell r="CB290">
            <v>0</v>
          </cell>
          <cell r="CC290">
            <v>0</v>
          </cell>
          <cell r="CD290">
            <v>0</v>
          </cell>
          <cell r="CE290">
            <v>0</v>
          </cell>
          <cell r="CF290">
            <v>0</v>
          </cell>
          <cell r="CI290">
            <v>0</v>
          </cell>
          <cell r="CJ290">
            <v>0</v>
          </cell>
          <cell r="CK290">
            <v>0</v>
          </cell>
          <cell r="CV290">
            <v>1.7782890442666379E-4</v>
          </cell>
          <cell r="DG290">
            <v>7736162</v>
          </cell>
          <cell r="DR290">
            <v>2186947.2299999995</v>
          </cell>
          <cell r="EC290">
            <v>3.5374250891275514</v>
          </cell>
          <cell r="EN290">
            <v>2.4095909012463064E-2</v>
          </cell>
        </row>
        <row r="291">
          <cell r="B291">
            <v>39300</v>
          </cell>
          <cell r="C291" t="str">
            <v>Warren County Schools</v>
          </cell>
          <cell r="D291">
            <v>8.4495419907795039E-4</v>
          </cell>
          <cell r="E291">
            <v>1461967.781530499</v>
          </cell>
          <cell r="F291">
            <v>1139929.8070412551</v>
          </cell>
          <cell r="G291">
            <v>69747</v>
          </cell>
          <cell r="H291">
            <v>-407940.95958423527</v>
          </cell>
          <cell r="I291">
            <v>-16881.366609780569</v>
          </cell>
          <cell r="J291">
            <v>1233696.2763800579</v>
          </cell>
          <cell r="K291">
            <v>0</v>
          </cell>
          <cell r="L291">
            <v>-64820.450403538605</v>
          </cell>
          <cell r="M291">
            <v>11632.494312139534</v>
          </cell>
          <cell r="N291">
            <v>438.51433023747467</v>
          </cell>
          <cell r="O291">
            <v>-197.89672296604675</v>
          </cell>
          <cell r="P291">
            <v>0</v>
          </cell>
          <cell r="Q291">
            <v>0</v>
          </cell>
          <cell r="R291">
            <v>0</v>
          </cell>
          <cell r="S291">
            <v>3427571.2002736693</v>
          </cell>
          <cell r="T291">
            <v>348735.02</v>
          </cell>
          <cell r="U291">
            <v>6168481.38190029</v>
          </cell>
          <cell r="V291">
            <v>46529.977248558134</v>
          </cell>
          <cell r="W291">
            <v>0</v>
          </cell>
          <cell r="X291">
            <v>6563746.3791488474</v>
          </cell>
          <cell r="Y291">
            <v>0</v>
          </cell>
          <cell r="Z291">
            <v>0</v>
          </cell>
          <cell r="AA291">
            <v>0</v>
          </cell>
          <cell r="AB291">
            <v>84406.833048902845</v>
          </cell>
          <cell r="AC291">
            <v>84406.833048902845</v>
          </cell>
          <cell r="AD291" t="str">
            <v>N/A</v>
          </cell>
          <cell r="AE291">
            <v>1298194</v>
          </cell>
          <cell r="AF291">
            <v>1298194</v>
          </cell>
          <cell r="AG291">
            <v>1298194</v>
          </cell>
          <cell r="AH291">
            <v>1298194</v>
          </cell>
          <cell r="AI291">
            <v>1286562</v>
          </cell>
          <cell r="AJ291">
            <v>0</v>
          </cell>
          <cell r="AK291">
            <v>6479338</v>
          </cell>
          <cell r="AL291">
            <v>27604301</v>
          </cell>
          <cell r="AM291">
            <v>3427571.2002736693</v>
          </cell>
          <cell r="AN291">
            <v>-752832.02</v>
          </cell>
          <cell r="AO291">
            <v>6130604.5260999454</v>
          </cell>
          <cell r="AP291">
            <v>0</v>
          </cell>
          <cell r="AQ291">
            <v>348735.02</v>
          </cell>
          <cell r="AR291">
            <v>0</v>
          </cell>
          <cell r="AS291">
            <v>0</v>
          </cell>
          <cell r="AT291">
            <v>36758379.72637362</v>
          </cell>
          <cell r="AU291">
            <v>8.3259607708030536E-4</v>
          </cell>
          <cell r="AV291">
            <v>0</v>
          </cell>
          <cell r="AW291">
            <v>0</v>
          </cell>
          <cell r="AY291">
            <v>0</v>
          </cell>
          <cell r="AZ291">
            <v>0</v>
          </cell>
          <cell r="BA291">
            <v>0</v>
          </cell>
          <cell r="BB291">
            <v>0</v>
          </cell>
          <cell r="BC291">
            <v>0</v>
          </cell>
          <cell r="BD291">
            <v>0</v>
          </cell>
          <cell r="BE291">
            <v>0</v>
          </cell>
          <cell r="BF291">
            <v>0</v>
          </cell>
          <cell r="BG291">
            <v>0</v>
          </cell>
          <cell r="BH291">
            <v>0</v>
          </cell>
          <cell r="BJ291">
            <v>0</v>
          </cell>
          <cell r="BL291">
            <v>0</v>
          </cell>
          <cell r="BM291">
            <v>0</v>
          </cell>
          <cell r="BN291">
            <v>0</v>
          </cell>
          <cell r="BO291">
            <v>0</v>
          </cell>
          <cell r="BQ291">
            <v>0</v>
          </cell>
          <cell r="BR291">
            <v>0</v>
          </cell>
          <cell r="BS291">
            <v>0</v>
          </cell>
          <cell r="BT291">
            <v>0</v>
          </cell>
          <cell r="CB291">
            <v>0</v>
          </cell>
          <cell r="CC291">
            <v>0</v>
          </cell>
          <cell r="CD291">
            <v>0</v>
          </cell>
          <cell r="CE291">
            <v>0</v>
          </cell>
          <cell r="CF291">
            <v>0</v>
          </cell>
          <cell r="CI291">
            <v>0</v>
          </cell>
          <cell r="CJ291">
            <v>0</v>
          </cell>
          <cell r="CK291">
            <v>0</v>
          </cell>
          <cell r="CV291">
            <v>8.4495419907795039E-4</v>
          </cell>
          <cell r="DG291">
            <v>36758380</v>
          </cell>
          <cell r="DR291">
            <v>13365534.219999993</v>
          </cell>
          <cell r="EC291">
            <v>2.7502364959715031</v>
          </cell>
          <cell r="EN291">
            <v>2.4095909012463064E-2</v>
          </cell>
        </row>
        <row r="292">
          <cell r="B292">
            <v>39301</v>
          </cell>
          <cell r="C292" t="str">
            <v>Haliwa-Saponi Tribal Charter</v>
          </cell>
          <cell r="D292">
            <v>4.8431575802644976E-5</v>
          </cell>
          <cell r="E292">
            <v>83797.918880674129</v>
          </cell>
          <cell r="F292">
            <v>65339.159116149676</v>
          </cell>
          <cell r="G292">
            <v>-24057</v>
          </cell>
          <cell r="H292">
            <v>-23382.596984153148</v>
          </cell>
          <cell r="I292">
            <v>-967.61598144138168</v>
          </cell>
          <cell r="J292">
            <v>70713.720095294135</v>
          </cell>
          <cell r="K292">
            <v>0</v>
          </cell>
          <cell r="L292">
            <v>-3715.4162446986679</v>
          </cell>
          <cell r="M292">
            <v>666.75806885983445</v>
          </cell>
          <cell r="N292">
            <v>25.13501921005669</v>
          </cell>
          <cell r="O292">
            <v>-11.34315936873748</v>
          </cell>
          <cell r="P292">
            <v>0</v>
          </cell>
          <cell r="Q292">
            <v>0</v>
          </cell>
          <cell r="R292">
            <v>0</v>
          </cell>
          <cell r="S292">
            <v>168408.71881052593</v>
          </cell>
          <cell r="T292">
            <v>742.86000000000058</v>
          </cell>
          <cell r="U292">
            <v>353568.60047647072</v>
          </cell>
          <cell r="V292">
            <v>2667.0322754393378</v>
          </cell>
          <cell r="W292">
            <v>0</v>
          </cell>
          <cell r="X292">
            <v>356978.49275191006</v>
          </cell>
          <cell r="Y292">
            <v>121027</v>
          </cell>
          <cell r="Z292">
            <v>0</v>
          </cell>
          <cell r="AA292">
            <v>0</v>
          </cell>
          <cell r="AB292">
            <v>4838.0799072069076</v>
          </cell>
          <cell r="AC292">
            <v>125865.07990720691</v>
          </cell>
          <cell r="AD292" t="str">
            <v>N/A</v>
          </cell>
          <cell r="AE292">
            <v>46357</v>
          </cell>
          <cell r="AF292">
            <v>46355</v>
          </cell>
          <cell r="AG292">
            <v>46355</v>
          </cell>
          <cell r="AH292">
            <v>46355</v>
          </cell>
          <cell r="AI292">
            <v>45688</v>
          </cell>
          <cell r="AJ292">
            <v>0</v>
          </cell>
          <cell r="AK292">
            <v>231110</v>
          </cell>
          <cell r="AL292">
            <v>1750956</v>
          </cell>
          <cell r="AM292">
            <v>168408.71881052593</v>
          </cell>
          <cell r="AN292">
            <v>-43539.86</v>
          </cell>
          <cell r="AO292">
            <v>351397.55284470314</v>
          </cell>
          <cell r="AP292">
            <v>0</v>
          </cell>
          <cell r="AQ292">
            <v>-120284.14</v>
          </cell>
          <cell r="AR292">
            <v>0</v>
          </cell>
          <cell r="AS292">
            <v>0</v>
          </cell>
          <cell r="AT292">
            <v>2106938.2716552289</v>
          </cell>
          <cell r="AU292">
            <v>5.2812032318405054E-5</v>
          </cell>
          <cell r="AV292">
            <v>0</v>
          </cell>
          <cell r="AW292">
            <v>0</v>
          </cell>
          <cell r="AY292">
            <v>0</v>
          </cell>
          <cell r="AZ292">
            <v>0</v>
          </cell>
          <cell r="BA292">
            <v>0</v>
          </cell>
          <cell r="BB292">
            <v>0</v>
          </cell>
          <cell r="BC292">
            <v>0</v>
          </cell>
          <cell r="BD292">
            <v>0</v>
          </cell>
          <cell r="BE292">
            <v>0</v>
          </cell>
          <cell r="BF292">
            <v>0</v>
          </cell>
          <cell r="BG292">
            <v>0</v>
          </cell>
          <cell r="BH292">
            <v>0</v>
          </cell>
          <cell r="BJ292">
            <v>0</v>
          </cell>
          <cell r="BL292">
            <v>0</v>
          </cell>
          <cell r="BM292">
            <v>0</v>
          </cell>
          <cell r="BN292">
            <v>0</v>
          </cell>
          <cell r="BO292">
            <v>0</v>
          </cell>
          <cell r="BQ292">
            <v>0</v>
          </cell>
          <cell r="BR292">
            <v>0</v>
          </cell>
          <cell r="BS292">
            <v>0</v>
          </cell>
          <cell r="BT292">
            <v>0</v>
          </cell>
          <cell r="CB292">
            <v>0</v>
          </cell>
          <cell r="CC292">
            <v>0</v>
          </cell>
          <cell r="CD292">
            <v>0</v>
          </cell>
          <cell r="CE292">
            <v>0</v>
          </cell>
          <cell r="CF292">
            <v>0</v>
          </cell>
          <cell r="CI292">
            <v>0</v>
          </cell>
          <cell r="CJ292">
            <v>0</v>
          </cell>
          <cell r="CK292">
            <v>0</v>
          </cell>
          <cell r="CV292">
            <v>4.8431575802644976E-5</v>
          </cell>
          <cell r="DG292">
            <v>2106938</v>
          </cell>
          <cell r="DR292">
            <v>722763.86</v>
          </cell>
          <cell r="EC292">
            <v>2.9151125514217049</v>
          </cell>
          <cell r="EN292">
            <v>2.4095909012463064E-2</v>
          </cell>
        </row>
        <row r="293">
          <cell r="B293">
            <v>39400</v>
          </cell>
          <cell r="C293" t="str">
            <v>Washington County Schools</v>
          </cell>
          <cell r="D293">
            <v>5.6869916031392E-4</v>
          </cell>
          <cell r="E293">
            <v>983982.15035759285</v>
          </cell>
          <cell r="F293">
            <v>767233.44861602911</v>
          </cell>
          <cell r="G293">
            <v>-63367</v>
          </cell>
          <cell r="H293">
            <v>-274565.98408099852</v>
          </cell>
          <cell r="I293">
            <v>-11362.058471820175</v>
          </cell>
          <cell r="J293">
            <v>830343.2744938914</v>
          </cell>
          <cell r="K293">
            <v>0</v>
          </cell>
          <cell r="L293">
            <v>-43627.614083567278</v>
          </cell>
          <cell r="M293">
            <v>7829.2879719269931</v>
          </cell>
          <cell r="N293">
            <v>295.14349021971822</v>
          </cell>
          <cell r="O293">
            <v>-133.1950303371232</v>
          </cell>
          <cell r="P293">
            <v>0</v>
          </cell>
          <cell r="Q293">
            <v>0</v>
          </cell>
          <cell r="R293">
            <v>0</v>
          </cell>
          <cell r="S293">
            <v>2196627.4532629368</v>
          </cell>
          <cell r="T293">
            <v>41530.339999999967</v>
          </cell>
          <cell r="U293">
            <v>4151716.3724694573</v>
          </cell>
          <cell r="V293">
            <v>31317.151887707972</v>
          </cell>
          <cell r="W293">
            <v>0</v>
          </cell>
          <cell r="X293">
            <v>4224563.8643571651</v>
          </cell>
          <cell r="Y293">
            <v>358362</v>
          </cell>
          <cell r="Z293">
            <v>0</v>
          </cell>
          <cell r="AA293">
            <v>0</v>
          </cell>
          <cell r="AB293">
            <v>56810.292359100873</v>
          </cell>
          <cell r="AC293">
            <v>415172.29235910089</v>
          </cell>
          <cell r="AD293" t="str">
            <v>N/A</v>
          </cell>
          <cell r="AE293">
            <v>763445</v>
          </cell>
          <cell r="AF293">
            <v>763444</v>
          </cell>
          <cell r="AG293">
            <v>763444</v>
          </cell>
          <cell r="AH293">
            <v>763444</v>
          </cell>
          <cell r="AI293">
            <v>755614</v>
          </cell>
          <cell r="AJ293">
            <v>0</v>
          </cell>
          <cell r="AK293">
            <v>3809391</v>
          </cell>
          <cell r="AL293">
            <v>19284967</v>
          </cell>
          <cell r="AM293">
            <v>2196627.4532629368</v>
          </cell>
          <cell r="AN293">
            <v>-550640.34</v>
          </cell>
          <cell r="AO293">
            <v>4126223.2319980646</v>
          </cell>
          <cell r="AP293">
            <v>0</v>
          </cell>
          <cell r="AQ293">
            <v>-316831.66000000003</v>
          </cell>
          <cell r="AR293">
            <v>0</v>
          </cell>
          <cell r="AS293">
            <v>0</v>
          </cell>
          <cell r="AT293">
            <v>24740345.685261</v>
          </cell>
          <cell r="AU293">
            <v>5.8166978741913244E-4</v>
          </cell>
          <cell r="AV293">
            <v>0</v>
          </cell>
          <cell r="AW293">
            <v>0</v>
          </cell>
          <cell r="AY293">
            <v>0</v>
          </cell>
          <cell r="AZ293">
            <v>0</v>
          </cell>
          <cell r="BA293">
            <v>0</v>
          </cell>
          <cell r="BB293">
            <v>0</v>
          </cell>
          <cell r="BC293">
            <v>0</v>
          </cell>
          <cell r="BD293">
            <v>0</v>
          </cell>
          <cell r="BE293">
            <v>0</v>
          </cell>
          <cell r="BF293">
            <v>0</v>
          </cell>
          <cell r="BG293">
            <v>0</v>
          </cell>
          <cell r="BH293">
            <v>0</v>
          </cell>
          <cell r="BJ293">
            <v>0</v>
          </cell>
          <cell r="BL293">
            <v>0</v>
          </cell>
          <cell r="BM293">
            <v>0</v>
          </cell>
          <cell r="BN293">
            <v>0</v>
          </cell>
          <cell r="BO293">
            <v>0</v>
          </cell>
          <cell r="BQ293">
            <v>0</v>
          </cell>
          <cell r="BR293">
            <v>0</v>
          </cell>
          <cell r="BS293">
            <v>0</v>
          </cell>
          <cell r="BT293">
            <v>0</v>
          </cell>
          <cell r="CB293">
            <v>0</v>
          </cell>
          <cell r="CC293">
            <v>0</v>
          </cell>
          <cell r="CD293">
            <v>0</v>
          </cell>
          <cell r="CE293">
            <v>0</v>
          </cell>
          <cell r="CF293">
            <v>0</v>
          </cell>
          <cell r="CI293">
            <v>0</v>
          </cell>
          <cell r="CJ293">
            <v>0</v>
          </cell>
          <cell r="CK293">
            <v>0</v>
          </cell>
          <cell r="CV293">
            <v>5.6869916031392E-4</v>
          </cell>
          <cell r="DG293">
            <v>24740346</v>
          </cell>
          <cell r="DR293">
            <v>9595562.179999996</v>
          </cell>
          <cell r="EC293">
            <v>2.5783112584655266</v>
          </cell>
          <cell r="EN293">
            <v>2.4095909012463064E-2</v>
          </cell>
        </row>
        <row r="294">
          <cell r="B294">
            <v>39401</v>
          </cell>
          <cell r="C294" t="str">
            <v>Henderson Collegiate Charter School</v>
          </cell>
          <cell r="D294">
            <v>1.9702544604855199E-4</v>
          </cell>
          <cell r="E294">
            <v>340899.96189022466</v>
          </cell>
          <cell r="F294">
            <v>265807.51825534547</v>
          </cell>
          <cell r="G294">
            <v>350176</v>
          </cell>
          <cell r="H294">
            <v>-95123.202667394988</v>
          </cell>
          <cell r="I294">
            <v>-3936.3776046449434</v>
          </cell>
          <cell r="J294">
            <v>287671.87547853641</v>
          </cell>
          <cell r="K294">
            <v>0</v>
          </cell>
          <cell r="L294">
            <v>-15114.757897838477</v>
          </cell>
          <cell r="M294">
            <v>2712.4516133626539</v>
          </cell>
          <cell r="N294">
            <v>102.25226599027751</v>
          </cell>
          <cell r="O294">
            <v>-46.145329719031359</v>
          </cell>
          <cell r="P294">
            <v>0</v>
          </cell>
          <cell r="Q294">
            <v>0</v>
          </cell>
          <cell r="R294">
            <v>0</v>
          </cell>
          <cell r="S294">
            <v>1133149.5760038621</v>
          </cell>
          <cell r="T294">
            <v>1778939</v>
          </cell>
          <cell r="U294">
            <v>1438359.377392682</v>
          </cell>
          <cell r="V294">
            <v>10849.806453450616</v>
          </cell>
          <cell r="W294">
            <v>0</v>
          </cell>
          <cell r="X294">
            <v>3228148.1838461328</v>
          </cell>
          <cell r="Y294">
            <v>28058.580000000016</v>
          </cell>
          <cell r="Z294">
            <v>0</v>
          </cell>
          <cell r="AA294">
            <v>0</v>
          </cell>
          <cell r="AB294">
            <v>19681.888023224717</v>
          </cell>
          <cell r="AC294">
            <v>47740.468023224734</v>
          </cell>
          <cell r="AD294" t="str">
            <v>N/A</v>
          </cell>
          <cell r="AE294">
            <v>636624</v>
          </cell>
          <cell r="AF294">
            <v>636624</v>
          </cell>
          <cell r="AG294">
            <v>636624</v>
          </cell>
          <cell r="AH294">
            <v>636624</v>
          </cell>
          <cell r="AI294">
            <v>633911</v>
          </cell>
          <cell r="AJ294">
            <v>0</v>
          </cell>
          <cell r="AK294">
            <v>3180407</v>
          </cell>
          <cell r="AL294">
            <v>4397552</v>
          </cell>
          <cell r="AM294">
            <v>1133149.5760038621</v>
          </cell>
          <cell r="AN294">
            <v>-139832.41999999998</v>
          </cell>
          <cell r="AO294">
            <v>1429527.2958229079</v>
          </cell>
          <cell r="AP294">
            <v>0</v>
          </cell>
          <cell r="AQ294">
            <v>1750880.42</v>
          </cell>
          <cell r="AR294">
            <v>0</v>
          </cell>
          <cell r="AS294">
            <v>0</v>
          </cell>
          <cell r="AT294">
            <v>8571276.8718267716</v>
          </cell>
          <cell r="AU294">
            <v>1.3263820463390417E-4</v>
          </cell>
          <cell r="AV294">
            <v>0</v>
          </cell>
          <cell r="AW294">
            <v>0</v>
          </cell>
          <cell r="AY294">
            <v>0</v>
          </cell>
          <cell r="AZ294">
            <v>0</v>
          </cell>
          <cell r="BA294">
            <v>0</v>
          </cell>
          <cell r="BB294">
            <v>0</v>
          </cell>
          <cell r="BC294">
            <v>0</v>
          </cell>
          <cell r="BD294">
            <v>0</v>
          </cell>
          <cell r="BE294">
            <v>0</v>
          </cell>
          <cell r="BF294">
            <v>0</v>
          </cell>
          <cell r="BG294">
            <v>0</v>
          </cell>
          <cell r="BH294">
            <v>0</v>
          </cell>
          <cell r="BJ294">
            <v>0</v>
          </cell>
          <cell r="BL294">
            <v>0</v>
          </cell>
          <cell r="BM294">
            <v>0</v>
          </cell>
          <cell r="BN294">
            <v>0</v>
          </cell>
          <cell r="BO294">
            <v>0</v>
          </cell>
          <cell r="BQ294">
            <v>0</v>
          </cell>
          <cell r="BR294">
            <v>0</v>
          </cell>
          <cell r="BS294">
            <v>0</v>
          </cell>
          <cell r="BT294">
            <v>0</v>
          </cell>
          <cell r="CB294">
            <v>0</v>
          </cell>
          <cell r="CC294">
            <v>0</v>
          </cell>
          <cell r="CD294">
            <v>0</v>
          </cell>
          <cell r="CE294">
            <v>0</v>
          </cell>
          <cell r="CF294">
            <v>0</v>
          </cell>
          <cell r="CI294">
            <v>0</v>
          </cell>
          <cell r="CJ294">
            <v>0</v>
          </cell>
          <cell r="CK294">
            <v>0</v>
          </cell>
          <cell r="CV294">
            <v>1.9702544604855199E-4</v>
          </cell>
          <cell r="DG294">
            <v>8571277</v>
          </cell>
          <cell r="DR294">
            <v>2125000.5299999989</v>
          </cell>
          <cell r="EC294">
            <v>4.0335411116344542</v>
          </cell>
          <cell r="EN294">
            <v>2.4095909012463064E-2</v>
          </cell>
        </row>
        <row r="295">
          <cell r="B295">
            <v>39500</v>
          </cell>
          <cell r="C295" t="str">
            <v>Watauga County Schools</v>
          </cell>
          <cell r="D295">
            <v>1.7248036797073152E-3</v>
          </cell>
          <cell r="E295">
            <v>2984312.536642849</v>
          </cell>
          <cell r="F295">
            <v>2326936.9250290226</v>
          </cell>
          <cell r="G295">
            <v>77506</v>
          </cell>
          <cell r="H295">
            <v>-832729.24019081728</v>
          </cell>
          <cell r="I295">
            <v>-34459.907150957384</v>
          </cell>
          <cell r="J295">
            <v>2518342.2716445145</v>
          </cell>
          <cell r="K295">
            <v>0</v>
          </cell>
          <cell r="L295">
            <v>-132317.88361820386</v>
          </cell>
          <cell r="M295">
            <v>23745.392372328715</v>
          </cell>
          <cell r="N295">
            <v>895.1386136945024</v>
          </cell>
          <cell r="O295">
            <v>-403.96626982425028</v>
          </cell>
          <cell r="P295">
            <v>0</v>
          </cell>
          <cell r="Q295">
            <v>0</v>
          </cell>
          <cell r="R295">
            <v>0</v>
          </cell>
          <cell r="S295">
            <v>6931827.2670726059</v>
          </cell>
          <cell r="T295">
            <v>412412</v>
          </cell>
          <cell r="U295">
            <v>12591711.358222572</v>
          </cell>
          <cell r="V295">
            <v>94981.569489314861</v>
          </cell>
          <cell r="W295">
            <v>0</v>
          </cell>
          <cell r="X295">
            <v>13099104.927711887</v>
          </cell>
          <cell r="Y295">
            <v>24886.360000000102</v>
          </cell>
          <cell r="Z295">
            <v>0</v>
          </cell>
          <cell r="AA295">
            <v>0</v>
          </cell>
          <cell r="AB295">
            <v>172299.53575478692</v>
          </cell>
          <cell r="AC295">
            <v>197185.89575478702</v>
          </cell>
          <cell r="AD295" t="str">
            <v>N/A</v>
          </cell>
          <cell r="AE295">
            <v>2585133</v>
          </cell>
          <cell r="AF295">
            <v>2585134</v>
          </cell>
          <cell r="AG295">
            <v>2585134</v>
          </cell>
          <cell r="AH295">
            <v>2585134</v>
          </cell>
          <cell r="AI295">
            <v>2561388</v>
          </cell>
          <cell r="AJ295">
            <v>0</v>
          </cell>
          <cell r="AK295">
            <v>12901923</v>
          </cell>
          <cell r="AL295">
            <v>56690097</v>
          </cell>
          <cell r="AM295">
            <v>6931827.2670726059</v>
          </cell>
          <cell r="AN295">
            <v>-1489020.64</v>
          </cell>
          <cell r="AO295">
            <v>12514393.391957102</v>
          </cell>
          <cell r="AP295">
            <v>0</v>
          </cell>
          <cell r="AQ295">
            <v>387525.6399999999</v>
          </cell>
          <cell r="AR295">
            <v>0</v>
          </cell>
          <cell r="AS295">
            <v>0</v>
          </cell>
          <cell r="AT295">
            <v>75034822.659029707</v>
          </cell>
          <cell r="AU295">
            <v>1.7098767393972417E-3</v>
          </cell>
          <cell r="AV295">
            <v>0</v>
          </cell>
          <cell r="AW295">
            <v>0</v>
          </cell>
          <cell r="AY295">
            <v>0</v>
          </cell>
          <cell r="AZ295">
            <v>0</v>
          </cell>
          <cell r="BA295">
            <v>0</v>
          </cell>
          <cell r="BB295">
            <v>0</v>
          </cell>
          <cell r="BC295">
            <v>0</v>
          </cell>
          <cell r="BD295">
            <v>0</v>
          </cell>
          <cell r="BE295">
            <v>0</v>
          </cell>
          <cell r="BF295">
            <v>0</v>
          </cell>
          <cell r="BG295">
            <v>0</v>
          </cell>
          <cell r="BH295">
            <v>0</v>
          </cell>
          <cell r="BJ295">
            <v>0</v>
          </cell>
          <cell r="BL295">
            <v>0</v>
          </cell>
          <cell r="BM295">
            <v>0</v>
          </cell>
          <cell r="BN295">
            <v>0</v>
          </cell>
          <cell r="BO295">
            <v>0</v>
          </cell>
          <cell r="BQ295">
            <v>0</v>
          </cell>
          <cell r="BR295">
            <v>0</v>
          </cell>
          <cell r="BS295">
            <v>0</v>
          </cell>
          <cell r="BT295">
            <v>0</v>
          </cell>
          <cell r="CB295">
            <v>0</v>
          </cell>
          <cell r="CC295">
            <v>0</v>
          </cell>
          <cell r="CD295">
            <v>0</v>
          </cell>
          <cell r="CE295">
            <v>0</v>
          </cell>
          <cell r="CF295">
            <v>0</v>
          </cell>
          <cell r="CI295">
            <v>0</v>
          </cell>
          <cell r="CJ295">
            <v>0</v>
          </cell>
          <cell r="CK295">
            <v>0</v>
          </cell>
          <cell r="CV295">
            <v>1.7248036797073152E-3</v>
          </cell>
          <cell r="DG295">
            <v>75034823</v>
          </cell>
          <cell r="DR295">
            <v>25922978.730000019</v>
          </cell>
          <cell r="EC295">
            <v>2.8945293587408636</v>
          </cell>
          <cell r="EN295">
            <v>2.4095909012463064E-2</v>
          </cell>
        </row>
        <row r="296">
          <cell r="B296">
            <v>39501</v>
          </cell>
          <cell r="C296" t="str">
            <v>Two Rivers Community School</v>
          </cell>
          <cell r="D296">
            <v>5.6765281817118127E-5</v>
          </cell>
          <cell r="E296">
            <v>98217.173447610374</v>
          </cell>
          <cell r="F296">
            <v>76582.182583437665</v>
          </cell>
          <cell r="G296">
            <v>-64214</v>
          </cell>
          <cell r="H296">
            <v>-27406.081372001558</v>
          </cell>
          <cell r="I296">
            <v>-1134.1153569128276</v>
          </cell>
          <cell r="J296">
            <v>82881.55367694977</v>
          </cell>
          <cell r="K296">
            <v>0</v>
          </cell>
          <cell r="L296">
            <v>-4354.7344207350861</v>
          </cell>
          <cell r="M296">
            <v>781.48829674459898</v>
          </cell>
          <cell r="N296">
            <v>29.460045957447967</v>
          </cell>
          <cell r="O296">
            <v>-13.294996654387237</v>
          </cell>
          <cell r="P296">
            <v>0</v>
          </cell>
          <cell r="Q296">
            <v>0</v>
          </cell>
          <cell r="R296">
            <v>0</v>
          </cell>
          <cell r="S296">
            <v>161369.631904396</v>
          </cell>
          <cell r="T296">
            <v>0</v>
          </cell>
          <cell r="U296">
            <v>414407.76838474884</v>
          </cell>
          <cell r="V296">
            <v>3125.9531869783959</v>
          </cell>
          <cell r="W296">
            <v>0</v>
          </cell>
          <cell r="X296">
            <v>417533.72157172725</v>
          </cell>
          <cell r="Y296">
            <v>321071.34000000003</v>
          </cell>
          <cell r="Z296">
            <v>0</v>
          </cell>
          <cell r="AA296">
            <v>0</v>
          </cell>
          <cell r="AB296">
            <v>5670.5767845641376</v>
          </cell>
          <cell r="AC296">
            <v>326741.91678456415</v>
          </cell>
          <cell r="AD296" t="str">
            <v>N/A</v>
          </cell>
          <cell r="AE296">
            <v>18315</v>
          </cell>
          <cell r="AF296">
            <v>18315</v>
          </cell>
          <cell r="AG296">
            <v>18315</v>
          </cell>
          <cell r="AH296">
            <v>18315</v>
          </cell>
          <cell r="AI296">
            <v>17533</v>
          </cell>
          <cell r="AJ296">
            <v>0</v>
          </cell>
          <cell r="AK296">
            <v>90793</v>
          </cell>
          <cell r="AL296">
            <v>2264603</v>
          </cell>
          <cell r="AM296">
            <v>161369.631904396</v>
          </cell>
          <cell r="AN296">
            <v>-47281.659999999996</v>
          </cell>
          <cell r="AO296">
            <v>411863.14478716312</v>
          </cell>
          <cell r="AP296">
            <v>0</v>
          </cell>
          <cell r="AQ296">
            <v>-321071.34000000003</v>
          </cell>
          <cell r="AR296">
            <v>0</v>
          </cell>
          <cell r="AS296">
            <v>0</v>
          </cell>
          <cell r="AT296">
            <v>2469482.7766915592</v>
          </cell>
          <cell r="AU296">
            <v>6.8304563929972694E-5</v>
          </cell>
          <cell r="AV296">
            <v>0</v>
          </cell>
          <cell r="AW296">
            <v>0</v>
          </cell>
          <cell r="AY296">
            <v>0</v>
          </cell>
          <cell r="AZ296">
            <v>0</v>
          </cell>
          <cell r="BA296">
            <v>0</v>
          </cell>
          <cell r="BB296">
            <v>0</v>
          </cell>
          <cell r="BC296">
            <v>0</v>
          </cell>
          <cell r="BD296">
            <v>0</v>
          </cell>
          <cell r="BE296">
            <v>0</v>
          </cell>
          <cell r="BF296">
            <v>0</v>
          </cell>
          <cell r="BG296">
            <v>0</v>
          </cell>
          <cell r="BH296">
            <v>0</v>
          </cell>
          <cell r="BJ296">
            <v>0</v>
          </cell>
          <cell r="BL296">
            <v>0</v>
          </cell>
          <cell r="BM296">
            <v>0</v>
          </cell>
          <cell r="BN296">
            <v>0</v>
          </cell>
          <cell r="BO296">
            <v>0</v>
          </cell>
          <cell r="BQ296">
            <v>0</v>
          </cell>
          <cell r="BR296">
            <v>0</v>
          </cell>
          <cell r="BS296">
            <v>0</v>
          </cell>
          <cell r="BT296">
            <v>0</v>
          </cell>
          <cell r="CB296">
            <v>0</v>
          </cell>
          <cell r="CC296">
            <v>0</v>
          </cell>
          <cell r="CD296">
            <v>0</v>
          </cell>
          <cell r="CE296">
            <v>0</v>
          </cell>
          <cell r="CF296">
            <v>0</v>
          </cell>
          <cell r="CI296">
            <v>0</v>
          </cell>
          <cell r="CJ296">
            <v>0</v>
          </cell>
          <cell r="CK296">
            <v>0</v>
          </cell>
          <cell r="CV296">
            <v>5.6765281817118127E-5</v>
          </cell>
          <cell r="DG296">
            <v>2469483</v>
          </cell>
          <cell r="DR296">
            <v>832761.98999999976</v>
          </cell>
          <cell r="EC296">
            <v>2.9654127225475322</v>
          </cell>
          <cell r="EN296">
            <v>2.4095909012463064E-2</v>
          </cell>
        </row>
        <row r="297">
          <cell r="B297">
            <v>39600</v>
          </cell>
          <cell r="C297" t="str">
            <v>Wayne County Schools</v>
          </cell>
          <cell r="D297">
            <v>5.5737648517659062E-3</v>
          </cell>
          <cell r="E297">
            <v>9643912.8227317389</v>
          </cell>
          <cell r="F297">
            <v>7519579.9948686752</v>
          </cell>
          <cell r="G297">
            <v>-200228</v>
          </cell>
          <cell r="H297">
            <v>-2690994.3575728685</v>
          </cell>
          <cell r="I297">
            <v>-111358.42387912565</v>
          </cell>
          <cell r="J297">
            <v>8138113.2261907076</v>
          </cell>
          <cell r="K297">
            <v>0</v>
          </cell>
          <cell r="L297">
            <v>-427589.97887594119</v>
          </cell>
          <cell r="M297">
            <v>76734.085712720043</v>
          </cell>
          <cell r="N297">
            <v>2892.6724827694702</v>
          </cell>
          <cell r="O297">
            <v>-1305.4314659320928</v>
          </cell>
          <cell r="P297">
            <v>0</v>
          </cell>
          <cell r="Q297">
            <v>0</v>
          </cell>
          <cell r="R297">
            <v>0</v>
          </cell>
          <cell r="S297">
            <v>21949756.610192742</v>
          </cell>
          <cell r="T297">
            <v>109015.99999999907</v>
          </cell>
          <cell r="U297">
            <v>40690566.130953535</v>
          </cell>
          <cell r="V297">
            <v>306936.34285088017</v>
          </cell>
          <cell r="W297">
            <v>0</v>
          </cell>
          <cell r="X297">
            <v>41106518.473804414</v>
          </cell>
          <cell r="Y297">
            <v>1110154</v>
          </cell>
          <cell r="Z297">
            <v>0</v>
          </cell>
          <cell r="AA297">
            <v>0</v>
          </cell>
          <cell r="AB297">
            <v>556792.11939562822</v>
          </cell>
          <cell r="AC297">
            <v>1666946.1193956281</v>
          </cell>
          <cell r="AD297" t="str">
            <v>N/A</v>
          </cell>
          <cell r="AE297">
            <v>7903261</v>
          </cell>
          <cell r="AF297">
            <v>7903261</v>
          </cell>
          <cell r="AG297">
            <v>7903261</v>
          </cell>
          <cell r="AH297">
            <v>7903261</v>
          </cell>
          <cell r="AI297">
            <v>7826527</v>
          </cell>
          <cell r="AJ297">
            <v>0</v>
          </cell>
          <cell r="AK297">
            <v>39439571</v>
          </cell>
          <cell r="AL297">
            <v>186127533</v>
          </cell>
          <cell r="AM297">
            <v>21949756.610192742</v>
          </cell>
          <cell r="AN297">
            <v>-5039145.9999999991</v>
          </cell>
          <cell r="AO297">
            <v>40440710.354408793</v>
          </cell>
          <cell r="AP297">
            <v>0</v>
          </cell>
          <cell r="AQ297">
            <v>-1001138.0000000009</v>
          </cell>
          <cell r="AR297">
            <v>0</v>
          </cell>
          <cell r="AS297">
            <v>0</v>
          </cell>
          <cell r="AT297">
            <v>242477715.96460155</v>
          </cell>
          <cell r="AU297">
            <v>5.6139459631843868E-3</v>
          </cell>
          <cell r="AV297">
            <v>0</v>
          </cell>
          <cell r="AW297">
            <v>0</v>
          </cell>
          <cell r="AY297">
            <v>0</v>
          </cell>
          <cell r="AZ297">
            <v>0</v>
          </cell>
          <cell r="BA297">
            <v>0</v>
          </cell>
          <cell r="BB297">
            <v>0</v>
          </cell>
          <cell r="BC297">
            <v>0</v>
          </cell>
          <cell r="BD297">
            <v>0</v>
          </cell>
          <cell r="BE297">
            <v>0</v>
          </cell>
          <cell r="BF297">
            <v>0</v>
          </cell>
          <cell r="BG297">
            <v>0</v>
          </cell>
          <cell r="BH297">
            <v>0</v>
          </cell>
          <cell r="BJ297">
            <v>0</v>
          </cell>
          <cell r="BL297">
            <v>0</v>
          </cell>
          <cell r="BM297">
            <v>0</v>
          </cell>
          <cell r="BN297">
            <v>0</v>
          </cell>
          <cell r="BO297">
            <v>0</v>
          </cell>
          <cell r="BQ297">
            <v>0</v>
          </cell>
          <cell r="BR297">
            <v>0</v>
          </cell>
          <cell r="BS297">
            <v>0</v>
          </cell>
          <cell r="BT297">
            <v>0</v>
          </cell>
          <cell r="CB297">
            <v>0</v>
          </cell>
          <cell r="CC297">
            <v>0</v>
          </cell>
          <cell r="CD297">
            <v>0</v>
          </cell>
          <cell r="CE297">
            <v>0</v>
          </cell>
          <cell r="CF297">
            <v>0</v>
          </cell>
          <cell r="CI297">
            <v>0</v>
          </cell>
          <cell r="CJ297">
            <v>0</v>
          </cell>
          <cell r="CK297">
            <v>0</v>
          </cell>
          <cell r="CV297">
            <v>5.5737648517659062E-3</v>
          </cell>
          <cell r="DG297">
            <v>242477716</v>
          </cell>
          <cell r="DR297">
            <v>87409006.83999984</v>
          </cell>
          <cell r="EC297">
            <v>2.7740587013401243</v>
          </cell>
          <cell r="EN297">
            <v>2.4095909012463064E-2</v>
          </cell>
        </row>
        <row r="298">
          <cell r="B298">
            <v>39605</v>
          </cell>
          <cell r="C298" t="str">
            <v>Wayne Community College</v>
          </cell>
          <cell r="D298">
            <v>8.0206600992329302E-4</v>
          </cell>
          <cell r="E298">
            <v>1387761.2140967648</v>
          </cell>
          <cell r="F298">
            <v>1082069.2446098621</v>
          </cell>
          <cell r="G298">
            <v>-137595</v>
          </cell>
          <cell r="H298">
            <v>-387234.69046613004</v>
          </cell>
          <cell r="I298">
            <v>-16024.502125126304</v>
          </cell>
          <cell r="J298">
            <v>1171076.3150631925</v>
          </cell>
          <cell r="K298">
            <v>0</v>
          </cell>
          <cell r="L298">
            <v>-61530.293681398231</v>
          </cell>
          <cell r="M298">
            <v>11042.052111906747</v>
          </cell>
          <cell r="N298">
            <v>416.25621782999059</v>
          </cell>
          <cell r="O298">
            <v>-187.85188018413447</v>
          </cell>
          <cell r="P298">
            <v>0</v>
          </cell>
          <cell r="Q298">
            <v>0</v>
          </cell>
          <cell r="R298">
            <v>0</v>
          </cell>
          <cell r="S298">
            <v>3049792.7439467176</v>
          </cell>
          <cell r="T298">
            <v>48022.260000000126</v>
          </cell>
          <cell r="U298">
            <v>5855381.5753159625</v>
          </cell>
          <cell r="V298">
            <v>44168.208447626988</v>
          </cell>
          <cell r="W298">
            <v>0</v>
          </cell>
          <cell r="X298">
            <v>5947572.0437635891</v>
          </cell>
          <cell r="Y298">
            <v>735996</v>
          </cell>
          <cell r="Z298">
            <v>0</v>
          </cell>
          <cell r="AA298">
            <v>0</v>
          </cell>
          <cell r="AB298">
            <v>80122.510625631519</v>
          </cell>
          <cell r="AC298">
            <v>816118.51062563155</v>
          </cell>
          <cell r="AD298" t="str">
            <v>N/A</v>
          </cell>
          <cell r="AE298">
            <v>1028499</v>
          </cell>
          <cell r="AF298">
            <v>1028500</v>
          </cell>
          <cell r="AG298">
            <v>1028500</v>
          </cell>
          <cell r="AH298">
            <v>1028500</v>
          </cell>
          <cell r="AI298">
            <v>1017458</v>
          </cell>
          <cell r="AJ298">
            <v>0</v>
          </cell>
          <cell r="AK298">
            <v>5131457</v>
          </cell>
          <cell r="AL298">
            <v>27475287</v>
          </cell>
          <cell r="AM298">
            <v>3049792.7439467176</v>
          </cell>
          <cell r="AN298">
            <v>-763935.26000000013</v>
          </cell>
          <cell r="AO298">
            <v>5819427.2731379578</v>
          </cell>
          <cell r="AP298">
            <v>0</v>
          </cell>
          <cell r="AQ298">
            <v>-687973.73999999987</v>
          </cell>
          <cell r="AR298">
            <v>0</v>
          </cell>
          <cell r="AS298">
            <v>0</v>
          </cell>
          <cell r="AT298">
            <v>34892598.017084673</v>
          </cell>
          <cell r="AU298">
            <v>8.2870476980727954E-4</v>
          </cell>
          <cell r="AV298">
            <v>0</v>
          </cell>
          <cell r="AW298">
            <v>0</v>
          </cell>
          <cell r="AY298">
            <v>0</v>
          </cell>
          <cell r="AZ298">
            <v>0</v>
          </cell>
          <cell r="BA298">
            <v>0</v>
          </cell>
          <cell r="BB298">
            <v>0</v>
          </cell>
          <cell r="BC298">
            <v>0</v>
          </cell>
          <cell r="BD298">
            <v>0</v>
          </cell>
          <cell r="BE298">
            <v>0</v>
          </cell>
          <cell r="BF298">
            <v>0</v>
          </cell>
          <cell r="BG298">
            <v>0</v>
          </cell>
          <cell r="BH298">
            <v>0</v>
          </cell>
          <cell r="BJ298">
            <v>0</v>
          </cell>
          <cell r="BL298">
            <v>0</v>
          </cell>
          <cell r="BM298">
            <v>0</v>
          </cell>
          <cell r="BN298">
            <v>0</v>
          </cell>
          <cell r="BO298">
            <v>0</v>
          </cell>
          <cell r="BQ298">
            <v>0</v>
          </cell>
          <cell r="BR298">
            <v>0</v>
          </cell>
          <cell r="BS298">
            <v>0</v>
          </cell>
          <cell r="BT298">
            <v>0</v>
          </cell>
          <cell r="CB298">
            <v>0</v>
          </cell>
          <cell r="CC298">
            <v>0</v>
          </cell>
          <cell r="CD298">
            <v>0</v>
          </cell>
          <cell r="CE298">
            <v>0</v>
          </cell>
          <cell r="CF298">
            <v>0</v>
          </cell>
          <cell r="CI298">
            <v>0</v>
          </cell>
          <cell r="CJ298">
            <v>0</v>
          </cell>
          <cell r="CK298">
            <v>0</v>
          </cell>
          <cell r="CV298">
            <v>8.0206600992329302E-4</v>
          </cell>
          <cell r="DG298">
            <v>34892598</v>
          </cell>
          <cell r="DR298">
            <v>13057119.070000004</v>
          </cell>
          <cell r="EC298">
            <v>2.6723044963394051</v>
          </cell>
          <cell r="EN298">
            <v>2.4095909012463064E-2</v>
          </cell>
        </row>
        <row r="299">
          <cell r="B299">
            <v>39700</v>
          </cell>
          <cell r="C299" t="str">
            <v>Wilkes County Schools</v>
          </cell>
          <cell r="D299">
            <v>3.3775978740848297E-3</v>
          </cell>
          <cell r="E299">
            <v>5844031.8732854575</v>
          </cell>
          <cell r="F299">
            <v>4556725.6746815396</v>
          </cell>
          <cell r="G299">
            <v>-236735</v>
          </cell>
          <cell r="H299">
            <v>-1630692.5503742308</v>
          </cell>
          <cell r="I299">
            <v>-67481.134521921354</v>
          </cell>
          <cell r="J299">
            <v>4931545.3132427577</v>
          </cell>
          <cell r="K299">
            <v>0</v>
          </cell>
          <cell r="L299">
            <v>-259111.57754956049</v>
          </cell>
          <cell r="M299">
            <v>46499.429320383453</v>
          </cell>
          <cell r="N299">
            <v>1752.9057446925449</v>
          </cell>
          <cell r="O299">
            <v>-791.06719808940795</v>
          </cell>
          <cell r="P299">
            <v>0</v>
          </cell>
          <cell r="Q299">
            <v>0</v>
          </cell>
          <cell r="R299">
            <v>0</v>
          </cell>
          <cell r="S299">
            <v>13185743.866631029</v>
          </cell>
          <cell r="T299">
            <v>0</v>
          </cell>
          <cell r="U299">
            <v>24657726.56621379</v>
          </cell>
          <cell r="V299">
            <v>185997.71728153381</v>
          </cell>
          <cell r="W299">
            <v>0</v>
          </cell>
          <cell r="X299">
            <v>24843724.283495326</v>
          </cell>
          <cell r="Y299">
            <v>1183675.69</v>
          </cell>
          <cell r="Z299">
            <v>0</v>
          </cell>
          <cell r="AA299">
            <v>0</v>
          </cell>
          <cell r="AB299">
            <v>337405.67260960676</v>
          </cell>
          <cell r="AC299">
            <v>1521081.3626096067</v>
          </cell>
          <cell r="AD299" t="str">
            <v>N/A</v>
          </cell>
          <cell r="AE299">
            <v>4673829</v>
          </cell>
          <cell r="AF299">
            <v>4673829</v>
          </cell>
          <cell r="AG299">
            <v>4673829</v>
          </cell>
          <cell r="AH299">
            <v>4673829</v>
          </cell>
          <cell r="AI299">
            <v>4627329</v>
          </cell>
          <cell r="AJ299">
            <v>0</v>
          </cell>
          <cell r="AK299">
            <v>23322645</v>
          </cell>
          <cell r="AL299">
            <v>113304758</v>
          </cell>
          <cell r="AM299">
            <v>13185743.866631029</v>
          </cell>
          <cell r="AN299">
            <v>-2876157.31</v>
          </cell>
          <cell r="AO299">
            <v>24506318.610885717</v>
          </cell>
          <cell r="AP299">
            <v>0</v>
          </cell>
          <cell r="AQ299">
            <v>-1183675.69</v>
          </cell>
          <cell r="AR299">
            <v>0</v>
          </cell>
          <cell r="AS299">
            <v>0</v>
          </cell>
          <cell r="AT299">
            <v>146936987.47751674</v>
          </cell>
          <cell r="AU299">
            <v>3.4174782282730752E-3</v>
          </cell>
          <cell r="AV299">
            <v>0</v>
          </cell>
          <cell r="AW299">
            <v>0</v>
          </cell>
          <cell r="AY299">
            <v>0</v>
          </cell>
          <cell r="AZ299">
            <v>0</v>
          </cell>
          <cell r="BA299">
            <v>0</v>
          </cell>
          <cell r="BB299">
            <v>0</v>
          </cell>
          <cell r="BC299">
            <v>0</v>
          </cell>
          <cell r="BD299">
            <v>0</v>
          </cell>
          <cell r="BE299">
            <v>0</v>
          </cell>
          <cell r="BF299">
            <v>0</v>
          </cell>
          <cell r="BG299">
            <v>0</v>
          </cell>
          <cell r="BH299">
            <v>0</v>
          </cell>
          <cell r="BJ299">
            <v>0</v>
          </cell>
          <cell r="BL299">
            <v>0</v>
          </cell>
          <cell r="BM299">
            <v>0</v>
          </cell>
          <cell r="BN299">
            <v>0</v>
          </cell>
          <cell r="BO299">
            <v>0</v>
          </cell>
          <cell r="BQ299">
            <v>0</v>
          </cell>
          <cell r="BR299">
            <v>0</v>
          </cell>
          <cell r="BS299">
            <v>0</v>
          </cell>
          <cell r="BT299">
            <v>0</v>
          </cell>
          <cell r="CB299">
            <v>0</v>
          </cell>
          <cell r="CC299">
            <v>0</v>
          </cell>
          <cell r="CD299">
            <v>0</v>
          </cell>
          <cell r="CE299">
            <v>0</v>
          </cell>
          <cell r="CF299">
            <v>0</v>
          </cell>
          <cell r="CI299">
            <v>0</v>
          </cell>
          <cell r="CJ299">
            <v>0</v>
          </cell>
          <cell r="CK299">
            <v>0</v>
          </cell>
          <cell r="CV299">
            <v>3.3775978740848297E-3</v>
          </cell>
          <cell r="DG299">
            <v>146936988</v>
          </cell>
          <cell r="DR299">
            <v>50024277.060000062</v>
          </cell>
          <cell r="EC299">
            <v>2.9373135732428679</v>
          </cell>
          <cell r="EN299">
            <v>2.4095909012463064E-2</v>
          </cell>
        </row>
        <row r="300">
          <cell r="B300">
            <v>39703</v>
          </cell>
          <cell r="C300" t="str">
            <v>Pinnacle Classical Academy</v>
          </cell>
          <cell r="D300">
            <v>1.0526279690453541E-4</v>
          </cell>
          <cell r="E300">
            <v>182129.1826659377</v>
          </cell>
          <cell r="F300">
            <v>142010.30055232631</v>
          </cell>
          <cell r="G300">
            <v>160430</v>
          </cell>
          <cell r="H300">
            <v>-50820.51361436594</v>
          </cell>
          <cell r="I300">
            <v>-2103.0487414056915</v>
          </cell>
          <cell r="J300">
            <v>153691.55005583365</v>
          </cell>
          <cell r="K300">
            <v>0</v>
          </cell>
          <cell r="L300">
            <v>-8075.2091812005174</v>
          </cell>
          <cell r="M300">
            <v>1449.1541525068449</v>
          </cell>
          <cell r="N300">
            <v>54.629286337515786</v>
          </cell>
          <cell r="O300">
            <v>-24.653599663011239</v>
          </cell>
          <cell r="P300">
            <v>0</v>
          </cell>
          <cell r="Q300">
            <v>0</v>
          </cell>
          <cell r="R300">
            <v>0</v>
          </cell>
          <cell r="S300">
            <v>578741.39157630678</v>
          </cell>
          <cell r="T300">
            <v>818365</v>
          </cell>
          <cell r="U300">
            <v>768457.75027916825</v>
          </cell>
          <cell r="V300">
            <v>5796.6166100273795</v>
          </cell>
          <cell r="W300">
            <v>0</v>
          </cell>
          <cell r="X300">
            <v>1592619.3668891955</v>
          </cell>
          <cell r="Y300">
            <v>16213.239999999991</v>
          </cell>
          <cell r="Z300">
            <v>0</v>
          </cell>
          <cell r="AA300">
            <v>0</v>
          </cell>
          <cell r="AB300">
            <v>10515.243707028458</v>
          </cell>
          <cell r="AC300">
            <v>26728.483707028448</v>
          </cell>
          <cell r="AD300" t="str">
            <v>N/A</v>
          </cell>
          <cell r="AE300">
            <v>313468</v>
          </cell>
          <cell r="AF300">
            <v>313468</v>
          </cell>
          <cell r="AG300">
            <v>313468</v>
          </cell>
          <cell r="AH300">
            <v>313468</v>
          </cell>
          <cell r="AI300">
            <v>312019</v>
          </cell>
          <cell r="AJ300">
            <v>0</v>
          </cell>
          <cell r="AK300">
            <v>1565891</v>
          </cell>
          <cell r="AL300">
            <v>2507897</v>
          </cell>
          <cell r="AM300">
            <v>578741.39157630678</v>
          </cell>
          <cell r="AN300">
            <v>-73239.760000000009</v>
          </cell>
          <cell r="AO300">
            <v>763739.12318216718</v>
          </cell>
          <cell r="AP300">
            <v>0</v>
          </cell>
          <cell r="AQ300">
            <v>802151.76</v>
          </cell>
          <cell r="AR300">
            <v>0</v>
          </cell>
          <cell r="AS300">
            <v>0</v>
          </cell>
          <cell r="AT300">
            <v>4579289.5147584742</v>
          </cell>
          <cell r="AU300">
            <v>7.564273928515392E-5</v>
          </cell>
          <cell r="AV300">
            <v>0</v>
          </cell>
          <cell r="AW300">
            <v>0</v>
          </cell>
          <cell r="AY300">
            <v>0</v>
          </cell>
          <cell r="AZ300">
            <v>0</v>
          </cell>
          <cell r="BA300">
            <v>0</v>
          </cell>
          <cell r="BB300">
            <v>0</v>
          </cell>
          <cell r="BC300">
            <v>0</v>
          </cell>
          <cell r="BD300">
            <v>0</v>
          </cell>
          <cell r="BE300">
            <v>0</v>
          </cell>
          <cell r="BF300">
            <v>0</v>
          </cell>
          <cell r="BG300">
            <v>0</v>
          </cell>
          <cell r="BH300">
            <v>0</v>
          </cell>
          <cell r="BJ300">
            <v>0</v>
          </cell>
          <cell r="BL300">
            <v>0</v>
          </cell>
          <cell r="BM300">
            <v>0</v>
          </cell>
          <cell r="BN300">
            <v>0</v>
          </cell>
          <cell r="BO300">
            <v>0</v>
          </cell>
          <cell r="BQ300">
            <v>0</v>
          </cell>
          <cell r="BR300">
            <v>0</v>
          </cell>
          <cell r="BS300">
            <v>0</v>
          </cell>
          <cell r="BT300">
            <v>0</v>
          </cell>
          <cell r="CB300">
            <v>0</v>
          </cell>
          <cell r="CC300">
            <v>0</v>
          </cell>
          <cell r="CD300">
            <v>0</v>
          </cell>
          <cell r="CE300">
            <v>0</v>
          </cell>
          <cell r="CF300">
            <v>0</v>
          </cell>
          <cell r="CI300">
            <v>0</v>
          </cell>
          <cell r="CJ300">
            <v>0</v>
          </cell>
          <cell r="CK300">
            <v>0</v>
          </cell>
          <cell r="CV300">
            <v>1.0526279690453541E-4</v>
          </cell>
          <cell r="DG300">
            <v>4579289</v>
          </cell>
          <cell r="DR300">
            <v>1235890.25</v>
          </cell>
          <cell r="EC300">
            <v>3.7052553816975253</v>
          </cell>
          <cell r="EN300">
            <v>2.4095909012463064E-2</v>
          </cell>
        </row>
        <row r="301">
          <cell r="B301">
            <v>39705</v>
          </cell>
          <cell r="C301" t="str">
            <v>Wilkes Community College</v>
          </cell>
          <cell r="D301">
            <v>7.9264599698215235E-4</v>
          </cell>
          <cell r="E301">
            <v>1371462.3952535938</v>
          </cell>
          <cell r="F301">
            <v>1069360.6817717361</v>
          </cell>
          <cell r="G301">
            <v>88452</v>
          </cell>
          <cell r="H301">
            <v>-382686.74085809418</v>
          </cell>
          <cell r="I301">
            <v>-15836.299389283575</v>
          </cell>
          <cell r="J301">
            <v>1157322.3921859299</v>
          </cell>
          <cell r="K301">
            <v>0</v>
          </cell>
          <cell r="L301">
            <v>-60807.639740725208</v>
          </cell>
          <cell r="M301">
            <v>10912.366683894583</v>
          </cell>
          <cell r="N301">
            <v>411.36741951379742</v>
          </cell>
          <cell r="O301">
            <v>-185.64561895318991</v>
          </cell>
          <cell r="P301">
            <v>0</v>
          </cell>
          <cell r="Q301">
            <v>0</v>
          </cell>
          <cell r="R301">
            <v>0</v>
          </cell>
          <cell r="S301">
            <v>3238404.8777076122</v>
          </cell>
          <cell r="T301">
            <v>442255.12</v>
          </cell>
          <cell r="U301">
            <v>5786611.9609296499</v>
          </cell>
          <cell r="V301">
            <v>43649.466735578331</v>
          </cell>
          <cell r="W301">
            <v>0</v>
          </cell>
          <cell r="X301">
            <v>6272516.5476652281</v>
          </cell>
          <cell r="Y301">
            <v>0</v>
          </cell>
          <cell r="Z301">
            <v>0</v>
          </cell>
          <cell r="AA301">
            <v>0</v>
          </cell>
          <cell r="AB301">
            <v>79181.496946417872</v>
          </cell>
          <cell r="AC301">
            <v>79181.496946417872</v>
          </cell>
          <cell r="AD301" t="str">
            <v>N/A</v>
          </cell>
          <cell r="AE301">
            <v>1240849</v>
          </cell>
          <cell r="AF301">
            <v>1240850</v>
          </cell>
          <cell r="AG301">
            <v>1240850</v>
          </cell>
          <cell r="AH301">
            <v>1240850</v>
          </cell>
          <cell r="AI301">
            <v>1229938</v>
          </cell>
          <cell r="AJ301">
            <v>0</v>
          </cell>
          <cell r="AK301">
            <v>6193337</v>
          </cell>
          <cell r="AL301">
            <v>25783213</v>
          </cell>
          <cell r="AM301">
            <v>3238404.8777076122</v>
          </cell>
          <cell r="AN301">
            <v>-732158.12</v>
          </cell>
          <cell r="AO301">
            <v>5751079.9307188103</v>
          </cell>
          <cell r="AP301">
            <v>0</v>
          </cell>
          <cell r="AQ301">
            <v>442255.12</v>
          </cell>
          <cell r="AR301">
            <v>0</v>
          </cell>
          <cell r="AS301">
            <v>0</v>
          </cell>
          <cell r="AT301">
            <v>34482794.808426417</v>
          </cell>
          <cell r="AU301">
            <v>7.7766875144774574E-4</v>
          </cell>
          <cell r="AV301">
            <v>0</v>
          </cell>
          <cell r="AW301">
            <v>0</v>
          </cell>
          <cell r="AY301">
            <v>0</v>
          </cell>
          <cell r="AZ301">
            <v>0</v>
          </cell>
          <cell r="BA301">
            <v>0</v>
          </cell>
          <cell r="BB301">
            <v>0</v>
          </cell>
          <cell r="BC301">
            <v>0</v>
          </cell>
          <cell r="BD301">
            <v>0</v>
          </cell>
          <cell r="BE301">
            <v>0</v>
          </cell>
          <cell r="BF301">
            <v>0</v>
          </cell>
          <cell r="BG301">
            <v>0</v>
          </cell>
          <cell r="BH301">
            <v>0</v>
          </cell>
          <cell r="BJ301">
            <v>0</v>
          </cell>
          <cell r="BL301">
            <v>0</v>
          </cell>
          <cell r="BM301">
            <v>0</v>
          </cell>
          <cell r="BN301">
            <v>0</v>
          </cell>
          <cell r="BO301">
            <v>0</v>
          </cell>
          <cell r="BQ301">
            <v>0</v>
          </cell>
          <cell r="BR301">
            <v>0</v>
          </cell>
          <cell r="BS301">
            <v>0</v>
          </cell>
          <cell r="BT301">
            <v>0</v>
          </cell>
          <cell r="CB301">
            <v>0</v>
          </cell>
          <cell r="CC301">
            <v>0</v>
          </cell>
          <cell r="CD301">
            <v>0</v>
          </cell>
          <cell r="CE301">
            <v>0</v>
          </cell>
          <cell r="CF301">
            <v>0</v>
          </cell>
          <cell r="CI301">
            <v>0</v>
          </cell>
          <cell r="CJ301">
            <v>0</v>
          </cell>
          <cell r="CK301">
            <v>0</v>
          </cell>
          <cell r="CV301">
            <v>7.9264599698215235E-4</v>
          </cell>
          <cell r="DG301">
            <v>34482795</v>
          </cell>
          <cell r="DR301">
            <v>12760252.279999996</v>
          </cell>
          <cell r="EC301">
            <v>2.7023599724628653</v>
          </cell>
          <cell r="EN301">
            <v>2.4095909012463064E-2</v>
          </cell>
        </row>
        <row r="302">
          <cell r="B302">
            <v>39800</v>
          </cell>
          <cell r="C302" t="str">
            <v>Wilson County Schools</v>
          </cell>
          <cell r="D302">
            <v>3.7380233468300756E-3</v>
          </cell>
          <cell r="E302">
            <v>6467651.9811817873</v>
          </cell>
          <cell r="F302">
            <v>5042976.5744907707</v>
          </cell>
          <cell r="G302">
            <v>-562933</v>
          </cell>
          <cell r="H302">
            <v>-1804704.7197566011</v>
          </cell>
          <cell r="I302">
            <v>-74682.086416776248</v>
          </cell>
          <cell r="J302">
            <v>5457793.4390270412</v>
          </cell>
          <cell r="K302">
            <v>0</v>
          </cell>
          <cell r="L302">
            <v>-286761.52769567468</v>
          </cell>
          <cell r="M302">
            <v>51461.411006768903</v>
          </cell>
          <cell r="N302">
            <v>1939.9593565378725</v>
          </cell>
          <cell r="O302">
            <v>-875.48244806107198</v>
          </cell>
          <cell r="P302">
            <v>0</v>
          </cell>
          <cell r="Q302">
            <v>0</v>
          </cell>
          <cell r="R302">
            <v>0</v>
          </cell>
          <cell r="S302">
            <v>14291866.548745792</v>
          </cell>
          <cell r="T302">
            <v>0</v>
          </cell>
          <cell r="U302">
            <v>27288967.195135206</v>
          </cell>
          <cell r="V302">
            <v>205845.64402707561</v>
          </cell>
          <cell r="W302">
            <v>0</v>
          </cell>
          <cell r="X302">
            <v>27494812.839162283</v>
          </cell>
          <cell r="Y302">
            <v>2814661.5700000008</v>
          </cell>
          <cell r="Z302">
            <v>0</v>
          </cell>
          <cell r="AA302">
            <v>0</v>
          </cell>
          <cell r="AB302">
            <v>373410.43208388123</v>
          </cell>
          <cell r="AC302">
            <v>3188072.0020838818</v>
          </cell>
          <cell r="AD302" t="str">
            <v>N/A</v>
          </cell>
          <cell r="AE302">
            <v>4871640</v>
          </cell>
          <cell r="AF302">
            <v>4871640</v>
          </cell>
          <cell r="AG302">
            <v>4871640</v>
          </cell>
          <cell r="AH302">
            <v>4871640</v>
          </cell>
          <cell r="AI302">
            <v>4820178</v>
          </cell>
          <cell r="AJ302">
            <v>0</v>
          </cell>
          <cell r="AK302">
            <v>24306738</v>
          </cell>
          <cell r="AL302">
            <v>127292513</v>
          </cell>
          <cell r="AM302">
            <v>14291866.548745792</v>
          </cell>
          <cell r="AN302">
            <v>-3274399.4299999992</v>
          </cell>
          <cell r="AO302">
            <v>27121402.407078404</v>
          </cell>
          <cell r="AP302">
            <v>0</v>
          </cell>
          <cell r="AQ302">
            <v>-2814661.5700000008</v>
          </cell>
          <cell r="AR302">
            <v>0</v>
          </cell>
          <cell r="AS302">
            <v>0</v>
          </cell>
          <cell r="AT302">
            <v>162616720.9558242</v>
          </cell>
          <cell r="AU302">
            <v>3.8393744410324645E-3</v>
          </cell>
          <cell r="AV302">
            <v>0</v>
          </cell>
          <cell r="AW302">
            <v>0</v>
          </cell>
          <cell r="AY302">
            <v>0</v>
          </cell>
          <cell r="AZ302">
            <v>0</v>
          </cell>
          <cell r="BA302">
            <v>0</v>
          </cell>
          <cell r="BB302">
            <v>0</v>
          </cell>
          <cell r="BC302">
            <v>0</v>
          </cell>
          <cell r="BD302">
            <v>0</v>
          </cell>
          <cell r="BE302">
            <v>0</v>
          </cell>
          <cell r="BF302">
            <v>0</v>
          </cell>
          <cell r="BG302">
            <v>0</v>
          </cell>
          <cell r="BH302">
            <v>0</v>
          </cell>
          <cell r="BJ302">
            <v>0</v>
          </cell>
          <cell r="BL302">
            <v>0</v>
          </cell>
          <cell r="BM302">
            <v>0</v>
          </cell>
          <cell r="BN302">
            <v>0</v>
          </cell>
          <cell r="BO302">
            <v>0</v>
          </cell>
          <cell r="BQ302">
            <v>0</v>
          </cell>
          <cell r="BR302">
            <v>0</v>
          </cell>
          <cell r="BS302">
            <v>0</v>
          </cell>
          <cell r="BT302">
            <v>0</v>
          </cell>
          <cell r="CB302">
            <v>0</v>
          </cell>
          <cell r="CC302">
            <v>0</v>
          </cell>
          <cell r="CD302">
            <v>0</v>
          </cell>
          <cell r="CE302">
            <v>0</v>
          </cell>
          <cell r="CF302">
            <v>0</v>
          </cell>
          <cell r="CI302">
            <v>0</v>
          </cell>
          <cell r="CJ302">
            <v>0</v>
          </cell>
          <cell r="CK302">
            <v>0</v>
          </cell>
          <cell r="CV302">
            <v>3.7380233468300756E-3</v>
          </cell>
          <cell r="DG302">
            <v>162616721</v>
          </cell>
          <cell r="DR302">
            <v>56969445.149999999</v>
          </cell>
          <cell r="EC302">
            <v>2.854455060459721</v>
          </cell>
          <cell r="EN302">
            <v>2.4095909012463064E-2</v>
          </cell>
        </row>
        <row r="303">
          <cell r="B303">
            <v>39805</v>
          </cell>
          <cell r="C303" t="str">
            <v>Wilson Community College</v>
          </cell>
          <cell r="D303">
            <v>4.2042356770365802E-4</v>
          </cell>
          <cell r="E303">
            <v>727430.80187018623</v>
          </cell>
          <cell r="F303">
            <v>567194.47862500523</v>
          </cell>
          <cell r="G303">
            <v>-37148</v>
          </cell>
          <cell r="H303">
            <v>-202979.04173742756</v>
          </cell>
          <cell r="I303">
            <v>-8399.6557275438754</v>
          </cell>
          <cell r="J303">
            <v>613849.82824444456</v>
          </cell>
          <cell r="K303">
            <v>0</v>
          </cell>
          <cell r="L303">
            <v>-32252.689019774443</v>
          </cell>
          <cell r="M303">
            <v>5787.9761593456933</v>
          </cell>
          <cell r="N303">
            <v>218.19142316684443</v>
          </cell>
          <cell r="O303">
            <v>-98.46740379187375</v>
          </cell>
          <cell r="P303">
            <v>0</v>
          </cell>
          <cell r="Q303">
            <v>0</v>
          </cell>
          <cell r="R303">
            <v>0</v>
          </cell>
          <cell r="S303">
            <v>1633603.4224336105</v>
          </cell>
          <cell r="T303">
            <v>37708.669999999984</v>
          </cell>
          <cell r="U303">
            <v>3069249.1412222232</v>
          </cell>
          <cell r="V303">
            <v>23151.904637382773</v>
          </cell>
          <cell r="W303">
            <v>0</v>
          </cell>
          <cell r="X303">
            <v>3130109.7158596059</v>
          </cell>
          <cell r="Y303">
            <v>223449</v>
          </cell>
          <cell r="Z303">
            <v>0</v>
          </cell>
          <cell r="AA303">
            <v>0</v>
          </cell>
          <cell r="AB303">
            <v>41998.27863771937</v>
          </cell>
          <cell r="AC303">
            <v>265447.27863771934</v>
          </cell>
          <cell r="AD303" t="str">
            <v>N/A</v>
          </cell>
          <cell r="AE303">
            <v>574090</v>
          </cell>
          <cell r="AF303">
            <v>574090</v>
          </cell>
          <cell r="AG303">
            <v>574090</v>
          </cell>
          <cell r="AH303">
            <v>574090</v>
          </cell>
          <cell r="AI303">
            <v>568302</v>
          </cell>
          <cell r="AJ303">
            <v>0</v>
          </cell>
          <cell r="AK303">
            <v>2864662</v>
          </cell>
          <cell r="AL303">
            <v>14207069</v>
          </cell>
          <cell r="AM303">
            <v>1633603.4224336105</v>
          </cell>
          <cell r="AN303">
            <v>-415480.67</v>
          </cell>
          <cell r="AO303">
            <v>3050402.7672218867</v>
          </cell>
          <cell r="AP303">
            <v>0</v>
          </cell>
          <cell r="AQ303">
            <v>-185740.33000000002</v>
          </cell>
          <cell r="AR303">
            <v>0</v>
          </cell>
          <cell r="AS303">
            <v>0</v>
          </cell>
          <cell r="AT303">
            <v>18289854.189655498</v>
          </cell>
          <cell r="AU303">
            <v>4.2851110673070681E-4</v>
          </cell>
          <cell r="AV303">
            <v>0</v>
          </cell>
          <cell r="AW303">
            <v>0</v>
          </cell>
          <cell r="AY303">
            <v>0</v>
          </cell>
          <cell r="AZ303">
            <v>0</v>
          </cell>
          <cell r="BA303">
            <v>0</v>
          </cell>
          <cell r="BB303">
            <v>0</v>
          </cell>
          <cell r="BC303">
            <v>0</v>
          </cell>
          <cell r="BD303">
            <v>0</v>
          </cell>
          <cell r="BE303">
            <v>0</v>
          </cell>
          <cell r="BF303">
            <v>0</v>
          </cell>
          <cell r="BG303">
            <v>0</v>
          </cell>
          <cell r="BH303">
            <v>0</v>
          </cell>
          <cell r="BJ303">
            <v>0</v>
          </cell>
          <cell r="BL303">
            <v>0</v>
          </cell>
          <cell r="BM303">
            <v>0</v>
          </cell>
          <cell r="BN303">
            <v>0</v>
          </cell>
          <cell r="BO303">
            <v>0</v>
          </cell>
          <cell r="BQ303">
            <v>0</v>
          </cell>
          <cell r="BR303">
            <v>0</v>
          </cell>
          <cell r="BS303">
            <v>0</v>
          </cell>
          <cell r="BT303">
            <v>0</v>
          </cell>
          <cell r="CB303">
            <v>0</v>
          </cell>
          <cell r="CC303">
            <v>0</v>
          </cell>
          <cell r="CD303">
            <v>0</v>
          </cell>
          <cell r="CE303">
            <v>0</v>
          </cell>
          <cell r="CF303">
            <v>0</v>
          </cell>
          <cell r="CI303">
            <v>0</v>
          </cell>
          <cell r="CJ303">
            <v>0</v>
          </cell>
          <cell r="CK303">
            <v>0</v>
          </cell>
          <cell r="CV303">
            <v>4.2042356770365802E-4</v>
          </cell>
          <cell r="DG303">
            <v>18289854</v>
          </cell>
          <cell r="DR303">
            <v>6996756.6699999981</v>
          </cell>
          <cell r="EC303">
            <v>2.6140474597925389</v>
          </cell>
          <cell r="EN303">
            <v>2.4095909012463064E-2</v>
          </cell>
        </row>
        <row r="304">
          <cell r="B304">
            <v>39900</v>
          </cell>
          <cell r="C304" t="str">
            <v>Yadkin County Schools</v>
          </cell>
          <cell r="D304">
            <v>1.846225728420556E-3</v>
          </cell>
          <cell r="E304">
            <v>3194400.9927744321</v>
          </cell>
          <cell r="F304">
            <v>2490747.7123016114</v>
          </cell>
          <cell r="G304">
            <v>-121943</v>
          </cell>
          <cell r="H304">
            <v>-891351.38458730141</v>
          </cell>
          <cell r="I304">
            <v>-36885.802094228449</v>
          </cell>
          <cell r="J304">
            <v>2695627.5369659117</v>
          </cell>
          <cell r="K304">
            <v>0</v>
          </cell>
          <cell r="L304">
            <v>-141632.74576706524</v>
          </cell>
          <cell r="M304">
            <v>25417.011132927124</v>
          </cell>
          <cell r="N304">
            <v>958.15422853570021</v>
          </cell>
          <cell r="O304">
            <v>-432.40452785337845</v>
          </cell>
          <cell r="P304">
            <v>0</v>
          </cell>
          <cell r="Q304">
            <v>0</v>
          </cell>
          <cell r="R304">
            <v>0</v>
          </cell>
          <cell r="S304">
            <v>7214906.0704269689</v>
          </cell>
          <cell r="T304">
            <v>33032.189999999944</v>
          </cell>
          <cell r="U304">
            <v>13478137.684829559</v>
          </cell>
          <cell r="V304">
            <v>101668.0445317085</v>
          </cell>
          <cell r="W304">
            <v>0</v>
          </cell>
          <cell r="X304">
            <v>13612837.919361267</v>
          </cell>
          <cell r="Y304">
            <v>642743</v>
          </cell>
          <cell r="Z304">
            <v>0</v>
          </cell>
          <cell r="AA304">
            <v>0</v>
          </cell>
          <cell r="AB304">
            <v>184429.01047114225</v>
          </cell>
          <cell r="AC304">
            <v>827172.01047114225</v>
          </cell>
          <cell r="AD304" t="str">
            <v>N/A</v>
          </cell>
          <cell r="AE304">
            <v>2562216</v>
          </cell>
          <cell r="AF304">
            <v>2562217</v>
          </cell>
          <cell r="AG304">
            <v>2562217</v>
          </cell>
          <cell r="AH304">
            <v>2562217</v>
          </cell>
          <cell r="AI304">
            <v>2536800</v>
          </cell>
          <cell r="AJ304">
            <v>0</v>
          </cell>
          <cell r="AK304">
            <v>12785667</v>
          </cell>
          <cell r="AL304">
            <v>61981970</v>
          </cell>
          <cell r="AM304">
            <v>7214906.0704269689</v>
          </cell>
          <cell r="AN304">
            <v>-1665447.19</v>
          </cell>
          <cell r="AO304">
            <v>13395376.718890127</v>
          </cell>
          <cell r="AP304">
            <v>0</v>
          </cell>
          <cell r="AQ304">
            <v>-609710.81000000006</v>
          </cell>
          <cell r="AR304">
            <v>0</v>
          </cell>
          <cell r="AS304">
            <v>0</v>
          </cell>
          <cell r="AT304">
            <v>80317094.789317101</v>
          </cell>
          <cell r="AU304">
            <v>1.8694892888119446E-3</v>
          </cell>
          <cell r="AV304">
            <v>0</v>
          </cell>
          <cell r="AW304">
            <v>0</v>
          </cell>
          <cell r="AY304">
            <v>0</v>
          </cell>
          <cell r="AZ304">
            <v>0</v>
          </cell>
          <cell r="BA304">
            <v>0</v>
          </cell>
          <cell r="BB304">
            <v>0</v>
          </cell>
          <cell r="BC304">
            <v>0</v>
          </cell>
          <cell r="BD304">
            <v>0</v>
          </cell>
          <cell r="BE304">
            <v>0</v>
          </cell>
          <cell r="BF304">
            <v>0</v>
          </cell>
          <cell r="BG304">
            <v>0</v>
          </cell>
          <cell r="BH304">
            <v>0</v>
          </cell>
          <cell r="BJ304">
            <v>0</v>
          </cell>
          <cell r="BL304">
            <v>0</v>
          </cell>
          <cell r="BM304">
            <v>0</v>
          </cell>
          <cell r="BN304">
            <v>0</v>
          </cell>
          <cell r="BO304">
            <v>0</v>
          </cell>
          <cell r="BQ304">
            <v>0</v>
          </cell>
          <cell r="BR304">
            <v>0</v>
          </cell>
          <cell r="BS304">
            <v>0</v>
          </cell>
          <cell r="BT304">
            <v>0</v>
          </cell>
          <cell r="CB304">
            <v>0</v>
          </cell>
          <cell r="CC304">
            <v>0</v>
          </cell>
          <cell r="CD304">
            <v>0</v>
          </cell>
          <cell r="CE304">
            <v>0</v>
          </cell>
          <cell r="CF304">
            <v>0</v>
          </cell>
          <cell r="CI304">
            <v>0</v>
          </cell>
          <cell r="CJ304">
            <v>0</v>
          </cell>
          <cell r="CK304">
            <v>0</v>
          </cell>
          <cell r="CV304">
            <v>1.846225728420556E-3</v>
          </cell>
          <cell r="DG304">
            <v>80317095</v>
          </cell>
          <cell r="DR304">
            <v>28981653.340000022</v>
          </cell>
          <cell r="EC304">
            <v>2.7713082500075181</v>
          </cell>
          <cell r="EN304">
            <v>2.4095909012463064E-2</v>
          </cell>
        </row>
        <row r="305">
          <cell r="B305">
            <v>40000</v>
          </cell>
          <cell r="C305" t="str">
            <v>Consolidated Judicial Retirement System</v>
          </cell>
          <cell r="D305">
            <v>2.9913793283444551E-3</v>
          </cell>
          <cell r="E305">
            <v>5175783.7349625183</v>
          </cell>
          <cell r="F305">
            <v>4035677.2760795662</v>
          </cell>
          <cell r="G305">
            <v>2662046</v>
          </cell>
          <cell r="H305">
            <v>-1444227.5747217208</v>
          </cell>
          <cell r="I305">
            <v>-59764.862007678144</v>
          </cell>
          <cell r="J305">
            <v>4367637.3732990632</v>
          </cell>
          <cell r="K305">
            <v>0</v>
          </cell>
          <cell r="L305">
            <v>-229482.91824896191</v>
          </cell>
          <cell r="M305">
            <v>41182.354097288146</v>
          </cell>
          <cell r="N305">
            <v>1552.4660438242054</v>
          </cell>
          <cell r="O305">
            <v>-700.61095249155483</v>
          </cell>
          <cell r="P305">
            <v>0</v>
          </cell>
          <cell r="Q305">
            <v>0</v>
          </cell>
          <cell r="R305">
            <v>0</v>
          </cell>
          <cell r="S305">
            <v>14549703.238551408</v>
          </cell>
          <cell r="T305">
            <v>13310230.6</v>
          </cell>
          <cell r="U305">
            <v>21838186.866495319</v>
          </cell>
          <cell r="V305">
            <v>164729.41638915258</v>
          </cell>
          <cell r="W305">
            <v>0</v>
          </cell>
          <cell r="X305">
            <v>35313146.882884473</v>
          </cell>
          <cell r="Y305">
            <v>0</v>
          </cell>
          <cell r="Z305">
            <v>0</v>
          </cell>
          <cell r="AA305">
            <v>0</v>
          </cell>
          <cell r="AB305">
            <v>298824.31003839074</v>
          </cell>
          <cell r="AC305">
            <v>298824.31003839074</v>
          </cell>
          <cell r="AD305" t="str">
            <v>N/A</v>
          </cell>
          <cell r="AE305">
            <v>7011102</v>
          </cell>
          <cell r="AF305">
            <v>7011101</v>
          </cell>
          <cell r="AG305">
            <v>7011101</v>
          </cell>
          <cell r="AH305">
            <v>7011101</v>
          </cell>
          <cell r="AI305">
            <v>6969919</v>
          </cell>
          <cell r="AJ305">
            <v>0</v>
          </cell>
          <cell r="AK305">
            <v>35014324</v>
          </cell>
          <cell r="AL305">
            <v>84441199</v>
          </cell>
          <cell r="AM305">
            <v>14549703.238551408</v>
          </cell>
          <cell r="AN305">
            <v>-3870056.6</v>
          </cell>
          <cell r="AO305">
            <v>21704091.97284608</v>
          </cell>
          <cell r="AP305">
            <v>0</v>
          </cell>
          <cell r="AQ305">
            <v>13310230.6</v>
          </cell>
          <cell r="AR305">
            <v>0</v>
          </cell>
          <cell r="AS305">
            <v>0</v>
          </cell>
          <cell r="AT305">
            <v>130135168.21139748</v>
          </cell>
          <cell r="AU305">
            <v>2.5469006112273148E-3</v>
          </cell>
          <cell r="AV305">
            <v>0</v>
          </cell>
          <cell r="AW305">
            <v>0</v>
          </cell>
          <cell r="AY305">
            <v>0</v>
          </cell>
          <cell r="AZ305">
            <v>0</v>
          </cell>
          <cell r="BA305">
            <v>0</v>
          </cell>
          <cell r="BB305">
            <v>0</v>
          </cell>
          <cell r="BC305">
            <v>0</v>
          </cell>
          <cell r="BD305">
            <v>0</v>
          </cell>
          <cell r="BE305">
            <v>0</v>
          </cell>
          <cell r="BF305">
            <v>0</v>
          </cell>
          <cell r="BG305">
            <v>0</v>
          </cell>
          <cell r="BH305">
            <v>0</v>
          </cell>
          <cell r="BJ305">
            <v>0</v>
          </cell>
          <cell r="BL305">
            <v>0</v>
          </cell>
          <cell r="BM305">
            <v>0</v>
          </cell>
          <cell r="BN305">
            <v>0</v>
          </cell>
          <cell r="BO305">
            <v>0</v>
          </cell>
          <cell r="BQ305">
            <v>0</v>
          </cell>
          <cell r="BR305">
            <v>0</v>
          </cell>
          <cell r="BS305">
            <v>0</v>
          </cell>
          <cell r="BT305">
            <v>0</v>
          </cell>
          <cell r="CB305">
            <v>0</v>
          </cell>
          <cell r="CC305">
            <v>0</v>
          </cell>
          <cell r="CD305">
            <v>0</v>
          </cell>
          <cell r="CE305">
            <v>0</v>
          </cell>
          <cell r="CF305">
            <v>0</v>
          </cell>
          <cell r="CI305">
            <v>0</v>
          </cell>
          <cell r="CJ305">
            <v>0</v>
          </cell>
          <cell r="CK305">
            <v>0</v>
          </cell>
          <cell r="CV305">
            <v>2.9913793283444551E-3</v>
          </cell>
          <cell r="DG305">
            <v>130135168</v>
          </cell>
          <cell r="DR305">
            <v>68245416.099999994</v>
          </cell>
          <cell r="EC305">
            <v>1.9068704601245741</v>
          </cell>
          <cell r="EN305">
            <v>2.4095909012463064E-2</v>
          </cell>
        </row>
        <row r="306">
          <cell r="B306">
            <v>51000</v>
          </cell>
          <cell r="C306" t="str">
            <v>Highway - Administrative</v>
          </cell>
          <cell r="D306">
            <v>2.8162352744387824E-2</v>
          </cell>
          <cell r="E306">
            <v>48727436.835417993</v>
          </cell>
          <cell r="F306">
            <v>37993899.982709162</v>
          </cell>
          <cell r="G306">
            <v>-12216545</v>
          </cell>
          <cell r="H306">
            <v>-13596686.323628087</v>
          </cell>
          <cell r="I306">
            <v>-562656.53427223396</v>
          </cell>
          <cell r="J306">
            <v>41119139.656051002</v>
          </cell>
          <cell r="K306">
            <v>0</v>
          </cell>
          <cell r="L306">
            <v>-2160467.8588574491</v>
          </cell>
          <cell r="M306">
            <v>387711.43864726363</v>
          </cell>
          <cell r="N306">
            <v>14615.697827282393</v>
          </cell>
          <cell r="O306">
            <v>-6595.9046362630725</v>
          </cell>
          <cell r="P306">
            <v>0</v>
          </cell>
          <cell r="Q306">
            <v>0</v>
          </cell>
          <cell r="R306">
            <v>0</v>
          </cell>
          <cell r="S306">
            <v>99699851.989258677</v>
          </cell>
          <cell r="T306">
            <v>2821902.9046994597</v>
          </cell>
          <cell r="U306">
            <v>205595698.28025502</v>
          </cell>
          <cell r="V306">
            <v>1550845.7545890545</v>
          </cell>
          <cell r="W306">
            <v>0</v>
          </cell>
          <cell r="X306">
            <v>209968446.93954352</v>
          </cell>
          <cell r="Y306">
            <v>63904622</v>
          </cell>
          <cell r="Z306">
            <v>0</v>
          </cell>
          <cell r="AA306">
            <v>0</v>
          </cell>
          <cell r="AB306">
            <v>2813282.6713611698</v>
          </cell>
          <cell r="AC306">
            <v>66717904.671361171</v>
          </cell>
          <cell r="AD306" t="str">
            <v>N/A</v>
          </cell>
          <cell r="AE306">
            <v>28727652</v>
          </cell>
          <cell r="AF306">
            <v>28727650</v>
          </cell>
          <cell r="AG306">
            <v>28727650</v>
          </cell>
          <cell r="AH306">
            <v>28727650</v>
          </cell>
          <cell r="AI306">
            <v>28339938</v>
          </cell>
          <cell r="AJ306">
            <v>0</v>
          </cell>
          <cell r="AK306">
            <v>143250540</v>
          </cell>
          <cell r="AL306">
            <v>1010394077</v>
          </cell>
          <cell r="AM306">
            <v>99699851.989258677</v>
          </cell>
          <cell r="AN306">
            <v>-28186402.90469946</v>
          </cell>
          <cell r="AO306">
            <v>204333261.36348292</v>
          </cell>
          <cell r="AP306">
            <v>0</v>
          </cell>
          <cell r="AQ306">
            <v>-61082719.09530054</v>
          </cell>
          <cell r="AR306">
            <v>0</v>
          </cell>
          <cell r="AS306">
            <v>0</v>
          </cell>
          <cell r="AT306">
            <v>1225158068.3527417</v>
          </cell>
          <cell r="AU306">
            <v>3.0475328768949837E-2</v>
          </cell>
          <cell r="AV306">
            <v>0</v>
          </cell>
          <cell r="AW306">
            <v>0</v>
          </cell>
          <cell r="AY306">
            <v>0</v>
          </cell>
          <cell r="AZ306">
            <v>0</v>
          </cell>
          <cell r="BA306">
            <v>0</v>
          </cell>
          <cell r="BB306">
            <v>0</v>
          </cell>
          <cell r="BC306">
            <v>0</v>
          </cell>
          <cell r="BD306">
            <v>0</v>
          </cell>
          <cell r="BE306">
            <v>0</v>
          </cell>
          <cell r="BF306">
            <v>0</v>
          </cell>
          <cell r="BG306">
            <v>0</v>
          </cell>
          <cell r="BH306">
            <v>0</v>
          </cell>
          <cell r="BJ306">
            <v>0</v>
          </cell>
          <cell r="BL306">
            <v>0</v>
          </cell>
          <cell r="BM306">
            <v>0</v>
          </cell>
          <cell r="BN306">
            <v>0</v>
          </cell>
          <cell r="BO306">
            <v>0</v>
          </cell>
          <cell r="BQ306">
            <v>0</v>
          </cell>
          <cell r="BR306">
            <v>0</v>
          </cell>
          <cell r="BS306">
            <v>0</v>
          </cell>
          <cell r="BT306">
            <v>0</v>
          </cell>
          <cell r="CB306">
            <v>0</v>
          </cell>
          <cell r="CC306">
            <v>0</v>
          </cell>
          <cell r="CD306">
            <v>0</v>
          </cell>
          <cell r="CE306">
            <v>0</v>
          </cell>
          <cell r="CF306">
            <v>0</v>
          </cell>
          <cell r="CI306">
            <v>0</v>
          </cell>
          <cell r="CJ306">
            <v>0</v>
          </cell>
          <cell r="CK306">
            <v>0</v>
          </cell>
          <cell r="CV306">
            <v>2.8162352744387824E-2</v>
          </cell>
          <cell r="DG306">
            <v>1225158068</v>
          </cell>
          <cell r="DR306">
            <v>517068074.63000035</v>
          </cell>
          <cell r="EC306">
            <v>2.3694328234762692</v>
          </cell>
          <cell r="EN306">
            <v>2.4095909012463064E-2</v>
          </cell>
        </row>
        <row r="307">
          <cell r="B307">
            <v>60000</v>
          </cell>
          <cell r="C307" t="str">
            <v>Legislative Retirement System</v>
          </cell>
          <cell r="D307">
            <v>1.4349776773514539E-4</v>
          </cell>
          <cell r="E307">
            <v>248284.59741280656</v>
          </cell>
          <cell r="F307">
            <v>193593.1945940711</v>
          </cell>
          <cell r="G307">
            <v>12377</v>
          </cell>
          <cell r="H307">
            <v>-69280.225048826003</v>
          </cell>
          <cell r="I307">
            <v>-2866.946430310185</v>
          </cell>
          <cell r="J307">
            <v>209517.46487192417</v>
          </cell>
          <cell r="K307">
            <v>0</v>
          </cell>
          <cell r="L307">
            <v>-11008.395421485307</v>
          </cell>
          <cell r="M307">
            <v>1975.5354418089648</v>
          </cell>
          <cell r="N307">
            <v>74.472471499185758</v>
          </cell>
          <cell r="O307">
            <v>-33.608612181248404</v>
          </cell>
          <cell r="P307">
            <v>0</v>
          </cell>
          <cell r="Q307">
            <v>0</v>
          </cell>
          <cell r="R307">
            <v>0</v>
          </cell>
          <cell r="S307">
            <v>582633.08927930729</v>
          </cell>
          <cell r="T307">
            <v>63430.98000000001</v>
          </cell>
          <cell r="U307">
            <v>1047587.3243596209</v>
          </cell>
          <cell r="V307">
            <v>7902.1417672358593</v>
          </cell>
          <cell r="W307">
            <v>0</v>
          </cell>
          <cell r="X307">
            <v>1118920.4461268568</v>
          </cell>
          <cell r="Y307">
            <v>1544</v>
          </cell>
          <cell r="Z307">
            <v>0</v>
          </cell>
          <cell r="AA307">
            <v>0</v>
          </cell>
          <cell r="AB307">
            <v>14334.732151550923</v>
          </cell>
          <cell r="AC307">
            <v>15878.732151550923</v>
          </cell>
          <cell r="AD307" t="str">
            <v>N/A</v>
          </cell>
          <cell r="AE307">
            <v>221003</v>
          </cell>
          <cell r="AF307">
            <v>221003</v>
          </cell>
          <cell r="AG307">
            <v>221003</v>
          </cell>
          <cell r="AH307">
            <v>221003</v>
          </cell>
          <cell r="AI307">
            <v>219028</v>
          </cell>
          <cell r="AJ307">
            <v>0</v>
          </cell>
          <cell r="AK307">
            <v>1103040</v>
          </cell>
          <cell r="AL307">
            <v>4759449</v>
          </cell>
          <cell r="AM307">
            <v>582633.08927930729</v>
          </cell>
          <cell r="AN307">
            <v>-202482.98</v>
          </cell>
          <cell r="AO307">
            <v>1041154.7339753059</v>
          </cell>
          <cell r="AP307">
            <v>0</v>
          </cell>
          <cell r="AQ307">
            <v>61886.98000000001</v>
          </cell>
          <cell r="AR307">
            <v>0</v>
          </cell>
          <cell r="AS307">
            <v>0</v>
          </cell>
          <cell r="AT307">
            <v>6242640.8232546132</v>
          </cell>
          <cell r="AU307">
            <v>1.4355367967159498E-4</v>
          </cell>
          <cell r="AV307">
            <v>0</v>
          </cell>
          <cell r="AW307">
            <v>0</v>
          </cell>
          <cell r="AY307">
            <v>0</v>
          </cell>
          <cell r="AZ307">
            <v>0</v>
          </cell>
          <cell r="BA307">
            <v>0</v>
          </cell>
          <cell r="BB307">
            <v>0</v>
          </cell>
          <cell r="BC307">
            <v>0</v>
          </cell>
          <cell r="BD307">
            <v>0</v>
          </cell>
          <cell r="BE307">
            <v>0</v>
          </cell>
          <cell r="BF307">
            <v>0</v>
          </cell>
          <cell r="BG307">
            <v>0</v>
          </cell>
          <cell r="BH307">
            <v>0</v>
          </cell>
          <cell r="BJ307">
            <v>0</v>
          </cell>
          <cell r="BL307">
            <v>0</v>
          </cell>
          <cell r="BM307">
            <v>0</v>
          </cell>
          <cell r="BN307">
            <v>0</v>
          </cell>
          <cell r="BO307">
            <v>0</v>
          </cell>
          <cell r="BQ307">
            <v>0</v>
          </cell>
          <cell r="BR307">
            <v>0</v>
          </cell>
          <cell r="BS307">
            <v>0</v>
          </cell>
          <cell r="BT307">
            <v>0</v>
          </cell>
          <cell r="CB307">
            <v>0</v>
          </cell>
          <cell r="CC307">
            <v>0</v>
          </cell>
          <cell r="CD307">
            <v>0</v>
          </cell>
          <cell r="CE307">
            <v>0</v>
          </cell>
          <cell r="CF307">
            <v>0</v>
          </cell>
          <cell r="CI307">
            <v>0</v>
          </cell>
          <cell r="CJ307">
            <v>0</v>
          </cell>
          <cell r="CK307">
            <v>0</v>
          </cell>
          <cell r="CV307">
            <v>1.4349776773514539E-4</v>
          </cell>
          <cell r="DG307">
            <v>6242641</v>
          </cell>
          <cell r="DR307">
            <v>3577761.2099999958</v>
          </cell>
          <cell r="EC307">
            <v>1.7448456265196097</v>
          </cell>
          <cell r="EN307">
            <v>2.4095909012463064E-2</v>
          </cell>
        </row>
        <row r="308">
          <cell r="B308">
            <v>90901</v>
          </cell>
          <cell r="C308" t="str">
            <v>BLADEN COUNTY</v>
          </cell>
          <cell r="D308">
            <v>7.1481501490372695E-4</v>
          </cell>
          <cell r="E308">
            <v>1236796.6484856578</v>
          </cell>
          <cell r="F308">
            <v>964358.71068347129</v>
          </cell>
          <cell r="G308">
            <v>-467132</v>
          </cell>
          <cell r="H308">
            <v>-345110.21239169477</v>
          </cell>
          <cell r="I308">
            <v>-14281.311742025373</v>
          </cell>
          <cell r="J308">
            <v>1043683.3418303755</v>
          </cell>
          <cell r="K308">
            <v>0</v>
          </cell>
          <cell r="L308">
            <v>-54836.855384391296</v>
          </cell>
          <cell r="M308">
            <v>9840.8666459949036</v>
          </cell>
          <cell r="N308">
            <v>370.97469643473619</v>
          </cell>
          <cell r="O308">
            <v>-167.4168246406019</v>
          </cell>
          <cell r="P308">
            <v>0</v>
          </cell>
          <cell r="Q308">
            <v>0</v>
          </cell>
          <cell r="R308">
            <v>0</v>
          </cell>
          <cell r="S308">
            <v>2373522.7459991821</v>
          </cell>
          <cell r="T308">
            <v>91297.75</v>
          </cell>
          <cell r="U308">
            <v>5218416.7091518771</v>
          </cell>
          <cell r="V308">
            <v>39363.466583979614</v>
          </cell>
          <cell r="W308">
            <v>0</v>
          </cell>
          <cell r="X308">
            <v>5349077.9257358564</v>
          </cell>
          <cell r="Y308">
            <v>2426962</v>
          </cell>
          <cell r="Z308">
            <v>0</v>
          </cell>
          <cell r="AA308">
            <v>0</v>
          </cell>
          <cell r="AB308">
            <v>71406.558710126861</v>
          </cell>
          <cell r="AC308">
            <v>2498368.5587101267</v>
          </cell>
          <cell r="AD308" t="str">
            <v>N/A</v>
          </cell>
          <cell r="AE308">
            <v>572111</v>
          </cell>
          <cell r="AF308">
            <v>572109</v>
          </cell>
          <cell r="AG308">
            <v>572109</v>
          </cell>
          <cell r="AH308">
            <v>572109</v>
          </cell>
          <cell r="AI308">
            <v>562268</v>
          </cell>
          <cell r="AJ308">
            <v>0</v>
          </cell>
          <cell r="AK308">
            <v>2850706</v>
          </cell>
          <cell r="AL308">
            <v>26611683</v>
          </cell>
          <cell r="AM308">
            <v>2373522.7459991821</v>
          </cell>
          <cell r="AN308">
            <v>-739032.75</v>
          </cell>
          <cell r="AO308">
            <v>5186373.6170257302</v>
          </cell>
          <cell r="AP308">
            <v>0</v>
          </cell>
          <cell r="AQ308">
            <v>-2335664.25</v>
          </cell>
          <cell r="AR308">
            <v>0</v>
          </cell>
          <cell r="AS308">
            <v>0</v>
          </cell>
          <cell r="AT308">
            <v>31096882.363024913</v>
          </cell>
          <cell r="AU308">
            <v>8.026569065903307E-4</v>
          </cell>
          <cell r="AV308">
            <v>0</v>
          </cell>
          <cell r="AW308">
            <v>0</v>
          </cell>
          <cell r="AY308">
            <v>0</v>
          </cell>
          <cell r="AZ308">
            <v>0</v>
          </cell>
          <cell r="BA308">
            <v>0</v>
          </cell>
          <cell r="BB308">
            <v>0</v>
          </cell>
          <cell r="BC308">
            <v>0</v>
          </cell>
          <cell r="BD308">
            <v>0</v>
          </cell>
          <cell r="BE308">
            <v>0</v>
          </cell>
          <cell r="BF308">
            <v>0</v>
          </cell>
          <cell r="BG308">
            <v>0</v>
          </cell>
          <cell r="BH308">
            <v>0</v>
          </cell>
          <cell r="BJ308">
            <v>0</v>
          </cell>
          <cell r="BL308">
            <v>0</v>
          </cell>
          <cell r="BM308">
            <v>0</v>
          </cell>
          <cell r="BN308">
            <v>0</v>
          </cell>
          <cell r="BO308">
            <v>0</v>
          </cell>
          <cell r="BQ308">
            <v>0</v>
          </cell>
          <cell r="BR308">
            <v>0</v>
          </cell>
          <cell r="BS308">
            <v>0</v>
          </cell>
          <cell r="BT308">
            <v>0</v>
          </cell>
          <cell r="CB308">
            <v>0</v>
          </cell>
          <cell r="CC308">
            <v>0</v>
          </cell>
          <cell r="CD308">
            <v>0</v>
          </cell>
          <cell r="CE308">
            <v>0</v>
          </cell>
          <cell r="CF308">
            <v>0</v>
          </cell>
          <cell r="CI308">
            <v>0</v>
          </cell>
          <cell r="CJ308">
            <v>0</v>
          </cell>
          <cell r="CK308">
            <v>0</v>
          </cell>
          <cell r="CV308">
            <v>7.1481501490372695E-4</v>
          </cell>
          <cell r="DG308">
            <v>31096883</v>
          </cell>
          <cell r="DR308">
            <v>11590746.199999994</v>
          </cell>
          <cell r="EC308">
            <v>2.6829060410277998</v>
          </cell>
          <cell r="EN308">
            <v>2.4095909012463064E-2</v>
          </cell>
        </row>
        <row r="309">
          <cell r="B309">
            <v>91041</v>
          </cell>
          <cell r="C309" t="str">
            <v>TOWN OF SUNSET BEACH</v>
          </cell>
          <cell r="D309">
            <v>1.2964012648099919E-4</v>
          </cell>
          <cell r="E309">
            <v>224307.64687078004</v>
          </cell>
          <cell r="F309">
            <v>174897.81638525944</v>
          </cell>
          <cell r="G309">
            <v>-87207</v>
          </cell>
          <cell r="H309">
            <v>-62589.803867465656</v>
          </cell>
          <cell r="I309">
            <v>-2590.0841783522183</v>
          </cell>
          <cell r="J309">
            <v>189284.27302163589</v>
          </cell>
          <cell r="K309">
            <v>0</v>
          </cell>
          <cell r="L309">
            <v>-9945.3099328225708</v>
          </cell>
          <cell r="M309">
            <v>1784.7571330622504</v>
          </cell>
          <cell r="N309">
            <v>67.280632841108954</v>
          </cell>
          <cell r="O309">
            <v>-30.363014023114822</v>
          </cell>
          <cell r="P309">
            <v>0</v>
          </cell>
          <cell r="Q309">
            <v>0</v>
          </cell>
          <cell r="R309">
            <v>0</v>
          </cell>
          <cell r="S309">
            <v>427979.21305091516</v>
          </cell>
          <cell r="T309">
            <v>3981.75</v>
          </cell>
          <cell r="U309">
            <v>946421.36510817951</v>
          </cell>
          <cell r="V309">
            <v>7139.0285322490017</v>
          </cell>
          <cell r="W309">
            <v>0</v>
          </cell>
          <cell r="X309">
            <v>957542.14364042855</v>
          </cell>
          <cell r="Y309">
            <v>440012</v>
          </cell>
          <cell r="Z309">
            <v>0</v>
          </cell>
          <cell r="AA309">
            <v>0</v>
          </cell>
          <cell r="AB309">
            <v>12950.42089176109</v>
          </cell>
          <cell r="AC309">
            <v>452962.42089176108</v>
          </cell>
          <cell r="AD309" t="str">
            <v>N/A</v>
          </cell>
          <cell r="AE309">
            <v>101273</v>
          </cell>
          <cell r="AF309">
            <v>101272</v>
          </cell>
          <cell r="AG309">
            <v>101272</v>
          </cell>
          <cell r="AH309">
            <v>101272</v>
          </cell>
          <cell r="AI309">
            <v>99487</v>
          </cell>
          <cell r="AJ309">
            <v>0</v>
          </cell>
          <cell r="AK309">
            <v>504576</v>
          </cell>
          <cell r="AL309">
            <v>4826168</v>
          </cell>
          <cell r="AM309">
            <v>427979.21305091516</v>
          </cell>
          <cell r="AN309">
            <v>-118940.75</v>
          </cell>
          <cell r="AO309">
            <v>940609.97274866747</v>
          </cell>
          <cell r="AP309">
            <v>0</v>
          </cell>
          <cell r="AQ309">
            <v>-436030.25</v>
          </cell>
          <cell r="AR309">
            <v>0</v>
          </cell>
          <cell r="AS309">
            <v>0</v>
          </cell>
          <cell r="AT309">
            <v>5639786.1857995819</v>
          </cell>
          <cell r="AU309">
            <v>1.4556603085170817E-4</v>
          </cell>
          <cell r="AV309">
            <v>0</v>
          </cell>
          <cell r="AW309">
            <v>0</v>
          </cell>
          <cell r="AY309">
            <v>0</v>
          </cell>
          <cell r="AZ309">
            <v>0</v>
          </cell>
          <cell r="BA309">
            <v>0</v>
          </cell>
          <cell r="BB309">
            <v>0</v>
          </cell>
          <cell r="BC309">
            <v>0</v>
          </cell>
          <cell r="BD309">
            <v>0</v>
          </cell>
          <cell r="BE309">
            <v>0</v>
          </cell>
          <cell r="BF309">
            <v>0</v>
          </cell>
          <cell r="BG309">
            <v>0</v>
          </cell>
          <cell r="BH309">
            <v>0</v>
          </cell>
          <cell r="BJ309">
            <v>0</v>
          </cell>
          <cell r="BL309">
            <v>0</v>
          </cell>
          <cell r="BM309">
            <v>0</v>
          </cell>
          <cell r="BN309">
            <v>0</v>
          </cell>
          <cell r="BO309">
            <v>0</v>
          </cell>
          <cell r="BQ309">
            <v>0</v>
          </cell>
          <cell r="BR309">
            <v>0</v>
          </cell>
          <cell r="BS309">
            <v>0</v>
          </cell>
          <cell r="BT309">
            <v>0</v>
          </cell>
          <cell r="CB309">
            <v>0</v>
          </cell>
          <cell r="CC309">
            <v>0</v>
          </cell>
          <cell r="CD309">
            <v>0</v>
          </cell>
          <cell r="CE309">
            <v>0</v>
          </cell>
          <cell r="CF309">
            <v>0</v>
          </cell>
          <cell r="CI309">
            <v>0</v>
          </cell>
          <cell r="CJ309">
            <v>0</v>
          </cell>
          <cell r="CK309">
            <v>0</v>
          </cell>
          <cell r="CV309">
            <v>1.2964012648099919E-4</v>
          </cell>
          <cell r="DG309">
            <v>5639786</v>
          </cell>
          <cell r="DR309">
            <v>1903519.8499999999</v>
          </cell>
          <cell r="EC309">
            <v>2.962819641728454</v>
          </cell>
          <cell r="EN309">
            <v>2.4095909012463064E-2</v>
          </cell>
        </row>
        <row r="310">
          <cell r="B310">
            <v>91111</v>
          </cell>
          <cell r="C310" t="str">
            <v>TOWN OF BILTMORE FOREST</v>
          </cell>
          <cell r="D310">
            <v>7.0042831531665577E-5</v>
          </cell>
          <cell r="E310">
            <v>121190.43036676686</v>
          </cell>
          <cell r="F310">
            <v>94494.957856465742</v>
          </cell>
          <cell r="G310">
            <v>-57811</v>
          </cell>
          <cell r="H310">
            <v>-33816.436368036302</v>
          </cell>
          <cell r="I310">
            <v>-1399.3879416937036</v>
          </cell>
          <cell r="J310">
            <v>102267.7685276048</v>
          </cell>
          <cell r="K310">
            <v>0</v>
          </cell>
          <cell r="L310">
            <v>-5373.3183317820121</v>
          </cell>
          <cell r="M310">
            <v>964.28047850091968</v>
          </cell>
          <cell r="N310">
            <v>36.350828708303801</v>
          </cell>
          <cell r="O310">
            <v>-16.404731573031395</v>
          </cell>
          <cell r="P310">
            <v>0</v>
          </cell>
          <cell r="Q310">
            <v>0</v>
          </cell>
          <cell r="R310">
            <v>0</v>
          </cell>
          <cell r="S310">
            <v>220537.24068496152</v>
          </cell>
          <cell r="T310">
            <v>13658.010000000009</v>
          </cell>
          <cell r="U310">
            <v>511338.84263802401</v>
          </cell>
          <cell r="V310">
            <v>3857.1219140036787</v>
          </cell>
          <cell r="W310">
            <v>0</v>
          </cell>
          <cell r="X310">
            <v>528853.97455202765</v>
          </cell>
          <cell r="Y310">
            <v>302714</v>
          </cell>
          <cell r="Z310">
            <v>0</v>
          </cell>
          <cell r="AA310">
            <v>0</v>
          </cell>
          <cell r="AB310">
            <v>6996.9397084685188</v>
          </cell>
          <cell r="AC310">
            <v>309710.9397084685</v>
          </cell>
          <cell r="AD310" t="str">
            <v>N/A</v>
          </cell>
          <cell r="AE310">
            <v>44022</v>
          </cell>
          <cell r="AF310">
            <v>44022</v>
          </cell>
          <cell r="AG310">
            <v>44022</v>
          </cell>
          <cell r="AH310">
            <v>44022</v>
          </cell>
          <cell r="AI310">
            <v>43057</v>
          </cell>
          <cell r="AJ310">
            <v>0</v>
          </cell>
          <cell r="AK310">
            <v>219145</v>
          </cell>
          <cell r="AL310">
            <v>2685492</v>
          </cell>
          <cell r="AM310">
            <v>220537.24068496152</v>
          </cell>
          <cell r="AN310">
            <v>-78071.010000000009</v>
          </cell>
          <cell r="AO310">
            <v>508199.02484355919</v>
          </cell>
          <cell r="AP310">
            <v>0</v>
          </cell>
          <cell r="AQ310">
            <v>-289055.99</v>
          </cell>
          <cell r="AR310">
            <v>0</v>
          </cell>
          <cell r="AS310">
            <v>0</v>
          </cell>
          <cell r="AT310">
            <v>3047101.2655285206</v>
          </cell>
          <cell r="AU310">
            <v>8.0999341284349754E-5</v>
          </cell>
          <cell r="AV310">
            <v>0</v>
          </cell>
          <cell r="AW310">
            <v>0</v>
          </cell>
          <cell r="AY310">
            <v>0</v>
          </cell>
          <cell r="AZ310">
            <v>0</v>
          </cell>
          <cell r="BA310">
            <v>0</v>
          </cell>
          <cell r="BB310">
            <v>0</v>
          </cell>
          <cell r="BC310">
            <v>0</v>
          </cell>
          <cell r="BD310">
            <v>0</v>
          </cell>
          <cell r="BE310">
            <v>0</v>
          </cell>
          <cell r="BF310">
            <v>0</v>
          </cell>
          <cell r="BG310">
            <v>0</v>
          </cell>
          <cell r="BH310">
            <v>0</v>
          </cell>
          <cell r="BJ310">
            <v>0</v>
          </cell>
          <cell r="BL310">
            <v>0</v>
          </cell>
          <cell r="BM310">
            <v>0</v>
          </cell>
          <cell r="BN310">
            <v>0</v>
          </cell>
          <cell r="BO310">
            <v>0</v>
          </cell>
          <cell r="BQ310">
            <v>0</v>
          </cell>
          <cell r="BR310">
            <v>0</v>
          </cell>
          <cell r="BS310">
            <v>0</v>
          </cell>
          <cell r="BT310">
            <v>0</v>
          </cell>
          <cell r="CB310">
            <v>0</v>
          </cell>
          <cell r="CC310">
            <v>0</v>
          </cell>
          <cell r="CD310">
            <v>0</v>
          </cell>
          <cell r="CE310">
            <v>0</v>
          </cell>
          <cell r="CF310">
            <v>0</v>
          </cell>
          <cell r="CI310">
            <v>0</v>
          </cell>
          <cell r="CJ310">
            <v>0</v>
          </cell>
          <cell r="CK310">
            <v>0</v>
          </cell>
          <cell r="CV310">
            <v>7.0042831531665577E-5</v>
          </cell>
          <cell r="DG310">
            <v>3047101</v>
          </cell>
          <cell r="DR310">
            <v>1313182.8800000004</v>
          </cell>
          <cell r="EC310">
            <v>2.3203934854831485</v>
          </cell>
          <cell r="EN310">
            <v>2.4095909012463064E-2</v>
          </cell>
        </row>
        <row r="311">
          <cell r="B311">
            <v>91151</v>
          </cell>
          <cell r="C311" t="str">
            <v>TOWN OF BLACK MOUNTAIN</v>
          </cell>
          <cell r="D311">
            <v>2.0385357774971462E-4</v>
          </cell>
          <cell r="E311">
            <v>352714.22184187663</v>
          </cell>
          <cell r="F311">
            <v>275019.36767990881</v>
          </cell>
          <cell r="G311">
            <v>-29720</v>
          </cell>
          <cell r="H311">
            <v>-98419.80099352845</v>
          </cell>
          <cell r="I311">
            <v>-4072.7970633954606</v>
          </cell>
          <cell r="J311">
            <v>297641.45804709388</v>
          </cell>
          <cell r="K311">
            <v>0</v>
          </cell>
          <cell r="L311">
            <v>-15638.576316359893</v>
          </cell>
          <cell r="M311">
            <v>2806.4545821188176</v>
          </cell>
          <cell r="N311">
            <v>105.7959297805469</v>
          </cell>
          <cell r="O311">
            <v>-47.744546444760658</v>
          </cell>
          <cell r="P311">
            <v>0</v>
          </cell>
          <cell r="Q311">
            <v>0</v>
          </cell>
          <cell r="R311">
            <v>0</v>
          </cell>
          <cell r="S311">
            <v>780388.37916105019</v>
          </cell>
          <cell r="T311">
            <v>847</v>
          </cell>
          <cell r="U311">
            <v>1488207.2902354694</v>
          </cell>
          <cell r="V311">
            <v>11225.81832847527</v>
          </cell>
          <cell r="W311">
            <v>0</v>
          </cell>
          <cell r="X311">
            <v>1500280.1085639447</v>
          </cell>
          <cell r="Y311">
            <v>149444</v>
          </cell>
          <cell r="Z311">
            <v>0</v>
          </cell>
          <cell r="AA311">
            <v>0</v>
          </cell>
          <cell r="AB311">
            <v>20363.985316977301</v>
          </cell>
          <cell r="AC311">
            <v>169807.98531697731</v>
          </cell>
          <cell r="AD311" t="str">
            <v>N/A</v>
          </cell>
          <cell r="AE311">
            <v>266655</v>
          </cell>
          <cell r="AF311">
            <v>266656</v>
          </cell>
          <cell r="AG311">
            <v>266656</v>
          </cell>
          <cell r="AH311">
            <v>266656</v>
          </cell>
          <cell r="AI311">
            <v>263850</v>
          </cell>
          <cell r="AJ311">
            <v>0</v>
          </cell>
          <cell r="AK311">
            <v>1330473</v>
          </cell>
          <cell r="AL311">
            <v>6937995</v>
          </cell>
          <cell r="AM311">
            <v>780388.37916105019</v>
          </cell>
          <cell r="AN311">
            <v>-180532</v>
          </cell>
          <cell r="AO311">
            <v>1479069.1232469673</v>
          </cell>
          <cell r="AP311">
            <v>0</v>
          </cell>
          <cell r="AQ311">
            <v>-148597</v>
          </cell>
          <cell r="AR311">
            <v>0</v>
          </cell>
          <cell r="AS311">
            <v>0</v>
          </cell>
          <cell r="AT311">
            <v>8868323.5024080183</v>
          </cell>
          <cell r="AU311">
            <v>2.0926258018404994E-4</v>
          </cell>
          <cell r="AV311">
            <v>0</v>
          </cell>
          <cell r="AW311">
            <v>0</v>
          </cell>
          <cell r="AY311">
            <v>0</v>
          </cell>
          <cell r="AZ311">
            <v>0</v>
          </cell>
          <cell r="BA311">
            <v>0</v>
          </cell>
          <cell r="BB311">
            <v>0</v>
          </cell>
          <cell r="BC311">
            <v>0</v>
          </cell>
          <cell r="BD311">
            <v>0</v>
          </cell>
          <cell r="BE311">
            <v>0</v>
          </cell>
          <cell r="BF311">
            <v>0</v>
          </cell>
          <cell r="BG311">
            <v>0</v>
          </cell>
          <cell r="BH311">
            <v>0</v>
          </cell>
          <cell r="BJ311">
            <v>0</v>
          </cell>
          <cell r="BL311">
            <v>0</v>
          </cell>
          <cell r="BM311">
            <v>0</v>
          </cell>
          <cell r="BN311">
            <v>0</v>
          </cell>
          <cell r="BO311">
            <v>0</v>
          </cell>
          <cell r="BQ311">
            <v>0</v>
          </cell>
          <cell r="BR311">
            <v>0</v>
          </cell>
          <cell r="BS311">
            <v>0</v>
          </cell>
          <cell r="BT311">
            <v>0</v>
          </cell>
          <cell r="CB311">
            <v>0</v>
          </cell>
          <cell r="CC311">
            <v>0</v>
          </cell>
          <cell r="CD311">
            <v>0</v>
          </cell>
          <cell r="CE311">
            <v>0</v>
          </cell>
          <cell r="CF311">
            <v>0</v>
          </cell>
          <cell r="CI311">
            <v>0</v>
          </cell>
          <cell r="CJ311">
            <v>0</v>
          </cell>
          <cell r="CK311">
            <v>0</v>
          </cell>
          <cell r="CV311">
            <v>2.0385357774971462E-4</v>
          </cell>
          <cell r="DG311">
            <v>8868324</v>
          </cell>
          <cell r="DR311">
            <v>3061219.0699999989</v>
          </cell>
          <cell r="EC311">
            <v>2.8969909690259454</v>
          </cell>
          <cell r="EN311">
            <v>2.4095909012463064E-2</v>
          </cell>
        </row>
        <row r="312">
          <cell r="B312">
            <v>98101</v>
          </cell>
          <cell r="C312" t="str">
            <v>RUTHERFORD COUNTY</v>
          </cell>
          <cell r="D312">
            <v>9.258285831309454E-4</v>
          </cell>
          <cell r="E312">
            <v>1601899.3233414355</v>
          </cell>
          <cell r="F312">
            <v>1249037.6392867353</v>
          </cell>
          <cell r="G312">
            <v>-25372</v>
          </cell>
          <cell r="H312">
            <v>-446986.83197869762</v>
          </cell>
          <cell r="I312">
            <v>-18497.158481137198</v>
          </cell>
          <cell r="J312">
            <v>1351778.9210601943</v>
          </cell>
          <cell r="K312">
            <v>0</v>
          </cell>
          <cell r="L312">
            <v>-71024.708582436971</v>
          </cell>
          <cell r="M312">
            <v>12745.892900513745</v>
          </cell>
          <cell r="N312">
            <v>480.48651807329804</v>
          </cell>
          <cell r="O312">
            <v>-216.83831245509873</v>
          </cell>
          <cell r="P312">
            <v>0</v>
          </cell>
          <cell r="Q312">
            <v>0</v>
          </cell>
          <cell r="R312">
            <v>0</v>
          </cell>
          <cell r="S312">
            <v>3653844.7257522251</v>
          </cell>
          <cell r="T312">
            <v>79010.629999999888</v>
          </cell>
          <cell r="U312">
            <v>6758894.6053009713</v>
          </cell>
          <cell r="V312">
            <v>50983.571602054981</v>
          </cell>
          <cell r="W312">
            <v>0</v>
          </cell>
          <cell r="X312">
            <v>6888888.8069030261</v>
          </cell>
          <cell r="Y312">
            <v>205870</v>
          </cell>
          <cell r="Z312">
            <v>0</v>
          </cell>
          <cell r="AA312">
            <v>0</v>
          </cell>
          <cell r="AB312">
            <v>92485.792405685977</v>
          </cell>
          <cell r="AC312">
            <v>298355.79240568599</v>
          </cell>
          <cell r="AD312" t="str">
            <v>N/A</v>
          </cell>
          <cell r="AE312">
            <v>1320656</v>
          </cell>
          <cell r="AF312">
            <v>1320656</v>
          </cell>
          <cell r="AG312">
            <v>1320656</v>
          </cell>
          <cell r="AH312">
            <v>1320656</v>
          </cell>
          <cell r="AI312">
            <v>1307910</v>
          </cell>
          <cell r="AJ312">
            <v>0</v>
          </cell>
          <cell r="AK312">
            <v>6590534</v>
          </cell>
          <cell r="AL312">
            <v>30942421</v>
          </cell>
          <cell r="AM312">
            <v>3653844.7257522251</v>
          </cell>
          <cell r="AN312">
            <v>-910108.62999999989</v>
          </cell>
          <cell r="AO312">
            <v>6717392.3844973408</v>
          </cell>
          <cell r="AP312">
            <v>0</v>
          </cell>
          <cell r="AQ312">
            <v>-126859.37000000011</v>
          </cell>
          <cell r="AR312">
            <v>0</v>
          </cell>
          <cell r="AS312">
            <v>0</v>
          </cell>
          <cell r="AT312">
            <v>40276690.110249572</v>
          </cell>
          <cell r="AU312">
            <v>9.3327986549368385E-4</v>
          </cell>
          <cell r="AV312">
            <v>0</v>
          </cell>
          <cell r="AW312">
            <v>0</v>
          </cell>
          <cell r="AY312">
            <v>0</v>
          </cell>
          <cell r="AZ312">
            <v>0</v>
          </cell>
          <cell r="BA312">
            <v>0</v>
          </cell>
          <cell r="BB312">
            <v>0</v>
          </cell>
          <cell r="BC312">
            <v>0</v>
          </cell>
          <cell r="BD312">
            <v>0</v>
          </cell>
          <cell r="BE312">
            <v>0</v>
          </cell>
          <cell r="BF312">
            <v>0</v>
          </cell>
          <cell r="BG312">
            <v>0</v>
          </cell>
          <cell r="BH312">
            <v>0</v>
          </cell>
          <cell r="BJ312">
            <v>0</v>
          </cell>
          <cell r="BL312">
            <v>0</v>
          </cell>
          <cell r="BM312">
            <v>0</v>
          </cell>
          <cell r="BN312">
            <v>0</v>
          </cell>
          <cell r="BO312">
            <v>0</v>
          </cell>
          <cell r="BQ312">
            <v>0</v>
          </cell>
          <cell r="BR312">
            <v>0</v>
          </cell>
          <cell r="BS312">
            <v>0</v>
          </cell>
          <cell r="BT312">
            <v>0</v>
          </cell>
          <cell r="CB312">
            <v>0</v>
          </cell>
          <cell r="CC312">
            <v>0</v>
          </cell>
          <cell r="CD312">
            <v>0</v>
          </cell>
          <cell r="CE312">
            <v>0</v>
          </cell>
          <cell r="CF312">
            <v>0</v>
          </cell>
          <cell r="CI312">
            <v>0</v>
          </cell>
          <cell r="CJ312">
            <v>0</v>
          </cell>
          <cell r="CK312">
            <v>0</v>
          </cell>
          <cell r="CV312">
            <v>9.258285831309454E-4</v>
          </cell>
          <cell r="DG312">
            <v>40276690</v>
          </cell>
          <cell r="DR312">
            <v>14678204.360000007</v>
          </cell>
          <cell r="EC312">
            <v>2.7439793732371758</v>
          </cell>
          <cell r="EN312">
            <v>2.4095909012463064E-2</v>
          </cell>
        </row>
        <row r="313">
          <cell r="B313">
            <v>98103</v>
          </cell>
          <cell r="C313" t="str">
            <v>RUTHERFORD POLK MCDOWELL DIST BRD OF HEALTH</v>
          </cell>
          <cell r="D313">
            <v>1.8631247831975222E-4</v>
          </cell>
          <cell r="E313">
            <v>322364.02978742868</v>
          </cell>
          <cell r="F313">
            <v>251354.62690424477</v>
          </cell>
          <cell r="G313">
            <v>-64418</v>
          </cell>
          <cell r="H313">
            <v>-89951.01896791099</v>
          </cell>
          <cell r="I313">
            <v>-3722.3428842944581</v>
          </cell>
          <cell r="J313">
            <v>272030.14198526251</v>
          </cell>
          <cell r="K313">
            <v>0</v>
          </cell>
          <cell r="L313">
            <v>-14292.915253471296</v>
          </cell>
          <cell r="M313">
            <v>2564.9660617109944</v>
          </cell>
          <cell r="N313">
            <v>96.692449998385001</v>
          </cell>
          <cell r="O313">
            <v>-43.636245547269169</v>
          </cell>
          <cell r="P313">
            <v>0</v>
          </cell>
          <cell r="Q313">
            <v>0</v>
          </cell>
          <cell r="R313">
            <v>0</v>
          </cell>
          <cell r="S313">
            <v>675982.54383742122</v>
          </cell>
          <cell r="T313">
            <v>26595.550000000017</v>
          </cell>
          <cell r="U313">
            <v>1360150.7099263126</v>
          </cell>
          <cell r="V313">
            <v>10259.864246843978</v>
          </cell>
          <cell r="W313">
            <v>0</v>
          </cell>
          <cell r="X313">
            <v>1397006.1241731567</v>
          </cell>
          <cell r="Y313">
            <v>348687</v>
          </cell>
          <cell r="Z313">
            <v>0</v>
          </cell>
          <cell r="AA313">
            <v>0</v>
          </cell>
          <cell r="AB313">
            <v>18611.71442147229</v>
          </cell>
          <cell r="AC313">
            <v>367298.71442147228</v>
          </cell>
          <cell r="AD313" t="str">
            <v>N/A</v>
          </cell>
          <cell r="AE313">
            <v>206455</v>
          </cell>
          <cell r="AF313">
            <v>206454</v>
          </cell>
          <cell r="AG313">
            <v>206454</v>
          </cell>
          <cell r="AH313">
            <v>206454</v>
          </cell>
          <cell r="AI313">
            <v>203889</v>
          </cell>
          <cell r="AJ313">
            <v>0</v>
          </cell>
          <cell r="AK313">
            <v>1029706</v>
          </cell>
          <cell r="AL313">
            <v>6595520</v>
          </cell>
          <cell r="AM313">
            <v>675982.54383742122</v>
          </cell>
          <cell r="AN313">
            <v>-195983.55000000002</v>
          </cell>
          <cell r="AO313">
            <v>1351798.8597516841</v>
          </cell>
          <cell r="AP313">
            <v>0</v>
          </cell>
          <cell r="AQ313">
            <v>-322091.44999999995</v>
          </cell>
          <cell r="AR313">
            <v>0</v>
          </cell>
          <cell r="AS313">
            <v>0</v>
          </cell>
          <cell r="AT313">
            <v>8105226.4035891062</v>
          </cell>
          <cell r="AU313">
            <v>1.9893290443215818E-4</v>
          </cell>
          <cell r="AV313">
            <v>0</v>
          </cell>
          <cell r="AW313">
            <v>0</v>
          </cell>
          <cell r="AY313">
            <v>0</v>
          </cell>
          <cell r="AZ313">
            <v>0</v>
          </cell>
          <cell r="BA313">
            <v>0</v>
          </cell>
          <cell r="BB313">
            <v>0</v>
          </cell>
          <cell r="BC313">
            <v>0</v>
          </cell>
          <cell r="BD313">
            <v>0</v>
          </cell>
          <cell r="BE313">
            <v>0</v>
          </cell>
          <cell r="BF313">
            <v>0</v>
          </cell>
          <cell r="BG313">
            <v>0</v>
          </cell>
          <cell r="BH313">
            <v>0</v>
          </cell>
          <cell r="BJ313">
            <v>0</v>
          </cell>
          <cell r="BL313">
            <v>0</v>
          </cell>
          <cell r="BM313">
            <v>0</v>
          </cell>
          <cell r="BN313">
            <v>0</v>
          </cell>
          <cell r="BO313">
            <v>0</v>
          </cell>
          <cell r="BQ313">
            <v>0</v>
          </cell>
          <cell r="BR313">
            <v>0</v>
          </cell>
          <cell r="BS313">
            <v>0</v>
          </cell>
          <cell r="BT313">
            <v>0</v>
          </cell>
          <cell r="CB313">
            <v>0</v>
          </cell>
          <cell r="CC313">
            <v>0</v>
          </cell>
          <cell r="CD313">
            <v>0</v>
          </cell>
          <cell r="CE313">
            <v>0</v>
          </cell>
          <cell r="CF313">
            <v>0</v>
          </cell>
          <cell r="CI313">
            <v>0</v>
          </cell>
          <cell r="CJ313">
            <v>0</v>
          </cell>
          <cell r="CK313">
            <v>0</v>
          </cell>
          <cell r="CV313">
            <v>1.8631247831975222E-4</v>
          </cell>
          <cell r="DG313">
            <v>8105226</v>
          </cell>
          <cell r="DR313">
            <v>3153137.0500000007</v>
          </cell>
          <cell r="EC313">
            <v>2.5705276591133259</v>
          </cell>
          <cell r="EN313">
            <v>2.4095909012463064E-2</v>
          </cell>
        </row>
        <row r="314">
          <cell r="B314">
            <v>98111</v>
          </cell>
          <cell r="C314" t="str">
            <v>TOWN OF FOREST CITY</v>
          </cell>
          <cell r="D314">
            <v>3.5234750822913259E-4</v>
          </cell>
          <cell r="E314">
            <v>609643.34575254563</v>
          </cell>
          <cell r="F314">
            <v>475352.89783209685</v>
          </cell>
          <cell r="G314">
            <v>-36095</v>
          </cell>
          <cell r="H314">
            <v>-170112.15610379644</v>
          </cell>
          <cell r="I314">
            <v>-7039.5619868502799</v>
          </cell>
          <cell r="J314">
            <v>514453.69390249148</v>
          </cell>
          <cell r="K314">
            <v>0</v>
          </cell>
          <cell r="L314">
            <v>-27030.251115267703</v>
          </cell>
          <cell r="M314">
            <v>4850.7722546909345</v>
          </cell>
          <cell r="N314">
            <v>182.86130982075522</v>
          </cell>
          <cell r="O314">
            <v>-82.523309902345147</v>
          </cell>
          <cell r="P314">
            <v>0</v>
          </cell>
          <cell r="Q314">
            <v>0</v>
          </cell>
          <cell r="R314">
            <v>0</v>
          </cell>
          <cell r="S314">
            <v>1364124.0785358292</v>
          </cell>
          <cell r="T314">
            <v>4384.5199999999604</v>
          </cell>
          <cell r="U314">
            <v>2572268.469512457</v>
          </cell>
          <cell r="V314">
            <v>19403.089018763738</v>
          </cell>
          <cell r="W314">
            <v>0</v>
          </cell>
          <cell r="X314">
            <v>2596056.0785312206</v>
          </cell>
          <cell r="Y314">
            <v>184859</v>
          </cell>
          <cell r="Z314">
            <v>0</v>
          </cell>
          <cell r="AA314">
            <v>0</v>
          </cell>
          <cell r="AB314">
            <v>35197.809934251403</v>
          </cell>
          <cell r="AC314">
            <v>220056.80993425142</v>
          </cell>
          <cell r="AD314" t="str">
            <v>N/A</v>
          </cell>
          <cell r="AE314">
            <v>476170</v>
          </cell>
          <cell r="AF314">
            <v>476170</v>
          </cell>
          <cell r="AG314">
            <v>476170</v>
          </cell>
          <cell r="AH314">
            <v>476170</v>
          </cell>
          <cell r="AI314">
            <v>471319</v>
          </cell>
          <cell r="AJ314">
            <v>0</v>
          </cell>
          <cell r="AK314">
            <v>2375999</v>
          </cell>
          <cell r="AL314">
            <v>11903734</v>
          </cell>
          <cell r="AM314">
            <v>1364124.0785358292</v>
          </cell>
          <cell r="AN314">
            <v>-315543.51999999996</v>
          </cell>
          <cell r="AO314">
            <v>2556473.74859697</v>
          </cell>
          <cell r="AP314">
            <v>0</v>
          </cell>
          <cell r="AQ314">
            <v>-180474.48000000004</v>
          </cell>
          <cell r="AR314">
            <v>0</v>
          </cell>
          <cell r="AS314">
            <v>0</v>
          </cell>
          <cell r="AT314">
            <v>15328313.827132799</v>
          </cell>
          <cell r="AU314">
            <v>3.5903834371338485E-4</v>
          </cell>
          <cell r="AV314">
            <v>0</v>
          </cell>
          <cell r="AW314">
            <v>0</v>
          </cell>
          <cell r="AY314">
            <v>0</v>
          </cell>
          <cell r="AZ314">
            <v>0</v>
          </cell>
          <cell r="BA314">
            <v>0</v>
          </cell>
          <cell r="BB314">
            <v>0</v>
          </cell>
          <cell r="BC314">
            <v>0</v>
          </cell>
          <cell r="BD314">
            <v>0</v>
          </cell>
          <cell r="BE314">
            <v>0</v>
          </cell>
          <cell r="BF314">
            <v>0</v>
          </cell>
          <cell r="BG314">
            <v>0</v>
          </cell>
          <cell r="BH314">
            <v>0</v>
          </cell>
          <cell r="BJ314">
            <v>0</v>
          </cell>
          <cell r="BL314">
            <v>0</v>
          </cell>
          <cell r="BM314">
            <v>0</v>
          </cell>
          <cell r="BN314">
            <v>0</v>
          </cell>
          <cell r="BO314">
            <v>0</v>
          </cell>
          <cell r="BQ314">
            <v>0</v>
          </cell>
          <cell r="BR314">
            <v>0</v>
          </cell>
          <cell r="BS314">
            <v>0</v>
          </cell>
          <cell r="BT314">
            <v>0</v>
          </cell>
          <cell r="CB314">
            <v>0</v>
          </cell>
          <cell r="CC314">
            <v>0</v>
          </cell>
          <cell r="CD314">
            <v>0</v>
          </cell>
          <cell r="CE314">
            <v>0</v>
          </cell>
          <cell r="CF314">
            <v>0</v>
          </cell>
          <cell r="CI314">
            <v>0</v>
          </cell>
          <cell r="CJ314">
            <v>0</v>
          </cell>
          <cell r="CK314">
            <v>0</v>
          </cell>
          <cell r="CV314">
            <v>3.5234750822913259E-4</v>
          </cell>
          <cell r="DG314">
            <v>15328314</v>
          </cell>
          <cell r="DR314">
            <v>5413019.1199999982</v>
          </cell>
          <cell r="EC314">
            <v>2.8317494655367121</v>
          </cell>
          <cell r="EN314">
            <v>2.4095909012463064E-2</v>
          </cell>
        </row>
        <row r="315">
          <cell r="B315">
            <v>98131</v>
          </cell>
          <cell r="C315" t="str">
            <v>TOWN OF LAKE LURE</v>
          </cell>
          <cell r="D315">
            <v>9.9225079978338215E-5</v>
          </cell>
          <cell r="E315">
            <v>171682.52457519859</v>
          </cell>
          <cell r="F315">
            <v>133864.80166237435</v>
          </cell>
          <cell r="G315">
            <v>15977</v>
          </cell>
          <cell r="H315">
            <v>-47905.524802831984</v>
          </cell>
          <cell r="I315">
            <v>-1982.421004389369</v>
          </cell>
          <cell r="J315">
            <v>144876.03212857241</v>
          </cell>
          <cell r="K315">
            <v>0</v>
          </cell>
          <cell r="L315">
            <v>-7612.0272347799328</v>
          </cell>
          <cell r="M315">
            <v>1366.0328331750522</v>
          </cell>
          <cell r="N315">
            <v>51.495832007157965</v>
          </cell>
          <cell r="O315">
            <v>-23.239505981726595</v>
          </cell>
          <cell r="P315">
            <v>0</v>
          </cell>
          <cell r="Q315">
            <v>0</v>
          </cell>
          <cell r="R315">
            <v>0</v>
          </cell>
          <cell r="S315">
            <v>410294.67448334448</v>
          </cell>
          <cell r="T315">
            <v>79884.100000000006</v>
          </cell>
          <cell r="U315">
            <v>724380.16064286197</v>
          </cell>
          <cell r="V315">
            <v>5464.131332700209</v>
          </cell>
          <cell r="W315">
            <v>0</v>
          </cell>
          <cell r="X315">
            <v>809728.3919755622</v>
          </cell>
          <cell r="Y315">
            <v>0</v>
          </cell>
          <cell r="Z315">
            <v>0</v>
          </cell>
          <cell r="AA315">
            <v>0</v>
          </cell>
          <cell r="AB315">
            <v>9912.1050219468452</v>
          </cell>
          <cell r="AC315">
            <v>9912.1050219468452</v>
          </cell>
          <cell r="AD315" t="str">
            <v>N/A</v>
          </cell>
          <cell r="AE315">
            <v>160237</v>
          </cell>
          <cell r="AF315">
            <v>160237</v>
          </cell>
          <cell r="AG315">
            <v>160237</v>
          </cell>
          <cell r="AH315">
            <v>160237</v>
          </cell>
          <cell r="AI315">
            <v>158871</v>
          </cell>
          <cell r="AJ315">
            <v>0</v>
          </cell>
          <cell r="AK315">
            <v>799819</v>
          </cell>
          <cell r="AL315">
            <v>3199476</v>
          </cell>
          <cell r="AM315">
            <v>410294.67448334448</v>
          </cell>
          <cell r="AN315">
            <v>-92959.1</v>
          </cell>
          <cell r="AO315">
            <v>719932.1869536154</v>
          </cell>
          <cell r="AP315">
            <v>0</v>
          </cell>
          <cell r="AQ315">
            <v>79884.100000000006</v>
          </cell>
          <cell r="AR315">
            <v>0</v>
          </cell>
          <cell r="AS315">
            <v>0</v>
          </cell>
          <cell r="AT315">
            <v>4316627.8614369594</v>
          </cell>
          <cell r="AU315">
            <v>9.6502026993711769E-5</v>
          </cell>
          <cell r="AV315">
            <v>0</v>
          </cell>
          <cell r="AW315">
            <v>0</v>
          </cell>
          <cell r="AY315">
            <v>0</v>
          </cell>
          <cell r="AZ315">
            <v>0</v>
          </cell>
          <cell r="BA315">
            <v>0</v>
          </cell>
          <cell r="BB315">
            <v>0</v>
          </cell>
          <cell r="BC315">
            <v>0</v>
          </cell>
          <cell r="BD315">
            <v>0</v>
          </cell>
          <cell r="BE315">
            <v>0</v>
          </cell>
          <cell r="BF315">
            <v>0</v>
          </cell>
          <cell r="BG315">
            <v>0</v>
          </cell>
          <cell r="BH315">
            <v>0</v>
          </cell>
          <cell r="BJ315">
            <v>0</v>
          </cell>
          <cell r="BL315">
            <v>0</v>
          </cell>
          <cell r="BM315">
            <v>0</v>
          </cell>
          <cell r="BN315">
            <v>0</v>
          </cell>
          <cell r="BO315">
            <v>0</v>
          </cell>
          <cell r="BQ315">
            <v>0</v>
          </cell>
          <cell r="BR315">
            <v>0</v>
          </cell>
          <cell r="BS315">
            <v>0</v>
          </cell>
          <cell r="BT315">
            <v>0</v>
          </cell>
          <cell r="CB315">
            <v>0</v>
          </cell>
          <cell r="CC315">
            <v>0</v>
          </cell>
          <cell r="CD315">
            <v>0</v>
          </cell>
          <cell r="CE315">
            <v>0</v>
          </cell>
          <cell r="CF315">
            <v>0</v>
          </cell>
          <cell r="CI315">
            <v>0</v>
          </cell>
          <cell r="CJ315">
            <v>0</v>
          </cell>
          <cell r="CK315">
            <v>0</v>
          </cell>
          <cell r="CV315">
            <v>9.9225079978338215E-5</v>
          </cell>
          <cell r="DG315">
            <v>4316628</v>
          </cell>
          <cell r="DR315">
            <v>1643984.0100000002</v>
          </cell>
          <cell r="EC315">
            <v>2.625711669786861</v>
          </cell>
          <cell r="EN315">
            <v>2.4095909012463064E-2</v>
          </cell>
        </row>
        <row r="316">
          <cell r="B316">
            <v>99401</v>
          </cell>
          <cell r="C316" t="str">
            <v>WASHINGTON COUNTY</v>
          </cell>
          <cell r="D316">
            <v>3.0393401755955164E-4</v>
          </cell>
          <cell r="E316">
            <v>525876.71836896474</v>
          </cell>
          <cell r="F316">
            <v>410038.13741384877</v>
          </cell>
          <cell r="G316">
            <v>-33120</v>
          </cell>
          <cell r="H316">
            <v>-146738.29055922237</v>
          </cell>
          <cell r="I316">
            <v>-6072.3073288531441</v>
          </cell>
          <cell r="J316">
            <v>443766.37945302197</v>
          </cell>
          <cell r="K316">
            <v>0</v>
          </cell>
          <cell r="L316">
            <v>-23316.222267036323</v>
          </cell>
          <cell r="M316">
            <v>4184.2631640688924</v>
          </cell>
          <cell r="N316">
            <v>157.73567643305611</v>
          </cell>
          <cell r="O316">
            <v>-71.184386252622588</v>
          </cell>
          <cell r="P316">
            <v>0</v>
          </cell>
          <cell r="Q316">
            <v>0</v>
          </cell>
          <cell r="R316">
            <v>0</v>
          </cell>
          <cell r="S316">
            <v>1174705.2295349727</v>
          </cell>
          <cell r="T316">
            <v>41421.440000000002</v>
          </cell>
          <cell r="U316">
            <v>2218831.8972651102</v>
          </cell>
          <cell r="V316">
            <v>16737.052656275569</v>
          </cell>
          <cell r="W316">
            <v>0</v>
          </cell>
          <cell r="X316">
            <v>2276990.3899213858</v>
          </cell>
          <cell r="Y316">
            <v>207021</v>
          </cell>
          <cell r="Z316">
            <v>0</v>
          </cell>
          <cell r="AA316">
            <v>0</v>
          </cell>
          <cell r="AB316">
            <v>30361.536644265718</v>
          </cell>
          <cell r="AC316">
            <v>237382.53664426573</v>
          </cell>
          <cell r="AD316" t="str">
            <v>N/A</v>
          </cell>
          <cell r="AE316">
            <v>408758</v>
          </cell>
          <cell r="AF316">
            <v>408758</v>
          </cell>
          <cell r="AG316">
            <v>408758</v>
          </cell>
          <cell r="AH316">
            <v>408758</v>
          </cell>
          <cell r="AI316">
            <v>404574</v>
          </cell>
          <cell r="AJ316">
            <v>0</v>
          </cell>
          <cell r="AK316">
            <v>2039606</v>
          </cell>
          <cell r="AL316">
            <v>10325203</v>
          </cell>
          <cell r="AM316">
            <v>1174705.2295349727</v>
          </cell>
          <cell r="AN316">
            <v>-317353.44</v>
          </cell>
          <cell r="AO316">
            <v>2205207.4132771199</v>
          </cell>
          <cell r="AP316">
            <v>0</v>
          </cell>
          <cell r="AQ316">
            <v>-165599.56</v>
          </cell>
          <cell r="AR316">
            <v>0</v>
          </cell>
          <cell r="AS316">
            <v>0</v>
          </cell>
          <cell r="AT316">
            <v>13222162.642812092</v>
          </cell>
          <cell r="AU316">
            <v>3.1142695851709573E-4</v>
          </cell>
          <cell r="AV316">
            <v>0</v>
          </cell>
          <cell r="AW316">
            <v>0</v>
          </cell>
          <cell r="AY316">
            <v>0</v>
          </cell>
          <cell r="AZ316">
            <v>0</v>
          </cell>
          <cell r="BA316">
            <v>0</v>
          </cell>
          <cell r="BB316">
            <v>0</v>
          </cell>
          <cell r="BC316">
            <v>0</v>
          </cell>
          <cell r="BD316">
            <v>0</v>
          </cell>
          <cell r="BE316">
            <v>0</v>
          </cell>
          <cell r="BF316">
            <v>0</v>
          </cell>
          <cell r="BG316">
            <v>0</v>
          </cell>
          <cell r="BH316">
            <v>0</v>
          </cell>
          <cell r="BJ316">
            <v>0</v>
          </cell>
          <cell r="BL316">
            <v>0</v>
          </cell>
          <cell r="BM316">
            <v>0</v>
          </cell>
          <cell r="BN316">
            <v>0</v>
          </cell>
          <cell r="BO316">
            <v>0</v>
          </cell>
          <cell r="BQ316">
            <v>0</v>
          </cell>
          <cell r="BR316">
            <v>0</v>
          </cell>
          <cell r="BS316">
            <v>0</v>
          </cell>
          <cell r="BT316">
            <v>0</v>
          </cell>
          <cell r="CB316">
            <v>0</v>
          </cell>
          <cell r="CC316">
            <v>0</v>
          </cell>
          <cell r="CD316">
            <v>0</v>
          </cell>
          <cell r="CE316">
            <v>0</v>
          </cell>
          <cell r="CF316">
            <v>0</v>
          </cell>
          <cell r="CI316">
            <v>0</v>
          </cell>
          <cell r="CJ316">
            <v>0</v>
          </cell>
          <cell r="CK316">
            <v>0</v>
          </cell>
          <cell r="CV316">
            <v>3.0393401755955164E-4</v>
          </cell>
          <cell r="DG316">
            <v>13222163</v>
          </cell>
          <cell r="DR316">
            <v>5152816.6399999987</v>
          </cell>
          <cell r="EC316">
            <v>2.5660068897774719</v>
          </cell>
          <cell r="EN316">
            <v>2.4095909012463064E-2</v>
          </cell>
        </row>
        <row r="317">
          <cell r="B317">
            <v>99521</v>
          </cell>
          <cell r="C317" t="str">
            <v>TOWN OF BLOWING ROCK</v>
          </cell>
          <cell r="D317">
            <v>1.3525538694290887E-4</v>
          </cell>
          <cell r="E317">
            <v>234023.35677455043</v>
          </cell>
          <cell r="F317">
            <v>182473.37821075972</v>
          </cell>
          <cell r="G317">
            <v>-56873</v>
          </cell>
          <cell r="H317">
            <v>-65300.832161835402</v>
          </cell>
          <cell r="I317">
            <v>-2702.2716443359905</v>
          </cell>
          <cell r="J317">
            <v>197482.97293971636</v>
          </cell>
          <cell r="K317">
            <v>0</v>
          </cell>
          <cell r="L317">
            <v>-10376.083237069548</v>
          </cell>
          <cell r="M317">
            <v>1862.0624893237209</v>
          </cell>
          <cell r="N317">
            <v>70.194840715630846</v>
          </cell>
          <cell r="O317">
            <v>-31.678164175898686</v>
          </cell>
          <cell r="P317">
            <v>0</v>
          </cell>
          <cell r="Q317">
            <v>0</v>
          </cell>
          <cell r="R317">
            <v>0</v>
          </cell>
          <cell r="S317">
            <v>480628.100047649</v>
          </cell>
          <cell r="T317">
            <v>4920.0599999999977</v>
          </cell>
          <cell r="U317">
            <v>987414.86469858186</v>
          </cell>
          <cell r="V317">
            <v>7448.2499572948836</v>
          </cell>
          <cell r="W317">
            <v>0</v>
          </cell>
          <cell r="X317">
            <v>999783.17465587682</v>
          </cell>
          <cell r="Y317">
            <v>289284</v>
          </cell>
          <cell r="Z317">
            <v>0</v>
          </cell>
          <cell r="AA317">
            <v>0</v>
          </cell>
          <cell r="AB317">
            <v>13511.358221679951</v>
          </cell>
          <cell r="AC317">
            <v>302795.35822167993</v>
          </cell>
          <cell r="AD317" t="str">
            <v>N/A</v>
          </cell>
          <cell r="AE317">
            <v>139770</v>
          </cell>
          <cell r="AF317">
            <v>139770</v>
          </cell>
          <cell r="AG317">
            <v>139770</v>
          </cell>
          <cell r="AH317">
            <v>139770</v>
          </cell>
          <cell r="AI317">
            <v>137908</v>
          </cell>
          <cell r="AJ317">
            <v>0</v>
          </cell>
          <cell r="AK317">
            <v>696988</v>
          </cell>
          <cell r="AL317">
            <v>4831465</v>
          </cell>
          <cell r="AM317">
            <v>480628.100047649</v>
          </cell>
          <cell r="AN317">
            <v>-125012.06</v>
          </cell>
          <cell r="AO317">
            <v>981351.75643419684</v>
          </cell>
          <cell r="AP317">
            <v>0</v>
          </cell>
          <cell r="AQ317">
            <v>-284363.94</v>
          </cell>
          <cell r="AR317">
            <v>0</v>
          </cell>
          <cell r="AS317">
            <v>0</v>
          </cell>
          <cell r="AT317">
            <v>5884068.8564818455</v>
          </cell>
          <cell r="AU317">
            <v>1.4572579770305455E-4</v>
          </cell>
          <cell r="AV317">
            <v>0</v>
          </cell>
          <cell r="AW317">
            <v>0</v>
          </cell>
          <cell r="AY317">
            <v>0</v>
          </cell>
          <cell r="AZ317">
            <v>0</v>
          </cell>
          <cell r="BA317">
            <v>0</v>
          </cell>
          <cell r="BB317">
            <v>0</v>
          </cell>
          <cell r="BC317">
            <v>0</v>
          </cell>
          <cell r="BD317">
            <v>0</v>
          </cell>
          <cell r="BE317">
            <v>0</v>
          </cell>
          <cell r="BF317">
            <v>0</v>
          </cell>
          <cell r="BG317">
            <v>0</v>
          </cell>
          <cell r="BH317">
            <v>0</v>
          </cell>
          <cell r="BJ317">
            <v>0</v>
          </cell>
          <cell r="BL317">
            <v>0</v>
          </cell>
          <cell r="BM317">
            <v>0</v>
          </cell>
          <cell r="BN317">
            <v>0</v>
          </cell>
          <cell r="BO317">
            <v>0</v>
          </cell>
          <cell r="BQ317">
            <v>0</v>
          </cell>
          <cell r="BR317">
            <v>0</v>
          </cell>
          <cell r="BS317">
            <v>0</v>
          </cell>
          <cell r="BT317">
            <v>0</v>
          </cell>
          <cell r="CB317">
            <v>0</v>
          </cell>
          <cell r="CC317">
            <v>0</v>
          </cell>
          <cell r="CD317">
            <v>0</v>
          </cell>
          <cell r="CE317">
            <v>0</v>
          </cell>
          <cell r="CF317">
            <v>0</v>
          </cell>
          <cell r="CI317">
            <v>0</v>
          </cell>
          <cell r="CJ317">
            <v>0</v>
          </cell>
          <cell r="CK317">
            <v>0</v>
          </cell>
          <cell r="CV317">
            <v>1.3525538694290887E-4</v>
          </cell>
          <cell r="DG317">
            <v>5884069</v>
          </cell>
          <cell r="DR317">
            <v>1946333.6400000004</v>
          </cell>
          <cell r="EC317">
            <v>3.0231553722721447</v>
          </cell>
          <cell r="EN317">
            <v>2.4095909012463064E-2</v>
          </cell>
        </row>
        <row r="318">
          <cell r="B318">
            <v>99831</v>
          </cell>
          <cell r="C318" t="str">
            <v>TOWN OF BLACK CREEK</v>
          </cell>
          <cell r="D318">
            <v>1.7238230840836887E-5</v>
          </cell>
          <cell r="E318">
            <v>29826.158775694741</v>
          </cell>
          <cell r="F318">
            <v>23256.140010394789</v>
          </cell>
          <cell r="G318">
            <v>3924</v>
          </cell>
          <cell r="H318">
            <v>-8322.5581202145277</v>
          </cell>
          <cell r="I318">
            <v>-344.40315800045761</v>
          </cell>
          <cell r="J318">
            <v>25169.105287514409</v>
          </cell>
          <cell r="K318">
            <v>0</v>
          </cell>
          <cell r="L318">
            <v>-1322.4265746978474</v>
          </cell>
          <cell r="M318">
            <v>237.31892500943033</v>
          </cell>
          <cell r="N318">
            <v>8.9462970417775267</v>
          </cell>
          <cell r="O318">
            <v>-4.0373660452324076</v>
          </cell>
          <cell r="P318">
            <v>0</v>
          </cell>
          <cell r="Q318">
            <v>0</v>
          </cell>
          <cell r="R318">
            <v>0</v>
          </cell>
          <cell r="S318">
            <v>72428.244076697083</v>
          </cell>
          <cell r="T318">
            <v>19617.890000000003</v>
          </cell>
          <cell r="U318">
            <v>125845.52643757204</v>
          </cell>
          <cell r="V318">
            <v>949.27570003772132</v>
          </cell>
          <cell r="W318">
            <v>0</v>
          </cell>
          <cell r="X318">
            <v>146412.69213760976</v>
          </cell>
          <cell r="Y318">
            <v>0</v>
          </cell>
          <cell r="Z318">
            <v>0</v>
          </cell>
          <cell r="AA318">
            <v>0</v>
          </cell>
          <cell r="AB318">
            <v>1722.015790002288</v>
          </cell>
          <cell r="AC318">
            <v>1722.015790002288</v>
          </cell>
          <cell r="AD318" t="str">
            <v>N/A</v>
          </cell>
          <cell r="AE318">
            <v>28986</v>
          </cell>
          <cell r="AF318">
            <v>28986</v>
          </cell>
          <cell r="AG318">
            <v>28986</v>
          </cell>
          <cell r="AH318">
            <v>28986</v>
          </cell>
          <cell r="AI318">
            <v>28749</v>
          </cell>
          <cell r="AJ318">
            <v>0</v>
          </cell>
          <cell r="AK318">
            <v>144693</v>
          </cell>
          <cell r="AL318">
            <v>552369</v>
          </cell>
          <cell r="AM318">
            <v>72428.244076697083</v>
          </cell>
          <cell r="AN318">
            <v>-19565.890000000003</v>
          </cell>
          <cell r="AO318">
            <v>125072.78634760749</v>
          </cell>
          <cell r="AP318">
            <v>0</v>
          </cell>
          <cell r="AQ318">
            <v>19617.890000000003</v>
          </cell>
          <cell r="AR318">
            <v>0</v>
          </cell>
          <cell r="AS318">
            <v>0</v>
          </cell>
          <cell r="AT318">
            <v>749922.03042430454</v>
          </cell>
          <cell r="AU318">
            <v>1.6660467659682047E-5</v>
          </cell>
          <cell r="AV318">
            <v>0</v>
          </cell>
          <cell r="AW318">
            <v>0</v>
          </cell>
          <cell r="AY318">
            <v>0</v>
          </cell>
          <cell r="AZ318">
            <v>0</v>
          </cell>
          <cell r="BA318">
            <v>0</v>
          </cell>
          <cell r="BB318">
            <v>0</v>
          </cell>
          <cell r="BC318">
            <v>0</v>
          </cell>
          <cell r="BD318">
            <v>0</v>
          </cell>
          <cell r="BE318">
            <v>0</v>
          </cell>
          <cell r="BF318">
            <v>0</v>
          </cell>
          <cell r="BG318">
            <v>0</v>
          </cell>
          <cell r="BH318">
            <v>0</v>
          </cell>
          <cell r="BJ318">
            <v>0</v>
          </cell>
          <cell r="BL318">
            <v>0</v>
          </cell>
          <cell r="BM318">
            <v>0</v>
          </cell>
          <cell r="BN318">
            <v>0</v>
          </cell>
          <cell r="BO318">
            <v>0</v>
          </cell>
          <cell r="BQ318">
            <v>0</v>
          </cell>
          <cell r="BR318">
            <v>0</v>
          </cell>
          <cell r="BS318">
            <v>0</v>
          </cell>
          <cell r="BT318">
            <v>0</v>
          </cell>
          <cell r="CB318">
            <v>0</v>
          </cell>
          <cell r="CC318">
            <v>0</v>
          </cell>
          <cell r="CD318">
            <v>0</v>
          </cell>
          <cell r="CE318">
            <v>0</v>
          </cell>
          <cell r="CF318">
            <v>0</v>
          </cell>
          <cell r="CI318">
            <v>0</v>
          </cell>
          <cell r="CJ318">
            <v>0</v>
          </cell>
          <cell r="CK318">
            <v>0</v>
          </cell>
          <cell r="CV318">
            <v>1.7238230840836887E-5</v>
          </cell>
          <cell r="DG318">
            <v>749922</v>
          </cell>
          <cell r="DR318">
            <v>277867.58999999997</v>
          </cell>
          <cell r="EC318">
            <v>2.6988465981225089</v>
          </cell>
          <cell r="EN318">
            <v>2.4095909012463064E-2</v>
          </cell>
        </row>
      </sheetData>
      <sheetData sheetId="24"/>
      <sheetData sheetId="25"/>
      <sheetData sheetId="26"/>
      <sheetData sheetId="27">
        <row r="4">
          <cell r="D4">
            <v>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30">
          <cell r="D30">
            <v>42551</v>
          </cell>
          <cell r="E30">
            <v>42185</v>
          </cell>
        </row>
        <row r="31">
          <cell r="D31">
            <v>42551</v>
          </cell>
          <cell r="E31">
            <v>42185</v>
          </cell>
          <cell r="F31">
            <v>41820</v>
          </cell>
        </row>
        <row r="32">
          <cell r="D32">
            <v>42369</v>
          </cell>
          <cell r="E32">
            <v>42004</v>
          </cell>
        </row>
        <row r="33">
          <cell r="D33">
            <v>42369</v>
          </cell>
          <cell r="E33">
            <v>42004</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row>
        <row r="41">
          <cell r="D41">
            <v>0</v>
          </cell>
        </row>
        <row r="47">
          <cell r="D47">
            <v>3.7999999999999999E-2</v>
          </cell>
          <cell r="E47">
            <v>2.8500000000000001E-2</v>
          </cell>
          <cell r="F47">
            <v>2.8500000000000001E-2</v>
          </cell>
          <cell r="G47">
            <v>3.85E-2</v>
          </cell>
          <cell r="H47">
            <v>1.8499999999999999E-2</v>
          </cell>
          <cell r="I47">
            <v>3.7999999999999999E-2</v>
          </cell>
        </row>
        <row r="52">
          <cell r="D52">
            <v>42916</v>
          </cell>
          <cell r="E52">
            <v>42551</v>
          </cell>
        </row>
        <row r="53">
          <cell r="E53">
            <v>7.2499999999999995E-2</v>
          </cell>
        </row>
        <row r="54">
          <cell r="D54">
            <v>6</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10740 North Gessner Drive, Suite 320</v>
          </cell>
          <cell r="M82" t="str">
            <v>Houston, TX  77064-1187</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Liabilities Input"/>
      <sheetName val="Results"/>
      <sheetName val="GainLoss"/>
      <sheetName val="Reconciliation"/>
      <sheetName val="ProVal GainLoss"/>
      <sheetName val="NPL"/>
      <sheetName val="68 - SFL"/>
      <sheetName val="68 - SFL TPL Reconciliation"/>
      <sheetName val="68 - ER Contributions"/>
      <sheetName val="68 - Allocation Exhibit"/>
      <sheetName val="68 - Allocation Prior"/>
      <sheetName val="68 - Agency Reconciliation"/>
      <sheetName val="68 - Collect Pens Expense"/>
      <sheetName val="68 - Collect Amort Experience"/>
      <sheetName val="68 - Collect Amort Assump"/>
      <sheetName val="68 - Collect Amort AssetRtn"/>
      <sheetName val="68 - Estab New Paragraph 54"/>
      <sheetName val="68 - Estab New Paragraph 55"/>
      <sheetName val="68 - Maintain Outstanding Bases"/>
      <sheetName val="68 - Summary Exhibit"/>
      <sheetName val="68 - Deferred Amortization"/>
      <sheetName val="GASB 68 (JS Check)"/>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Table 23"/>
      <sheetName val="GASB 25 26 --&gt;"/>
      <sheetName val="GASB 25 27 (1)"/>
      <sheetName val="GASB 25 27 (2)"/>
      <sheetName val="GASB 25 27 (3)"/>
      <sheetName val="GASB 25 27 (4)"/>
      <sheetName val="GASB 67 --&gt;"/>
      <sheetName val="GASB 67 (1.1)"/>
      <sheetName val="GASB 67 (1.2)"/>
      <sheetName val="GASB 67 (3)"/>
    </sheetNames>
    <sheetDataSet>
      <sheetData sheetId="0"/>
      <sheetData sheetId="1"/>
      <sheetData sheetId="2"/>
      <sheetData sheetId="3">
        <row r="39">
          <cell r="L39">
            <v>4249859016</v>
          </cell>
        </row>
        <row r="42">
          <cell r="K42" t="str">
            <v>C</v>
          </cell>
          <cell r="L42">
            <v>329196929</v>
          </cell>
        </row>
        <row r="43">
          <cell r="L43">
            <v>162733483</v>
          </cell>
        </row>
        <row r="44">
          <cell r="L44">
            <v>29528</v>
          </cell>
        </row>
        <row r="45">
          <cell r="K45" t="str">
            <v>C</v>
          </cell>
          <cell r="L45">
            <v>1234415</v>
          </cell>
        </row>
        <row r="46">
          <cell r="K46" t="str">
            <v>C</v>
          </cell>
          <cell r="L46">
            <v>12649523</v>
          </cell>
        </row>
        <row r="47">
          <cell r="L47">
            <v>505843878</v>
          </cell>
        </row>
        <row r="50">
          <cell r="L50">
            <v>272886687</v>
          </cell>
        </row>
        <row r="51">
          <cell r="K51" t="str">
            <v>P</v>
          </cell>
          <cell r="L51">
            <v>48038073</v>
          </cell>
        </row>
        <row r="52">
          <cell r="K52" t="str">
            <v>P</v>
          </cell>
          <cell r="L52">
            <v>3242156</v>
          </cell>
        </row>
        <row r="53">
          <cell r="K53" t="str">
            <v>P</v>
          </cell>
          <cell r="L53">
            <v>21864</v>
          </cell>
        </row>
        <row r="54">
          <cell r="L54">
            <v>324188780</v>
          </cell>
        </row>
        <row r="56">
          <cell r="L56">
            <v>4431514114</v>
          </cell>
        </row>
        <row r="60">
          <cell r="L60">
            <v>15473778789</v>
          </cell>
        </row>
        <row r="65">
          <cell r="L65">
            <v>315973832</v>
          </cell>
        </row>
        <row r="66">
          <cell r="L66">
            <v>70637813</v>
          </cell>
        </row>
        <row r="67">
          <cell r="L67">
            <v>278178</v>
          </cell>
        </row>
        <row r="68">
          <cell r="L68">
            <v>475429</v>
          </cell>
        </row>
        <row r="70">
          <cell r="L70">
            <v>11012485</v>
          </cell>
        </row>
        <row r="71">
          <cell r="L71">
            <v>11130</v>
          </cell>
        </row>
        <row r="72">
          <cell r="K72" t="str">
            <v>C</v>
          </cell>
          <cell r="L72">
            <v>398388867</v>
          </cell>
        </row>
        <row r="74">
          <cell r="L74">
            <v>2388746266</v>
          </cell>
        </row>
        <row r="75">
          <cell r="L75">
            <v>272886687</v>
          </cell>
        </row>
        <row r="76">
          <cell r="K76" t="str">
            <v>C</v>
          </cell>
          <cell r="L76">
            <v>3257736</v>
          </cell>
        </row>
        <row r="77">
          <cell r="K77" t="str">
            <v>C</v>
          </cell>
          <cell r="L77">
            <v>613547</v>
          </cell>
        </row>
        <row r="78">
          <cell r="K78" t="str">
            <v>E</v>
          </cell>
          <cell r="L78">
            <v>815300</v>
          </cell>
        </row>
        <row r="79">
          <cell r="K79" t="str">
            <v>C</v>
          </cell>
          <cell r="L79">
            <v>56441</v>
          </cell>
        </row>
        <row r="80">
          <cell r="K80" t="str">
            <v>E</v>
          </cell>
          <cell r="L80">
            <v>10400</v>
          </cell>
        </row>
        <row r="81">
          <cell r="K81" t="str">
            <v>C</v>
          </cell>
          <cell r="L81">
            <v>139147</v>
          </cell>
        </row>
        <row r="83">
          <cell r="L83">
            <v>3064914391</v>
          </cell>
        </row>
        <row r="86">
          <cell r="K86" t="str">
            <v>P</v>
          </cell>
          <cell r="L86">
            <v>1013743417</v>
          </cell>
        </row>
        <row r="87">
          <cell r="L87">
            <v>29528</v>
          </cell>
        </row>
        <row r="88">
          <cell r="L88">
            <v>162733483</v>
          </cell>
        </row>
        <row r="90">
          <cell r="K90" t="str">
            <v>P</v>
          </cell>
          <cell r="L90">
            <v>3887107</v>
          </cell>
        </row>
        <row r="91">
          <cell r="K91" t="str">
            <v>P</v>
          </cell>
          <cell r="L91">
            <v>19235</v>
          </cell>
        </row>
        <row r="92">
          <cell r="K92" t="str">
            <v>P</v>
          </cell>
          <cell r="L92">
            <v>4322147</v>
          </cell>
        </row>
        <row r="93">
          <cell r="K93" t="str">
            <v>P</v>
          </cell>
          <cell r="L93">
            <v>5989</v>
          </cell>
        </row>
        <row r="94">
          <cell r="K94" t="str">
            <v>P</v>
          </cell>
          <cell r="L94">
            <v>1211288</v>
          </cell>
        </row>
        <row r="95">
          <cell r="L95">
            <v>1185952194</v>
          </cell>
        </row>
      </sheetData>
      <sheetData sheetId="4"/>
      <sheetData sheetId="5"/>
      <sheetData sheetId="6"/>
      <sheetData sheetId="7"/>
      <sheetData sheetId="8"/>
      <sheetData sheetId="9"/>
      <sheetData sheetId="10"/>
      <sheetData sheetId="11"/>
      <sheetData sheetId="12"/>
      <sheetData sheetId="13"/>
      <sheetData sheetId="14">
        <row r="7">
          <cell r="B7">
            <v>70505</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Results"/>
      <sheetName val="GainLoss"/>
      <sheetName val="Reconciliation"/>
      <sheetName val="GASB 25 26 --&gt;"/>
      <sheetName val="NPO"/>
      <sheetName val="GASB 25 27 (1)"/>
      <sheetName val="GASB 25 27 (2)"/>
      <sheetName val="GASB 25 27 (3)"/>
      <sheetName val="GASB 25 27 (4.1)"/>
      <sheetName val="GASB 25 27 (4.2)"/>
      <sheetName val="GASB 25 27 (5.1)"/>
      <sheetName val="GASB 25 27 (5.2)"/>
      <sheetName val="GASB 25 27 (6)"/>
      <sheetName val="GASB 67 --&gt;"/>
      <sheetName val="NPL"/>
      <sheetName val="GASB 67 (1.1)"/>
      <sheetName val="GASB 67 (1.2)"/>
      <sheetName val="GASB 67 (2)"/>
      <sheetName val="68 - FutWorkLife"/>
      <sheetName val="68 - Collect Pens Expense"/>
      <sheetName val="68 - Collect Amort Experience"/>
      <sheetName val="68 - Collect Amort Assump"/>
      <sheetName val="68 - Collect Amort AssetRtn"/>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14"/>
      <sheetName val="Table 15"/>
      <sheetName val="Table 16"/>
      <sheetName val="Table 17"/>
      <sheetName val="Table 18"/>
      <sheetName val="Table 19"/>
      <sheetName val="Table 20"/>
      <sheetName val="Table 21"/>
      <sheetName val="Table 22"/>
      <sheetName val="Table 23"/>
      <sheetName val="Table 24"/>
      <sheetName val="Table 25"/>
      <sheetName val="Table 26"/>
      <sheetName val="Table 27"/>
      <sheetName val="GASB 68 (1)"/>
      <sheetName val="GASB 68 (2)"/>
      <sheetName val="GASB 68 (3)"/>
      <sheetName val="GASB 68 (4)"/>
      <sheetName val="GASB 68 (5)"/>
    </sheetNames>
    <sheetDataSet>
      <sheetData sheetId="0" refreshError="1"/>
      <sheetData sheetId="1"/>
      <sheetData sheetId="2" refreshError="1"/>
      <sheetData sheetId="3">
        <row r="36">
          <cell r="D36">
            <v>0</v>
          </cell>
          <cell r="E36">
            <v>0</v>
          </cell>
        </row>
        <row r="37">
          <cell r="D37">
            <v>0</v>
          </cell>
          <cell r="E37">
            <v>58602290.280000001</v>
          </cell>
        </row>
        <row r="38">
          <cell r="D38">
            <v>0</v>
          </cell>
          <cell r="E38">
            <v>0</v>
          </cell>
        </row>
        <row r="39">
          <cell r="D39">
            <v>0</v>
          </cell>
          <cell r="E39">
            <v>0</v>
          </cell>
        </row>
        <row r="40">
          <cell r="D40" t="str">
            <v>C</v>
          </cell>
          <cell r="E40">
            <v>4174781.91</v>
          </cell>
        </row>
        <row r="41">
          <cell r="D41">
            <v>0</v>
          </cell>
          <cell r="E41">
            <v>0</v>
          </cell>
        </row>
        <row r="42">
          <cell r="D42">
            <v>0</v>
          </cell>
          <cell r="E42">
            <v>2169880.4900000002</v>
          </cell>
        </row>
        <row r="43">
          <cell r="D43" t="str">
            <v>C</v>
          </cell>
          <cell r="E43">
            <v>0</v>
          </cell>
        </row>
        <row r="44">
          <cell r="D44" t="str">
            <v>C</v>
          </cell>
          <cell r="E44">
            <v>619714.9</v>
          </cell>
        </row>
        <row r="45">
          <cell r="D45" t="str">
            <v>C</v>
          </cell>
          <cell r="E45">
            <v>21864.04</v>
          </cell>
        </row>
        <row r="46">
          <cell r="D46" t="str">
            <v>C</v>
          </cell>
          <cell r="E46">
            <v>0</v>
          </cell>
        </row>
        <row r="47">
          <cell r="D47">
            <v>0</v>
          </cell>
          <cell r="E47">
            <v>0</v>
          </cell>
        </row>
        <row r="48">
          <cell r="D48">
            <v>0</v>
          </cell>
          <cell r="E48">
            <v>6986241.3400000008</v>
          </cell>
        </row>
        <row r="49">
          <cell r="D49">
            <v>0</v>
          </cell>
          <cell r="E49">
            <v>0</v>
          </cell>
        </row>
        <row r="50">
          <cell r="D50">
            <v>0</v>
          </cell>
          <cell r="E50">
            <v>0</v>
          </cell>
        </row>
        <row r="51">
          <cell r="D51">
            <v>0</v>
          </cell>
          <cell r="E51">
            <v>6315736.2199999997</v>
          </cell>
        </row>
        <row r="52">
          <cell r="D52" t="str">
            <v>P</v>
          </cell>
          <cell r="E52">
            <v>48024.93</v>
          </cell>
        </row>
        <row r="53">
          <cell r="D53">
            <v>0</v>
          </cell>
          <cell r="E53">
            <v>770.84</v>
          </cell>
        </row>
        <row r="54">
          <cell r="D54" t="str">
            <v>P</v>
          </cell>
          <cell r="E54">
            <v>2517.48</v>
          </cell>
        </row>
        <row r="55">
          <cell r="D55" t="str">
            <v>C N</v>
          </cell>
          <cell r="E55">
            <v>0</v>
          </cell>
        </row>
        <row r="56">
          <cell r="D56">
            <v>0</v>
          </cell>
          <cell r="E56">
            <v>0</v>
          </cell>
        </row>
        <row r="57">
          <cell r="D57">
            <v>0</v>
          </cell>
          <cell r="E57">
            <v>6367049.4699999997</v>
          </cell>
        </row>
        <row r="58">
          <cell r="D58">
            <v>0</v>
          </cell>
          <cell r="E58">
            <v>0</v>
          </cell>
        </row>
        <row r="59">
          <cell r="D59">
            <v>0</v>
          </cell>
          <cell r="E59">
            <v>59221482.150000006</v>
          </cell>
        </row>
        <row r="61">
          <cell r="D61">
            <v>0</v>
          </cell>
          <cell r="E61">
            <v>0</v>
          </cell>
        </row>
        <row r="62">
          <cell r="D62">
            <v>0</v>
          </cell>
          <cell r="E62">
            <v>407496806.56</v>
          </cell>
        </row>
        <row r="63">
          <cell r="D63">
            <v>0</v>
          </cell>
          <cell r="E63">
            <v>0</v>
          </cell>
        </row>
        <row r="64">
          <cell r="D64">
            <v>0</v>
          </cell>
          <cell r="E64">
            <v>0</v>
          </cell>
        </row>
        <row r="65">
          <cell r="D65" t="str">
            <v>C</v>
          </cell>
          <cell r="E65">
            <v>18981031.059999999</v>
          </cell>
        </row>
        <row r="66">
          <cell r="D66">
            <v>0</v>
          </cell>
          <cell r="E66">
            <v>0</v>
          </cell>
        </row>
        <row r="67">
          <cell r="D67">
            <v>0</v>
          </cell>
          <cell r="E67">
            <v>56183067.259999998</v>
          </cell>
        </row>
        <row r="68">
          <cell r="D68" t="str">
            <v>E</v>
          </cell>
          <cell r="E68">
            <v>2725.97</v>
          </cell>
        </row>
        <row r="69">
          <cell r="D69" t="str">
            <v>E</v>
          </cell>
          <cell r="E69">
            <v>567.48</v>
          </cell>
        </row>
        <row r="70">
          <cell r="D70" t="str">
            <v>C</v>
          </cell>
          <cell r="E70">
            <v>255.8</v>
          </cell>
        </row>
        <row r="71">
          <cell r="D71">
            <v>0</v>
          </cell>
          <cell r="E71">
            <v>0</v>
          </cell>
        </row>
        <row r="72">
          <cell r="D72">
            <v>0</v>
          </cell>
          <cell r="E72">
            <v>6315736.2199999997</v>
          </cell>
        </row>
        <row r="73">
          <cell r="D73" t="str">
            <v>C</v>
          </cell>
          <cell r="E73">
            <v>829577.94</v>
          </cell>
        </row>
        <row r="74">
          <cell r="D74" t="str">
            <v>C</v>
          </cell>
          <cell r="E74">
            <v>19234.8</v>
          </cell>
        </row>
        <row r="75">
          <cell r="D75" t="str">
            <v>C</v>
          </cell>
          <cell r="E75">
            <v>0</v>
          </cell>
        </row>
        <row r="76">
          <cell r="D76">
            <v>0</v>
          </cell>
          <cell r="E76">
            <v>0</v>
          </cell>
        </row>
        <row r="77">
          <cell r="D77">
            <v>0</v>
          </cell>
          <cell r="E77">
            <v>82332196.529999986</v>
          </cell>
        </row>
        <row r="78">
          <cell r="D78">
            <v>0</v>
          </cell>
          <cell r="E78">
            <v>0</v>
          </cell>
        </row>
        <row r="79">
          <cell r="D79">
            <v>0</v>
          </cell>
          <cell r="E79">
            <v>0</v>
          </cell>
        </row>
        <row r="80">
          <cell r="D80" t="str">
            <v>P</v>
          </cell>
          <cell r="E80">
            <v>34616568.490000002</v>
          </cell>
        </row>
        <row r="81">
          <cell r="D81">
            <v>0</v>
          </cell>
          <cell r="E81">
            <v>2169880.4900000002</v>
          </cell>
        </row>
        <row r="82">
          <cell r="D82" t="str">
            <v>P</v>
          </cell>
          <cell r="E82">
            <v>0</v>
          </cell>
        </row>
        <row r="83">
          <cell r="D83" t="str">
            <v>P</v>
          </cell>
          <cell r="E83">
            <v>274986</v>
          </cell>
        </row>
        <row r="84">
          <cell r="D84" t="str">
            <v>P</v>
          </cell>
          <cell r="E84">
            <v>20029.990000000002</v>
          </cell>
        </row>
        <row r="85">
          <cell r="D85">
            <v>0</v>
          </cell>
          <cell r="E85">
            <v>0</v>
          </cell>
        </row>
        <row r="86">
          <cell r="D86">
            <v>0</v>
          </cell>
          <cell r="E86">
            <v>0</v>
          </cell>
        </row>
        <row r="87">
          <cell r="D87">
            <v>0</v>
          </cell>
          <cell r="E87">
            <v>37081464.970000006</v>
          </cell>
        </row>
        <row r="88">
          <cell r="D88">
            <v>0</v>
          </cell>
          <cell r="E88">
            <v>0</v>
          </cell>
        </row>
        <row r="89">
          <cell r="D89">
            <v>0</v>
          </cell>
          <cell r="E89">
            <v>452747538.11999995</v>
          </cell>
        </row>
      </sheetData>
      <sheetData sheetId="4">
        <row r="39">
          <cell r="L39">
            <v>556951494</v>
          </cell>
        </row>
      </sheetData>
      <sheetData sheetId="5">
        <row r="5">
          <cell r="J5">
            <v>41639</v>
          </cell>
        </row>
      </sheetData>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Results"/>
      <sheetName val="GainLoss"/>
      <sheetName val="Reconciliation"/>
      <sheetName val="NPO"/>
      <sheetName val="NPL"/>
      <sheetName val="68 - FutWorkLife"/>
      <sheetName val="68 - Collect Pens Expense"/>
      <sheetName val="68 - Collect Amort Experience"/>
      <sheetName val="68 - Collect Amort Assump"/>
      <sheetName val="68 - Collect Amort AssetRtn"/>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14"/>
      <sheetName val="Table 15"/>
      <sheetName val="Table 16"/>
      <sheetName val="Table 17"/>
      <sheetName val="Table 18"/>
      <sheetName val="Table 19"/>
      <sheetName val="Table 20"/>
      <sheetName val="Table 21"/>
      <sheetName val="Table 22"/>
      <sheetName val="Table 23"/>
      <sheetName val="Table 24"/>
      <sheetName val="Table 25"/>
      <sheetName val="Table 26"/>
      <sheetName val="Table 27"/>
      <sheetName val="GASB 25 26 --&gt;"/>
      <sheetName val="GASB 25 27 (1)"/>
      <sheetName val="GASB 25 27 (2)"/>
      <sheetName val="GASB 25 27 (3)"/>
      <sheetName val="GASB 25 27 (4.1)"/>
      <sheetName val="GASB 25 27 (4.2)"/>
      <sheetName val="GASB 25 27 (5.1)"/>
      <sheetName val="GASB 25 27 (5.2)"/>
      <sheetName val="GASB 25 27 (6)"/>
      <sheetName val="GASB 67 --&gt;"/>
      <sheetName val="GASB 67 (1.1)"/>
      <sheetName val="GASB 67 (1.2)"/>
      <sheetName val="GASB 67 (2)"/>
      <sheetName val="GASB 68 (1)"/>
      <sheetName val="GASB 68 (2)"/>
      <sheetName val="GASB 68 (3)"/>
      <sheetName val="GASB 68 (4)"/>
      <sheetName val="GASB 68 (5)"/>
    </sheetNames>
    <sheetDataSet>
      <sheetData sheetId="0"/>
      <sheetData sheetId="1"/>
      <sheetData sheetId="2"/>
      <sheetData sheetId="3">
        <row r="36">
          <cell r="D36">
            <v>0</v>
          </cell>
          <cell r="E36">
            <v>0</v>
          </cell>
        </row>
        <row r="37">
          <cell r="D37">
            <v>0</v>
          </cell>
          <cell r="E37">
            <v>58602290.280000001</v>
          </cell>
        </row>
        <row r="38">
          <cell r="D38">
            <v>0</v>
          </cell>
          <cell r="E38">
            <v>0</v>
          </cell>
        </row>
        <row r="39">
          <cell r="D39">
            <v>0</v>
          </cell>
          <cell r="E39">
            <v>0</v>
          </cell>
        </row>
        <row r="40">
          <cell r="D40" t="str">
            <v>C</v>
          </cell>
          <cell r="E40">
            <v>4174781.91</v>
          </cell>
        </row>
        <row r="41">
          <cell r="D41">
            <v>0</v>
          </cell>
          <cell r="E41">
            <v>0</v>
          </cell>
        </row>
        <row r="42">
          <cell r="D42">
            <v>0</v>
          </cell>
          <cell r="E42">
            <v>2169880.4900000002</v>
          </cell>
        </row>
        <row r="43">
          <cell r="D43" t="str">
            <v>C</v>
          </cell>
          <cell r="E43">
            <v>0</v>
          </cell>
        </row>
        <row r="44">
          <cell r="D44" t="str">
            <v>C</v>
          </cell>
          <cell r="E44">
            <v>619714.9</v>
          </cell>
        </row>
        <row r="45">
          <cell r="D45" t="str">
            <v>C</v>
          </cell>
          <cell r="E45">
            <v>21864.04</v>
          </cell>
        </row>
        <row r="46">
          <cell r="D46" t="str">
            <v>C</v>
          </cell>
          <cell r="E46">
            <v>0</v>
          </cell>
        </row>
        <row r="47">
          <cell r="D47">
            <v>0</v>
          </cell>
          <cell r="E47">
            <v>0</v>
          </cell>
        </row>
        <row r="48">
          <cell r="D48">
            <v>0</v>
          </cell>
          <cell r="E48">
            <v>6986241.3400000008</v>
          </cell>
        </row>
        <row r="49">
          <cell r="D49">
            <v>0</v>
          </cell>
          <cell r="E49">
            <v>0</v>
          </cell>
        </row>
        <row r="50">
          <cell r="D50">
            <v>0</v>
          </cell>
          <cell r="E50">
            <v>0</v>
          </cell>
        </row>
        <row r="51">
          <cell r="D51">
            <v>0</v>
          </cell>
          <cell r="E51">
            <v>6315736.2199999997</v>
          </cell>
        </row>
        <row r="52">
          <cell r="D52" t="str">
            <v>P</v>
          </cell>
          <cell r="E52">
            <v>48024.93</v>
          </cell>
        </row>
        <row r="53">
          <cell r="D53">
            <v>0</v>
          </cell>
          <cell r="E53">
            <v>770.84</v>
          </cell>
        </row>
        <row r="54">
          <cell r="D54" t="str">
            <v>P</v>
          </cell>
          <cell r="E54">
            <v>2517.48</v>
          </cell>
        </row>
        <row r="55">
          <cell r="D55" t="str">
            <v>C N</v>
          </cell>
          <cell r="E55">
            <v>0</v>
          </cell>
        </row>
        <row r="56">
          <cell r="D56">
            <v>0</v>
          </cell>
          <cell r="E56">
            <v>0</v>
          </cell>
        </row>
        <row r="57">
          <cell r="D57">
            <v>0</v>
          </cell>
          <cell r="E57">
            <v>6367049.4699999997</v>
          </cell>
        </row>
        <row r="58">
          <cell r="D58">
            <v>0</v>
          </cell>
          <cell r="E58">
            <v>0</v>
          </cell>
        </row>
        <row r="59">
          <cell r="D59">
            <v>0</v>
          </cell>
          <cell r="E59">
            <v>59221482.150000006</v>
          </cell>
        </row>
        <row r="61">
          <cell r="D61">
            <v>0</v>
          </cell>
          <cell r="E61">
            <v>0</v>
          </cell>
        </row>
        <row r="62">
          <cell r="D62">
            <v>0</v>
          </cell>
          <cell r="E62">
            <v>407496806.56</v>
          </cell>
        </row>
        <row r="63">
          <cell r="D63">
            <v>0</v>
          </cell>
          <cell r="E63">
            <v>0</v>
          </cell>
        </row>
        <row r="64">
          <cell r="D64">
            <v>0</v>
          </cell>
          <cell r="E64">
            <v>0</v>
          </cell>
        </row>
        <row r="65">
          <cell r="D65" t="str">
            <v>C</v>
          </cell>
          <cell r="E65">
            <v>18981031.059999999</v>
          </cell>
        </row>
        <row r="66">
          <cell r="D66">
            <v>0</v>
          </cell>
          <cell r="E66">
            <v>0</v>
          </cell>
        </row>
        <row r="67">
          <cell r="D67">
            <v>0</v>
          </cell>
          <cell r="E67">
            <v>56183067.259999998</v>
          </cell>
        </row>
        <row r="68">
          <cell r="D68" t="str">
            <v>E</v>
          </cell>
          <cell r="E68">
            <v>2725.97</v>
          </cell>
        </row>
        <row r="69">
          <cell r="D69" t="str">
            <v>E</v>
          </cell>
          <cell r="E69">
            <v>567.48</v>
          </cell>
        </row>
        <row r="70">
          <cell r="D70" t="str">
            <v>C</v>
          </cell>
          <cell r="E70">
            <v>255.8</v>
          </cell>
        </row>
        <row r="71">
          <cell r="D71">
            <v>0</v>
          </cell>
          <cell r="E71">
            <v>0</v>
          </cell>
        </row>
        <row r="72">
          <cell r="D72">
            <v>0</v>
          </cell>
          <cell r="E72">
            <v>6315736.2199999997</v>
          </cell>
        </row>
        <row r="73">
          <cell r="D73" t="str">
            <v>C</v>
          </cell>
          <cell r="E73">
            <v>829577.94</v>
          </cell>
        </row>
        <row r="74">
          <cell r="D74" t="str">
            <v>C</v>
          </cell>
          <cell r="E74">
            <v>19234.8</v>
          </cell>
        </row>
        <row r="75">
          <cell r="D75" t="str">
            <v>C</v>
          </cell>
          <cell r="E75">
            <v>0</v>
          </cell>
        </row>
        <row r="76">
          <cell r="D76">
            <v>0</v>
          </cell>
          <cell r="E76">
            <v>0</v>
          </cell>
        </row>
        <row r="77">
          <cell r="D77">
            <v>0</v>
          </cell>
          <cell r="E77">
            <v>82332196.529999986</v>
          </cell>
        </row>
        <row r="78">
          <cell r="D78">
            <v>0</v>
          </cell>
          <cell r="E78">
            <v>0</v>
          </cell>
        </row>
        <row r="79">
          <cell r="D79">
            <v>0</v>
          </cell>
          <cell r="E79">
            <v>0</v>
          </cell>
        </row>
        <row r="80">
          <cell r="D80" t="str">
            <v>P</v>
          </cell>
          <cell r="E80">
            <v>34616568.490000002</v>
          </cell>
        </row>
        <row r="81">
          <cell r="D81">
            <v>0</v>
          </cell>
          <cell r="E81">
            <v>2169880.4900000002</v>
          </cell>
        </row>
        <row r="82">
          <cell r="D82" t="str">
            <v>P</v>
          </cell>
          <cell r="E82">
            <v>0</v>
          </cell>
        </row>
        <row r="83">
          <cell r="D83" t="str">
            <v>P</v>
          </cell>
          <cell r="E83">
            <v>274986</v>
          </cell>
        </row>
        <row r="84">
          <cell r="D84" t="str">
            <v>P</v>
          </cell>
          <cell r="E84">
            <v>20029.990000000002</v>
          </cell>
        </row>
        <row r="85">
          <cell r="D85">
            <v>0</v>
          </cell>
          <cell r="E85">
            <v>0</v>
          </cell>
        </row>
        <row r="86">
          <cell r="D86">
            <v>0</v>
          </cell>
          <cell r="E86">
            <v>0</v>
          </cell>
        </row>
        <row r="87">
          <cell r="D87">
            <v>0</v>
          </cell>
          <cell r="E87">
            <v>37081464.970000006</v>
          </cell>
        </row>
        <row r="88">
          <cell r="D88">
            <v>0</v>
          </cell>
          <cell r="E88">
            <v>0</v>
          </cell>
        </row>
        <row r="89">
          <cell r="D89">
            <v>0</v>
          </cell>
          <cell r="E89">
            <v>452747538.11999995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Results"/>
      <sheetName val="GainLoss"/>
      <sheetName val="Reconciliation"/>
      <sheetName val="ProVal GainLoss"/>
      <sheetName val="NPO"/>
      <sheetName val="NPL"/>
      <sheetName val="68 - FutWorkLife"/>
      <sheetName val="68 - Collect Pens Expense"/>
      <sheetName val="68 - Collect Amort Experience"/>
      <sheetName val="68 - Collect Amort Assump"/>
      <sheetName val="68 - Collect Amort AssetRtn"/>
      <sheetName val="Report --&gt;"/>
      <sheetName val="Executive Summary"/>
      <sheetName val="Exec Summary Table"/>
      <sheetName val="Table 1"/>
      <sheetName val="Table 2"/>
      <sheetName val="Table 3"/>
      <sheetName val="Table 4"/>
      <sheetName val="Table 5"/>
      <sheetName val="Table 6-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GASB 25 26 --&gt;"/>
      <sheetName val="GASB 25 27 (1)"/>
      <sheetName val="GASB 25 27 (2)"/>
      <sheetName val="GASB 25 27 (3.1)"/>
      <sheetName val="GASB 25 27 (3.2)"/>
      <sheetName val="GASB 25 27 (4)"/>
      <sheetName val="GASB 25 27 (5)"/>
      <sheetName val="GASB 67 --&gt;"/>
      <sheetName val="GASB 67 (1.1)"/>
      <sheetName val="GASB 67 (1.2)"/>
      <sheetName val="GASB 67 (2)"/>
      <sheetName val="GASB 68 (1)"/>
      <sheetName val="GASB 68 (2)"/>
      <sheetName val="GASB 68 (3)"/>
      <sheetName val="GASB 68 (4)"/>
      <sheetName val="GASB 68 (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PO"/>
      <sheetName val="GainLoss"/>
      <sheetName val="GainLoss V2"/>
      <sheetName val="Reconciliation"/>
      <sheetName val="Results"/>
      <sheetName val="Liabilities"/>
      <sheetName val="ProVal"/>
      <sheetName val="Membership"/>
      <sheetName val="Assets"/>
      <sheetName val="Flow - Experience"/>
      <sheetName val="Flow - Final"/>
      <sheetName val="New Retiree ProVal"/>
      <sheetName val="New Active ProVal"/>
    </sheetNames>
    <sheetDataSet>
      <sheetData sheetId="0"/>
      <sheetData sheetId="1"/>
      <sheetData sheetId="2"/>
      <sheetData sheetId="3"/>
      <sheetData sheetId="4"/>
      <sheetData sheetId="5"/>
      <sheetData sheetId="6">
        <row r="6">
          <cell r="B6" t="str">
            <v>R_Teachers_Correct Groups</v>
          </cell>
          <cell r="C6">
            <v>0</v>
          </cell>
          <cell r="D6">
            <v>0</v>
          </cell>
          <cell r="E6">
            <v>0</v>
          </cell>
          <cell r="F6">
            <v>0</v>
          </cell>
          <cell r="G6">
            <v>68735</v>
          </cell>
          <cell r="H6">
            <v>1845314465</v>
          </cell>
          <cell r="I6">
            <v>0</v>
          </cell>
          <cell r="J6">
            <v>15808473119</v>
          </cell>
          <cell r="K6">
            <v>0</v>
          </cell>
          <cell r="L6">
            <v>0</v>
          </cell>
          <cell r="Q6">
            <v>3643</v>
          </cell>
          <cell r="R6">
            <v>983947221</v>
          </cell>
        </row>
        <row r="7">
          <cell r="B7" t="str">
            <v>R_Other Education_Correct Groups</v>
          </cell>
          <cell r="C7">
            <v>0</v>
          </cell>
          <cell r="D7">
            <v>0</v>
          </cell>
          <cell r="E7">
            <v>0</v>
          </cell>
          <cell r="F7">
            <v>0</v>
          </cell>
          <cell r="G7">
            <v>2695</v>
          </cell>
          <cell r="H7">
            <v>67421186</v>
          </cell>
          <cell r="I7">
            <v>0</v>
          </cell>
          <cell r="J7">
            <v>636806753</v>
          </cell>
          <cell r="K7">
            <v>0</v>
          </cell>
          <cell r="L7">
            <v>0</v>
          </cell>
          <cell r="Q7">
            <v>1457</v>
          </cell>
          <cell r="R7">
            <v>356783169</v>
          </cell>
        </row>
        <row r="8">
          <cell r="B8" t="str">
            <v>B_Teachers_Correct Groups</v>
          </cell>
          <cell r="C8">
            <v>0</v>
          </cell>
          <cell r="D8">
            <v>0</v>
          </cell>
          <cell r="E8">
            <v>0</v>
          </cell>
          <cell r="F8">
            <v>0</v>
          </cell>
          <cell r="G8">
            <v>3806</v>
          </cell>
          <cell r="H8">
            <v>63357114</v>
          </cell>
          <cell r="I8">
            <v>0</v>
          </cell>
          <cell r="J8">
            <v>475824519</v>
          </cell>
          <cell r="K8">
            <v>0</v>
          </cell>
          <cell r="L8">
            <v>0</v>
          </cell>
          <cell r="Q8">
            <v>222</v>
          </cell>
          <cell r="R8">
            <v>27661351</v>
          </cell>
        </row>
        <row r="9">
          <cell r="B9" t="str">
            <v>B_Other Education_Correct Groups</v>
          </cell>
          <cell r="C9">
            <v>0</v>
          </cell>
          <cell r="D9">
            <v>0</v>
          </cell>
          <cell r="E9">
            <v>0</v>
          </cell>
          <cell r="F9">
            <v>0</v>
          </cell>
          <cell r="G9">
            <v>4</v>
          </cell>
          <cell r="H9">
            <v>42393</v>
          </cell>
          <cell r="I9">
            <v>0</v>
          </cell>
          <cell r="J9">
            <v>456295</v>
          </cell>
          <cell r="K9">
            <v>0</v>
          </cell>
          <cell r="L9">
            <v>0</v>
          </cell>
          <cell r="Q9">
            <v>3</v>
          </cell>
          <cell r="R9">
            <v>411625</v>
          </cell>
        </row>
        <row r="10">
          <cell r="B10" t="str">
            <v>R_General_Correct Groups</v>
          </cell>
          <cell r="C10">
            <v>0</v>
          </cell>
          <cell r="D10">
            <v>0</v>
          </cell>
          <cell r="E10">
            <v>0</v>
          </cell>
          <cell r="F10">
            <v>0</v>
          </cell>
          <cell r="G10">
            <v>70726</v>
          </cell>
          <cell r="H10">
            <v>1231325396</v>
          </cell>
          <cell r="I10">
            <v>0</v>
          </cell>
          <cell r="J10">
            <v>10360858551</v>
          </cell>
          <cell r="K10">
            <v>0</v>
          </cell>
          <cell r="L10">
            <v>0</v>
          </cell>
          <cell r="Q10">
            <v>3729</v>
          </cell>
          <cell r="R10">
            <v>664220266</v>
          </cell>
        </row>
        <row r="11">
          <cell r="B11" t="str">
            <v>B_General_Correct Groups</v>
          </cell>
          <cell r="C11">
            <v>0</v>
          </cell>
          <cell r="D11">
            <v>0</v>
          </cell>
          <cell r="E11">
            <v>0</v>
          </cell>
          <cell r="F11">
            <v>0</v>
          </cell>
          <cell r="G11">
            <v>8164</v>
          </cell>
          <cell r="H11">
            <v>90856399</v>
          </cell>
          <cell r="I11">
            <v>0</v>
          </cell>
          <cell r="J11">
            <v>684573305</v>
          </cell>
          <cell r="K11">
            <v>0</v>
          </cell>
          <cell r="L11">
            <v>0</v>
          </cell>
          <cell r="Q11">
            <v>582</v>
          </cell>
          <cell r="R11">
            <v>65766484</v>
          </cell>
        </row>
        <row r="12">
          <cell r="B12" t="str">
            <v>R_Law Enforcement Officers_Correct Groups</v>
          </cell>
          <cell r="C12">
            <v>0</v>
          </cell>
          <cell r="D12">
            <v>0</v>
          </cell>
          <cell r="E12">
            <v>0</v>
          </cell>
          <cell r="F12">
            <v>0</v>
          </cell>
          <cell r="G12">
            <v>2305</v>
          </cell>
          <cell r="H12">
            <v>68989420</v>
          </cell>
          <cell r="I12">
            <v>0</v>
          </cell>
          <cell r="J12">
            <v>729435853</v>
          </cell>
          <cell r="K12">
            <v>0</v>
          </cell>
          <cell r="L12">
            <v>0</v>
          </cell>
          <cell r="Q12">
            <v>117</v>
          </cell>
          <cell r="R12">
            <v>46867923</v>
          </cell>
        </row>
        <row r="13">
          <cell r="B13" t="str">
            <v>B_Law Enforcement Officers_Correct Groups</v>
          </cell>
          <cell r="C13">
            <v>0</v>
          </cell>
          <cell r="D13">
            <v>0</v>
          </cell>
          <cell r="E13">
            <v>0</v>
          </cell>
          <cell r="F13">
            <v>0</v>
          </cell>
          <cell r="G13">
            <v>351</v>
          </cell>
          <cell r="H13">
            <v>6667848</v>
          </cell>
          <cell r="I13">
            <v>0</v>
          </cell>
          <cell r="J13">
            <v>55496132</v>
          </cell>
          <cell r="K13">
            <v>0</v>
          </cell>
          <cell r="L13">
            <v>0</v>
          </cell>
          <cell r="Q13">
            <v>24</v>
          </cell>
          <cell r="R13">
            <v>3906564</v>
          </cell>
        </row>
        <row r="14">
          <cell r="C14">
            <v>158280</v>
          </cell>
          <cell r="D14">
            <v>7352563851</v>
          </cell>
          <cell r="E14">
            <v>42.69</v>
          </cell>
          <cell r="F14">
            <v>9.5500000000000007</v>
          </cell>
          <cell r="G14">
            <v>0</v>
          </cell>
          <cell r="H14">
            <v>0</v>
          </cell>
          <cell r="I14">
            <v>23819634824</v>
          </cell>
          <cell r="J14">
            <v>0</v>
          </cell>
          <cell r="K14">
            <v>14437889332</v>
          </cell>
          <cell r="L14">
            <v>75498348832</v>
          </cell>
        </row>
        <row r="15">
          <cell r="C15">
            <v>158280</v>
          </cell>
          <cell r="D15">
            <v>7352563851</v>
          </cell>
          <cell r="E15">
            <v>42.69</v>
          </cell>
          <cell r="F15">
            <v>9.5500000000000007</v>
          </cell>
          <cell r="G15">
            <v>0</v>
          </cell>
          <cell r="H15">
            <v>0</v>
          </cell>
          <cell r="I15">
            <v>23779377466</v>
          </cell>
          <cell r="J15">
            <v>0</v>
          </cell>
          <cell r="K15">
            <v>13448637501</v>
          </cell>
          <cell r="L15">
            <v>75498348832</v>
          </cell>
        </row>
        <row r="16">
          <cell r="C16">
            <v>163725</v>
          </cell>
          <cell r="D16">
            <v>7144162762</v>
          </cell>
          <cell r="E16">
            <v>46.26</v>
          </cell>
          <cell r="F16">
            <v>10.06</v>
          </cell>
          <cell r="G16">
            <v>0</v>
          </cell>
          <cell r="H16">
            <v>0</v>
          </cell>
          <cell r="I16">
            <v>17892240462</v>
          </cell>
          <cell r="J16">
            <v>0</v>
          </cell>
          <cell r="K16">
            <v>12494243353</v>
          </cell>
          <cell r="L16">
            <v>55502792525</v>
          </cell>
        </row>
        <row r="17">
          <cell r="C17">
            <v>163725</v>
          </cell>
          <cell r="D17">
            <v>7144162762</v>
          </cell>
          <cell r="E17">
            <v>46.26</v>
          </cell>
          <cell r="F17">
            <v>10.06</v>
          </cell>
          <cell r="G17">
            <v>0</v>
          </cell>
          <cell r="H17">
            <v>0</v>
          </cell>
          <cell r="I17">
            <v>17892613332</v>
          </cell>
          <cell r="J17">
            <v>0</v>
          </cell>
          <cell r="K17">
            <v>12264442955</v>
          </cell>
          <cell r="L17">
            <v>55502792525</v>
          </cell>
        </row>
        <row r="18">
          <cell r="C18">
            <v>3585</v>
          </cell>
          <cell r="D18">
            <v>208161658</v>
          </cell>
          <cell r="E18">
            <v>39.549999999999997</v>
          </cell>
          <cell r="F18">
            <v>12.51</v>
          </cell>
          <cell r="G18">
            <v>0</v>
          </cell>
          <cell r="H18">
            <v>0</v>
          </cell>
          <cell r="I18">
            <v>709993053</v>
          </cell>
          <cell r="J18">
            <v>0</v>
          </cell>
          <cell r="K18">
            <v>487308926</v>
          </cell>
          <cell r="L18">
            <v>1991200451</v>
          </cell>
        </row>
        <row r="19">
          <cell r="C19">
            <v>3585</v>
          </cell>
          <cell r="D19">
            <v>208161658</v>
          </cell>
          <cell r="E19">
            <v>39.549999999999997</v>
          </cell>
          <cell r="F19">
            <v>12.51</v>
          </cell>
          <cell r="G19">
            <v>0</v>
          </cell>
          <cell r="H19">
            <v>0</v>
          </cell>
          <cell r="I19">
            <v>710162344</v>
          </cell>
          <cell r="J19">
            <v>0</v>
          </cell>
          <cell r="K19">
            <v>465981825</v>
          </cell>
          <cell r="L19">
            <v>1991200451</v>
          </cell>
        </row>
        <row r="20">
          <cell r="C20">
            <v>0</v>
          </cell>
          <cell r="D20">
            <v>0</v>
          </cell>
          <cell r="E20">
            <v>0</v>
          </cell>
          <cell r="F20">
            <v>0</v>
          </cell>
          <cell r="G20">
            <v>67797</v>
          </cell>
          <cell r="H20">
            <v>1828374369</v>
          </cell>
          <cell r="I20">
            <v>0</v>
          </cell>
          <cell r="J20">
            <v>15795012410</v>
          </cell>
          <cell r="K20">
            <v>0</v>
          </cell>
          <cell r="L20">
            <v>0</v>
          </cell>
        </row>
        <row r="21">
          <cell r="C21">
            <v>0</v>
          </cell>
          <cell r="D21">
            <v>0</v>
          </cell>
          <cell r="E21">
            <v>0</v>
          </cell>
          <cell r="F21">
            <v>0</v>
          </cell>
          <cell r="G21">
            <v>3747</v>
          </cell>
          <cell r="H21">
            <v>63000195</v>
          </cell>
          <cell r="I21">
            <v>0</v>
          </cell>
          <cell r="J21">
            <v>502239868</v>
          </cell>
          <cell r="K21">
            <v>0</v>
          </cell>
          <cell r="L21">
            <v>0</v>
          </cell>
        </row>
        <row r="22">
          <cell r="C22">
            <v>0</v>
          </cell>
          <cell r="D22">
            <v>0</v>
          </cell>
          <cell r="E22">
            <v>0</v>
          </cell>
          <cell r="F22">
            <v>0</v>
          </cell>
          <cell r="G22">
            <v>69236</v>
          </cell>
          <cell r="H22">
            <v>1214581245</v>
          </cell>
          <cell r="I22">
            <v>0</v>
          </cell>
          <cell r="J22">
            <v>10286321871</v>
          </cell>
          <cell r="K22">
            <v>0</v>
          </cell>
          <cell r="L22">
            <v>0</v>
          </cell>
        </row>
        <row r="23">
          <cell r="C23">
            <v>0</v>
          </cell>
          <cell r="D23">
            <v>0</v>
          </cell>
          <cell r="E23">
            <v>0</v>
          </cell>
          <cell r="F23">
            <v>0</v>
          </cell>
          <cell r="G23">
            <v>7895</v>
          </cell>
          <cell r="H23">
            <v>86412178</v>
          </cell>
          <cell r="I23">
            <v>0</v>
          </cell>
          <cell r="J23">
            <v>685870622</v>
          </cell>
          <cell r="K23">
            <v>0</v>
          </cell>
          <cell r="L23">
            <v>0</v>
          </cell>
        </row>
        <row r="24">
          <cell r="C24">
            <v>0</v>
          </cell>
          <cell r="D24">
            <v>0</v>
          </cell>
          <cell r="E24">
            <v>0</v>
          </cell>
          <cell r="F24">
            <v>0</v>
          </cell>
          <cell r="G24">
            <v>2312</v>
          </cell>
          <cell r="H24">
            <v>66868780</v>
          </cell>
          <cell r="I24">
            <v>0</v>
          </cell>
          <cell r="J24">
            <v>696905219</v>
          </cell>
          <cell r="K24">
            <v>0</v>
          </cell>
          <cell r="L24">
            <v>0</v>
          </cell>
        </row>
        <row r="25">
          <cell r="C25">
            <v>0</v>
          </cell>
          <cell r="D25">
            <v>0</v>
          </cell>
          <cell r="E25">
            <v>0</v>
          </cell>
          <cell r="F25">
            <v>0</v>
          </cell>
          <cell r="G25">
            <v>333</v>
          </cell>
          <cell r="H25">
            <v>6393815</v>
          </cell>
          <cell r="I25">
            <v>0</v>
          </cell>
          <cell r="J25">
            <v>55424703</v>
          </cell>
          <cell r="K25">
            <v>0</v>
          </cell>
          <cell r="L25">
            <v>0</v>
          </cell>
        </row>
        <row r="26">
          <cell r="C26">
            <v>0</v>
          </cell>
          <cell r="D26">
            <v>0</v>
          </cell>
          <cell r="E26">
            <v>0</v>
          </cell>
          <cell r="F26">
            <v>0</v>
          </cell>
          <cell r="G26">
            <v>95210</v>
          </cell>
          <cell r="H26">
            <v>0</v>
          </cell>
          <cell r="I26">
            <v>0</v>
          </cell>
          <cell r="J26">
            <v>1582972206</v>
          </cell>
          <cell r="K26">
            <v>0</v>
          </cell>
          <cell r="L26">
            <v>0</v>
          </cell>
        </row>
        <row r="27">
          <cell r="B27" t="str">
            <v>A_Teachers_Experience</v>
          </cell>
          <cell r="C27">
            <v>153655</v>
          </cell>
          <cell r="D27">
            <v>7206757480</v>
          </cell>
          <cell r="E27">
            <v>43.12</v>
          </cell>
          <cell r="F27">
            <v>10.039999999999999</v>
          </cell>
          <cell r="G27">
            <v>0</v>
          </cell>
          <cell r="H27">
            <v>0</v>
          </cell>
          <cell r="I27">
            <v>23569531706</v>
          </cell>
          <cell r="J27">
            <v>0</v>
          </cell>
          <cell r="K27">
            <v>13487490542</v>
          </cell>
          <cell r="L27">
            <v>73031092632</v>
          </cell>
          <cell r="M27">
            <v>92765667</v>
          </cell>
        </row>
        <row r="28">
          <cell r="B28" t="str">
            <v>A_Teachers_Salary Scale</v>
          </cell>
          <cell r="C28">
            <v>153655</v>
          </cell>
          <cell r="D28">
            <v>7031428163</v>
          </cell>
          <cell r="E28">
            <v>43.12</v>
          </cell>
          <cell r="F28">
            <v>10.039999999999999</v>
          </cell>
          <cell r="G28">
            <v>0</v>
          </cell>
          <cell r="H28">
            <v>0</v>
          </cell>
          <cell r="I28">
            <v>20864595038</v>
          </cell>
          <cell r="J28">
            <v>0</v>
          </cell>
          <cell r="K28">
            <v>13272238209</v>
          </cell>
          <cell r="L28">
            <v>63488124120</v>
          </cell>
          <cell r="M28">
            <v>87809185</v>
          </cell>
        </row>
        <row r="29">
          <cell r="B29" t="str">
            <v>A_Teachers_Sal + Inflation</v>
          </cell>
          <cell r="C29">
            <v>153655</v>
          </cell>
          <cell r="D29">
            <v>7014484962</v>
          </cell>
          <cell r="E29">
            <v>43.12</v>
          </cell>
          <cell r="F29">
            <v>10.039999999999999</v>
          </cell>
          <cell r="G29">
            <v>0</v>
          </cell>
          <cell r="H29">
            <v>0</v>
          </cell>
          <cell r="I29">
            <v>20363296476</v>
          </cell>
          <cell r="J29">
            <v>0</v>
          </cell>
          <cell r="K29">
            <v>13129152075</v>
          </cell>
          <cell r="L29">
            <v>62235655098</v>
          </cell>
          <cell r="M29">
            <v>87487468</v>
          </cell>
        </row>
        <row r="30">
          <cell r="B30" t="str">
            <v>A_Teachers_Mortality</v>
          </cell>
          <cell r="C30">
            <v>153655</v>
          </cell>
          <cell r="D30">
            <v>7014484962</v>
          </cell>
          <cell r="E30">
            <v>43.12</v>
          </cell>
          <cell r="F30">
            <v>10.039999999999999</v>
          </cell>
          <cell r="G30">
            <v>0</v>
          </cell>
          <cell r="H30">
            <v>0</v>
          </cell>
          <cell r="I30">
            <v>20217818010</v>
          </cell>
          <cell r="J30">
            <v>0</v>
          </cell>
          <cell r="K30">
            <v>13055653410</v>
          </cell>
          <cell r="L30">
            <v>62157527278</v>
          </cell>
          <cell r="M30">
            <v>95186882</v>
          </cell>
        </row>
        <row r="31">
          <cell r="B31" t="str">
            <v>A_Teachers_Ret/Term</v>
          </cell>
          <cell r="C31">
            <v>153655</v>
          </cell>
          <cell r="D31">
            <v>7014484962</v>
          </cell>
          <cell r="E31">
            <v>43.12</v>
          </cell>
          <cell r="F31">
            <v>10.039999999999999</v>
          </cell>
          <cell r="G31">
            <v>0</v>
          </cell>
          <cell r="H31">
            <v>0</v>
          </cell>
          <cell r="I31">
            <v>19957724426</v>
          </cell>
          <cell r="J31">
            <v>0</v>
          </cell>
          <cell r="K31">
            <v>13154146522</v>
          </cell>
          <cell r="L31">
            <v>60188965174</v>
          </cell>
          <cell r="M31">
            <v>123151983</v>
          </cell>
        </row>
        <row r="32">
          <cell r="C32">
            <v>153467</v>
          </cell>
          <cell r="D32">
            <v>7197630199</v>
          </cell>
          <cell r="E32">
            <v>43.12</v>
          </cell>
          <cell r="F32">
            <v>10.050000000000001</v>
          </cell>
          <cell r="G32">
            <v>0</v>
          </cell>
          <cell r="H32">
            <v>0</v>
          </cell>
          <cell r="I32">
            <v>23550895685</v>
          </cell>
          <cell r="J32">
            <v>0</v>
          </cell>
          <cell r="K32">
            <v>13483210188</v>
          </cell>
          <cell r="L32">
            <v>72936824302</v>
          </cell>
          <cell r="M32">
            <v>92419781</v>
          </cell>
        </row>
        <row r="33">
          <cell r="B33" t="str">
            <v>A_Teachers_Fix Disability</v>
          </cell>
          <cell r="C33">
            <v>153467</v>
          </cell>
          <cell r="D33">
            <v>7005852310</v>
          </cell>
          <cell r="E33">
            <v>43.12</v>
          </cell>
          <cell r="F33">
            <v>10.050000000000001</v>
          </cell>
          <cell r="G33">
            <v>0</v>
          </cell>
          <cell r="H33">
            <v>0</v>
          </cell>
          <cell r="I33">
            <v>19945674363</v>
          </cell>
          <cell r="J33">
            <v>0</v>
          </cell>
          <cell r="K33">
            <v>13149793146</v>
          </cell>
          <cell r="L33">
            <v>60128785087</v>
          </cell>
          <cell r="M33">
            <v>122721608</v>
          </cell>
        </row>
        <row r="34">
          <cell r="B34" t="str">
            <v>A_Teachers_Correct Groups</v>
          </cell>
          <cell r="C34">
            <v>150859</v>
          </cell>
          <cell r="D34">
            <v>6918855488</v>
          </cell>
          <cell r="E34">
            <v>43.17</v>
          </cell>
          <cell r="F34">
            <v>10.26</v>
          </cell>
          <cell r="G34">
            <v>0</v>
          </cell>
          <cell r="H34">
            <v>0</v>
          </cell>
          <cell r="I34">
            <v>19580066257</v>
          </cell>
          <cell r="J34">
            <v>0</v>
          </cell>
          <cell r="K34">
            <v>12826185116</v>
          </cell>
          <cell r="L34">
            <v>59749832108</v>
          </cell>
          <cell r="M34">
            <v>115046171</v>
          </cell>
        </row>
        <row r="35">
          <cell r="B35" t="str">
            <v>A_Teachers_Adder</v>
          </cell>
          <cell r="C35">
            <v>150859</v>
          </cell>
          <cell r="D35">
            <v>6918855488</v>
          </cell>
          <cell r="E35">
            <v>43.17</v>
          </cell>
          <cell r="F35">
            <v>10.26</v>
          </cell>
          <cell r="G35">
            <v>0</v>
          </cell>
          <cell r="H35">
            <v>0</v>
          </cell>
          <cell r="I35">
            <v>19588060016</v>
          </cell>
          <cell r="J35">
            <v>0</v>
          </cell>
          <cell r="K35">
            <v>12829797938</v>
          </cell>
          <cell r="L35">
            <v>59749832108</v>
          </cell>
          <cell r="M35">
            <v>115046171</v>
          </cell>
        </row>
        <row r="36">
          <cell r="B36" t="str">
            <v>A_Teachers_Experience_NC</v>
          </cell>
          <cell r="C36">
            <v>153655</v>
          </cell>
          <cell r="D36">
            <v>7206757480</v>
          </cell>
          <cell r="E36">
            <v>43.12</v>
          </cell>
          <cell r="F36">
            <v>10.039999999999999</v>
          </cell>
          <cell r="G36">
            <v>0</v>
          </cell>
          <cell r="H36">
            <v>0</v>
          </cell>
          <cell r="I36">
            <v>23467039422</v>
          </cell>
          <cell r="J36">
            <v>0</v>
          </cell>
          <cell r="K36">
            <v>13451761762</v>
          </cell>
          <cell r="L36">
            <v>73031092632</v>
          </cell>
          <cell r="M36">
            <v>92765667</v>
          </cell>
        </row>
        <row r="37">
          <cell r="B37" t="str">
            <v>A_Teachers_Salary Scale_NC</v>
          </cell>
          <cell r="C37">
            <v>153655</v>
          </cell>
          <cell r="D37">
            <v>7031428163</v>
          </cell>
          <cell r="E37">
            <v>43.12</v>
          </cell>
          <cell r="F37">
            <v>10.039999999999999</v>
          </cell>
          <cell r="G37">
            <v>0</v>
          </cell>
          <cell r="H37">
            <v>0</v>
          </cell>
          <cell r="I37">
            <v>20777835440</v>
          </cell>
          <cell r="J37">
            <v>0</v>
          </cell>
          <cell r="K37">
            <v>13227044560</v>
          </cell>
          <cell r="L37">
            <v>63488124120</v>
          </cell>
          <cell r="M37">
            <v>87809185</v>
          </cell>
        </row>
        <row r="38">
          <cell r="B38" t="str">
            <v>A_Teachers_Sal + Inflation_NC</v>
          </cell>
          <cell r="C38">
            <v>153655</v>
          </cell>
          <cell r="D38">
            <v>7014484962</v>
          </cell>
          <cell r="E38">
            <v>43.12</v>
          </cell>
          <cell r="F38">
            <v>10.039999999999999</v>
          </cell>
          <cell r="G38">
            <v>0</v>
          </cell>
          <cell r="H38">
            <v>0</v>
          </cell>
          <cell r="I38">
            <v>20281454185</v>
          </cell>
          <cell r="J38">
            <v>0</v>
          </cell>
          <cell r="K38">
            <v>13084867871</v>
          </cell>
          <cell r="L38">
            <v>62235655098</v>
          </cell>
          <cell r="M38">
            <v>87487468</v>
          </cell>
        </row>
        <row r="39">
          <cell r="B39" t="str">
            <v>A_Teachers_Mortality_NC</v>
          </cell>
          <cell r="C39">
            <v>153655</v>
          </cell>
          <cell r="D39">
            <v>7014484962</v>
          </cell>
          <cell r="E39">
            <v>43.12</v>
          </cell>
          <cell r="F39">
            <v>10.039999999999999</v>
          </cell>
          <cell r="G39">
            <v>0</v>
          </cell>
          <cell r="H39">
            <v>0</v>
          </cell>
          <cell r="I39">
            <v>20136231488</v>
          </cell>
          <cell r="J39">
            <v>0</v>
          </cell>
          <cell r="K39">
            <v>13010757429</v>
          </cell>
          <cell r="L39">
            <v>62157527278</v>
          </cell>
          <cell r="M39">
            <v>95186882</v>
          </cell>
        </row>
        <row r="40">
          <cell r="B40" t="str">
            <v>A_Teachers_Ret/Term_NC</v>
          </cell>
          <cell r="C40">
            <v>153655</v>
          </cell>
          <cell r="D40">
            <v>7014484962</v>
          </cell>
          <cell r="E40">
            <v>43.12</v>
          </cell>
          <cell r="F40">
            <v>10.039999999999999</v>
          </cell>
          <cell r="G40">
            <v>0</v>
          </cell>
          <cell r="H40">
            <v>0</v>
          </cell>
          <cell r="I40">
            <v>19876720015</v>
          </cell>
          <cell r="J40">
            <v>0</v>
          </cell>
          <cell r="K40">
            <v>13110591511</v>
          </cell>
          <cell r="L40">
            <v>60188965174</v>
          </cell>
          <cell r="M40">
            <v>123151983</v>
          </cell>
        </row>
        <row r="41">
          <cell r="C41">
            <v>153467</v>
          </cell>
          <cell r="D41">
            <v>7197630199</v>
          </cell>
          <cell r="E41">
            <v>43.12</v>
          </cell>
          <cell r="F41">
            <v>10.050000000000001</v>
          </cell>
          <cell r="G41">
            <v>0</v>
          </cell>
          <cell r="H41">
            <v>0</v>
          </cell>
          <cell r="I41">
            <v>23448623732</v>
          </cell>
          <cell r="J41">
            <v>0</v>
          </cell>
          <cell r="K41">
            <v>13447595354</v>
          </cell>
          <cell r="L41">
            <v>72936824302</v>
          </cell>
          <cell r="M41">
            <v>92419781</v>
          </cell>
        </row>
        <row r="42">
          <cell r="B42" t="str">
            <v>A_Teachers_Fix Disability_NC</v>
          </cell>
          <cell r="C42">
            <v>153467</v>
          </cell>
          <cell r="D42">
            <v>7005852310</v>
          </cell>
          <cell r="E42">
            <v>43.12</v>
          </cell>
          <cell r="F42">
            <v>10.050000000000001</v>
          </cell>
          <cell r="G42">
            <v>0</v>
          </cell>
          <cell r="H42">
            <v>0</v>
          </cell>
          <cell r="I42">
            <v>19864939374</v>
          </cell>
          <cell r="J42">
            <v>0</v>
          </cell>
          <cell r="K42">
            <v>13106428115</v>
          </cell>
          <cell r="L42">
            <v>60128785087</v>
          </cell>
          <cell r="M42">
            <v>122721608</v>
          </cell>
        </row>
        <row r="43">
          <cell r="B43" t="str">
            <v>A_Teachers_Correct Groups_NC</v>
          </cell>
          <cell r="C43">
            <v>150859</v>
          </cell>
          <cell r="D43">
            <v>6918855488</v>
          </cell>
          <cell r="E43">
            <v>43.17</v>
          </cell>
          <cell r="F43">
            <v>10.26</v>
          </cell>
          <cell r="G43">
            <v>0</v>
          </cell>
          <cell r="H43">
            <v>0</v>
          </cell>
          <cell r="I43">
            <v>19498140919</v>
          </cell>
          <cell r="J43">
            <v>0</v>
          </cell>
          <cell r="K43">
            <v>12783002871</v>
          </cell>
          <cell r="L43">
            <v>59749832108</v>
          </cell>
          <cell r="M43">
            <v>115046171</v>
          </cell>
        </row>
        <row r="44">
          <cell r="B44" t="str">
            <v>A_Teachers_Adder_NC</v>
          </cell>
          <cell r="C44">
            <v>150859</v>
          </cell>
          <cell r="D44">
            <v>6918855488</v>
          </cell>
          <cell r="E44">
            <v>43.17</v>
          </cell>
          <cell r="F44">
            <v>10.26</v>
          </cell>
          <cell r="G44">
            <v>0</v>
          </cell>
          <cell r="H44">
            <v>0</v>
          </cell>
          <cell r="I44">
            <v>19506090462</v>
          </cell>
          <cell r="J44">
            <v>0</v>
          </cell>
          <cell r="K44">
            <v>12786592978</v>
          </cell>
          <cell r="L44">
            <v>59749832108</v>
          </cell>
          <cell r="M44">
            <v>115046171</v>
          </cell>
        </row>
        <row r="45">
          <cell r="B45" t="str">
            <v>A_General_Experience</v>
          </cell>
          <cell r="C45">
            <v>159781</v>
          </cell>
          <cell r="D45">
            <v>7114432763</v>
          </cell>
          <cell r="E45">
            <v>46.72</v>
          </cell>
          <cell r="F45">
            <v>10.46</v>
          </cell>
          <cell r="G45">
            <v>0</v>
          </cell>
          <cell r="H45">
            <v>0</v>
          </cell>
          <cell r="I45">
            <v>18203682438</v>
          </cell>
          <cell r="J45">
            <v>0</v>
          </cell>
          <cell r="K45">
            <v>12613304977</v>
          </cell>
          <cell r="L45">
            <v>54952076045</v>
          </cell>
          <cell r="M45">
            <v>103539098</v>
          </cell>
        </row>
        <row r="46">
          <cell r="B46" t="str">
            <v>A_General_Salary Scale</v>
          </cell>
          <cell r="C46">
            <v>159781</v>
          </cell>
          <cell r="D46">
            <v>7151946343</v>
          </cell>
          <cell r="E46">
            <v>46.72</v>
          </cell>
          <cell r="F46">
            <v>10.46</v>
          </cell>
          <cell r="G46">
            <v>0</v>
          </cell>
          <cell r="H46">
            <v>0</v>
          </cell>
          <cell r="I46">
            <v>19533447144</v>
          </cell>
          <cell r="J46">
            <v>0</v>
          </cell>
          <cell r="K46">
            <v>13177909460</v>
          </cell>
          <cell r="L46">
            <v>57699590162</v>
          </cell>
          <cell r="M46">
            <v>103769396</v>
          </cell>
        </row>
        <row r="47">
          <cell r="B47" t="str">
            <v>A_General_Sal + Inflation</v>
          </cell>
          <cell r="C47">
            <v>159781</v>
          </cell>
          <cell r="D47">
            <v>7134712737</v>
          </cell>
          <cell r="E47">
            <v>46.72</v>
          </cell>
          <cell r="F47">
            <v>10.46</v>
          </cell>
          <cell r="G47">
            <v>0</v>
          </cell>
          <cell r="H47">
            <v>0</v>
          </cell>
          <cell r="I47">
            <v>19109763266</v>
          </cell>
          <cell r="J47">
            <v>0</v>
          </cell>
          <cell r="K47">
            <v>13029805429</v>
          </cell>
          <cell r="L47">
            <v>56654965178</v>
          </cell>
          <cell r="M47">
            <v>103426819</v>
          </cell>
        </row>
        <row r="48">
          <cell r="B48" t="str">
            <v>A_General_Mortality</v>
          </cell>
          <cell r="C48">
            <v>159781</v>
          </cell>
          <cell r="D48">
            <v>7134712737</v>
          </cell>
          <cell r="E48">
            <v>46.72</v>
          </cell>
          <cell r="F48">
            <v>10.46</v>
          </cell>
          <cell r="G48">
            <v>0</v>
          </cell>
          <cell r="H48">
            <v>0</v>
          </cell>
          <cell r="I48">
            <v>19115272373</v>
          </cell>
          <cell r="J48">
            <v>0</v>
          </cell>
          <cell r="K48">
            <v>13039659317</v>
          </cell>
          <cell r="L48">
            <v>56709388710</v>
          </cell>
          <cell r="M48">
            <v>108298032</v>
          </cell>
        </row>
        <row r="49">
          <cell r="B49" t="str">
            <v>A_General_Ret/Term</v>
          </cell>
          <cell r="C49">
            <v>159781</v>
          </cell>
          <cell r="D49">
            <v>7134712737</v>
          </cell>
          <cell r="E49">
            <v>46.72</v>
          </cell>
          <cell r="F49">
            <v>10.46</v>
          </cell>
          <cell r="G49">
            <v>0</v>
          </cell>
          <cell r="H49">
            <v>0</v>
          </cell>
          <cell r="I49">
            <v>19247203427</v>
          </cell>
          <cell r="J49">
            <v>0</v>
          </cell>
          <cell r="K49">
            <v>13239890937</v>
          </cell>
          <cell r="L49">
            <v>55866842806</v>
          </cell>
          <cell r="M49">
            <v>125142335</v>
          </cell>
        </row>
        <row r="50">
          <cell r="C50">
            <v>159651</v>
          </cell>
          <cell r="D50">
            <v>7110676919</v>
          </cell>
          <cell r="E50">
            <v>46.72</v>
          </cell>
          <cell r="F50">
            <v>10.46</v>
          </cell>
          <cell r="G50">
            <v>0</v>
          </cell>
          <cell r="H50">
            <v>0</v>
          </cell>
          <cell r="I50">
            <v>18198100018</v>
          </cell>
          <cell r="J50">
            <v>0</v>
          </cell>
          <cell r="K50">
            <v>12610873553</v>
          </cell>
          <cell r="L50">
            <v>54923724595</v>
          </cell>
          <cell r="M50">
            <v>103397350</v>
          </cell>
        </row>
        <row r="51">
          <cell r="B51" t="str">
            <v>A_General_Fix Disability</v>
          </cell>
          <cell r="C51">
            <v>159651</v>
          </cell>
          <cell r="D51">
            <v>7130956094</v>
          </cell>
          <cell r="E51">
            <v>46.72</v>
          </cell>
          <cell r="F51">
            <v>10.46</v>
          </cell>
          <cell r="G51">
            <v>0</v>
          </cell>
          <cell r="H51">
            <v>0</v>
          </cell>
          <cell r="I51">
            <v>19241524845</v>
          </cell>
          <cell r="J51">
            <v>0</v>
          </cell>
          <cell r="K51">
            <v>13237330356</v>
          </cell>
          <cell r="L51">
            <v>55839904506</v>
          </cell>
          <cell r="M51">
            <v>124967543</v>
          </cell>
        </row>
        <row r="52">
          <cell r="B52" t="str">
            <v>A_General_Correct Groups</v>
          </cell>
          <cell r="C52">
            <v>113353</v>
          </cell>
          <cell r="D52">
            <v>5214530027</v>
          </cell>
          <cell r="E52">
            <v>45.8</v>
          </cell>
          <cell r="F52">
            <v>10.06</v>
          </cell>
          <cell r="G52">
            <v>0</v>
          </cell>
          <cell r="H52">
            <v>0</v>
          </cell>
          <cell r="I52">
            <v>13720494939</v>
          </cell>
          <cell r="J52">
            <v>0</v>
          </cell>
          <cell r="K52">
            <v>9257315997</v>
          </cell>
          <cell r="L52">
            <v>41545877871</v>
          </cell>
          <cell r="M52">
            <v>101993763</v>
          </cell>
        </row>
        <row r="53">
          <cell r="B53" t="str">
            <v>A_General_Adder</v>
          </cell>
          <cell r="C53">
            <v>113353</v>
          </cell>
          <cell r="D53">
            <v>5214530027</v>
          </cell>
          <cell r="E53">
            <v>45.8</v>
          </cell>
          <cell r="F53">
            <v>10.06</v>
          </cell>
          <cell r="G53">
            <v>0</v>
          </cell>
          <cell r="H53">
            <v>0</v>
          </cell>
          <cell r="I53">
            <v>13666035001</v>
          </cell>
          <cell r="J53">
            <v>0</v>
          </cell>
          <cell r="K53">
            <v>9216800399</v>
          </cell>
          <cell r="L53">
            <v>41545877871</v>
          </cell>
          <cell r="M53">
            <v>101993763</v>
          </cell>
        </row>
        <row r="54">
          <cell r="B54" t="str">
            <v>A_General_Experience_NC</v>
          </cell>
          <cell r="C54">
            <v>159781</v>
          </cell>
          <cell r="D54">
            <v>7114432763</v>
          </cell>
          <cell r="E54">
            <v>46.72</v>
          </cell>
          <cell r="F54">
            <v>10.46</v>
          </cell>
          <cell r="G54">
            <v>0</v>
          </cell>
          <cell r="H54">
            <v>0</v>
          </cell>
          <cell r="I54">
            <v>18171747316</v>
          </cell>
          <cell r="J54">
            <v>0</v>
          </cell>
          <cell r="K54">
            <v>12595741783</v>
          </cell>
          <cell r="L54">
            <v>54952076045</v>
          </cell>
          <cell r="M54">
            <v>103539098</v>
          </cell>
        </row>
        <row r="55">
          <cell r="B55" t="str">
            <v>A_General_Salary Scale_NC</v>
          </cell>
          <cell r="C55">
            <v>159781</v>
          </cell>
          <cell r="D55">
            <v>7151946343</v>
          </cell>
          <cell r="E55">
            <v>46.72</v>
          </cell>
          <cell r="F55">
            <v>10.46</v>
          </cell>
          <cell r="G55">
            <v>0</v>
          </cell>
          <cell r="H55">
            <v>0</v>
          </cell>
          <cell r="I55">
            <v>19484163138</v>
          </cell>
          <cell r="J55">
            <v>0</v>
          </cell>
          <cell r="K55">
            <v>13153737609</v>
          </cell>
          <cell r="L55">
            <v>57699590162</v>
          </cell>
          <cell r="M55">
            <v>103769396</v>
          </cell>
        </row>
        <row r="56">
          <cell r="B56" t="str">
            <v>A_General_Sal + Inflation_NC</v>
          </cell>
          <cell r="C56">
            <v>159781</v>
          </cell>
          <cell r="D56">
            <v>7134712737</v>
          </cell>
          <cell r="E56">
            <v>46.72</v>
          </cell>
          <cell r="F56">
            <v>10.46</v>
          </cell>
          <cell r="G56">
            <v>0</v>
          </cell>
          <cell r="H56">
            <v>0</v>
          </cell>
          <cell r="I56">
            <v>19064846506</v>
          </cell>
          <cell r="J56">
            <v>0</v>
          </cell>
          <cell r="K56">
            <v>13005391127</v>
          </cell>
          <cell r="L56">
            <v>56654965178</v>
          </cell>
          <cell r="M56">
            <v>103426819</v>
          </cell>
        </row>
        <row r="57">
          <cell r="B57" t="str">
            <v>A_General_Mortality_NC</v>
          </cell>
          <cell r="C57">
            <v>159781</v>
          </cell>
          <cell r="D57">
            <v>7134712737</v>
          </cell>
          <cell r="E57">
            <v>46.72</v>
          </cell>
          <cell r="F57">
            <v>10.46</v>
          </cell>
          <cell r="G57">
            <v>0</v>
          </cell>
          <cell r="H57">
            <v>0</v>
          </cell>
          <cell r="I57">
            <v>19070367058</v>
          </cell>
          <cell r="J57">
            <v>0</v>
          </cell>
          <cell r="K57">
            <v>13015172563</v>
          </cell>
          <cell r="L57">
            <v>56709388710</v>
          </cell>
          <cell r="M57">
            <v>108298032</v>
          </cell>
        </row>
        <row r="58">
          <cell r="B58" t="str">
            <v>A_General_Ret/Term_NC</v>
          </cell>
          <cell r="C58">
            <v>159781</v>
          </cell>
          <cell r="D58">
            <v>7134712737</v>
          </cell>
          <cell r="E58">
            <v>46.72</v>
          </cell>
          <cell r="F58">
            <v>10.46</v>
          </cell>
          <cell r="G58">
            <v>0</v>
          </cell>
          <cell r="H58">
            <v>0</v>
          </cell>
          <cell r="I58">
            <v>19202033004</v>
          </cell>
          <cell r="J58">
            <v>0</v>
          </cell>
          <cell r="K58">
            <v>13214139486</v>
          </cell>
          <cell r="L58">
            <v>55866842806</v>
          </cell>
          <cell r="M58">
            <v>125142335</v>
          </cell>
        </row>
        <row r="59">
          <cell r="C59">
            <v>159651</v>
          </cell>
          <cell r="D59">
            <v>7110676919</v>
          </cell>
          <cell r="E59">
            <v>46.72</v>
          </cell>
          <cell r="F59">
            <v>10.46</v>
          </cell>
          <cell r="G59">
            <v>0</v>
          </cell>
          <cell r="H59">
            <v>0</v>
          </cell>
          <cell r="I59">
            <v>18166220750</v>
          </cell>
          <cell r="J59">
            <v>0</v>
          </cell>
          <cell r="K59">
            <v>12593310831</v>
          </cell>
          <cell r="L59">
            <v>54923724595</v>
          </cell>
          <cell r="M59">
            <v>103397350</v>
          </cell>
        </row>
        <row r="60">
          <cell r="B60" t="str">
            <v>A_General_Fix Disability_NC</v>
          </cell>
          <cell r="C60">
            <v>159651</v>
          </cell>
          <cell r="D60">
            <v>7130956094</v>
          </cell>
          <cell r="E60">
            <v>46.72</v>
          </cell>
          <cell r="F60">
            <v>10.46</v>
          </cell>
          <cell r="G60">
            <v>0</v>
          </cell>
          <cell r="H60">
            <v>0</v>
          </cell>
          <cell r="I60">
            <v>19196422939</v>
          </cell>
          <cell r="J60">
            <v>0</v>
          </cell>
          <cell r="K60">
            <v>13211593932</v>
          </cell>
          <cell r="L60">
            <v>55839904506</v>
          </cell>
          <cell r="M60">
            <v>124967543</v>
          </cell>
        </row>
        <row r="61">
          <cell r="B61" t="str">
            <v>A_General_Correct Groups_NC</v>
          </cell>
          <cell r="C61">
            <v>113353</v>
          </cell>
          <cell r="D61">
            <v>5214530027</v>
          </cell>
          <cell r="E61">
            <v>45.8</v>
          </cell>
          <cell r="F61">
            <v>10.06</v>
          </cell>
          <cell r="G61">
            <v>0</v>
          </cell>
          <cell r="H61">
            <v>0</v>
          </cell>
          <cell r="I61">
            <v>13690341704</v>
          </cell>
          <cell r="J61">
            <v>0</v>
          </cell>
          <cell r="K61">
            <v>9238189599</v>
          </cell>
          <cell r="L61">
            <v>41545877871</v>
          </cell>
          <cell r="M61">
            <v>101993763</v>
          </cell>
        </row>
        <row r="62">
          <cell r="B62" t="str">
            <v>A_General_Adder_NC</v>
          </cell>
          <cell r="C62">
            <v>113353</v>
          </cell>
          <cell r="D62">
            <v>5214530027</v>
          </cell>
          <cell r="E62">
            <v>45.8</v>
          </cell>
          <cell r="F62">
            <v>10.06</v>
          </cell>
          <cell r="G62">
            <v>0</v>
          </cell>
          <cell r="H62">
            <v>0</v>
          </cell>
          <cell r="I62">
            <v>13636005517</v>
          </cell>
          <cell r="J62">
            <v>0</v>
          </cell>
          <cell r="K62">
            <v>9197788265</v>
          </cell>
          <cell r="L62">
            <v>41545877871</v>
          </cell>
          <cell r="M62">
            <v>101993763</v>
          </cell>
        </row>
        <row r="63">
          <cell r="B63" t="str">
            <v>A_Law Enforcement Officers_Experience</v>
          </cell>
          <cell r="C63">
            <v>3531</v>
          </cell>
          <cell r="D63">
            <v>204921033</v>
          </cell>
          <cell r="E63">
            <v>39.92</v>
          </cell>
          <cell r="F63">
            <v>12.79</v>
          </cell>
          <cell r="G63">
            <v>0</v>
          </cell>
          <cell r="H63">
            <v>0</v>
          </cell>
          <cell r="I63">
            <v>708954505</v>
          </cell>
          <cell r="J63">
            <v>0</v>
          </cell>
          <cell r="K63">
            <v>470609614</v>
          </cell>
          <cell r="L63">
            <v>1933260599</v>
          </cell>
          <cell r="M63">
            <v>1596836</v>
          </cell>
        </row>
        <row r="64">
          <cell r="B64" t="str">
            <v>A_Law Enforcement Officers_Salary Scale</v>
          </cell>
          <cell r="C64">
            <v>3531</v>
          </cell>
          <cell r="D64">
            <v>205533472</v>
          </cell>
          <cell r="E64">
            <v>39.92</v>
          </cell>
          <cell r="F64">
            <v>12.79</v>
          </cell>
          <cell r="G64">
            <v>0</v>
          </cell>
          <cell r="H64">
            <v>0</v>
          </cell>
          <cell r="I64">
            <v>714412477</v>
          </cell>
          <cell r="J64">
            <v>0</v>
          </cell>
          <cell r="K64">
            <v>470942371</v>
          </cell>
          <cell r="L64">
            <v>1956112867</v>
          </cell>
          <cell r="M64">
            <v>1608659</v>
          </cell>
        </row>
        <row r="65">
          <cell r="B65" t="str">
            <v>A_Law Enforcement Officers_Sal + Inflation</v>
          </cell>
          <cell r="C65">
            <v>3531</v>
          </cell>
          <cell r="D65">
            <v>205038211</v>
          </cell>
          <cell r="E65">
            <v>39.92</v>
          </cell>
          <cell r="F65">
            <v>12.79</v>
          </cell>
          <cell r="G65">
            <v>0</v>
          </cell>
          <cell r="H65">
            <v>0</v>
          </cell>
          <cell r="I65">
            <v>696757223</v>
          </cell>
          <cell r="J65">
            <v>0</v>
          </cell>
          <cell r="K65">
            <v>465128901</v>
          </cell>
          <cell r="L65">
            <v>1918349447</v>
          </cell>
          <cell r="M65">
            <v>1603288</v>
          </cell>
        </row>
        <row r="66">
          <cell r="B66" t="str">
            <v>A_Law Enforcement Officers_Mortality</v>
          </cell>
          <cell r="C66">
            <v>3531</v>
          </cell>
          <cell r="D66">
            <v>205038211</v>
          </cell>
          <cell r="E66">
            <v>39.92</v>
          </cell>
          <cell r="F66">
            <v>12.79</v>
          </cell>
          <cell r="G66">
            <v>0</v>
          </cell>
          <cell r="H66">
            <v>0</v>
          </cell>
          <cell r="I66">
            <v>710249922</v>
          </cell>
          <cell r="J66">
            <v>0</v>
          </cell>
          <cell r="K66">
            <v>474619999</v>
          </cell>
          <cell r="L66">
            <v>1920299304</v>
          </cell>
          <cell r="M66">
            <v>1562132</v>
          </cell>
        </row>
        <row r="67">
          <cell r="B67" t="str">
            <v>A_Law Enforcement Officers_Ret/Term</v>
          </cell>
          <cell r="C67">
            <v>3531</v>
          </cell>
          <cell r="D67">
            <v>205038211</v>
          </cell>
          <cell r="E67">
            <v>39.92</v>
          </cell>
          <cell r="F67">
            <v>12.79</v>
          </cell>
          <cell r="G67">
            <v>0</v>
          </cell>
          <cell r="H67">
            <v>0</v>
          </cell>
          <cell r="I67">
            <v>709426770</v>
          </cell>
          <cell r="J67">
            <v>0</v>
          </cell>
          <cell r="K67">
            <v>479848584</v>
          </cell>
          <cell r="L67">
            <v>1834263218</v>
          </cell>
          <cell r="M67">
            <v>1763392</v>
          </cell>
        </row>
        <row r="68">
          <cell r="C68">
            <v>3529</v>
          </cell>
          <cell r="D68">
            <v>204829979</v>
          </cell>
          <cell r="E68">
            <v>39.92</v>
          </cell>
          <cell r="F68">
            <v>12.8</v>
          </cell>
          <cell r="G68">
            <v>0</v>
          </cell>
          <cell r="H68">
            <v>0</v>
          </cell>
          <cell r="I68">
            <v>708712517</v>
          </cell>
          <cell r="J68">
            <v>0</v>
          </cell>
          <cell r="K68">
            <v>470495366</v>
          </cell>
          <cell r="L68">
            <v>1932204183</v>
          </cell>
          <cell r="M68">
            <v>1595118</v>
          </cell>
        </row>
        <row r="69">
          <cell r="B69" t="str">
            <v>A_Law Enforcement Officers_Fix Disability</v>
          </cell>
          <cell r="C69">
            <v>3529</v>
          </cell>
          <cell r="D69">
            <v>204947078</v>
          </cell>
          <cell r="E69">
            <v>39.92</v>
          </cell>
          <cell r="F69">
            <v>12.8</v>
          </cell>
          <cell r="G69">
            <v>0</v>
          </cell>
          <cell r="H69">
            <v>0</v>
          </cell>
          <cell r="I69">
            <v>709192318</v>
          </cell>
          <cell r="J69">
            <v>0</v>
          </cell>
          <cell r="K69">
            <v>479734850</v>
          </cell>
          <cell r="L69">
            <v>1833276046</v>
          </cell>
          <cell r="M69">
            <v>1761546</v>
          </cell>
        </row>
        <row r="70">
          <cell r="B70" t="str">
            <v>A_Law Enforcement Officers_Correct Groups</v>
          </cell>
          <cell r="C70">
            <v>3529</v>
          </cell>
          <cell r="D70">
            <v>204947078</v>
          </cell>
          <cell r="E70">
            <v>39.92</v>
          </cell>
          <cell r="F70">
            <v>12.8</v>
          </cell>
          <cell r="G70">
            <v>0</v>
          </cell>
          <cell r="H70">
            <v>0</v>
          </cell>
          <cell r="I70">
            <v>709198672</v>
          </cell>
          <cell r="J70">
            <v>0</v>
          </cell>
          <cell r="K70">
            <v>479747821</v>
          </cell>
          <cell r="L70">
            <v>1833276562</v>
          </cell>
          <cell r="M70">
            <v>1761540</v>
          </cell>
        </row>
        <row r="71">
          <cell r="B71" t="str">
            <v>A_Law Enforcement Officers_Adder</v>
          </cell>
          <cell r="C71">
            <v>3529</v>
          </cell>
          <cell r="D71">
            <v>204947078</v>
          </cell>
          <cell r="E71">
            <v>39.92</v>
          </cell>
          <cell r="F71">
            <v>12.8</v>
          </cell>
          <cell r="G71">
            <v>0</v>
          </cell>
          <cell r="H71">
            <v>0</v>
          </cell>
          <cell r="I71">
            <v>721174871</v>
          </cell>
          <cell r="J71">
            <v>0</v>
          </cell>
          <cell r="K71">
            <v>488384054</v>
          </cell>
          <cell r="L71">
            <v>1833276562</v>
          </cell>
          <cell r="M71">
            <v>1761540</v>
          </cell>
        </row>
        <row r="72">
          <cell r="B72" t="str">
            <v>A_Law Enforcement Officers_Experience_NC</v>
          </cell>
          <cell r="C72">
            <v>3531</v>
          </cell>
          <cell r="D72">
            <v>204921033</v>
          </cell>
          <cell r="E72">
            <v>39.92</v>
          </cell>
          <cell r="F72">
            <v>12.79</v>
          </cell>
          <cell r="G72">
            <v>0</v>
          </cell>
          <cell r="H72">
            <v>0</v>
          </cell>
          <cell r="I72">
            <v>708304139</v>
          </cell>
          <cell r="J72">
            <v>0</v>
          </cell>
          <cell r="K72">
            <v>470711802</v>
          </cell>
          <cell r="L72">
            <v>1933260599</v>
          </cell>
          <cell r="M72">
            <v>1596836</v>
          </cell>
        </row>
        <row r="73">
          <cell r="B73" t="str">
            <v>A_Law Enforcement Officers_Salary Scale_NC</v>
          </cell>
          <cell r="C73">
            <v>3531</v>
          </cell>
          <cell r="D73">
            <v>205533472</v>
          </cell>
          <cell r="E73">
            <v>39.92</v>
          </cell>
          <cell r="F73">
            <v>12.79</v>
          </cell>
          <cell r="G73">
            <v>0</v>
          </cell>
          <cell r="H73">
            <v>0</v>
          </cell>
          <cell r="I73">
            <v>713703270</v>
          </cell>
          <cell r="J73">
            <v>0</v>
          </cell>
          <cell r="K73">
            <v>470994374</v>
          </cell>
          <cell r="L73">
            <v>1956112867</v>
          </cell>
          <cell r="M73">
            <v>1608659</v>
          </cell>
        </row>
        <row r="74">
          <cell r="B74" t="str">
            <v>A_Law Enforcement Officers_Sal + Inflation_NC</v>
          </cell>
          <cell r="C74">
            <v>3531</v>
          </cell>
          <cell r="D74">
            <v>205038211</v>
          </cell>
          <cell r="E74">
            <v>39.92</v>
          </cell>
          <cell r="F74">
            <v>12.79</v>
          </cell>
          <cell r="G74">
            <v>0</v>
          </cell>
          <cell r="H74">
            <v>0</v>
          </cell>
          <cell r="I74">
            <v>696139942</v>
          </cell>
          <cell r="J74">
            <v>0</v>
          </cell>
          <cell r="K74">
            <v>465153024</v>
          </cell>
          <cell r="L74">
            <v>1918349447</v>
          </cell>
          <cell r="M74">
            <v>1603288</v>
          </cell>
        </row>
        <row r="75">
          <cell r="B75" t="str">
            <v>A_Law Enforcement Officers_Mortality_NC</v>
          </cell>
          <cell r="C75">
            <v>3531</v>
          </cell>
          <cell r="D75">
            <v>205038211</v>
          </cell>
          <cell r="E75">
            <v>39.92</v>
          </cell>
          <cell r="F75">
            <v>12.79</v>
          </cell>
          <cell r="G75">
            <v>0</v>
          </cell>
          <cell r="H75">
            <v>0</v>
          </cell>
          <cell r="I75">
            <v>709619780</v>
          </cell>
          <cell r="J75">
            <v>0</v>
          </cell>
          <cell r="K75">
            <v>474623854</v>
          </cell>
          <cell r="L75">
            <v>1920299304</v>
          </cell>
          <cell r="M75">
            <v>1562132</v>
          </cell>
        </row>
        <row r="76">
          <cell r="B76" t="str">
            <v>A_Law Enforcement Officers_Ret/Term_NC</v>
          </cell>
          <cell r="C76">
            <v>3531</v>
          </cell>
          <cell r="D76">
            <v>205038211</v>
          </cell>
          <cell r="E76">
            <v>39.92</v>
          </cell>
          <cell r="F76">
            <v>12.79</v>
          </cell>
          <cell r="G76">
            <v>0</v>
          </cell>
          <cell r="H76">
            <v>0</v>
          </cell>
          <cell r="I76">
            <v>708673950</v>
          </cell>
          <cell r="J76">
            <v>0</v>
          </cell>
          <cell r="K76">
            <v>479626701</v>
          </cell>
          <cell r="L76">
            <v>1834263218</v>
          </cell>
          <cell r="M76">
            <v>1763392</v>
          </cell>
        </row>
        <row r="77">
          <cell r="C77">
            <v>3529</v>
          </cell>
          <cell r="D77">
            <v>204829979</v>
          </cell>
          <cell r="E77">
            <v>39.92</v>
          </cell>
          <cell r="F77">
            <v>12.8</v>
          </cell>
          <cell r="G77">
            <v>0</v>
          </cell>
          <cell r="H77">
            <v>0</v>
          </cell>
          <cell r="I77">
            <v>708060807</v>
          </cell>
          <cell r="J77">
            <v>0</v>
          </cell>
          <cell r="K77">
            <v>470600581</v>
          </cell>
          <cell r="L77">
            <v>1932204183</v>
          </cell>
          <cell r="M77">
            <v>1595118</v>
          </cell>
        </row>
        <row r="78">
          <cell r="B78" t="str">
            <v>A_Law Enforcement Officers_Fix Disability_NC</v>
          </cell>
          <cell r="C78">
            <v>3529</v>
          </cell>
          <cell r="D78">
            <v>204947078</v>
          </cell>
          <cell r="E78">
            <v>39.92</v>
          </cell>
          <cell r="F78">
            <v>12.8</v>
          </cell>
          <cell r="G78">
            <v>0</v>
          </cell>
          <cell r="H78">
            <v>0</v>
          </cell>
          <cell r="I78">
            <v>708437817</v>
          </cell>
          <cell r="J78">
            <v>0</v>
          </cell>
          <cell r="K78">
            <v>479516026</v>
          </cell>
          <cell r="L78">
            <v>1833276046</v>
          </cell>
          <cell r="M78">
            <v>1761546</v>
          </cell>
        </row>
        <row r="79">
          <cell r="B79" t="str">
            <v>A_Law Enforcement Officers_Correct Groups_NC</v>
          </cell>
          <cell r="C79">
            <v>3529</v>
          </cell>
          <cell r="D79">
            <v>204947078</v>
          </cell>
          <cell r="E79">
            <v>39.92</v>
          </cell>
          <cell r="F79">
            <v>12.8</v>
          </cell>
          <cell r="G79">
            <v>0</v>
          </cell>
          <cell r="H79">
            <v>0</v>
          </cell>
          <cell r="I79">
            <v>708439904</v>
          </cell>
          <cell r="J79">
            <v>0</v>
          </cell>
          <cell r="K79">
            <v>479518416</v>
          </cell>
          <cell r="L79">
            <v>1833276562</v>
          </cell>
          <cell r="M79">
            <v>1761540</v>
          </cell>
        </row>
        <row r="80">
          <cell r="B80" t="str">
            <v>A_Law Enforcement Officers_Adder_NC</v>
          </cell>
          <cell r="C80">
            <v>3529</v>
          </cell>
          <cell r="D80">
            <v>204947078</v>
          </cell>
          <cell r="E80">
            <v>39.92</v>
          </cell>
          <cell r="F80">
            <v>12.8</v>
          </cell>
          <cell r="G80">
            <v>0</v>
          </cell>
          <cell r="H80">
            <v>0</v>
          </cell>
          <cell r="I80">
            <v>720404503</v>
          </cell>
          <cell r="J80">
            <v>0</v>
          </cell>
          <cell r="K80">
            <v>488145675</v>
          </cell>
          <cell r="L80">
            <v>1833276562</v>
          </cell>
          <cell r="M80">
            <v>1761540</v>
          </cell>
        </row>
        <row r="81">
          <cell r="B81" t="str">
            <v>R_Teachers_Experience</v>
          </cell>
          <cell r="C81">
            <v>0</v>
          </cell>
          <cell r="D81">
            <v>0</v>
          </cell>
          <cell r="E81">
            <v>0</v>
          </cell>
          <cell r="F81">
            <v>0</v>
          </cell>
          <cell r="G81">
            <v>68841</v>
          </cell>
          <cell r="H81">
            <v>1847585434</v>
          </cell>
          <cell r="I81">
            <v>0</v>
          </cell>
          <cell r="J81">
            <v>15957555420</v>
          </cell>
          <cell r="K81">
            <v>0</v>
          </cell>
          <cell r="L81">
            <v>0</v>
          </cell>
        </row>
        <row r="82">
          <cell r="B82" t="str">
            <v>R_Teachers_Mortality</v>
          </cell>
          <cell r="C82">
            <v>0</v>
          </cell>
          <cell r="D82">
            <v>0</v>
          </cell>
          <cell r="E82">
            <v>0</v>
          </cell>
          <cell r="F82">
            <v>0</v>
          </cell>
          <cell r="G82">
            <v>68841</v>
          </cell>
          <cell r="H82">
            <v>1847585434</v>
          </cell>
          <cell r="I82">
            <v>0</v>
          </cell>
          <cell r="J82">
            <v>15915446811</v>
          </cell>
          <cell r="K82">
            <v>0</v>
          </cell>
          <cell r="L82">
            <v>0</v>
          </cell>
        </row>
        <row r="83">
          <cell r="C83">
            <v>0</v>
          </cell>
          <cell r="D83">
            <v>0</v>
          </cell>
          <cell r="E83">
            <v>0</v>
          </cell>
          <cell r="F83">
            <v>0</v>
          </cell>
          <cell r="G83">
            <v>68841</v>
          </cell>
          <cell r="H83">
            <v>1849617003</v>
          </cell>
          <cell r="I83">
            <v>0</v>
          </cell>
          <cell r="J83">
            <v>15916949516</v>
          </cell>
          <cell r="K83">
            <v>0</v>
          </cell>
          <cell r="L83">
            <v>0</v>
          </cell>
        </row>
        <row r="84">
          <cell r="B84" t="str">
            <v>R_Teachers_Fix Disability</v>
          </cell>
          <cell r="C84">
            <v>0</v>
          </cell>
          <cell r="D84">
            <v>0</v>
          </cell>
          <cell r="E84">
            <v>0</v>
          </cell>
          <cell r="F84">
            <v>0</v>
          </cell>
          <cell r="G84">
            <v>68841</v>
          </cell>
          <cell r="H84">
            <v>1849617003</v>
          </cell>
          <cell r="I84">
            <v>0</v>
          </cell>
          <cell r="J84">
            <v>15874371810</v>
          </cell>
          <cell r="K84">
            <v>0</v>
          </cell>
          <cell r="L84">
            <v>0</v>
          </cell>
        </row>
        <row r="85">
          <cell r="C85">
            <v>0</v>
          </cell>
          <cell r="D85">
            <v>0</v>
          </cell>
          <cell r="E85">
            <v>0</v>
          </cell>
          <cell r="F85">
            <v>0</v>
          </cell>
          <cell r="G85">
            <v>68735</v>
          </cell>
          <cell r="H85">
            <v>1846681031</v>
          </cell>
          <cell r="I85">
            <v>0</v>
          </cell>
          <cell r="J85">
            <v>15845650965</v>
          </cell>
          <cell r="K85">
            <v>0</v>
          </cell>
          <cell r="L85">
            <v>0</v>
          </cell>
        </row>
        <row r="86">
          <cell r="C86">
            <v>0</v>
          </cell>
          <cell r="D86">
            <v>0</v>
          </cell>
          <cell r="E86">
            <v>0</v>
          </cell>
          <cell r="F86">
            <v>0</v>
          </cell>
          <cell r="G86">
            <v>2695</v>
          </cell>
          <cell r="H86">
            <v>67411529</v>
          </cell>
          <cell r="I86">
            <v>0</v>
          </cell>
          <cell r="J86">
            <v>637471005</v>
          </cell>
          <cell r="K86">
            <v>0</v>
          </cell>
          <cell r="L86">
            <v>0</v>
          </cell>
        </row>
        <row r="87">
          <cell r="B87" t="str">
            <v>A_Other Education_Correct Groups</v>
          </cell>
          <cell r="C87">
            <v>48906</v>
          </cell>
          <cell r="D87">
            <v>2001734581</v>
          </cell>
          <cell r="E87">
            <v>48.51</v>
          </cell>
          <cell r="F87">
            <v>10.72</v>
          </cell>
          <cell r="G87">
            <v>0</v>
          </cell>
          <cell r="H87">
            <v>0</v>
          </cell>
          <cell r="I87">
            <v>5739278205</v>
          </cell>
          <cell r="J87">
            <v>0</v>
          </cell>
          <cell r="K87">
            <v>4197560229</v>
          </cell>
          <cell r="L87">
            <v>14693640050</v>
          </cell>
          <cell r="M87">
            <v>30291613</v>
          </cell>
        </row>
        <row r="88">
          <cell r="B88" t="str">
            <v>A_Other Education_Adder</v>
          </cell>
          <cell r="C88">
            <v>48906</v>
          </cell>
          <cell r="D88">
            <v>2001734581</v>
          </cell>
          <cell r="E88">
            <v>48.51</v>
          </cell>
          <cell r="F88">
            <v>10.72</v>
          </cell>
          <cell r="G88">
            <v>0</v>
          </cell>
          <cell r="H88">
            <v>0</v>
          </cell>
          <cell r="I88">
            <v>5761087963</v>
          </cell>
          <cell r="J88">
            <v>0</v>
          </cell>
          <cell r="K88">
            <v>4214541754</v>
          </cell>
          <cell r="L88">
            <v>14693640050</v>
          </cell>
          <cell r="M88">
            <v>30291613</v>
          </cell>
        </row>
        <row r="89">
          <cell r="B89" t="str">
            <v>A_Other Education_Correct Groups_NC</v>
          </cell>
          <cell r="C89">
            <v>48906</v>
          </cell>
          <cell r="D89">
            <v>2001734581</v>
          </cell>
          <cell r="E89">
            <v>48.51</v>
          </cell>
          <cell r="F89">
            <v>10.72</v>
          </cell>
          <cell r="G89">
            <v>0</v>
          </cell>
          <cell r="H89">
            <v>0</v>
          </cell>
          <cell r="I89">
            <v>5724709811</v>
          </cell>
          <cell r="J89">
            <v>0</v>
          </cell>
          <cell r="K89">
            <v>4186909441</v>
          </cell>
          <cell r="L89">
            <v>14693640050</v>
          </cell>
          <cell r="M89">
            <v>30291613</v>
          </cell>
        </row>
        <row r="90">
          <cell r="B90" t="str">
            <v>A_Other Education_Adder_NC</v>
          </cell>
          <cell r="C90">
            <v>48906</v>
          </cell>
          <cell r="D90">
            <v>2001734581</v>
          </cell>
          <cell r="E90">
            <v>48.51</v>
          </cell>
          <cell r="F90">
            <v>10.72</v>
          </cell>
          <cell r="G90">
            <v>0</v>
          </cell>
          <cell r="H90">
            <v>0</v>
          </cell>
          <cell r="I90">
            <v>5746463894</v>
          </cell>
          <cell r="J90">
            <v>0</v>
          </cell>
          <cell r="K90">
            <v>4203843173</v>
          </cell>
          <cell r="L90">
            <v>14693640050</v>
          </cell>
          <cell r="M90">
            <v>30291613</v>
          </cell>
        </row>
        <row r="91">
          <cell r="B91" t="str">
            <v>B_Teachers_Experience</v>
          </cell>
          <cell r="C91">
            <v>0</v>
          </cell>
          <cell r="D91">
            <v>0</v>
          </cell>
          <cell r="E91">
            <v>0</v>
          </cell>
          <cell r="F91">
            <v>0</v>
          </cell>
          <cell r="G91">
            <v>3850</v>
          </cell>
          <cell r="H91">
            <v>63949635</v>
          </cell>
          <cell r="I91">
            <v>0</v>
          </cell>
          <cell r="J91">
            <v>509309400</v>
          </cell>
          <cell r="K91">
            <v>0</v>
          </cell>
          <cell r="L91">
            <v>0</v>
          </cell>
        </row>
        <row r="92">
          <cell r="B92" t="str">
            <v>B_Teachers_Mortality</v>
          </cell>
          <cell r="C92">
            <v>0</v>
          </cell>
          <cell r="D92">
            <v>0</v>
          </cell>
          <cell r="E92">
            <v>0</v>
          </cell>
          <cell r="F92">
            <v>0</v>
          </cell>
          <cell r="G92">
            <v>3850</v>
          </cell>
          <cell r="H92">
            <v>63949635</v>
          </cell>
          <cell r="I92">
            <v>0</v>
          </cell>
          <cell r="J92">
            <v>499131345</v>
          </cell>
          <cell r="K92">
            <v>0</v>
          </cell>
          <cell r="L92">
            <v>0</v>
          </cell>
        </row>
        <row r="93">
          <cell r="C93">
            <v>0</v>
          </cell>
          <cell r="D93">
            <v>0</v>
          </cell>
          <cell r="E93">
            <v>0</v>
          </cell>
          <cell r="F93">
            <v>0</v>
          </cell>
          <cell r="G93">
            <v>3805</v>
          </cell>
          <cell r="H93">
            <v>63344976</v>
          </cell>
          <cell r="I93">
            <v>0</v>
          </cell>
          <cell r="J93">
            <v>491494756</v>
          </cell>
          <cell r="K93">
            <v>0</v>
          </cell>
          <cell r="L93">
            <v>0</v>
          </cell>
        </row>
        <row r="94">
          <cell r="C94">
            <v>0</v>
          </cell>
          <cell r="D94">
            <v>0</v>
          </cell>
          <cell r="E94">
            <v>0</v>
          </cell>
          <cell r="F94">
            <v>0</v>
          </cell>
          <cell r="G94">
            <v>4</v>
          </cell>
          <cell r="H94">
            <v>42393</v>
          </cell>
          <cell r="I94">
            <v>0</v>
          </cell>
          <cell r="J94">
            <v>456295</v>
          </cell>
          <cell r="K94">
            <v>0</v>
          </cell>
          <cell r="L94">
            <v>0</v>
          </cell>
        </row>
        <row r="95">
          <cell r="B95" t="str">
            <v>R_General_Experience</v>
          </cell>
          <cell r="C95">
            <v>0</v>
          </cell>
          <cell r="D95">
            <v>0</v>
          </cell>
          <cell r="E95">
            <v>0</v>
          </cell>
          <cell r="F95">
            <v>0</v>
          </cell>
          <cell r="G95">
            <v>73315</v>
          </cell>
          <cell r="H95">
            <v>1294719448</v>
          </cell>
          <cell r="I95">
            <v>0</v>
          </cell>
          <cell r="J95">
            <v>11017295178</v>
          </cell>
          <cell r="K95">
            <v>0</v>
          </cell>
          <cell r="L95">
            <v>0</v>
          </cell>
        </row>
        <row r="96">
          <cell r="B96" t="str">
            <v>R_General_Mortality</v>
          </cell>
          <cell r="C96">
            <v>0</v>
          </cell>
          <cell r="D96">
            <v>0</v>
          </cell>
          <cell r="E96">
            <v>0</v>
          </cell>
          <cell r="F96">
            <v>0</v>
          </cell>
          <cell r="G96">
            <v>73315</v>
          </cell>
          <cell r="H96">
            <v>1294719448</v>
          </cell>
          <cell r="I96">
            <v>0</v>
          </cell>
          <cell r="J96">
            <v>11013868775</v>
          </cell>
          <cell r="K96">
            <v>0</v>
          </cell>
          <cell r="L96">
            <v>0</v>
          </cell>
        </row>
        <row r="97">
          <cell r="C97">
            <v>0</v>
          </cell>
          <cell r="D97">
            <v>0</v>
          </cell>
          <cell r="E97">
            <v>0</v>
          </cell>
          <cell r="F97">
            <v>0</v>
          </cell>
          <cell r="G97">
            <v>73315</v>
          </cell>
          <cell r="H97">
            <v>1294721957</v>
          </cell>
          <cell r="I97">
            <v>0</v>
          </cell>
          <cell r="J97">
            <v>10996240964</v>
          </cell>
          <cell r="K97">
            <v>0</v>
          </cell>
          <cell r="L97">
            <v>0</v>
          </cell>
        </row>
        <row r="98">
          <cell r="B98" t="str">
            <v>R_General_Fix Disability</v>
          </cell>
          <cell r="C98">
            <v>0</v>
          </cell>
          <cell r="D98">
            <v>0</v>
          </cell>
          <cell r="E98">
            <v>0</v>
          </cell>
          <cell r="F98">
            <v>0</v>
          </cell>
          <cell r="G98">
            <v>73315</v>
          </cell>
          <cell r="H98">
            <v>1294721957</v>
          </cell>
          <cell r="I98">
            <v>0</v>
          </cell>
          <cell r="J98">
            <v>10994180662</v>
          </cell>
          <cell r="K98">
            <v>0</v>
          </cell>
          <cell r="L98">
            <v>0</v>
          </cell>
        </row>
        <row r="99">
          <cell r="C99">
            <v>0</v>
          </cell>
          <cell r="D99">
            <v>0</v>
          </cell>
          <cell r="E99">
            <v>0</v>
          </cell>
          <cell r="F99">
            <v>0</v>
          </cell>
          <cell r="G99">
            <v>70726</v>
          </cell>
          <cell r="H99">
            <v>1230141222</v>
          </cell>
          <cell r="I99">
            <v>0</v>
          </cell>
          <cell r="J99">
            <v>10381313729</v>
          </cell>
          <cell r="K99">
            <v>0</v>
          </cell>
          <cell r="L99">
            <v>0</v>
          </cell>
        </row>
        <row r="100">
          <cell r="B100" t="str">
            <v>B_General_Experience</v>
          </cell>
          <cell r="C100">
            <v>0</v>
          </cell>
          <cell r="D100">
            <v>0</v>
          </cell>
          <cell r="E100">
            <v>0</v>
          </cell>
          <cell r="F100">
            <v>0</v>
          </cell>
          <cell r="G100">
            <v>8123</v>
          </cell>
          <cell r="H100">
            <v>90292018</v>
          </cell>
          <cell r="I100">
            <v>0</v>
          </cell>
          <cell r="J100">
            <v>717480150</v>
          </cell>
          <cell r="K100">
            <v>0</v>
          </cell>
          <cell r="L100">
            <v>0</v>
          </cell>
        </row>
        <row r="101">
          <cell r="B101" t="str">
            <v>B_General_Mortality</v>
          </cell>
          <cell r="C101">
            <v>0</v>
          </cell>
          <cell r="D101">
            <v>0</v>
          </cell>
          <cell r="E101">
            <v>0</v>
          </cell>
          <cell r="F101">
            <v>0</v>
          </cell>
          <cell r="G101">
            <v>8123</v>
          </cell>
          <cell r="H101">
            <v>90292018</v>
          </cell>
          <cell r="I101">
            <v>0</v>
          </cell>
          <cell r="J101">
            <v>697745341</v>
          </cell>
          <cell r="K101">
            <v>0</v>
          </cell>
          <cell r="L101">
            <v>0</v>
          </cell>
        </row>
        <row r="102">
          <cell r="C102">
            <v>0</v>
          </cell>
          <cell r="D102">
            <v>0</v>
          </cell>
          <cell r="E102">
            <v>0</v>
          </cell>
          <cell r="F102">
            <v>0</v>
          </cell>
          <cell r="G102">
            <v>8164</v>
          </cell>
          <cell r="H102">
            <v>90824945</v>
          </cell>
          <cell r="I102">
            <v>0</v>
          </cell>
          <cell r="J102">
            <v>701401784</v>
          </cell>
          <cell r="K102">
            <v>0</v>
          </cell>
          <cell r="L102">
            <v>0</v>
          </cell>
        </row>
        <row r="103">
          <cell r="B103" t="str">
            <v>R_Law Enforcement Officers_Experience</v>
          </cell>
          <cell r="C103">
            <v>0</v>
          </cell>
          <cell r="D103">
            <v>0</v>
          </cell>
          <cell r="E103">
            <v>0</v>
          </cell>
          <cell r="F103">
            <v>0</v>
          </cell>
          <cell r="G103">
            <v>2305</v>
          </cell>
          <cell r="H103">
            <v>68995116</v>
          </cell>
          <cell r="I103">
            <v>0</v>
          </cell>
          <cell r="J103">
            <v>720981233</v>
          </cell>
          <cell r="K103">
            <v>0</v>
          </cell>
          <cell r="L103">
            <v>0</v>
          </cell>
        </row>
        <row r="104">
          <cell r="B104" t="str">
            <v>R_Law Enforcement Officers_Mortality</v>
          </cell>
          <cell r="C104">
            <v>0</v>
          </cell>
          <cell r="D104">
            <v>0</v>
          </cell>
          <cell r="E104">
            <v>0</v>
          </cell>
          <cell r="F104">
            <v>0</v>
          </cell>
          <cell r="G104">
            <v>2305</v>
          </cell>
          <cell r="H104">
            <v>68995116</v>
          </cell>
          <cell r="I104">
            <v>0</v>
          </cell>
          <cell r="J104">
            <v>730462901</v>
          </cell>
          <cell r="K104">
            <v>0</v>
          </cell>
          <cell r="L104">
            <v>0</v>
          </cell>
        </row>
        <row r="105">
          <cell r="C105">
            <v>0</v>
          </cell>
          <cell r="D105">
            <v>0</v>
          </cell>
          <cell r="E105">
            <v>0</v>
          </cell>
          <cell r="F105">
            <v>0</v>
          </cell>
          <cell r="G105">
            <v>2305</v>
          </cell>
          <cell r="H105">
            <v>68995116</v>
          </cell>
          <cell r="I105">
            <v>0</v>
          </cell>
          <cell r="J105">
            <v>720362914</v>
          </cell>
          <cell r="K105">
            <v>0</v>
          </cell>
          <cell r="L105">
            <v>0</v>
          </cell>
        </row>
        <row r="106">
          <cell r="B106" t="str">
            <v>R_Law Enforcement Officers_Fix Disability</v>
          </cell>
          <cell r="C106">
            <v>0</v>
          </cell>
          <cell r="D106">
            <v>0</v>
          </cell>
          <cell r="E106">
            <v>0</v>
          </cell>
          <cell r="F106">
            <v>0</v>
          </cell>
          <cell r="G106">
            <v>2305</v>
          </cell>
          <cell r="H106">
            <v>68995116</v>
          </cell>
          <cell r="I106">
            <v>0</v>
          </cell>
          <cell r="J106">
            <v>730133463</v>
          </cell>
          <cell r="K106">
            <v>0</v>
          </cell>
          <cell r="L106">
            <v>0</v>
          </cell>
        </row>
        <row r="107">
          <cell r="C107">
            <v>0</v>
          </cell>
          <cell r="D107">
            <v>0</v>
          </cell>
          <cell r="E107">
            <v>0</v>
          </cell>
          <cell r="F107">
            <v>0</v>
          </cell>
          <cell r="G107">
            <v>2305</v>
          </cell>
          <cell r="H107">
            <v>68995086</v>
          </cell>
          <cell r="I107">
            <v>0</v>
          </cell>
          <cell r="J107">
            <v>730102232</v>
          </cell>
          <cell r="K107">
            <v>0</v>
          </cell>
          <cell r="L107">
            <v>0</v>
          </cell>
        </row>
        <row r="108">
          <cell r="B108" t="str">
            <v>B_Law Enforcement Officers_Experience</v>
          </cell>
          <cell r="C108">
            <v>0</v>
          </cell>
          <cell r="D108">
            <v>0</v>
          </cell>
          <cell r="E108">
            <v>0</v>
          </cell>
          <cell r="F108">
            <v>0</v>
          </cell>
          <cell r="G108">
            <v>352</v>
          </cell>
          <cell r="H108">
            <v>6669964</v>
          </cell>
          <cell r="I108">
            <v>0</v>
          </cell>
          <cell r="J108">
            <v>57558402</v>
          </cell>
          <cell r="K108">
            <v>0</v>
          </cell>
          <cell r="L108">
            <v>0</v>
          </cell>
        </row>
        <row r="109">
          <cell r="B109" t="str">
            <v>B_Law Enforcement Officers_Mortality</v>
          </cell>
          <cell r="C109">
            <v>0</v>
          </cell>
          <cell r="D109">
            <v>0</v>
          </cell>
          <cell r="E109">
            <v>0</v>
          </cell>
          <cell r="F109">
            <v>0</v>
          </cell>
          <cell r="G109">
            <v>352</v>
          </cell>
          <cell r="H109">
            <v>6669964</v>
          </cell>
          <cell r="I109">
            <v>0</v>
          </cell>
          <cell r="J109">
            <v>55765870</v>
          </cell>
          <cell r="K109">
            <v>0</v>
          </cell>
          <cell r="L109">
            <v>0</v>
          </cell>
        </row>
        <row r="110">
          <cell r="C110">
            <v>0</v>
          </cell>
          <cell r="D110">
            <v>0</v>
          </cell>
          <cell r="E110">
            <v>0</v>
          </cell>
          <cell r="F110">
            <v>0</v>
          </cell>
          <cell r="G110">
            <v>351</v>
          </cell>
          <cell r="H110">
            <v>6667848</v>
          </cell>
          <cell r="I110">
            <v>0</v>
          </cell>
          <cell r="J110">
            <v>55648593</v>
          </cell>
          <cell r="K110">
            <v>0</v>
          </cell>
          <cell r="L110">
            <v>0</v>
          </cell>
        </row>
        <row r="111">
          <cell r="C111">
            <v>0</v>
          </cell>
          <cell r="D111">
            <v>0</v>
          </cell>
          <cell r="E111">
            <v>0</v>
          </cell>
          <cell r="F111">
            <v>0</v>
          </cell>
          <cell r="G111">
            <v>104041</v>
          </cell>
          <cell r="H111">
            <v>0</v>
          </cell>
          <cell r="I111">
            <v>0</v>
          </cell>
          <cell r="J111">
            <v>1756646365</v>
          </cell>
          <cell r="K111">
            <v>0</v>
          </cell>
          <cell r="L111">
            <v>0</v>
          </cell>
        </row>
        <row r="112">
          <cell r="C112">
            <v>0</v>
          </cell>
          <cell r="D112">
            <v>0</v>
          </cell>
          <cell r="E112">
            <v>0</v>
          </cell>
          <cell r="F112">
            <v>0</v>
          </cell>
          <cell r="G112">
            <v>97429</v>
          </cell>
          <cell r="H112">
            <v>0</v>
          </cell>
          <cell r="I112">
            <v>0</v>
          </cell>
          <cell r="J112">
            <v>1528818350</v>
          </cell>
          <cell r="K112">
            <v>0</v>
          </cell>
          <cell r="L112">
            <v>0</v>
          </cell>
        </row>
        <row r="113">
          <cell r="C113">
            <v>0</v>
          </cell>
          <cell r="D113">
            <v>0</v>
          </cell>
          <cell r="E113">
            <v>0</v>
          </cell>
          <cell r="F113">
            <v>0</v>
          </cell>
          <cell r="G113">
            <v>97429</v>
          </cell>
          <cell r="H113">
            <v>0</v>
          </cell>
          <cell r="I113">
            <v>0</v>
          </cell>
          <cell r="J113">
            <v>1528815591</v>
          </cell>
          <cell r="K113">
            <v>0</v>
          </cell>
          <cell r="L113">
            <v>0</v>
          </cell>
        </row>
        <row r="114">
          <cell r="C114">
            <v>971</v>
          </cell>
          <cell r="D114">
            <v>36334517</v>
          </cell>
          <cell r="E114">
            <v>52.95</v>
          </cell>
          <cell r="F114">
            <v>7.82</v>
          </cell>
          <cell r="G114">
            <v>0</v>
          </cell>
          <cell r="H114">
            <v>0</v>
          </cell>
          <cell r="I114">
            <v>65066200</v>
          </cell>
          <cell r="J114">
            <v>0</v>
          </cell>
          <cell r="K114">
            <v>37825843</v>
          </cell>
          <cell r="L114">
            <v>282415331</v>
          </cell>
          <cell r="M114">
            <v>662646</v>
          </cell>
        </row>
        <row r="115">
          <cell r="B115" t="str">
            <v>D_Teachers_Fix Disability</v>
          </cell>
          <cell r="C115">
            <v>971</v>
          </cell>
          <cell r="D115">
            <v>36334517</v>
          </cell>
          <cell r="E115">
            <v>52.95</v>
          </cell>
          <cell r="F115">
            <v>7.82</v>
          </cell>
          <cell r="G115">
            <v>0</v>
          </cell>
          <cell r="H115">
            <v>0</v>
          </cell>
          <cell r="I115">
            <v>61305742</v>
          </cell>
          <cell r="J115">
            <v>0</v>
          </cell>
          <cell r="K115">
            <v>36904565</v>
          </cell>
          <cell r="L115">
            <v>265466385</v>
          </cell>
          <cell r="M115">
            <v>1484041</v>
          </cell>
        </row>
        <row r="116">
          <cell r="B116" t="str">
            <v>D_Teachers_Correct Groups</v>
          </cell>
          <cell r="C116">
            <v>829</v>
          </cell>
          <cell r="D116">
            <v>31890315</v>
          </cell>
          <cell r="E116">
            <v>51.1</v>
          </cell>
          <cell r="F116">
            <v>9.11</v>
          </cell>
          <cell r="G116">
            <v>0</v>
          </cell>
          <cell r="H116">
            <v>0</v>
          </cell>
          <cell r="I116">
            <v>58253706</v>
          </cell>
          <cell r="J116">
            <v>0</v>
          </cell>
          <cell r="K116">
            <v>36077211</v>
          </cell>
          <cell r="L116">
            <v>247170338</v>
          </cell>
          <cell r="M116">
            <v>1406857</v>
          </cell>
        </row>
        <row r="117">
          <cell r="C117">
            <v>971</v>
          </cell>
          <cell r="D117">
            <v>36334517</v>
          </cell>
          <cell r="E117">
            <v>52.95</v>
          </cell>
          <cell r="F117">
            <v>7.82</v>
          </cell>
          <cell r="G117">
            <v>0</v>
          </cell>
          <cell r="H117">
            <v>0</v>
          </cell>
          <cell r="I117">
            <v>65485767</v>
          </cell>
          <cell r="J117">
            <v>0</v>
          </cell>
          <cell r="K117">
            <v>38231479</v>
          </cell>
          <cell r="L117">
            <v>282415331</v>
          </cell>
          <cell r="M117">
            <v>662646</v>
          </cell>
        </row>
        <row r="118">
          <cell r="B118" t="str">
            <v>D_Teachers_Fix Disability_NC</v>
          </cell>
          <cell r="C118">
            <v>971</v>
          </cell>
          <cell r="D118">
            <v>36334517</v>
          </cell>
          <cell r="E118">
            <v>52.95</v>
          </cell>
          <cell r="F118">
            <v>7.82</v>
          </cell>
          <cell r="G118">
            <v>0</v>
          </cell>
          <cell r="H118">
            <v>0</v>
          </cell>
          <cell r="I118">
            <v>61759603</v>
          </cell>
          <cell r="J118">
            <v>0</v>
          </cell>
          <cell r="K118">
            <v>37275609</v>
          </cell>
          <cell r="L118">
            <v>265466385</v>
          </cell>
          <cell r="M118">
            <v>1484041</v>
          </cell>
        </row>
        <row r="119">
          <cell r="B119" t="str">
            <v>D_Teachers_Correct Groups_NC</v>
          </cell>
          <cell r="C119">
            <v>829</v>
          </cell>
          <cell r="D119">
            <v>31890315</v>
          </cell>
          <cell r="E119">
            <v>51.1</v>
          </cell>
          <cell r="F119">
            <v>9.11</v>
          </cell>
          <cell r="G119">
            <v>0</v>
          </cell>
          <cell r="H119">
            <v>0</v>
          </cell>
          <cell r="I119">
            <v>58951615</v>
          </cell>
          <cell r="J119">
            <v>0</v>
          </cell>
          <cell r="K119">
            <v>36613113</v>
          </cell>
          <cell r="L119">
            <v>247170338</v>
          </cell>
          <cell r="M119">
            <v>1406857</v>
          </cell>
        </row>
        <row r="120">
          <cell r="C120">
            <v>5904</v>
          </cell>
          <cell r="D120">
            <v>190251135</v>
          </cell>
          <cell r="E120">
            <v>54.91</v>
          </cell>
          <cell r="F120">
            <v>11.27</v>
          </cell>
          <cell r="G120">
            <v>0</v>
          </cell>
          <cell r="H120">
            <v>0</v>
          </cell>
          <cell r="I120">
            <v>389310930</v>
          </cell>
          <cell r="J120">
            <v>0</v>
          </cell>
          <cell r="K120">
            <v>271707637</v>
          </cell>
          <cell r="L120">
            <v>1259144552</v>
          </cell>
          <cell r="M120">
            <v>4163345</v>
          </cell>
        </row>
        <row r="121">
          <cell r="B121" t="str">
            <v>D_General_Fix Disability</v>
          </cell>
          <cell r="C121">
            <v>5904</v>
          </cell>
          <cell r="D121">
            <v>190251135</v>
          </cell>
          <cell r="E121">
            <v>54.91</v>
          </cell>
          <cell r="F121">
            <v>11.27</v>
          </cell>
          <cell r="G121">
            <v>0</v>
          </cell>
          <cell r="H121">
            <v>0</v>
          </cell>
          <cell r="I121">
            <v>376137026</v>
          </cell>
          <cell r="J121">
            <v>0</v>
          </cell>
          <cell r="K121">
            <v>270612320</v>
          </cell>
          <cell r="L121">
            <v>1188047338</v>
          </cell>
          <cell r="M121">
            <v>9310577</v>
          </cell>
        </row>
        <row r="122">
          <cell r="B122" t="str">
            <v>D_General_Correct Groups</v>
          </cell>
          <cell r="C122">
            <v>5785</v>
          </cell>
          <cell r="D122">
            <v>187581096</v>
          </cell>
          <cell r="E122">
            <v>55.19</v>
          </cell>
          <cell r="F122">
            <v>11.04</v>
          </cell>
          <cell r="G122">
            <v>0</v>
          </cell>
          <cell r="H122">
            <v>0</v>
          </cell>
          <cell r="I122">
            <v>355932262</v>
          </cell>
          <cell r="J122">
            <v>0</v>
          </cell>
          <cell r="K122">
            <v>254869203</v>
          </cell>
          <cell r="L122">
            <v>1160411680</v>
          </cell>
          <cell r="M122">
            <v>9124111</v>
          </cell>
        </row>
        <row r="123">
          <cell r="C123">
            <v>5904</v>
          </cell>
          <cell r="D123">
            <v>190251135</v>
          </cell>
          <cell r="E123">
            <v>54.91</v>
          </cell>
          <cell r="F123">
            <v>11.27</v>
          </cell>
          <cell r="G123">
            <v>0</v>
          </cell>
          <cell r="H123">
            <v>0</v>
          </cell>
          <cell r="I123">
            <v>387705597</v>
          </cell>
          <cell r="J123">
            <v>0</v>
          </cell>
          <cell r="K123">
            <v>271298035</v>
          </cell>
          <cell r="L123">
            <v>1259144552</v>
          </cell>
          <cell r="M123">
            <v>4163345</v>
          </cell>
        </row>
        <row r="124">
          <cell r="B124" t="str">
            <v>D_General_Fix Disability_NC</v>
          </cell>
          <cell r="C124">
            <v>5904</v>
          </cell>
          <cell r="D124">
            <v>190251135</v>
          </cell>
          <cell r="E124">
            <v>54.91</v>
          </cell>
          <cell r="F124">
            <v>11.27</v>
          </cell>
          <cell r="G124">
            <v>0</v>
          </cell>
          <cell r="H124">
            <v>0</v>
          </cell>
          <cell r="I124">
            <v>374744247</v>
          </cell>
          <cell r="J124">
            <v>0</v>
          </cell>
          <cell r="K124">
            <v>269485262</v>
          </cell>
          <cell r="L124">
            <v>1188047338</v>
          </cell>
          <cell r="M124">
            <v>9310577</v>
          </cell>
        </row>
        <row r="125">
          <cell r="B125" t="str">
            <v>D_General_Correct Groups_NC</v>
          </cell>
          <cell r="C125">
            <v>5785</v>
          </cell>
          <cell r="D125">
            <v>187581096</v>
          </cell>
          <cell r="E125">
            <v>55.19</v>
          </cell>
          <cell r="F125">
            <v>11.04</v>
          </cell>
          <cell r="G125">
            <v>0</v>
          </cell>
          <cell r="H125">
            <v>0</v>
          </cell>
          <cell r="I125">
            <v>363065543</v>
          </cell>
          <cell r="J125">
            <v>0</v>
          </cell>
          <cell r="K125">
            <v>259826502</v>
          </cell>
          <cell r="L125">
            <v>1160411680</v>
          </cell>
          <cell r="M125">
            <v>9124111</v>
          </cell>
        </row>
        <row r="126">
          <cell r="C126">
            <v>58</v>
          </cell>
          <cell r="D126">
            <v>2540584</v>
          </cell>
          <cell r="E126">
            <v>49.33</v>
          </cell>
          <cell r="F126">
            <v>10.78</v>
          </cell>
          <cell r="G126">
            <v>0</v>
          </cell>
          <cell r="H126">
            <v>0</v>
          </cell>
          <cell r="I126">
            <v>5931414</v>
          </cell>
          <cell r="J126">
            <v>0</v>
          </cell>
          <cell r="K126">
            <v>4172989</v>
          </cell>
          <cell r="L126">
            <v>16391218</v>
          </cell>
          <cell r="M126">
            <v>33720</v>
          </cell>
        </row>
        <row r="127">
          <cell r="B127" t="str">
            <v>D_Law Enforcement Officers_Fix Disability</v>
          </cell>
          <cell r="C127">
            <v>58</v>
          </cell>
          <cell r="D127">
            <v>2540584</v>
          </cell>
          <cell r="E127">
            <v>49.33</v>
          </cell>
          <cell r="F127">
            <v>10.78</v>
          </cell>
          <cell r="G127">
            <v>0</v>
          </cell>
          <cell r="H127">
            <v>0</v>
          </cell>
          <cell r="I127">
            <v>5367782</v>
          </cell>
          <cell r="J127">
            <v>0</v>
          </cell>
          <cell r="K127">
            <v>3916454</v>
          </cell>
          <cell r="L127">
            <v>15304273</v>
          </cell>
          <cell r="M127">
            <v>121171</v>
          </cell>
        </row>
        <row r="128">
          <cell r="B128" t="str">
            <v>D_Law Enforcement Officers_Correct Groups</v>
          </cell>
          <cell r="C128">
            <v>54</v>
          </cell>
          <cell r="D128">
            <v>2416084</v>
          </cell>
          <cell r="E128">
            <v>48.59</v>
          </cell>
          <cell r="F128">
            <v>11.52</v>
          </cell>
          <cell r="G128">
            <v>0</v>
          </cell>
          <cell r="H128">
            <v>0</v>
          </cell>
          <cell r="I128">
            <v>5299492</v>
          </cell>
          <cell r="J128">
            <v>0</v>
          </cell>
          <cell r="K128">
            <v>3902527</v>
          </cell>
          <cell r="L128">
            <v>14859237</v>
          </cell>
          <cell r="M128">
            <v>119611</v>
          </cell>
        </row>
        <row r="129">
          <cell r="C129">
            <v>58</v>
          </cell>
          <cell r="D129">
            <v>2540584</v>
          </cell>
          <cell r="E129">
            <v>49.33</v>
          </cell>
          <cell r="F129">
            <v>10.78</v>
          </cell>
          <cell r="G129">
            <v>0</v>
          </cell>
          <cell r="H129">
            <v>0</v>
          </cell>
          <cell r="I129">
            <v>5929537</v>
          </cell>
          <cell r="J129">
            <v>0</v>
          </cell>
          <cell r="K129">
            <v>4170628</v>
          </cell>
          <cell r="L129">
            <v>16391218</v>
          </cell>
          <cell r="M129">
            <v>33720</v>
          </cell>
        </row>
        <row r="130">
          <cell r="B130" t="str">
            <v>D_Law Enforcement Officers_Fix Disability_NC</v>
          </cell>
          <cell r="C130">
            <v>58</v>
          </cell>
          <cell r="D130">
            <v>2540584</v>
          </cell>
          <cell r="E130">
            <v>49.33</v>
          </cell>
          <cell r="F130">
            <v>10.78</v>
          </cell>
          <cell r="G130">
            <v>0</v>
          </cell>
          <cell r="H130">
            <v>0</v>
          </cell>
          <cell r="I130">
            <v>5366970</v>
          </cell>
          <cell r="J130">
            <v>0</v>
          </cell>
          <cell r="K130">
            <v>3905769</v>
          </cell>
          <cell r="L130">
            <v>15304273</v>
          </cell>
          <cell r="M130">
            <v>121171</v>
          </cell>
        </row>
        <row r="131">
          <cell r="B131" t="str">
            <v>D_Law Enforcement Officers_Correct Groups_NC</v>
          </cell>
          <cell r="C131">
            <v>54</v>
          </cell>
          <cell r="D131">
            <v>2416084</v>
          </cell>
          <cell r="E131">
            <v>48.59</v>
          </cell>
          <cell r="F131">
            <v>11.52</v>
          </cell>
          <cell r="G131">
            <v>0</v>
          </cell>
          <cell r="H131">
            <v>0</v>
          </cell>
          <cell r="I131">
            <v>5300664</v>
          </cell>
          <cell r="J131">
            <v>0</v>
          </cell>
          <cell r="K131">
            <v>3893078</v>
          </cell>
          <cell r="L131">
            <v>14859237</v>
          </cell>
          <cell r="M131">
            <v>119611</v>
          </cell>
        </row>
        <row r="132">
          <cell r="B132" t="str">
            <v>D_Other Education_Correct Groups</v>
          </cell>
          <cell r="C132">
            <v>265</v>
          </cell>
          <cell r="D132">
            <v>7238740</v>
          </cell>
          <cell r="E132">
            <v>53.55</v>
          </cell>
          <cell r="F132">
            <v>10.18</v>
          </cell>
          <cell r="G132">
            <v>0</v>
          </cell>
          <cell r="H132">
            <v>0</v>
          </cell>
          <cell r="I132">
            <v>14175087</v>
          </cell>
          <cell r="J132">
            <v>0</v>
          </cell>
          <cell r="K132">
            <v>9986551</v>
          </cell>
          <cell r="L132">
            <v>46709065</v>
          </cell>
          <cell r="M132">
            <v>273620</v>
          </cell>
        </row>
        <row r="133">
          <cell r="B133" t="str">
            <v>D_Other Education_Correct Groups_NC</v>
          </cell>
          <cell r="C133">
            <v>265</v>
          </cell>
          <cell r="D133">
            <v>7238740</v>
          </cell>
          <cell r="E133">
            <v>53.55</v>
          </cell>
          <cell r="F133">
            <v>10.18</v>
          </cell>
          <cell r="G133">
            <v>0</v>
          </cell>
          <cell r="H133">
            <v>0</v>
          </cell>
          <cell r="I133">
            <v>14452810</v>
          </cell>
          <cell r="J133">
            <v>0</v>
          </cell>
          <cell r="K133">
            <v>10230361</v>
          </cell>
          <cell r="L133">
            <v>46709065</v>
          </cell>
          <cell r="M133">
            <v>273620</v>
          </cell>
        </row>
        <row r="134">
          <cell r="B134" t="str">
            <v>A_Teachers_AFC Load</v>
          </cell>
          <cell r="C134">
            <v>150859</v>
          </cell>
          <cell r="D134">
            <v>6918855488</v>
          </cell>
          <cell r="E134">
            <v>43.17</v>
          </cell>
          <cell r="F134">
            <v>10.26</v>
          </cell>
          <cell r="G134">
            <v>0</v>
          </cell>
          <cell r="H134">
            <v>0</v>
          </cell>
          <cell r="I134">
            <v>19814003983</v>
          </cell>
          <cell r="J134">
            <v>0</v>
          </cell>
          <cell r="K134">
            <v>12984790666</v>
          </cell>
          <cell r="L134">
            <v>59749832108</v>
          </cell>
          <cell r="M134">
            <v>115046171</v>
          </cell>
          <cell r="N134">
            <v>411181250</v>
          </cell>
          <cell r="O134">
            <v>3072433749</v>
          </cell>
          <cell r="P134">
            <v>21442116</v>
          </cell>
        </row>
        <row r="135">
          <cell r="B135" t="str">
            <v>A_Teachers_AFC Load_NC</v>
          </cell>
          <cell r="C135">
            <v>150859</v>
          </cell>
          <cell r="D135">
            <v>6918855488</v>
          </cell>
          <cell r="E135">
            <v>43.17</v>
          </cell>
          <cell r="F135">
            <v>10.26</v>
          </cell>
          <cell r="G135">
            <v>0</v>
          </cell>
          <cell r="H135">
            <v>0</v>
          </cell>
          <cell r="I135">
            <v>19731025387</v>
          </cell>
          <cell r="J135">
            <v>0</v>
          </cell>
          <cell r="K135">
            <v>12940741107</v>
          </cell>
          <cell r="L135">
            <v>59749832108</v>
          </cell>
          <cell r="M135">
            <v>115046171</v>
          </cell>
          <cell r="N135">
            <v>410388580</v>
          </cell>
          <cell r="O135">
            <v>3072433749</v>
          </cell>
          <cell r="P135">
            <v>21442116</v>
          </cell>
        </row>
        <row r="136">
          <cell r="B136" t="str">
            <v>A_General_AFC Load</v>
          </cell>
          <cell r="C136">
            <v>113353</v>
          </cell>
          <cell r="D136">
            <v>5214530027</v>
          </cell>
          <cell r="E136">
            <v>45.8</v>
          </cell>
          <cell r="F136">
            <v>10.06</v>
          </cell>
          <cell r="G136">
            <v>0</v>
          </cell>
          <cell r="H136">
            <v>0</v>
          </cell>
          <cell r="I136">
            <v>13499019397</v>
          </cell>
          <cell r="J136">
            <v>0</v>
          </cell>
          <cell r="K136">
            <v>9098313614</v>
          </cell>
          <cell r="L136">
            <v>41545877871</v>
          </cell>
          <cell r="M136">
            <v>101993763</v>
          </cell>
          <cell r="N136">
            <v>252174087</v>
          </cell>
          <cell r="O136">
            <v>1973350931</v>
          </cell>
          <cell r="P136">
            <v>14202668</v>
          </cell>
        </row>
        <row r="137">
          <cell r="B137" t="str">
            <v>A_General_AFC Load_NC</v>
          </cell>
          <cell r="C137">
            <v>113353</v>
          </cell>
          <cell r="D137">
            <v>5214530027</v>
          </cell>
          <cell r="E137">
            <v>45.8</v>
          </cell>
          <cell r="F137">
            <v>10.06</v>
          </cell>
          <cell r="G137">
            <v>0</v>
          </cell>
          <cell r="H137">
            <v>0</v>
          </cell>
          <cell r="I137">
            <v>13469389802</v>
          </cell>
          <cell r="J137">
            <v>0</v>
          </cell>
          <cell r="K137">
            <v>9079625701</v>
          </cell>
          <cell r="L137">
            <v>41545877871</v>
          </cell>
          <cell r="M137">
            <v>101993763</v>
          </cell>
          <cell r="N137">
            <v>251494004</v>
          </cell>
          <cell r="O137">
            <v>1973350931</v>
          </cell>
          <cell r="P137">
            <v>14202668</v>
          </cell>
        </row>
        <row r="138">
          <cell r="B138" t="str">
            <v>A_Law Enforcement Officers_AFC Load</v>
          </cell>
          <cell r="C138">
            <v>3529</v>
          </cell>
          <cell r="D138">
            <v>204947078</v>
          </cell>
          <cell r="E138">
            <v>39.92</v>
          </cell>
          <cell r="F138">
            <v>12.8</v>
          </cell>
          <cell r="G138">
            <v>0</v>
          </cell>
          <cell r="H138">
            <v>0</v>
          </cell>
          <cell r="I138">
            <v>724185605</v>
          </cell>
          <cell r="J138">
            <v>0</v>
          </cell>
          <cell r="K138">
            <v>492446253</v>
          </cell>
          <cell r="L138">
            <v>1810236207</v>
          </cell>
          <cell r="M138">
            <v>1761540</v>
          </cell>
          <cell r="N138">
            <v>5708161</v>
          </cell>
          <cell r="O138">
            <v>30044906</v>
          </cell>
          <cell r="P138">
            <v>105362</v>
          </cell>
        </row>
        <row r="139">
          <cell r="B139" t="str">
            <v>A_Law Enforcement Officers_AFC Load_NC</v>
          </cell>
          <cell r="C139">
            <v>3529</v>
          </cell>
          <cell r="D139">
            <v>204947078</v>
          </cell>
          <cell r="E139">
            <v>39.92</v>
          </cell>
          <cell r="F139">
            <v>12.8</v>
          </cell>
          <cell r="G139">
            <v>0</v>
          </cell>
          <cell r="H139">
            <v>0</v>
          </cell>
          <cell r="I139">
            <v>723389605</v>
          </cell>
          <cell r="J139">
            <v>0</v>
          </cell>
          <cell r="K139">
            <v>492185920</v>
          </cell>
          <cell r="L139">
            <v>1810236207</v>
          </cell>
          <cell r="M139">
            <v>1761540</v>
          </cell>
          <cell r="N139">
            <v>5790859</v>
          </cell>
          <cell r="O139">
            <v>30044906</v>
          </cell>
          <cell r="P139">
            <v>105362</v>
          </cell>
        </row>
        <row r="140">
          <cell r="B140" t="str">
            <v>A_Other Education_AFC Load</v>
          </cell>
          <cell r="C140">
            <v>48906</v>
          </cell>
          <cell r="D140">
            <v>2001734581</v>
          </cell>
          <cell r="E140">
            <v>48.51</v>
          </cell>
          <cell r="F140">
            <v>10.72</v>
          </cell>
          <cell r="G140">
            <v>0</v>
          </cell>
          <cell r="H140">
            <v>0</v>
          </cell>
          <cell r="I140">
            <v>5898471414</v>
          </cell>
          <cell r="J140">
            <v>0</v>
          </cell>
          <cell r="K140">
            <v>4319266882</v>
          </cell>
          <cell r="L140">
            <v>14693640050</v>
          </cell>
          <cell r="M140">
            <v>30291613</v>
          </cell>
          <cell r="N140">
            <v>67424448</v>
          </cell>
          <cell r="O140">
            <v>485591978</v>
          </cell>
          <cell r="P140">
            <v>3729722</v>
          </cell>
        </row>
        <row r="141">
          <cell r="B141" t="str">
            <v>A_Other Education_AFC Load_NC</v>
          </cell>
          <cell r="C141">
            <v>48906</v>
          </cell>
          <cell r="D141">
            <v>2001734581</v>
          </cell>
          <cell r="E141">
            <v>48.51</v>
          </cell>
          <cell r="F141">
            <v>10.72</v>
          </cell>
          <cell r="G141">
            <v>0</v>
          </cell>
          <cell r="H141">
            <v>0</v>
          </cell>
          <cell r="I141">
            <v>5883485163</v>
          </cell>
          <cell r="J141">
            <v>0</v>
          </cell>
          <cell r="K141">
            <v>4308279747</v>
          </cell>
          <cell r="L141">
            <v>14693640050</v>
          </cell>
          <cell r="M141">
            <v>30291613</v>
          </cell>
          <cell r="N141">
            <v>67081485</v>
          </cell>
          <cell r="O141">
            <v>485591978</v>
          </cell>
          <cell r="P141">
            <v>3729722</v>
          </cell>
        </row>
        <row r="142">
          <cell r="C142" t="str">
            <v>01.09.01.04.05 - TSERS - Inactives - Teachers - New Groups</v>
          </cell>
          <cell r="D142" t="str">
            <v>01.09.01.04.06 - TSERS - Inactives - Other Ed. - New Groups</v>
          </cell>
          <cell r="E142" t="str">
            <v>01.09.01.05.03 - TSERS - Beneficiaries - Teachers - New Groups</v>
          </cell>
          <cell r="F142" t="str">
            <v>01.09.01.05.04 - TSERS - Beneficiaries - Other Ed. - New Groups</v>
          </cell>
          <cell r="G142" t="str">
            <v>01.09.01.06.05 - TSERS - Inactives - General - New Groups</v>
          </cell>
          <cell r="H142" t="str">
            <v>01.09.01.07.03 - TSERS - Beneficiaries - General - New Groups</v>
          </cell>
          <cell r="I142" t="str">
            <v>01.09.01.08.05 - TSERS - Inactives - LEO - New Groups</v>
          </cell>
          <cell r="J142" t="str">
            <v>01.09.01.09.03 - TSERS - Beneficiaries - LEO - New Groups</v>
          </cell>
          <cell r="K142" t="str">
            <v>02.08.01.01.01 - TSERS - Actives - Teachers - Grouped</v>
          </cell>
          <cell r="L142" t="str">
            <v>02.08.01.01.02 - TSERS - Actives - Teachers - Grouped - NC</v>
          </cell>
          <cell r="M142" t="str">
            <v>02.08.01.02.01 - TSERS - Actives - General - Grouped</v>
          </cell>
          <cell r="N142" t="str">
            <v>02.08.01.02.02 - TSERS - Actives - General - Grouped - NC</v>
          </cell>
          <cell r="O142" t="str">
            <v>02.08.01.03.01 - TSERS - Actives - Law Enforcement - Grouped</v>
          </cell>
          <cell r="P142" t="str">
            <v>02.08.01.03.02 - TSERS - Actives - Law Enforcement - Grouped - NC</v>
          </cell>
          <cell r="Q142" t="str">
            <v>02.08.01.04.01 - TSERS - Inactives - Teachers</v>
          </cell>
          <cell r="R142" t="str">
            <v>02.08.01.05.01 - TSERS - Beneficiaries - Teachers</v>
          </cell>
          <cell r="S142" t="str">
            <v>02.08.01.06.01 - TSERS - Inactives - General</v>
          </cell>
        </row>
        <row r="143">
          <cell r="C143" t="str">
            <v xml:space="preserve"> 01.09.01.04.05 - TSERS - Inactives - Teachers - New Groups</v>
          </cell>
          <cell r="D143" t="str">
            <v xml:space="preserve"> 01.09.01.04.06 - TSERS - Inactives - Other Ed. - New Groups</v>
          </cell>
          <cell r="E143" t="str">
            <v xml:space="preserve"> 01.09.01.05.03 - TSERS - Beneficiaries - Teachers - New Groups</v>
          </cell>
          <cell r="F143" t="str">
            <v xml:space="preserve"> 01.09.01.05.04 - TSERS - Beneficiaries - Other Ed. - New Groups</v>
          </cell>
          <cell r="G143" t="str">
            <v xml:space="preserve"> 01.09.01.06.05 - TSERS - Inactives - General - New Groups</v>
          </cell>
          <cell r="H143" t="str">
            <v xml:space="preserve"> 01.09.01.07.03 - TSERS - Beneficiaries - General - New Groups</v>
          </cell>
          <cell r="I143" t="str">
            <v xml:space="preserve"> 01.09.01.08.05 - TSERS - Inactives - LEO - New Groups</v>
          </cell>
          <cell r="J143" t="str">
            <v xml:space="preserve"> 01.09.01.09.03 - TSERS - Beneficiaries - LEO - New Groups</v>
          </cell>
          <cell r="K143" t="str">
            <v xml:space="preserve"> 02.08.01.01.01 - TSERS - Actives - Teachers - Grouped</v>
          </cell>
          <cell r="L143" t="str">
            <v xml:space="preserve"> 02.08.01.01.02 - TSERS - Actives - Teachers - Grouped - NC</v>
          </cell>
          <cell r="M143" t="str">
            <v xml:space="preserve"> 02.08.01.02.01 - TSERS - Actives - General - Grouped</v>
          </cell>
          <cell r="N143" t="str">
            <v xml:space="preserve"> 02.08.01.02.02 - TSERS - Actives - General - Grouped - NC</v>
          </cell>
          <cell r="O143" t="str">
            <v xml:space="preserve"> 02.08.01.03.01 - TSERS - Actives - Law Enforcement - Grouped</v>
          </cell>
          <cell r="P143" t="str">
            <v xml:space="preserve"> 02.08.01.03.02 - TSERS - Actives - Law Enforcement - Grouped - NC</v>
          </cell>
          <cell r="Q143" t="str">
            <v xml:space="preserve"> 02.08.01.04.01 - TSERS - Inactives - Teachers</v>
          </cell>
          <cell r="R143" t="str">
            <v xml:space="preserve"> 02.08.01.05.01 - TSERS - Beneficiaries - Teachers</v>
          </cell>
          <cell r="S143" t="str">
            <v xml:space="preserve"> 02.08.01.06.01 - TSERS - Inactives - General</v>
          </cell>
        </row>
        <row r="144">
          <cell r="C144" t="str">
            <v xml:space="preserve"> 12/31/2009</v>
          </cell>
          <cell r="D144" t="str">
            <v xml:space="preserve"> 12/31/2009</v>
          </cell>
          <cell r="E144" t="str">
            <v xml:space="preserve"> 12/31/2009</v>
          </cell>
          <cell r="F144" t="str">
            <v xml:space="preserve"> 12/31/2009</v>
          </cell>
          <cell r="G144" t="str">
            <v xml:space="preserve"> 12/31/2009</v>
          </cell>
          <cell r="H144" t="str">
            <v xml:space="preserve"> 12/31/2009</v>
          </cell>
          <cell r="I144" t="str">
            <v xml:space="preserve"> 12/31/2009</v>
          </cell>
          <cell r="J144" t="str">
            <v xml:space="preserve"> 12/31/2009</v>
          </cell>
          <cell r="K144" t="str">
            <v xml:space="preserve"> 12/31/2008</v>
          </cell>
          <cell r="L144" t="str">
            <v xml:space="preserve"> 12/31/2008</v>
          </cell>
          <cell r="M144" t="str">
            <v xml:space="preserve"> 12/31/2008</v>
          </cell>
          <cell r="N144" t="str">
            <v xml:space="preserve"> 12/31/2008</v>
          </cell>
          <cell r="O144" t="str">
            <v xml:space="preserve"> 12/31/2008</v>
          </cell>
          <cell r="P144" t="str">
            <v xml:space="preserve"> 12/31/2008</v>
          </cell>
          <cell r="Q144" t="str">
            <v xml:space="preserve"> 12/31/2008</v>
          </cell>
          <cell r="R144" t="str">
            <v xml:space="preserve"> 12/31/2008</v>
          </cell>
          <cell r="S144" t="str">
            <v xml:space="preserve"> 12/31/2008</v>
          </cell>
        </row>
        <row r="145">
          <cell r="C145" t="str">
            <v xml:space="preserve"> 01.01.09.01 - TSERS - Teachers &amp; General</v>
          </cell>
          <cell r="D145" t="str">
            <v xml:space="preserve"> 01.01.09.01 - TSERS - Teachers &amp; General</v>
          </cell>
          <cell r="E145" t="str">
            <v xml:space="preserve"> 01.01.09.01 - TSERS - Teachers &amp; General</v>
          </cell>
          <cell r="F145" t="str">
            <v xml:space="preserve"> 01.01.09.01 - TSERS - Teachers &amp; General</v>
          </cell>
          <cell r="G145" t="str">
            <v xml:space="preserve"> 01.01.09.01 - TSERS - Teachers &amp; General</v>
          </cell>
          <cell r="H145" t="str">
            <v xml:space="preserve"> 01.01.09.01 - TSERS - Teachers &amp; General</v>
          </cell>
          <cell r="I145" t="str">
            <v xml:space="preserve"> 01.02.09.01 - TSERS - Law Enforcement Officers</v>
          </cell>
          <cell r="J145" t="str">
            <v xml:space="preserve"> 01.02.09.01 - TSERS - Law Enforcement Officers</v>
          </cell>
          <cell r="K145" t="str">
            <v xml:space="preserve"> 01.01.08 - TSERS - Teachers &amp; General</v>
          </cell>
          <cell r="L145" t="str">
            <v xml:space="preserve"> 01.01.08 - TSERS - Teachers &amp; General</v>
          </cell>
          <cell r="M145" t="str">
            <v xml:space="preserve"> 01.01.08 - TSERS - Teachers &amp; General</v>
          </cell>
          <cell r="N145" t="str">
            <v xml:space="preserve"> 01.01.08 - TSERS - Teachers &amp; General</v>
          </cell>
          <cell r="O145" t="str">
            <v xml:space="preserve"> 01.02.08 - TSERS - Law Enforcement Officers</v>
          </cell>
          <cell r="P145" t="str">
            <v xml:space="preserve"> 01.02.08 - TSERS - Law Enforcement Officers</v>
          </cell>
          <cell r="Q145" t="str">
            <v xml:space="preserve"> 01.01.08 - TSERS - Teachers &amp; General</v>
          </cell>
          <cell r="R145" t="str">
            <v xml:space="preserve"> 01.01.08 - TSERS - Teachers &amp; General</v>
          </cell>
          <cell r="S145" t="str">
            <v xml:space="preserve"> 01.01.08 - TSERS - Teachers &amp; General</v>
          </cell>
        </row>
        <row r="146">
          <cell r="C146" t="str">
            <v xml:space="preserve"> 09.01.02 - Inactives</v>
          </cell>
          <cell r="D146" t="str">
            <v xml:space="preserve"> 09.01.02 - Inactives</v>
          </cell>
          <cell r="E146" t="str">
            <v xml:space="preserve"> 09.01.03 - Beneficiaries</v>
          </cell>
          <cell r="F146" t="str">
            <v xml:space="preserve"> 09.01.03 - Beneficiaries</v>
          </cell>
          <cell r="G146" t="str">
            <v xml:space="preserve"> 09.01.02 - Inactives</v>
          </cell>
          <cell r="H146" t="str">
            <v xml:space="preserve"> 09.01.03 - Beneficiaries</v>
          </cell>
          <cell r="I146" t="str">
            <v xml:space="preserve"> 09.01.02 - Inactives</v>
          </cell>
          <cell r="J146" t="str">
            <v xml:space="preserve"> 09.01.03 - Beneficiaries</v>
          </cell>
          <cell r="K146" t="str">
            <v xml:space="preserve"> 08.02.01 - Actives - Grouped</v>
          </cell>
          <cell r="L146" t="str">
            <v xml:space="preserve"> 08.02.02 - Actives - Grouped - NC</v>
          </cell>
          <cell r="M146" t="str">
            <v xml:space="preserve"> 08.02.01 - Actives - Grouped</v>
          </cell>
          <cell r="N146" t="str">
            <v xml:space="preserve"> 08.02.02 - Actives - Grouped - NC</v>
          </cell>
          <cell r="O146" t="str">
            <v xml:space="preserve"> 08.02.01 - Actives - Grouped</v>
          </cell>
          <cell r="P146" t="str">
            <v xml:space="preserve"> 08.02.02 - Actives - Grouped - NC</v>
          </cell>
          <cell r="Q146" t="str">
            <v xml:space="preserve"> 08.02.02 - Inactives - Grouped</v>
          </cell>
          <cell r="R146" t="str">
            <v xml:space="preserve"> 08.02.03 - Beneficiaries - Grouped</v>
          </cell>
          <cell r="S146" t="str">
            <v xml:space="preserve"> 08.02.02 - Inactives - Grouped</v>
          </cell>
        </row>
        <row r="147">
          <cell r="C147" t="str">
            <v xml:space="preserve"> 09.08 Correct Groups</v>
          </cell>
          <cell r="D147" t="str">
            <v xml:space="preserve"> 09.08 Correct Groups</v>
          </cell>
          <cell r="E147" t="str">
            <v xml:space="preserve"> 09.08 Correct Groups</v>
          </cell>
          <cell r="F147" t="str">
            <v xml:space="preserve"> 09.08 Correct Groups</v>
          </cell>
          <cell r="G147" t="str">
            <v xml:space="preserve"> 09.08 Correct Groups</v>
          </cell>
          <cell r="H147" t="str">
            <v xml:space="preserve"> 09.08 Correct Groups</v>
          </cell>
          <cell r="I147" t="str">
            <v xml:space="preserve"> 09.08 Correct Groups</v>
          </cell>
          <cell r="J147" t="str">
            <v xml:space="preserve"> 09.08 Correct Groups</v>
          </cell>
          <cell r="K147" t="str">
            <v xml:space="preserve"> 2008 Grouped Data - Round EA</v>
          </cell>
          <cell r="L147" t="str">
            <v xml:space="preserve"> 2008 Grouped Data - Round EA</v>
          </cell>
          <cell r="M147" t="str">
            <v xml:space="preserve"> 2008 Grouped Data - Round EA</v>
          </cell>
          <cell r="N147" t="str">
            <v xml:space="preserve"> 2008 Grouped Data - Round EA</v>
          </cell>
          <cell r="O147" t="str">
            <v xml:space="preserve"> 2008 Grouped Data - Round EA</v>
          </cell>
          <cell r="P147" t="str">
            <v xml:space="preserve"> 2008 Grouped Data - Round EA</v>
          </cell>
          <cell r="Q147" t="str">
            <v xml:space="preserve"> 2008 Grouped Data - Round EA</v>
          </cell>
          <cell r="R147" t="str">
            <v xml:space="preserve"> 2008 Grouped Data - Round EA</v>
          </cell>
          <cell r="S147" t="str">
            <v xml:space="preserve"> 2008 Grouped Data - Round EA</v>
          </cell>
        </row>
        <row r="148">
          <cell r="C148" t="str">
            <v xml:space="preserve"> &lt;none&gt;</v>
          </cell>
          <cell r="D148" t="str">
            <v xml:space="preserve"> &lt;none&gt;</v>
          </cell>
          <cell r="E148" t="str">
            <v xml:space="preserve"> &lt;none&gt;</v>
          </cell>
          <cell r="F148" t="str">
            <v xml:space="preserve"> &lt;none&gt;</v>
          </cell>
          <cell r="G148" t="str">
            <v xml:space="preserve"> &lt;none&gt;</v>
          </cell>
          <cell r="H148" t="str">
            <v xml:space="preserve"> &lt;none&gt;</v>
          </cell>
          <cell r="I148" t="str">
            <v xml:space="preserve"> &lt;none&gt;</v>
          </cell>
          <cell r="J148" t="str">
            <v xml:space="preserve"> &lt;none&gt;</v>
          </cell>
          <cell r="K148" t="str">
            <v xml:space="preserve"> &lt;none&gt;</v>
          </cell>
          <cell r="L148" t="str">
            <v xml:space="preserve"> &lt;none&gt;</v>
          </cell>
          <cell r="M148" t="str">
            <v xml:space="preserve"> &lt;none&gt;</v>
          </cell>
          <cell r="N148" t="str">
            <v xml:space="preserve"> &lt;none&gt;</v>
          </cell>
          <cell r="O148" t="str">
            <v xml:space="preserve"> &lt;none&gt;</v>
          </cell>
          <cell r="P148" t="str">
            <v xml:space="preserve"> &lt;none&gt;</v>
          </cell>
          <cell r="Q148" t="str">
            <v xml:space="preserve"> &lt;none&gt;</v>
          </cell>
          <cell r="R148" t="str">
            <v xml:space="preserve"> &lt;none&gt;</v>
          </cell>
          <cell r="S148" t="str">
            <v xml:space="preserve"> &lt;none&gt;</v>
          </cell>
        </row>
        <row r="149">
          <cell r="C149" t="str">
            <v xml:space="preserve"> October 1, 2010  4:49 PM</v>
          </cell>
          <cell r="D149" t="str">
            <v xml:space="preserve"> October 1, 2010  4:49 PM</v>
          </cell>
          <cell r="E149" t="str">
            <v xml:space="preserve"> October 1, 2010  4:50 PM</v>
          </cell>
          <cell r="F149" t="str">
            <v xml:space="preserve"> October 1, 2010  4:50 PM</v>
          </cell>
          <cell r="G149" t="str">
            <v xml:space="preserve"> October 1, 2010  4:59 PM</v>
          </cell>
          <cell r="H149" t="str">
            <v xml:space="preserve"> October 1, 2010  5:00 PM</v>
          </cell>
          <cell r="I149" t="str">
            <v xml:space="preserve"> October 1, 2010  5:00 PM</v>
          </cell>
          <cell r="J149" t="str">
            <v xml:space="preserve"> October 1, 2010  5:00 PM</v>
          </cell>
          <cell r="K149" t="str">
            <v xml:space="preserve"> October 1, 2010  5:22 PM</v>
          </cell>
          <cell r="L149" t="str">
            <v xml:space="preserve"> October 1, 2010  5:22 PM</v>
          </cell>
          <cell r="M149" t="str">
            <v xml:space="preserve"> October 1, 2010  5:23 PM</v>
          </cell>
          <cell r="N149" t="str">
            <v xml:space="preserve"> October 1, 2010  5:23 PM</v>
          </cell>
          <cell r="O149" t="str">
            <v xml:space="preserve"> October 1, 2010  5:24 PM</v>
          </cell>
          <cell r="P149" t="str">
            <v xml:space="preserve"> October 1, 2010  5:24 PM</v>
          </cell>
          <cell r="Q149" t="str">
            <v xml:space="preserve"> August 31, 2010  12:01 AM</v>
          </cell>
          <cell r="R149" t="str">
            <v xml:space="preserve"> August 31, 2010  12:01 AM</v>
          </cell>
          <cell r="S149" t="str">
            <v xml:space="preserve"> August 31, 2010  12:02 AM</v>
          </cell>
        </row>
        <row r="150">
          <cell r="C150" t="str">
            <v xml:space="preserve"> 3.01 Sep 13, 2010</v>
          </cell>
          <cell r="D150" t="str">
            <v xml:space="preserve"> 3.01 Sep 13, 2010</v>
          </cell>
          <cell r="E150" t="str">
            <v xml:space="preserve"> 3.01 Sep 13, 2010</v>
          </cell>
          <cell r="F150" t="str">
            <v xml:space="preserve"> 3.01 Sep 13, 2010</v>
          </cell>
          <cell r="G150" t="str">
            <v xml:space="preserve"> 3.01 Sep 13, 2010</v>
          </cell>
          <cell r="H150" t="str">
            <v xml:space="preserve"> 3.01 Sep 13, 2010</v>
          </cell>
          <cell r="I150" t="str">
            <v xml:space="preserve"> 3.01 Sep 13, 2010</v>
          </cell>
          <cell r="J150" t="str">
            <v xml:space="preserve"> 3.01 Sep 13, 2010</v>
          </cell>
          <cell r="K150" t="str">
            <v xml:space="preserve"> 3.01 Sep 13, 2010</v>
          </cell>
          <cell r="L150" t="str">
            <v xml:space="preserve"> 3.01 Sep 13, 2010</v>
          </cell>
          <cell r="M150" t="str">
            <v xml:space="preserve"> 3.01 Sep 13, 2010</v>
          </cell>
          <cell r="N150" t="str">
            <v xml:space="preserve"> 3.01 Sep 13, 2010</v>
          </cell>
          <cell r="O150" t="str">
            <v xml:space="preserve"> 3.01 Sep 13, 2010</v>
          </cell>
          <cell r="P150" t="str">
            <v xml:space="preserve"> 3.01 Sep 13, 2010</v>
          </cell>
          <cell r="Q150" t="str">
            <v xml:space="preserve"> 3.01 Aug 19, 2010</v>
          </cell>
          <cell r="R150" t="str">
            <v xml:space="preserve"> 3.01 Aug 19, 2010</v>
          </cell>
          <cell r="S150" t="str">
            <v xml:space="preserve"> 3.01 Aug 19, 2010</v>
          </cell>
        </row>
        <row r="151">
          <cell r="C151" t="str">
            <v xml:space="preserve"> 01.01.09.04 - TSERS - Teachers - Mortality</v>
          </cell>
          <cell r="D151" t="str">
            <v xml:space="preserve"> 01.02.09.04 - TSERS - General - Mortality</v>
          </cell>
          <cell r="E151" t="str">
            <v xml:space="preserve"> 01.01.09.04 - TSERS - Teachers - Mortality</v>
          </cell>
          <cell r="F151" t="str">
            <v xml:space="preserve"> 01.02.09.04 - TSERS - General - Mortality</v>
          </cell>
          <cell r="G151" t="str">
            <v xml:space="preserve"> 01.02.09.04 - TSERS - General - Mortality</v>
          </cell>
          <cell r="H151" t="str">
            <v xml:space="preserve"> 01.02.09.04 - TSERS - General - Mortality</v>
          </cell>
          <cell r="I151" t="str">
            <v xml:space="preserve"> 01.03.09.04 - TSERS - Law Enforcement Officers - Mortality</v>
          </cell>
          <cell r="J151" t="str">
            <v xml:space="preserve"> 01.03.09.04 - TSERS - Law Enforcement Officers - Mortality</v>
          </cell>
          <cell r="K151" t="str">
            <v xml:space="preserve"> 01.01.08.01 - TSERS - Teachers</v>
          </cell>
          <cell r="L151" t="str">
            <v xml:space="preserve"> 01.01.08.02 - TSERS - Teachers - NC</v>
          </cell>
          <cell r="M151" t="str">
            <v xml:space="preserve"> 01.02.08.01 - TSERS - General</v>
          </cell>
          <cell r="N151" t="str">
            <v xml:space="preserve"> 01.02.08.02 - TSERS - General - NC</v>
          </cell>
          <cell r="O151" t="str">
            <v xml:space="preserve"> 01.03.08.01 - TSERS - Law Enforcement Officers</v>
          </cell>
          <cell r="P151" t="str">
            <v xml:space="preserve"> 01.03.08.02 - TSERS - Law Enforcement Officers - NC</v>
          </cell>
          <cell r="Q151" t="str">
            <v xml:space="preserve"> 01.01.08.01 - TSERS - Teachers</v>
          </cell>
          <cell r="R151" t="str">
            <v xml:space="preserve"> 01.01.08.01 - TSERS - Teachers</v>
          </cell>
          <cell r="S151" t="str">
            <v xml:space="preserve"> 01.02.08.01 - TSERS - General</v>
          </cell>
        </row>
        <row r="152">
          <cell r="C152">
            <v>7.2499999999999995E-2</v>
          </cell>
          <cell r="D152">
            <v>7.2499999999999995E-2</v>
          </cell>
          <cell r="E152">
            <v>7.2499999999999995E-2</v>
          </cell>
          <cell r="F152">
            <v>7.2499999999999995E-2</v>
          </cell>
          <cell r="G152">
            <v>7.2499999999999995E-2</v>
          </cell>
          <cell r="H152">
            <v>7.2499999999999995E-2</v>
          </cell>
          <cell r="I152">
            <v>7.2499999999999995E-2</v>
          </cell>
          <cell r="J152">
            <v>7.2499999999999995E-2</v>
          </cell>
          <cell r="K152">
            <v>7.2499999999999995E-2</v>
          </cell>
          <cell r="L152">
            <v>7.2499999999999995E-2</v>
          </cell>
          <cell r="M152">
            <v>7.2499999999999995E-2</v>
          </cell>
          <cell r="N152">
            <v>7.2499999999999995E-2</v>
          </cell>
          <cell r="O152">
            <v>7.2499999999999995E-2</v>
          </cell>
          <cell r="P152">
            <v>7.2499999999999995E-2</v>
          </cell>
          <cell r="Q152">
            <v>7.2499999999999995E-2</v>
          </cell>
          <cell r="R152">
            <v>7.2499999999999995E-2</v>
          </cell>
          <cell r="S152">
            <v>7.2499999999999995E-2</v>
          </cell>
        </row>
        <row r="153">
          <cell r="C153" t="str">
            <v xml:space="preserve"> 0.035 + merit scale</v>
          </cell>
          <cell r="D153" t="str">
            <v xml:space="preserve"> 0.035 + merit scale</v>
          </cell>
          <cell r="E153" t="str">
            <v xml:space="preserve"> 0.035 + merit scale</v>
          </cell>
          <cell r="F153" t="str">
            <v xml:space="preserve"> 0.035 + merit scale</v>
          </cell>
          <cell r="G153" t="str">
            <v xml:space="preserve"> 0.035 + merit scale</v>
          </cell>
          <cell r="H153" t="str">
            <v xml:space="preserve"> 0.035 + merit scale</v>
          </cell>
          <cell r="I153" t="str">
            <v xml:space="preserve"> 0.035 + merit scale</v>
          </cell>
          <cell r="J153" t="str">
            <v xml:space="preserve"> 0.035 + merit scale</v>
          </cell>
          <cell r="K153" t="str">
            <v xml:space="preserve"> 0.0375 + merit scale</v>
          </cell>
          <cell r="L153" t="str">
            <v xml:space="preserve"> 0.0375 + merit scale</v>
          </cell>
          <cell r="M153" t="str">
            <v xml:space="preserve"> 0.0375 + merit scale</v>
          </cell>
          <cell r="N153" t="str">
            <v xml:space="preserve"> 0.0375 + merit scale</v>
          </cell>
          <cell r="O153" t="str">
            <v xml:space="preserve"> 0.0375 + merit scale</v>
          </cell>
          <cell r="P153" t="str">
            <v xml:space="preserve"> 0.0375 + merit scale</v>
          </cell>
          <cell r="Q153" t="str">
            <v xml:space="preserve"> 0.0375 + merit scale</v>
          </cell>
          <cell r="R153" t="str">
            <v xml:space="preserve"> 0.0375 + merit scale</v>
          </cell>
          <cell r="S153" t="str">
            <v xml:space="preserve"> 0.0375 + merit scale</v>
          </cell>
        </row>
        <row r="154">
          <cell r="C154" t="str">
            <v xml:space="preserve"> &lt;not run&gt;</v>
          </cell>
          <cell r="D154" t="str">
            <v xml:space="preserve"> &lt;not run&gt;</v>
          </cell>
          <cell r="E154" t="str">
            <v xml:space="preserve"> &lt;not run&gt;</v>
          </cell>
          <cell r="F154" t="str">
            <v xml:space="preserve"> &lt;not run&gt;</v>
          </cell>
          <cell r="G154" t="str">
            <v xml:space="preserve"> &lt;not run&gt;</v>
          </cell>
          <cell r="H154" t="str">
            <v xml:space="preserve"> &lt;not run&gt;</v>
          </cell>
          <cell r="I154" t="str">
            <v xml:space="preserve"> &lt;not run&gt;</v>
          </cell>
          <cell r="J154" t="str">
            <v xml:space="preserve"> &lt;not run&gt;</v>
          </cell>
          <cell r="K154" t="str">
            <v xml:space="preserve"> &lt;not run&gt;</v>
          </cell>
          <cell r="L154" t="str">
            <v xml:space="preserve"> &lt;not run&gt;</v>
          </cell>
          <cell r="M154" t="str">
            <v xml:space="preserve"> &lt;not run&gt;</v>
          </cell>
          <cell r="N154" t="str">
            <v xml:space="preserve"> &lt;not run&gt;</v>
          </cell>
          <cell r="O154" t="str">
            <v xml:space="preserve"> &lt;not run&gt;</v>
          </cell>
          <cell r="P154" t="str">
            <v xml:space="preserve"> &lt;not run&gt;</v>
          </cell>
          <cell r="Q154" t="str">
            <v xml:space="preserve"> &lt;not run&gt;</v>
          </cell>
          <cell r="R154" t="str">
            <v xml:space="preserve"> &lt;not run&gt;</v>
          </cell>
          <cell r="S154" t="str">
            <v xml:space="preserve"> &lt;not run&gt;</v>
          </cell>
        </row>
        <row r="155">
          <cell r="C155" t="str">
            <v xml:space="preserve"> &lt;not run&gt;</v>
          </cell>
          <cell r="D155" t="str">
            <v xml:space="preserve"> &lt;not run&gt;</v>
          </cell>
          <cell r="E155" t="str">
            <v xml:space="preserve"> &lt;not run&gt;</v>
          </cell>
          <cell r="F155" t="str">
            <v xml:space="preserve"> &lt;not run&gt;</v>
          </cell>
          <cell r="G155" t="str">
            <v xml:space="preserve"> &lt;not run&gt;</v>
          </cell>
          <cell r="H155" t="str">
            <v xml:space="preserve"> &lt;not run&gt;</v>
          </cell>
          <cell r="I155" t="str">
            <v xml:space="preserve"> &lt;not run&gt;</v>
          </cell>
          <cell r="J155" t="str">
            <v xml:space="preserve"> &lt;not run&gt;</v>
          </cell>
          <cell r="K155" t="str">
            <v xml:space="preserve"> &lt;not run&gt;</v>
          </cell>
          <cell r="L155" t="str">
            <v xml:space="preserve"> &lt;not run&gt;</v>
          </cell>
          <cell r="M155" t="str">
            <v xml:space="preserve"> &lt;not run&gt;</v>
          </cell>
          <cell r="N155" t="str">
            <v xml:space="preserve"> &lt;not run&gt;</v>
          </cell>
          <cell r="O155" t="str">
            <v xml:space="preserve"> &lt;not run&gt;</v>
          </cell>
          <cell r="P155" t="str">
            <v xml:space="preserve"> &lt;not run&gt;</v>
          </cell>
          <cell r="Q155" t="str">
            <v xml:space="preserve"> &lt;not run&gt;</v>
          </cell>
          <cell r="R155" t="str">
            <v xml:space="preserve"> &lt;not run&gt;</v>
          </cell>
          <cell r="S155" t="str">
            <v xml:space="preserve"> &lt;not run&gt;</v>
          </cell>
        </row>
        <row r="156">
          <cell r="C156" t="str">
            <v xml:space="preserve"> &lt;none&gt;</v>
          </cell>
          <cell r="D156" t="str">
            <v xml:space="preserve"> &lt;none&gt;</v>
          </cell>
          <cell r="E156" t="str">
            <v xml:space="preserve"> &lt;none&gt;</v>
          </cell>
          <cell r="F156" t="str">
            <v xml:space="preserve"> &lt;none&gt;</v>
          </cell>
          <cell r="G156" t="str">
            <v xml:space="preserve"> &lt;none&gt;</v>
          </cell>
          <cell r="H156" t="str">
            <v xml:space="preserve"> &lt;none&gt;</v>
          </cell>
          <cell r="I156" t="str">
            <v xml:space="preserve"> &lt;none&gt;</v>
          </cell>
          <cell r="J156" t="str">
            <v xml:space="preserve"> &lt;none&gt;</v>
          </cell>
          <cell r="K156" t="str">
            <v xml:space="preserve"> &lt;none&gt;</v>
          </cell>
          <cell r="L156" t="str">
            <v xml:space="preserve"> &lt;none&gt;</v>
          </cell>
          <cell r="M156" t="str">
            <v xml:space="preserve"> &lt;none&gt;</v>
          </cell>
          <cell r="N156" t="str">
            <v xml:space="preserve"> &lt;none&gt;</v>
          </cell>
          <cell r="O156" t="str">
            <v xml:space="preserve"> &lt;none&gt;</v>
          </cell>
          <cell r="P156" t="str">
            <v xml:space="preserve"> &lt;none&gt;</v>
          </cell>
          <cell r="Q156" t="str">
            <v xml:space="preserve"> &lt;none&gt;</v>
          </cell>
          <cell r="R156" t="str">
            <v xml:space="preserve"> &lt;none&gt;</v>
          </cell>
          <cell r="S156" t="str">
            <v xml:space="preserve"> &lt;none&gt;</v>
          </cell>
        </row>
      </sheetData>
      <sheetData sheetId="7"/>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PO"/>
      <sheetName val="GainLoss"/>
      <sheetName val="GainLoss V2"/>
      <sheetName val="Reconciliation"/>
      <sheetName val="Results"/>
      <sheetName val="Liabilities"/>
      <sheetName val="ProVal"/>
      <sheetName val="Membership"/>
      <sheetName val="Assets"/>
      <sheetName val="Flow - Experience"/>
      <sheetName val="Flow - Final"/>
      <sheetName val="New Retiree ProVal"/>
      <sheetName val="New Active ProVal"/>
    </sheetNames>
    <sheetDataSet>
      <sheetData sheetId="0"/>
      <sheetData sheetId="1"/>
      <sheetData sheetId="2"/>
      <sheetData sheetId="3"/>
      <sheetData sheetId="4"/>
      <sheetData sheetId="5"/>
      <sheetData sheetId="6">
        <row r="6">
          <cell r="B6" t="str">
            <v>R_Teachers_Correct Groups</v>
          </cell>
          <cell r="C6">
            <v>0</v>
          </cell>
          <cell r="D6">
            <v>0</v>
          </cell>
          <cell r="E6">
            <v>0</v>
          </cell>
          <cell r="F6">
            <v>0</v>
          </cell>
          <cell r="G6">
            <v>68735</v>
          </cell>
          <cell r="H6">
            <v>1845314465</v>
          </cell>
          <cell r="I6">
            <v>0</v>
          </cell>
          <cell r="J6">
            <v>15808473119</v>
          </cell>
          <cell r="K6">
            <v>0</v>
          </cell>
          <cell r="L6">
            <v>0</v>
          </cell>
          <cell r="Q6">
            <v>3643</v>
          </cell>
          <cell r="R6">
            <v>983947221</v>
          </cell>
        </row>
        <row r="7">
          <cell r="B7" t="str">
            <v>R_Other Education_Correct Groups</v>
          </cell>
          <cell r="C7">
            <v>0</v>
          </cell>
          <cell r="D7">
            <v>0</v>
          </cell>
          <cell r="E7">
            <v>0</v>
          </cell>
          <cell r="F7">
            <v>0</v>
          </cell>
          <cell r="G7">
            <v>2695</v>
          </cell>
          <cell r="H7">
            <v>67421186</v>
          </cell>
          <cell r="I7">
            <v>0</v>
          </cell>
          <cell r="J7">
            <v>636806753</v>
          </cell>
          <cell r="K7">
            <v>0</v>
          </cell>
          <cell r="L7">
            <v>0</v>
          </cell>
          <cell r="Q7">
            <v>1457</v>
          </cell>
          <cell r="R7">
            <v>356783169</v>
          </cell>
        </row>
        <row r="8">
          <cell r="B8" t="str">
            <v>B_Teachers_Correct Groups</v>
          </cell>
          <cell r="C8">
            <v>0</v>
          </cell>
          <cell r="D8">
            <v>0</v>
          </cell>
          <cell r="E8">
            <v>0</v>
          </cell>
          <cell r="F8">
            <v>0</v>
          </cell>
          <cell r="G8">
            <v>3806</v>
          </cell>
          <cell r="H8">
            <v>63357114</v>
          </cell>
          <cell r="I8">
            <v>0</v>
          </cell>
          <cell r="J8">
            <v>475824519</v>
          </cell>
          <cell r="K8">
            <v>0</v>
          </cell>
          <cell r="L8">
            <v>0</v>
          </cell>
          <cell r="Q8">
            <v>222</v>
          </cell>
          <cell r="R8">
            <v>27661351</v>
          </cell>
        </row>
        <row r="9">
          <cell r="B9" t="str">
            <v>B_Other Education_Correct Groups</v>
          </cell>
          <cell r="C9">
            <v>0</v>
          </cell>
          <cell r="D9">
            <v>0</v>
          </cell>
          <cell r="E9">
            <v>0</v>
          </cell>
          <cell r="F9">
            <v>0</v>
          </cell>
          <cell r="G9">
            <v>4</v>
          </cell>
          <cell r="H9">
            <v>42393</v>
          </cell>
          <cell r="I9">
            <v>0</v>
          </cell>
          <cell r="J9">
            <v>456295</v>
          </cell>
          <cell r="K9">
            <v>0</v>
          </cell>
          <cell r="L9">
            <v>0</v>
          </cell>
          <cell r="Q9">
            <v>3</v>
          </cell>
          <cell r="R9">
            <v>411625</v>
          </cell>
        </row>
        <row r="10">
          <cell r="B10" t="str">
            <v>R_General_Correct Groups</v>
          </cell>
          <cell r="C10">
            <v>0</v>
          </cell>
          <cell r="D10">
            <v>0</v>
          </cell>
          <cell r="E10">
            <v>0</v>
          </cell>
          <cell r="F10">
            <v>0</v>
          </cell>
          <cell r="G10">
            <v>70726</v>
          </cell>
          <cell r="H10">
            <v>1231325396</v>
          </cell>
          <cell r="I10">
            <v>0</v>
          </cell>
          <cell r="J10">
            <v>10360858551</v>
          </cell>
          <cell r="K10">
            <v>0</v>
          </cell>
          <cell r="L10">
            <v>0</v>
          </cell>
          <cell r="Q10">
            <v>3729</v>
          </cell>
          <cell r="R10">
            <v>664220266</v>
          </cell>
        </row>
        <row r="11">
          <cell r="B11" t="str">
            <v>B_General_Correct Groups</v>
          </cell>
          <cell r="C11">
            <v>0</v>
          </cell>
          <cell r="D11">
            <v>0</v>
          </cell>
          <cell r="E11">
            <v>0</v>
          </cell>
          <cell r="F11">
            <v>0</v>
          </cell>
          <cell r="G11">
            <v>8164</v>
          </cell>
          <cell r="H11">
            <v>90856399</v>
          </cell>
          <cell r="I11">
            <v>0</v>
          </cell>
          <cell r="J11">
            <v>684573305</v>
          </cell>
          <cell r="K11">
            <v>0</v>
          </cell>
          <cell r="L11">
            <v>0</v>
          </cell>
          <cell r="Q11">
            <v>582</v>
          </cell>
          <cell r="R11">
            <v>65766484</v>
          </cell>
        </row>
        <row r="12">
          <cell r="B12" t="str">
            <v>R_Law Enforcement Officers_Correct Groups</v>
          </cell>
          <cell r="C12">
            <v>0</v>
          </cell>
          <cell r="D12">
            <v>0</v>
          </cell>
          <cell r="E12">
            <v>0</v>
          </cell>
          <cell r="F12">
            <v>0</v>
          </cell>
          <cell r="G12">
            <v>2305</v>
          </cell>
          <cell r="H12">
            <v>68989420</v>
          </cell>
          <cell r="I12">
            <v>0</v>
          </cell>
          <cell r="J12">
            <v>729435853</v>
          </cell>
          <cell r="K12">
            <v>0</v>
          </cell>
          <cell r="L12">
            <v>0</v>
          </cell>
          <cell r="Q12">
            <v>117</v>
          </cell>
          <cell r="R12">
            <v>46867923</v>
          </cell>
        </row>
        <row r="13">
          <cell r="B13" t="str">
            <v>B_Law Enforcement Officers_Correct Groups</v>
          </cell>
          <cell r="C13">
            <v>0</v>
          </cell>
          <cell r="D13">
            <v>0</v>
          </cell>
          <cell r="E13">
            <v>0</v>
          </cell>
          <cell r="F13">
            <v>0</v>
          </cell>
          <cell r="G13">
            <v>351</v>
          </cell>
          <cell r="H13">
            <v>6667848</v>
          </cell>
          <cell r="I13">
            <v>0</v>
          </cell>
          <cell r="J13">
            <v>55496132</v>
          </cell>
          <cell r="K13">
            <v>0</v>
          </cell>
          <cell r="L13">
            <v>0</v>
          </cell>
          <cell r="Q13">
            <v>24</v>
          </cell>
          <cell r="R13">
            <v>3906564</v>
          </cell>
        </row>
        <row r="14">
          <cell r="C14">
            <v>158280</v>
          </cell>
          <cell r="D14">
            <v>7352563851</v>
          </cell>
          <cell r="E14">
            <v>42.69</v>
          </cell>
          <cell r="F14">
            <v>9.5500000000000007</v>
          </cell>
          <cell r="G14">
            <v>0</v>
          </cell>
          <cell r="H14">
            <v>0</v>
          </cell>
          <cell r="I14">
            <v>23819634824</v>
          </cell>
          <cell r="J14">
            <v>0</v>
          </cell>
          <cell r="K14">
            <v>14437889332</v>
          </cell>
          <cell r="L14">
            <v>75498348832</v>
          </cell>
        </row>
        <row r="15">
          <cell r="C15">
            <v>158280</v>
          </cell>
          <cell r="D15">
            <v>7352563851</v>
          </cell>
          <cell r="E15">
            <v>42.69</v>
          </cell>
          <cell r="F15">
            <v>9.5500000000000007</v>
          </cell>
          <cell r="G15">
            <v>0</v>
          </cell>
          <cell r="H15">
            <v>0</v>
          </cell>
          <cell r="I15">
            <v>23779377466</v>
          </cell>
          <cell r="J15">
            <v>0</v>
          </cell>
          <cell r="K15">
            <v>13448637501</v>
          </cell>
          <cell r="L15">
            <v>75498348832</v>
          </cell>
        </row>
        <row r="16">
          <cell r="C16">
            <v>163725</v>
          </cell>
          <cell r="D16">
            <v>7144162762</v>
          </cell>
          <cell r="E16">
            <v>46.26</v>
          </cell>
          <cell r="F16">
            <v>10.06</v>
          </cell>
          <cell r="G16">
            <v>0</v>
          </cell>
          <cell r="H16">
            <v>0</v>
          </cell>
          <cell r="I16">
            <v>17892240462</v>
          </cell>
          <cell r="J16">
            <v>0</v>
          </cell>
          <cell r="K16">
            <v>12494243353</v>
          </cell>
          <cell r="L16">
            <v>55502792525</v>
          </cell>
        </row>
        <row r="17">
          <cell r="C17">
            <v>163725</v>
          </cell>
          <cell r="D17">
            <v>7144162762</v>
          </cell>
          <cell r="E17">
            <v>46.26</v>
          </cell>
          <cell r="F17">
            <v>10.06</v>
          </cell>
          <cell r="G17">
            <v>0</v>
          </cell>
          <cell r="H17">
            <v>0</v>
          </cell>
          <cell r="I17">
            <v>17892613332</v>
          </cell>
          <cell r="J17">
            <v>0</v>
          </cell>
          <cell r="K17">
            <v>12264442955</v>
          </cell>
          <cell r="L17">
            <v>55502792525</v>
          </cell>
        </row>
        <row r="18">
          <cell r="C18">
            <v>3585</v>
          </cell>
          <cell r="D18">
            <v>208161658</v>
          </cell>
          <cell r="E18">
            <v>39.549999999999997</v>
          </cell>
          <cell r="F18">
            <v>12.51</v>
          </cell>
          <cell r="G18">
            <v>0</v>
          </cell>
          <cell r="H18">
            <v>0</v>
          </cell>
          <cell r="I18">
            <v>709993053</v>
          </cell>
          <cell r="J18">
            <v>0</v>
          </cell>
          <cell r="K18">
            <v>487308926</v>
          </cell>
          <cell r="L18">
            <v>1991200451</v>
          </cell>
        </row>
        <row r="19">
          <cell r="C19">
            <v>3585</v>
          </cell>
          <cell r="D19">
            <v>208161658</v>
          </cell>
          <cell r="E19">
            <v>39.549999999999997</v>
          </cell>
          <cell r="F19">
            <v>12.51</v>
          </cell>
          <cell r="G19">
            <v>0</v>
          </cell>
          <cell r="H19">
            <v>0</v>
          </cell>
          <cell r="I19">
            <v>710162344</v>
          </cell>
          <cell r="J19">
            <v>0</v>
          </cell>
          <cell r="K19">
            <v>465981825</v>
          </cell>
          <cell r="L19">
            <v>1991200451</v>
          </cell>
        </row>
        <row r="20">
          <cell r="C20">
            <v>0</v>
          </cell>
          <cell r="D20">
            <v>0</v>
          </cell>
          <cell r="E20">
            <v>0</v>
          </cell>
          <cell r="F20">
            <v>0</v>
          </cell>
          <cell r="G20">
            <v>67797</v>
          </cell>
          <cell r="H20">
            <v>1828374369</v>
          </cell>
          <cell r="I20">
            <v>0</v>
          </cell>
          <cell r="J20">
            <v>15795012410</v>
          </cell>
          <cell r="K20">
            <v>0</v>
          </cell>
          <cell r="L20">
            <v>0</v>
          </cell>
        </row>
        <row r="21">
          <cell r="C21">
            <v>0</v>
          </cell>
          <cell r="D21">
            <v>0</v>
          </cell>
          <cell r="E21">
            <v>0</v>
          </cell>
          <cell r="F21">
            <v>0</v>
          </cell>
          <cell r="G21">
            <v>3747</v>
          </cell>
          <cell r="H21">
            <v>63000195</v>
          </cell>
          <cell r="I21">
            <v>0</v>
          </cell>
          <cell r="J21">
            <v>502239868</v>
          </cell>
          <cell r="K21">
            <v>0</v>
          </cell>
          <cell r="L21">
            <v>0</v>
          </cell>
        </row>
        <row r="22">
          <cell r="C22">
            <v>0</v>
          </cell>
          <cell r="D22">
            <v>0</v>
          </cell>
          <cell r="E22">
            <v>0</v>
          </cell>
          <cell r="F22">
            <v>0</v>
          </cell>
          <cell r="G22">
            <v>69236</v>
          </cell>
          <cell r="H22">
            <v>1214581245</v>
          </cell>
          <cell r="I22">
            <v>0</v>
          </cell>
          <cell r="J22">
            <v>10286321871</v>
          </cell>
          <cell r="K22">
            <v>0</v>
          </cell>
          <cell r="L22">
            <v>0</v>
          </cell>
        </row>
        <row r="23">
          <cell r="C23">
            <v>0</v>
          </cell>
          <cell r="D23">
            <v>0</v>
          </cell>
          <cell r="E23">
            <v>0</v>
          </cell>
          <cell r="F23">
            <v>0</v>
          </cell>
          <cell r="G23">
            <v>7895</v>
          </cell>
          <cell r="H23">
            <v>86412178</v>
          </cell>
          <cell r="I23">
            <v>0</v>
          </cell>
          <cell r="J23">
            <v>685870622</v>
          </cell>
          <cell r="K23">
            <v>0</v>
          </cell>
          <cell r="L23">
            <v>0</v>
          </cell>
        </row>
        <row r="24">
          <cell r="C24">
            <v>0</v>
          </cell>
          <cell r="D24">
            <v>0</v>
          </cell>
          <cell r="E24">
            <v>0</v>
          </cell>
          <cell r="F24">
            <v>0</v>
          </cell>
          <cell r="G24">
            <v>2312</v>
          </cell>
          <cell r="H24">
            <v>66868780</v>
          </cell>
          <cell r="I24">
            <v>0</v>
          </cell>
          <cell r="J24">
            <v>696905219</v>
          </cell>
          <cell r="K24">
            <v>0</v>
          </cell>
          <cell r="L24">
            <v>0</v>
          </cell>
        </row>
        <row r="25">
          <cell r="C25">
            <v>0</v>
          </cell>
          <cell r="D25">
            <v>0</v>
          </cell>
          <cell r="E25">
            <v>0</v>
          </cell>
          <cell r="F25">
            <v>0</v>
          </cell>
          <cell r="G25">
            <v>333</v>
          </cell>
          <cell r="H25">
            <v>6393815</v>
          </cell>
          <cell r="I25">
            <v>0</v>
          </cell>
          <cell r="J25">
            <v>55424703</v>
          </cell>
          <cell r="K25">
            <v>0</v>
          </cell>
          <cell r="L25">
            <v>0</v>
          </cell>
        </row>
        <row r="26">
          <cell r="C26">
            <v>0</v>
          </cell>
          <cell r="D26">
            <v>0</v>
          </cell>
          <cell r="E26">
            <v>0</v>
          </cell>
          <cell r="F26">
            <v>0</v>
          </cell>
          <cell r="G26">
            <v>95210</v>
          </cell>
          <cell r="H26">
            <v>0</v>
          </cell>
          <cell r="I26">
            <v>0</v>
          </cell>
          <cell r="J26">
            <v>1582972206</v>
          </cell>
          <cell r="K26">
            <v>0</v>
          </cell>
          <cell r="L26">
            <v>0</v>
          </cell>
        </row>
        <row r="27">
          <cell r="B27" t="str">
            <v>A_Teachers_Experience</v>
          </cell>
          <cell r="C27">
            <v>153655</v>
          </cell>
          <cell r="D27">
            <v>7206757480</v>
          </cell>
          <cell r="E27">
            <v>43.12</v>
          </cell>
          <cell r="F27">
            <v>10.039999999999999</v>
          </cell>
          <cell r="G27">
            <v>0</v>
          </cell>
          <cell r="H27">
            <v>0</v>
          </cell>
          <cell r="I27">
            <v>23569531706</v>
          </cell>
          <cell r="J27">
            <v>0</v>
          </cell>
          <cell r="K27">
            <v>13487490542</v>
          </cell>
          <cell r="L27">
            <v>73031092632</v>
          </cell>
          <cell r="M27">
            <v>92765667</v>
          </cell>
        </row>
        <row r="28">
          <cell r="B28" t="str">
            <v>A_Teachers_Salary Scale</v>
          </cell>
          <cell r="C28">
            <v>153655</v>
          </cell>
          <cell r="D28">
            <v>7031428163</v>
          </cell>
          <cell r="E28">
            <v>43.12</v>
          </cell>
          <cell r="F28">
            <v>10.039999999999999</v>
          </cell>
          <cell r="G28">
            <v>0</v>
          </cell>
          <cell r="H28">
            <v>0</v>
          </cell>
          <cell r="I28">
            <v>20864595038</v>
          </cell>
          <cell r="J28">
            <v>0</v>
          </cell>
          <cell r="K28">
            <v>13272238209</v>
          </cell>
          <cell r="L28">
            <v>63488124120</v>
          </cell>
          <cell r="M28">
            <v>87809185</v>
          </cell>
        </row>
        <row r="29">
          <cell r="B29" t="str">
            <v>A_Teachers_Sal + Inflation</v>
          </cell>
          <cell r="C29">
            <v>153655</v>
          </cell>
          <cell r="D29">
            <v>7014484962</v>
          </cell>
          <cell r="E29">
            <v>43.12</v>
          </cell>
          <cell r="F29">
            <v>10.039999999999999</v>
          </cell>
          <cell r="G29">
            <v>0</v>
          </cell>
          <cell r="H29">
            <v>0</v>
          </cell>
          <cell r="I29">
            <v>20363296476</v>
          </cell>
          <cell r="J29">
            <v>0</v>
          </cell>
          <cell r="K29">
            <v>13129152075</v>
          </cell>
          <cell r="L29">
            <v>62235655098</v>
          </cell>
          <cell r="M29">
            <v>87487468</v>
          </cell>
        </row>
        <row r="30">
          <cell r="B30" t="str">
            <v>A_Teachers_Mortality</v>
          </cell>
          <cell r="C30">
            <v>153655</v>
          </cell>
          <cell r="D30">
            <v>7014484962</v>
          </cell>
          <cell r="E30">
            <v>43.12</v>
          </cell>
          <cell r="F30">
            <v>10.039999999999999</v>
          </cell>
          <cell r="G30">
            <v>0</v>
          </cell>
          <cell r="H30">
            <v>0</v>
          </cell>
          <cell r="I30">
            <v>20217818010</v>
          </cell>
          <cell r="J30">
            <v>0</v>
          </cell>
          <cell r="K30">
            <v>13055653410</v>
          </cell>
          <cell r="L30">
            <v>62157527278</v>
          </cell>
          <cell r="M30">
            <v>95186882</v>
          </cell>
        </row>
        <row r="31">
          <cell r="B31" t="str">
            <v>A_Teachers_Ret/Term</v>
          </cell>
          <cell r="C31">
            <v>153655</v>
          </cell>
          <cell r="D31">
            <v>7014484962</v>
          </cell>
          <cell r="E31">
            <v>43.12</v>
          </cell>
          <cell r="F31">
            <v>10.039999999999999</v>
          </cell>
          <cell r="G31">
            <v>0</v>
          </cell>
          <cell r="H31">
            <v>0</v>
          </cell>
          <cell r="I31">
            <v>19957724426</v>
          </cell>
          <cell r="J31">
            <v>0</v>
          </cell>
          <cell r="K31">
            <v>13154146522</v>
          </cell>
          <cell r="L31">
            <v>60188965174</v>
          </cell>
          <cell r="M31">
            <v>123151983</v>
          </cell>
        </row>
        <row r="32">
          <cell r="C32">
            <v>153467</v>
          </cell>
          <cell r="D32">
            <v>7197630199</v>
          </cell>
          <cell r="E32">
            <v>43.12</v>
          </cell>
          <cell r="F32">
            <v>10.050000000000001</v>
          </cell>
          <cell r="G32">
            <v>0</v>
          </cell>
          <cell r="H32">
            <v>0</v>
          </cell>
          <cell r="I32">
            <v>23550895685</v>
          </cell>
          <cell r="J32">
            <v>0</v>
          </cell>
          <cell r="K32">
            <v>13483210188</v>
          </cell>
          <cell r="L32">
            <v>72936824302</v>
          </cell>
          <cell r="M32">
            <v>92419781</v>
          </cell>
        </row>
        <row r="33">
          <cell r="B33" t="str">
            <v>A_Teachers_Fix Disability</v>
          </cell>
          <cell r="C33">
            <v>153467</v>
          </cell>
          <cell r="D33">
            <v>7005852310</v>
          </cell>
          <cell r="E33">
            <v>43.12</v>
          </cell>
          <cell r="F33">
            <v>10.050000000000001</v>
          </cell>
          <cell r="G33">
            <v>0</v>
          </cell>
          <cell r="H33">
            <v>0</v>
          </cell>
          <cell r="I33">
            <v>19945674363</v>
          </cell>
          <cell r="J33">
            <v>0</v>
          </cell>
          <cell r="K33">
            <v>13149793146</v>
          </cell>
          <cell r="L33">
            <v>60128785087</v>
          </cell>
          <cell r="M33">
            <v>122721608</v>
          </cell>
        </row>
        <row r="34">
          <cell r="B34" t="str">
            <v>A_Teachers_Correct Groups</v>
          </cell>
          <cell r="C34">
            <v>150859</v>
          </cell>
          <cell r="D34">
            <v>6918855488</v>
          </cell>
          <cell r="E34">
            <v>43.17</v>
          </cell>
          <cell r="F34">
            <v>10.26</v>
          </cell>
          <cell r="G34">
            <v>0</v>
          </cell>
          <cell r="H34">
            <v>0</v>
          </cell>
          <cell r="I34">
            <v>19580066257</v>
          </cell>
          <cell r="J34">
            <v>0</v>
          </cell>
          <cell r="K34">
            <v>12826185116</v>
          </cell>
          <cell r="L34">
            <v>59749832108</v>
          </cell>
          <cell r="M34">
            <v>115046171</v>
          </cell>
        </row>
        <row r="35">
          <cell r="B35" t="str">
            <v>A_Teachers_Adder</v>
          </cell>
          <cell r="C35">
            <v>150859</v>
          </cell>
          <cell r="D35">
            <v>6918855488</v>
          </cell>
          <cell r="E35">
            <v>43.17</v>
          </cell>
          <cell r="F35">
            <v>10.26</v>
          </cell>
          <cell r="G35">
            <v>0</v>
          </cell>
          <cell r="H35">
            <v>0</v>
          </cell>
          <cell r="I35">
            <v>19588060016</v>
          </cell>
          <cell r="J35">
            <v>0</v>
          </cell>
          <cell r="K35">
            <v>12829797938</v>
          </cell>
          <cell r="L35">
            <v>59749832108</v>
          </cell>
          <cell r="M35">
            <v>115046171</v>
          </cell>
        </row>
        <row r="36">
          <cell r="B36" t="str">
            <v>A_Teachers_Experience_NC</v>
          </cell>
          <cell r="C36">
            <v>153655</v>
          </cell>
          <cell r="D36">
            <v>7206757480</v>
          </cell>
          <cell r="E36">
            <v>43.12</v>
          </cell>
          <cell r="F36">
            <v>10.039999999999999</v>
          </cell>
          <cell r="G36">
            <v>0</v>
          </cell>
          <cell r="H36">
            <v>0</v>
          </cell>
          <cell r="I36">
            <v>23467039422</v>
          </cell>
          <cell r="J36">
            <v>0</v>
          </cell>
          <cell r="K36">
            <v>13451761762</v>
          </cell>
          <cell r="L36">
            <v>73031092632</v>
          </cell>
          <cell r="M36">
            <v>92765667</v>
          </cell>
        </row>
        <row r="37">
          <cell r="B37" t="str">
            <v>A_Teachers_Salary Scale_NC</v>
          </cell>
          <cell r="C37">
            <v>153655</v>
          </cell>
          <cell r="D37">
            <v>7031428163</v>
          </cell>
          <cell r="E37">
            <v>43.12</v>
          </cell>
          <cell r="F37">
            <v>10.039999999999999</v>
          </cell>
          <cell r="G37">
            <v>0</v>
          </cell>
          <cell r="H37">
            <v>0</v>
          </cell>
          <cell r="I37">
            <v>20777835440</v>
          </cell>
          <cell r="J37">
            <v>0</v>
          </cell>
          <cell r="K37">
            <v>13227044560</v>
          </cell>
          <cell r="L37">
            <v>63488124120</v>
          </cell>
          <cell r="M37">
            <v>87809185</v>
          </cell>
        </row>
        <row r="38">
          <cell r="B38" t="str">
            <v>A_Teachers_Sal + Inflation_NC</v>
          </cell>
          <cell r="C38">
            <v>153655</v>
          </cell>
          <cell r="D38">
            <v>7014484962</v>
          </cell>
          <cell r="E38">
            <v>43.12</v>
          </cell>
          <cell r="F38">
            <v>10.039999999999999</v>
          </cell>
          <cell r="G38">
            <v>0</v>
          </cell>
          <cell r="H38">
            <v>0</v>
          </cell>
          <cell r="I38">
            <v>20281454185</v>
          </cell>
          <cell r="J38">
            <v>0</v>
          </cell>
          <cell r="K38">
            <v>13084867871</v>
          </cell>
          <cell r="L38">
            <v>62235655098</v>
          </cell>
          <cell r="M38">
            <v>87487468</v>
          </cell>
        </row>
        <row r="39">
          <cell r="B39" t="str">
            <v>A_Teachers_Mortality_NC</v>
          </cell>
          <cell r="C39">
            <v>153655</v>
          </cell>
          <cell r="D39">
            <v>7014484962</v>
          </cell>
          <cell r="E39">
            <v>43.12</v>
          </cell>
          <cell r="F39">
            <v>10.039999999999999</v>
          </cell>
          <cell r="G39">
            <v>0</v>
          </cell>
          <cell r="H39">
            <v>0</v>
          </cell>
          <cell r="I39">
            <v>20136231488</v>
          </cell>
          <cell r="J39">
            <v>0</v>
          </cell>
          <cell r="K39">
            <v>13010757429</v>
          </cell>
          <cell r="L39">
            <v>62157527278</v>
          </cell>
          <cell r="M39">
            <v>95186882</v>
          </cell>
        </row>
        <row r="40">
          <cell r="B40" t="str">
            <v>A_Teachers_Ret/Term_NC</v>
          </cell>
          <cell r="C40">
            <v>153655</v>
          </cell>
          <cell r="D40">
            <v>7014484962</v>
          </cell>
          <cell r="E40">
            <v>43.12</v>
          </cell>
          <cell r="F40">
            <v>10.039999999999999</v>
          </cell>
          <cell r="G40">
            <v>0</v>
          </cell>
          <cell r="H40">
            <v>0</v>
          </cell>
          <cell r="I40">
            <v>19876720015</v>
          </cell>
          <cell r="J40">
            <v>0</v>
          </cell>
          <cell r="K40">
            <v>13110591511</v>
          </cell>
          <cell r="L40">
            <v>60188965174</v>
          </cell>
          <cell r="M40">
            <v>123151983</v>
          </cell>
        </row>
        <row r="41">
          <cell r="C41">
            <v>153467</v>
          </cell>
          <cell r="D41">
            <v>7197630199</v>
          </cell>
          <cell r="E41">
            <v>43.12</v>
          </cell>
          <cell r="F41">
            <v>10.050000000000001</v>
          </cell>
          <cell r="G41">
            <v>0</v>
          </cell>
          <cell r="H41">
            <v>0</v>
          </cell>
          <cell r="I41">
            <v>23448623732</v>
          </cell>
          <cell r="J41">
            <v>0</v>
          </cell>
          <cell r="K41">
            <v>13447595354</v>
          </cell>
          <cell r="L41">
            <v>72936824302</v>
          </cell>
          <cell r="M41">
            <v>92419781</v>
          </cell>
        </row>
        <row r="42">
          <cell r="B42" t="str">
            <v>A_Teachers_Fix Disability_NC</v>
          </cell>
          <cell r="C42">
            <v>153467</v>
          </cell>
          <cell r="D42">
            <v>7005852310</v>
          </cell>
          <cell r="E42">
            <v>43.12</v>
          </cell>
          <cell r="F42">
            <v>10.050000000000001</v>
          </cell>
          <cell r="G42">
            <v>0</v>
          </cell>
          <cell r="H42">
            <v>0</v>
          </cell>
          <cell r="I42">
            <v>19864939374</v>
          </cell>
          <cell r="J42">
            <v>0</v>
          </cell>
          <cell r="K42">
            <v>13106428115</v>
          </cell>
          <cell r="L42">
            <v>60128785087</v>
          </cell>
          <cell r="M42">
            <v>122721608</v>
          </cell>
        </row>
        <row r="43">
          <cell r="B43" t="str">
            <v>A_Teachers_Correct Groups_NC</v>
          </cell>
          <cell r="C43">
            <v>150859</v>
          </cell>
          <cell r="D43">
            <v>6918855488</v>
          </cell>
          <cell r="E43">
            <v>43.17</v>
          </cell>
          <cell r="F43">
            <v>10.26</v>
          </cell>
          <cell r="G43">
            <v>0</v>
          </cell>
          <cell r="H43">
            <v>0</v>
          </cell>
          <cell r="I43">
            <v>19498140919</v>
          </cell>
          <cell r="J43">
            <v>0</v>
          </cell>
          <cell r="K43">
            <v>12783002871</v>
          </cell>
          <cell r="L43">
            <v>59749832108</v>
          </cell>
          <cell r="M43">
            <v>115046171</v>
          </cell>
        </row>
        <row r="44">
          <cell r="B44" t="str">
            <v>A_Teachers_Adder_NC</v>
          </cell>
          <cell r="C44">
            <v>150859</v>
          </cell>
          <cell r="D44">
            <v>6918855488</v>
          </cell>
          <cell r="E44">
            <v>43.17</v>
          </cell>
          <cell r="F44">
            <v>10.26</v>
          </cell>
          <cell r="G44">
            <v>0</v>
          </cell>
          <cell r="H44">
            <v>0</v>
          </cell>
          <cell r="I44">
            <v>19506090462</v>
          </cell>
          <cell r="J44">
            <v>0</v>
          </cell>
          <cell r="K44">
            <v>12786592978</v>
          </cell>
          <cell r="L44">
            <v>59749832108</v>
          </cell>
          <cell r="M44">
            <v>115046171</v>
          </cell>
        </row>
        <row r="45">
          <cell r="B45" t="str">
            <v>A_General_Experience</v>
          </cell>
          <cell r="C45">
            <v>159781</v>
          </cell>
          <cell r="D45">
            <v>7114432763</v>
          </cell>
          <cell r="E45">
            <v>46.72</v>
          </cell>
          <cell r="F45">
            <v>10.46</v>
          </cell>
          <cell r="G45">
            <v>0</v>
          </cell>
          <cell r="H45">
            <v>0</v>
          </cell>
          <cell r="I45">
            <v>18203682438</v>
          </cell>
          <cell r="J45">
            <v>0</v>
          </cell>
          <cell r="K45">
            <v>12613304977</v>
          </cell>
          <cell r="L45">
            <v>54952076045</v>
          </cell>
          <cell r="M45">
            <v>103539098</v>
          </cell>
        </row>
        <row r="46">
          <cell r="B46" t="str">
            <v>A_General_Salary Scale</v>
          </cell>
          <cell r="C46">
            <v>159781</v>
          </cell>
          <cell r="D46">
            <v>7151946343</v>
          </cell>
          <cell r="E46">
            <v>46.72</v>
          </cell>
          <cell r="F46">
            <v>10.46</v>
          </cell>
          <cell r="G46">
            <v>0</v>
          </cell>
          <cell r="H46">
            <v>0</v>
          </cell>
          <cell r="I46">
            <v>19533447144</v>
          </cell>
          <cell r="J46">
            <v>0</v>
          </cell>
          <cell r="K46">
            <v>13177909460</v>
          </cell>
          <cell r="L46">
            <v>57699590162</v>
          </cell>
          <cell r="M46">
            <v>103769396</v>
          </cell>
        </row>
        <row r="47">
          <cell r="B47" t="str">
            <v>A_General_Sal + Inflation</v>
          </cell>
          <cell r="C47">
            <v>159781</v>
          </cell>
          <cell r="D47">
            <v>7134712737</v>
          </cell>
          <cell r="E47">
            <v>46.72</v>
          </cell>
          <cell r="F47">
            <v>10.46</v>
          </cell>
          <cell r="G47">
            <v>0</v>
          </cell>
          <cell r="H47">
            <v>0</v>
          </cell>
          <cell r="I47">
            <v>19109763266</v>
          </cell>
          <cell r="J47">
            <v>0</v>
          </cell>
          <cell r="K47">
            <v>13029805429</v>
          </cell>
          <cell r="L47">
            <v>56654965178</v>
          </cell>
          <cell r="M47">
            <v>103426819</v>
          </cell>
        </row>
        <row r="48">
          <cell r="B48" t="str">
            <v>A_General_Mortality</v>
          </cell>
          <cell r="C48">
            <v>159781</v>
          </cell>
          <cell r="D48">
            <v>7134712737</v>
          </cell>
          <cell r="E48">
            <v>46.72</v>
          </cell>
          <cell r="F48">
            <v>10.46</v>
          </cell>
          <cell r="G48">
            <v>0</v>
          </cell>
          <cell r="H48">
            <v>0</v>
          </cell>
          <cell r="I48">
            <v>19115272373</v>
          </cell>
          <cell r="J48">
            <v>0</v>
          </cell>
          <cell r="K48">
            <v>13039659317</v>
          </cell>
          <cell r="L48">
            <v>56709388710</v>
          </cell>
          <cell r="M48">
            <v>108298032</v>
          </cell>
        </row>
        <row r="49">
          <cell r="B49" t="str">
            <v>A_General_Ret/Term</v>
          </cell>
          <cell r="C49">
            <v>159781</v>
          </cell>
          <cell r="D49">
            <v>7134712737</v>
          </cell>
          <cell r="E49">
            <v>46.72</v>
          </cell>
          <cell r="F49">
            <v>10.46</v>
          </cell>
          <cell r="G49">
            <v>0</v>
          </cell>
          <cell r="H49">
            <v>0</v>
          </cell>
          <cell r="I49">
            <v>19247203427</v>
          </cell>
          <cell r="J49">
            <v>0</v>
          </cell>
          <cell r="K49">
            <v>13239890937</v>
          </cell>
          <cell r="L49">
            <v>55866842806</v>
          </cell>
          <cell r="M49">
            <v>125142335</v>
          </cell>
        </row>
        <row r="50">
          <cell r="C50">
            <v>159651</v>
          </cell>
          <cell r="D50">
            <v>7110676919</v>
          </cell>
          <cell r="E50">
            <v>46.72</v>
          </cell>
          <cell r="F50">
            <v>10.46</v>
          </cell>
          <cell r="G50">
            <v>0</v>
          </cell>
          <cell r="H50">
            <v>0</v>
          </cell>
          <cell r="I50">
            <v>18198100018</v>
          </cell>
          <cell r="J50">
            <v>0</v>
          </cell>
          <cell r="K50">
            <v>12610873553</v>
          </cell>
          <cell r="L50">
            <v>54923724595</v>
          </cell>
          <cell r="M50">
            <v>103397350</v>
          </cell>
        </row>
        <row r="51">
          <cell r="B51" t="str">
            <v>A_General_Fix Disability</v>
          </cell>
          <cell r="C51">
            <v>159651</v>
          </cell>
          <cell r="D51">
            <v>7130956094</v>
          </cell>
          <cell r="E51">
            <v>46.72</v>
          </cell>
          <cell r="F51">
            <v>10.46</v>
          </cell>
          <cell r="G51">
            <v>0</v>
          </cell>
          <cell r="H51">
            <v>0</v>
          </cell>
          <cell r="I51">
            <v>19241524845</v>
          </cell>
          <cell r="J51">
            <v>0</v>
          </cell>
          <cell r="K51">
            <v>13237330356</v>
          </cell>
          <cell r="L51">
            <v>55839904506</v>
          </cell>
          <cell r="M51">
            <v>124967543</v>
          </cell>
        </row>
        <row r="52">
          <cell r="B52" t="str">
            <v>A_General_Correct Groups</v>
          </cell>
          <cell r="C52">
            <v>113353</v>
          </cell>
          <cell r="D52">
            <v>5214530027</v>
          </cell>
          <cell r="E52">
            <v>45.8</v>
          </cell>
          <cell r="F52">
            <v>10.06</v>
          </cell>
          <cell r="G52">
            <v>0</v>
          </cell>
          <cell r="H52">
            <v>0</v>
          </cell>
          <cell r="I52">
            <v>13720494939</v>
          </cell>
          <cell r="J52">
            <v>0</v>
          </cell>
          <cell r="K52">
            <v>9257315997</v>
          </cell>
          <cell r="L52">
            <v>41545877871</v>
          </cell>
          <cell r="M52">
            <v>101993763</v>
          </cell>
        </row>
        <row r="53">
          <cell r="B53" t="str">
            <v>A_General_Adder</v>
          </cell>
          <cell r="C53">
            <v>113353</v>
          </cell>
          <cell r="D53">
            <v>5214530027</v>
          </cell>
          <cell r="E53">
            <v>45.8</v>
          </cell>
          <cell r="F53">
            <v>10.06</v>
          </cell>
          <cell r="G53">
            <v>0</v>
          </cell>
          <cell r="H53">
            <v>0</v>
          </cell>
          <cell r="I53">
            <v>13666035001</v>
          </cell>
          <cell r="J53">
            <v>0</v>
          </cell>
          <cell r="K53">
            <v>9216800399</v>
          </cell>
          <cell r="L53">
            <v>41545877871</v>
          </cell>
          <cell r="M53">
            <v>101993763</v>
          </cell>
        </row>
        <row r="54">
          <cell r="B54" t="str">
            <v>A_General_Experience_NC</v>
          </cell>
          <cell r="C54">
            <v>159781</v>
          </cell>
          <cell r="D54">
            <v>7114432763</v>
          </cell>
          <cell r="E54">
            <v>46.72</v>
          </cell>
          <cell r="F54">
            <v>10.46</v>
          </cell>
          <cell r="G54">
            <v>0</v>
          </cell>
          <cell r="H54">
            <v>0</v>
          </cell>
          <cell r="I54">
            <v>18171747316</v>
          </cell>
          <cell r="J54">
            <v>0</v>
          </cell>
          <cell r="K54">
            <v>12595741783</v>
          </cell>
          <cell r="L54">
            <v>54952076045</v>
          </cell>
          <cell r="M54">
            <v>103539098</v>
          </cell>
        </row>
        <row r="55">
          <cell r="B55" t="str">
            <v>A_General_Salary Scale_NC</v>
          </cell>
          <cell r="C55">
            <v>159781</v>
          </cell>
          <cell r="D55">
            <v>7151946343</v>
          </cell>
          <cell r="E55">
            <v>46.72</v>
          </cell>
          <cell r="F55">
            <v>10.46</v>
          </cell>
          <cell r="G55">
            <v>0</v>
          </cell>
          <cell r="H55">
            <v>0</v>
          </cell>
          <cell r="I55">
            <v>19484163138</v>
          </cell>
          <cell r="J55">
            <v>0</v>
          </cell>
          <cell r="K55">
            <v>13153737609</v>
          </cell>
          <cell r="L55">
            <v>57699590162</v>
          </cell>
          <cell r="M55">
            <v>103769396</v>
          </cell>
        </row>
        <row r="56">
          <cell r="B56" t="str">
            <v>A_General_Sal + Inflation_NC</v>
          </cell>
          <cell r="C56">
            <v>159781</v>
          </cell>
          <cell r="D56">
            <v>7134712737</v>
          </cell>
          <cell r="E56">
            <v>46.72</v>
          </cell>
          <cell r="F56">
            <v>10.46</v>
          </cell>
          <cell r="G56">
            <v>0</v>
          </cell>
          <cell r="H56">
            <v>0</v>
          </cell>
          <cell r="I56">
            <v>19064846506</v>
          </cell>
          <cell r="J56">
            <v>0</v>
          </cell>
          <cell r="K56">
            <v>13005391127</v>
          </cell>
          <cell r="L56">
            <v>56654965178</v>
          </cell>
          <cell r="M56">
            <v>103426819</v>
          </cell>
        </row>
        <row r="57">
          <cell r="B57" t="str">
            <v>A_General_Mortality_NC</v>
          </cell>
          <cell r="C57">
            <v>159781</v>
          </cell>
          <cell r="D57">
            <v>7134712737</v>
          </cell>
          <cell r="E57">
            <v>46.72</v>
          </cell>
          <cell r="F57">
            <v>10.46</v>
          </cell>
          <cell r="G57">
            <v>0</v>
          </cell>
          <cell r="H57">
            <v>0</v>
          </cell>
          <cell r="I57">
            <v>19070367058</v>
          </cell>
          <cell r="J57">
            <v>0</v>
          </cell>
          <cell r="K57">
            <v>13015172563</v>
          </cell>
          <cell r="L57">
            <v>56709388710</v>
          </cell>
          <cell r="M57">
            <v>108298032</v>
          </cell>
        </row>
        <row r="58">
          <cell r="B58" t="str">
            <v>A_General_Ret/Term_NC</v>
          </cell>
          <cell r="C58">
            <v>159781</v>
          </cell>
          <cell r="D58">
            <v>7134712737</v>
          </cell>
          <cell r="E58">
            <v>46.72</v>
          </cell>
          <cell r="F58">
            <v>10.46</v>
          </cell>
          <cell r="G58">
            <v>0</v>
          </cell>
          <cell r="H58">
            <v>0</v>
          </cell>
          <cell r="I58">
            <v>19202033004</v>
          </cell>
          <cell r="J58">
            <v>0</v>
          </cell>
          <cell r="K58">
            <v>13214139486</v>
          </cell>
          <cell r="L58">
            <v>55866842806</v>
          </cell>
          <cell r="M58">
            <v>125142335</v>
          </cell>
        </row>
        <row r="59">
          <cell r="C59">
            <v>159651</v>
          </cell>
          <cell r="D59">
            <v>7110676919</v>
          </cell>
          <cell r="E59">
            <v>46.72</v>
          </cell>
          <cell r="F59">
            <v>10.46</v>
          </cell>
          <cell r="G59">
            <v>0</v>
          </cell>
          <cell r="H59">
            <v>0</v>
          </cell>
          <cell r="I59">
            <v>18166220750</v>
          </cell>
          <cell r="J59">
            <v>0</v>
          </cell>
          <cell r="K59">
            <v>12593310831</v>
          </cell>
          <cell r="L59">
            <v>54923724595</v>
          </cell>
          <cell r="M59">
            <v>103397350</v>
          </cell>
        </row>
        <row r="60">
          <cell r="B60" t="str">
            <v>A_General_Fix Disability_NC</v>
          </cell>
          <cell r="C60">
            <v>159651</v>
          </cell>
          <cell r="D60">
            <v>7130956094</v>
          </cell>
          <cell r="E60">
            <v>46.72</v>
          </cell>
          <cell r="F60">
            <v>10.46</v>
          </cell>
          <cell r="G60">
            <v>0</v>
          </cell>
          <cell r="H60">
            <v>0</v>
          </cell>
          <cell r="I60">
            <v>19196422939</v>
          </cell>
          <cell r="J60">
            <v>0</v>
          </cell>
          <cell r="K60">
            <v>13211593932</v>
          </cell>
          <cell r="L60">
            <v>55839904506</v>
          </cell>
          <cell r="M60">
            <v>124967543</v>
          </cell>
        </row>
        <row r="61">
          <cell r="B61" t="str">
            <v>A_General_Correct Groups_NC</v>
          </cell>
          <cell r="C61">
            <v>113353</v>
          </cell>
          <cell r="D61">
            <v>5214530027</v>
          </cell>
          <cell r="E61">
            <v>45.8</v>
          </cell>
          <cell r="F61">
            <v>10.06</v>
          </cell>
          <cell r="G61">
            <v>0</v>
          </cell>
          <cell r="H61">
            <v>0</v>
          </cell>
          <cell r="I61">
            <v>13690341704</v>
          </cell>
          <cell r="J61">
            <v>0</v>
          </cell>
          <cell r="K61">
            <v>9238189599</v>
          </cell>
          <cell r="L61">
            <v>41545877871</v>
          </cell>
          <cell r="M61">
            <v>101993763</v>
          </cell>
        </row>
        <row r="62">
          <cell r="B62" t="str">
            <v>A_General_Adder_NC</v>
          </cell>
          <cell r="C62">
            <v>113353</v>
          </cell>
          <cell r="D62">
            <v>5214530027</v>
          </cell>
          <cell r="E62">
            <v>45.8</v>
          </cell>
          <cell r="F62">
            <v>10.06</v>
          </cell>
          <cell r="G62">
            <v>0</v>
          </cell>
          <cell r="H62">
            <v>0</v>
          </cell>
          <cell r="I62">
            <v>13636005517</v>
          </cell>
          <cell r="J62">
            <v>0</v>
          </cell>
          <cell r="K62">
            <v>9197788265</v>
          </cell>
          <cell r="L62">
            <v>41545877871</v>
          </cell>
          <cell r="M62">
            <v>101993763</v>
          </cell>
        </row>
        <row r="63">
          <cell r="B63" t="str">
            <v>A_Law Enforcement Officers_Experience</v>
          </cell>
          <cell r="C63">
            <v>3531</v>
          </cell>
          <cell r="D63">
            <v>204921033</v>
          </cell>
          <cell r="E63">
            <v>39.92</v>
          </cell>
          <cell r="F63">
            <v>12.79</v>
          </cell>
          <cell r="G63">
            <v>0</v>
          </cell>
          <cell r="H63">
            <v>0</v>
          </cell>
          <cell r="I63">
            <v>708954505</v>
          </cell>
          <cell r="J63">
            <v>0</v>
          </cell>
          <cell r="K63">
            <v>470609614</v>
          </cell>
          <cell r="L63">
            <v>1933260599</v>
          </cell>
          <cell r="M63">
            <v>1596836</v>
          </cell>
        </row>
        <row r="64">
          <cell r="B64" t="str">
            <v>A_Law Enforcement Officers_Salary Scale</v>
          </cell>
          <cell r="C64">
            <v>3531</v>
          </cell>
          <cell r="D64">
            <v>205533472</v>
          </cell>
          <cell r="E64">
            <v>39.92</v>
          </cell>
          <cell r="F64">
            <v>12.79</v>
          </cell>
          <cell r="G64">
            <v>0</v>
          </cell>
          <cell r="H64">
            <v>0</v>
          </cell>
          <cell r="I64">
            <v>714412477</v>
          </cell>
          <cell r="J64">
            <v>0</v>
          </cell>
          <cell r="K64">
            <v>470942371</v>
          </cell>
          <cell r="L64">
            <v>1956112867</v>
          </cell>
          <cell r="M64">
            <v>1608659</v>
          </cell>
        </row>
        <row r="65">
          <cell r="B65" t="str">
            <v>A_Law Enforcement Officers_Sal + Inflation</v>
          </cell>
          <cell r="C65">
            <v>3531</v>
          </cell>
          <cell r="D65">
            <v>205038211</v>
          </cell>
          <cell r="E65">
            <v>39.92</v>
          </cell>
          <cell r="F65">
            <v>12.79</v>
          </cell>
          <cell r="G65">
            <v>0</v>
          </cell>
          <cell r="H65">
            <v>0</v>
          </cell>
          <cell r="I65">
            <v>696757223</v>
          </cell>
          <cell r="J65">
            <v>0</v>
          </cell>
          <cell r="K65">
            <v>465128901</v>
          </cell>
          <cell r="L65">
            <v>1918349447</v>
          </cell>
          <cell r="M65">
            <v>1603288</v>
          </cell>
        </row>
        <row r="66">
          <cell r="B66" t="str">
            <v>A_Law Enforcement Officers_Mortality</v>
          </cell>
          <cell r="C66">
            <v>3531</v>
          </cell>
          <cell r="D66">
            <v>205038211</v>
          </cell>
          <cell r="E66">
            <v>39.92</v>
          </cell>
          <cell r="F66">
            <v>12.79</v>
          </cell>
          <cell r="G66">
            <v>0</v>
          </cell>
          <cell r="H66">
            <v>0</v>
          </cell>
          <cell r="I66">
            <v>710249922</v>
          </cell>
          <cell r="J66">
            <v>0</v>
          </cell>
          <cell r="K66">
            <v>474619999</v>
          </cell>
          <cell r="L66">
            <v>1920299304</v>
          </cell>
          <cell r="M66">
            <v>1562132</v>
          </cell>
        </row>
        <row r="67">
          <cell r="B67" t="str">
            <v>A_Law Enforcement Officers_Ret/Term</v>
          </cell>
          <cell r="C67">
            <v>3531</v>
          </cell>
          <cell r="D67">
            <v>205038211</v>
          </cell>
          <cell r="E67">
            <v>39.92</v>
          </cell>
          <cell r="F67">
            <v>12.79</v>
          </cell>
          <cell r="G67">
            <v>0</v>
          </cell>
          <cell r="H67">
            <v>0</v>
          </cell>
          <cell r="I67">
            <v>709426770</v>
          </cell>
          <cell r="J67">
            <v>0</v>
          </cell>
          <cell r="K67">
            <v>479848584</v>
          </cell>
          <cell r="L67">
            <v>1834263218</v>
          </cell>
          <cell r="M67">
            <v>1763392</v>
          </cell>
        </row>
        <row r="68">
          <cell r="C68">
            <v>3529</v>
          </cell>
          <cell r="D68">
            <v>204829979</v>
          </cell>
          <cell r="E68">
            <v>39.92</v>
          </cell>
          <cell r="F68">
            <v>12.8</v>
          </cell>
          <cell r="G68">
            <v>0</v>
          </cell>
          <cell r="H68">
            <v>0</v>
          </cell>
          <cell r="I68">
            <v>708712517</v>
          </cell>
          <cell r="J68">
            <v>0</v>
          </cell>
          <cell r="K68">
            <v>470495366</v>
          </cell>
          <cell r="L68">
            <v>1932204183</v>
          </cell>
          <cell r="M68">
            <v>1595118</v>
          </cell>
        </row>
        <row r="69">
          <cell r="B69" t="str">
            <v>A_Law Enforcement Officers_Fix Disability</v>
          </cell>
          <cell r="C69">
            <v>3529</v>
          </cell>
          <cell r="D69">
            <v>204947078</v>
          </cell>
          <cell r="E69">
            <v>39.92</v>
          </cell>
          <cell r="F69">
            <v>12.8</v>
          </cell>
          <cell r="G69">
            <v>0</v>
          </cell>
          <cell r="H69">
            <v>0</v>
          </cell>
          <cell r="I69">
            <v>709192318</v>
          </cell>
          <cell r="J69">
            <v>0</v>
          </cell>
          <cell r="K69">
            <v>479734850</v>
          </cell>
          <cell r="L69">
            <v>1833276046</v>
          </cell>
          <cell r="M69">
            <v>1761546</v>
          </cell>
        </row>
        <row r="70">
          <cell r="B70" t="str">
            <v>A_Law Enforcement Officers_Correct Groups</v>
          </cell>
          <cell r="C70">
            <v>3529</v>
          </cell>
          <cell r="D70">
            <v>204947078</v>
          </cell>
          <cell r="E70">
            <v>39.92</v>
          </cell>
          <cell r="F70">
            <v>12.8</v>
          </cell>
          <cell r="G70">
            <v>0</v>
          </cell>
          <cell r="H70">
            <v>0</v>
          </cell>
          <cell r="I70">
            <v>709198672</v>
          </cell>
          <cell r="J70">
            <v>0</v>
          </cell>
          <cell r="K70">
            <v>479747821</v>
          </cell>
          <cell r="L70">
            <v>1833276562</v>
          </cell>
          <cell r="M70">
            <v>1761540</v>
          </cell>
        </row>
        <row r="71">
          <cell r="B71" t="str">
            <v>A_Law Enforcement Officers_Adder</v>
          </cell>
          <cell r="C71">
            <v>3529</v>
          </cell>
          <cell r="D71">
            <v>204947078</v>
          </cell>
          <cell r="E71">
            <v>39.92</v>
          </cell>
          <cell r="F71">
            <v>12.8</v>
          </cell>
          <cell r="G71">
            <v>0</v>
          </cell>
          <cell r="H71">
            <v>0</v>
          </cell>
          <cell r="I71">
            <v>721174871</v>
          </cell>
          <cell r="J71">
            <v>0</v>
          </cell>
          <cell r="K71">
            <v>488384054</v>
          </cell>
          <cell r="L71">
            <v>1833276562</v>
          </cell>
          <cell r="M71">
            <v>1761540</v>
          </cell>
        </row>
        <row r="72">
          <cell r="B72" t="str">
            <v>A_Law Enforcement Officers_Experience_NC</v>
          </cell>
          <cell r="C72">
            <v>3531</v>
          </cell>
          <cell r="D72">
            <v>204921033</v>
          </cell>
          <cell r="E72">
            <v>39.92</v>
          </cell>
          <cell r="F72">
            <v>12.79</v>
          </cell>
          <cell r="G72">
            <v>0</v>
          </cell>
          <cell r="H72">
            <v>0</v>
          </cell>
          <cell r="I72">
            <v>708304139</v>
          </cell>
          <cell r="J72">
            <v>0</v>
          </cell>
          <cell r="K72">
            <v>470711802</v>
          </cell>
          <cell r="L72">
            <v>1933260599</v>
          </cell>
          <cell r="M72">
            <v>1596836</v>
          </cell>
        </row>
        <row r="73">
          <cell r="B73" t="str">
            <v>A_Law Enforcement Officers_Salary Scale_NC</v>
          </cell>
          <cell r="C73">
            <v>3531</v>
          </cell>
          <cell r="D73">
            <v>205533472</v>
          </cell>
          <cell r="E73">
            <v>39.92</v>
          </cell>
          <cell r="F73">
            <v>12.79</v>
          </cell>
          <cell r="G73">
            <v>0</v>
          </cell>
          <cell r="H73">
            <v>0</v>
          </cell>
          <cell r="I73">
            <v>713703270</v>
          </cell>
          <cell r="J73">
            <v>0</v>
          </cell>
          <cell r="K73">
            <v>470994374</v>
          </cell>
          <cell r="L73">
            <v>1956112867</v>
          </cell>
          <cell r="M73">
            <v>1608659</v>
          </cell>
        </row>
        <row r="74">
          <cell r="B74" t="str">
            <v>A_Law Enforcement Officers_Sal + Inflation_NC</v>
          </cell>
          <cell r="C74">
            <v>3531</v>
          </cell>
          <cell r="D74">
            <v>205038211</v>
          </cell>
          <cell r="E74">
            <v>39.92</v>
          </cell>
          <cell r="F74">
            <v>12.79</v>
          </cell>
          <cell r="G74">
            <v>0</v>
          </cell>
          <cell r="H74">
            <v>0</v>
          </cell>
          <cell r="I74">
            <v>696139942</v>
          </cell>
          <cell r="J74">
            <v>0</v>
          </cell>
          <cell r="K74">
            <v>465153024</v>
          </cell>
          <cell r="L74">
            <v>1918349447</v>
          </cell>
          <cell r="M74">
            <v>1603288</v>
          </cell>
        </row>
        <row r="75">
          <cell r="B75" t="str">
            <v>A_Law Enforcement Officers_Mortality_NC</v>
          </cell>
          <cell r="C75">
            <v>3531</v>
          </cell>
          <cell r="D75">
            <v>205038211</v>
          </cell>
          <cell r="E75">
            <v>39.92</v>
          </cell>
          <cell r="F75">
            <v>12.79</v>
          </cell>
          <cell r="G75">
            <v>0</v>
          </cell>
          <cell r="H75">
            <v>0</v>
          </cell>
          <cell r="I75">
            <v>709619780</v>
          </cell>
          <cell r="J75">
            <v>0</v>
          </cell>
          <cell r="K75">
            <v>474623854</v>
          </cell>
          <cell r="L75">
            <v>1920299304</v>
          </cell>
          <cell r="M75">
            <v>1562132</v>
          </cell>
        </row>
        <row r="76">
          <cell r="B76" t="str">
            <v>A_Law Enforcement Officers_Ret/Term_NC</v>
          </cell>
          <cell r="C76">
            <v>3531</v>
          </cell>
          <cell r="D76">
            <v>205038211</v>
          </cell>
          <cell r="E76">
            <v>39.92</v>
          </cell>
          <cell r="F76">
            <v>12.79</v>
          </cell>
          <cell r="G76">
            <v>0</v>
          </cell>
          <cell r="H76">
            <v>0</v>
          </cell>
          <cell r="I76">
            <v>708673950</v>
          </cell>
          <cell r="J76">
            <v>0</v>
          </cell>
          <cell r="K76">
            <v>479626701</v>
          </cell>
          <cell r="L76">
            <v>1834263218</v>
          </cell>
          <cell r="M76">
            <v>1763392</v>
          </cell>
        </row>
        <row r="77">
          <cell r="C77">
            <v>3529</v>
          </cell>
          <cell r="D77">
            <v>204829979</v>
          </cell>
          <cell r="E77">
            <v>39.92</v>
          </cell>
          <cell r="F77">
            <v>12.8</v>
          </cell>
          <cell r="G77">
            <v>0</v>
          </cell>
          <cell r="H77">
            <v>0</v>
          </cell>
          <cell r="I77">
            <v>708060807</v>
          </cell>
          <cell r="J77">
            <v>0</v>
          </cell>
          <cell r="K77">
            <v>470600581</v>
          </cell>
          <cell r="L77">
            <v>1932204183</v>
          </cell>
          <cell r="M77">
            <v>1595118</v>
          </cell>
        </row>
        <row r="78">
          <cell r="B78" t="str">
            <v>A_Law Enforcement Officers_Fix Disability_NC</v>
          </cell>
          <cell r="C78">
            <v>3529</v>
          </cell>
          <cell r="D78">
            <v>204947078</v>
          </cell>
          <cell r="E78">
            <v>39.92</v>
          </cell>
          <cell r="F78">
            <v>12.8</v>
          </cell>
          <cell r="G78">
            <v>0</v>
          </cell>
          <cell r="H78">
            <v>0</v>
          </cell>
          <cell r="I78">
            <v>708437817</v>
          </cell>
          <cell r="J78">
            <v>0</v>
          </cell>
          <cell r="K78">
            <v>479516026</v>
          </cell>
          <cell r="L78">
            <v>1833276046</v>
          </cell>
          <cell r="M78">
            <v>1761546</v>
          </cell>
        </row>
        <row r="79">
          <cell r="B79" t="str">
            <v>A_Law Enforcement Officers_Correct Groups_NC</v>
          </cell>
          <cell r="C79">
            <v>3529</v>
          </cell>
          <cell r="D79">
            <v>204947078</v>
          </cell>
          <cell r="E79">
            <v>39.92</v>
          </cell>
          <cell r="F79">
            <v>12.8</v>
          </cell>
          <cell r="G79">
            <v>0</v>
          </cell>
          <cell r="H79">
            <v>0</v>
          </cell>
          <cell r="I79">
            <v>708439904</v>
          </cell>
          <cell r="J79">
            <v>0</v>
          </cell>
          <cell r="K79">
            <v>479518416</v>
          </cell>
          <cell r="L79">
            <v>1833276562</v>
          </cell>
          <cell r="M79">
            <v>1761540</v>
          </cell>
        </row>
        <row r="80">
          <cell r="B80" t="str">
            <v>A_Law Enforcement Officers_Adder_NC</v>
          </cell>
          <cell r="C80">
            <v>3529</v>
          </cell>
          <cell r="D80">
            <v>204947078</v>
          </cell>
          <cell r="E80">
            <v>39.92</v>
          </cell>
          <cell r="F80">
            <v>12.8</v>
          </cell>
          <cell r="G80">
            <v>0</v>
          </cell>
          <cell r="H80">
            <v>0</v>
          </cell>
          <cell r="I80">
            <v>720404503</v>
          </cell>
          <cell r="J80">
            <v>0</v>
          </cell>
          <cell r="K80">
            <v>488145675</v>
          </cell>
          <cell r="L80">
            <v>1833276562</v>
          </cell>
          <cell r="M80">
            <v>1761540</v>
          </cell>
        </row>
        <row r="81">
          <cell r="B81" t="str">
            <v>R_Teachers_Experience</v>
          </cell>
          <cell r="C81">
            <v>0</v>
          </cell>
          <cell r="D81">
            <v>0</v>
          </cell>
          <cell r="E81">
            <v>0</v>
          </cell>
          <cell r="F81">
            <v>0</v>
          </cell>
          <cell r="G81">
            <v>68841</v>
          </cell>
          <cell r="H81">
            <v>1847585434</v>
          </cell>
          <cell r="I81">
            <v>0</v>
          </cell>
          <cell r="J81">
            <v>15957555420</v>
          </cell>
          <cell r="K81">
            <v>0</v>
          </cell>
          <cell r="L81">
            <v>0</v>
          </cell>
        </row>
        <row r="82">
          <cell r="B82" t="str">
            <v>R_Teachers_Mortality</v>
          </cell>
          <cell r="C82">
            <v>0</v>
          </cell>
          <cell r="D82">
            <v>0</v>
          </cell>
          <cell r="E82">
            <v>0</v>
          </cell>
          <cell r="F82">
            <v>0</v>
          </cell>
          <cell r="G82">
            <v>68841</v>
          </cell>
          <cell r="H82">
            <v>1847585434</v>
          </cell>
          <cell r="I82">
            <v>0</v>
          </cell>
          <cell r="J82">
            <v>15915446811</v>
          </cell>
          <cell r="K82">
            <v>0</v>
          </cell>
          <cell r="L82">
            <v>0</v>
          </cell>
        </row>
        <row r="83">
          <cell r="C83">
            <v>0</v>
          </cell>
          <cell r="D83">
            <v>0</v>
          </cell>
          <cell r="E83">
            <v>0</v>
          </cell>
          <cell r="F83">
            <v>0</v>
          </cell>
          <cell r="G83">
            <v>68841</v>
          </cell>
          <cell r="H83">
            <v>1849617003</v>
          </cell>
          <cell r="I83">
            <v>0</v>
          </cell>
          <cell r="J83">
            <v>15916949516</v>
          </cell>
          <cell r="K83">
            <v>0</v>
          </cell>
          <cell r="L83">
            <v>0</v>
          </cell>
        </row>
        <row r="84">
          <cell r="B84" t="str">
            <v>R_Teachers_Fix Disability</v>
          </cell>
          <cell r="C84">
            <v>0</v>
          </cell>
          <cell r="D84">
            <v>0</v>
          </cell>
          <cell r="E84">
            <v>0</v>
          </cell>
          <cell r="F84">
            <v>0</v>
          </cell>
          <cell r="G84">
            <v>68841</v>
          </cell>
          <cell r="H84">
            <v>1849617003</v>
          </cell>
          <cell r="I84">
            <v>0</v>
          </cell>
          <cell r="J84">
            <v>15874371810</v>
          </cell>
          <cell r="K84">
            <v>0</v>
          </cell>
          <cell r="L84">
            <v>0</v>
          </cell>
        </row>
        <row r="85">
          <cell r="C85">
            <v>0</v>
          </cell>
          <cell r="D85">
            <v>0</v>
          </cell>
          <cell r="E85">
            <v>0</v>
          </cell>
          <cell r="F85">
            <v>0</v>
          </cell>
          <cell r="G85">
            <v>68735</v>
          </cell>
          <cell r="H85">
            <v>1846681031</v>
          </cell>
          <cell r="I85">
            <v>0</v>
          </cell>
          <cell r="J85">
            <v>15845650965</v>
          </cell>
          <cell r="K85">
            <v>0</v>
          </cell>
          <cell r="L85">
            <v>0</v>
          </cell>
        </row>
        <row r="86">
          <cell r="C86">
            <v>0</v>
          </cell>
          <cell r="D86">
            <v>0</v>
          </cell>
          <cell r="E86">
            <v>0</v>
          </cell>
          <cell r="F86">
            <v>0</v>
          </cell>
          <cell r="G86">
            <v>2695</v>
          </cell>
          <cell r="H86">
            <v>67411529</v>
          </cell>
          <cell r="I86">
            <v>0</v>
          </cell>
          <cell r="J86">
            <v>637471005</v>
          </cell>
          <cell r="K86">
            <v>0</v>
          </cell>
          <cell r="L86">
            <v>0</v>
          </cell>
        </row>
        <row r="87">
          <cell r="B87" t="str">
            <v>A_Other Education_Correct Groups</v>
          </cell>
          <cell r="C87">
            <v>48906</v>
          </cell>
          <cell r="D87">
            <v>2001734581</v>
          </cell>
          <cell r="E87">
            <v>48.51</v>
          </cell>
          <cell r="F87">
            <v>10.72</v>
          </cell>
          <cell r="G87">
            <v>0</v>
          </cell>
          <cell r="H87">
            <v>0</v>
          </cell>
          <cell r="I87">
            <v>5739278205</v>
          </cell>
          <cell r="J87">
            <v>0</v>
          </cell>
          <cell r="K87">
            <v>4197560229</v>
          </cell>
          <cell r="L87">
            <v>14693640050</v>
          </cell>
          <cell r="M87">
            <v>30291613</v>
          </cell>
        </row>
        <row r="88">
          <cell r="B88" t="str">
            <v>A_Other Education_Adder</v>
          </cell>
          <cell r="C88">
            <v>48906</v>
          </cell>
          <cell r="D88">
            <v>2001734581</v>
          </cell>
          <cell r="E88">
            <v>48.51</v>
          </cell>
          <cell r="F88">
            <v>10.72</v>
          </cell>
          <cell r="G88">
            <v>0</v>
          </cell>
          <cell r="H88">
            <v>0</v>
          </cell>
          <cell r="I88">
            <v>5761087963</v>
          </cell>
          <cell r="J88">
            <v>0</v>
          </cell>
          <cell r="K88">
            <v>4214541754</v>
          </cell>
          <cell r="L88">
            <v>14693640050</v>
          </cell>
          <cell r="M88">
            <v>30291613</v>
          </cell>
        </row>
        <row r="89">
          <cell r="B89" t="str">
            <v>A_Other Education_Correct Groups_NC</v>
          </cell>
          <cell r="C89">
            <v>48906</v>
          </cell>
          <cell r="D89">
            <v>2001734581</v>
          </cell>
          <cell r="E89">
            <v>48.51</v>
          </cell>
          <cell r="F89">
            <v>10.72</v>
          </cell>
          <cell r="G89">
            <v>0</v>
          </cell>
          <cell r="H89">
            <v>0</v>
          </cell>
          <cell r="I89">
            <v>5724709811</v>
          </cell>
          <cell r="J89">
            <v>0</v>
          </cell>
          <cell r="K89">
            <v>4186909441</v>
          </cell>
          <cell r="L89">
            <v>14693640050</v>
          </cell>
          <cell r="M89">
            <v>30291613</v>
          </cell>
        </row>
        <row r="90">
          <cell r="B90" t="str">
            <v>A_Other Education_Adder_NC</v>
          </cell>
          <cell r="C90">
            <v>48906</v>
          </cell>
          <cell r="D90">
            <v>2001734581</v>
          </cell>
          <cell r="E90">
            <v>48.51</v>
          </cell>
          <cell r="F90">
            <v>10.72</v>
          </cell>
          <cell r="G90">
            <v>0</v>
          </cell>
          <cell r="H90">
            <v>0</v>
          </cell>
          <cell r="I90">
            <v>5746463894</v>
          </cell>
          <cell r="J90">
            <v>0</v>
          </cell>
          <cell r="K90">
            <v>4203843173</v>
          </cell>
          <cell r="L90">
            <v>14693640050</v>
          </cell>
          <cell r="M90">
            <v>30291613</v>
          </cell>
        </row>
        <row r="91">
          <cell r="B91" t="str">
            <v>B_Teachers_Experience</v>
          </cell>
          <cell r="C91">
            <v>0</v>
          </cell>
          <cell r="D91">
            <v>0</v>
          </cell>
          <cell r="E91">
            <v>0</v>
          </cell>
          <cell r="F91">
            <v>0</v>
          </cell>
          <cell r="G91">
            <v>3850</v>
          </cell>
          <cell r="H91">
            <v>63949635</v>
          </cell>
          <cell r="I91">
            <v>0</v>
          </cell>
          <cell r="J91">
            <v>509309400</v>
          </cell>
          <cell r="K91">
            <v>0</v>
          </cell>
          <cell r="L91">
            <v>0</v>
          </cell>
        </row>
        <row r="92">
          <cell r="B92" t="str">
            <v>B_Teachers_Mortality</v>
          </cell>
          <cell r="C92">
            <v>0</v>
          </cell>
          <cell r="D92">
            <v>0</v>
          </cell>
          <cell r="E92">
            <v>0</v>
          </cell>
          <cell r="F92">
            <v>0</v>
          </cell>
          <cell r="G92">
            <v>3850</v>
          </cell>
          <cell r="H92">
            <v>63949635</v>
          </cell>
          <cell r="I92">
            <v>0</v>
          </cell>
          <cell r="J92">
            <v>499131345</v>
          </cell>
          <cell r="K92">
            <v>0</v>
          </cell>
          <cell r="L92">
            <v>0</v>
          </cell>
        </row>
        <row r="93">
          <cell r="C93">
            <v>0</v>
          </cell>
          <cell r="D93">
            <v>0</v>
          </cell>
          <cell r="E93">
            <v>0</v>
          </cell>
          <cell r="F93">
            <v>0</v>
          </cell>
          <cell r="G93">
            <v>3805</v>
          </cell>
          <cell r="H93">
            <v>63344976</v>
          </cell>
          <cell r="I93">
            <v>0</v>
          </cell>
          <cell r="J93">
            <v>491494756</v>
          </cell>
          <cell r="K93">
            <v>0</v>
          </cell>
          <cell r="L93">
            <v>0</v>
          </cell>
        </row>
        <row r="94">
          <cell r="C94">
            <v>0</v>
          </cell>
          <cell r="D94">
            <v>0</v>
          </cell>
          <cell r="E94">
            <v>0</v>
          </cell>
          <cell r="F94">
            <v>0</v>
          </cell>
          <cell r="G94">
            <v>4</v>
          </cell>
          <cell r="H94">
            <v>42393</v>
          </cell>
          <cell r="I94">
            <v>0</v>
          </cell>
          <cell r="J94">
            <v>456295</v>
          </cell>
          <cell r="K94">
            <v>0</v>
          </cell>
          <cell r="L94">
            <v>0</v>
          </cell>
        </row>
        <row r="95">
          <cell r="B95" t="str">
            <v>R_General_Experience</v>
          </cell>
          <cell r="C95">
            <v>0</v>
          </cell>
          <cell r="D95">
            <v>0</v>
          </cell>
          <cell r="E95">
            <v>0</v>
          </cell>
          <cell r="F95">
            <v>0</v>
          </cell>
          <cell r="G95">
            <v>73315</v>
          </cell>
          <cell r="H95">
            <v>1294719448</v>
          </cell>
          <cell r="I95">
            <v>0</v>
          </cell>
          <cell r="J95">
            <v>11017295178</v>
          </cell>
          <cell r="K95">
            <v>0</v>
          </cell>
          <cell r="L95">
            <v>0</v>
          </cell>
        </row>
        <row r="96">
          <cell r="B96" t="str">
            <v>R_General_Mortality</v>
          </cell>
          <cell r="C96">
            <v>0</v>
          </cell>
          <cell r="D96">
            <v>0</v>
          </cell>
          <cell r="E96">
            <v>0</v>
          </cell>
          <cell r="F96">
            <v>0</v>
          </cell>
          <cell r="G96">
            <v>73315</v>
          </cell>
          <cell r="H96">
            <v>1294719448</v>
          </cell>
          <cell r="I96">
            <v>0</v>
          </cell>
          <cell r="J96">
            <v>11013868775</v>
          </cell>
          <cell r="K96">
            <v>0</v>
          </cell>
          <cell r="L96">
            <v>0</v>
          </cell>
        </row>
        <row r="97">
          <cell r="C97">
            <v>0</v>
          </cell>
          <cell r="D97">
            <v>0</v>
          </cell>
          <cell r="E97">
            <v>0</v>
          </cell>
          <cell r="F97">
            <v>0</v>
          </cell>
          <cell r="G97">
            <v>73315</v>
          </cell>
          <cell r="H97">
            <v>1294721957</v>
          </cell>
          <cell r="I97">
            <v>0</v>
          </cell>
          <cell r="J97">
            <v>10996240964</v>
          </cell>
          <cell r="K97">
            <v>0</v>
          </cell>
          <cell r="L97">
            <v>0</v>
          </cell>
        </row>
        <row r="98">
          <cell r="B98" t="str">
            <v>R_General_Fix Disability</v>
          </cell>
          <cell r="C98">
            <v>0</v>
          </cell>
          <cell r="D98">
            <v>0</v>
          </cell>
          <cell r="E98">
            <v>0</v>
          </cell>
          <cell r="F98">
            <v>0</v>
          </cell>
          <cell r="G98">
            <v>73315</v>
          </cell>
          <cell r="H98">
            <v>1294721957</v>
          </cell>
          <cell r="I98">
            <v>0</v>
          </cell>
          <cell r="J98">
            <v>10994180662</v>
          </cell>
          <cell r="K98">
            <v>0</v>
          </cell>
          <cell r="L98">
            <v>0</v>
          </cell>
        </row>
        <row r="99">
          <cell r="C99">
            <v>0</v>
          </cell>
          <cell r="D99">
            <v>0</v>
          </cell>
          <cell r="E99">
            <v>0</v>
          </cell>
          <cell r="F99">
            <v>0</v>
          </cell>
          <cell r="G99">
            <v>70726</v>
          </cell>
          <cell r="H99">
            <v>1230141222</v>
          </cell>
          <cell r="I99">
            <v>0</v>
          </cell>
          <cell r="J99">
            <v>10381313729</v>
          </cell>
          <cell r="K99">
            <v>0</v>
          </cell>
          <cell r="L99">
            <v>0</v>
          </cell>
        </row>
        <row r="100">
          <cell r="B100" t="str">
            <v>B_General_Experience</v>
          </cell>
          <cell r="C100">
            <v>0</v>
          </cell>
          <cell r="D100">
            <v>0</v>
          </cell>
          <cell r="E100">
            <v>0</v>
          </cell>
          <cell r="F100">
            <v>0</v>
          </cell>
          <cell r="G100">
            <v>8123</v>
          </cell>
          <cell r="H100">
            <v>90292018</v>
          </cell>
          <cell r="I100">
            <v>0</v>
          </cell>
          <cell r="J100">
            <v>717480150</v>
          </cell>
          <cell r="K100">
            <v>0</v>
          </cell>
          <cell r="L100">
            <v>0</v>
          </cell>
        </row>
        <row r="101">
          <cell r="B101" t="str">
            <v>B_General_Mortality</v>
          </cell>
          <cell r="C101">
            <v>0</v>
          </cell>
          <cell r="D101">
            <v>0</v>
          </cell>
          <cell r="E101">
            <v>0</v>
          </cell>
          <cell r="F101">
            <v>0</v>
          </cell>
          <cell r="G101">
            <v>8123</v>
          </cell>
          <cell r="H101">
            <v>90292018</v>
          </cell>
          <cell r="I101">
            <v>0</v>
          </cell>
          <cell r="J101">
            <v>697745341</v>
          </cell>
          <cell r="K101">
            <v>0</v>
          </cell>
          <cell r="L101">
            <v>0</v>
          </cell>
        </row>
        <row r="102">
          <cell r="C102">
            <v>0</v>
          </cell>
          <cell r="D102">
            <v>0</v>
          </cell>
          <cell r="E102">
            <v>0</v>
          </cell>
          <cell r="F102">
            <v>0</v>
          </cell>
          <cell r="G102">
            <v>8164</v>
          </cell>
          <cell r="H102">
            <v>90824945</v>
          </cell>
          <cell r="I102">
            <v>0</v>
          </cell>
          <cell r="J102">
            <v>701401784</v>
          </cell>
          <cell r="K102">
            <v>0</v>
          </cell>
          <cell r="L102">
            <v>0</v>
          </cell>
        </row>
        <row r="103">
          <cell r="B103" t="str">
            <v>R_Law Enforcement Officers_Experience</v>
          </cell>
          <cell r="C103">
            <v>0</v>
          </cell>
          <cell r="D103">
            <v>0</v>
          </cell>
          <cell r="E103">
            <v>0</v>
          </cell>
          <cell r="F103">
            <v>0</v>
          </cell>
          <cell r="G103">
            <v>2305</v>
          </cell>
          <cell r="H103">
            <v>68995116</v>
          </cell>
          <cell r="I103">
            <v>0</v>
          </cell>
          <cell r="J103">
            <v>720981233</v>
          </cell>
          <cell r="K103">
            <v>0</v>
          </cell>
          <cell r="L103">
            <v>0</v>
          </cell>
        </row>
        <row r="104">
          <cell r="B104" t="str">
            <v>R_Law Enforcement Officers_Mortality</v>
          </cell>
          <cell r="C104">
            <v>0</v>
          </cell>
          <cell r="D104">
            <v>0</v>
          </cell>
          <cell r="E104">
            <v>0</v>
          </cell>
          <cell r="F104">
            <v>0</v>
          </cell>
          <cell r="G104">
            <v>2305</v>
          </cell>
          <cell r="H104">
            <v>68995116</v>
          </cell>
          <cell r="I104">
            <v>0</v>
          </cell>
          <cell r="J104">
            <v>730462901</v>
          </cell>
          <cell r="K104">
            <v>0</v>
          </cell>
          <cell r="L104">
            <v>0</v>
          </cell>
        </row>
        <row r="105">
          <cell r="C105">
            <v>0</v>
          </cell>
          <cell r="D105">
            <v>0</v>
          </cell>
          <cell r="E105">
            <v>0</v>
          </cell>
          <cell r="F105">
            <v>0</v>
          </cell>
          <cell r="G105">
            <v>2305</v>
          </cell>
          <cell r="H105">
            <v>68995116</v>
          </cell>
          <cell r="I105">
            <v>0</v>
          </cell>
          <cell r="J105">
            <v>720362914</v>
          </cell>
          <cell r="K105">
            <v>0</v>
          </cell>
          <cell r="L105">
            <v>0</v>
          </cell>
        </row>
        <row r="106">
          <cell r="B106" t="str">
            <v>R_Law Enforcement Officers_Fix Disability</v>
          </cell>
          <cell r="C106">
            <v>0</v>
          </cell>
          <cell r="D106">
            <v>0</v>
          </cell>
          <cell r="E106">
            <v>0</v>
          </cell>
          <cell r="F106">
            <v>0</v>
          </cell>
          <cell r="G106">
            <v>2305</v>
          </cell>
          <cell r="H106">
            <v>68995116</v>
          </cell>
          <cell r="I106">
            <v>0</v>
          </cell>
          <cell r="J106">
            <v>730133463</v>
          </cell>
          <cell r="K106">
            <v>0</v>
          </cell>
          <cell r="L106">
            <v>0</v>
          </cell>
        </row>
        <row r="107">
          <cell r="C107">
            <v>0</v>
          </cell>
          <cell r="D107">
            <v>0</v>
          </cell>
          <cell r="E107">
            <v>0</v>
          </cell>
          <cell r="F107">
            <v>0</v>
          </cell>
          <cell r="G107">
            <v>2305</v>
          </cell>
          <cell r="H107">
            <v>68995086</v>
          </cell>
          <cell r="I107">
            <v>0</v>
          </cell>
          <cell r="J107">
            <v>730102232</v>
          </cell>
          <cell r="K107">
            <v>0</v>
          </cell>
          <cell r="L107">
            <v>0</v>
          </cell>
        </row>
        <row r="108">
          <cell r="B108" t="str">
            <v>B_Law Enforcement Officers_Experience</v>
          </cell>
          <cell r="C108">
            <v>0</v>
          </cell>
          <cell r="D108">
            <v>0</v>
          </cell>
          <cell r="E108">
            <v>0</v>
          </cell>
          <cell r="F108">
            <v>0</v>
          </cell>
          <cell r="G108">
            <v>352</v>
          </cell>
          <cell r="H108">
            <v>6669964</v>
          </cell>
          <cell r="I108">
            <v>0</v>
          </cell>
          <cell r="J108">
            <v>57558402</v>
          </cell>
          <cell r="K108">
            <v>0</v>
          </cell>
          <cell r="L108">
            <v>0</v>
          </cell>
        </row>
        <row r="109">
          <cell r="B109" t="str">
            <v>B_Law Enforcement Officers_Mortality</v>
          </cell>
          <cell r="C109">
            <v>0</v>
          </cell>
          <cell r="D109">
            <v>0</v>
          </cell>
          <cell r="E109">
            <v>0</v>
          </cell>
          <cell r="F109">
            <v>0</v>
          </cell>
          <cell r="G109">
            <v>352</v>
          </cell>
          <cell r="H109">
            <v>6669964</v>
          </cell>
          <cell r="I109">
            <v>0</v>
          </cell>
          <cell r="J109">
            <v>55765870</v>
          </cell>
          <cell r="K109">
            <v>0</v>
          </cell>
          <cell r="L109">
            <v>0</v>
          </cell>
        </row>
        <row r="110">
          <cell r="C110">
            <v>0</v>
          </cell>
          <cell r="D110">
            <v>0</v>
          </cell>
          <cell r="E110">
            <v>0</v>
          </cell>
          <cell r="F110">
            <v>0</v>
          </cell>
          <cell r="G110">
            <v>351</v>
          </cell>
          <cell r="H110">
            <v>6667848</v>
          </cell>
          <cell r="I110">
            <v>0</v>
          </cell>
          <cell r="J110">
            <v>55648593</v>
          </cell>
          <cell r="K110">
            <v>0</v>
          </cell>
          <cell r="L110">
            <v>0</v>
          </cell>
        </row>
        <row r="111">
          <cell r="C111">
            <v>0</v>
          </cell>
          <cell r="D111">
            <v>0</v>
          </cell>
          <cell r="E111">
            <v>0</v>
          </cell>
          <cell r="F111">
            <v>0</v>
          </cell>
          <cell r="G111">
            <v>104041</v>
          </cell>
          <cell r="H111">
            <v>0</v>
          </cell>
          <cell r="I111">
            <v>0</v>
          </cell>
          <cell r="J111">
            <v>1756646365</v>
          </cell>
          <cell r="K111">
            <v>0</v>
          </cell>
          <cell r="L111">
            <v>0</v>
          </cell>
        </row>
        <row r="112">
          <cell r="C112">
            <v>0</v>
          </cell>
          <cell r="D112">
            <v>0</v>
          </cell>
          <cell r="E112">
            <v>0</v>
          </cell>
          <cell r="F112">
            <v>0</v>
          </cell>
          <cell r="G112">
            <v>97429</v>
          </cell>
          <cell r="H112">
            <v>0</v>
          </cell>
          <cell r="I112">
            <v>0</v>
          </cell>
          <cell r="J112">
            <v>1528818350</v>
          </cell>
          <cell r="K112">
            <v>0</v>
          </cell>
          <cell r="L112">
            <v>0</v>
          </cell>
        </row>
        <row r="113">
          <cell r="C113">
            <v>0</v>
          </cell>
          <cell r="D113">
            <v>0</v>
          </cell>
          <cell r="E113">
            <v>0</v>
          </cell>
          <cell r="F113">
            <v>0</v>
          </cell>
          <cell r="G113">
            <v>97429</v>
          </cell>
          <cell r="H113">
            <v>0</v>
          </cell>
          <cell r="I113">
            <v>0</v>
          </cell>
          <cell r="J113">
            <v>1528815591</v>
          </cell>
          <cell r="K113">
            <v>0</v>
          </cell>
          <cell r="L113">
            <v>0</v>
          </cell>
        </row>
        <row r="114">
          <cell r="C114">
            <v>971</v>
          </cell>
          <cell r="D114">
            <v>36334517</v>
          </cell>
          <cell r="E114">
            <v>52.95</v>
          </cell>
          <cell r="F114">
            <v>7.82</v>
          </cell>
          <cell r="G114">
            <v>0</v>
          </cell>
          <cell r="H114">
            <v>0</v>
          </cell>
          <cell r="I114">
            <v>65066200</v>
          </cell>
          <cell r="J114">
            <v>0</v>
          </cell>
          <cell r="K114">
            <v>37825843</v>
          </cell>
          <cell r="L114">
            <v>282415331</v>
          </cell>
          <cell r="M114">
            <v>662646</v>
          </cell>
        </row>
        <row r="115">
          <cell r="B115" t="str">
            <v>D_Teachers_Fix Disability</v>
          </cell>
          <cell r="C115">
            <v>971</v>
          </cell>
          <cell r="D115">
            <v>36334517</v>
          </cell>
          <cell r="E115">
            <v>52.95</v>
          </cell>
          <cell r="F115">
            <v>7.82</v>
          </cell>
          <cell r="G115">
            <v>0</v>
          </cell>
          <cell r="H115">
            <v>0</v>
          </cell>
          <cell r="I115">
            <v>61305742</v>
          </cell>
          <cell r="J115">
            <v>0</v>
          </cell>
          <cell r="K115">
            <v>36904565</v>
          </cell>
          <cell r="L115">
            <v>265466385</v>
          </cell>
          <cell r="M115">
            <v>1484041</v>
          </cell>
        </row>
        <row r="116">
          <cell r="B116" t="str">
            <v>D_Teachers_Correct Groups</v>
          </cell>
          <cell r="C116">
            <v>829</v>
          </cell>
          <cell r="D116">
            <v>31890315</v>
          </cell>
          <cell r="E116">
            <v>51.1</v>
          </cell>
          <cell r="F116">
            <v>9.11</v>
          </cell>
          <cell r="G116">
            <v>0</v>
          </cell>
          <cell r="H116">
            <v>0</v>
          </cell>
          <cell r="I116">
            <v>58253706</v>
          </cell>
          <cell r="J116">
            <v>0</v>
          </cell>
          <cell r="K116">
            <v>36077211</v>
          </cell>
          <cell r="L116">
            <v>247170338</v>
          </cell>
          <cell r="M116">
            <v>1406857</v>
          </cell>
        </row>
        <row r="117">
          <cell r="C117">
            <v>971</v>
          </cell>
          <cell r="D117">
            <v>36334517</v>
          </cell>
          <cell r="E117">
            <v>52.95</v>
          </cell>
          <cell r="F117">
            <v>7.82</v>
          </cell>
          <cell r="G117">
            <v>0</v>
          </cell>
          <cell r="H117">
            <v>0</v>
          </cell>
          <cell r="I117">
            <v>65485767</v>
          </cell>
          <cell r="J117">
            <v>0</v>
          </cell>
          <cell r="K117">
            <v>38231479</v>
          </cell>
          <cell r="L117">
            <v>282415331</v>
          </cell>
          <cell r="M117">
            <v>662646</v>
          </cell>
        </row>
        <row r="118">
          <cell r="B118" t="str">
            <v>D_Teachers_Fix Disability_NC</v>
          </cell>
          <cell r="C118">
            <v>971</v>
          </cell>
          <cell r="D118">
            <v>36334517</v>
          </cell>
          <cell r="E118">
            <v>52.95</v>
          </cell>
          <cell r="F118">
            <v>7.82</v>
          </cell>
          <cell r="G118">
            <v>0</v>
          </cell>
          <cell r="H118">
            <v>0</v>
          </cell>
          <cell r="I118">
            <v>61759603</v>
          </cell>
          <cell r="J118">
            <v>0</v>
          </cell>
          <cell r="K118">
            <v>37275609</v>
          </cell>
          <cell r="L118">
            <v>265466385</v>
          </cell>
          <cell r="M118">
            <v>1484041</v>
          </cell>
        </row>
        <row r="119">
          <cell r="B119" t="str">
            <v>D_Teachers_Correct Groups_NC</v>
          </cell>
          <cell r="C119">
            <v>829</v>
          </cell>
          <cell r="D119">
            <v>31890315</v>
          </cell>
          <cell r="E119">
            <v>51.1</v>
          </cell>
          <cell r="F119">
            <v>9.11</v>
          </cell>
          <cell r="G119">
            <v>0</v>
          </cell>
          <cell r="H119">
            <v>0</v>
          </cell>
          <cell r="I119">
            <v>58951615</v>
          </cell>
          <cell r="J119">
            <v>0</v>
          </cell>
          <cell r="K119">
            <v>36613113</v>
          </cell>
          <cell r="L119">
            <v>247170338</v>
          </cell>
          <cell r="M119">
            <v>1406857</v>
          </cell>
        </row>
        <row r="120">
          <cell r="C120">
            <v>5904</v>
          </cell>
          <cell r="D120">
            <v>190251135</v>
          </cell>
          <cell r="E120">
            <v>54.91</v>
          </cell>
          <cell r="F120">
            <v>11.27</v>
          </cell>
          <cell r="G120">
            <v>0</v>
          </cell>
          <cell r="H120">
            <v>0</v>
          </cell>
          <cell r="I120">
            <v>389310930</v>
          </cell>
          <cell r="J120">
            <v>0</v>
          </cell>
          <cell r="K120">
            <v>271707637</v>
          </cell>
          <cell r="L120">
            <v>1259144552</v>
          </cell>
          <cell r="M120">
            <v>4163345</v>
          </cell>
        </row>
        <row r="121">
          <cell r="B121" t="str">
            <v>D_General_Fix Disability</v>
          </cell>
          <cell r="C121">
            <v>5904</v>
          </cell>
          <cell r="D121">
            <v>190251135</v>
          </cell>
          <cell r="E121">
            <v>54.91</v>
          </cell>
          <cell r="F121">
            <v>11.27</v>
          </cell>
          <cell r="G121">
            <v>0</v>
          </cell>
          <cell r="H121">
            <v>0</v>
          </cell>
          <cell r="I121">
            <v>376137026</v>
          </cell>
          <cell r="J121">
            <v>0</v>
          </cell>
          <cell r="K121">
            <v>270612320</v>
          </cell>
          <cell r="L121">
            <v>1188047338</v>
          </cell>
          <cell r="M121">
            <v>9310577</v>
          </cell>
        </row>
        <row r="122">
          <cell r="B122" t="str">
            <v>D_General_Correct Groups</v>
          </cell>
          <cell r="C122">
            <v>5785</v>
          </cell>
          <cell r="D122">
            <v>187581096</v>
          </cell>
          <cell r="E122">
            <v>55.19</v>
          </cell>
          <cell r="F122">
            <v>11.04</v>
          </cell>
          <cell r="G122">
            <v>0</v>
          </cell>
          <cell r="H122">
            <v>0</v>
          </cell>
          <cell r="I122">
            <v>355932262</v>
          </cell>
          <cell r="J122">
            <v>0</v>
          </cell>
          <cell r="K122">
            <v>254869203</v>
          </cell>
          <cell r="L122">
            <v>1160411680</v>
          </cell>
          <cell r="M122">
            <v>9124111</v>
          </cell>
        </row>
        <row r="123">
          <cell r="C123">
            <v>5904</v>
          </cell>
          <cell r="D123">
            <v>190251135</v>
          </cell>
          <cell r="E123">
            <v>54.91</v>
          </cell>
          <cell r="F123">
            <v>11.27</v>
          </cell>
          <cell r="G123">
            <v>0</v>
          </cell>
          <cell r="H123">
            <v>0</v>
          </cell>
          <cell r="I123">
            <v>387705597</v>
          </cell>
          <cell r="J123">
            <v>0</v>
          </cell>
          <cell r="K123">
            <v>271298035</v>
          </cell>
          <cell r="L123">
            <v>1259144552</v>
          </cell>
          <cell r="M123">
            <v>4163345</v>
          </cell>
        </row>
        <row r="124">
          <cell r="B124" t="str">
            <v>D_General_Fix Disability_NC</v>
          </cell>
          <cell r="C124">
            <v>5904</v>
          </cell>
          <cell r="D124">
            <v>190251135</v>
          </cell>
          <cell r="E124">
            <v>54.91</v>
          </cell>
          <cell r="F124">
            <v>11.27</v>
          </cell>
          <cell r="G124">
            <v>0</v>
          </cell>
          <cell r="H124">
            <v>0</v>
          </cell>
          <cell r="I124">
            <v>374744247</v>
          </cell>
          <cell r="J124">
            <v>0</v>
          </cell>
          <cell r="K124">
            <v>269485262</v>
          </cell>
          <cell r="L124">
            <v>1188047338</v>
          </cell>
          <cell r="M124">
            <v>9310577</v>
          </cell>
        </row>
        <row r="125">
          <cell r="B125" t="str">
            <v>D_General_Correct Groups_NC</v>
          </cell>
          <cell r="C125">
            <v>5785</v>
          </cell>
          <cell r="D125">
            <v>187581096</v>
          </cell>
          <cell r="E125">
            <v>55.19</v>
          </cell>
          <cell r="F125">
            <v>11.04</v>
          </cell>
          <cell r="G125">
            <v>0</v>
          </cell>
          <cell r="H125">
            <v>0</v>
          </cell>
          <cell r="I125">
            <v>363065543</v>
          </cell>
          <cell r="J125">
            <v>0</v>
          </cell>
          <cell r="K125">
            <v>259826502</v>
          </cell>
          <cell r="L125">
            <v>1160411680</v>
          </cell>
          <cell r="M125">
            <v>9124111</v>
          </cell>
        </row>
        <row r="126">
          <cell r="C126">
            <v>58</v>
          </cell>
          <cell r="D126">
            <v>2540584</v>
          </cell>
          <cell r="E126">
            <v>49.33</v>
          </cell>
          <cell r="F126">
            <v>10.78</v>
          </cell>
          <cell r="G126">
            <v>0</v>
          </cell>
          <cell r="H126">
            <v>0</v>
          </cell>
          <cell r="I126">
            <v>5931414</v>
          </cell>
          <cell r="J126">
            <v>0</v>
          </cell>
          <cell r="K126">
            <v>4172989</v>
          </cell>
          <cell r="L126">
            <v>16391218</v>
          </cell>
          <cell r="M126">
            <v>33720</v>
          </cell>
        </row>
        <row r="127">
          <cell r="B127" t="str">
            <v>D_Law Enforcement Officers_Fix Disability</v>
          </cell>
          <cell r="C127">
            <v>58</v>
          </cell>
          <cell r="D127">
            <v>2540584</v>
          </cell>
          <cell r="E127">
            <v>49.33</v>
          </cell>
          <cell r="F127">
            <v>10.78</v>
          </cell>
          <cell r="G127">
            <v>0</v>
          </cell>
          <cell r="H127">
            <v>0</v>
          </cell>
          <cell r="I127">
            <v>5367782</v>
          </cell>
          <cell r="J127">
            <v>0</v>
          </cell>
          <cell r="K127">
            <v>3916454</v>
          </cell>
          <cell r="L127">
            <v>15304273</v>
          </cell>
          <cell r="M127">
            <v>121171</v>
          </cell>
        </row>
        <row r="128">
          <cell r="B128" t="str">
            <v>D_Law Enforcement Officers_Correct Groups</v>
          </cell>
          <cell r="C128">
            <v>54</v>
          </cell>
          <cell r="D128">
            <v>2416084</v>
          </cell>
          <cell r="E128">
            <v>48.59</v>
          </cell>
          <cell r="F128">
            <v>11.52</v>
          </cell>
          <cell r="G128">
            <v>0</v>
          </cell>
          <cell r="H128">
            <v>0</v>
          </cell>
          <cell r="I128">
            <v>5299492</v>
          </cell>
          <cell r="J128">
            <v>0</v>
          </cell>
          <cell r="K128">
            <v>3902527</v>
          </cell>
          <cell r="L128">
            <v>14859237</v>
          </cell>
          <cell r="M128">
            <v>119611</v>
          </cell>
        </row>
        <row r="129">
          <cell r="C129">
            <v>58</v>
          </cell>
          <cell r="D129">
            <v>2540584</v>
          </cell>
          <cell r="E129">
            <v>49.33</v>
          </cell>
          <cell r="F129">
            <v>10.78</v>
          </cell>
          <cell r="G129">
            <v>0</v>
          </cell>
          <cell r="H129">
            <v>0</v>
          </cell>
          <cell r="I129">
            <v>5929537</v>
          </cell>
          <cell r="J129">
            <v>0</v>
          </cell>
          <cell r="K129">
            <v>4170628</v>
          </cell>
          <cell r="L129">
            <v>16391218</v>
          </cell>
          <cell r="M129">
            <v>33720</v>
          </cell>
        </row>
        <row r="130">
          <cell r="B130" t="str">
            <v>D_Law Enforcement Officers_Fix Disability_NC</v>
          </cell>
          <cell r="C130">
            <v>58</v>
          </cell>
          <cell r="D130">
            <v>2540584</v>
          </cell>
          <cell r="E130">
            <v>49.33</v>
          </cell>
          <cell r="F130">
            <v>10.78</v>
          </cell>
          <cell r="G130">
            <v>0</v>
          </cell>
          <cell r="H130">
            <v>0</v>
          </cell>
          <cell r="I130">
            <v>5366970</v>
          </cell>
          <cell r="J130">
            <v>0</v>
          </cell>
          <cell r="K130">
            <v>3905769</v>
          </cell>
          <cell r="L130">
            <v>15304273</v>
          </cell>
          <cell r="M130">
            <v>121171</v>
          </cell>
        </row>
        <row r="131">
          <cell r="B131" t="str">
            <v>D_Law Enforcement Officers_Correct Groups_NC</v>
          </cell>
          <cell r="C131">
            <v>54</v>
          </cell>
          <cell r="D131">
            <v>2416084</v>
          </cell>
          <cell r="E131">
            <v>48.59</v>
          </cell>
          <cell r="F131">
            <v>11.52</v>
          </cell>
          <cell r="G131">
            <v>0</v>
          </cell>
          <cell r="H131">
            <v>0</v>
          </cell>
          <cell r="I131">
            <v>5300664</v>
          </cell>
          <cell r="J131">
            <v>0</v>
          </cell>
          <cell r="K131">
            <v>3893078</v>
          </cell>
          <cell r="L131">
            <v>14859237</v>
          </cell>
          <cell r="M131">
            <v>119611</v>
          </cell>
        </row>
        <row r="132">
          <cell r="B132" t="str">
            <v>D_Other Education_Correct Groups</v>
          </cell>
          <cell r="C132">
            <v>265</v>
          </cell>
          <cell r="D132">
            <v>7238740</v>
          </cell>
          <cell r="E132">
            <v>53.55</v>
          </cell>
          <cell r="F132">
            <v>10.18</v>
          </cell>
          <cell r="G132">
            <v>0</v>
          </cell>
          <cell r="H132">
            <v>0</v>
          </cell>
          <cell r="I132">
            <v>14175087</v>
          </cell>
          <cell r="J132">
            <v>0</v>
          </cell>
          <cell r="K132">
            <v>9986551</v>
          </cell>
          <cell r="L132">
            <v>46709065</v>
          </cell>
          <cell r="M132">
            <v>273620</v>
          </cell>
        </row>
        <row r="133">
          <cell r="B133" t="str">
            <v>D_Other Education_Correct Groups_NC</v>
          </cell>
          <cell r="C133">
            <v>265</v>
          </cell>
          <cell r="D133">
            <v>7238740</v>
          </cell>
          <cell r="E133">
            <v>53.55</v>
          </cell>
          <cell r="F133">
            <v>10.18</v>
          </cell>
          <cell r="G133">
            <v>0</v>
          </cell>
          <cell r="H133">
            <v>0</v>
          </cell>
          <cell r="I133">
            <v>14452810</v>
          </cell>
          <cell r="J133">
            <v>0</v>
          </cell>
          <cell r="K133">
            <v>10230361</v>
          </cell>
          <cell r="L133">
            <v>46709065</v>
          </cell>
          <cell r="M133">
            <v>273620</v>
          </cell>
        </row>
        <row r="134">
          <cell r="B134" t="str">
            <v>A_Teachers_AFC Load</v>
          </cell>
          <cell r="C134">
            <v>150859</v>
          </cell>
          <cell r="D134">
            <v>6918855488</v>
          </cell>
          <cell r="E134">
            <v>43.17</v>
          </cell>
          <cell r="F134">
            <v>10.26</v>
          </cell>
          <cell r="G134">
            <v>0</v>
          </cell>
          <cell r="H134">
            <v>0</v>
          </cell>
          <cell r="I134">
            <v>19814003983</v>
          </cell>
          <cell r="J134">
            <v>0</v>
          </cell>
          <cell r="K134">
            <v>12984790666</v>
          </cell>
          <cell r="L134">
            <v>59749832108</v>
          </cell>
          <cell r="M134">
            <v>115046171</v>
          </cell>
          <cell r="N134">
            <v>411181250</v>
          </cell>
          <cell r="O134">
            <v>3072433749</v>
          </cell>
          <cell r="P134">
            <v>21442116</v>
          </cell>
        </row>
        <row r="135">
          <cell r="B135" t="str">
            <v>A_Teachers_AFC Load_NC</v>
          </cell>
          <cell r="C135">
            <v>150859</v>
          </cell>
          <cell r="D135">
            <v>6918855488</v>
          </cell>
          <cell r="E135">
            <v>43.17</v>
          </cell>
          <cell r="F135">
            <v>10.26</v>
          </cell>
          <cell r="G135">
            <v>0</v>
          </cell>
          <cell r="H135">
            <v>0</v>
          </cell>
          <cell r="I135">
            <v>19731025387</v>
          </cell>
          <cell r="J135">
            <v>0</v>
          </cell>
          <cell r="K135">
            <v>12940741107</v>
          </cell>
          <cell r="L135">
            <v>59749832108</v>
          </cell>
          <cell r="M135">
            <v>115046171</v>
          </cell>
          <cell r="N135">
            <v>410388580</v>
          </cell>
          <cell r="O135">
            <v>3072433749</v>
          </cell>
          <cell r="P135">
            <v>21442116</v>
          </cell>
        </row>
        <row r="136">
          <cell r="B136" t="str">
            <v>A_General_AFC Load</v>
          </cell>
          <cell r="C136">
            <v>113353</v>
          </cell>
          <cell r="D136">
            <v>5214530027</v>
          </cell>
          <cell r="E136">
            <v>45.8</v>
          </cell>
          <cell r="F136">
            <v>10.06</v>
          </cell>
          <cell r="G136">
            <v>0</v>
          </cell>
          <cell r="H136">
            <v>0</v>
          </cell>
          <cell r="I136">
            <v>13499019397</v>
          </cell>
          <cell r="J136">
            <v>0</v>
          </cell>
          <cell r="K136">
            <v>9098313614</v>
          </cell>
          <cell r="L136">
            <v>41545877871</v>
          </cell>
          <cell r="M136">
            <v>101993763</v>
          </cell>
          <cell r="N136">
            <v>252174087</v>
          </cell>
          <cell r="O136">
            <v>1973350931</v>
          </cell>
          <cell r="P136">
            <v>14202668</v>
          </cell>
        </row>
        <row r="137">
          <cell r="B137" t="str">
            <v>A_General_AFC Load_NC</v>
          </cell>
          <cell r="C137">
            <v>113353</v>
          </cell>
          <cell r="D137">
            <v>5214530027</v>
          </cell>
          <cell r="E137">
            <v>45.8</v>
          </cell>
          <cell r="F137">
            <v>10.06</v>
          </cell>
          <cell r="G137">
            <v>0</v>
          </cell>
          <cell r="H137">
            <v>0</v>
          </cell>
          <cell r="I137">
            <v>13469389802</v>
          </cell>
          <cell r="J137">
            <v>0</v>
          </cell>
          <cell r="K137">
            <v>9079625701</v>
          </cell>
          <cell r="L137">
            <v>41545877871</v>
          </cell>
          <cell r="M137">
            <v>101993763</v>
          </cell>
          <cell r="N137">
            <v>251494004</v>
          </cell>
          <cell r="O137">
            <v>1973350931</v>
          </cell>
          <cell r="P137">
            <v>14202668</v>
          </cell>
        </row>
        <row r="138">
          <cell r="B138" t="str">
            <v>A_Law Enforcement Officers_AFC Load</v>
          </cell>
          <cell r="C138">
            <v>3529</v>
          </cell>
          <cell r="D138">
            <v>204947078</v>
          </cell>
          <cell r="E138">
            <v>39.92</v>
          </cell>
          <cell r="F138">
            <v>12.8</v>
          </cell>
          <cell r="G138">
            <v>0</v>
          </cell>
          <cell r="H138">
            <v>0</v>
          </cell>
          <cell r="I138">
            <v>724185605</v>
          </cell>
          <cell r="J138">
            <v>0</v>
          </cell>
          <cell r="K138">
            <v>492446253</v>
          </cell>
          <cell r="L138">
            <v>1810236207</v>
          </cell>
          <cell r="M138">
            <v>1761540</v>
          </cell>
          <cell r="N138">
            <v>5708161</v>
          </cell>
          <cell r="O138">
            <v>30044906</v>
          </cell>
          <cell r="P138">
            <v>105362</v>
          </cell>
        </row>
        <row r="139">
          <cell r="B139" t="str">
            <v>A_Law Enforcement Officers_AFC Load_NC</v>
          </cell>
          <cell r="C139">
            <v>3529</v>
          </cell>
          <cell r="D139">
            <v>204947078</v>
          </cell>
          <cell r="E139">
            <v>39.92</v>
          </cell>
          <cell r="F139">
            <v>12.8</v>
          </cell>
          <cell r="G139">
            <v>0</v>
          </cell>
          <cell r="H139">
            <v>0</v>
          </cell>
          <cell r="I139">
            <v>723389605</v>
          </cell>
          <cell r="J139">
            <v>0</v>
          </cell>
          <cell r="K139">
            <v>492185920</v>
          </cell>
          <cell r="L139">
            <v>1810236207</v>
          </cell>
          <cell r="M139">
            <v>1761540</v>
          </cell>
          <cell r="N139">
            <v>5790859</v>
          </cell>
          <cell r="O139">
            <v>30044906</v>
          </cell>
          <cell r="P139">
            <v>105362</v>
          </cell>
        </row>
        <row r="140">
          <cell r="B140" t="str">
            <v>A_Other Education_AFC Load</v>
          </cell>
          <cell r="C140">
            <v>48906</v>
          </cell>
          <cell r="D140">
            <v>2001734581</v>
          </cell>
          <cell r="E140">
            <v>48.51</v>
          </cell>
          <cell r="F140">
            <v>10.72</v>
          </cell>
          <cell r="G140">
            <v>0</v>
          </cell>
          <cell r="H140">
            <v>0</v>
          </cell>
          <cell r="I140">
            <v>5898471414</v>
          </cell>
          <cell r="J140">
            <v>0</v>
          </cell>
          <cell r="K140">
            <v>4319266882</v>
          </cell>
          <cell r="L140">
            <v>14693640050</v>
          </cell>
          <cell r="M140">
            <v>30291613</v>
          </cell>
          <cell r="N140">
            <v>67424448</v>
          </cell>
          <cell r="O140">
            <v>485591978</v>
          </cell>
          <cell r="P140">
            <v>3729722</v>
          </cell>
        </row>
        <row r="141">
          <cell r="B141" t="str">
            <v>A_Other Education_AFC Load_NC</v>
          </cell>
          <cell r="C141">
            <v>48906</v>
          </cell>
          <cell r="D141">
            <v>2001734581</v>
          </cell>
          <cell r="E141">
            <v>48.51</v>
          </cell>
          <cell r="F141">
            <v>10.72</v>
          </cell>
          <cell r="G141">
            <v>0</v>
          </cell>
          <cell r="H141">
            <v>0</v>
          </cell>
          <cell r="I141">
            <v>5883485163</v>
          </cell>
          <cell r="J141">
            <v>0</v>
          </cell>
          <cell r="K141">
            <v>4308279747</v>
          </cell>
          <cell r="L141">
            <v>14693640050</v>
          </cell>
          <cell r="M141">
            <v>30291613</v>
          </cell>
          <cell r="N141">
            <v>67081485</v>
          </cell>
          <cell r="O141">
            <v>485591978</v>
          </cell>
          <cell r="P141">
            <v>3729722</v>
          </cell>
        </row>
        <row r="142">
          <cell r="C142" t="str">
            <v>01.09.01.04.05 - TSERS - Inactives - Teachers - New Groups</v>
          </cell>
          <cell r="D142" t="str">
            <v>01.09.01.04.06 - TSERS - Inactives - Other Ed. - New Groups</v>
          </cell>
          <cell r="E142" t="str">
            <v>01.09.01.05.03 - TSERS - Beneficiaries - Teachers - New Groups</v>
          </cell>
          <cell r="F142" t="str">
            <v>01.09.01.05.04 - TSERS - Beneficiaries - Other Ed. - New Groups</v>
          </cell>
          <cell r="G142" t="str">
            <v>01.09.01.06.05 - TSERS - Inactives - General - New Groups</v>
          </cell>
          <cell r="H142" t="str">
            <v>01.09.01.07.03 - TSERS - Beneficiaries - General - New Groups</v>
          </cell>
          <cell r="I142" t="str">
            <v>01.09.01.08.05 - TSERS - Inactives - LEO - New Groups</v>
          </cell>
          <cell r="J142" t="str">
            <v>01.09.01.09.03 - TSERS - Beneficiaries - LEO - New Groups</v>
          </cell>
          <cell r="K142" t="str">
            <v>02.08.01.01.01 - TSERS - Actives - Teachers - Grouped</v>
          </cell>
          <cell r="L142" t="str">
            <v>02.08.01.01.02 - TSERS - Actives - Teachers - Grouped - NC</v>
          </cell>
          <cell r="M142" t="str">
            <v>02.08.01.02.01 - TSERS - Actives - General - Grouped</v>
          </cell>
          <cell r="N142" t="str">
            <v>02.08.01.02.02 - TSERS - Actives - General - Grouped - NC</v>
          </cell>
          <cell r="O142" t="str">
            <v>02.08.01.03.01 - TSERS - Actives - Law Enforcement - Grouped</v>
          </cell>
          <cell r="P142" t="str">
            <v>02.08.01.03.02 - TSERS - Actives - Law Enforcement - Grouped - NC</v>
          </cell>
          <cell r="Q142" t="str">
            <v>02.08.01.04.01 - TSERS - Inactives - Teachers</v>
          </cell>
          <cell r="R142" t="str">
            <v>02.08.01.05.01 - TSERS - Beneficiaries - Teachers</v>
          </cell>
          <cell r="S142" t="str">
            <v>02.08.01.06.01 - TSERS - Inactives - General</v>
          </cell>
        </row>
        <row r="143">
          <cell r="C143" t="str">
            <v xml:space="preserve"> 01.09.01.04.05 - TSERS - Inactives - Teachers - New Groups</v>
          </cell>
          <cell r="D143" t="str">
            <v xml:space="preserve"> 01.09.01.04.06 - TSERS - Inactives - Other Ed. - New Groups</v>
          </cell>
          <cell r="E143" t="str">
            <v xml:space="preserve"> 01.09.01.05.03 - TSERS - Beneficiaries - Teachers - New Groups</v>
          </cell>
          <cell r="F143" t="str">
            <v xml:space="preserve"> 01.09.01.05.04 - TSERS - Beneficiaries - Other Ed. - New Groups</v>
          </cell>
          <cell r="G143" t="str">
            <v xml:space="preserve"> 01.09.01.06.05 - TSERS - Inactives - General - New Groups</v>
          </cell>
          <cell r="H143" t="str">
            <v xml:space="preserve"> 01.09.01.07.03 - TSERS - Beneficiaries - General - New Groups</v>
          </cell>
          <cell r="I143" t="str">
            <v xml:space="preserve"> 01.09.01.08.05 - TSERS - Inactives - LEO - New Groups</v>
          </cell>
          <cell r="J143" t="str">
            <v xml:space="preserve"> 01.09.01.09.03 - TSERS - Beneficiaries - LEO - New Groups</v>
          </cell>
          <cell r="K143" t="str">
            <v xml:space="preserve"> 02.08.01.01.01 - TSERS - Actives - Teachers - Grouped</v>
          </cell>
          <cell r="L143" t="str">
            <v xml:space="preserve"> 02.08.01.01.02 - TSERS - Actives - Teachers - Grouped - NC</v>
          </cell>
          <cell r="M143" t="str">
            <v xml:space="preserve"> 02.08.01.02.01 - TSERS - Actives - General - Grouped</v>
          </cell>
          <cell r="N143" t="str">
            <v xml:space="preserve"> 02.08.01.02.02 - TSERS - Actives - General - Grouped - NC</v>
          </cell>
          <cell r="O143" t="str">
            <v xml:space="preserve"> 02.08.01.03.01 - TSERS - Actives - Law Enforcement - Grouped</v>
          </cell>
          <cell r="P143" t="str">
            <v xml:space="preserve"> 02.08.01.03.02 - TSERS - Actives - Law Enforcement - Grouped - NC</v>
          </cell>
          <cell r="Q143" t="str">
            <v xml:space="preserve"> 02.08.01.04.01 - TSERS - Inactives - Teachers</v>
          </cell>
          <cell r="R143" t="str">
            <v xml:space="preserve"> 02.08.01.05.01 - TSERS - Beneficiaries - Teachers</v>
          </cell>
          <cell r="S143" t="str">
            <v xml:space="preserve"> 02.08.01.06.01 - TSERS - Inactives - General</v>
          </cell>
        </row>
        <row r="144">
          <cell r="C144" t="str">
            <v xml:space="preserve"> 12/31/2009</v>
          </cell>
          <cell r="D144" t="str">
            <v xml:space="preserve"> 12/31/2009</v>
          </cell>
          <cell r="E144" t="str">
            <v xml:space="preserve"> 12/31/2009</v>
          </cell>
          <cell r="F144" t="str">
            <v xml:space="preserve"> 12/31/2009</v>
          </cell>
          <cell r="G144" t="str">
            <v xml:space="preserve"> 12/31/2009</v>
          </cell>
          <cell r="H144" t="str">
            <v xml:space="preserve"> 12/31/2009</v>
          </cell>
          <cell r="I144" t="str">
            <v xml:space="preserve"> 12/31/2009</v>
          </cell>
          <cell r="J144" t="str">
            <v xml:space="preserve"> 12/31/2009</v>
          </cell>
          <cell r="K144" t="str">
            <v xml:space="preserve"> 12/31/2008</v>
          </cell>
          <cell r="L144" t="str">
            <v xml:space="preserve"> 12/31/2008</v>
          </cell>
          <cell r="M144" t="str">
            <v xml:space="preserve"> 12/31/2008</v>
          </cell>
          <cell r="N144" t="str">
            <v xml:space="preserve"> 12/31/2008</v>
          </cell>
          <cell r="O144" t="str">
            <v xml:space="preserve"> 12/31/2008</v>
          </cell>
          <cell r="P144" t="str">
            <v xml:space="preserve"> 12/31/2008</v>
          </cell>
          <cell r="Q144" t="str">
            <v xml:space="preserve"> 12/31/2008</v>
          </cell>
          <cell r="R144" t="str">
            <v xml:space="preserve"> 12/31/2008</v>
          </cell>
          <cell r="S144" t="str">
            <v xml:space="preserve"> 12/31/2008</v>
          </cell>
        </row>
        <row r="145">
          <cell r="C145" t="str">
            <v xml:space="preserve"> 01.01.09.01 - TSERS - Teachers &amp; General</v>
          </cell>
          <cell r="D145" t="str">
            <v xml:space="preserve"> 01.01.09.01 - TSERS - Teachers &amp; General</v>
          </cell>
          <cell r="E145" t="str">
            <v xml:space="preserve"> 01.01.09.01 - TSERS - Teachers &amp; General</v>
          </cell>
          <cell r="F145" t="str">
            <v xml:space="preserve"> 01.01.09.01 - TSERS - Teachers &amp; General</v>
          </cell>
          <cell r="G145" t="str">
            <v xml:space="preserve"> 01.01.09.01 - TSERS - Teachers &amp; General</v>
          </cell>
          <cell r="H145" t="str">
            <v xml:space="preserve"> 01.01.09.01 - TSERS - Teachers &amp; General</v>
          </cell>
          <cell r="I145" t="str">
            <v xml:space="preserve"> 01.02.09.01 - TSERS - Law Enforcement Officers</v>
          </cell>
          <cell r="J145" t="str">
            <v xml:space="preserve"> 01.02.09.01 - TSERS - Law Enforcement Officers</v>
          </cell>
          <cell r="K145" t="str">
            <v xml:space="preserve"> 01.01.08 - TSERS - Teachers &amp; General</v>
          </cell>
          <cell r="L145" t="str">
            <v xml:space="preserve"> 01.01.08 - TSERS - Teachers &amp; General</v>
          </cell>
          <cell r="M145" t="str">
            <v xml:space="preserve"> 01.01.08 - TSERS - Teachers &amp; General</v>
          </cell>
          <cell r="N145" t="str">
            <v xml:space="preserve"> 01.01.08 - TSERS - Teachers &amp; General</v>
          </cell>
          <cell r="O145" t="str">
            <v xml:space="preserve"> 01.02.08 - TSERS - Law Enforcement Officers</v>
          </cell>
          <cell r="P145" t="str">
            <v xml:space="preserve"> 01.02.08 - TSERS - Law Enforcement Officers</v>
          </cell>
          <cell r="Q145" t="str">
            <v xml:space="preserve"> 01.01.08 - TSERS - Teachers &amp; General</v>
          </cell>
          <cell r="R145" t="str">
            <v xml:space="preserve"> 01.01.08 - TSERS - Teachers &amp; General</v>
          </cell>
          <cell r="S145" t="str">
            <v xml:space="preserve"> 01.01.08 - TSERS - Teachers &amp; General</v>
          </cell>
        </row>
        <row r="146">
          <cell r="C146" t="str">
            <v xml:space="preserve"> 09.01.02 - Inactives</v>
          </cell>
          <cell r="D146" t="str">
            <v xml:space="preserve"> 09.01.02 - Inactives</v>
          </cell>
          <cell r="E146" t="str">
            <v xml:space="preserve"> 09.01.03 - Beneficiaries</v>
          </cell>
          <cell r="F146" t="str">
            <v xml:space="preserve"> 09.01.03 - Beneficiaries</v>
          </cell>
          <cell r="G146" t="str">
            <v xml:space="preserve"> 09.01.02 - Inactives</v>
          </cell>
          <cell r="H146" t="str">
            <v xml:space="preserve"> 09.01.03 - Beneficiaries</v>
          </cell>
          <cell r="I146" t="str">
            <v xml:space="preserve"> 09.01.02 - Inactives</v>
          </cell>
          <cell r="J146" t="str">
            <v xml:space="preserve"> 09.01.03 - Beneficiaries</v>
          </cell>
          <cell r="K146" t="str">
            <v xml:space="preserve"> 08.02.01 - Actives - Grouped</v>
          </cell>
          <cell r="L146" t="str">
            <v xml:space="preserve"> 08.02.02 - Actives - Grouped - NC</v>
          </cell>
          <cell r="M146" t="str">
            <v xml:space="preserve"> 08.02.01 - Actives - Grouped</v>
          </cell>
          <cell r="N146" t="str">
            <v xml:space="preserve"> 08.02.02 - Actives - Grouped - NC</v>
          </cell>
          <cell r="O146" t="str">
            <v xml:space="preserve"> 08.02.01 - Actives - Grouped</v>
          </cell>
          <cell r="P146" t="str">
            <v xml:space="preserve"> 08.02.02 - Actives - Grouped - NC</v>
          </cell>
          <cell r="Q146" t="str">
            <v xml:space="preserve"> 08.02.02 - Inactives - Grouped</v>
          </cell>
          <cell r="R146" t="str">
            <v xml:space="preserve"> 08.02.03 - Beneficiaries - Grouped</v>
          </cell>
          <cell r="S146" t="str">
            <v xml:space="preserve"> 08.02.02 - Inactives - Grouped</v>
          </cell>
        </row>
        <row r="147">
          <cell r="C147" t="str">
            <v xml:space="preserve"> 09.08 Correct Groups</v>
          </cell>
          <cell r="D147" t="str">
            <v xml:space="preserve"> 09.08 Correct Groups</v>
          </cell>
          <cell r="E147" t="str">
            <v xml:space="preserve"> 09.08 Correct Groups</v>
          </cell>
          <cell r="F147" t="str">
            <v xml:space="preserve"> 09.08 Correct Groups</v>
          </cell>
          <cell r="G147" t="str">
            <v xml:space="preserve"> 09.08 Correct Groups</v>
          </cell>
          <cell r="H147" t="str">
            <v xml:space="preserve"> 09.08 Correct Groups</v>
          </cell>
          <cell r="I147" t="str">
            <v xml:space="preserve"> 09.08 Correct Groups</v>
          </cell>
          <cell r="J147" t="str">
            <v xml:space="preserve"> 09.08 Correct Groups</v>
          </cell>
          <cell r="K147" t="str">
            <v xml:space="preserve"> 2008 Grouped Data - Round EA</v>
          </cell>
          <cell r="L147" t="str">
            <v xml:space="preserve"> 2008 Grouped Data - Round EA</v>
          </cell>
          <cell r="M147" t="str">
            <v xml:space="preserve"> 2008 Grouped Data - Round EA</v>
          </cell>
          <cell r="N147" t="str">
            <v xml:space="preserve"> 2008 Grouped Data - Round EA</v>
          </cell>
          <cell r="O147" t="str">
            <v xml:space="preserve"> 2008 Grouped Data - Round EA</v>
          </cell>
          <cell r="P147" t="str">
            <v xml:space="preserve"> 2008 Grouped Data - Round EA</v>
          </cell>
          <cell r="Q147" t="str">
            <v xml:space="preserve"> 2008 Grouped Data - Round EA</v>
          </cell>
          <cell r="R147" t="str">
            <v xml:space="preserve"> 2008 Grouped Data - Round EA</v>
          </cell>
          <cell r="S147" t="str">
            <v xml:space="preserve"> 2008 Grouped Data - Round EA</v>
          </cell>
        </row>
        <row r="148">
          <cell r="C148" t="str">
            <v xml:space="preserve"> &lt;none&gt;</v>
          </cell>
          <cell r="D148" t="str">
            <v xml:space="preserve"> &lt;none&gt;</v>
          </cell>
          <cell r="E148" t="str">
            <v xml:space="preserve"> &lt;none&gt;</v>
          </cell>
          <cell r="F148" t="str">
            <v xml:space="preserve"> &lt;none&gt;</v>
          </cell>
          <cell r="G148" t="str">
            <v xml:space="preserve"> &lt;none&gt;</v>
          </cell>
          <cell r="H148" t="str">
            <v xml:space="preserve"> &lt;none&gt;</v>
          </cell>
          <cell r="I148" t="str">
            <v xml:space="preserve"> &lt;none&gt;</v>
          </cell>
          <cell r="J148" t="str">
            <v xml:space="preserve"> &lt;none&gt;</v>
          </cell>
          <cell r="K148" t="str">
            <v xml:space="preserve"> &lt;none&gt;</v>
          </cell>
          <cell r="L148" t="str">
            <v xml:space="preserve"> &lt;none&gt;</v>
          </cell>
          <cell r="M148" t="str">
            <v xml:space="preserve"> &lt;none&gt;</v>
          </cell>
          <cell r="N148" t="str">
            <v xml:space="preserve"> &lt;none&gt;</v>
          </cell>
          <cell r="O148" t="str">
            <v xml:space="preserve"> &lt;none&gt;</v>
          </cell>
          <cell r="P148" t="str">
            <v xml:space="preserve"> &lt;none&gt;</v>
          </cell>
          <cell r="Q148" t="str">
            <v xml:space="preserve"> &lt;none&gt;</v>
          </cell>
          <cell r="R148" t="str">
            <v xml:space="preserve"> &lt;none&gt;</v>
          </cell>
          <cell r="S148" t="str">
            <v xml:space="preserve"> &lt;none&gt;</v>
          </cell>
        </row>
        <row r="149">
          <cell r="C149" t="str">
            <v xml:space="preserve"> October 1, 2010  4:49 PM</v>
          </cell>
          <cell r="D149" t="str">
            <v xml:space="preserve"> October 1, 2010  4:49 PM</v>
          </cell>
          <cell r="E149" t="str">
            <v xml:space="preserve"> October 1, 2010  4:50 PM</v>
          </cell>
          <cell r="F149" t="str">
            <v xml:space="preserve"> October 1, 2010  4:50 PM</v>
          </cell>
          <cell r="G149" t="str">
            <v xml:space="preserve"> October 1, 2010  4:59 PM</v>
          </cell>
          <cell r="H149" t="str">
            <v xml:space="preserve"> October 1, 2010  5:00 PM</v>
          </cell>
          <cell r="I149" t="str">
            <v xml:space="preserve"> October 1, 2010  5:00 PM</v>
          </cell>
          <cell r="J149" t="str">
            <v xml:space="preserve"> October 1, 2010  5:00 PM</v>
          </cell>
          <cell r="K149" t="str">
            <v xml:space="preserve"> October 1, 2010  5:22 PM</v>
          </cell>
          <cell r="L149" t="str">
            <v xml:space="preserve"> October 1, 2010  5:22 PM</v>
          </cell>
          <cell r="M149" t="str">
            <v xml:space="preserve"> October 1, 2010  5:23 PM</v>
          </cell>
          <cell r="N149" t="str">
            <v xml:space="preserve"> October 1, 2010  5:23 PM</v>
          </cell>
          <cell r="O149" t="str">
            <v xml:space="preserve"> October 1, 2010  5:24 PM</v>
          </cell>
          <cell r="P149" t="str">
            <v xml:space="preserve"> October 1, 2010  5:24 PM</v>
          </cell>
          <cell r="Q149" t="str">
            <v xml:space="preserve"> August 31, 2010  12:01 AM</v>
          </cell>
          <cell r="R149" t="str">
            <v xml:space="preserve"> August 31, 2010  12:01 AM</v>
          </cell>
          <cell r="S149" t="str">
            <v xml:space="preserve"> August 31, 2010  12:02 AM</v>
          </cell>
        </row>
        <row r="150">
          <cell r="C150" t="str">
            <v xml:space="preserve"> 3.01 Sep 13, 2010</v>
          </cell>
          <cell r="D150" t="str">
            <v xml:space="preserve"> 3.01 Sep 13, 2010</v>
          </cell>
          <cell r="E150" t="str">
            <v xml:space="preserve"> 3.01 Sep 13, 2010</v>
          </cell>
          <cell r="F150" t="str">
            <v xml:space="preserve"> 3.01 Sep 13, 2010</v>
          </cell>
          <cell r="G150" t="str">
            <v xml:space="preserve"> 3.01 Sep 13, 2010</v>
          </cell>
          <cell r="H150" t="str">
            <v xml:space="preserve"> 3.01 Sep 13, 2010</v>
          </cell>
          <cell r="I150" t="str">
            <v xml:space="preserve"> 3.01 Sep 13, 2010</v>
          </cell>
          <cell r="J150" t="str">
            <v xml:space="preserve"> 3.01 Sep 13, 2010</v>
          </cell>
          <cell r="K150" t="str">
            <v xml:space="preserve"> 3.01 Sep 13, 2010</v>
          </cell>
          <cell r="L150" t="str">
            <v xml:space="preserve"> 3.01 Sep 13, 2010</v>
          </cell>
          <cell r="M150" t="str">
            <v xml:space="preserve"> 3.01 Sep 13, 2010</v>
          </cell>
          <cell r="N150" t="str">
            <v xml:space="preserve"> 3.01 Sep 13, 2010</v>
          </cell>
          <cell r="O150" t="str">
            <v xml:space="preserve"> 3.01 Sep 13, 2010</v>
          </cell>
          <cell r="P150" t="str">
            <v xml:space="preserve"> 3.01 Sep 13, 2010</v>
          </cell>
          <cell r="Q150" t="str">
            <v xml:space="preserve"> 3.01 Aug 19, 2010</v>
          </cell>
          <cell r="R150" t="str">
            <v xml:space="preserve"> 3.01 Aug 19, 2010</v>
          </cell>
          <cell r="S150" t="str">
            <v xml:space="preserve"> 3.01 Aug 19, 2010</v>
          </cell>
        </row>
        <row r="151">
          <cell r="C151" t="str">
            <v xml:space="preserve"> 01.01.09.04 - TSERS - Teachers - Mortality</v>
          </cell>
          <cell r="D151" t="str">
            <v xml:space="preserve"> 01.02.09.04 - TSERS - General - Mortality</v>
          </cell>
          <cell r="E151" t="str">
            <v xml:space="preserve"> 01.01.09.04 - TSERS - Teachers - Mortality</v>
          </cell>
          <cell r="F151" t="str">
            <v xml:space="preserve"> 01.02.09.04 - TSERS - General - Mortality</v>
          </cell>
          <cell r="G151" t="str">
            <v xml:space="preserve"> 01.02.09.04 - TSERS - General - Mortality</v>
          </cell>
          <cell r="H151" t="str">
            <v xml:space="preserve"> 01.02.09.04 - TSERS - General - Mortality</v>
          </cell>
          <cell r="I151" t="str">
            <v xml:space="preserve"> 01.03.09.04 - TSERS - Law Enforcement Officers - Mortality</v>
          </cell>
          <cell r="J151" t="str">
            <v xml:space="preserve"> 01.03.09.04 - TSERS - Law Enforcement Officers - Mortality</v>
          </cell>
          <cell r="K151" t="str">
            <v xml:space="preserve"> 01.01.08.01 - TSERS - Teachers</v>
          </cell>
          <cell r="L151" t="str">
            <v xml:space="preserve"> 01.01.08.02 - TSERS - Teachers - NC</v>
          </cell>
          <cell r="M151" t="str">
            <v xml:space="preserve"> 01.02.08.01 - TSERS - General</v>
          </cell>
          <cell r="N151" t="str">
            <v xml:space="preserve"> 01.02.08.02 - TSERS - General - NC</v>
          </cell>
          <cell r="O151" t="str">
            <v xml:space="preserve"> 01.03.08.01 - TSERS - Law Enforcement Officers</v>
          </cell>
          <cell r="P151" t="str">
            <v xml:space="preserve"> 01.03.08.02 - TSERS - Law Enforcement Officers - NC</v>
          </cell>
          <cell r="Q151" t="str">
            <v xml:space="preserve"> 01.01.08.01 - TSERS - Teachers</v>
          </cell>
          <cell r="R151" t="str">
            <v xml:space="preserve"> 01.01.08.01 - TSERS - Teachers</v>
          </cell>
          <cell r="S151" t="str">
            <v xml:space="preserve"> 01.02.08.01 - TSERS - General</v>
          </cell>
        </row>
        <row r="152">
          <cell r="C152">
            <v>7.2499999999999995E-2</v>
          </cell>
          <cell r="D152">
            <v>7.2499999999999995E-2</v>
          </cell>
          <cell r="E152">
            <v>7.2499999999999995E-2</v>
          </cell>
          <cell r="F152">
            <v>7.2499999999999995E-2</v>
          </cell>
          <cell r="G152">
            <v>7.2499999999999995E-2</v>
          </cell>
          <cell r="H152">
            <v>7.2499999999999995E-2</v>
          </cell>
          <cell r="I152">
            <v>7.2499999999999995E-2</v>
          </cell>
          <cell r="J152">
            <v>7.2499999999999995E-2</v>
          </cell>
          <cell r="K152">
            <v>7.2499999999999995E-2</v>
          </cell>
          <cell r="L152">
            <v>7.2499999999999995E-2</v>
          </cell>
          <cell r="M152">
            <v>7.2499999999999995E-2</v>
          </cell>
          <cell r="N152">
            <v>7.2499999999999995E-2</v>
          </cell>
          <cell r="O152">
            <v>7.2499999999999995E-2</v>
          </cell>
          <cell r="P152">
            <v>7.2499999999999995E-2</v>
          </cell>
          <cell r="Q152">
            <v>7.2499999999999995E-2</v>
          </cell>
          <cell r="R152">
            <v>7.2499999999999995E-2</v>
          </cell>
          <cell r="S152">
            <v>7.2499999999999995E-2</v>
          </cell>
        </row>
        <row r="153">
          <cell r="C153" t="str">
            <v xml:space="preserve"> 0.035 + merit scale</v>
          </cell>
          <cell r="D153" t="str">
            <v xml:space="preserve"> 0.035 + merit scale</v>
          </cell>
          <cell r="E153" t="str">
            <v xml:space="preserve"> 0.035 + merit scale</v>
          </cell>
          <cell r="F153" t="str">
            <v xml:space="preserve"> 0.035 + merit scale</v>
          </cell>
          <cell r="G153" t="str">
            <v xml:space="preserve"> 0.035 + merit scale</v>
          </cell>
          <cell r="H153" t="str">
            <v xml:space="preserve"> 0.035 + merit scale</v>
          </cell>
          <cell r="I153" t="str">
            <v xml:space="preserve"> 0.035 + merit scale</v>
          </cell>
          <cell r="J153" t="str">
            <v xml:space="preserve"> 0.035 + merit scale</v>
          </cell>
          <cell r="K153" t="str">
            <v xml:space="preserve"> 0.0375 + merit scale</v>
          </cell>
          <cell r="L153" t="str">
            <v xml:space="preserve"> 0.0375 + merit scale</v>
          </cell>
          <cell r="M153" t="str">
            <v xml:space="preserve"> 0.0375 + merit scale</v>
          </cell>
          <cell r="N153" t="str">
            <v xml:space="preserve"> 0.0375 + merit scale</v>
          </cell>
          <cell r="O153" t="str">
            <v xml:space="preserve"> 0.0375 + merit scale</v>
          </cell>
          <cell r="P153" t="str">
            <v xml:space="preserve"> 0.0375 + merit scale</v>
          </cell>
          <cell r="Q153" t="str">
            <v xml:space="preserve"> 0.0375 + merit scale</v>
          </cell>
          <cell r="R153" t="str">
            <v xml:space="preserve"> 0.0375 + merit scale</v>
          </cell>
          <cell r="S153" t="str">
            <v xml:space="preserve"> 0.0375 + merit scale</v>
          </cell>
        </row>
        <row r="154">
          <cell r="C154" t="str">
            <v xml:space="preserve"> &lt;not run&gt;</v>
          </cell>
          <cell r="D154" t="str">
            <v xml:space="preserve"> &lt;not run&gt;</v>
          </cell>
          <cell r="E154" t="str">
            <v xml:space="preserve"> &lt;not run&gt;</v>
          </cell>
          <cell r="F154" t="str">
            <v xml:space="preserve"> &lt;not run&gt;</v>
          </cell>
          <cell r="G154" t="str">
            <v xml:space="preserve"> &lt;not run&gt;</v>
          </cell>
          <cell r="H154" t="str">
            <v xml:space="preserve"> &lt;not run&gt;</v>
          </cell>
          <cell r="I154" t="str">
            <v xml:space="preserve"> &lt;not run&gt;</v>
          </cell>
          <cell r="J154" t="str">
            <v xml:space="preserve"> &lt;not run&gt;</v>
          </cell>
          <cell r="K154" t="str">
            <v xml:space="preserve"> &lt;not run&gt;</v>
          </cell>
          <cell r="L154" t="str">
            <v xml:space="preserve"> &lt;not run&gt;</v>
          </cell>
          <cell r="M154" t="str">
            <v xml:space="preserve"> &lt;not run&gt;</v>
          </cell>
          <cell r="N154" t="str">
            <v xml:space="preserve"> &lt;not run&gt;</v>
          </cell>
          <cell r="O154" t="str">
            <v xml:space="preserve"> &lt;not run&gt;</v>
          </cell>
          <cell r="P154" t="str">
            <v xml:space="preserve"> &lt;not run&gt;</v>
          </cell>
          <cell r="Q154" t="str">
            <v xml:space="preserve"> &lt;not run&gt;</v>
          </cell>
          <cell r="R154" t="str">
            <v xml:space="preserve"> &lt;not run&gt;</v>
          </cell>
          <cell r="S154" t="str">
            <v xml:space="preserve"> &lt;not run&gt;</v>
          </cell>
        </row>
        <row r="155">
          <cell r="C155" t="str">
            <v xml:space="preserve"> &lt;not run&gt;</v>
          </cell>
          <cell r="D155" t="str">
            <v xml:space="preserve"> &lt;not run&gt;</v>
          </cell>
          <cell r="E155" t="str">
            <v xml:space="preserve"> &lt;not run&gt;</v>
          </cell>
          <cell r="F155" t="str">
            <v xml:space="preserve"> &lt;not run&gt;</v>
          </cell>
          <cell r="G155" t="str">
            <v xml:space="preserve"> &lt;not run&gt;</v>
          </cell>
          <cell r="H155" t="str">
            <v xml:space="preserve"> &lt;not run&gt;</v>
          </cell>
          <cell r="I155" t="str">
            <v xml:space="preserve"> &lt;not run&gt;</v>
          </cell>
          <cell r="J155" t="str">
            <v xml:space="preserve"> &lt;not run&gt;</v>
          </cell>
          <cell r="K155" t="str">
            <v xml:space="preserve"> &lt;not run&gt;</v>
          </cell>
          <cell r="L155" t="str">
            <v xml:space="preserve"> &lt;not run&gt;</v>
          </cell>
          <cell r="M155" t="str">
            <v xml:space="preserve"> &lt;not run&gt;</v>
          </cell>
          <cell r="N155" t="str">
            <v xml:space="preserve"> &lt;not run&gt;</v>
          </cell>
          <cell r="O155" t="str">
            <v xml:space="preserve"> &lt;not run&gt;</v>
          </cell>
          <cell r="P155" t="str">
            <v xml:space="preserve"> &lt;not run&gt;</v>
          </cell>
          <cell r="Q155" t="str">
            <v xml:space="preserve"> &lt;not run&gt;</v>
          </cell>
          <cell r="R155" t="str">
            <v xml:space="preserve"> &lt;not run&gt;</v>
          </cell>
          <cell r="S155" t="str">
            <v xml:space="preserve"> &lt;not run&gt;</v>
          </cell>
        </row>
        <row r="156">
          <cell r="C156" t="str">
            <v xml:space="preserve"> &lt;none&gt;</v>
          </cell>
          <cell r="D156" t="str">
            <v xml:space="preserve"> &lt;none&gt;</v>
          </cell>
          <cell r="E156" t="str">
            <v xml:space="preserve"> &lt;none&gt;</v>
          </cell>
          <cell r="F156" t="str">
            <v xml:space="preserve"> &lt;none&gt;</v>
          </cell>
          <cell r="G156" t="str">
            <v xml:space="preserve"> &lt;none&gt;</v>
          </cell>
          <cell r="H156" t="str">
            <v xml:space="preserve"> &lt;none&gt;</v>
          </cell>
          <cell r="I156" t="str">
            <v xml:space="preserve"> &lt;none&gt;</v>
          </cell>
          <cell r="J156" t="str">
            <v xml:space="preserve"> &lt;none&gt;</v>
          </cell>
          <cell r="K156" t="str">
            <v xml:space="preserve"> &lt;none&gt;</v>
          </cell>
          <cell r="L156" t="str">
            <v xml:space="preserve"> &lt;none&gt;</v>
          </cell>
          <cell r="M156" t="str">
            <v xml:space="preserve"> &lt;none&gt;</v>
          </cell>
          <cell r="N156" t="str">
            <v xml:space="preserve"> &lt;none&gt;</v>
          </cell>
          <cell r="O156" t="str">
            <v xml:space="preserve"> &lt;none&gt;</v>
          </cell>
          <cell r="P156" t="str">
            <v xml:space="preserve"> &lt;none&gt;</v>
          </cell>
          <cell r="Q156" t="str">
            <v xml:space="preserve"> &lt;none&gt;</v>
          </cell>
          <cell r="R156" t="str">
            <v xml:space="preserve"> &lt;none&gt;</v>
          </cell>
          <cell r="S156" t="str">
            <v xml:space="preserve"> &lt;none&gt;</v>
          </cell>
        </row>
      </sheetData>
      <sheetData sheetId="7"/>
      <sheetData sheetId="8"/>
      <sheetData sheetId="9"/>
      <sheetData sheetId="10"/>
      <sheetData sheetId="11"/>
      <sheetData sheetId="1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Changes to Update Template "/>
      <sheetName val="JE Template 2021"/>
      <sheetName val="2021 summary"/>
      <sheetName val="2020 summary"/>
      <sheetName val="2019 summary"/>
      <sheetName val="2018 summary"/>
      <sheetName val="2017 summary"/>
      <sheetName val="LGERS Contributions FY 2020"/>
      <sheetName val="LGERS Contributions FY 2019"/>
      <sheetName val="LGERS Contributions FY 2018"/>
      <sheetName val="LGERS Contributions FY 2017"/>
      <sheetName val="Deferred Amort MD 6-30-20"/>
      <sheetName val="Deferred Amort MD 6-30-19"/>
    </sheetNames>
    <sheetDataSet>
      <sheetData sheetId="0"/>
      <sheetData sheetId="1">
        <row r="43">
          <cell r="C43" t="str">
            <v>Measurement date 6/30/2020</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persons/person.xml><?xml version="1.0" encoding="utf-8"?>
<personList xmlns="http://schemas.microsoft.com/office/spreadsheetml/2018/threadedcomments" xmlns:x="http://schemas.openxmlformats.org/spreadsheetml/2006/main">
  <person displayName="Kendra Boyle" id="{421D5F2D-FDB7-44F0-B16D-99FAF8248AAF}" userId="S::LGC0084@nctreasurer.com::e6da70e9-72c2-409b-9978-192edee78204" providerId="AD"/>
  <person displayName="Eric Faust" id="{788AB38D-74CC-4098-B6FC-F8B8BA9F159A}" userId="S::Eric.Faust@nctreasurer.com::7669de3c-ad82-4e14-add6-79f09b49f1e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 dT="2020-04-06T13:38:06.21" personId="{421D5F2D-FDB7-44F0-B16D-99FAF8248AAF}" id="{EECEDF80-C8D2-418B-95A4-33BD59FD46A3}">
    <text>Appropriate schedules in the Office of State Auditor Report</text>
  </threadedComment>
  <threadedComment ref="B7" dT="2020-04-06T13:40:03.06" personId="{421D5F2D-FDB7-44F0-B16D-99FAF8248AAF}" id="{DC4145E6-96F8-4FBD-BCAA-BDBEFE64475A}">
    <text>Make sure this list matches the CY Office of State Auditor list and list from FOD</text>
  </threadedComment>
  <threadedComment ref="B7" dT="2020-04-06T13:42:05.82" personId="{421D5F2D-FDB7-44F0-B16D-99FAF8248AAF}" id="{C1658339-1483-46A9-A6DA-A5AAF67BCFA8}" parentId="{DC4145E6-96F8-4FBD-BCAA-BDBEFE64475A}">
    <text/>
  </threadedComment>
  <threadedComment ref="C7" dT="2020-04-06T12:50:19.78" personId="{421D5F2D-FDB7-44F0-B16D-99FAF8248AAF}" id="{1B1E80C3-C312-450B-8FCA-7CEE0D28F31B}">
    <text>LGERS Schedule 1 in State Auditors Report</text>
  </threadedComment>
  <threadedComment ref="D7" dT="2020-04-06T13:39:02.88" personId="{421D5F2D-FDB7-44F0-B16D-99FAF8248AAF}" id="{F508823D-A813-4A35-B3D9-746E641C8E1C}">
    <text>use vlookup to pull # from PY summary</text>
  </threadedComment>
  <threadedComment ref="D7" dT="2020-04-06T13:45:49.26" personId="{421D5F2D-FDB7-44F0-B16D-99FAF8248AAF}" id="{2E1A1E05-6F4F-484D-B1DD-A6CD1A59F99D}" parentId="{F508823D-A813-4A35-B3D9-746E641C8E1C}">
    <text>Clean up any N/A that result from Vlookup and the copy and paste values in this column over the vlookup formula</text>
  </threadedComment>
  <threadedComment ref="E7" dT="2020-04-06T13:43:01.61" personId="{421D5F2D-FDB7-44F0-B16D-99FAF8248AAF}" id="{687056C6-3931-4DC0-83F3-67CED92439DD}">
    <text>All # come from Office of State Auditor Report Schedule 2</text>
  </threadedComment>
</ThreadedComments>
</file>

<file path=xl/threadedComments/threadedComment2.xml><?xml version="1.0" encoding="utf-8"?>
<ThreadedComments xmlns="http://schemas.microsoft.com/office/spreadsheetml/2018/threadedcomments" xmlns:x="http://schemas.openxmlformats.org/spreadsheetml/2006/main">
  <threadedComment ref="B4" dT="2020-04-06T13:38:06.21" personId="{421D5F2D-FDB7-44F0-B16D-99FAF8248AAF}" id="{5C3F5EE4-4163-4081-99AF-70DB2F78AF74}">
    <text>Appropriate schedules in the Office of State Auditor Report</text>
  </threadedComment>
  <threadedComment ref="C7" dT="2020-04-06T12:50:19.78" personId="{421D5F2D-FDB7-44F0-B16D-99FAF8248AAF}" id="{C54241C6-5946-4CA5-BB1C-03C16C71459E}">
    <text>LGERS Schedule 1 in State Auditors Report</text>
  </threadedComment>
  <threadedComment ref="D7" dT="2020-04-06T13:39:02.88" personId="{421D5F2D-FDB7-44F0-B16D-99FAF8248AAF}" id="{6D66C263-B933-4C4D-8D1A-620520A3287D}">
    <text>use vlookup to pull # from PY summary</text>
  </threadedComment>
  <threadedComment ref="D7" dT="2020-04-06T13:45:49.26" personId="{421D5F2D-FDB7-44F0-B16D-99FAF8248AAF}" id="{E9C29D26-06A2-48CB-8D01-2DBE8A289C97}" parentId="{6D66C263-B933-4C4D-8D1A-620520A3287D}">
    <text>Clean up any N/A that result from Vlookup and the copy and paste values in this column over the vlookup formula</text>
  </threadedComment>
  <threadedComment ref="E7" dT="2020-04-06T13:43:01.61" personId="{421D5F2D-FDB7-44F0-B16D-99FAF8248AAF}" id="{7BF7FF60-9A5B-45F6-9906-981A782D61F3}">
    <text>All # come from Office of State Auditor Report Schedule 2</text>
  </threadedComment>
</ThreadedComments>
</file>

<file path=xl/threadedComments/threadedComment3.xml><?xml version="1.0" encoding="utf-8"?>
<ThreadedComments xmlns="http://schemas.microsoft.com/office/spreadsheetml/2018/threadedcomments" xmlns:x="http://schemas.openxmlformats.org/spreadsheetml/2006/main">
  <threadedComment ref="B2" dT="2020-04-06T13:46:20.76" personId="{421D5F2D-FDB7-44F0-B16D-99FAF8248AAF}" id="{F0C369B6-392A-48E7-90AB-52003227CEF9}">
    <text>Make sure this list matches the CY Office of State Auditor list and list from FOD</text>
  </threadedComment>
  <threadedComment ref="C2" dT="2020-04-06T13:44:20.55" personId="{421D5F2D-FDB7-44F0-B16D-99FAF8248AAF}" id="{440C031A-9E71-4065-AF59-B6C063EA049D}">
    <text># come from NCST FOD</text>
  </threadedComment>
</ThreadedComments>
</file>

<file path=xl/threadedComments/threadedComment4.xml><?xml version="1.0" encoding="utf-8"?>
<ThreadedComments xmlns="http://schemas.microsoft.com/office/spreadsheetml/2018/threadedcomments" xmlns:x="http://schemas.openxmlformats.org/spreadsheetml/2006/main">
  <threadedComment ref="H21" dT="2021-06-11T19:54:26.48" personId="{788AB38D-74CC-4098-B6FC-F8B8BA9F159A}" id="{5BA93EA4-15E9-4DD4-A49C-482ED27FE116}">
    <text>not sure what to do with this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14.bin"/><Relationship Id="rId4" Type="http://schemas.openxmlformats.org/officeDocument/2006/relationships/comments" Target="../comments7.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6.xml"/><Relationship Id="rId1" Type="http://schemas.openxmlformats.org/officeDocument/2006/relationships/printerSettings" Target="../printerSettings/printerSettings15.bin"/><Relationship Id="rId4" Type="http://schemas.openxmlformats.org/officeDocument/2006/relationships/comments" Target="../comments8.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9.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4.bin"/><Relationship Id="rId4" Type="http://schemas.microsoft.com/office/2017/10/relationships/threadedComment" Target="../threadedComments/threadedComment2.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5.bin"/><Relationship Id="rId4" Type="http://schemas.microsoft.com/office/2017/10/relationships/threadedComment" Target="../threadedComments/threadedComment3.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32.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28.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4.vml"/><Relationship Id="rId1" Type="http://schemas.openxmlformats.org/officeDocument/2006/relationships/hyperlink" Target="https://files.nc.gov/nctreasurer/documents/files/SLGFD/Memos/2022-01.pdf" TargetMode="External"/><Relationship Id="rId4" Type="http://schemas.microsoft.com/office/2017/10/relationships/threadedComment" Target="../threadedComments/threadedComment4.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9.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2.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3.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3"/>
  <sheetViews>
    <sheetView zoomScaleNormal="100" workbookViewId="0">
      <selection activeCell="A9" sqref="A9:K10"/>
    </sheetView>
  </sheetViews>
  <sheetFormatPr defaultRowHeight="12.75" x14ac:dyDescent="0.2"/>
  <cols>
    <col min="1" max="1" width="3.28515625" customWidth="1"/>
    <col min="11" max="11" width="17.42578125" customWidth="1"/>
    <col min="12" max="12" width="3.42578125" customWidth="1"/>
  </cols>
  <sheetData>
    <row r="1" spans="1:11" ht="7.5" customHeight="1" x14ac:dyDescent="0.2"/>
    <row r="2" spans="1:11" x14ac:dyDescent="0.2">
      <c r="A2" s="1395" t="s">
        <v>503</v>
      </c>
      <c r="B2" s="1396"/>
      <c r="C2" s="1396"/>
      <c r="D2" s="1396"/>
      <c r="E2" s="1396"/>
      <c r="F2" s="1396"/>
      <c r="G2" s="1396"/>
      <c r="H2" s="1396"/>
      <c r="I2" s="1396"/>
      <c r="J2" s="1396"/>
      <c r="K2" s="1397"/>
    </row>
    <row r="3" spans="1:11" ht="21" customHeight="1" x14ac:dyDescent="0.2">
      <c r="A3" s="1398"/>
      <c r="B3" s="1399"/>
      <c r="C3" s="1399"/>
      <c r="D3" s="1399"/>
      <c r="E3" s="1399"/>
      <c r="F3" s="1399"/>
      <c r="G3" s="1399"/>
      <c r="H3" s="1399"/>
      <c r="I3" s="1399"/>
      <c r="J3" s="1399"/>
      <c r="K3" s="1400"/>
    </row>
    <row r="4" spans="1:11" ht="8.25" customHeight="1" x14ac:dyDescent="0.2"/>
    <row r="5" spans="1:11" x14ac:dyDescent="0.2">
      <c r="A5" s="1387" t="s">
        <v>184</v>
      </c>
      <c r="B5" s="1387"/>
      <c r="C5" s="1387"/>
      <c r="D5" s="1387"/>
      <c r="E5" s="1387"/>
      <c r="F5" s="1387"/>
      <c r="G5" s="1387"/>
      <c r="H5" s="1387"/>
      <c r="I5" s="1387"/>
      <c r="J5" s="1387"/>
      <c r="K5" s="1387"/>
    </row>
    <row r="6" spans="1:11" x14ac:dyDescent="0.2">
      <c r="A6" s="1387"/>
      <c r="B6" s="1387"/>
      <c r="C6" s="1387"/>
      <c r="D6" s="1387"/>
      <c r="E6" s="1387"/>
      <c r="F6" s="1387"/>
      <c r="G6" s="1387"/>
      <c r="H6" s="1387"/>
      <c r="I6" s="1387"/>
      <c r="J6" s="1387"/>
      <c r="K6" s="1387"/>
    </row>
    <row r="7" spans="1:11" ht="24.75" customHeight="1" x14ac:dyDescent="0.2">
      <c r="A7" s="1387"/>
      <c r="B7" s="1387"/>
      <c r="C7" s="1387"/>
      <c r="D7" s="1387"/>
      <c r="E7" s="1387"/>
      <c r="F7" s="1387"/>
      <c r="G7" s="1387"/>
      <c r="H7" s="1387"/>
      <c r="I7" s="1387"/>
      <c r="J7" s="1387"/>
      <c r="K7" s="1387"/>
    </row>
    <row r="8" spans="1:11" ht="9.75" customHeight="1" x14ac:dyDescent="0.2"/>
    <row r="9" spans="1:11" ht="12.75" customHeight="1" x14ac:dyDescent="0.2">
      <c r="A9" s="1387" t="s">
        <v>1057</v>
      </c>
      <c r="B9" s="1387"/>
      <c r="C9" s="1387"/>
      <c r="D9" s="1387"/>
      <c r="E9" s="1387"/>
      <c r="F9" s="1387"/>
      <c r="G9" s="1387"/>
      <c r="H9" s="1387"/>
      <c r="I9" s="1387"/>
      <c r="J9" s="1387"/>
      <c r="K9" s="1387"/>
    </row>
    <row r="10" spans="1:11" ht="36.75" customHeight="1" x14ac:dyDescent="0.2">
      <c r="A10" s="1387"/>
      <c r="B10" s="1387"/>
      <c r="C10" s="1387"/>
      <c r="D10" s="1387"/>
      <c r="E10" s="1387"/>
      <c r="F10" s="1387"/>
      <c r="G10" s="1387"/>
      <c r="H10" s="1387"/>
      <c r="I10" s="1387"/>
      <c r="J10" s="1387"/>
      <c r="K10" s="1387"/>
    </row>
    <row r="11" spans="1:11" ht="9.75" customHeight="1" x14ac:dyDescent="0.2"/>
    <row r="12" spans="1:11" x14ac:dyDescent="0.2">
      <c r="A12" s="1387" t="s">
        <v>353</v>
      </c>
      <c r="B12" s="1387"/>
      <c r="C12" s="1387"/>
      <c r="D12" s="1387"/>
      <c r="E12" s="1387"/>
      <c r="F12" s="1387"/>
      <c r="G12" s="1387"/>
      <c r="H12" s="1387"/>
      <c r="I12" s="1387"/>
      <c r="J12" s="1387"/>
      <c r="K12" s="1387"/>
    </row>
    <row r="13" spans="1:11" x14ac:dyDescent="0.2">
      <c r="A13" s="1387"/>
      <c r="B13" s="1387"/>
      <c r="C13" s="1387"/>
      <c r="D13" s="1387"/>
      <c r="E13" s="1387"/>
      <c r="F13" s="1387"/>
      <c r="G13" s="1387"/>
      <c r="H13" s="1387"/>
      <c r="I13" s="1387"/>
      <c r="J13" s="1387"/>
      <c r="K13" s="1387"/>
    </row>
    <row r="14" spans="1:11" x14ac:dyDescent="0.2">
      <c r="A14" s="1387"/>
      <c r="B14" s="1387"/>
      <c r="C14" s="1387"/>
      <c r="D14" s="1387"/>
      <c r="E14" s="1387"/>
      <c r="F14" s="1387"/>
      <c r="G14" s="1387"/>
      <c r="H14" s="1387"/>
      <c r="I14" s="1387"/>
      <c r="J14" s="1387"/>
      <c r="K14" s="1387"/>
    </row>
    <row r="15" spans="1:11" ht="9.75" customHeight="1" x14ac:dyDescent="0.2"/>
    <row r="16" spans="1:11" s="774" customFormat="1" ht="23.25" customHeight="1" x14ac:dyDescent="0.2">
      <c r="A16" s="1393" t="s">
        <v>4065</v>
      </c>
      <c r="B16" s="1394"/>
      <c r="C16" s="1394"/>
      <c r="D16" s="1394"/>
      <c r="E16" s="1394"/>
      <c r="F16" s="1394"/>
      <c r="G16" s="1394"/>
      <c r="H16" s="1394"/>
      <c r="I16" s="1394"/>
      <c r="J16" s="1394"/>
      <c r="K16" s="1394"/>
    </row>
    <row r="17" spans="1:11" s="774" customFormat="1" ht="21" customHeight="1" x14ac:dyDescent="0.2">
      <c r="A17" s="1394"/>
      <c r="B17" s="1394"/>
      <c r="C17" s="1394"/>
      <c r="D17" s="1394"/>
      <c r="E17" s="1394"/>
      <c r="F17" s="1394"/>
      <c r="G17" s="1394"/>
      <c r="H17" s="1394"/>
      <c r="I17" s="1394"/>
      <c r="J17" s="1394"/>
      <c r="K17" s="1394"/>
    </row>
    <row r="18" spans="1:11" s="774" customFormat="1" ht="36" customHeight="1" x14ac:dyDescent="0.2">
      <c r="A18" s="1394"/>
      <c r="B18" s="1394"/>
      <c r="C18" s="1394"/>
      <c r="D18" s="1394"/>
      <c r="E18" s="1394"/>
      <c r="F18" s="1394"/>
      <c r="G18" s="1394"/>
      <c r="H18" s="1394"/>
      <c r="I18" s="1394"/>
      <c r="J18" s="1394"/>
      <c r="K18" s="1394"/>
    </row>
    <row r="19" spans="1:11" s="774" customFormat="1" ht="9.75" customHeight="1" x14ac:dyDescent="0.2"/>
    <row r="20" spans="1:11" x14ac:dyDescent="0.2">
      <c r="A20" s="1387" t="s">
        <v>64</v>
      </c>
      <c r="B20" s="1387"/>
      <c r="C20" s="1387"/>
      <c r="D20" s="1387"/>
      <c r="E20" s="1387"/>
      <c r="F20" s="1387"/>
      <c r="G20" s="1387"/>
      <c r="H20" s="1387"/>
      <c r="I20" s="1387"/>
      <c r="J20" s="1387"/>
      <c r="K20" s="1387"/>
    </row>
    <row r="21" spans="1:11" x14ac:dyDescent="0.2">
      <c r="A21" s="1387"/>
      <c r="B21" s="1387"/>
      <c r="C21" s="1387"/>
      <c r="D21" s="1387"/>
      <c r="E21" s="1387"/>
      <c r="F21" s="1387"/>
      <c r="G21" s="1387"/>
      <c r="H21" s="1387"/>
      <c r="I21" s="1387"/>
      <c r="J21" s="1387"/>
      <c r="K21" s="1387"/>
    </row>
    <row r="22" spans="1:11" ht="26.25" customHeight="1" x14ac:dyDescent="0.2">
      <c r="A22" s="1387"/>
      <c r="B22" s="1387"/>
      <c r="C22" s="1387"/>
      <c r="D22" s="1387"/>
      <c r="E22" s="1387"/>
      <c r="F22" s="1387"/>
      <c r="G22" s="1387"/>
      <c r="H22" s="1387"/>
      <c r="I22" s="1387"/>
      <c r="J22" s="1387"/>
      <c r="K22" s="1387"/>
    </row>
    <row r="23" spans="1:11" ht="9.75" customHeight="1" x14ac:dyDescent="0.2">
      <c r="A23" s="1387"/>
      <c r="B23" s="1387"/>
      <c r="C23" s="1387"/>
      <c r="D23" s="1387"/>
      <c r="E23" s="1387"/>
      <c r="F23" s="1387"/>
      <c r="G23" s="1387"/>
      <c r="H23" s="1387"/>
      <c r="I23" s="1387"/>
      <c r="J23" s="1387"/>
      <c r="K23" s="1387"/>
    </row>
    <row r="24" spans="1:11" x14ac:dyDescent="0.2">
      <c r="A24" s="1387" t="s">
        <v>183</v>
      </c>
      <c r="B24" s="1387"/>
      <c r="C24" s="1387"/>
      <c r="D24" s="1387"/>
      <c r="E24" s="1387"/>
      <c r="F24" s="1387"/>
      <c r="G24" s="1387"/>
      <c r="H24" s="1387"/>
      <c r="I24" s="1387"/>
      <c r="J24" s="1387"/>
      <c r="K24" s="1387"/>
    </row>
    <row r="25" spans="1:11" x14ac:dyDescent="0.2">
      <c r="A25" s="1387"/>
      <c r="B25" s="1387"/>
      <c r="C25" s="1387"/>
      <c r="D25" s="1387"/>
      <c r="E25" s="1387"/>
      <c r="F25" s="1387"/>
      <c r="G25" s="1387"/>
      <c r="H25" s="1387"/>
      <c r="I25" s="1387"/>
      <c r="J25" s="1387"/>
      <c r="K25" s="1387"/>
    </row>
    <row r="26" spans="1:11" ht="24.75" customHeight="1" x14ac:dyDescent="0.2">
      <c r="A26" s="1387"/>
      <c r="B26" s="1387"/>
      <c r="C26" s="1387"/>
      <c r="D26" s="1387"/>
      <c r="E26" s="1387"/>
      <c r="F26" s="1387"/>
      <c r="G26" s="1387"/>
      <c r="H26" s="1387"/>
      <c r="I26" s="1387"/>
      <c r="J26" s="1387"/>
      <c r="K26" s="1387"/>
    </row>
    <row r="27" spans="1:11" ht="9.75" customHeight="1" x14ac:dyDescent="0.2"/>
    <row r="28" spans="1:11" x14ac:dyDescent="0.2">
      <c r="A28" s="1387" t="s">
        <v>655</v>
      </c>
      <c r="B28" s="1387"/>
      <c r="C28" s="1387"/>
      <c r="D28" s="1387"/>
      <c r="E28" s="1387"/>
      <c r="F28" s="1387"/>
      <c r="G28" s="1387"/>
      <c r="H28" s="1387"/>
      <c r="I28" s="1387"/>
      <c r="J28" s="1387"/>
      <c r="K28" s="1387"/>
    </row>
    <row r="29" spans="1:11" x14ac:dyDescent="0.2">
      <c r="A29" s="1387"/>
      <c r="B29" s="1387"/>
      <c r="C29" s="1387"/>
      <c r="D29" s="1387"/>
      <c r="E29" s="1387"/>
      <c r="F29" s="1387"/>
      <c r="G29" s="1387"/>
      <c r="H29" s="1387"/>
      <c r="I29" s="1387"/>
      <c r="J29" s="1387"/>
      <c r="K29" s="1387"/>
    </row>
    <row r="30" spans="1:11" x14ac:dyDescent="0.2">
      <c r="A30" s="1387"/>
      <c r="B30" s="1387"/>
      <c r="C30" s="1387"/>
      <c r="D30" s="1387"/>
      <c r="E30" s="1387"/>
      <c r="F30" s="1387"/>
      <c r="G30" s="1387"/>
      <c r="H30" s="1387"/>
      <c r="I30" s="1387"/>
      <c r="J30" s="1387"/>
      <c r="K30" s="1387"/>
    </row>
    <row r="31" spans="1:11" x14ac:dyDescent="0.2">
      <c r="A31" s="1387"/>
      <c r="B31" s="1387"/>
      <c r="C31" s="1387"/>
      <c r="D31" s="1387"/>
      <c r="E31" s="1387"/>
      <c r="F31" s="1387"/>
      <c r="G31" s="1387"/>
      <c r="H31" s="1387"/>
      <c r="I31" s="1387"/>
      <c r="J31" s="1387"/>
      <c r="K31" s="1387"/>
    </row>
    <row r="32" spans="1:11" x14ac:dyDescent="0.2">
      <c r="A32" s="1387"/>
      <c r="B32" s="1387"/>
      <c r="C32" s="1387"/>
      <c r="D32" s="1387"/>
      <c r="E32" s="1387"/>
      <c r="F32" s="1387"/>
      <c r="G32" s="1387"/>
      <c r="H32" s="1387"/>
      <c r="I32" s="1387"/>
      <c r="J32" s="1387"/>
      <c r="K32" s="1387"/>
    </row>
    <row r="33" spans="1:11" x14ac:dyDescent="0.2">
      <c r="A33" s="1387"/>
      <c r="B33" s="1387"/>
      <c r="C33" s="1387"/>
      <c r="D33" s="1387"/>
      <c r="E33" s="1387"/>
      <c r="F33" s="1387"/>
      <c r="G33" s="1387"/>
      <c r="H33" s="1387"/>
      <c r="I33" s="1387"/>
      <c r="J33" s="1387"/>
      <c r="K33" s="1387"/>
    </row>
    <row r="34" spans="1:11" ht="9.75" customHeight="1" x14ac:dyDescent="0.2"/>
    <row r="35" spans="1:11" x14ac:dyDescent="0.2">
      <c r="A35" s="1387" t="s">
        <v>121</v>
      </c>
      <c r="B35" s="1387"/>
      <c r="C35" s="1387"/>
      <c r="D35" s="1387"/>
      <c r="E35" s="1387"/>
      <c r="F35" s="1387"/>
      <c r="G35" s="1387"/>
      <c r="H35" s="1387"/>
      <c r="I35" s="1387"/>
      <c r="J35" s="1387"/>
      <c r="K35" s="1387"/>
    </row>
    <row r="36" spans="1:11" x14ac:dyDescent="0.2">
      <c r="A36" s="1387"/>
      <c r="B36" s="1387"/>
      <c r="C36" s="1387"/>
      <c r="D36" s="1387"/>
      <c r="E36" s="1387"/>
      <c r="F36" s="1387"/>
      <c r="G36" s="1387"/>
      <c r="H36" s="1387"/>
      <c r="I36" s="1387"/>
      <c r="J36" s="1387"/>
      <c r="K36" s="1387"/>
    </row>
    <row r="37" spans="1:11" x14ac:dyDescent="0.2">
      <c r="A37" s="1387"/>
      <c r="B37" s="1387"/>
      <c r="C37" s="1387"/>
      <c r="D37" s="1387"/>
      <c r="E37" s="1387"/>
      <c r="F37" s="1387"/>
      <c r="G37" s="1387"/>
      <c r="H37" s="1387"/>
      <c r="I37" s="1387"/>
      <c r="J37" s="1387"/>
      <c r="K37" s="1387"/>
    </row>
    <row r="38" spans="1:11" ht="9.75" customHeight="1" x14ac:dyDescent="0.2"/>
    <row r="39" spans="1:11" x14ac:dyDescent="0.2">
      <c r="A39" s="1387" t="s">
        <v>552</v>
      </c>
      <c r="B39" s="1387"/>
      <c r="C39" s="1387"/>
      <c r="D39" s="1387"/>
      <c r="E39" s="1387"/>
      <c r="F39" s="1387"/>
      <c r="G39" s="1387"/>
      <c r="H39" s="1387"/>
      <c r="I39" s="1387"/>
      <c r="J39" s="1387"/>
      <c r="K39" s="1387"/>
    </row>
    <row r="40" spans="1:11" ht="36.75" customHeight="1" x14ac:dyDescent="0.2">
      <c r="A40" s="1387"/>
      <c r="B40" s="1387"/>
      <c r="C40" s="1387"/>
      <c r="D40" s="1387"/>
      <c r="E40" s="1387"/>
      <c r="F40" s="1387"/>
      <c r="G40" s="1387"/>
      <c r="H40" s="1387"/>
      <c r="I40" s="1387"/>
      <c r="J40" s="1387"/>
      <c r="K40" s="1387"/>
    </row>
    <row r="41" spans="1:11" ht="18.75" customHeight="1" x14ac:dyDescent="0.2"/>
    <row r="42" spans="1:11" x14ac:dyDescent="0.2">
      <c r="A42" s="4" t="s">
        <v>122</v>
      </c>
    </row>
    <row r="43" spans="1:11" ht="8.25" customHeight="1" x14ac:dyDescent="0.2">
      <c r="A43" s="4"/>
    </row>
    <row r="44" spans="1:11" ht="12.75" customHeight="1" x14ac:dyDescent="0.2">
      <c r="A44" s="1387" t="s">
        <v>294</v>
      </c>
      <c r="B44" s="1387"/>
      <c r="C44" s="1387"/>
      <c r="D44" s="1387"/>
      <c r="E44" s="1387"/>
      <c r="F44" s="1387"/>
      <c r="G44" s="1387"/>
      <c r="H44" s="1387"/>
      <c r="I44" s="1387"/>
      <c r="J44" s="1387"/>
      <c r="K44" s="1387"/>
    </row>
    <row r="45" spans="1:11" x14ac:dyDescent="0.2">
      <c r="A45" s="1387"/>
      <c r="B45" s="1387"/>
      <c r="C45" s="1387"/>
      <c r="D45" s="1387"/>
      <c r="E45" s="1387"/>
      <c r="F45" s="1387"/>
      <c r="G45" s="1387"/>
      <c r="H45" s="1387"/>
      <c r="I45" s="1387"/>
      <c r="J45" s="1387"/>
      <c r="K45" s="1387"/>
    </row>
    <row r="46" spans="1:11" x14ac:dyDescent="0.2">
      <c r="A46" s="1387"/>
      <c r="B46" s="1387"/>
      <c r="C46" s="1387"/>
      <c r="D46" s="1387"/>
      <c r="E46" s="1387"/>
      <c r="F46" s="1387"/>
      <c r="G46" s="1387"/>
      <c r="H46" s="1387"/>
      <c r="I46" s="1387"/>
      <c r="J46" s="1387"/>
      <c r="K46" s="1387"/>
    </row>
    <row r="47" spans="1:11" x14ac:dyDescent="0.2">
      <c r="A47" s="1387"/>
      <c r="B47" s="1387"/>
      <c r="C47" s="1387"/>
      <c r="D47" s="1387"/>
      <c r="E47" s="1387"/>
      <c r="F47" s="1387"/>
      <c r="G47" s="1387"/>
      <c r="H47" s="1387"/>
      <c r="I47" s="1387"/>
      <c r="J47" s="1387"/>
      <c r="K47" s="1387"/>
    </row>
    <row r="48" spans="1:11" ht="26.25" customHeight="1" x14ac:dyDescent="0.2">
      <c r="A48" s="1387"/>
      <c r="B48" s="1387"/>
      <c r="C48" s="1387"/>
      <c r="D48" s="1387"/>
      <c r="E48" s="1387"/>
      <c r="F48" s="1387"/>
      <c r="G48" s="1387"/>
      <c r="H48" s="1387"/>
      <c r="I48" s="1387"/>
      <c r="J48" s="1387"/>
      <c r="K48" s="1387"/>
    </row>
    <row r="49" spans="1:11" ht="36.75" customHeight="1" x14ac:dyDescent="0.2">
      <c r="A49" s="1387"/>
      <c r="B49" s="1387"/>
      <c r="C49" s="1387"/>
      <c r="D49" s="1387"/>
      <c r="E49" s="1387"/>
      <c r="F49" s="1387"/>
      <c r="G49" s="1387"/>
      <c r="H49" s="1387"/>
      <c r="I49" s="1387"/>
      <c r="J49" s="1387"/>
      <c r="K49" s="1387"/>
    </row>
    <row r="50" spans="1:11" ht="9.75" customHeight="1" x14ac:dyDescent="0.2">
      <c r="A50" s="34"/>
      <c r="B50" s="34"/>
      <c r="C50" s="34"/>
      <c r="D50" s="34"/>
      <c r="E50" s="34"/>
      <c r="F50" s="34"/>
      <c r="G50" s="34"/>
      <c r="H50" s="34"/>
      <c r="I50" s="34"/>
      <c r="J50" s="34"/>
      <c r="K50" s="34"/>
    </row>
    <row r="51" spans="1:11" x14ac:dyDescent="0.2">
      <c r="A51" s="1387" t="s">
        <v>236</v>
      </c>
      <c r="B51" s="1387"/>
      <c r="C51" s="1387"/>
      <c r="D51" s="1387"/>
      <c r="E51" s="1387"/>
      <c r="F51" s="1387"/>
      <c r="G51" s="1387"/>
      <c r="H51" s="1387"/>
      <c r="I51" s="1387"/>
      <c r="J51" s="1387"/>
      <c r="K51" s="1387"/>
    </row>
    <row r="52" spans="1:11" x14ac:dyDescent="0.2">
      <c r="A52" s="1387"/>
      <c r="B52" s="1387"/>
      <c r="C52" s="1387"/>
      <c r="D52" s="1387"/>
      <c r="E52" s="1387"/>
      <c r="F52" s="1387"/>
      <c r="G52" s="1387"/>
      <c r="H52" s="1387"/>
      <c r="I52" s="1387"/>
      <c r="J52" s="1387"/>
      <c r="K52" s="1387"/>
    </row>
    <row r="53" spans="1:11" x14ac:dyDescent="0.2">
      <c r="A53" s="1387"/>
      <c r="B53" s="1387"/>
      <c r="C53" s="1387"/>
      <c r="D53" s="1387"/>
      <c r="E53" s="1387"/>
      <c r="F53" s="1387"/>
      <c r="G53" s="1387"/>
      <c r="H53" s="1387"/>
      <c r="I53" s="1387"/>
      <c r="J53" s="1387"/>
      <c r="K53" s="1387"/>
    </row>
    <row r="54" spans="1:11" ht="23.25" customHeight="1" x14ac:dyDescent="0.2">
      <c r="A54" s="1387"/>
      <c r="B54" s="1387"/>
      <c r="C54" s="1387"/>
      <c r="D54" s="1387"/>
      <c r="E54" s="1387"/>
      <c r="F54" s="1387"/>
      <c r="G54" s="1387"/>
      <c r="H54" s="1387"/>
      <c r="I54" s="1387"/>
      <c r="J54" s="1387"/>
      <c r="K54" s="1387"/>
    </row>
    <row r="55" spans="1:11" ht="15.75" customHeight="1" x14ac:dyDescent="0.2">
      <c r="A55" s="1387"/>
      <c r="B55" s="1387"/>
      <c r="C55" s="1387"/>
      <c r="D55" s="1387"/>
      <c r="E55" s="1387"/>
      <c r="F55" s="1387"/>
      <c r="G55" s="1387"/>
      <c r="H55" s="1387"/>
      <c r="I55" s="1387"/>
      <c r="J55" s="1387"/>
      <c r="K55" s="1387"/>
    </row>
    <row r="56" spans="1:11" x14ac:dyDescent="0.2">
      <c r="A56" s="34"/>
      <c r="B56" s="34"/>
      <c r="C56" s="34"/>
      <c r="D56" s="34"/>
      <c r="E56" s="34"/>
      <c r="F56" s="34"/>
      <c r="G56" s="34"/>
      <c r="H56" s="34"/>
      <c r="I56" s="34"/>
      <c r="J56" s="34"/>
      <c r="K56" s="34"/>
    </row>
    <row r="57" spans="1:11" x14ac:dyDescent="0.2">
      <c r="A57" s="396" t="s">
        <v>527</v>
      </c>
      <c r="B57" s="34"/>
      <c r="C57" s="34"/>
      <c r="D57" s="34"/>
      <c r="E57" s="34"/>
      <c r="F57" s="34"/>
      <c r="G57" s="34"/>
      <c r="H57" s="34"/>
      <c r="I57" s="34"/>
      <c r="J57" s="34"/>
      <c r="K57" s="34"/>
    </row>
    <row r="58" spans="1:11" ht="10.5" customHeight="1" x14ac:dyDescent="0.2">
      <c r="A58" s="34"/>
      <c r="B58" s="34"/>
      <c r="C58" s="34"/>
      <c r="D58" s="34"/>
      <c r="E58" s="34"/>
      <c r="F58" s="34"/>
      <c r="G58" s="34"/>
      <c r="H58" s="34"/>
      <c r="I58" s="34"/>
      <c r="J58" s="34"/>
      <c r="K58" s="34"/>
    </row>
    <row r="59" spans="1:11" ht="12.75" customHeight="1" x14ac:dyDescent="0.2">
      <c r="A59" s="1401" t="s">
        <v>1166</v>
      </c>
      <c r="B59" s="1402"/>
      <c r="C59" s="1402"/>
      <c r="D59" s="1402"/>
      <c r="E59" s="1402"/>
      <c r="F59" s="1402"/>
      <c r="G59" s="1402"/>
      <c r="H59" s="1402"/>
      <c r="I59" s="1402"/>
      <c r="J59" s="1402"/>
      <c r="K59" s="1402"/>
    </row>
    <row r="60" spans="1:11" x14ac:dyDescent="0.2">
      <c r="A60" s="1402"/>
      <c r="B60" s="1402"/>
      <c r="C60" s="1402"/>
      <c r="D60" s="1402"/>
      <c r="E60" s="1402"/>
      <c r="F60" s="1402"/>
      <c r="G60" s="1402"/>
      <c r="H60" s="1402"/>
      <c r="I60" s="1402"/>
      <c r="J60" s="1402"/>
      <c r="K60" s="1402"/>
    </row>
    <row r="61" spans="1:11" x14ac:dyDescent="0.2">
      <c r="A61" s="1402"/>
      <c r="B61" s="1402"/>
      <c r="C61" s="1402"/>
      <c r="D61" s="1402"/>
      <c r="E61" s="1402"/>
      <c r="F61" s="1402"/>
      <c r="G61" s="1402"/>
      <c r="H61" s="1402"/>
      <c r="I61" s="1402"/>
      <c r="J61" s="1402"/>
      <c r="K61" s="1402"/>
    </row>
    <row r="62" spans="1:11" x14ac:dyDescent="0.2">
      <c r="A62" s="1402"/>
      <c r="B62" s="1402"/>
      <c r="C62" s="1402"/>
      <c r="D62" s="1402"/>
      <c r="E62" s="1402"/>
      <c r="F62" s="1402"/>
      <c r="G62" s="1402"/>
      <c r="H62" s="1402"/>
      <c r="I62" s="1402"/>
      <c r="J62" s="1402"/>
      <c r="K62" s="1402"/>
    </row>
    <row r="63" spans="1:11" ht="9" customHeight="1" x14ac:dyDescent="0.2">
      <c r="A63" s="1402"/>
      <c r="B63" s="1402"/>
      <c r="C63" s="1402"/>
      <c r="D63" s="1402"/>
      <c r="E63" s="1402"/>
      <c r="F63" s="1402"/>
      <c r="G63" s="1402"/>
      <c r="H63" s="1402"/>
      <c r="I63" s="1402"/>
      <c r="J63" s="1402"/>
      <c r="K63" s="1402"/>
    </row>
    <row r="64" spans="1:11" x14ac:dyDescent="0.2">
      <c r="A64" s="1402"/>
      <c r="B64" s="1402"/>
      <c r="C64" s="1402"/>
      <c r="D64" s="1402"/>
      <c r="E64" s="1402"/>
      <c r="F64" s="1402"/>
      <c r="G64" s="1402"/>
      <c r="H64" s="1402"/>
      <c r="I64" s="1402"/>
      <c r="J64" s="1402"/>
      <c r="K64" s="1402"/>
    </row>
    <row r="65" spans="1:11" ht="12.75" customHeight="1" x14ac:dyDescent="0.2">
      <c r="A65" s="34"/>
      <c r="B65" s="34"/>
      <c r="C65" s="34"/>
      <c r="D65" s="34"/>
      <c r="E65" s="34"/>
      <c r="F65" s="34"/>
      <c r="G65" s="34"/>
      <c r="H65" s="34"/>
      <c r="I65" s="34"/>
      <c r="J65" s="34"/>
      <c r="K65" s="34"/>
    </row>
    <row r="66" spans="1:11" x14ac:dyDescent="0.2">
      <c r="A66" s="4" t="s">
        <v>905</v>
      </c>
    </row>
    <row r="67" spans="1:11" ht="3.75" customHeight="1" x14ac:dyDescent="0.2"/>
    <row r="68" spans="1:11" ht="12.75" customHeight="1" x14ac:dyDescent="0.2">
      <c r="A68" s="1387" t="s">
        <v>942</v>
      </c>
      <c r="B68" s="1387"/>
      <c r="C68" s="1387"/>
      <c r="D68" s="1387"/>
      <c r="E68" s="1387"/>
      <c r="F68" s="1387"/>
      <c r="G68" s="1387"/>
      <c r="H68" s="1387"/>
      <c r="I68" s="1387"/>
      <c r="J68" s="1387"/>
      <c r="K68" s="1387"/>
    </row>
    <row r="69" spans="1:11" ht="12.75" customHeight="1" x14ac:dyDescent="0.2">
      <c r="A69" s="1387"/>
      <c r="B69" s="1387"/>
      <c r="C69" s="1387"/>
      <c r="D69" s="1387"/>
      <c r="E69" s="1387"/>
      <c r="F69" s="1387"/>
      <c r="G69" s="1387"/>
      <c r="H69" s="1387"/>
      <c r="I69" s="1387"/>
      <c r="J69" s="1387"/>
      <c r="K69" s="1387"/>
    </row>
    <row r="70" spans="1:11" ht="2.25" customHeight="1" x14ac:dyDescent="0.2"/>
    <row r="71" spans="1:11" ht="12.75" customHeight="1" x14ac:dyDescent="0.2">
      <c r="B71" s="4" t="s">
        <v>392</v>
      </c>
    </row>
    <row r="72" spans="1:11" ht="12.75" customHeight="1" x14ac:dyDescent="0.2">
      <c r="A72" s="1392"/>
      <c r="B72" s="1389" t="s">
        <v>293</v>
      </c>
      <c r="C72" s="1389"/>
      <c r="D72" s="1389"/>
      <c r="E72" s="1389"/>
      <c r="F72" s="1389"/>
      <c r="G72" s="1389"/>
      <c r="H72" s="1389"/>
      <c r="I72" s="1389"/>
      <c r="J72" s="1389"/>
      <c r="K72" s="1389"/>
    </row>
    <row r="73" spans="1:11" ht="26.25" customHeight="1" x14ac:dyDescent="0.2">
      <c r="A73" s="1392"/>
      <c r="B73" s="1389"/>
      <c r="C73" s="1389"/>
      <c r="D73" s="1389"/>
      <c r="E73" s="1389"/>
      <c r="F73" s="1389"/>
      <c r="G73" s="1389"/>
      <c r="H73" s="1389"/>
      <c r="I73" s="1389"/>
      <c r="J73" s="1389"/>
      <c r="K73" s="1389"/>
    </row>
    <row r="74" spans="1:11" x14ac:dyDescent="0.2">
      <c r="A74" s="38" t="s">
        <v>547</v>
      </c>
      <c r="B74" s="1389" t="s">
        <v>497</v>
      </c>
      <c r="C74" s="1389"/>
      <c r="D74" s="1389"/>
      <c r="E74" s="1389"/>
      <c r="F74" s="1389"/>
      <c r="G74" s="1389"/>
      <c r="H74" s="1389"/>
      <c r="I74" s="1389"/>
      <c r="J74" s="1389"/>
      <c r="K74" s="1389"/>
    </row>
    <row r="75" spans="1:11" ht="37.5" customHeight="1" x14ac:dyDescent="0.2">
      <c r="A75" s="38"/>
      <c r="B75" s="1389"/>
      <c r="C75" s="1389"/>
      <c r="D75" s="1389"/>
      <c r="E75" s="1389"/>
      <c r="F75" s="1389"/>
      <c r="G75" s="1389"/>
      <c r="H75" s="1389"/>
      <c r="I75" s="1389"/>
      <c r="J75" s="1389"/>
      <c r="K75" s="1389"/>
    </row>
    <row r="76" spans="1:11" x14ac:dyDescent="0.2">
      <c r="A76" s="38" t="s">
        <v>548</v>
      </c>
      <c r="B76" s="4" t="s">
        <v>393</v>
      </c>
    </row>
    <row r="77" spans="1:11" x14ac:dyDescent="0.2">
      <c r="A77" s="38" t="s">
        <v>816</v>
      </c>
      <c r="B77" s="4" t="s">
        <v>394</v>
      </c>
    </row>
    <row r="78" spans="1:11" x14ac:dyDescent="0.2">
      <c r="A78" s="38" t="s">
        <v>822</v>
      </c>
      <c r="B78" s="1390" t="s">
        <v>395</v>
      </c>
      <c r="C78" s="1390"/>
      <c r="D78" s="1390"/>
      <c r="E78" s="1390"/>
      <c r="F78" s="1390"/>
      <c r="G78" s="1390"/>
      <c r="H78" s="1390"/>
      <c r="I78" s="1390"/>
      <c r="J78" s="1390"/>
      <c r="K78" s="1390"/>
    </row>
    <row r="79" spans="1:11" x14ac:dyDescent="0.2">
      <c r="A79" s="38" t="s">
        <v>838</v>
      </c>
      <c r="B79" s="1389" t="s">
        <v>348</v>
      </c>
      <c r="C79" s="1389"/>
      <c r="D79" s="1389"/>
      <c r="E79" s="1389"/>
      <c r="F79" s="1389"/>
      <c r="G79" s="1389"/>
      <c r="H79" s="1389"/>
      <c r="I79" s="1389"/>
      <c r="J79" s="1389"/>
      <c r="K79" s="1389"/>
    </row>
    <row r="80" spans="1:11" x14ac:dyDescent="0.2">
      <c r="A80" s="38"/>
      <c r="B80" s="1389"/>
      <c r="C80" s="1389"/>
      <c r="D80" s="1389"/>
      <c r="E80" s="1389"/>
      <c r="F80" s="1389"/>
      <c r="G80" s="1389"/>
      <c r="H80" s="1389"/>
      <c r="I80" s="1389"/>
      <c r="J80" s="1389"/>
      <c r="K80" s="1389"/>
    </row>
    <row r="81" spans="1:11" x14ac:dyDescent="0.2">
      <c r="A81" s="38" t="s">
        <v>729</v>
      </c>
      <c r="B81" s="1389" t="s">
        <v>349</v>
      </c>
      <c r="C81" s="1389"/>
      <c r="D81" s="1389"/>
      <c r="E81" s="1389"/>
      <c r="F81" s="1389"/>
      <c r="G81" s="1389"/>
      <c r="H81" s="1389"/>
      <c r="I81" s="1389"/>
      <c r="J81" s="1389"/>
      <c r="K81" s="1389"/>
    </row>
    <row r="82" spans="1:11" x14ac:dyDescent="0.2">
      <c r="A82" s="38"/>
      <c r="B82" s="1389"/>
      <c r="C82" s="1389"/>
      <c r="D82" s="1389"/>
      <c r="E82" s="1389"/>
      <c r="F82" s="1389"/>
      <c r="G82" s="1389"/>
      <c r="H82" s="1389"/>
      <c r="I82" s="1389"/>
      <c r="J82" s="1389"/>
      <c r="K82" s="1389"/>
    </row>
    <row r="83" spans="1:11" x14ac:dyDescent="0.2">
      <c r="A83" s="38" t="s">
        <v>730</v>
      </c>
      <c r="B83" s="4" t="s">
        <v>350</v>
      </c>
    </row>
    <row r="84" spans="1:11" x14ac:dyDescent="0.2">
      <c r="A84" s="38" t="s">
        <v>800</v>
      </c>
      <c r="B84" s="4" t="s">
        <v>351</v>
      </c>
    </row>
    <row r="85" spans="1:11" x14ac:dyDescent="0.2">
      <c r="A85" s="38" t="s">
        <v>1014</v>
      </c>
      <c r="B85" s="1389" t="s">
        <v>352</v>
      </c>
      <c r="C85" s="1389"/>
      <c r="D85" s="1389"/>
      <c r="E85" s="1389"/>
      <c r="F85" s="1389"/>
      <c r="G85" s="1389"/>
      <c r="H85" s="1389"/>
      <c r="I85" s="1389"/>
      <c r="J85" s="1389"/>
      <c r="K85" s="1389"/>
    </row>
    <row r="86" spans="1:11" x14ac:dyDescent="0.2">
      <c r="A86" s="38"/>
      <c r="B86" s="1389"/>
      <c r="C86" s="1389"/>
      <c r="D86" s="1389"/>
      <c r="E86" s="1389"/>
      <c r="F86" s="1389"/>
      <c r="G86" s="1389"/>
      <c r="H86" s="1389"/>
      <c r="I86" s="1389"/>
      <c r="J86" s="1389"/>
      <c r="K86" s="1389"/>
    </row>
    <row r="87" spans="1:11" x14ac:dyDescent="0.2">
      <c r="A87" s="38" t="s">
        <v>801</v>
      </c>
      <c r="B87" s="1389" t="s">
        <v>4083</v>
      </c>
      <c r="C87" s="1389"/>
      <c r="D87" s="1389"/>
      <c r="E87" s="1389"/>
      <c r="F87" s="1389"/>
      <c r="G87" s="1389"/>
      <c r="H87" s="1389"/>
      <c r="I87" s="1389"/>
      <c r="J87" s="1389"/>
      <c r="K87" s="1389"/>
    </row>
    <row r="88" spans="1:11" x14ac:dyDescent="0.2">
      <c r="A88" s="38"/>
      <c r="B88" s="1389"/>
      <c r="C88" s="1389"/>
      <c r="D88" s="1389"/>
      <c r="E88" s="1389"/>
      <c r="F88" s="1389"/>
      <c r="G88" s="1389"/>
      <c r="H88" s="1389"/>
      <c r="I88" s="1389"/>
      <c r="J88" s="1389"/>
      <c r="K88" s="1389"/>
    </row>
    <row r="89" spans="1:11" x14ac:dyDescent="0.2">
      <c r="A89" s="38" t="s">
        <v>504</v>
      </c>
      <c r="B89" s="1389" t="s">
        <v>84</v>
      </c>
      <c r="C89" s="1389"/>
      <c r="D89" s="1389"/>
      <c r="E89" s="1389"/>
      <c r="F89" s="1389"/>
      <c r="G89" s="1389"/>
      <c r="H89" s="1389"/>
      <c r="I89" s="1389"/>
      <c r="J89" s="1389"/>
      <c r="K89" s="1389"/>
    </row>
    <row r="90" spans="1:11" ht="25.5" customHeight="1" x14ac:dyDescent="0.2">
      <c r="A90" s="38"/>
      <c r="B90" s="1389"/>
      <c r="C90" s="1389"/>
      <c r="D90" s="1389"/>
      <c r="E90" s="1389"/>
      <c r="F90" s="1389"/>
      <c r="G90" s="1389"/>
      <c r="H90" s="1389"/>
      <c r="I90" s="1389"/>
      <c r="J90" s="1389"/>
      <c r="K90" s="1389"/>
    </row>
    <row r="91" spans="1:11" x14ac:dyDescent="0.2">
      <c r="A91" s="38" t="s">
        <v>505</v>
      </c>
      <c r="B91" s="1389" t="s">
        <v>526</v>
      </c>
      <c r="C91" s="1389"/>
      <c r="D91" s="1389"/>
      <c r="E91" s="1389"/>
      <c r="F91" s="1389"/>
      <c r="G91" s="1389"/>
      <c r="H91" s="1389"/>
      <c r="I91" s="1389"/>
      <c r="J91" s="1389"/>
      <c r="K91" s="1389"/>
    </row>
    <row r="92" spans="1:11" ht="24.75" customHeight="1" x14ac:dyDescent="0.2">
      <c r="A92" s="38"/>
      <c r="B92" s="1389"/>
      <c r="C92" s="1389"/>
      <c r="D92" s="1389"/>
      <c r="E92" s="1389"/>
      <c r="F92" s="1389"/>
      <c r="G92" s="1389"/>
      <c r="H92" s="1389"/>
      <c r="I92" s="1389"/>
      <c r="J92" s="1389"/>
      <c r="K92" s="1389"/>
    </row>
    <row r="93" spans="1:11" x14ac:dyDescent="0.2">
      <c r="A93" s="38" t="s">
        <v>506</v>
      </c>
      <c r="B93" s="1391" t="s">
        <v>1118</v>
      </c>
      <c r="C93" s="1391"/>
      <c r="D93" s="1391"/>
      <c r="E93" s="1391"/>
      <c r="F93" s="1391"/>
      <c r="G93" s="1391"/>
      <c r="H93" s="1391"/>
      <c r="I93" s="1391"/>
      <c r="J93" s="1391"/>
      <c r="K93" s="1391"/>
    </row>
    <row r="94" spans="1:11" x14ac:dyDescent="0.2">
      <c r="A94" s="45"/>
      <c r="B94" s="1391"/>
      <c r="C94" s="1391"/>
      <c r="D94" s="1391"/>
      <c r="E94" s="1391"/>
      <c r="F94" s="1391"/>
      <c r="G94" s="1391"/>
      <c r="H94" s="1391"/>
      <c r="I94" s="1391"/>
      <c r="J94" s="1391"/>
      <c r="K94" s="1391"/>
    </row>
    <row r="95" spans="1:11" ht="4.5" customHeight="1" x14ac:dyDescent="0.2">
      <c r="A95" s="4"/>
    </row>
    <row r="96" spans="1:11" ht="12.75" customHeight="1" x14ac:dyDescent="0.2">
      <c r="A96" s="4"/>
      <c r="B96" s="1388" t="s">
        <v>695</v>
      </c>
      <c r="C96" s="1388"/>
      <c r="D96" s="1388"/>
      <c r="E96" s="1388"/>
      <c r="F96" s="1388"/>
      <c r="G96" s="1388"/>
      <c r="H96" s="1388"/>
      <c r="I96" s="1388"/>
      <c r="J96" s="1388"/>
      <c r="K96" s="1388"/>
    </row>
    <row r="97" spans="1:11" x14ac:dyDescent="0.2">
      <c r="A97" s="4"/>
      <c r="B97" s="1388"/>
      <c r="C97" s="1388"/>
      <c r="D97" s="1388"/>
      <c r="E97" s="1388"/>
      <c r="F97" s="1388"/>
      <c r="G97" s="1388"/>
      <c r="H97" s="1388"/>
      <c r="I97" s="1388"/>
      <c r="J97" s="1388"/>
      <c r="K97" s="1388"/>
    </row>
    <row r="98" spans="1:11" ht="10.5" customHeight="1" x14ac:dyDescent="0.2">
      <c r="A98" s="4"/>
    </row>
    <row r="99" spans="1:11" x14ac:dyDescent="0.2">
      <c r="A99" s="4" t="s">
        <v>65</v>
      </c>
    </row>
    <row r="112" spans="1:11" x14ac:dyDescent="0.2">
      <c r="A112" s="4" t="s">
        <v>70</v>
      </c>
    </row>
    <row r="113" spans="1:12" x14ac:dyDescent="0.2">
      <c r="A113" s="1387" t="s">
        <v>657</v>
      </c>
      <c r="B113" s="1387"/>
      <c r="C113" s="1387"/>
      <c r="D113" s="1387"/>
      <c r="E113" s="1387"/>
      <c r="F113" s="1387"/>
      <c r="G113" s="1387"/>
      <c r="H113" s="1387"/>
      <c r="I113" s="1387"/>
      <c r="J113" s="1387"/>
      <c r="K113" s="1387"/>
      <c r="L113" s="1387"/>
    </row>
    <row r="114" spans="1:12" x14ac:dyDescent="0.2">
      <c r="A114" s="1387"/>
      <c r="B114" s="1387"/>
      <c r="C114" s="1387"/>
      <c r="D114" s="1387"/>
      <c r="E114" s="1387"/>
      <c r="F114" s="1387"/>
      <c r="G114" s="1387"/>
      <c r="H114" s="1387"/>
      <c r="I114" s="1387"/>
      <c r="J114" s="1387"/>
      <c r="K114" s="1387"/>
      <c r="L114" s="1387"/>
    </row>
    <row r="115" spans="1:12" x14ac:dyDescent="0.2">
      <c r="A115" s="1387"/>
      <c r="B115" s="1387"/>
      <c r="C115" s="1387"/>
      <c r="D115" s="1387"/>
      <c r="E115" s="1387"/>
      <c r="F115" s="1387"/>
      <c r="G115" s="1387"/>
      <c r="H115" s="1387"/>
      <c r="I115" s="1387"/>
      <c r="J115" s="1387"/>
      <c r="K115" s="1387"/>
      <c r="L115" s="1387"/>
    </row>
    <row r="116" spans="1:12" x14ac:dyDescent="0.2">
      <c r="A116" s="1387"/>
      <c r="B116" s="1387"/>
      <c r="C116" s="1387"/>
      <c r="D116" s="1387"/>
      <c r="E116" s="1387"/>
      <c r="F116" s="1387"/>
      <c r="G116" s="1387"/>
      <c r="H116" s="1387"/>
      <c r="I116" s="1387"/>
      <c r="J116" s="1387"/>
      <c r="K116" s="1387"/>
      <c r="L116" s="1387"/>
    </row>
    <row r="120" spans="1:12" x14ac:dyDescent="0.2">
      <c r="B120" s="777">
        <v>44048</v>
      </c>
    </row>
    <row r="122" spans="1:12" x14ac:dyDescent="0.2">
      <c r="C122" s="422"/>
    </row>
    <row r="123" spans="1:12" x14ac:dyDescent="0.2">
      <c r="C123" s="294"/>
    </row>
  </sheetData>
  <sheetProtection algorithmName="SHA-512" hashValue="oxCB06auR8oNPRBz9atWret+xKH3ssZE4ubv5v5PBlp1vXO6gxeLekVxijLD97n/rkz2VcfvRsFXsbcTgY/Wcg==" saltValue="MEsETo/pFpaeVRcQV9KMjg==" spinCount="100000" sheet="1" objects="1" scenarios="1"/>
  <mergeCells count="28">
    <mergeCell ref="A16:K18"/>
    <mergeCell ref="A2:K3"/>
    <mergeCell ref="B79:K80"/>
    <mergeCell ref="A24:K26"/>
    <mergeCell ref="A28:K33"/>
    <mergeCell ref="A5:K7"/>
    <mergeCell ref="A12:K14"/>
    <mergeCell ref="A59:K64"/>
    <mergeCell ref="B74:K75"/>
    <mergeCell ref="A68:K69"/>
    <mergeCell ref="A51:K55"/>
    <mergeCell ref="A9:K10"/>
    <mergeCell ref="A20:K22"/>
    <mergeCell ref="A23:K23"/>
    <mergeCell ref="A35:K37"/>
    <mergeCell ref="A39:K40"/>
    <mergeCell ref="A44:K49"/>
    <mergeCell ref="A113:L116"/>
    <mergeCell ref="B96:K97"/>
    <mergeCell ref="B89:K90"/>
    <mergeCell ref="B72:K73"/>
    <mergeCell ref="B85:K86"/>
    <mergeCell ref="B87:K88"/>
    <mergeCell ref="B78:K78"/>
    <mergeCell ref="B91:K92"/>
    <mergeCell ref="B93:K94"/>
    <mergeCell ref="A72:A73"/>
    <mergeCell ref="B81:K82"/>
  </mergeCells>
  <phoneticPr fontId="17" type="noConversion"/>
  <pageMargins left="0.61" right="0.39" top="0.65" bottom="0.65" header="0.5" footer="0.5"/>
  <pageSetup scale="90" orientation="portrait" r:id="rId1"/>
  <headerFooter alignWithMargins="0">
    <oddHeader>&amp;RInstructions</oddHeader>
    <oddFooter>&amp;L&amp;8&amp;F &amp;R&amp;P</oddFooter>
  </headerFooter>
  <rowBreaks count="1" manualBreakCount="1">
    <brk id="56" max="11" man="1"/>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133"/>
  <sheetViews>
    <sheetView topLeftCell="A116" zoomScaleNormal="100" workbookViewId="0">
      <selection activeCell="F140" sqref="F140"/>
    </sheetView>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28515625" bestFit="1" customWidth="1"/>
    <col min="8" max="8" width="1.42578125" style="1" customWidth="1"/>
    <col min="9" max="9" width="11.28515625" customWidth="1"/>
    <col min="10" max="10" width="11.85546875" bestFit="1" customWidth="1"/>
    <col min="11" max="11" width="11.140625" customWidth="1"/>
    <col min="12" max="12" width="11.42578125" bestFit="1" customWidth="1"/>
    <col min="13" max="13" width="1.7109375" customWidth="1"/>
    <col min="14" max="14" width="17.7109375" customWidth="1"/>
    <col min="15" max="15" width="10" bestFit="1" customWidth="1"/>
    <col min="16" max="16" width="1.7109375" customWidth="1"/>
    <col min="17" max="17" width="11.28515625" customWidth="1"/>
    <col min="18" max="19" width="11.42578125" customWidth="1"/>
  </cols>
  <sheetData>
    <row r="1" spans="1:16" ht="7.5" customHeight="1" x14ac:dyDescent="0.2"/>
    <row r="2" spans="1:16" ht="33.75" customHeight="1" x14ac:dyDescent="0.25">
      <c r="A2" s="1465" t="s">
        <v>880</v>
      </c>
      <c r="B2" s="1466"/>
      <c r="C2" s="1466"/>
      <c r="D2" s="1466"/>
      <c r="E2" s="1466"/>
      <c r="F2" s="1466"/>
      <c r="G2" s="1466"/>
      <c r="H2" s="1466"/>
      <c r="I2" s="1466"/>
      <c r="J2" s="1466"/>
      <c r="K2" s="1466"/>
      <c r="L2" s="1466"/>
      <c r="M2" s="1466"/>
      <c r="N2" s="1466"/>
      <c r="O2" s="1466"/>
      <c r="P2" s="1467"/>
    </row>
    <row r="3" spans="1:16" ht="11.25" customHeight="1" x14ac:dyDescent="0.2"/>
    <row r="4" spans="1:16" ht="91.5" customHeight="1" x14ac:dyDescent="0.2">
      <c r="B4" s="1401" t="s">
        <v>1156</v>
      </c>
      <c r="C4" s="1402"/>
      <c r="D4" s="1402"/>
      <c r="E4" s="1402"/>
      <c r="F4" s="1402"/>
      <c r="G4" s="1402"/>
      <c r="H4" s="1402"/>
      <c r="I4" s="1402"/>
      <c r="J4" s="1402"/>
      <c r="K4" s="1402"/>
      <c r="L4" s="1402"/>
      <c r="M4" s="1402"/>
      <c r="N4" s="1402"/>
      <c r="O4" s="1402"/>
      <c r="P4" s="1402"/>
    </row>
    <row r="5" spans="1:16" ht="5.25" customHeight="1" x14ac:dyDescent="0.2"/>
    <row r="6" spans="1:16" ht="9" customHeight="1" x14ac:dyDescent="0.2"/>
    <row r="7" spans="1:16" ht="12.75" customHeight="1" x14ac:dyDescent="0.2">
      <c r="B7" s="39" t="s">
        <v>521</v>
      </c>
      <c r="C7" s="1387" t="s">
        <v>879</v>
      </c>
      <c r="D7" s="1387"/>
      <c r="E7" s="1387"/>
      <c r="F7" s="1387"/>
      <c r="G7" s="1387"/>
      <c r="H7" s="1387"/>
      <c r="I7" s="1387"/>
      <c r="J7" s="1387"/>
      <c r="K7" s="1387"/>
      <c r="L7" s="1387"/>
      <c r="M7" s="1387"/>
      <c r="N7" s="1387"/>
      <c r="O7" s="1387"/>
      <c r="P7" s="1387"/>
    </row>
    <row r="8" spans="1:16" ht="12.75" customHeight="1" x14ac:dyDescent="0.2">
      <c r="B8" s="39"/>
      <c r="C8" s="1387"/>
      <c r="D8" s="1387"/>
      <c r="E8" s="1387"/>
      <c r="F8" s="1387"/>
      <c r="G8" s="1387"/>
      <c r="H8" s="1387"/>
      <c r="I8" s="1387"/>
      <c r="J8" s="1387"/>
      <c r="K8" s="1387"/>
      <c r="L8" s="1387"/>
      <c r="M8" s="1387"/>
      <c r="N8" s="1387"/>
      <c r="O8" s="1387"/>
      <c r="P8" s="1387"/>
    </row>
    <row r="9" spans="1:16" ht="5.25" customHeight="1" x14ac:dyDescent="0.2">
      <c r="B9" s="39"/>
      <c r="C9" s="34"/>
      <c r="D9" s="34"/>
      <c r="E9" s="34"/>
      <c r="F9" s="34"/>
      <c r="G9" s="34"/>
      <c r="H9" s="34"/>
      <c r="I9" s="34"/>
      <c r="J9" s="34"/>
      <c r="K9" s="34"/>
      <c r="L9" s="34"/>
      <c r="M9" s="34"/>
      <c r="N9" s="34"/>
      <c r="O9" s="34"/>
      <c r="P9" s="34"/>
    </row>
    <row r="10" spans="1:16" ht="12.75" customHeight="1" x14ac:dyDescent="0.2">
      <c r="B10" s="39" t="s">
        <v>522</v>
      </c>
      <c r="C10" s="1387" t="s">
        <v>161</v>
      </c>
      <c r="D10" s="1387"/>
      <c r="E10" s="1387"/>
      <c r="F10" s="1387"/>
      <c r="G10" s="1387"/>
      <c r="H10" s="1387"/>
      <c r="I10" s="1387"/>
      <c r="J10" s="1387"/>
      <c r="K10" s="1387"/>
      <c r="L10" s="1387"/>
      <c r="M10" s="1387"/>
      <c r="N10" s="1387"/>
      <c r="O10" s="1387"/>
    </row>
    <row r="11" spans="1:16" ht="12.75" customHeight="1" x14ac:dyDescent="0.2">
      <c r="B11" s="39"/>
      <c r="C11" s="1387"/>
      <c r="D11" s="1387"/>
      <c r="E11" s="1387"/>
      <c r="F11" s="1387"/>
      <c r="G11" s="1387"/>
      <c r="H11" s="1387"/>
      <c r="I11" s="1387"/>
      <c r="J11" s="1387"/>
      <c r="K11" s="1387"/>
      <c r="L11" s="1387"/>
      <c r="M11" s="1387"/>
      <c r="N11" s="1387"/>
      <c r="O11" s="1387"/>
    </row>
    <row r="12" spans="1:16" ht="5.25" customHeight="1" x14ac:dyDescent="0.2">
      <c r="B12" s="39"/>
    </row>
    <row r="13" spans="1:16" ht="12.75" customHeight="1" x14ac:dyDescent="0.2">
      <c r="B13" s="39" t="s">
        <v>821</v>
      </c>
      <c r="C13" s="1468" t="s">
        <v>1139</v>
      </c>
      <c r="D13" s="1387"/>
      <c r="E13" s="1387"/>
      <c r="F13" s="1387"/>
      <c r="G13" s="1387"/>
      <c r="H13" s="1387"/>
      <c r="I13" s="1387"/>
      <c r="J13" s="1387"/>
      <c r="K13" s="1387"/>
      <c r="L13" s="1387"/>
      <c r="M13" s="1387"/>
      <c r="N13" s="1387"/>
      <c r="O13" s="1387"/>
    </row>
    <row r="14" spans="1:16" ht="12.75" customHeight="1" x14ac:dyDescent="0.2">
      <c r="B14" s="39"/>
      <c r="C14" s="1387"/>
      <c r="D14" s="1387"/>
      <c r="E14" s="1387"/>
      <c r="F14" s="1387"/>
      <c r="G14" s="1387"/>
      <c r="H14" s="1387"/>
      <c r="I14" s="1387"/>
      <c r="J14" s="1387"/>
      <c r="K14" s="1387"/>
      <c r="L14" s="1387"/>
      <c r="M14" s="1387"/>
      <c r="N14" s="1387"/>
      <c r="O14" s="1387"/>
    </row>
    <row r="15" spans="1:16" ht="6" customHeight="1" x14ac:dyDescent="0.2"/>
    <row r="16" spans="1:16" x14ac:dyDescent="0.2">
      <c r="C16" s="1387"/>
      <c r="D16" s="1387"/>
      <c r="E16" s="1387"/>
      <c r="F16" s="1387"/>
      <c r="G16" s="1387"/>
      <c r="H16" s="1387"/>
      <c r="I16" s="1387"/>
      <c r="J16" s="1387"/>
      <c r="K16" s="1387"/>
      <c r="L16" s="1387"/>
      <c r="M16" s="1387"/>
      <c r="N16" s="1387"/>
      <c r="O16" s="1387"/>
    </row>
    <row r="17" spans="1:16" ht="25.5" customHeight="1" x14ac:dyDescent="0.2">
      <c r="A17" s="4" t="s">
        <v>547</v>
      </c>
      <c r="B17" s="1473" t="s">
        <v>160</v>
      </c>
      <c r="C17" s="1474"/>
      <c r="D17" s="1474"/>
      <c r="E17" s="1474"/>
      <c r="F17" s="1474"/>
      <c r="G17" s="1474"/>
      <c r="H17" s="1474"/>
      <c r="I17" s="1474"/>
      <c r="J17" s="1474"/>
      <c r="K17" s="1474"/>
      <c r="L17" s="1474"/>
      <c r="M17" s="1474"/>
      <c r="N17" s="1474"/>
      <c r="O17" s="1475"/>
      <c r="P17" s="44"/>
    </row>
    <row r="18" spans="1:16" ht="12.75" customHeight="1" x14ac:dyDescent="0.2">
      <c r="B18" s="44"/>
      <c r="C18" s="31"/>
      <c r="D18" s="31"/>
      <c r="E18" s="31"/>
      <c r="F18" s="31"/>
      <c r="G18" s="31"/>
      <c r="H18" s="30"/>
      <c r="I18" s="31"/>
      <c r="J18" s="31"/>
      <c r="K18" s="31"/>
      <c r="L18" s="31"/>
      <c r="M18" s="31"/>
      <c r="N18" s="31"/>
    </row>
    <row r="19" spans="1:16" x14ac:dyDescent="0.2">
      <c r="B19" s="44"/>
      <c r="C19" s="31"/>
      <c r="D19" s="31"/>
      <c r="E19" s="31"/>
      <c r="F19" s="31"/>
      <c r="G19" s="31"/>
      <c r="H19" s="30"/>
      <c r="I19" s="31"/>
      <c r="J19" s="99" t="s">
        <v>1050</v>
      </c>
      <c r="K19" s="99"/>
      <c r="L19" s="99"/>
      <c r="M19" s="99"/>
      <c r="N19" s="649" t="s">
        <v>1140</v>
      </c>
    </row>
    <row r="20" spans="1:16" x14ac:dyDescent="0.2">
      <c r="H20" s="11"/>
      <c r="I20" s="11"/>
      <c r="J20" s="3" t="s">
        <v>514</v>
      </c>
      <c r="K20" s="3" t="s">
        <v>1051</v>
      </c>
      <c r="L20" s="3" t="s">
        <v>1052</v>
      </c>
      <c r="M20" s="3"/>
      <c r="N20" s="3" t="s">
        <v>1141</v>
      </c>
    </row>
    <row r="21" spans="1:16" ht="6" customHeight="1" x14ac:dyDescent="0.2">
      <c r="H21" s="11"/>
      <c r="I21" s="11"/>
    </row>
    <row r="22" spans="1:16" ht="13.5" customHeight="1" x14ac:dyDescent="0.2">
      <c r="B22" s="39" t="s">
        <v>521</v>
      </c>
      <c r="C22" s="1387" t="s">
        <v>881</v>
      </c>
      <c r="D22" s="1387"/>
      <c r="E22" s="1387"/>
      <c r="F22" s="1387"/>
      <c r="G22" s="1387"/>
      <c r="H22" s="1387"/>
      <c r="I22" s="11"/>
      <c r="J22" s="30"/>
    </row>
    <row r="23" spans="1:16" ht="24.75" customHeight="1" x14ac:dyDescent="0.2">
      <c r="B23" s="39"/>
      <c r="C23" s="1387"/>
      <c r="D23" s="1387"/>
      <c r="E23" s="1387"/>
      <c r="F23" s="1387"/>
      <c r="G23" s="1387"/>
      <c r="H23" s="1387"/>
      <c r="I23" s="11"/>
      <c r="J23" s="30"/>
    </row>
    <row r="24" spans="1:16" x14ac:dyDescent="0.2">
      <c r="D24" t="s">
        <v>62</v>
      </c>
      <c r="H24"/>
      <c r="I24" s="11"/>
      <c r="J24" s="356">
        <v>0</v>
      </c>
      <c r="K24" s="357"/>
      <c r="L24" s="357"/>
      <c r="M24" s="358"/>
      <c r="N24" s="357">
        <v>0</v>
      </c>
    </row>
    <row r="25" spans="1:16" x14ac:dyDescent="0.2">
      <c r="D25" t="s">
        <v>63</v>
      </c>
      <c r="H25"/>
      <c r="I25" s="11"/>
      <c r="J25" s="356">
        <v>0</v>
      </c>
      <c r="K25" s="5"/>
      <c r="L25" s="5"/>
      <c r="M25" s="5"/>
      <c r="N25" s="357">
        <v>0</v>
      </c>
    </row>
    <row r="26" spans="1:16" x14ac:dyDescent="0.2">
      <c r="D26" t="s">
        <v>208</v>
      </c>
      <c r="H26"/>
      <c r="I26" s="11"/>
      <c r="J26" s="356">
        <v>0</v>
      </c>
      <c r="K26" s="5"/>
      <c r="L26" s="5"/>
      <c r="M26" s="5"/>
      <c r="N26" s="357">
        <v>0</v>
      </c>
    </row>
    <row r="27" spans="1:16" x14ac:dyDescent="0.2">
      <c r="D27" t="s">
        <v>783</v>
      </c>
      <c r="H27"/>
      <c r="I27" s="11"/>
      <c r="J27" s="356">
        <v>0</v>
      </c>
      <c r="K27" s="5"/>
      <c r="L27" s="5"/>
      <c r="M27" s="5"/>
      <c r="N27" s="357">
        <v>0</v>
      </c>
    </row>
    <row r="28" spans="1:16" x14ac:dyDescent="0.2">
      <c r="H28" s="11"/>
      <c r="I28" s="11"/>
      <c r="J28" s="116"/>
      <c r="N28" s="13"/>
    </row>
    <row r="29" spans="1:16" ht="7.5" customHeight="1" x14ac:dyDescent="0.2">
      <c r="H29" s="11"/>
      <c r="I29" s="11"/>
      <c r="J29" s="30"/>
    </row>
    <row r="30" spans="1:16" ht="17.25" thickBot="1" x14ac:dyDescent="0.4">
      <c r="D30" t="s">
        <v>204</v>
      </c>
      <c r="H30" s="11"/>
      <c r="I30" s="63"/>
      <c r="J30" s="87">
        <f>SUM(J24:J28)</f>
        <v>0</v>
      </c>
    </row>
    <row r="31" spans="1:16" ht="17.25" thickTop="1" x14ac:dyDescent="0.35">
      <c r="H31" s="11"/>
      <c r="I31" s="63"/>
      <c r="J31" s="10"/>
    </row>
    <row r="32" spans="1:16" x14ac:dyDescent="0.2">
      <c r="H32" s="11"/>
    </row>
    <row r="33" spans="1:16" ht="25.5" customHeight="1" x14ac:dyDescent="0.2">
      <c r="A33" s="4" t="s">
        <v>548</v>
      </c>
      <c r="B33" s="1473" t="s">
        <v>883</v>
      </c>
      <c r="C33" s="1474"/>
      <c r="D33" s="1474"/>
      <c r="E33" s="1474"/>
      <c r="F33" s="1474"/>
      <c r="G33" s="1474"/>
      <c r="H33" s="1474"/>
      <c r="I33" s="1474"/>
      <c r="J33" s="1474"/>
      <c r="K33" s="1474"/>
      <c r="L33" s="1474"/>
      <c r="M33" s="1474"/>
      <c r="N33" s="1474"/>
      <c r="O33" s="1475"/>
      <c r="P33" s="44"/>
    </row>
    <row r="34" spans="1:16" ht="19.5" customHeight="1" x14ac:dyDescent="0.2">
      <c r="H34" s="11"/>
      <c r="I34" s="11"/>
      <c r="J34" s="11"/>
      <c r="K34" s="11"/>
      <c r="L34" s="11"/>
      <c r="N34" s="11"/>
    </row>
    <row r="35" spans="1:16" ht="13.5" customHeight="1" x14ac:dyDescent="0.2">
      <c r="B35" s="4" t="s">
        <v>884</v>
      </c>
      <c r="H35" s="11"/>
      <c r="I35" s="11"/>
      <c r="J35" s="11"/>
      <c r="K35" s="11"/>
      <c r="L35" s="11"/>
      <c r="N35" s="11"/>
    </row>
    <row r="36" spans="1:16" ht="12.75" customHeight="1" x14ac:dyDescent="0.2">
      <c r="B36" s="39" t="s">
        <v>521</v>
      </c>
      <c r="C36" s="1387" t="s">
        <v>714</v>
      </c>
      <c r="D36" s="1387"/>
      <c r="E36" s="1387"/>
      <c r="F36" s="1387"/>
      <c r="G36" s="1387"/>
      <c r="H36"/>
      <c r="K36" s="1528"/>
      <c r="L36" s="11"/>
      <c r="N36" s="11"/>
    </row>
    <row r="37" spans="1:16" ht="15.75" customHeight="1" x14ac:dyDescent="0.2">
      <c r="B37" s="39"/>
      <c r="C37" s="1387"/>
      <c r="D37" s="1387"/>
      <c r="E37" s="1387"/>
      <c r="F37" s="1387"/>
      <c r="G37" s="1387"/>
      <c r="H37"/>
      <c r="K37" s="1528"/>
      <c r="L37" s="11"/>
    </row>
    <row r="38" spans="1:16" ht="4.5" customHeight="1" x14ac:dyDescent="0.2">
      <c r="H38"/>
      <c r="K38" s="11"/>
      <c r="L38" s="11"/>
      <c r="M38" s="1530" t="s">
        <v>1150</v>
      </c>
      <c r="N38" s="1530"/>
    </row>
    <row r="39" spans="1:16" ht="23.25" customHeight="1" x14ac:dyDescent="0.2">
      <c r="B39" s="39" t="s">
        <v>522</v>
      </c>
      <c r="C39" s="1401" t="s">
        <v>1151</v>
      </c>
      <c r="D39" s="1401"/>
      <c r="E39" s="1401"/>
      <c r="F39" s="1401"/>
      <c r="G39" s="1401"/>
      <c r="H39"/>
      <c r="I39" s="1530" t="s">
        <v>959</v>
      </c>
      <c r="J39" s="1529"/>
      <c r="K39" s="1530" t="s">
        <v>960</v>
      </c>
      <c r="L39" s="1524">
        <v>0</v>
      </c>
      <c r="M39" s="1530"/>
      <c r="N39" s="1530"/>
      <c r="O39" s="1524"/>
    </row>
    <row r="40" spans="1:16" ht="1.5" customHeight="1" x14ac:dyDescent="0.2">
      <c r="B40" s="39"/>
      <c r="C40" s="1401"/>
      <c r="D40" s="1401"/>
      <c r="E40" s="1401"/>
      <c r="F40" s="1401"/>
      <c r="G40" s="1401"/>
      <c r="H40"/>
      <c r="I40" s="1530"/>
      <c r="J40" s="1529"/>
      <c r="K40" s="1530"/>
      <c r="L40" s="1524"/>
      <c r="M40" s="1530"/>
      <c r="N40" s="1530"/>
      <c r="O40" s="1524"/>
    </row>
    <row r="41" spans="1:16" ht="12.75" customHeight="1" x14ac:dyDescent="0.2">
      <c r="H41"/>
      <c r="K41" s="11"/>
      <c r="L41" s="11"/>
      <c r="N41" s="11"/>
    </row>
    <row r="42" spans="1:16" ht="12.75" customHeight="1" x14ac:dyDescent="0.2">
      <c r="B42" s="4" t="s">
        <v>799</v>
      </c>
      <c r="H42"/>
      <c r="K42" s="11"/>
      <c r="L42" s="11"/>
      <c r="N42" s="11"/>
    </row>
    <row r="43" spans="1:16" ht="14.25" customHeight="1" x14ac:dyDescent="0.2">
      <c r="B43" s="39" t="s">
        <v>523</v>
      </c>
      <c r="C43" s="1392" t="s">
        <v>952</v>
      </c>
      <c r="D43" s="1392"/>
      <c r="E43" s="1392"/>
      <c r="F43" s="1392"/>
      <c r="G43" s="1392"/>
      <c r="H43"/>
      <c r="K43" s="356"/>
      <c r="L43" s="11"/>
    </row>
    <row r="44" spans="1:16" ht="4.5" customHeight="1" x14ac:dyDescent="0.2">
      <c r="H44"/>
      <c r="K44" s="338"/>
      <c r="L44" s="11"/>
    </row>
    <row r="45" spans="1:16" ht="14.25" customHeight="1" x14ac:dyDescent="0.2">
      <c r="B45" s="39" t="s">
        <v>549</v>
      </c>
      <c r="C45" s="1535" t="s">
        <v>507</v>
      </c>
      <c r="D45" s="1535"/>
      <c r="E45" s="1535"/>
      <c r="F45" s="1535"/>
      <c r="G45" s="1535"/>
      <c r="H45"/>
      <c r="J45" s="19"/>
      <c r="K45" s="356"/>
    </row>
    <row r="46" spans="1:16" ht="4.5" customHeight="1" x14ac:dyDescent="0.2">
      <c r="H46"/>
      <c r="K46" s="338"/>
      <c r="L46" s="11"/>
    </row>
    <row r="47" spans="1:16" ht="12.75" customHeight="1" x14ac:dyDescent="0.2">
      <c r="B47" s="39" t="s">
        <v>550</v>
      </c>
      <c r="C47" t="s">
        <v>508</v>
      </c>
      <c r="H47"/>
      <c r="K47" s="356"/>
      <c r="L47" s="11"/>
    </row>
    <row r="48" spans="1:16" ht="4.5" customHeight="1" x14ac:dyDescent="0.2">
      <c r="H48"/>
      <c r="K48" s="338"/>
      <c r="L48" s="11"/>
    </row>
    <row r="49" spans="1:17" ht="14.25" customHeight="1" x14ac:dyDescent="0.2">
      <c r="B49" s="39" t="s">
        <v>872</v>
      </c>
      <c r="C49" s="1392" t="s">
        <v>882</v>
      </c>
      <c r="D49" s="1392"/>
      <c r="E49" s="1392"/>
      <c r="F49" s="1392"/>
      <c r="G49" s="1392"/>
      <c r="H49"/>
      <c r="K49" s="359"/>
      <c r="L49" s="11"/>
    </row>
    <row r="50" spans="1:17" ht="12.75" customHeight="1" x14ac:dyDescent="0.2">
      <c r="D50" t="s">
        <v>181</v>
      </c>
      <c r="H50"/>
      <c r="K50" s="148">
        <f>K43-K45+K47-K49</f>
        <v>0</v>
      </c>
      <c r="L50" s="11"/>
      <c r="N50" s="11"/>
      <c r="O50" s="50"/>
    </row>
    <row r="51" spans="1:17" ht="12.75" customHeight="1" x14ac:dyDescent="0.2">
      <c r="H51"/>
      <c r="K51" s="11"/>
      <c r="L51" s="11"/>
      <c r="N51" s="11"/>
      <c r="O51" s="50"/>
    </row>
    <row r="52" spans="1:17" ht="12.75" customHeight="1" x14ac:dyDescent="0.2">
      <c r="B52" s="4" t="s">
        <v>509</v>
      </c>
      <c r="H52"/>
      <c r="K52" s="11"/>
      <c r="L52" s="11"/>
      <c r="N52" s="11"/>
      <c r="O52" s="50"/>
    </row>
    <row r="53" spans="1:17" ht="13.5" customHeight="1" x14ac:dyDescent="0.2">
      <c r="B53" s="39" t="s">
        <v>958</v>
      </c>
      <c r="C53" s="1387" t="s">
        <v>957</v>
      </c>
      <c r="D53" s="1387"/>
      <c r="E53" s="1387"/>
      <c r="F53" s="1387"/>
      <c r="G53" s="1387"/>
      <c r="H53"/>
      <c r="K53" s="1528">
        <v>0</v>
      </c>
      <c r="L53" s="11"/>
      <c r="N53" s="11"/>
    </row>
    <row r="54" spans="1:17" ht="12" customHeight="1" x14ac:dyDescent="0.2">
      <c r="B54" s="39"/>
      <c r="C54" s="1387"/>
      <c r="D54" s="1387"/>
      <c r="E54" s="1387"/>
      <c r="F54" s="1387"/>
      <c r="G54" s="1387"/>
      <c r="H54"/>
      <c r="K54" s="1528"/>
      <c r="L54" s="11"/>
      <c r="N54" s="11"/>
    </row>
    <row r="55" spans="1:17" ht="4.5" customHeight="1" x14ac:dyDescent="0.2">
      <c r="B55" s="39"/>
      <c r="H55"/>
      <c r="K55" s="11"/>
      <c r="L55" s="11"/>
      <c r="N55" s="11"/>
    </row>
    <row r="56" spans="1:17" ht="13.5" customHeight="1" x14ac:dyDescent="0.2">
      <c r="B56" s="39" t="s">
        <v>295</v>
      </c>
      <c r="C56" s="1402" t="s">
        <v>961</v>
      </c>
      <c r="D56" s="1402"/>
      <c r="E56" s="1402"/>
      <c r="F56" s="1402"/>
      <c r="G56" s="1402"/>
      <c r="H56"/>
      <c r="K56" s="1528">
        <v>0</v>
      </c>
      <c r="L56" s="11"/>
      <c r="N56" s="11"/>
    </row>
    <row r="57" spans="1:17" ht="12.75" customHeight="1" x14ac:dyDescent="0.2">
      <c r="B57" s="39"/>
      <c r="C57" s="1402"/>
      <c r="D57" s="1402"/>
      <c r="E57" s="1402"/>
      <c r="F57" s="1402"/>
      <c r="G57" s="1402"/>
      <c r="H57"/>
      <c r="K57" s="1528"/>
      <c r="L57" s="11"/>
      <c r="N57" s="11"/>
    </row>
    <row r="58" spans="1:17" ht="12.75" customHeight="1" x14ac:dyDescent="0.2">
      <c r="B58" s="39"/>
      <c r="C58" s="68"/>
      <c r="D58" s="1402" t="s">
        <v>182</v>
      </c>
      <c r="E58" s="1402"/>
      <c r="F58" s="1402"/>
      <c r="G58" s="1402"/>
      <c r="H58"/>
      <c r="K58" s="148">
        <f>K53+K56</f>
        <v>0</v>
      </c>
      <c r="L58" s="11"/>
      <c r="N58" s="11"/>
    </row>
    <row r="59" spans="1:17" ht="19.5" customHeight="1" x14ac:dyDescent="0.2">
      <c r="G59" s="12"/>
      <c r="H59" s="11"/>
      <c r="I59" s="11"/>
      <c r="J59" s="11"/>
      <c r="K59" s="11"/>
      <c r="L59" s="11"/>
      <c r="N59" s="11"/>
    </row>
    <row r="60" spans="1:17" ht="25.5" customHeight="1" x14ac:dyDescent="0.2">
      <c r="A60" s="4" t="s">
        <v>816</v>
      </c>
      <c r="B60" s="1494" t="s">
        <v>1109</v>
      </c>
      <c r="C60" s="1495"/>
      <c r="D60" s="1495"/>
      <c r="E60" s="1495"/>
      <c r="F60" s="1495"/>
      <c r="G60" s="1495"/>
      <c r="H60" s="1495"/>
      <c r="I60" s="1495"/>
      <c r="J60" s="1495"/>
      <c r="K60" s="1495"/>
      <c r="L60" s="1495"/>
      <c r="M60" s="1495"/>
      <c r="N60" s="1495"/>
      <c r="O60" s="1496"/>
      <c r="P60" s="52"/>
      <c r="Q60" s="197"/>
    </row>
    <row r="61" spans="1:17" ht="10.5" customHeight="1" x14ac:dyDescent="0.2"/>
    <row r="62" spans="1:17" ht="27" customHeight="1" x14ac:dyDescent="0.2">
      <c r="B62" s="1387" t="s">
        <v>715</v>
      </c>
      <c r="C62" s="1387"/>
      <c r="D62" s="1387"/>
      <c r="E62" s="1387"/>
      <c r="F62" s="1387"/>
      <c r="G62" s="1387"/>
      <c r="H62" s="1387"/>
      <c r="I62" s="1387"/>
      <c r="J62" s="1387"/>
      <c r="K62" s="1387"/>
      <c r="L62" s="1387"/>
      <c r="M62" s="1387"/>
      <c r="N62" s="1387"/>
      <c r="O62" s="1387"/>
    </row>
    <row r="63" spans="1:17" ht="6" customHeight="1" x14ac:dyDescent="0.2"/>
    <row r="64" spans="1:17" ht="12.75" customHeight="1" x14ac:dyDescent="0.2">
      <c r="B64" s="39" t="s">
        <v>521</v>
      </c>
      <c r="C64" s="651" t="s">
        <v>1108</v>
      </c>
      <c r="D64" s="13"/>
      <c r="E64" s="13"/>
      <c r="F64" s="13"/>
      <c r="G64" s="13"/>
      <c r="H64" s="93"/>
      <c r="I64" s="13"/>
      <c r="J64" s="13"/>
      <c r="K64" s="356">
        <v>0</v>
      </c>
    </row>
    <row r="65" spans="1:15" ht="9" customHeight="1" x14ac:dyDescent="0.2">
      <c r="K65" s="14"/>
    </row>
    <row r="66" spans="1:15" ht="12.75" customHeight="1" x14ac:dyDescent="0.2">
      <c r="B66" s="39" t="s">
        <v>522</v>
      </c>
      <c r="C66" t="s">
        <v>953</v>
      </c>
      <c r="K66" s="356"/>
    </row>
    <row r="67" spans="1:15" ht="7.5" customHeight="1" x14ac:dyDescent="0.2">
      <c r="K67" s="14"/>
    </row>
    <row r="68" spans="1:15" ht="12.75" customHeight="1" x14ac:dyDescent="0.2">
      <c r="B68" s="39" t="s">
        <v>523</v>
      </c>
      <c r="C68" s="1387" t="s">
        <v>851</v>
      </c>
      <c r="D68" s="1387"/>
      <c r="E68" s="1387"/>
      <c r="F68" s="1387"/>
      <c r="G68" s="1387"/>
      <c r="K68" s="1528"/>
    </row>
    <row r="69" spans="1:15" ht="12.75" customHeight="1" x14ac:dyDescent="0.2">
      <c r="B69" s="39"/>
      <c r="C69" s="1387"/>
      <c r="D69" s="1387"/>
      <c r="E69" s="1387"/>
      <c r="F69" s="1387"/>
      <c r="G69" s="1387"/>
      <c r="K69" s="1528"/>
    </row>
    <row r="70" spans="1:15" ht="7.5" customHeight="1" x14ac:dyDescent="0.2">
      <c r="K70" s="14"/>
    </row>
    <row r="71" spans="1:15" ht="12.75" customHeight="1" x14ac:dyDescent="0.2">
      <c r="B71" s="39" t="s">
        <v>549</v>
      </c>
      <c r="C71" t="s">
        <v>954</v>
      </c>
      <c r="K71" s="356"/>
    </row>
    <row r="72" spans="1:15" ht="12.75" customHeight="1" x14ac:dyDescent="0.2"/>
    <row r="73" spans="1:15" ht="12.75" customHeight="1" x14ac:dyDescent="0.2"/>
    <row r="74" spans="1:15" ht="25.5" customHeight="1" x14ac:dyDescent="0.2">
      <c r="A74" s="4" t="s">
        <v>822</v>
      </c>
      <c r="B74" s="1494" t="s">
        <v>544</v>
      </c>
      <c r="C74" s="1495"/>
      <c r="D74" s="1495"/>
      <c r="E74" s="1495"/>
      <c r="F74" s="1495"/>
      <c r="G74" s="1495"/>
      <c r="H74" s="1495"/>
      <c r="I74" s="1495"/>
      <c r="J74" s="1495"/>
      <c r="K74" s="1495"/>
      <c r="L74" s="1495"/>
      <c r="M74" s="1495"/>
      <c r="N74" s="1495"/>
      <c r="O74" s="1496"/>
    </row>
    <row r="75" spans="1:15" ht="19.5" customHeight="1" x14ac:dyDescent="0.2"/>
    <row r="76" spans="1:15" ht="12.75" customHeight="1" x14ac:dyDescent="0.2">
      <c r="L76" s="49" t="s">
        <v>517</v>
      </c>
      <c r="N76" s="49" t="s">
        <v>518</v>
      </c>
    </row>
    <row r="77" spans="1:15" ht="12.75" customHeight="1" x14ac:dyDescent="0.2">
      <c r="D77" t="s">
        <v>477</v>
      </c>
      <c r="E77" t="s">
        <v>382</v>
      </c>
      <c r="L77" s="78">
        <f>R104-S104</f>
        <v>0</v>
      </c>
      <c r="N77" s="78">
        <v>0</v>
      </c>
    </row>
    <row r="78" spans="1:15" ht="12.75" customHeight="1" x14ac:dyDescent="0.2">
      <c r="E78" t="s">
        <v>383</v>
      </c>
      <c r="L78" s="78">
        <f>R105-S105</f>
        <v>0</v>
      </c>
      <c r="N78" s="78">
        <v>0</v>
      </c>
    </row>
    <row r="79" spans="1:15" ht="12.75" customHeight="1" x14ac:dyDescent="0.2">
      <c r="E79" t="s">
        <v>1039</v>
      </c>
      <c r="L79" s="78">
        <f>R106-S106</f>
        <v>0</v>
      </c>
      <c r="N79" s="78">
        <v>0</v>
      </c>
    </row>
    <row r="80" spans="1:15" ht="12.75" customHeight="1" x14ac:dyDescent="0.2">
      <c r="E80" t="s">
        <v>384</v>
      </c>
      <c r="L80" s="78">
        <f>R107-S107</f>
        <v>0</v>
      </c>
      <c r="N80" s="78">
        <v>0</v>
      </c>
    </row>
    <row r="81" spans="5:14" ht="12.75" customHeight="1" x14ac:dyDescent="0.2">
      <c r="E81" t="s">
        <v>385</v>
      </c>
      <c r="L81" s="78">
        <f>R108</f>
        <v>0</v>
      </c>
      <c r="N81" s="78">
        <f>S108</f>
        <v>0</v>
      </c>
    </row>
    <row r="82" spans="5:14" ht="12.75" customHeight="1" x14ac:dyDescent="0.2">
      <c r="E82" s="651" t="s">
        <v>1110</v>
      </c>
      <c r="F82" s="13"/>
      <c r="G82" s="13"/>
      <c r="H82" s="93"/>
      <c r="I82" s="13"/>
      <c r="L82" s="78">
        <f>R109</f>
        <v>0</v>
      </c>
      <c r="N82" s="78">
        <f>S109</f>
        <v>0</v>
      </c>
    </row>
    <row r="83" spans="5:14" ht="12.75" customHeight="1" x14ac:dyDescent="0.2">
      <c r="E83" t="s">
        <v>480</v>
      </c>
      <c r="L83" s="78">
        <f>R110</f>
        <v>0</v>
      </c>
      <c r="N83" s="78">
        <f>S110</f>
        <v>0</v>
      </c>
    </row>
    <row r="84" spans="5:14" ht="12.75" customHeight="1" x14ac:dyDescent="0.2">
      <c r="E84" t="s">
        <v>296</v>
      </c>
      <c r="L84" s="78">
        <f>R111-S111</f>
        <v>0</v>
      </c>
      <c r="N84" s="78">
        <v>0</v>
      </c>
    </row>
    <row r="85" spans="5:14" ht="12.75" customHeight="1" x14ac:dyDescent="0.2">
      <c r="F85" t="s">
        <v>231</v>
      </c>
      <c r="L85" s="78">
        <v>0</v>
      </c>
      <c r="N85" s="78">
        <f>S112-R112</f>
        <v>0</v>
      </c>
    </row>
    <row r="86" spans="5:14" ht="12.75" customHeight="1" x14ac:dyDescent="0.2">
      <c r="F86" s="13" t="s">
        <v>1144</v>
      </c>
      <c r="G86" s="13"/>
      <c r="H86" s="93"/>
      <c r="I86" s="13"/>
      <c r="L86" s="78">
        <v>0</v>
      </c>
      <c r="N86" s="78">
        <f>S113-R113</f>
        <v>0</v>
      </c>
    </row>
    <row r="87" spans="5:14" ht="12.75" customHeight="1" x14ac:dyDescent="0.2">
      <c r="F87" s="13" t="s">
        <v>235</v>
      </c>
      <c r="G87" s="13"/>
      <c r="L87" s="78">
        <v>0</v>
      </c>
      <c r="N87" s="78">
        <f>S114-R114</f>
        <v>0</v>
      </c>
    </row>
    <row r="88" spans="5:14" ht="12.75" customHeight="1" x14ac:dyDescent="0.2">
      <c r="F88" s="13" t="s">
        <v>1055</v>
      </c>
      <c r="G88" s="13"/>
      <c r="L88" s="78">
        <f>R115-S115</f>
        <v>0</v>
      </c>
      <c r="N88" s="78">
        <v>0</v>
      </c>
    </row>
    <row r="89" spans="5:14" ht="12.75" customHeight="1" x14ac:dyDescent="0.2">
      <c r="F89" t="s">
        <v>386</v>
      </c>
      <c r="L89" s="78">
        <v>0</v>
      </c>
      <c r="N89" s="78">
        <f>S116-R116</f>
        <v>0</v>
      </c>
    </row>
    <row r="90" spans="5:14" ht="12.75" customHeight="1" x14ac:dyDescent="0.2">
      <c r="F90" t="s">
        <v>963</v>
      </c>
      <c r="L90" s="78">
        <v>0</v>
      </c>
      <c r="N90" s="78">
        <f>S117-R117</f>
        <v>0</v>
      </c>
    </row>
    <row r="91" spans="5:14" ht="12.75" customHeight="1" x14ac:dyDescent="0.2">
      <c r="F91" t="s">
        <v>387</v>
      </c>
      <c r="L91" s="78">
        <f>R118</f>
        <v>0</v>
      </c>
      <c r="N91" s="78">
        <f>S118</f>
        <v>0</v>
      </c>
    </row>
    <row r="92" spans="5:14" ht="12.75" customHeight="1" x14ac:dyDescent="0.2">
      <c r="F92" t="s">
        <v>62</v>
      </c>
      <c r="L92" s="78">
        <f>R119</f>
        <v>0</v>
      </c>
      <c r="N92" s="78">
        <f>S119</f>
        <v>0</v>
      </c>
    </row>
    <row r="93" spans="5:14" ht="12.75" customHeight="1" x14ac:dyDescent="0.2">
      <c r="F93" t="s">
        <v>63</v>
      </c>
      <c r="L93" s="78">
        <v>0</v>
      </c>
      <c r="N93" s="78">
        <f>S120-R120</f>
        <v>0</v>
      </c>
    </row>
    <row r="94" spans="5:14" ht="12.75" customHeight="1" x14ac:dyDescent="0.2">
      <c r="F94" t="s">
        <v>208</v>
      </c>
      <c r="L94" s="78">
        <v>0</v>
      </c>
      <c r="N94" s="78">
        <f>S121-R121</f>
        <v>0</v>
      </c>
    </row>
    <row r="95" spans="5:14" ht="12.75" customHeight="1" x14ac:dyDescent="0.2">
      <c r="F95" t="s">
        <v>388</v>
      </c>
      <c r="L95" s="78">
        <v>0</v>
      </c>
      <c r="N95" s="78">
        <f>S122-R122</f>
        <v>0</v>
      </c>
    </row>
    <row r="96" spans="5:14" ht="12.75" customHeight="1" thickBot="1" x14ac:dyDescent="0.25">
      <c r="L96" s="80">
        <f>SUM(L77:L95)</f>
        <v>0</v>
      </c>
      <c r="N96" s="80">
        <f>SUM(N77:N95)</f>
        <v>0</v>
      </c>
    </row>
    <row r="97" spans="1:19" ht="12.75" customHeight="1" thickTop="1" x14ac:dyDescent="0.2">
      <c r="L97" s="5"/>
    </row>
    <row r="98" spans="1:19" ht="12.75" customHeight="1" x14ac:dyDescent="0.2"/>
    <row r="99" spans="1:19" ht="26.25" customHeight="1" x14ac:dyDescent="0.25">
      <c r="A99" s="1526" t="s">
        <v>1054</v>
      </c>
      <c r="B99" s="1527"/>
      <c r="C99" s="1527"/>
      <c r="D99" s="1527"/>
      <c r="E99" s="1527"/>
      <c r="F99" s="1527"/>
      <c r="G99" s="1527"/>
      <c r="H99" s="1527"/>
      <c r="I99" s="1527"/>
      <c r="J99" s="1527"/>
      <c r="K99" s="1527"/>
      <c r="L99" s="1527"/>
      <c r="M99" s="1527"/>
      <c r="N99" s="1527"/>
      <c r="O99" s="1527"/>
      <c r="P99" s="1533"/>
    </row>
    <row r="100" spans="1:19" ht="12.75" customHeight="1" x14ac:dyDescent="0.2"/>
    <row r="101" spans="1:19" ht="12.75" customHeight="1" x14ac:dyDescent="0.2">
      <c r="J101" s="1531" t="s">
        <v>299</v>
      </c>
      <c r="K101" s="1532"/>
      <c r="L101" s="1531" t="s">
        <v>709</v>
      </c>
      <c r="M101" s="1534"/>
      <c r="N101" s="1532"/>
      <c r="O101" s="1531" t="s">
        <v>710</v>
      </c>
      <c r="P101" s="1534"/>
      <c r="Q101" s="1532"/>
      <c r="R101" s="1531" t="s">
        <v>923</v>
      </c>
      <c r="S101" s="1532"/>
    </row>
    <row r="102" spans="1:19" x14ac:dyDescent="0.2">
      <c r="J102" s="123" t="s">
        <v>517</v>
      </c>
      <c r="K102" s="124" t="s">
        <v>518</v>
      </c>
      <c r="L102" s="71" t="s">
        <v>517</v>
      </c>
      <c r="M102" s="3"/>
      <c r="N102" s="72" t="s">
        <v>518</v>
      </c>
      <c r="O102" s="111" t="s">
        <v>517</v>
      </c>
      <c r="P102" s="8"/>
      <c r="Q102" s="112" t="s">
        <v>518</v>
      </c>
      <c r="R102" s="111" t="s">
        <v>875</v>
      </c>
      <c r="S102" s="112" t="s">
        <v>518</v>
      </c>
    </row>
    <row r="103" spans="1:19" ht="6.75" customHeight="1" x14ac:dyDescent="0.2">
      <c r="J103" s="125"/>
      <c r="R103" s="125"/>
      <c r="S103" s="127"/>
    </row>
    <row r="104" spans="1:19" ht="12.75" customHeight="1" x14ac:dyDescent="0.2">
      <c r="C104" t="s">
        <v>389</v>
      </c>
      <c r="F104" s="1"/>
      <c r="H104"/>
      <c r="J104" s="130">
        <f>J27</f>
        <v>0</v>
      </c>
      <c r="K104" s="93"/>
      <c r="R104" s="9">
        <f t="shared" ref="R104:R122" si="0">J104+L104+O104</f>
        <v>0</v>
      </c>
      <c r="S104" s="128">
        <f t="shared" ref="S104:S122" si="1">K104+N104+Q104</f>
        <v>0</v>
      </c>
    </row>
    <row r="105" spans="1:19" x14ac:dyDescent="0.2">
      <c r="C105" t="s">
        <v>390</v>
      </c>
      <c r="F105" s="1"/>
      <c r="H105"/>
      <c r="J105" s="130">
        <f>J26</f>
        <v>0</v>
      </c>
      <c r="K105" s="93"/>
      <c r="R105" s="9">
        <f t="shared" si="0"/>
        <v>0</v>
      </c>
      <c r="S105" s="128">
        <f t="shared" si="1"/>
        <v>0</v>
      </c>
    </row>
    <row r="106" spans="1:19" x14ac:dyDescent="0.2">
      <c r="C106" t="s">
        <v>391</v>
      </c>
      <c r="F106" s="1"/>
      <c r="H106"/>
      <c r="J106" s="130">
        <f>J24+J25</f>
        <v>0</v>
      </c>
      <c r="K106" s="93"/>
      <c r="L106" s="32">
        <f>K43</f>
        <v>0</v>
      </c>
      <c r="R106" s="9">
        <f t="shared" si="0"/>
        <v>0</v>
      </c>
      <c r="S106" s="128">
        <f t="shared" si="1"/>
        <v>0</v>
      </c>
    </row>
    <row r="107" spans="1:19" x14ac:dyDescent="0.2">
      <c r="C107" t="s">
        <v>230</v>
      </c>
      <c r="F107" s="1"/>
      <c r="H107"/>
      <c r="J107" s="130">
        <f>L24</f>
        <v>0</v>
      </c>
      <c r="K107" s="93"/>
      <c r="L107" s="5">
        <f>K47</f>
        <v>0</v>
      </c>
      <c r="R107" s="9">
        <f t="shared" si="0"/>
        <v>0</v>
      </c>
      <c r="S107" s="128">
        <f t="shared" si="1"/>
        <v>0</v>
      </c>
    </row>
    <row r="108" spans="1:19" x14ac:dyDescent="0.2">
      <c r="C108" t="s">
        <v>385</v>
      </c>
      <c r="F108" s="1"/>
      <c r="H108"/>
      <c r="J108" s="130">
        <f>K24</f>
        <v>0</v>
      </c>
      <c r="K108" s="93"/>
      <c r="L108" s="5">
        <f>K45</f>
        <v>0</v>
      </c>
      <c r="N108" s="5">
        <f>J39</f>
        <v>0</v>
      </c>
      <c r="Q108" s="5">
        <f>K66</f>
        <v>0</v>
      </c>
      <c r="R108" s="9">
        <f t="shared" si="0"/>
        <v>0</v>
      </c>
      <c r="S108" s="128">
        <f t="shared" si="1"/>
        <v>0</v>
      </c>
    </row>
    <row r="109" spans="1:19" s="13" customFormat="1" x14ac:dyDescent="0.2">
      <c r="A109" s="147"/>
      <c r="C109" s="13" t="str">
        <f>E82</f>
        <v>Deferred Charges - prepaid insurance cost</v>
      </c>
      <c r="F109" s="93"/>
      <c r="J109" s="130">
        <f>N24+N25+N26+N27</f>
        <v>0</v>
      </c>
      <c r="K109" s="93"/>
      <c r="L109" s="32"/>
      <c r="N109" s="32">
        <f>O39</f>
        <v>0</v>
      </c>
      <c r="Q109" s="32">
        <f>K64</f>
        <v>0</v>
      </c>
      <c r="R109" s="18">
        <f t="shared" si="0"/>
        <v>0</v>
      </c>
      <c r="S109" s="192">
        <f t="shared" si="1"/>
        <v>0</v>
      </c>
    </row>
    <row r="110" spans="1:19" s="13" customFormat="1" x14ac:dyDescent="0.2">
      <c r="A110" s="147"/>
      <c r="C110" s="13" t="s">
        <v>962</v>
      </c>
      <c r="F110" s="93"/>
      <c r="J110" s="130"/>
      <c r="K110" s="93"/>
      <c r="L110" s="32">
        <f>(K53+K56)-(K36+L39-J39-O39)</f>
        <v>0</v>
      </c>
      <c r="Q110" s="32">
        <f>K68</f>
        <v>0</v>
      </c>
      <c r="R110" s="18">
        <f t="shared" si="0"/>
        <v>0</v>
      </c>
      <c r="S110" s="192">
        <f t="shared" si="1"/>
        <v>0</v>
      </c>
    </row>
    <row r="111" spans="1:19" x14ac:dyDescent="0.2">
      <c r="C111" t="s">
        <v>296</v>
      </c>
      <c r="F111" s="1"/>
      <c r="H111"/>
      <c r="J111" s="130"/>
      <c r="K111" s="93"/>
      <c r="L111" s="32">
        <f>K49</f>
        <v>0</v>
      </c>
      <c r="O111" s="5">
        <f>K64</f>
        <v>0</v>
      </c>
      <c r="R111" s="18">
        <f t="shared" si="0"/>
        <v>0</v>
      </c>
      <c r="S111" s="128">
        <f t="shared" si="1"/>
        <v>0</v>
      </c>
    </row>
    <row r="112" spans="1:19" x14ac:dyDescent="0.2">
      <c r="D112" t="s">
        <v>231</v>
      </c>
      <c r="F112" s="1"/>
      <c r="H112"/>
      <c r="J112" s="130"/>
      <c r="K112" s="93"/>
      <c r="L112" s="5"/>
      <c r="N112" s="5">
        <f>K49</f>
        <v>0</v>
      </c>
      <c r="R112" s="18">
        <f t="shared" si="0"/>
        <v>0</v>
      </c>
      <c r="S112" s="128">
        <f t="shared" si="1"/>
        <v>0</v>
      </c>
    </row>
    <row r="113" spans="4:19" x14ac:dyDescent="0.2">
      <c r="D113" s="651" t="s">
        <v>1142</v>
      </c>
      <c r="E113" s="13"/>
      <c r="F113" s="93"/>
      <c r="G113" s="13"/>
      <c r="H113"/>
      <c r="J113" s="130"/>
      <c r="K113" s="93">
        <f>SUM(N24:N27)</f>
        <v>0</v>
      </c>
      <c r="L113" s="5"/>
      <c r="N113" s="5"/>
      <c r="R113" s="18">
        <f t="shared" si="0"/>
        <v>0</v>
      </c>
      <c r="S113" s="128">
        <f t="shared" si="1"/>
        <v>0</v>
      </c>
    </row>
    <row r="114" spans="4:19" x14ac:dyDescent="0.2">
      <c r="D114" s="13" t="s">
        <v>232</v>
      </c>
      <c r="E114" s="13"/>
      <c r="F114" s="93"/>
      <c r="G114" s="13"/>
      <c r="H114" s="13"/>
      <c r="I114" s="13"/>
      <c r="J114" s="130"/>
      <c r="K114" s="93"/>
      <c r="L114" s="13"/>
      <c r="M114" s="13"/>
      <c r="N114" s="32">
        <f>K56</f>
        <v>0</v>
      </c>
      <c r="R114" s="9">
        <f t="shared" si="0"/>
        <v>0</v>
      </c>
      <c r="S114" s="128">
        <f t="shared" si="1"/>
        <v>0</v>
      </c>
    </row>
    <row r="115" spans="4:19" x14ac:dyDescent="0.2">
      <c r="D115" s="13" t="s">
        <v>1055</v>
      </c>
      <c r="E115" s="13"/>
      <c r="F115" s="93"/>
      <c r="G115" s="13"/>
      <c r="H115" s="13"/>
      <c r="I115" s="13"/>
      <c r="J115" s="130"/>
      <c r="K115" s="93"/>
      <c r="L115" s="13"/>
      <c r="M115" s="13"/>
      <c r="N115" s="32"/>
      <c r="O115" s="5">
        <f>K66+K68-K71</f>
        <v>0</v>
      </c>
      <c r="R115" s="9">
        <f t="shared" si="0"/>
        <v>0</v>
      </c>
      <c r="S115" s="128">
        <f t="shared" si="1"/>
        <v>0</v>
      </c>
    </row>
    <row r="116" spans="4:19" x14ac:dyDescent="0.2">
      <c r="D116" t="s">
        <v>386</v>
      </c>
      <c r="F116" s="1"/>
      <c r="H116"/>
      <c r="J116" s="130"/>
      <c r="K116" s="93">
        <f>K24</f>
        <v>0</v>
      </c>
      <c r="N116" s="5">
        <f>K45</f>
        <v>0</v>
      </c>
      <c r="R116" s="9">
        <f t="shared" si="0"/>
        <v>0</v>
      </c>
      <c r="S116" s="128">
        <f t="shared" si="1"/>
        <v>0</v>
      </c>
    </row>
    <row r="117" spans="4:19" x14ac:dyDescent="0.2">
      <c r="D117" t="s">
        <v>963</v>
      </c>
      <c r="F117" s="1"/>
      <c r="H117"/>
      <c r="J117" s="130"/>
      <c r="K117" s="93"/>
      <c r="N117" s="5">
        <f>K53</f>
        <v>0</v>
      </c>
      <c r="R117" s="9">
        <f t="shared" si="0"/>
        <v>0</v>
      </c>
      <c r="S117" s="128">
        <f t="shared" si="1"/>
        <v>0</v>
      </c>
    </row>
    <row r="118" spans="4:19" x14ac:dyDescent="0.2">
      <c r="D118" t="s">
        <v>233</v>
      </c>
      <c r="F118" s="1"/>
      <c r="H118"/>
      <c r="J118" s="130"/>
      <c r="K118" s="93">
        <f>L24</f>
        <v>0</v>
      </c>
      <c r="L118" s="5">
        <f>L39</f>
        <v>0</v>
      </c>
      <c r="N118" s="5">
        <f>K47</f>
        <v>0</v>
      </c>
      <c r="O118" s="5">
        <f>K71</f>
        <v>0</v>
      </c>
      <c r="R118" s="9">
        <f t="shared" si="0"/>
        <v>0</v>
      </c>
      <c r="S118" s="128">
        <f t="shared" si="1"/>
        <v>0</v>
      </c>
    </row>
    <row r="119" spans="4:19" x14ac:dyDescent="0.2">
      <c r="D119" t="s">
        <v>62</v>
      </c>
      <c r="F119" s="1"/>
      <c r="H119"/>
      <c r="J119" s="130"/>
      <c r="K119" s="93">
        <f>J24</f>
        <v>0</v>
      </c>
      <c r="L119" s="5">
        <f>K36</f>
        <v>0</v>
      </c>
      <c r="N119" s="5">
        <f>K43</f>
        <v>0</v>
      </c>
      <c r="R119" s="9">
        <f t="shared" si="0"/>
        <v>0</v>
      </c>
      <c r="S119" s="128">
        <f t="shared" si="1"/>
        <v>0</v>
      </c>
    </row>
    <row r="120" spans="4:19" x14ac:dyDescent="0.2">
      <c r="D120" t="s">
        <v>63</v>
      </c>
      <c r="F120" s="1"/>
      <c r="G120" s="406" t="s">
        <v>234</v>
      </c>
      <c r="H120"/>
      <c r="J120" s="130"/>
      <c r="K120" s="93">
        <f>J25</f>
        <v>0</v>
      </c>
      <c r="R120" s="9">
        <f t="shared" si="0"/>
        <v>0</v>
      </c>
      <c r="S120" s="128">
        <f t="shared" si="1"/>
        <v>0</v>
      </c>
    </row>
    <row r="121" spans="4:19" x14ac:dyDescent="0.2">
      <c r="D121" t="s">
        <v>208</v>
      </c>
      <c r="F121" s="1"/>
      <c r="H121"/>
      <c r="J121" s="130"/>
      <c r="K121" s="93">
        <f>J26</f>
        <v>0</v>
      </c>
      <c r="R121" s="9">
        <f t="shared" si="0"/>
        <v>0</v>
      </c>
      <c r="S121" s="128">
        <f t="shared" si="1"/>
        <v>0</v>
      </c>
    </row>
    <row r="122" spans="4:19" x14ac:dyDescent="0.2">
      <c r="D122" t="s">
        <v>783</v>
      </c>
      <c r="F122" s="1"/>
      <c r="H122"/>
      <c r="J122" s="130"/>
      <c r="K122" s="93">
        <f>J27</f>
        <v>0</v>
      </c>
      <c r="R122" s="9">
        <f t="shared" si="0"/>
        <v>0</v>
      </c>
      <c r="S122" s="128">
        <f t="shared" si="1"/>
        <v>0</v>
      </c>
    </row>
    <row r="123" spans="4:19" ht="5.25" customHeight="1" x14ac:dyDescent="0.2">
      <c r="F123" s="1"/>
      <c r="H123"/>
      <c r="J123" s="131"/>
      <c r="K123" s="93"/>
      <c r="R123" s="126"/>
      <c r="S123" s="129"/>
    </row>
    <row r="124" spans="4:19" ht="13.5" thickBot="1" x14ac:dyDescent="0.25">
      <c r="F124" s="1"/>
      <c r="H124"/>
      <c r="J124" s="115">
        <f t="shared" ref="J124:S124" si="2">SUM(J104:J123)</f>
        <v>0</v>
      </c>
      <c r="K124" s="20">
        <f t="shared" si="2"/>
        <v>0</v>
      </c>
      <c r="L124" s="20">
        <f t="shared" si="2"/>
        <v>0</v>
      </c>
      <c r="M124" s="12">
        <f t="shared" si="2"/>
        <v>0</v>
      </c>
      <c r="N124" s="20">
        <f t="shared" si="2"/>
        <v>0</v>
      </c>
      <c r="O124" s="20">
        <f t="shared" si="2"/>
        <v>0</v>
      </c>
      <c r="P124" s="12">
        <f t="shared" si="2"/>
        <v>0</v>
      </c>
      <c r="Q124" s="20">
        <f t="shared" si="2"/>
        <v>0</v>
      </c>
      <c r="R124" s="20">
        <f t="shared" si="2"/>
        <v>0</v>
      </c>
      <c r="S124" s="132">
        <f t="shared" si="2"/>
        <v>0</v>
      </c>
    </row>
    <row r="125" spans="4:19" ht="13.5" thickTop="1" x14ac:dyDescent="0.2">
      <c r="F125" s="1"/>
      <c r="H125"/>
    </row>
    <row r="133" spans="12:12" x14ac:dyDescent="0.2">
      <c r="L133" s="13"/>
    </row>
  </sheetData>
  <sheetProtection algorithmName="SHA-512" hashValue="EjALOnAmecogiDWpY+jLiaGP6jK/TGCPi65hZ/MlIPdvzaQoWrGZugLcVk811Lur1bu1TIRLF7owCiY5/xkTlw==" saltValue="rzTXqCR23n3syrHNVsYXsA==" spinCount="100000" sheet="1" objects="1" scenarios="1"/>
  <mergeCells count="36">
    <mergeCell ref="C53:G54"/>
    <mergeCell ref="D58:G58"/>
    <mergeCell ref="C43:G43"/>
    <mergeCell ref="C68:G69"/>
    <mergeCell ref="K68:K69"/>
    <mergeCell ref="B62:O62"/>
    <mergeCell ref="B60:O60"/>
    <mergeCell ref="K56:K57"/>
    <mergeCell ref="C56:G57"/>
    <mergeCell ref="K53:K54"/>
    <mergeCell ref="C45:G45"/>
    <mergeCell ref="C49:G49"/>
    <mergeCell ref="B74:O74"/>
    <mergeCell ref="R101:S101"/>
    <mergeCell ref="A99:P99"/>
    <mergeCell ref="J101:K101"/>
    <mergeCell ref="L101:N101"/>
    <mergeCell ref="O101:Q101"/>
    <mergeCell ref="A2:P2"/>
    <mergeCell ref="B4:P4"/>
    <mergeCell ref="B17:O17"/>
    <mergeCell ref="C16:O16"/>
    <mergeCell ref="C7:P8"/>
    <mergeCell ref="C10:O11"/>
    <mergeCell ref="C13:O14"/>
    <mergeCell ref="K36:K37"/>
    <mergeCell ref="C36:G37"/>
    <mergeCell ref="C22:H23"/>
    <mergeCell ref="C39:G40"/>
    <mergeCell ref="J39:J40"/>
    <mergeCell ref="B33:O33"/>
    <mergeCell ref="L39:L40"/>
    <mergeCell ref="O39:O40"/>
    <mergeCell ref="I39:I40"/>
    <mergeCell ref="K39:K40"/>
    <mergeCell ref="M38:N40"/>
  </mergeCells>
  <phoneticPr fontId="17" type="noConversion"/>
  <printOptions horizontalCentered="1"/>
  <pageMargins left="0.36" right="0.37" top="0.71" bottom="0.5" header="0.5" footer="0.5"/>
  <pageSetup scale="69" orientation="portrait" r:id="rId1"/>
  <headerFooter alignWithMargins="0">
    <oddHeader>&amp;R&amp;"Arial,Bold"&amp;12Entry H</oddHeader>
    <oddFooter>&amp;L&amp;8&amp;D - County model&amp;R &amp;P</oddFooter>
  </headerFooter>
  <rowBreaks count="2" manualBreakCount="2">
    <brk id="71" max="16" man="1"/>
    <brk id="97" max="18" man="1"/>
  </row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148"/>
  <sheetViews>
    <sheetView topLeftCell="A106" workbookViewId="0"/>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28515625" bestFit="1" customWidth="1"/>
    <col min="8" max="8" width="10.42578125" style="1" customWidth="1"/>
    <col min="10" max="10" width="4" customWidth="1"/>
    <col min="11" max="11" width="11.28515625" customWidth="1"/>
    <col min="12" max="12" width="12.5703125" customWidth="1"/>
    <col min="13" max="13" width="0.7109375" customWidth="1"/>
    <col min="14" max="14" width="12.7109375" customWidth="1"/>
    <col min="15" max="15" width="10.42578125" bestFit="1" customWidth="1"/>
    <col min="16" max="16" width="1.28515625" customWidth="1"/>
    <col min="17" max="17" width="1.5703125" customWidth="1"/>
  </cols>
  <sheetData>
    <row r="1" spans="1:16" ht="7.5" customHeight="1" x14ac:dyDescent="0.2"/>
    <row r="2" spans="1:16" ht="33.75" customHeight="1" x14ac:dyDescent="0.25">
      <c r="A2" s="1465" t="s">
        <v>209</v>
      </c>
      <c r="B2" s="1466"/>
      <c r="C2" s="1466"/>
      <c r="D2" s="1466"/>
      <c r="E2" s="1466"/>
      <c r="F2" s="1466"/>
      <c r="G2" s="1466"/>
      <c r="H2" s="1466"/>
      <c r="I2" s="1466"/>
      <c r="J2" s="1466"/>
      <c r="K2" s="1466"/>
      <c r="L2" s="1466"/>
      <c r="M2" s="1466"/>
      <c r="N2" s="1466"/>
      <c r="O2" s="1466"/>
      <c r="P2" s="1467"/>
    </row>
    <row r="3" spans="1:16" ht="11.25" customHeight="1" x14ac:dyDescent="0.2"/>
    <row r="4" spans="1:16" ht="77.25" customHeight="1" x14ac:dyDescent="0.2">
      <c r="B4" s="1468" t="s">
        <v>264</v>
      </c>
      <c r="C4" s="1468"/>
      <c r="D4" s="1468"/>
      <c r="E4" s="1468"/>
      <c r="F4" s="1468"/>
      <c r="G4" s="1468"/>
      <c r="H4" s="1468"/>
      <c r="I4" s="1468"/>
      <c r="J4" s="1468"/>
      <c r="K4" s="1468"/>
      <c r="L4" s="1468"/>
      <c r="M4" s="1468"/>
      <c r="N4" s="1468"/>
      <c r="O4" s="1468"/>
      <c r="P4" s="1468"/>
    </row>
    <row r="5" spans="1:16" ht="5.25" customHeight="1" x14ac:dyDescent="0.2"/>
    <row r="6" spans="1:16" ht="12.75" customHeight="1" x14ac:dyDescent="0.2">
      <c r="B6" s="39" t="s">
        <v>521</v>
      </c>
      <c r="C6" s="1387" t="s">
        <v>744</v>
      </c>
      <c r="D6" s="1387"/>
      <c r="E6" s="1387"/>
      <c r="F6" s="1387"/>
      <c r="G6" s="1387"/>
      <c r="H6" s="1387"/>
      <c r="I6" s="1387"/>
      <c r="J6" s="1387"/>
      <c r="K6" s="1387"/>
      <c r="L6" s="1387"/>
      <c r="M6" s="1387"/>
      <c r="N6" s="1387"/>
      <c r="O6" s="1387"/>
      <c r="P6" s="34"/>
    </row>
    <row r="7" spans="1:16" ht="12" customHeight="1" x14ac:dyDescent="0.2">
      <c r="B7" s="39"/>
      <c r="C7" s="1387"/>
      <c r="D7" s="1387"/>
      <c r="E7" s="1387"/>
      <c r="F7" s="1387"/>
      <c r="G7" s="1387"/>
      <c r="H7" s="1387"/>
      <c r="I7" s="1387"/>
      <c r="J7" s="1387"/>
      <c r="K7" s="1387"/>
      <c r="L7" s="1387"/>
      <c r="M7" s="1387"/>
      <c r="N7" s="1387"/>
      <c r="O7" s="1387"/>
      <c r="P7" s="34"/>
    </row>
    <row r="8" spans="1:16" ht="5.25" customHeight="1" x14ac:dyDescent="0.2">
      <c r="B8" s="39"/>
      <c r="C8" s="34"/>
      <c r="D8" s="34"/>
      <c r="E8" s="34"/>
      <c r="F8" s="34"/>
      <c r="G8" s="34"/>
      <c r="H8" s="34"/>
      <c r="I8" s="34"/>
      <c r="J8" s="34"/>
      <c r="K8" s="34"/>
      <c r="L8" s="34"/>
      <c r="M8" s="34"/>
      <c r="N8" s="34"/>
      <c r="O8" s="34"/>
      <c r="P8" s="34"/>
    </row>
    <row r="9" spans="1:16" ht="12.75" customHeight="1" x14ac:dyDescent="0.2">
      <c r="B9" s="39" t="s">
        <v>522</v>
      </c>
      <c r="C9" s="1387" t="s">
        <v>342</v>
      </c>
      <c r="D9" s="1387"/>
      <c r="E9" s="1387"/>
      <c r="F9" s="1387"/>
      <c r="G9" s="1387"/>
      <c r="H9" s="1387"/>
      <c r="I9" s="1387"/>
      <c r="J9" s="1387"/>
      <c r="K9" s="1387"/>
      <c r="L9" s="1387"/>
      <c r="M9" s="1387"/>
      <c r="N9" s="1387"/>
      <c r="O9" s="1387"/>
    </row>
    <row r="10" spans="1:16" ht="51.75" customHeight="1" x14ac:dyDescent="0.2">
      <c r="B10" s="39"/>
      <c r="C10" s="1387"/>
      <c r="D10" s="1387"/>
      <c r="E10" s="1387"/>
      <c r="F10" s="1387"/>
      <c r="G10" s="1387"/>
      <c r="H10" s="1387"/>
      <c r="I10" s="1387"/>
      <c r="J10" s="1387"/>
      <c r="K10" s="1387"/>
      <c r="L10" s="1387"/>
      <c r="M10" s="1387"/>
      <c r="N10" s="1387"/>
      <c r="O10" s="1387"/>
    </row>
    <row r="11" spans="1:16" ht="5.25" customHeight="1" x14ac:dyDescent="0.2">
      <c r="B11" s="39"/>
    </row>
    <row r="12" spans="1:16" ht="12.75" customHeight="1" x14ac:dyDescent="0.2">
      <c r="B12" s="39" t="s">
        <v>821</v>
      </c>
      <c r="C12" s="1387" t="s">
        <v>285</v>
      </c>
      <c r="D12" s="1387"/>
      <c r="E12" s="1387"/>
      <c r="F12" s="1387"/>
      <c r="G12" s="1387"/>
      <c r="H12" s="1387"/>
      <c r="I12" s="1387"/>
      <c r="J12" s="1387"/>
      <c r="K12" s="1387"/>
      <c r="L12" s="1387"/>
      <c r="M12" s="1387"/>
      <c r="N12" s="1387"/>
      <c r="O12" s="1387"/>
    </row>
    <row r="13" spans="1:16" ht="12.75" customHeight="1" x14ac:dyDescent="0.2">
      <c r="C13" s="1387"/>
      <c r="D13" s="1387"/>
      <c r="E13" s="1387"/>
      <c r="F13" s="1387"/>
      <c r="G13" s="1387"/>
      <c r="H13" s="1387"/>
      <c r="I13" s="1387"/>
      <c r="J13" s="1387"/>
      <c r="K13" s="1387"/>
      <c r="L13" s="1387"/>
      <c r="M13" s="1387"/>
      <c r="N13" s="1387"/>
      <c r="O13" s="1387"/>
    </row>
    <row r="14" spans="1:16" ht="6" customHeight="1" x14ac:dyDescent="0.2"/>
    <row r="16" spans="1:16" ht="25.5" customHeight="1" x14ac:dyDescent="0.2">
      <c r="A16" s="4" t="s">
        <v>547</v>
      </c>
      <c r="B16" s="1473" t="s">
        <v>808</v>
      </c>
      <c r="C16" s="1474"/>
      <c r="D16" s="1474"/>
      <c r="E16" s="1474"/>
      <c r="F16" s="1474"/>
      <c r="G16" s="1474"/>
      <c r="H16" s="1474"/>
      <c r="I16" s="1474"/>
      <c r="J16" s="1474"/>
      <c r="K16" s="1474"/>
      <c r="L16" s="1474"/>
      <c r="M16" s="1474"/>
      <c r="N16" s="1474"/>
      <c r="O16" s="1475"/>
      <c r="P16" s="44"/>
    </row>
    <row r="17" spans="1:16" ht="3.75" customHeight="1" x14ac:dyDescent="0.2">
      <c r="B17" s="44"/>
      <c r="C17" s="31"/>
      <c r="D17" s="31"/>
      <c r="E17" s="31"/>
      <c r="F17" s="31"/>
      <c r="G17" s="31"/>
      <c r="H17" s="30"/>
      <c r="I17" s="31"/>
      <c r="J17" s="31"/>
      <c r="K17" s="31"/>
      <c r="L17" s="31"/>
      <c r="M17" s="31"/>
      <c r="N17" s="31"/>
      <c r="O17" s="31"/>
    </row>
    <row r="18" spans="1:16" x14ac:dyDescent="0.2">
      <c r="H18"/>
      <c r="K18" s="46" t="s">
        <v>514</v>
      </c>
    </row>
    <row r="19" spans="1:16" ht="14.25" customHeight="1" x14ac:dyDescent="0.2">
      <c r="B19" s="39" t="s">
        <v>521</v>
      </c>
      <c r="C19" s="1387" t="s">
        <v>806</v>
      </c>
      <c r="D19" s="1387"/>
      <c r="E19" s="1387"/>
      <c r="F19" s="1387"/>
      <c r="G19" s="1387"/>
      <c r="H19" s="1387"/>
      <c r="I19" s="1387"/>
      <c r="K19" s="1528"/>
    </row>
    <row r="20" spans="1:16" ht="13.5" customHeight="1" x14ac:dyDescent="0.2">
      <c r="C20" s="1387"/>
      <c r="D20" s="1387"/>
      <c r="E20" s="1387"/>
      <c r="F20" s="1387"/>
      <c r="G20" s="1387"/>
      <c r="H20" s="1387"/>
      <c r="I20" s="1387"/>
      <c r="K20" s="1528"/>
    </row>
    <row r="21" spans="1:16" ht="13.5" customHeight="1" x14ac:dyDescent="0.2">
      <c r="H21"/>
      <c r="K21" s="30"/>
    </row>
    <row r="22" spans="1:16" ht="12.75" customHeight="1" x14ac:dyDescent="0.2">
      <c r="B22" s="39" t="s">
        <v>522</v>
      </c>
      <c r="C22" s="1387" t="s">
        <v>852</v>
      </c>
      <c r="D22" s="1387"/>
      <c r="E22" s="1387"/>
      <c r="F22" s="1387"/>
      <c r="G22" s="1387"/>
      <c r="H22" s="1387"/>
      <c r="I22" s="1387"/>
      <c r="K22" s="1528"/>
    </row>
    <row r="23" spans="1:16" x14ac:dyDescent="0.2">
      <c r="C23" s="1387"/>
      <c r="D23" s="1387"/>
      <c r="E23" s="1387"/>
      <c r="F23" s="1387"/>
      <c r="G23" s="1387"/>
      <c r="H23" s="1387"/>
      <c r="I23" s="1387"/>
      <c r="K23" s="1528"/>
    </row>
    <row r="24" spans="1:16" x14ac:dyDescent="0.2">
      <c r="H24"/>
      <c r="K24" s="93"/>
    </row>
    <row r="25" spans="1:16" ht="12.75" customHeight="1" x14ac:dyDescent="0.2">
      <c r="B25" s="39" t="s">
        <v>523</v>
      </c>
      <c r="C25" s="1387" t="s">
        <v>807</v>
      </c>
      <c r="D25" s="1387"/>
      <c r="E25" s="1387"/>
      <c r="F25" s="1387"/>
      <c r="G25" s="1387"/>
      <c r="H25" s="1387"/>
      <c r="I25" s="1387"/>
      <c r="K25" s="1528"/>
    </row>
    <row r="26" spans="1:16" x14ac:dyDescent="0.2">
      <c r="C26" s="1387"/>
      <c r="D26" s="1387"/>
      <c r="E26" s="1387"/>
      <c r="F26" s="1387"/>
      <c r="G26" s="1387"/>
      <c r="H26" s="1387"/>
      <c r="I26" s="1387"/>
      <c r="K26" s="1528"/>
    </row>
    <row r="27" spans="1:16" x14ac:dyDescent="0.2">
      <c r="H27"/>
      <c r="K27" s="116"/>
    </row>
    <row r="28" spans="1:16" x14ac:dyDescent="0.2">
      <c r="G28" t="s">
        <v>145</v>
      </c>
      <c r="H28"/>
      <c r="K28" s="207">
        <f>K25-K19</f>
        <v>0</v>
      </c>
    </row>
    <row r="29" spans="1:16" x14ac:dyDescent="0.2">
      <c r="H29"/>
      <c r="K29" s="116"/>
    </row>
    <row r="30" spans="1:16" ht="25.5" customHeight="1" x14ac:dyDescent="0.2">
      <c r="A30" s="4" t="s">
        <v>548</v>
      </c>
      <c r="B30" s="1542" t="s">
        <v>1146</v>
      </c>
      <c r="C30" s="1543"/>
      <c r="D30" s="1543"/>
      <c r="E30" s="1543"/>
      <c r="F30" s="1543"/>
      <c r="G30" s="1543"/>
      <c r="H30" s="1543"/>
      <c r="I30" s="1543"/>
      <c r="J30" s="1543"/>
      <c r="K30" s="1543"/>
      <c r="L30" s="1543"/>
      <c r="M30" s="1543"/>
      <c r="N30" s="1543"/>
      <c r="O30" s="1544"/>
      <c r="P30" s="44"/>
    </row>
    <row r="31" spans="1:16" ht="6.75" customHeight="1" x14ac:dyDescent="0.2">
      <c r="H31" s="11"/>
      <c r="I31" s="11"/>
      <c r="J31" s="11"/>
      <c r="K31" s="11"/>
      <c r="L31" s="11"/>
      <c r="M31" s="11"/>
      <c r="O31" s="11"/>
    </row>
    <row r="32" spans="1:16" x14ac:dyDescent="0.2">
      <c r="B32" s="1541"/>
      <c r="C32" s="1541"/>
      <c r="D32" s="1541"/>
      <c r="E32" s="1541"/>
      <c r="F32" s="1541"/>
      <c r="G32" s="1541"/>
      <c r="H32" s="1541"/>
      <c r="I32" s="1541"/>
      <c r="J32" s="11"/>
      <c r="K32" s="153" t="s">
        <v>514</v>
      </c>
      <c r="L32" s="11"/>
      <c r="M32" s="11"/>
      <c r="O32" s="11"/>
    </row>
    <row r="33" spans="1:15" ht="6" customHeight="1" x14ac:dyDescent="0.2">
      <c r="H33" s="11"/>
      <c r="I33" s="11"/>
      <c r="J33" s="11"/>
      <c r="K33" s="150"/>
      <c r="L33" s="11"/>
      <c r="M33" s="11"/>
      <c r="O33" s="11"/>
    </row>
    <row r="34" spans="1:15" ht="12.75" customHeight="1" x14ac:dyDescent="0.2">
      <c r="B34" s="39" t="s">
        <v>521</v>
      </c>
      <c r="C34" s="1387" t="s">
        <v>856</v>
      </c>
      <c r="D34" s="1387"/>
      <c r="E34" s="1387"/>
      <c r="F34" s="1387"/>
      <c r="G34" s="1387"/>
      <c r="H34" s="1387"/>
      <c r="I34" s="1387"/>
      <c r="K34" s="1511"/>
      <c r="L34" s="11"/>
      <c r="M34" s="11"/>
      <c r="O34" s="11"/>
    </row>
    <row r="35" spans="1:15" ht="12.75" customHeight="1" x14ac:dyDescent="0.2">
      <c r="B35" s="39"/>
      <c r="C35" s="1387"/>
      <c r="D35" s="1387"/>
      <c r="E35" s="1387"/>
      <c r="F35" s="1387"/>
      <c r="G35" s="1387"/>
      <c r="H35" s="1387"/>
      <c r="I35" s="1387"/>
      <c r="K35" s="1511"/>
      <c r="M35" s="11"/>
      <c r="O35" s="11"/>
    </row>
    <row r="36" spans="1:15" ht="7.5" customHeight="1" x14ac:dyDescent="0.2">
      <c r="H36"/>
      <c r="L36" s="11"/>
      <c r="M36" s="11"/>
      <c r="O36" s="11"/>
    </row>
    <row r="37" spans="1:15" ht="12.75" customHeight="1" x14ac:dyDescent="0.2">
      <c r="B37" s="39" t="s">
        <v>522</v>
      </c>
      <c r="C37" s="1387" t="s">
        <v>857</v>
      </c>
      <c r="D37" s="1387"/>
      <c r="E37" s="1387"/>
      <c r="F37" s="1387"/>
      <c r="G37" s="1387"/>
      <c r="H37" s="1387"/>
      <c r="I37" s="1387"/>
      <c r="K37" s="1498"/>
      <c r="L37" s="11"/>
      <c r="M37" s="11"/>
      <c r="O37" s="11"/>
    </row>
    <row r="38" spans="1:15" ht="12.75" customHeight="1" x14ac:dyDescent="0.2">
      <c r="A38"/>
      <c r="C38" s="1387"/>
      <c r="D38" s="1387"/>
      <c r="E38" s="1387"/>
      <c r="F38" s="1387"/>
      <c r="G38" s="1387"/>
      <c r="H38" s="1387"/>
      <c r="I38" s="1387"/>
      <c r="K38" s="1498"/>
      <c r="L38" s="202"/>
    </row>
    <row r="39" spans="1:15" ht="12.75" customHeight="1" thickBot="1" x14ac:dyDescent="0.25">
      <c r="G39" t="s">
        <v>853</v>
      </c>
      <c r="H39"/>
      <c r="K39" s="80">
        <f>K37-K34</f>
        <v>0</v>
      </c>
      <c r="L39" s="202" t="s">
        <v>338</v>
      </c>
      <c r="M39" s="11"/>
      <c r="O39" s="11"/>
    </row>
    <row r="40" spans="1:15" ht="5.25" customHeight="1" thickTop="1" x14ac:dyDescent="0.2">
      <c r="H40"/>
      <c r="K40" s="10"/>
      <c r="L40" s="202"/>
      <c r="M40" s="11"/>
      <c r="O40" s="11"/>
    </row>
    <row r="41" spans="1:15" ht="12.75" customHeight="1" x14ac:dyDescent="0.2">
      <c r="B41" s="39" t="s">
        <v>523</v>
      </c>
      <c r="C41" s="1387" t="s">
        <v>286</v>
      </c>
      <c r="D41" s="1387"/>
      <c r="E41" s="1387"/>
      <c r="F41" s="1387"/>
      <c r="G41" s="1387"/>
      <c r="H41" s="1387"/>
      <c r="I41" s="1387"/>
      <c r="J41" s="34"/>
      <c r="L41" s="11"/>
      <c r="M41" s="11"/>
    </row>
    <row r="42" spans="1:15" ht="27" customHeight="1" x14ac:dyDescent="0.2">
      <c r="B42" s="39"/>
      <c r="C42" s="1387"/>
      <c r="D42" s="1387"/>
      <c r="E42" s="1387"/>
      <c r="F42" s="1387"/>
      <c r="G42" s="1387"/>
      <c r="H42" s="1387"/>
      <c r="I42" s="1387"/>
      <c r="J42" s="34"/>
      <c r="L42" s="11"/>
      <c r="M42" s="11"/>
    </row>
    <row r="43" spans="1:15" ht="36" customHeight="1" x14ac:dyDescent="0.2">
      <c r="B43" s="39"/>
      <c r="C43" s="34"/>
      <c r="D43" s="34"/>
      <c r="E43" s="34"/>
      <c r="F43" s="34"/>
      <c r="G43" s="34"/>
      <c r="H43"/>
      <c r="I43" s="34"/>
      <c r="J43" s="34"/>
      <c r="K43" s="89" t="s">
        <v>855</v>
      </c>
      <c r="L43" s="11"/>
      <c r="M43" s="11"/>
    </row>
    <row r="44" spans="1:15" x14ac:dyDescent="0.2">
      <c r="G44" t="s">
        <v>191</v>
      </c>
      <c r="H44"/>
      <c r="K44" s="344"/>
      <c r="L44" s="11"/>
      <c r="M44" s="11"/>
    </row>
    <row r="45" spans="1:15" x14ac:dyDescent="0.2">
      <c r="G45" t="s">
        <v>1009</v>
      </c>
      <c r="H45"/>
      <c r="K45" s="344"/>
      <c r="L45" s="11"/>
      <c r="M45" s="11"/>
    </row>
    <row r="46" spans="1:15" x14ac:dyDescent="0.2">
      <c r="G46" t="s">
        <v>216</v>
      </c>
      <c r="H46"/>
      <c r="K46" s="344"/>
      <c r="L46" s="11"/>
      <c r="M46" s="11"/>
    </row>
    <row r="47" spans="1:15" x14ac:dyDescent="0.2">
      <c r="G47" t="s">
        <v>831</v>
      </c>
      <c r="H47"/>
      <c r="K47" s="344"/>
      <c r="L47" s="11"/>
      <c r="M47" s="11"/>
    </row>
    <row r="48" spans="1:15" x14ac:dyDescent="0.2">
      <c r="G48" t="s">
        <v>820</v>
      </c>
      <c r="H48"/>
      <c r="K48" s="344"/>
      <c r="L48" s="11"/>
      <c r="M48" s="11"/>
    </row>
    <row r="49" spans="1:15" x14ac:dyDescent="0.2">
      <c r="G49" t="s">
        <v>217</v>
      </c>
      <c r="H49"/>
      <c r="K49" s="344"/>
      <c r="L49" s="11"/>
      <c r="M49" s="11"/>
    </row>
    <row r="50" spans="1:15" x14ac:dyDescent="0.2">
      <c r="G50" t="s">
        <v>218</v>
      </c>
      <c r="H50"/>
      <c r="K50" s="344"/>
      <c r="L50" s="11"/>
      <c r="M50" s="11"/>
    </row>
    <row r="51" spans="1:15" x14ac:dyDescent="0.2">
      <c r="G51" t="s">
        <v>174</v>
      </c>
      <c r="H51"/>
      <c r="I51" s="1388"/>
      <c r="K51" s="344"/>
      <c r="L51" s="200"/>
      <c r="M51" s="200"/>
    </row>
    <row r="52" spans="1:15" x14ac:dyDescent="0.2">
      <c r="G52" s="354" t="s">
        <v>740</v>
      </c>
      <c r="H52"/>
      <c r="I52" s="1388"/>
      <c r="K52" s="344"/>
      <c r="L52" s="1536" t="str">
        <f>IF(K53=K39," ","Recheck numbers. Entry is out of balance.")</f>
        <v xml:space="preserve"> </v>
      </c>
      <c r="M52" s="200"/>
    </row>
    <row r="53" spans="1:15" ht="20.25" customHeight="1" thickBot="1" x14ac:dyDescent="0.25">
      <c r="H53"/>
      <c r="I53" s="1388"/>
      <c r="J53" s="222" t="s">
        <v>338</v>
      </c>
      <c r="K53" s="75">
        <f>SUM(K44:K52)</f>
        <v>0</v>
      </c>
      <c r="L53" s="1536"/>
      <c r="M53" s="221"/>
    </row>
    <row r="54" spans="1:15" ht="13.5" thickTop="1" x14ac:dyDescent="0.2">
      <c r="H54"/>
      <c r="L54" s="11"/>
      <c r="M54" s="11"/>
    </row>
    <row r="55" spans="1:15" ht="25.5" customHeight="1" x14ac:dyDescent="0.2">
      <c r="A55" s="4" t="s">
        <v>816</v>
      </c>
      <c r="B55" s="1473" t="s">
        <v>1023</v>
      </c>
      <c r="C55" s="1474"/>
      <c r="D55" s="1474"/>
      <c r="E55" s="1474"/>
      <c r="F55" s="1474"/>
      <c r="G55" s="1474"/>
      <c r="H55" s="1474"/>
      <c r="I55" s="1474"/>
      <c r="J55" s="1474"/>
      <c r="K55" s="1474"/>
      <c r="L55" s="1474"/>
      <c r="M55" s="1474"/>
      <c r="N55" s="1474"/>
      <c r="O55" s="1475"/>
    </row>
    <row r="56" spans="1:15" ht="5.25" customHeight="1" x14ac:dyDescent="0.2">
      <c r="H56"/>
      <c r="L56" s="11"/>
      <c r="M56" s="11"/>
    </row>
    <row r="57" spans="1:15" x14ac:dyDescent="0.2">
      <c r="B57" s="1539" t="s">
        <v>257</v>
      </c>
      <c r="C57" s="1539"/>
      <c r="D57" s="1539"/>
      <c r="E57" s="1539"/>
      <c r="H57"/>
      <c r="L57" s="11"/>
      <c r="M57" s="11"/>
    </row>
    <row r="58" spans="1:15" x14ac:dyDescent="0.2">
      <c r="H58"/>
      <c r="L58" s="11"/>
      <c r="M58" s="11"/>
    </row>
    <row r="59" spans="1:15" ht="12.75" customHeight="1" x14ac:dyDescent="0.2">
      <c r="B59" s="39" t="s">
        <v>521</v>
      </c>
      <c r="C59" s="1387" t="s">
        <v>860</v>
      </c>
      <c r="D59" s="1387"/>
      <c r="E59" s="1387"/>
      <c r="F59" s="1387"/>
      <c r="G59" s="1387"/>
      <c r="H59" s="1387"/>
      <c r="I59" s="1387"/>
      <c r="K59" s="344"/>
      <c r="L59" s="11"/>
      <c r="M59" s="11"/>
    </row>
    <row r="60" spans="1:15" ht="5.25" customHeight="1" x14ac:dyDescent="0.2">
      <c r="H60"/>
      <c r="K60" s="355"/>
      <c r="L60" s="11"/>
      <c r="M60" s="11"/>
    </row>
    <row r="61" spans="1:15" x14ac:dyDescent="0.2">
      <c r="B61" s="39" t="s">
        <v>522</v>
      </c>
      <c r="C61" s="1387" t="s">
        <v>861</v>
      </c>
      <c r="D61" s="1387"/>
      <c r="E61" s="1387"/>
      <c r="F61" s="1387"/>
      <c r="G61" s="1387"/>
      <c r="H61" s="1387"/>
      <c r="I61" s="1387"/>
      <c r="K61" s="344"/>
      <c r="L61" s="11"/>
      <c r="M61" s="11"/>
    </row>
    <row r="62" spans="1:15" ht="18" customHeight="1" thickBot="1" x14ac:dyDescent="0.25">
      <c r="G62" t="s">
        <v>853</v>
      </c>
      <c r="H62"/>
      <c r="K62" s="75">
        <f>K61-K59</f>
        <v>0</v>
      </c>
      <c r="L62" s="202" t="s">
        <v>339</v>
      </c>
      <c r="M62" s="11"/>
    </row>
    <row r="63" spans="1:15" ht="4.5" customHeight="1" thickTop="1" x14ac:dyDescent="0.2">
      <c r="H63"/>
      <c r="L63" s="11"/>
      <c r="M63" s="11"/>
    </row>
    <row r="64" spans="1:15" ht="4.5" customHeight="1" x14ac:dyDescent="0.2">
      <c r="H64"/>
      <c r="L64" s="11"/>
      <c r="M64" s="11"/>
    </row>
    <row r="65" spans="1:15" x14ac:dyDescent="0.2">
      <c r="B65" s="39" t="s">
        <v>523</v>
      </c>
      <c r="C65" s="1540" t="s">
        <v>256</v>
      </c>
      <c r="D65" s="1540"/>
      <c r="E65" s="1540"/>
      <c r="F65" s="1540"/>
      <c r="G65" s="1540"/>
      <c r="H65" s="1540"/>
      <c r="I65" s="1540"/>
      <c r="L65" s="11"/>
      <c r="M65" s="11"/>
    </row>
    <row r="66" spans="1:15" x14ac:dyDescent="0.2">
      <c r="C66" s="1540"/>
      <c r="D66" s="1540"/>
      <c r="E66" s="1540"/>
      <c r="F66" s="1540"/>
      <c r="G66" s="1540"/>
      <c r="H66" s="1540"/>
      <c r="I66" s="1540"/>
      <c r="L66" s="11"/>
      <c r="M66" s="11"/>
    </row>
    <row r="67" spans="1:15" ht="36" customHeight="1" x14ac:dyDescent="0.2">
      <c r="H67"/>
      <c r="K67" s="89" t="s">
        <v>854</v>
      </c>
      <c r="L67" s="11"/>
      <c r="M67" s="11"/>
    </row>
    <row r="68" spans="1:15" x14ac:dyDescent="0.2">
      <c r="G68" t="s">
        <v>191</v>
      </c>
      <c r="H68"/>
      <c r="K68" s="344"/>
      <c r="L68" s="11"/>
      <c r="M68" s="11"/>
    </row>
    <row r="69" spans="1:15" x14ac:dyDescent="0.2">
      <c r="G69" t="s">
        <v>1009</v>
      </c>
      <c r="H69"/>
      <c r="K69" s="344"/>
    </row>
    <row r="70" spans="1:15" x14ac:dyDescent="0.2">
      <c r="G70" t="s">
        <v>216</v>
      </c>
      <c r="H70"/>
      <c r="K70" s="344"/>
    </row>
    <row r="71" spans="1:15" x14ac:dyDescent="0.2">
      <c r="G71" t="s">
        <v>831</v>
      </c>
      <c r="H71"/>
      <c r="K71" s="344"/>
    </row>
    <row r="72" spans="1:15" x14ac:dyDescent="0.2">
      <c r="G72" t="s">
        <v>820</v>
      </c>
      <c r="H72"/>
      <c r="K72" s="344"/>
    </row>
    <row r="73" spans="1:15" x14ac:dyDescent="0.2">
      <c r="G73" t="s">
        <v>217</v>
      </c>
      <c r="H73"/>
      <c r="K73" s="344"/>
    </row>
    <row r="74" spans="1:15" x14ac:dyDescent="0.2">
      <c r="G74" t="s">
        <v>218</v>
      </c>
      <c r="H74"/>
      <c r="K74" s="344"/>
    </row>
    <row r="75" spans="1:15" x14ac:dyDescent="0.2">
      <c r="G75" t="s">
        <v>174</v>
      </c>
      <c r="H75"/>
      <c r="K75" s="344"/>
    </row>
    <row r="76" spans="1:15" ht="12.75" customHeight="1" x14ac:dyDescent="0.2">
      <c r="G76" s="354" t="s">
        <v>740</v>
      </c>
      <c r="H76"/>
      <c r="K76" s="344"/>
      <c r="L76" s="1388" t="str">
        <f>IF(K77=K62," ","Recheck numbers. Entry is out of balance.")</f>
        <v xml:space="preserve"> </v>
      </c>
    </row>
    <row r="77" spans="1:15" ht="20.25" customHeight="1" thickBot="1" x14ac:dyDescent="0.25">
      <c r="G77" s="203"/>
      <c r="H77"/>
      <c r="J77" s="202" t="s">
        <v>339</v>
      </c>
      <c r="K77" s="75">
        <f>SUM(K68:K76)</f>
        <v>0</v>
      </c>
      <c r="L77" s="1388"/>
    </row>
    <row r="78" spans="1:15" ht="13.5" thickTop="1" x14ac:dyDescent="0.2">
      <c r="H78"/>
      <c r="L78" s="11"/>
      <c r="M78" s="11"/>
    </row>
    <row r="79" spans="1:15" x14ac:dyDescent="0.2">
      <c r="H79"/>
      <c r="L79" s="11"/>
      <c r="M79" s="11"/>
    </row>
    <row r="80" spans="1:15" ht="25.5" customHeight="1" x14ac:dyDescent="0.2">
      <c r="A80" s="4" t="s">
        <v>822</v>
      </c>
      <c r="B80" s="1473" t="s">
        <v>625</v>
      </c>
      <c r="C80" s="1537"/>
      <c r="D80" s="1537"/>
      <c r="E80" s="1537"/>
      <c r="F80" s="1537"/>
      <c r="G80" s="1537"/>
      <c r="H80" s="1537"/>
      <c r="I80" s="1537"/>
      <c r="J80" s="1537"/>
      <c r="K80" s="1537"/>
      <c r="L80" s="1537"/>
      <c r="M80" s="1537"/>
      <c r="N80" s="1537"/>
      <c r="O80" s="1538"/>
    </row>
    <row r="81" spans="2:17" x14ac:dyDescent="0.2">
      <c r="H81"/>
      <c r="L81" s="11"/>
      <c r="M81" s="11"/>
    </row>
    <row r="82" spans="2:17" x14ac:dyDescent="0.2">
      <c r="H82"/>
      <c r="L82" s="11"/>
      <c r="M82" s="11"/>
      <c r="N82" s="46" t="s">
        <v>514</v>
      </c>
    </row>
    <row r="83" spans="2:17" ht="15" customHeight="1" x14ac:dyDescent="0.2">
      <c r="B83" s="39" t="s">
        <v>521</v>
      </c>
      <c r="C83" s="1387" t="s">
        <v>797</v>
      </c>
      <c r="D83" s="1387"/>
      <c r="E83" s="1387"/>
      <c r="F83" s="1387"/>
      <c r="G83" s="1387"/>
      <c r="H83" s="1387"/>
      <c r="I83" s="1387"/>
      <c r="J83" s="1387"/>
      <c r="K83" s="1387"/>
      <c r="L83" s="1387"/>
      <c r="M83" s="11"/>
      <c r="N83" s="1511"/>
      <c r="Q83" s="11"/>
    </row>
    <row r="84" spans="2:17" ht="12.75" customHeight="1" x14ac:dyDescent="0.2">
      <c r="B84" s="39"/>
      <c r="C84" s="1387"/>
      <c r="D84" s="1387"/>
      <c r="E84" s="1387"/>
      <c r="F84" s="1387"/>
      <c r="G84" s="1387"/>
      <c r="H84" s="1387"/>
      <c r="I84" s="1387"/>
      <c r="J84" s="1387"/>
      <c r="K84" s="1387"/>
      <c r="L84" s="1387"/>
      <c r="M84" s="11"/>
      <c r="N84" s="1511"/>
      <c r="Q84" s="11"/>
    </row>
    <row r="85" spans="2:17" ht="12.75" customHeight="1" x14ac:dyDescent="0.2">
      <c r="B85" s="39"/>
      <c r="C85" s="34"/>
      <c r="D85" s="34"/>
      <c r="E85" s="34"/>
      <c r="F85" s="34"/>
      <c r="G85" s="34"/>
      <c r="H85" s="34"/>
      <c r="I85" s="34"/>
      <c r="J85" s="34"/>
      <c r="K85" s="34"/>
      <c r="M85" s="11"/>
      <c r="Q85" s="11"/>
    </row>
    <row r="86" spans="2:17" ht="12.75" customHeight="1" x14ac:dyDescent="0.2">
      <c r="B86" s="39" t="s">
        <v>522</v>
      </c>
      <c r="C86" s="1387" t="s">
        <v>864</v>
      </c>
      <c r="D86" s="1387"/>
      <c r="E86" s="1387"/>
      <c r="F86" s="1387"/>
      <c r="G86" s="1387"/>
      <c r="H86" s="1387"/>
      <c r="I86" s="1387"/>
      <c r="J86" s="1387"/>
      <c r="K86" s="1387"/>
      <c r="L86" s="1387"/>
      <c r="M86" s="11"/>
      <c r="N86" s="1511"/>
      <c r="Q86" s="11"/>
    </row>
    <row r="87" spans="2:17" ht="12.75" customHeight="1" x14ac:dyDescent="0.2">
      <c r="B87" s="39"/>
      <c r="C87" s="1387"/>
      <c r="D87" s="1387"/>
      <c r="E87" s="1387"/>
      <c r="F87" s="1387"/>
      <c r="G87" s="1387"/>
      <c r="H87" s="1387"/>
      <c r="I87" s="1387"/>
      <c r="J87" s="1387"/>
      <c r="K87" s="1387"/>
      <c r="L87" s="1387"/>
      <c r="M87" s="11"/>
      <c r="N87" s="1524"/>
      <c r="Q87" s="11"/>
    </row>
    <row r="88" spans="2:17" ht="16.5" customHeight="1" thickBot="1" x14ac:dyDescent="0.25">
      <c r="B88" s="39"/>
      <c r="C88" s="34"/>
      <c r="E88" s="34"/>
      <c r="F88" s="34"/>
      <c r="G88" s="1387" t="s">
        <v>144</v>
      </c>
      <c r="H88" s="1387"/>
      <c r="I88" s="1387"/>
      <c r="J88" s="1387"/>
      <c r="K88" s="1387"/>
      <c r="L88" s="1387"/>
      <c r="M88" s="11"/>
      <c r="N88" s="86">
        <f>N86-N83</f>
        <v>0</v>
      </c>
      <c r="O88" s="202" t="s">
        <v>474</v>
      </c>
      <c r="Q88" s="11"/>
    </row>
    <row r="89" spans="2:17" ht="12.75" customHeight="1" thickTop="1" x14ac:dyDescent="0.2">
      <c r="B89" s="39"/>
      <c r="C89" s="34"/>
      <c r="D89" s="34"/>
      <c r="E89" s="34"/>
      <c r="F89" s="34"/>
      <c r="G89" s="34"/>
      <c r="H89" s="34"/>
      <c r="I89" s="34"/>
      <c r="J89" s="34"/>
      <c r="K89" s="34"/>
      <c r="M89" s="11"/>
      <c r="Q89" s="11"/>
    </row>
    <row r="90" spans="2:17" ht="12.75" customHeight="1" x14ac:dyDescent="0.2">
      <c r="B90" s="39" t="s">
        <v>523</v>
      </c>
      <c r="C90" s="1387" t="s">
        <v>602</v>
      </c>
      <c r="D90" s="1387"/>
      <c r="E90" s="1387"/>
      <c r="F90" s="1387"/>
      <c r="G90" s="1387"/>
      <c r="H90" s="1387"/>
      <c r="I90" s="1387"/>
      <c r="J90" s="1387"/>
      <c r="K90" s="1387"/>
      <c r="L90" s="1387"/>
      <c r="M90" s="34"/>
      <c r="Q90" s="11"/>
    </row>
    <row r="91" spans="2:17" ht="38.25" customHeight="1" x14ac:dyDescent="0.2">
      <c r="B91" s="39"/>
      <c r="C91" s="1387"/>
      <c r="D91" s="1387"/>
      <c r="E91" s="1387"/>
      <c r="F91" s="1387"/>
      <c r="G91" s="1387"/>
      <c r="H91" s="1387"/>
      <c r="I91" s="1387"/>
      <c r="J91" s="1387"/>
      <c r="K91" s="1387"/>
      <c r="L91" s="1387"/>
      <c r="M91" s="34"/>
      <c r="Q91" s="11"/>
    </row>
    <row r="92" spans="2:17" ht="13.5" customHeight="1" x14ac:dyDescent="0.2">
      <c r="B92" s="39"/>
      <c r="F92" t="s">
        <v>191</v>
      </c>
      <c r="H92"/>
      <c r="I92" s="31"/>
      <c r="J92" s="31"/>
      <c r="K92" s="344"/>
      <c r="M92" s="30"/>
      <c r="Q92" s="11"/>
    </row>
    <row r="93" spans="2:17" x14ac:dyDescent="0.2">
      <c r="B93" s="39"/>
      <c r="F93" t="s">
        <v>1009</v>
      </c>
      <c r="H93"/>
      <c r="I93" s="31"/>
      <c r="J93" s="31"/>
      <c r="K93" s="344"/>
      <c r="M93" s="30"/>
      <c r="Q93" s="11"/>
    </row>
    <row r="94" spans="2:17" x14ac:dyDescent="0.2">
      <c r="B94" s="39"/>
      <c r="F94" t="s">
        <v>216</v>
      </c>
      <c r="H94"/>
      <c r="I94" s="31"/>
      <c r="J94" s="31"/>
      <c r="K94" s="344"/>
      <c r="M94" s="30"/>
      <c r="Q94" s="11"/>
    </row>
    <row r="95" spans="2:17" x14ac:dyDescent="0.2">
      <c r="B95" s="39"/>
      <c r="F95" t="s">
        <v>831</v>
      </c>
      <c r="H95"/>
      <c r="I95" s="31"/>
      <c r="J95" s="31"/>
      <c r="K95" s="344"/>
      <c r="M95" s="30"/>
      <c r="Q95" s="11"/>
    </row>
    <row r="96" spans="2:17" ht="12.75" customHeight="1" x14ac:dyDescent="0.2">
      <c r="B96" s="39"/>
      <c r="F96" t="s">
        <v>820</v>
      </c>
      <c r="H96"/>
      <c r="I96" s="31"/>
      <c r="J96" s="31"/>
      <c r="K96" s="344"/>
      <c r="M96" s="30"/>
      <c r="Q96" s="11"/>
    </row>
    <row r="97" spans="1:17" ht="12.75" customHeight="1" x14ac:dyDescent="0.2">
      <c r="B97" s="39"/>
      <c r="F97" t="s">
        <v>217</v>
      </c>
      <c r="H97"/>
      <c r="I97" s="31"/>
      <c r="J97" s="31"/>
      <c r="K97" s="344"/>
      <c r="M97" s="30"/>
      <c r="Q97" s="11"/>
    </row>
    <row r="98" spans="1:17" x14ac:dyDescent="0.2">
      <c r="B98" s="39"/>
      <c r="F98" t="s">
        <v>218</v>
      </c>
      <c r="H98"/>
      <c r="I98" s="31"/>
      <c r="J98" s="31"/>
      <c r="K98" s="344"/>
      <c r="L98" s="11"/>
      <c r="M98" s="30"/>
      <c r="Q98" s="11"/>
    </row>
    <row r="99" spans="1:17" ht="12.75" customHeight="1" x14ac:dyDescent="0.2">
      <c r="B99" s="39"/>
      <c r="F99" t="s">
        <v>174</v>
      </c>
      <c r="H99"/>
      <c r="I99" s="31"/>
      <c r="J99" s="31"/>
      <c r="K99" s="344"/>
      <c r="L99" s="11"/>
      <c r="M99" s="30"/>
    </row>
    <row r="100" spans="1:17" ht="12.75" customHeight="1" x14ac:dyDescent="0.2">
      <c r="B100" s="39"/>
      <c r="F100" s="354" t="s">
        <v>740</v>
      </c>
      <c r="H100"/>
      <c r="I100" s="31"/>
      <c r="J100" s="31"/>
      <c r="K100" s="344"/>
      <c r="L100" s="1536" t="str">
        <f>IF(K101=N88," ","Recheck numbers. Entry is out of balance.")</f>
        <v xml:space="preserve"> </v>
      </c>
      <c r="M100" s="30"/>
    </row>
    <row r="101" spans="1:17" ht="27.75" customHeight="1" thickBot="1" x14ac:dyDescent="0.25">
      <c r="G101" t="s">
        <v>809</v>
      </c>
      <c r="H101"/>
      <c r="I101" s="31"/>
      <c r="J101" s="202" t="s">
        <v>474</v>
      </c>
      <c r="K101" s="80">
        <f>SUM(K92:K100)</f>
        <v>0</v>
      </c>
      <c r="L101" s="1536"/>
      <c r="M101" s="30"/>
    </row>
    <row r="102" spans="1:17" ht="14.25" thickTop="1" x14ac:dyDescent="0.25">
      <c r="H102"/>
      <c r="I102" s="31"/>
      <c r="J102" s="31"/>
      <c r="K102" s="11"/>
      <c r="L102" s="11"/>
      <c r="M102" s="30"/>
      <c r="P102" s="146"/>
      <c r="Q102" s="146"/>
    </row>
    <row r="103" spans="1:17" ht="13.5" x14ac:dyDescent="0.25">
      <c r="H103"/>
      <c r="I103" s="31"/>
      <c r="J103" s="31"/>
      <c r="K103" s="11"/>
      <c r="L103" s="11"/>
      <c r="M103" s="30"/>
      <c r="N103" s="30"/>
      <c r="O103" s="149"/>
      <c r="P103" s="146"/>
      <c r="Q103" s="146"/>
    </row>
    <row r="104" spans="1:17" ht="25.5" customHeight="1" x14ac:dyDescent="0.25">
      <c r="B104" s="1473" t="s">
        <v>240</v>
      </c>
      <c r="C104" s="1537"/>
      <c r="D104" s="1537"/>
      <c r="E104" s="1537"/>
      <c r="F104" s="1537"/>
      <c r="G104" s="1537"/>
      <c r="H104" s="1537"/>
      <c r="I104" s="1537"/>
      <c r="J104" s="1537"/>
      <c r="K104" s="1537"/>
      <c r="L104" s="1537"/>
      <c r="M104" s="1537"/>
      <c r="N104" s="1537"/>
      <c r="O104" s="1538"/>
      <c r="P104" s="146"/>
      <c r="Q104" s="146"/>
    </row>
    <row r="105" spans="1:17" ht="13.5" x14ac:dyDescent="0.25">
      <c r="A105" s="4" t="s">
        <v>838</v>
      </c>
      <c r="H105"/>
      <c r="I105" s="31"/>
      <c r="J105" s="31"/>
      <c r="K105" s="11"/>
      <c r="L105" s="11"/>
      <c r="M105" s="30"/>
      <c r="N105" s="30"/>
      <c r="O105" s="149"/>
      <c r="P105" s="146"/>
      <c r="Q105" s="146"/>
    </row>
    <row r="106" spans="1:17" ht="13.5" x14ac:dyDescent="0.25">
      <c r="H106"/>
      <c r="I106" s="31"/>
      <c r="J106" s="31"/>
      <c r="K106" s="11"/>
      <c r="L106" s="153" t="s">
        <v>517</v>
      </c>
      <c r="M106" s="151"/>
      <c r="N106" s="154" t="s">
        <v>518</v>
      </c>
      <c r="O106" s="149"/>
      <c r="P106" s="146"/>
      <c r="Q106" s="146"/>
    </row>
    <row r="107" spans="1:17" ht="6.75" customHeight="1" x14ac:dyDescent="0.25">
      <c r="H107"/>
      <c r="I107" s="31"/>
      <c r="J107" s="31"/>
      <c r="K107" s="11"/>
      <c r="L107" s="150"/>
      <c r="M107" s="151"/>
      <c r="N107" s="152"/>
      <c r="O107" s="149"/>
      <c r="P107" s="146"/>
      <c r="Q107" s="146"/>
    </row>
    <row r="108" spans="1:17" x14ac:dyDescent="0.2">
      <c r="B108" s="155" t="s">
        <v>745</v>
      </c>
      <c r="E108" t="s">
        <v>742</v>
      </c>
      <c r="L108" s="78">
        <f t="shared" ref="L108:L123" si="0">R131</f>
        <v>0</v>
      </c>
      <c r="M108" s="13"/>
      <c r="N108" s="78">
        <f t="shared" ref="N108:N123" si="1">S131</f>
        <v>0</v>
      </c>
    </row>
    <row r="109" spans="1:17" x14ac:dyDescent="0.2">
      <c r="B109" s="155"/>
      <c r="D109" s="2"/>
      <c r="E109" t="s">
        <v>536</v>
      </c>
      <c r="L109" s="78">
        <f t="shared" si="0"/>
        <v>0</v>
      </c>
      <c r="M109" s="13"/>
      <c r="N109" s="78">
        <f t="shared" si="1"/>
        <v>0</v>
      </c>
    </row>
    <row r="110" spans="1:17" ht="13.5" customHeight="1" x14ac:dyDescent="0.2">
      <c r="B110" s="155"/>
      <c r="E110" t="s">
        <v>261</v>
      </c>
      <c r="L110" s="78">
        <f t="shared" si="0"/>
        <v>0</v>
      </c>
      <c r="M110" s="13"/>
      <c r="N110" s="78">
        <f t="shared" si="1"/>
        <v>0</v>
      </c>
    </row>
    <row r="111" spans="1:17" ht="13.5" customHeight="1" x14ac:dyDescent="0.2">
      <c r="B111" s="155"/>
      <c r="E111" t="s">
        <v>258</v>
      </c>
      <c r="L111" s="78">
        <f t="shared" si="0"/>
        <v>0</v>
      </c>
      <c r="M111" s="13"/>
      <c r="N111" s="78">
        <f t="shared" si="1"/>
        <v>0</v>
      </c>
    </row>
    <row r="112" spans="1:17" ht="12.75" customHeight="1" x14ac:dyDescent="0.2">
      <c r="B112" s="155"/>
      <c r="E112" t="s">
        <v>798</v>
      </c>
      <c r="L112" s="78">
        <f t="shared" si="0"/>
        <v>0</v>
      </c>
      <c r="M112" s="13"/>
      <c r="N112" s="78">
        <f t="shared" si="1"/>
        <v>0</v>
      </c>
    </row>
    <row r="113" spans="2:15" x14ac:dyDescent="0.2">
      <c r="B113" s="155"/>
      <c r="F113" t="s">
        <v>191</v>
      </c>
      <c r="L113" s="78">
        <f t="shared" si="0"/>
        <v>0</v>
      </c>
      <c r="M113" s="94"/>
      <c r="N113" s="78">
        <f t="shared" si="1"/>
        <v>0</v>
      </c>
    </row>
    <row r="114" spans="2:15" x14ac:dyDescent="0.2">
      <c r="B114" s="155"/>
      <c r="F114" t="s">
        <v>1009</v>
      </c>
      <c r="L114" s="78">
        <f t="shared" si="0"/>
        <v>0</v>
      </c>
      <c r="M114" s="94"/>
      <c r="N114" s="78">
        <f t="shared" si="1"/>
        <v>0</v>
      </c>
    </row>
    <row r="115" spans="2:15" x14ac:dyDescent="0.2">
      <c r="B115" s="155"/>
      <c r="F115" t="s">
        <v>216</v>
      </c>
      <c r="L115" s="78">
        <f t="shared" si="0"/>
        <v>0</v>
      </c>
      <c r="M115" s="94"/>
      <c r="N115" s="78">
        <f t="shared" si="1"/>
        <v>0</v>
      </c>
    </row>
    <row r="116" spans="2:15" x14ac:dyDescent="0.2">
      <c r="F116" t="s">
        <v>831</v>
      </c>
      <c r="L116" s="78">
        <f t="shared" si="0"/>
        <v>0</v>
      </c>
      <c r="M116" s="94"/>
      <c r="N116" s="78">
        <f t="shared" si="1"/>
        <v>0</v>
      </c>
    </row>
    <row r="117" spans="2:15" x14ac:dyDescent="0.2">
      <c r="F117" t="s">
        <v>820</v>
      </c>
      <c r="L117" s="78">
        <f t="shared" si="0"/>
        <v>0</v>
      </c>
      <c r="M117" s="94"/>
      <c r="N117" s="78">
        <f t="shared" si="1"/>
        <v>0</v>
      </c>
    </row>
    <row r="118" spans="2:15" x14ac:dyDescent="0.2">
      <c r="F118" t="s">
        <v>217</v>
      </c>
      <c r="L118" s="78">
        <f t="shared" si="0"/>
        <v>0</v>
      </c>
      <c r="M118" s="94"/>
      <c r="N118" s="78">
        <f t="shared" si="1"/>
        <v>0</v>
      </c>
    </row>
    <row r="119" spans="2:15" x14ac:dyDescent="0.2">
      <c r="F119" t="s">
        <v>218</v>
      </c>
      <c r="L119" s="78">
        <f t="shared" si="0"/>
        <v>0</v>
      </c>
      <c r="M119" s="94"/>
      <c r="N119" s="78">
        <f t="shared" si="1"/>
        <v>0</v>
      </c>
    </row>
    <row r="120" spans="2:15" x14ac:dyDescent="0.2">
      <c r="F120" t="s">
        <v>174</v>
      </c>
      <c r="L120" s="78">
        <f t="shared" si="0"/>
        <v>0</v>
      </c>
      <c r="M120" s="94"/>
      <c r="N120" s="78">
        <f t="shared" si="1"/>
        <v>0</v>
      </c>
    </row>
    <row r="121" spans="2:15" x14ac:dyDescent="0.2">
      <c r="F121" s="354" t="s">
        <v>740</v>
      </c>
      <c r="L121" s="78">
        <f t="shared" si="0"/>
        <v>0</v>
      </c>
      <c r="M121" s="94"/>
      <c r="N121" s="78">
        <f t="shared" si="1"/>
        <v>0</v>
      </c>
    </row>
    <row r="122" spans="2:15" x14ac:dyDescent="0.2">
      <c r="F122" t="s">
        <v>343</v>
      </c>
      <c r="L122" s="78">
        <f t="shared" si="0"/>
        <v>0</v>
      </c>
      <c r="M122" s="94"/>
      <c r="N122" s="78">
        <f t="shared" si="1"/>
        <v>0</v>
      </c>
    </row>
    <row r="123" spans="2:15" x14ac:dyDescent="0.2">
      <c r="F123" t="s">
        <v>746</v>
      </c>
      <c r="L123" s="78">
        <f t="shared" si="0"/>
        <v>0</v>
      </c>
      <c r="M123" s="94"/>
      <c r="N123" s="78">
        <f t="shared" si="1"/>
        <v>0</v>
      </c>
    </row>
    <row r="124" spans="2:15" ht="13.5" thickBot="1" x14ac:dyDescent="0.25">
      <c r="L124" s="75">
        <f>SUM(L108:L123)</f>
        <v>0</v>
      </c>
      <c r="M124" s="47"/>
      <c r="N124" s="75">
        <f>SUM(N108:N123)</f>
        <v>0</v>
      </c>
    </row>
    <row r="125" spans="2:15" ht="13.5" thickTop="1" x14ac:dyDescent="0.2"/>
    <row r="126" spans="2:15" x14ac:dyDescent="0.2">
      <c r="B126" s="108"/>
      <c r="C126" s="108"/>
      <c r="D126" s="108"/>
      <c r="E126" s="108"/>
      <c r="F126" s="108"/>
      <c r="G126" s="108"/>
      <c r="H126" s="208"/>
      <c r="I126" s="108"/>
      <c r="J126" s="108"/>
      <c r="K126" s="108"/>
      <c r="L126" s="108"/>
      <c r="M126" s="108"/>
      <c r="N126" s="108"/>
      <c r="O126" s="108"/>
    </row>
    <row r="127" spans="2:15" ht="18" x14ac:dyDescent="0.25">
      <c r="B127" s="209" t="s">
        <v>93</v>
      </c>
      <c r="C127" s="108"/>
      <c r="D127" s="108"/>
      <c r="E127" s="108"/>
      <c r="F127" s="108"/>
      <c r="G127" s="108"/>
      <c r="H127" s="208"/>
      <c r="I127" s="108"/>
      <c r="J127" s="108"/>
      <c r="K127" s="108"/>
      <c r="L127" s="108"/>
      <c r="M127" s="108"/>
      <c r="N127" s="108"/>
      <c r="O127" s="108"/>
    </row>
    <row r="129" spans="1:19" x14ac:dyDescent="0.2">
      <c r="F129" s="1484" t="s">
        <v>299</v>
      </c>
      <c r="G129" s="1485"/>
      <c r="H129" s="1484" t="s">
        <v>709</v>
      </c>
      <c r="I129" s="1485"/>
      <c r="J129" s="201"/>
      <c r="K129" s="1484" t="s">
        <v>710</v>
      </c>
      <c r="L129" s="1485"/>
      <c r="M129" s="46"/>
      <c r="N129" s="1484" t="s">
        <v>711</v>
      </c>
      <c r="O129" s="1485"/>
      <c r="R129" s="1484" t="s">
        <v>923</v>
      </c>
      <c r="S129" s="1485"/>
    </row>
    <row r="130" spans="1:19" x14ac:dyDescent="0.2">
      <c r="F130" s="71" t="s">
        <v>517</v>
      </c>
      <c r="G130" s="110" t="s">
        <v>518</v>
      </c>
      <c r="H130" s="71" t="s">
        <v>517</v>
      </c>
      <c r="I130" s="72" t="s">
        <v>518</v>
      </c>
      <c r="K130" s="71" t="s">
        <v>875</v>
      </c>
      <c r="L130" s="72" t="s">
        <v>518</v>
      </c>
      <c r="M130" s="46"/>
      <c r="N130" s="71" t="s">
        <v>875</v>
      </c>
      <c r="O130" s="72" t="s">
        <v>518</v>
      </c>
      <c r="R130" s="71" t="s">
        <v>875</v>
      </c>
      <c r="S130" s="72" t="s">
        <v>94</v>
      </c>
    </row>
    <row r="131" spans="1:19" x14ac:dyDescent="0.2">
      <c r="A131" t="s">
        <v>742</v>
      </c>
      <c r="F131" s="5">
        <f>K25</f>
        <v>0</v>
      </c>
      <c r="G131" s="1"/>
      <c r="H131"/>
      <c r="R131" s="5">
        <f>F131+H131+K131+N131</f>
        <v>0</v>
      </c>
      <c r="S131" s="5">
        <f>G131+I131+L131+O131</f>
        <v>0</v>
      </c>
    </row>
    <row r="132" spans="1:19" x14ac:dyDescent="0.2">
      <c r="A132" t="s">
        <v>536</v>
      </c>
      <c r="F132" s="5">
        <f>K22</f>
        <v>0</v>
      </c>
      <c r="G132" s="1"/>
      <c r="H132"/>
      <c r="R132" s="5">
        <f t="shared" ref="R132:R146" si="2">F132+H132+K132+N132</f>
        <v>0</v>
      </c>
      <c r="S132" s="5">
        <f t="shared" ref="S132:S146" si="3">G132+I132+L132+O132</f>
        <v>0</v>
      </c>
    </row>
    <row r="133" spans="1:19" x14ac:dyDescent="0.2">
      <c r="A133" t="s">
        <v>259</v>
      </c>
      <c r="G133" s="1"/>
      <c r="H133" s="5">
        <f>K39</f>
        <v>0</v>
      </c>
      <c r="R133" s="5">
        <f t="shared" si="2"/>
        <v>0</v>
      </c>
      <c r="S133" s="5">
        <f t="shared" si="3"/>
        <v>0</v>
      </c>
    </row>
    <row r="134" spans="1:19" x14ac:dyDescent="0.2">
      <c r="A134" t="s">
        <v>260</v>
      </c>
      <c r="G134" s="1"/>
      <c r="H134" s="5"/>
      <c r="K134" s="36">
        <f>K62</f>
        <v>0</v>
      </c>
      <c r="R134" s="5">
        <f t="shared" si="2"/>
        <v>0</v>
      </c>
      <c r="S134" s="5">
        <f t="shared" si="3"/>
        <v>0</v>
      </c>
    </row>
    <row r="135" spans="1:19" x14ac:dyDescent="0.2">
      <c r="A135" t="s">
        <v>798</v>
      </c>
      <c r="G135" s="1"/>
      <c r="H135"/>
      <c r="N135" s="5">
        <f>N86</f>
        <v>0</v>
      </c>
      <c r="R135" s="5">
        <f t="shared" si="2"/>
        <v>0</v>
      </c>
      <c r="S135" s="5">
        <f t="shared" si="3"/>
        <v>0</v>
      </c>
    </row>
    <row r="136" spans="1:19" x14ac:dyDescent="0.2">
      <c r="B136" t="s">
        <v>191</v>
      </c>
      <c r="G136" s="1"/>
      <c r="H136"/>
      <c r="I136" s="5">
        <f t="shared" ref="I136:I144" si="4">K44-H44</f>
        <v>0</v>
      </c>
      <c r="L136" s="36">
        <f t="shared" ref="L136:L144" si="5">K68-H68</f>
        <v>0</v>
      </c>
      <c r="O136" s="5">
        <f>K92</f>
        <v>0</v>
      </c>
      <c r="R136" s="5">
        <f t="shared" si="2"/>
        <v>0</v>
      </c>
      <c r="S136" s="5">
        <f t="shared" si="3"/>
        <v>0</v>
      </c>
    </row>
    <row r="137" spans="1:19" x14ac:dyDescent="0.2">
      <c r="B137" t="s">
        <v>1009</v>
      </c>
      <c r="G137" s="1"/>
      <c r="H137"/>
      <c r="I137" s="5">
        <f t="shared" si="4"/>
        <v>0</v>
      </c>
      <c r="L137" s="36">
        <f t="shared" si="5"/>
        <v>0</v>
      </c>
      <c r="O137" s="5">
        <f>K93</f>
        <v>0</v>
      </c>
      <c r="R137" s="5">
        <f t="shared" si="2"/>
        <v>0</v>
      </c>
      <c r="S137" s="5">
        <f t="shared" si="3"/>
        <v>0</v>
      </c>
    </row>
    <row r="138" spans="1:19" x14ac:dyDescent="0.2">
      <c r="B138" t="s">
        <v>216</v>
      </c>
      <c r="G138" s="1"/>
      <c r="H138"/>
      <c r="I138" s="5">
        <f t="shared" si="4"/>
        <v>0</v>
      </c>
      <c r="L138" s="36">
        <f t="shared" si="5"/>
        <v>0</v>
      </c>
      <c r="O138" s="5">
        <f t="shared" ref="O138:O144" si="6">K94</f>
        <v>0</v>
      </c>
      <c r="R138" s="5">
        <f t="shared" si="2"/>
        <v>0</v>
      </c>
      <c r="S138" s="5">
        <f t="shared" si="3"/>
        <v>0</v>
      </c>
    </row>
    <row r="139" spans="1:19" x14ac:dyDescent="0.2">
      <c r="B139" t="s">
        <v>831</v>
      </c>
      <c r="G139" s="1"/>
      <c r="H139"/>
      <c r="I139" s="5">
        <f t="shared" si="4"/>
        <v>0</v>
      </c>
      <c r="L139" s="36">
        <f t="shared" si="5"/>
        <v>0</v>
      </c>
      <c r="O139" s="5">
        <f t="shared" si="6"/>
        <v>0</v>
      </c>
      <c r="R139" s="5">
        <f t="shared" si="2"/>
        <v>0</v>
      </c>
      <c r="S139" s="5">
        <f t="shared" si="3"/>
        <v>0</v>
      </c>
    </row>
    <row r="140" spans="1:19" x14ac:dyDescent="0.2">
      <c r="B140" t="s">
        <v>820</v>
      </c>
      <c r="G140" s="1"/>
      <c r="H140"/>
      <c r="I140" s="5">
        <f t="shared" si="4"/>
        <v>0</v>
      </c>
      <c r="L140" s="36">
        <f t="shared" si="5"/>
        <v>0</v>
      </c>
      <c r="O140" s="5">
        <f t="shared" si="6"/>
        <v>0</v>
      </c>
      <c r="R140" s="5">
        <f t="shared" si="2"/>
        <v>0</v>
      </c>
      <c r="S140" s="5">
        <f t="shared" si="3"/>
        <v>0</v>
      </c>
    </row>
    <row r="141" spans="1:19" x14ac:dyDescent="0.2">
      <c r="B141" t="s">
        <v>217</v>
      </c>
      <c r="G141" s="1"/>
      <c r="H141"/>
      <c r="I141" s="5">
        <f t="shared" si="4"/>
        <v>0</v>
      </c>
      <c r="L141" s="36">
        <f t="shared" si="5"/>
        <v>0</v>
      </c>
      <c r="O141" s="5">
        <f t="shared" si="6"/>
        <v>0</v>
      </c>
      <c r="R141" s="5">
        <f t="shared" si="2"/>
        <v>0</v>
      </c>
      <c r="S141" s="5">
        <f t="shared" si="3"/>
        <v>0</v>
      </c>
    </row>
    <row r="142" spans="1:19" x14ac:dyDescent="0.2">
      <c r="B142" t="s">
        <v>218</v>
      </c>
      <c r="G142" s="1"/>
      <c r="H142"/>
      <c r="I142" s="5">
        <f t="shared" si="4"/>
        <v>0</v>
      </c>
      <c r="L142" s="36">
        <f t="shared" si="5"/>
        <v>0</v>
      </c>
      <c r="O142" s="5">
        <f t="shared" si="6"/>
        <v>0</v>
      </c>
      <c r="R142" s="5">
        <f t="shared" si="2"/>
        <v>0</v>
      </c>
      <c r="S142" s="5">
        <f t="shared" si="3"/>
        <v>0</v>
      </c>
    </row>
    <row r="143" spans="1:19" x14ac:dyDescent="0.2">
      <c r="B143" t="s">
        <v>174</v>
      </c>
      <c r="G143" s="1"/>
      <c r="H143"/>
      <c r="I143" s="5">
        <f t="shared" si="4"/>
        <v>0</v>
      </c>
      <c r="L143" s="36">
        <f t="shared" si="5"/>
        <v>0</v>
      </c>
      <c r="O143" s="5">
        <f t="shared" si="6"/>
        <v>0</v>
      </c>
      <c r="R143" s="5">
        <f t="shared" si="2"/>
        <v>0</v>
      </c>
      <c r="S143" s="5">
        <f t="shared" si="3"/>
        <v>0</v>
      </c>
    </row>
    <row r="144" spans="1:19" x14ac:dyDescent="0.2">
      <c r="B144" s="354" t="s">
        <v>740</v>
      </c>
      <c r="G144" s="1"/>
      <c r="H144"/>
      <c r="I144" s="5">
        <f t="shared" si="4"/>
        <v>0</v>
      </c>
      <c r="L144" s="36">
        <f t="shared" si="5"/>
        <v>0</v>
      </c>
      <c r="O144" s="5">
        <f t="shared" si="6"/>
        <v>0</v>
      </c>
      <c r="R144" s="5">
        <f t="shared" si="2"/>
        <v>0</v>
      </c>
      <c r="S144" s="5">
        <f t="shared" si="3"/>
        <v>0</v>
      </c>
    </row>
    <row r="145" spans="2:19" x14ac:dyDescent="0.2">
      <c r="B145" t="s">
        <v>344</v>
      </c>
      <c r="F145" t="str">
        <f>IF((K28+K22)&lt;0,-(K28+K22),"0")</f>
        <v>0</v>
      </c>
      <c r="G145" s="1">
        <f>IF((K28+K22)&gt;=0,(K28+K22),"0")</f>
        <v>0</v>
      </c>
      <c r="H145"/>
      <c r="L145" s="36"/>
      <c r="R145" s="5">
        <f t="shared" si="2"/>
        <v>0</v>
      </c>
      <c r="S145" s="5">
        <f t="shared" si="3"/>
        <v>0</v>
      </c>
    </row>
    <row r="146" spans="2:19" x14ac:dyDescent="0.2">
      <c r="B146" t="s">
        <v>746</v>
      </c>
      <c r="G146" s="1">
        <f>K19</f>
        <v>0</v>
      </c>
      <c r="H146"/>
      <c r="I146" s="5"/>
      <c r="L146" s="36"/>
      <c r="O146" s="5">
        <f>N83</f>
        <v>0</v>
      </c>
      <c r="R146" s="5">
        <f t="shared" si="2"/>
        <v>0</v>
      </c>
      <c r="S146" s="5">
        <f t="shared" si="3"/>
        <v>0</v>
      </c>
    </row>
    <row r="147" spans="2:19" ht="13.5" thickBot="1" x14ac:dyDescent="0.25">
      <c r="F147" s="20">
        <f>SUM(F131:F146)</f>
        <v>0</v>
      </c>
      <c r="G147" s="20">
        <f>SUM(G131:G146)</f>
        <v>0</v>
      </c>
      <c r="H147" s="20">
        <f>SUM(H131:H146)</f>
        <v>0</v>
      </c>
      <c r="I147" s="20">
        <f>SUM(I131:I146)</f>
        <v>0</v>
      </c>
      <c r="J147" s="20"/>
      <c r="K147" s="20">
        <f>SUM(K131:K146)</f>
        <v>0</v>
      </c>
      <c r="L147" s="20">
        <f>SUM(L131:L146)</f>
        <v>0</v>
      </c>
      <c r="M147" s="20"/>
      <c r="N147" s="20">
        <f>SUM(N131:N146)</f>
        <v>0</v>
      </c>
      <c r="O147" s="20">
        <f>SUM(O131:O146)</f>
        <v>0</v>
      </c>
      <c r="P147" s="20"/>
      <c r="Q147" s="20"/>
      <c r="R147" s="20">
        <f>SUM(R131:R146)</f>
        <v>0</v>
      </c>
      <c r="S147" s="20">
        <f>SUM(S131:S146)</f>
        <v>0</v>
      </c>
    </row>
    <row r="148" spans="2:19" ht="13.5" thickTop="1" x14ac:dyDescent="0.2">
      <c r="G148" s="1"/>
      <c r="H148"/>
    </row>
  </sheetData>
  <sheetProtection algorithmName="SHA-512" hashValue="M5kofFXB+dbXvQ5wQYIp6BwQS6jSvinQ4HWbfWPDE/7LYjGgkMR4NxWkF9r9BY4s9WQH8qPq98x7FODPlNTgIQ==" saltValue="RWz9hFm193baY26pOJdU2w==" spinCount="100000" sheet="1" objects="1" scenarios="1"/>
  <mergeCells count="41">
    <mergeCell ref="B32:I32"/>
    <mergeCell ref="B30:O30"/>
    <mergeCell ref="C22:I23"/>
    <mergeCell ref="C37:I38"/>
    <mergeCell ref="K34:K35"/>
    <mergeCell ref="C34:I35"/>
    <mergeCell ref="K25:K26"/>
    <mergeCell ref="C25:I26"/>
    <mergeCell ref="K22:K23"/>
    <mergeCell ref="K37:K38"/>
    <mergeCell ref="N129:O129"/>
    <mergeCell ref="R129:S129"/>
    <mergeCell ref="F129:G129"/>
    <mergeCell ref="H129:I129"/>
    <mergeCell ref="K129:L129"/>
    <mergeCell ref="B104:O104"/>
    <mergeCell ref="B57:E57"/>
    <mergeCell ref="C65:I66"/>
    <mergeCell ref="N83:N84"/>
    <mergeCell ref="N86:N87"/>
    <mergeCell ref="L76:L77"/>
    <mergeCell ref="G88:L88"/>
    <mergeCell ref="C90:L91"/>
    <mergeCell ref="L100:L101"/>
    <mergeCell ref="C59:I59"/>
    <mergeCell ref="C86:L87"/>
    <mergeCell ref="C61:I61"/>
    <mergeCell ref="C41:I42"/>
    <mergeCell ref="I51:I53"/>
    <mergeCell ref="L52:L53"/>
    <mergeCell ref="C83:L84"/>
    <mergeCell ref="B55:O55"/>
    <mergeCell ref="B80:O80"/>
    <mergeCell ref="K19:K20"/>
    <mergeCell ref="A2:P2"/>
    <mergeCell ref="B4:P4"/>
    <mergeCell ref="B16:O16"/>
    <mergeCell ref="C6:O7"/>
    <mergeCell ref="C9:O10"/>
    <mergeCell ref="C12:O13"/>
    <mergeCell ref="C19:I20"/>
  </mergeCells>
  <phoneticPr fontId="17" type="noConversion"/>
  <printOptions horizontalCentered="1"/>
  <pageMargins left="0.36" right="0.37" top="0.71" bottom="0.5" header="0.5" footer="0.5"/>
  <pageSetup scale="75" orientation="portrait" r:id="rId1"/>
  <headerFooter alignWithMargins="0">
    <oddHeader>&amp;R&amp;"Arial,Bold"&amp;12Entry&amp;"Times New Roman,Bold" I</oddHeader>
    <oddFooter>&amp;L&amp;8&amp;D - County model&amp;R&amp;P</oddFooter>
  </headerFooter>
  <rowBreaks count="2" manualBreakCount="2">
    <brk id="54" max="16" man="1"/>
    <brk id="102" max="16"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G254"/>
  <sheetViews>
    <sheetView topLeftCell="A138" zoomScaleNormal="100" workbookViewId="0">
      <selection activeCell="L159" sqref="L159"/>
    </sheetView>
  </sheetViews>
  <sheetFormatPr defaultRowHeight="12.75" x14ac:dyDescent="0.2"/>
  <cols>
    <col min="1" max="1" width="4" style="1048" customWidth="1"/>
    <col min="2" max="2" width="4" customWidth="1"/>
    <col min="4" max="4" width="9.28515625" customWidth="1"/>
    <col min="5" max="5" width="3.5703125" customWidth="1"/>
    <col min="6" max="6" width="9.7109375" customWidth="1"/>
    <col min="7" max="7" width="10.42578125" customWidth="1"/>
    <col min="8" max="8" width="12.42578125" customWidth="1"/>
    <col min="9" max="9" width="0.7109375" style="31" customWidth="1"/>
    <col min="10" max="10" width="10.42578125" style="1" customWidth="1"/>
    <col min="11" max="11" width="1.85546875" style="1" customWidth="1"/>
    <col min="12" max="12" width="10.7109375" customWidth="1"/>
    <col min="13" max="13" width="0.7109375" style="31" customWidth="1"/>
    <col min="14" max="14" width="12.85546875" customWidth="1"/>
    <col min="15" max="15" width="12" customWidth="1"/>
    <col min="16" max="16" width="4.140625" customWidth="1"/>
    <col min="17" max="17" width="10.42578125" customWidth="1"/>
    <col min="18" max="18" width="10.140625" bestFit="1" customWidth="1"/>
    <col min="19" max="19" width="4.28515625" customWidth="1"/>
    <col min="20" max="20" width="10.85546875" customWidth="1"/>
    <col min="21" max="22" width="9.28515625" style="673" customWidth="1"/>
    <col min="23" max="23" width="9.42578125" bestFit="1" customWidth="1"/>
    <col min="24" max="24" width="9.28515625" bestFit="1" customWidth="1"/>
    <col min="25" max="26" width="9.28515625" style="741" customWidth="1"/>
    <col min="27" max="27" width="11.7109375" bestFit="1" customWidth="1"/>
    <col min="28" max="29" width="11.140625" bestFit="1" customWidth="1"/>
  </cols>
  <sheetData>
    <row r="1" spans="1:17" ht="7.5" customHeight="1" x14ac:dyDescent="0.2"/>
    <row r="2" spans="1:17" ht="33.75" customHeight="1" x14ac:dyDescent="0.25">
      <c r="A2" s="1465" t="s">
        <v>280</v>
      </c>
      <c r="B2" s="1466"/>
      <c r="C2" s="1466"/>
      <c r="D2" s="1466"/>
      <c r="E2" s="1466"/>
      <c r="F2" s="1466"/>
      <c r="G2" s="1466"/>
      <c r="H2" s="1466"/>
      <c r="I2" s="1466"/>
      <c r="J2" s="1466"/>
      <c r="K2" s="1466"/>
      <c r="L2" s="1466"/>
      <c r="M2" s="1466"/>
      <c r="N2" s="1466"/>
      <c r="O2" s="1466"/>
      <c r="P2" s="1467"/>
    </row>
    <row r="3" spans="1:17" ht="6" customHeight="1" x14ac:dyDescent="0.2"/>
    <row r="4" spans="1:17" ht="51.75" customHeight="1" x14ac:dyDescent="0.2">
      <c r="B4" s="1468" t="s">
        <v>379</v>
      </c>
      <c r="C4" s="1492"/>
      <c r="D4" s="1492"/>
      <c r="E4" s="1492"/>
      <c r="F4" s="1492"/>
      <c r="G4" s="1492"/>
      <c r="H4" s="1492"/>
      <c r="I4" s="1492"/>
      <c r="J4" s="1492"/>
      <c r="K4" s="1492"/>
      <c r="L4" s="1492"/>
      <c r="M4" s="1492"/>
      <c r="N4" s="1492"/>
      <c r="O4" s="1492"/>
      <c r="P4" s="1492"/>
    </row>
    <row r="5" spans="1:17" ht="4.5" customHeight="1" x14ac:dyDescent="0.2"/>
    <row r="6" spans="1:17" ht="12.75" customHeight="1" x14ac:dyDescent="0.2">
      <c r="B6" s="39" t="s">
        <v>521</v>
      </c>
      <c r="C6" s="1468" t="s">
        <v>345</v>
      </c>
      <c r="D6" s="1468"/>
      <c r="E6" s="1468"/>
      <c r="F6" s="1468"/>
      <c r="G6" s="1468"/>
      <c r="H6" s="1468"/>
      <c r="I6" s="1468"/>
      <c r="J6" s="1468"/>
      <c r="K6" s="1468"/>
      <c r="L6" s="1468"/>
      <c r="M6" s="1468"/>
      <c r="N6" s="1468"/>
      <c r="O6" s="1468"/>
      <c r="P6" s="34"/>
      <c r="Q6" s="136"/>
    </row>
    <row r="7" spans="1:17" ht="87.75" customHeight="1" x14ac:dyDescent="0.2">
      <c r="B7" s="39"/>
      <c r="C7" s="1468"/>
      <c r="D7" s="1468"/>
      <c r="E7" s="1468"/>
      <c r="F7" s="1468"/>
      <c r="G7" s="1468"/>
      <c r="H7" s="1468"/>
      <c r="I7" s="1468"/>
      <c r="J7" s="1468"/>
      <c r="K7" s="1468"/>
      <c r="L7" s="1468"/>
      <c r="M7" s="1468"/>
      <c r="N7" s="1468"/>
      <c r="O7" s="1468"/>
      <c r="P7" s="34"/>
    </row>
    <row r="8" spans="1:17" ht="3" customHeight="1" x14ac:dyDescent="0.2">
      <c r="B8" s="39"/>
      <c r="C8" s="34"/>
      <c r="D8" s="34"/>
      <c r="E8" s="34"/>
      <c r="F8" s="34"/>
      <c r="G8" s="34"/>
      <c r="H8" s="34"/>
      <c r="I8" s="98"/>
      <c r="J8" s="34"/>
      <c r="K8" s="34"/>
      <c r="L8" s="34"/>
      <c r="M8" s="98"/>
      <c r="N8" s="34"/>
      <c r="O8" s="34"/>
      <c r="P8" s="34"/>
    </row>
    <row r="9" spans="1:17" ht="13.5" customHeight="1" x14ac:dyDescent="0.2">
      <c r="B9" s="39" t="s">
        <v>522</v>
      </c>
      <c r="C9" s="1387" t="s">
        <v>862</v>
      </c>
      <c r="D9" s="1387"/>
      <c r="E9" s="1387"/>
      <c r="F9" s="1387"/>
      <c r="G9" s="1387"/>
      <c r="H9" s="1387"/>
      <c r="I9" s="1387"/>
      <c r="J9" s="1387"/>
      <c r="K9" s="1387"/>
      <c r="L9" s="1387"/>
      <c r="M9" s="1387"/>
      <c r="N9" s="1387"/>
      <c r="O9" s="1387"/>
    </row>
    <row r="10" spans="1:17" ht="24" customHeight="1" x14ac:dyDescent="0.2">
      <c r="B10" s="39"/>
      <c r="C10" s="1387"/>
      <c r="D10" s="1387"/>
      <c r="E10" s="1387"/>
      <c r="F10" s="1387"/>
      <c r="G10" s="1387"/>
      <c r="H10" s="1387"/>
      <c r="I10" s="1387"/>
      <c r="J10" s="1387"/>
      <c r="K10" s="1387"/>
      <c r="L10" s="1387"/>
      <c r="M10" s="1387"/>
      <c r="N10" s="1387"/>
      <c r="O10" s="1387"/>
    </row>
    <row r="11" spans="1:17" ht="3" customHeight="1" x14ac:dyDescent="0.2">
      <c r="B11" s="39"/>
    </row>
    <row r="12" spans="1:17" ht="12.75" customHeight="1" x14ac:dyDescent="0.2">
      <c r="B12" s="39" t="s">
        <v>821</v>
      </c>
      <c r="C12" s="1387" t="s">
        <v>380</v>
      </c>
      <c r="D12" s="1387"/>
      <c r="E12" s="1387"/>
      <c r="F12" s="1387"/>
      <c r="G12" s="1387"/>
      <c r="H12" s="1387"/>
      <c r="I12" s="1387"/>
      <c r="J12" s="1387"/>
      <c r="K12" s="1387"/>
      <c r="L12" s="1387"/>
      <c r="M12" s="1387"/>
      <c r="N12" s="1387"/>
      <c r="O12" s="1387"/>
    </row>
    <row r="13" spans="1:17" ht="53.25" customHeight="1" x14ac:dyDescent="0.2">
      <c r="B13" s="39"/>
      <c r="C13" s="1387"/>
      <c r="D13" s="1387"/>
      <c r="E13" s="1387"/>
      <c r="F13" s="1387"/>
      <c r="G13" s="1387"/>
      <c r="H13" s="1387"/>
      <c r="I13" s="1387"/>
      <c r="J13" s="1387"/>
      <c r="K13" s="1387"/>
      <c r="L13" s="1387"/>
      <c r="M13" s="1387"/>
      <c r="N13" s="1387"/>
      <c r="O13" s="1387"/>
    </row>
    <row r="14" spans="1:17" ht="3" customHeight="1" x14ac:dyDescent="0.2">
      <c r="B14" s="39"/>
    </row>
    <row r="15" spans="1:17" ht="12.75" customHeight="1" x14ac:dyDescent="0.2">
      <c r="B15" s="39" t="s">
        <v>549</v>
      </c>
      <c r="C15" s="1562" t="s">
        <v>381</v>
      </c>
      <c r="D15" s="1562"/>
      <c r="E15" s="1562"/>
      <c r="F15" s="1562"/>
      <c r="G15" s="1562"/>
      <c r="H15" s="1562"/>
      <c r="I15" s="1562"/>
      <c r="J15" s="1562"/>
      <c r="K15" s="1562"/>
      <c r="L15" s="1562"/>
      <c r="M15" s="1562"/>
      <c r="N15" s="1562"/>
      <c r="O15" s="1562"/>
    </row>
    <row r="16" spans="1:17" ht="53.25" customHeight="1" x14ac:dyDescent="0.2">
      <c r="B16" s="39"/>
      <c r="C16" s="1562"/>
      <c r="D16" s="1562"/>
      <c r="E16" s="1562"/>
      <c r="F16" s="1562"/>
      <c r="G16" s="1562"/>
      <c r="H16" s="1562"/>
      <c r="I16" s="1562"/>
      <c r="J16" s="1562"/>
      <c r="K16" s="1562"/>
      <c r="L16" s="1562"/>
      <c r="M16" s="1562"/>
      <c r="N16" s="1562"/>
      <c r="O16" s="1562"/>
    </row>
    <row r="17" spans="1:26" ht="3" customHeight="1" x14ac:dyDescent="0.2"/>
    <row r="18" spans="1:26" ht="12.75" customHeight="1" x14ac:dyDescent="0.2">
      <c r="B18" s="39" t="s">
        <v>550</v>
      </c>
      <c r="C18" s="1387" t="s">
        <v>1107</v>
      </c>
      <c r="D18" s="1387"/>
      <c r="E18" s="1387"/>
      <c r="F18" s="1387"/>
      <c r="G18" s="1387"/>
      <c r="H18" s="1387"/>
      <c r="I18" s="1387"/>
      <c r="J18" s="1387"/>
      <c r="K18" s="1387"/>
      <c r="L18" s="1387"/>
      <c r="M18" s="1387"/>
      <c r="N18" s="1387"/>
      <c r="O18" s="1387"/>
    </row>
    <row r="19" spans="1:26" ht="26.25" customHeight="1" x14ac:dyDescent="0.2">
      <c r="B19" s="39"/>
      <c r="C19" s="1387"/>
      <c r="D19" s="1387"/>
      <c r="E19" s="1387"/>
      <c r="F19" s="1387"/>
      <c r="G19" s="1387"/>
      <c r="H19" s="1387"/>
      <c r="I19" s="1387"/>
      <c r="J19" s="1387"/>
      <c r="K19" s="1387"/>
      <c r="L19" s="1387"/>
      <c r="M19" s="1387"/>
      <c r="N19" s="1387"/>
      <c r="O19" s="1387"/>
    </row>
    <row r="20" spans="1:26" s="727" customFormat="1" ht="40.15" customHeight="1" x14ac:dyDescent="0.2">
      <c r="A20" s="1048"/>
      <c r="B20" s="746" t="s">
        <v>872</v>
      </c>
      <c r="C20" s="1563" t="s">
        <v>2106</v>
      </c>
      <c r="D20" s="1564"/>
      <c r="E20" s="1564"/>
      <c r="F20" s="1564"/>
      <c r="G20" s="1564"/>
      <c r="H20" s="1564"/>
      <c r="I20" s="1564"/>
      <c r="J20" s="1564"/>
      <c r="K20" s="1564"/>
      <c r="L20" s="1564"/>
      <c r="M20" s="1564"/>
      <c r="N20" s="1564"/>
      <c r="O20" s="1564"/>
      <c r="Y20" s="741"/>
      <c r="Z20" s="741"/>
    </row>
    <row r="21" spans="1:26" ht="7.5" customHeight="1" x14ac:dyDescent="0.2"/>
    <row r="22" spans="1:26" ht="25.5" customHeight="1" x14ac:dyDescent="0.2">
      <c r="A22" s="1048" t="s">
        <v>547</v>
      </c>
      <c r="B22" s="1476" t="s">
        <v>347</v>
      </c>
      <c r="C22" s="1478"/>
      <c r="D22" s="1478"/>
      <c r="E22" s="1478"/>
      <c r="F22" s="1478"/>
      <c r="G22" s="1478"/>
      <c r="H22" s="1478"/>
      <c r="I22" s="1478"/>
      <c r="J22" s="1478"/>
      <c r="K22" s="1478"/>
      <c r="L22" s="1478"/>
      <c r="M22" s="1478"/>
      <c r="N22" s="1478"/>
      <c r="O22" s="1479"/>
      <c r="P22" s="44"/>
    </row>
    <row r="23" spans="1:26" ht="6.75" customHeight="1" x14ac:dyDescent="0.2">
      <c r="B23" s="44"/>
      <c r="C23" s="31"/>
      <c r="D23" s="31"/>
      <c r="E23" s="31"/>
      <c r="F23" s="31"/>
      <c r="G23" s="31"/>
      <c r="H23" s="217"/>
      <c r="I23" s="217"/>
      <c r="J23" s="218"/>
      <c r="K23" s="218"/>
      <c r="L23" s="217"/>
      <c r="M23" s="217"/>
      <c r="N23" s="217"/>
    </row>
    <row r="24" spans="1:26" x14ac:dyDescent="0.2">
      <c r="B24" s="104" t="s">
        <v>8</v>
      </c>
      <c r="H24" s="215" t="s">
        <v>210</v>
      </c>
      <c r="I24" s="99"/>
      <c r="J24" s="1568" t="s">
        <v>212</v>
      </c>
      <c r="K24" s="1569"/>
      <c r="L24" s="1570"/>
      <c r="M24" s="99"/>
      <c r="N24" s="215" t="s">
        <v>215</v>
      </c>
    </row>
    <row r="25" spans="1:26" ht="12.75" customHeight="1" x14ac:dyDescent="0.2">
      <c r="H25" s="95" t="s">
        <v>211</v>
      </c>
      <c r="I25" s="99"/>
      <c r="J25" s="96" t="s">
        <v>213</v>
      </c>
      <c r="K25" s="97"/>
      <c r="L25" s="101" t="s">
        <v>785</v>
      </c>
      <c r="M25" s="99"/>
      <c r="N25" s="95" t="s">
        <v>211</v>
      </c>
    </row>
    <row r="26" spans="1:26" ht="2.25" customHeight="1" x14ac:dyDescent="0.2">
      <c r="B26" s="39"/>
      <c r="I26"/>
      <c r="J26"/>
      <c r="K26"/>
      <c r="M26"/>
    </row>
    <row r="27" spans="1:26" ht="12.75" customHeight="1" x14ac:dyDescent="0.2">
      <c r="B27" s="39"/>
      <c r="C27" t="s">
        <v>191</v>
      </c>
      <c r="G27" s="14"/>
      <c r="H27" s="360"/>
      <c r="I27" s="47"/>
      <c r="J27" s="342"/>
      <c r="K27" s="47"/>
      <c r="L27" s="251">
        <f t="shared" ref="L27:L35" si="0">H27+J27-N27</f>
        <v>0</v>
      </c>
      <c r="M27" s="47"/>
      <c r="N27" s="342"/>
      <c r="O27" s="14"/>
    </row>
    <row r="28" spans="1:26" x14ac:dyDescent="0.2">
      <c r="C28" t="s">
        <v>1009</v>
      </c>
      <c r="G28" s="14"/>
      <c r="H28" s="360"/>
      <c r="I28" s="47"/>
      <c r="J28" s="342"/>
      <c r="K28" s="47"/>
      <c r="L28" s="251">
        <f t="shared" si="0"/>
        <v>0</v>
      </c>
      <c r="M28" s="47"/>
      <c r="N28" s="342"/>
      <c r="O28" s="14"/>
    </row>
    <row r="29" spans="1:26" x14ac:dyDescent="0.2">
      <c r="C29" t="s">
        <v>216</v>
      </c>
      <c r="G29" s="14"/>
      <c r="H29" s="360"/>
      <c r="I29" s="47"/>
      <c r="J29" s="342"/>
      <c r="K29" s="47"/>
      <c r="L29" s="251">
        <f t="shared" si="0"/>
        <v>0</v>
      </c>
      <c r="M29" s="47"/>
      <c r="N29" s="342"/>
      <c r="O29" s="14"/>
    </row>
    <row r="30" spans="1:26" x14ac:dyDescent="0.2">
      <c r="C30" t="s">
        <v>831</v>
      </c>
      <c r="G30" s="14"/>
      <c r="H30" s="360"/>
      <c r="I30" s="47"/>
      <c r="J30" s="342"/>
      <c r="K30" s="47"/>
      <c r="L30" s="251">
        <f t="shared" si="0"/>
        <v>0</v>
      </c>
      <c r="M30" s="47"/>
      <c r="N30" s="342"/>
      <c r="O30" s="14"/>
    </row>
    <row r="31" spans="1:26" x14ac:dyDescent="0.2">
      <c r="C31" t="s">
        <v>820</v>
      </c>
      <c r="G31" s="14"/>
      <c r="H31" s="360"/>
      <c r="I31" s="47"/>
      <c r="J31" s="342"/>
      <c r="K31" s="47"/>
      <c r="L31" s="251">
        <f t="shared" si="0"/>
        <v>0</v>
      </c>
      <c r="M31" s="47"/>
      <c r="N31" s="342"/>
      <c r="O31" s="14"/>
    </row>
    <row r="32" spans="1:26" x14ac:dyDescent="0.2">
      <c r="C32" t="s">
        <v>217</v>
      </c>
      <c r="G32" s="14"/>
      <c r="H32" s="360"/>
      <c r="I32" s="47"/>
      <c r="J32" s="342"/>
      <c r="K32" s="47"/>
      <c r="L32" s="251">
        <f t="shared" si="0"/>
        <v>0</v>
      </c>
      <c r="M32" s="47"/>
      <c r="N32" s="342"/>
      <c r="O32" s="14"/>
    </row>
    <row r="33" spans="2:15" ht="12.75" customHeight="1" x14ac:dyDescent="0.2">
      <c r="C33" t="s">
        <v>218</v>
      </c>
      <c r="G33" s="14"/>
      <c r="H33" s="360"/>
      <c r="I33" s="47"/>
      <c r="J33" s="342"/>
      <c r="K33" s="47"/>
      <c r="L33" s="251">
        <f t="shared" si="0"/>
        <v>0</v>
      </c>
      <c r="M33" s="47"/>
      <c r="N33" s="342"/>
      <c r="O33" s="14"/>
    </row>
    <row r="34" spans="2:15" ht="12.75" customHeight="1" x14ac:dyDescent="0.2">
      <c r="C34" t="s">
        <v>174</v>
      </c>
      <c r="G34" s="14"/>
      <c r="H34" s="360"/>
      <c r="I34" s="47"/>
      <c r="J34" s="342"/>
      <c r="K34" s="47"/>
      <c r="L34" s="251">
        <f t="shared" si="0"/>
        <v>0</v>
      </c>
      <c r="M34" s="47"/>
      <c r="N34" s="342"/>
      <c r="O34" s="14"/>
    </row>
    <row r="35" spans="2:15" ht="12.75" customHeight="1" x14ac:dyDescent="0.2">
      <c r="C35" s="354" t="s">
        <v>740</v>
      </c>
      <c r="G35" s="14"/>
      <c r="H35" s="361"/>
      <c r="I35" s="284"/>
      <c r="J35" s="353"/>
      <c r="K35" s="284"/>
      <c r="L35" s="275">
        <f t="shared" si="0"/>
        <v>0</v>
      </c>
      <c r="M35" s="284"/>
      <c r="N35" s="353"/>
      <c r="O35" s="14"/>
    </row>
    <row r="36" spans="2:15" ht="13.5" thickBot="1" x14ac:dyDescent="0.25">
      <c r="H36" s="274">
        <f>SUM(H27:H35)</f>
        <v>0</v>
      </c>
      <c r="J36" s="86">
        <f>SUM(J26:J35)</f>
        <v>0</v>
      </c>
      <c r="K36"/>
      <c r="L36" s="86">
        <f>SUM(L27:L35)</f>
        <v>0</v>
      </c>
      <c r="N36" s="86">
        <f>SUM(N27:N35)</f>
        <v>0</v>
      </c>
    </row>
    <row r="37" spans="2:15" ht="12.75" customHeight="1" thickTop="1" x14ac:dyDescent="0.2">
      <c r="H37" s="8"/>
      <c r="I37" s="214"/>
      <c r="J37" s="8"/>
      <c r="K37" s="8"/>
      <c r="L37" s="8"/>
      <c r="M37" s="214"/>
      <c r="N37" s="8"/>
    </row>
    <row r="38" spans="2:15" x14ac:dyDescent="0.2">
      <c r="B38" s="53" t="s">
        <v>9</v>
      </c>
      <c r="H38" s="215" t="s">
        <v>210</v>
      </c>
      <c r="I38" s="99"/>
      <c r="J38" s="1568" t="s">
        <v>212</v>
      </c>
      <c r="K38" s="1569"/>
      <c r="L38" s="1570"/>
      <c r="M38" s="99"/>
      <c r="N38" s="215" t="s">
        <v>215</v>
      </c>
    </row>
    <row r="39" spans="2:15" x14ac:dyDescent="0.2">
      <c r="H39" s="95" t="s">
        <v>211</v>
      </c>
      <c r="I39" s="99"/>
      <c r="J39" s="103" t="s">
        <v>786</v>
      </c>
      <c r="K39" s="97"/>
      <c r="L39" s="102" t="s">
        <v>214</v>
      </c>
      <c r="M39" s="99"/>
      <c r="N39" s="95" t="s">
        <v>211</v>
      </c>
    </row>
    <row r="40" spans="2:15" ht="2.25" customHeight="1" x14ac:dyDescent="0.2">
      <c r="I40"/>
      <c r="J40"/>
      <c r="K40"/>
      <c r="M40"/>
    </row>
    <row r="41" spans="2:15" x14ac:dyDescent="0.2">
      <c r="C41" t="s">
        <v>191</v>
      </c>
      <c r="H41" s="360"/>
      <c r="I41" s="47"/>
      <c r="J41" s="83">
        <f>N41+L41-H41</f>
        <v>0</v>
      </c>
      <c r="K41" s="94"/>
      <c r="L41" s="344"/>
      <c r="M41" s="47"/>
      <c r="N41" s="344"/>
      <c r="O41" s="14"/>
    </row>
    <row r="42" spans="2:15" x14ac:dyDescent="0.2">
      <c r="C42" t="s">
        <v>1009</v>
      </c>
      <c r="H42" s="360"/>
      <c r="I42" s="47"/>
      <c r="J42" s="83">
        <f t="shared" ref="J42:J49" si="1">N42+L42-H42</f>
        <v>0</v>
      </c>
      <c r="K42" s="94">
        <v>1</v>
      </c>
      <c r="L42" s="344"/>
      <c r="M42" s="47"/>
      <c r="N42" s="344"/>
      <c r="O42" s="14"/>
    </row>
    <row r="43" spans="2:15" x14ac:dyDescent="0.2">
      <c r="C43" t="s">
        <v>216</v>
      </c>
      <c r="H43" s="360"/>
      <c r="I43" s="47"/>
      <c r="J43" s="83">
        <f t="shared" si="1"/>
        <v>0</v>
      </c>
      <c r="K43" s="94"/>
      <c r="L43" s="344"/>
      <c r="M43" s="47"/>
      <c r="N43" s="344"/>
      <c r="O43" s="14"/>
    </row>
    <row r="44" spans="2:15" x14ac:dyDescent="0.2">
      <c r="C44" t="s">
        <v>831</v>
      </c>
      <c r="H44" s="360"/>
      <c r="I44" s="47"/>
      <c r="J44" s="83">
        <f t="shared" si="1"/>
        <v>0</v>
      </c>
      <c r="K44" s="94"/>
      <c r="L44" s="344"/>
      <c r="M44" s="47"/>
      <c r="N44" s="344"/>
      <c r="O44" s="31"/>
    </row>
    <row r="45" spans="2:15" x14ac:dyDescent="0.2">
      <c r="C45" t="s">
        <v>820</v>
      </c>
      <c r="H45" s="360"/>
      <c r="I45" s="47"/>
      <c r="J45" s="83">
        <f t="shared" si="1"/>
        <v>0</v>
      </c>
      <c r="K45" s="94"/>
      <c r="L45" s="344"/>
      <c r="M45" s="47"/>
      <c r="N45" s="344"/>
      <c r="O45" s="14"/>
    </row>
    <row r="46" spans="2:15" x14ac:dyDescent="0.2">
      <c r="C46" t="s">
        <v>217</v>
      </c>
      <c r="H46" s="360"/>
      <c r="I46" s="47"/>
      <c r="J46" s="83">
        <f t="shared" si="1"/>
        <v>0</v>
      </c>
      <c r="K46" s="94"/>
      <c r="L46" s="344"/>
      <c r="M46" s="47"/>
      <c r="N46" s="344"/>
      <c r="O46" s="14"/>
    </row>
    <row r="47" spans="2:15" x14ac:dyDescent="0.2">
      <c r="C47" t="s">
        <v>218</v>
      </c>
      <c r="H47" s="360"/>
      <c r="I47" s="47"/>
      <c r="J47" s="83">
        <f t="shared" si="1"/>
        <v>0</v>
      </c>
      <c r="K47" s="94"/>
      <c r="L47" s="344"/>
      <c r="M47" s="47"/>
      <c r="N47" s="344"/>
      <c r="O47" s="14"/>
    </row>
    <row r="48" spans="2:15" x14ac:dyDescent="0.2">
      <c r="C48" t="s">
        <v>174</v>
      </c>
      <c r="H48" s="360"/>
      <c r="I48" s="47"/>
      <c r="J48" s="83">
        <f t="shared" si="1"/>
        <v>0</v>
      </c>
      <c r="K48" s="94"/>
      <c r="L48" s="344"/>
      <c r="M48" s="47"/>
      <c r="N48" s="344"/>
      <c r="O48" s="14"/>
    </row>
    <row r="49" spans="1:16" x14ac:dyDescent="0.2">
      <c r="C49" s="354" t="s">
        <v>740</v>
      </c>
      <c r="H49" s="361"/>
      <c r="I49" s="47"/>
      <c r="J49" s="83">
        <f t="shared" si="1"/>
        <v>0</v>
      </c>
      <c r="K49" s="94"/>
      <c r="L49" s="344"/>
      <c r="M49" s="47"/>
      <c r="N49" s="353"/>
      <c r="O49" s="14"/>
    </row>
    <row r="50" spans="1:16" ht="13.5" thickBot="1" x14ac:dyDescent="0.25">
      <c r="H50" s="274">
        <f>SUM(H41:H49)</f>
        <v>0</v>
      </c>
      <c r="I50" s="47"/>
      <c r="J50" s="75">
        <f>SUM(J41:J49)</f>
        <v>0</v>
      </c>
      <c r="K50" s="94"/>
      <c r="L50" s="75">
        <f>SUM(L41:L49)</f>
        <v>0</v>
      </c>
      <c r="M50" s="47"/>
      <c r="N50" s="283">
        <f>SUM(N41:N49)</f>
        <v>0</v>
      </c>
    </row>
    <row r="51" spans="1:16" ht="13.5" thickTop="1" x14ac:dyDescent="0.2">
      <c r="B51" s="105" t="s">
        <v>520</v>
      </c>
      <c r="C51" s="53" t="s">
        <v>416</v>
      </c>
      <c r="H51" s="13"/>
      <c r="J51" s="13"/>
      <c r="K51" s="13"/>
      <c r="L51" s="13"/>
      <c r="N51" s="13"/>
    </row>
    <row r="52" spans="1:16" ht="4.5" customHeight="1" x14ac:dyDescent="0.2">
      <c r="J52"/>
      <c r="K52"/>
    </row>
    <row r="53" spans="1:16" ht="25.5" customHeight="1" x14ac:dyDescent="0.2">
      <c r="A53" s="1048" t="s">
        <v>548</v>
      </c>
      <c r="B53" s="1473" t="s">
        <v>104</v>
      </c>
      <c r="C53" s="1474"/>
      <c r="D53" s="1474"/>
      <c r="E53" s="1474"/>
      <c r="F53" s="1474"/>
      <c r="G53" s="1474"/>
      <c r="H53" s="1474"/>
      <c r="I53" s="1474"/>
      <c r="J53" s="1474"/>
      <c r="K53" s="1474"/>
      <c r="L53" s="1474"/>
      <c r="M53" s="1474"/>
      <c r="N53" s="1474"/>
      <c r="O53" s="1475"/>
      <c r="P53" s="44"/>
    </row>
    <row r="54" spans="1:16" ht="8.25" customHeight="1" x14ac:dyDescent="0.2">
      <c r="J54" s="11"/>
      <c r="K54" s="11"/>
      <c r="L54" s="11"/>
      <c r="M54" s="30"/>
      <c r="N54" s="11"/>
    </row>
    <row r="55" spans="1:16" ht="15" customHeight="1" x14ac:dyDescent="0.2">
      <c r="B55" s="39" t="s">
        <v>521</v>
      </c>
      <c r="C55" t="s">
        <v>107</v>
      </c>
      <c r="I55"/>
      <c r="J55"/>
      <c r="K55" s="11"/>
      <c r="L55" s="11"/>
      <c r="M55" s="30"/>
      <c r="N55" s="356"/>
    </row>
    <row r="56" spans="1:16" ht="4.5" customHeight="1" x14ac:dyDescent="0.2">
      <c r="I56"/>
      <c r="J56"/>
      <c r="K56" s="11"/>
      <c r="L56" s="11"/>
      <c r="M56" s="30"/>
      <c r="N56" s="11"/>
    </row>
    <row r="57" spans="1:16" ht="4.5" customHeight="1" x14ac:dyDescent="0.2">
      <c r="I57"/>
      <c r="J57"/>
      <c r="K57" s="11"/>
      <c r="L57" s="11"/>
      <c r="M57" s="30"/>
      <c r="N57" s="11"/>
    </row>
    <row r="58" spans="1:16" ht="12.75" customHeight="1" x14ac:dyDescent="0.2">
      <c r="B58" s="39" t="s">
        <v>522</v>
      </c>
      <c r="C58" t="s">
        <v>595</v>
      </c>
      <c r="I58"/>
      <c r="J58"/>
      <c r="K58" s="11"/>
      <c r="L58" s="11"/>
      <c r="M58" s="30"/>
      <c r="N58" s="356"/>
      <c r="O58" s="202" t="s">
        <v>338</v>
      </c>
    </row>
    <row r="59" spans="1:16" ht="4.5" customHeight="1" x14ac:dyDescent="0.2">
      <c r="I59"/>
      <c r="J59"/>
      <c r="K59" s="11"/>
      <c r="L59" s="11"/>
      <c r="M59" s="30"/>
      <c r="N59" s="11"/>
    </row>
    <row r="60" spans="1:16" ht="13.5" customHeight="1" x14ac:dyDescent="0.2">
      <c r="B60" s="39" t="s">
        <v>523</v>
      </c>
      <c r="C60" t="s">
        <v>603</v>
      </c>
      <c r="I60"/>
      <c r="J60"/>
      <c r="K60" s="11"/>
      <c r="L60" s="11"/>
      <c r="M60" s="30"/>
      <c r="N60" s="356"/>
      <c r="O60" s="202" t="s">
        <v>339</v>
      </c>
    </row>
    <row r="61" spans="1:16" ht="4.5" customHeight="1" x14ac:dyDescent="0.2">
      <c r="I61"/>
      <c r="J61"/>
      <c r="K61" s="11"/>
      <c r="L61" s="11"/>
      <c r="M61" s="30"/>
      <c r="N61" s="11"/>
    </row>
    <row r="62" spans="1:16" ht="12.75" customHeight="1" x14ac:dyDescent="0.2">
      <c r="B62" s="39" t="s">
        <v>549</v>
      </c>
      <c r="C62" s="1387" t="s">
        <v>461</v>
      </c>
      <c r="D62" s="1387"/>
      <c r="E62" s="1387"/>
      <c r="F62" s="1387"/>
      <c r="G62" s="1387"/>
      <c r="H62" s="1387"/>
      <c r="I62" s="1387"/>
      <c r="J62" s="1387"/>
      <c r="K62" s="11"/>
      <c r="L62" s="11"/>
      <c r="M62" s="30"/>
      <c r="N62" s="1528"/>
      <c r="O62" s="1571" t="s">
        <v>474</v>
      </c>
    </row>
    <row r="63" spans="1:16" ht="8.25" customHeight="1" x14ac:dyDescent="0.2">
      <c r="C63" s="1387"/>
      <c r="D63" s="1387"/>
      <c r="E63" s="1387"/>
      <c r="F63" s="1387"/>
      <c r="G63" s="1387"/>
      <c r="H63" s="1387"/>
      <c r="I63" s="1387"/>
      <c r="J63" s="1387"/>
      <c r="K63" s="11"/>
      <c r="L63" s="11"/>
      <c r="M63" s="30"/>
      <c r="N63" s="1528"/>
      <c r="O63" s="1571"/>
    </row>
    <row r="64" spans="1:16" ht="4.5" customHeight="1" x14ac:dyDescent="0.2">
      <c r="C64" s="1387"/>
      <c r="D64" s="1387"/>
      <c r="E64" s="1387"/>
      <c r="F64" s="1387"/>
      <c r="G64" s="1387"/>
      <c r="H64" s="1387"/>
      <c r="I64" s="1387"/>
      <c r="J64" s="1387"/>
      <c r="K64" s="11"/>
      <c r="L64" s="11"/>
      <c r="M64" s="30"/>
      <c r="N64" s="11"/>
    </row>
    <row r="65" spans="2:15" ht="4.5" customHeight="1" x14ac:dyDescent="0.2">
      <c r="C65" s="34"/>
      <c r="D65" s="34"/>
      <c r="E65" s="34"/>
      <c r="F65" s="34"/>
      <c r="G65" s="34"/>
      <c r="H65" s="34"/>
      <c r="I65" s="34"/>
      <c r="J65" s="34"/>
      <c r="K65" s="11"/>
      <c r="L65" s="11"/>
      <c r="M65" s="30"/>
      <c r="N65" s="11"/>
    </row>
    <row r="66" spans="2:15" ht="12.75" customHeight="1" thickBot="1" x14ac:dyDescent="0.25">
      <c r="B66" s="39" t="s">
        <v>550</v>
      </c>
      <c r="C66" t="s">
        <v>934</v>
      </c>
      <c r="I66"/>
      <c r="J66"/>
      <c r="K66" s="11"/>
      <c r="L66" s="11"/>
      <c r="M66" s="30"/>
      <c r="N66" s="92">
        <f>(N55+N58+N62)-N60</f>
        <v>0</v>
      </c>
    </row>
    <row r="67" spans="2:15" ht="3" customHeight="1" thickTop="1" x14ac:dyDescent="0.2">
      <c r="I67"/>
      <c r="J67"/>
      <c r="K67" s="11"/>
      <c r="L67" s="11"/>
      <c r="M67" s="30"/>
      <c r="N67" s="11"/>
    </row>
    <row r="68" spans="2:15" ht="12.75" customHeight="1" x14ac:dyDescent="0.2">
      <c r="B68" s="39" t="s">
        <v>872</v>
      </c>
      <c r="C68" s="1387" t="s">
        <v>272</v>
      </c>
      <c r="D68" s="1387"/>
      <c r="E68" s="1387"/>
      <c r="F68" s="1387"/>
      <c r="G68" s="1387"/>
      <c r="H68" s="1387"/>
      <c r="I68" s="1387"/>
      <c r="J68" s="1387"/>
      <c r="K68" s="1387"/>
      <c r="L68" s="1387"/>
      <c r="M68" s="30"/>
    </row>
    <row r="69" spans="2:15" ht="49.5" customHeight="1" x14ac:dyDescent="0.2">
      <c r="B69" s="39"/>
      <c r="C69" s="1387"/>
      <c r="D69" s="1387"/>
      <c r="E69" s="1387"/>
      <c r="F69" s="1387"/>
      <c r="G69" s="1387"/>
      <c r="H69" s="1387"/>
      <c r="I69" s="1387"/>
      <c r="J69" s="1387"/>
      <c r="K69" s="1387"/>
      <c r="L69" s="1387"/>
      <c r="M69" s="30"/>
    </row>
    <row r="70" spans="2:15" ht="14.25" customHeight="1" x14ac:dyDescent="0.2">
      <c r="B70" s="39"/>
      <c r="C70" s="34"/>
      <c r="D70" s="34"/>
      <c r="E70" s="34"/>
      <c r="F70" s="34"/>
      <c r="G70" s="137" t="s">
        <v>106</v>
      </c>
      <c r="I70" s="34"/>
      <c r="J70" s="137" t="s">
        <v>105</v>
      </c>
      <c r="K70" s="34"/>
      <c r="L70" s="11"/>
      <c r="M70" s="30"/>
      <c r="N70" s="8" t="s">
        <v>596</v>
      </c>
    </row>
    <row r="71" spans="2:15" x14ac:dyDescent="0.2">
      <c r="C71" t="s">
        <v>191</v>
      </c>
      <c r="G71" s="356"/>
      <c r="J71" s="344"/>
      <c r="K71"/>
      <c r="L71" s="11"/>
      <c r="M71" s="30"/>
      <c r="N71" s="352"/>
      <c r="O71" s="5"/>
    </row>
    <row r="72" spans="2:15" ht="12" customHeight="1" x14ac:dyDescent="0.2">
      <c r="C72" t="s">
        <v>1009</v>
      </c>
      <c r="G72" s="356"/>
      <c r="J72" s="344"/>
      <c r="K72"/>
      <c r="L72" s="11"/>
      <c r="M72" s="30"/>
      <c r="N72" s="352"/>
      <c r="O72" s="5"/>
    </row>
    <row r="73" spans="2:15" x14ac:dyDescent="0.2">
      <c r="C73" t="s">
        <v>216</v>
      </c>
      <c r="G73" s="356"/>
      <c r="J73" s="344"/>
      <c r="K73"/>
      <c r="L73" s="11"/>
      <c r="M73" s="30"/>
      <c r="N73" s="352"/>
      <c r="O73" s="5"/>
    </row>
    <row r="74" spans="2:15" x14ac:dyDescent="0.2">
      <c r="C74" t="s">
        <v>831</v>
      </c>
      <c r="G74" s="356"/>
      <c r="J74" s="344"/>
      <c r="K74"/>
      <c r="L74" s="11"/>
      <c r="M74" s="30"/>
      <c r="N74" s="352"/>
      <c r="O74" s="5"/>
    </row>
    <row r="75" spans="2:15" x14ac:dyDescent="0.2">
      <c r="C75" t="s">
        <v>820</v>
      </c>
      <c r="G75" s="356"/>
      <c r="J75" s="344"/>
      <c r="K75"/>
      <c r="L75" s="11"/>
      <c r="M75" s="30"/>
      <c r="N75" s="352"/>
      <c r="O75" s="5"/>
    </row>
    <row r="76" spans="2:15" x14ac:dyDescent="0.2">
      <c r="C76" t="s">
        <v>217</v>
      </c>
      <c r="G76" s="356"/>
      <c r="J76" s="344"/>
      <c r="K76"/>
      <c r="L76" s="11"/>
      <c r="M76" s="30"/>
      <c r="N76" s="352"/>
      <c r="O76" s="5"/>
    </row>
    <row r="77" spans="2:15" x14ac:dyDescent="0.2">
      <c r="C77" t="s">
        <v>218</v>
      </c>
      <c r="G77" s="356"/>
      <c r="J77" s="356"/>
      <c r="K77" s="11"/>
      <c r="L77" s="11"/>
      <c r="M77" s="30"/>
      <c r="N77" s="352"/>
      <c r="O77" s="5"/>
    </row>
    <row r="78" spans="2:15" ht="12.75" customHeight="1" x14ac:dyDescent="0.2">
      <c r="C78" t="s">
        <v>174</v>
      </c>
      <c r="G78" s="356"/>
      <c r="H78" s="1388" t="str">
        <f>IF(G82=N58," ","Recheck numbers for step 2. Entry is out of balance.")</f>
        <v xml:space="preserve"> </v>
      </c>
      <c r="J78" s="356"/>
      <c r="K78" s="11"/>
      <c r="L78" s="1536" t="str">
        <f>IF(J82=N60," ","Recheck numbers. Entry is out of balance.")</f>
        <v xml:space="preserve"> </v>
      </c>
      <c r="M78" s="30"/>
      <c r="N78" s="352"/>
      <c r="O78" s="1572" t="str">
        <f>IF(N82=N62," ","Recheck numbers for step 4. Entry is out of balance.")</f>
        <v xml:space="preserve"> </v>
      </c>
    </row>
    <row r="79" spans="2:15" ht="12.75" customHeight="1" x14ac:dyDescent="0.2">
      <c r="C79" s="354" t="s">
        <v>740</v>
      </c>
      <c r="G79" s="356"/>
      <c r="H79" s="1388"/>
      <c r="J79" s="356"/>
      <c r="K79" s="11"/>
      <c r="L79" s="1536"/>
      <c r="M79" s="30"/>
      <c r="N79" s="352"/>
      <c r="O79" s="1572"/>
    </row>
    <row r="80" spans="2:15" ht="12.75" customHeight="1" x14ac:dyDescent="0.2">
      <c r="C80" t="s">
        <v>738</v>
      </c>
      <c r="G80" s="356"/>
      <c r="H80" s="1388"/>
      <c r="J80" s="356"/>
      <c r="K80" s="11"/>
      <c r="L80" s="1536"/>
      <c r="M80" s="30"/>
      <c r="N80" s="352"/>
      <c r="O80" s="1572"/>
    </row>
    <row r="81" spans="1:16" ht="12.75" customHeight="1" x14ac:dyDescent="0.2">
      <c r="C81" t="s">
        <v>739</v>
      </c>
      <c r="G81" s="359"/>
      <c r="H81" s="1388"/>
      <c r="J81" s="359"/>
      <c r="K81" s="11"/>
      <c r="L81" s="1536"/>
      <c r="M81" s="30"/>
      <c r="N81" s="352"/>
      <c r="O81" s="1572"/>
    </row>
    <row r="82" spans="1:16" ht="18" customHeight="1" thickBot="1" x14ac:dyDescent="0.4">
      <c r="F82" s="203" t="s">
        <v>338</v>
      </c>
      <c r="G82" s="87">
        <f>SUM(G71:G81)</f>
        <v>0</v>
      </c>
      <c r="H82" s="203" t="s">
        <v>339</v>
      </c>
      <c r="J82" s="91">
        <f>SUM(J71:J81)</f>
        <v>0</v>
      </c>
      <c r="K82" s="11"/>
      <c r="L82" s="203" t="s">
        <v>474</v>
      </c>
      <c r="M82" s="100"/>
      <c r="N82" s="228">
        <f>SUM(N71:N81)</f>
        <v>0</v>
      </c>
    </row>
    <row r="83" spans="1:16" ht="12" customHeight="1" thickTop="1" x14ac:dyDescent="0.35">
      <c r="J83" s="11"/>
      <c r="K83" s="11"/>
      <c r="L83" s="63"/>
      <c r="M83" s="100"/>
      <c r="N83" s="10"/>
    </row>
    <row r="84" spans="1:16" ht="25.5" hidden="1" customHeight="1" x14ac:dyDescent="0.2">
      <c r="A84" s="1048" t="s">
        <v>816</v>
      </c>
      <c r="B84" s="204" t="s">
        <v>2109</v>
      </c>
      <c r="C84" s="205"/>
      <c r="D84" s="205"/>
      <c r="E84" s="205"/>
      <c r="F84" s="205"/>
      <c r="G84" s="205"/>
      <c r="H84" s="205"/>
      <c r="I84" s="205"/>
      <c r="J84" s="205"/>
      <c r="K84" s="205"/>
      <c r="L84" s="205"/>
      <c r="M84" s="205"/>
      <c r="N84" s="205"/>
      <c r="O84" s="206"/>
    </row>
    <row r="85" spans="1:16" ht="8.25" hidden="1" customHeight="1" x14ac:dyDescent="0.2">
      <c r="J85"/>
      <c r="K85"/>
      <c r="L85" s="11"/>
      <c r="M85" s="30"/>
      <c r="N85" s="4"/>
    </row>
    <row r="86" spans="1:16" hidden="1" x14ac:dyDescent="0.2">
      <c r="J86"/>
      <c r="K86"/>
      <c r="L86" s="11"/>
      <c r="M86" s="30"/>
      <c r="N86" s="46" t="s">
        <v>514</v>
      </c>
    </row>
    <row r="87" spans="1:16" ht="12.75" hidden="1" customHeight="1" x14ac:dyDescent="0.2">
      <c r="B87" s="39" t="s">
        <v>521</v>
      </c>
      <c r="C87" s="1387" t="s">
        <v>974</v>
      </c>
      <c r="D87" s="1387"/>
      <c r="E87" s="1387"/>
      <c r="F87" s="1387"/>
      <c r="G87" s="1387"/>
      <c r="H87" s="1387"/>
      <c r="I87" s="1387"/>
      <c r="J87" s="1387"/>
      <c r="K87" s="1387"/>
      <c r="L87" s="1387"/>
      <c r="M87" s="30"/>
      <c r="N87" s="1555"/>
    </row>
    <row r="88" spans="1:16" ht="25.5" hidden="1" customHeight="1" x14ac:dyDescent="0.2">
      <c r="B88" s="39"/>
      <c r="C88" s="1387"/>
      <c r="D88" s="1387"/>
      <c r="E88" s="1387"/>
      <c r="F88" s="1387"/>
      <c r="G88" s="1387"/>
      <c r="H88" s="1387"/>
      <c r="I88" s="1387"/>
      <c r="J88" s="1387"/>
      <c r="K88" s="1387"/>
      <c r="L88" s="1387"/>
      <c r="M88" s="30"/>
      <c r="N88" s="1555"/>
      <c r="O88" s="897" t="s">
        <v>193</v>
      </c>
    </row>
    <row r="89" spans="1:16" ht="3.75" hidden="1" customHeight="1" x14ac:dyDescent="0.2">
      <c r="B89" s="39"/>
      <c r="C89" s="34"/>
      <c r="D89" s="34"/>
      <c r="E89" s="34"/>
      <c r="F89" s="34"/>
      <c r="G89" s="34"/>
      <c r="H89" s="34"/>
      <c r="I89" s="34"/>
      <c r="J89" s="34"/>
      <c r="K89" s="34"/>
      <c r="L89" s="34"/>
      <c r="M89" s="30"/>
      <c r="N89" s="363"/>
    </row>
    <row r="90" spans="1:16" ht="12.75" hidden="1" customHeight="1" x14ac:dyDescent="0.2">
      <c r="B90" s="39"/>
      <c r="C90" s="1387" t="s">
        <v>3983</v>
      </c>
      <c r="D90" s="1387"/>
      <c r="E90" s="1387"/>
      <c r="F90" s="1387"/>
      <c r="G90" s="1387"/>
      <c r="H90" s="1387"/>
      <c r="I90" s="1387"/>
      <c r="J90" s="1387"/>
      <c r="K90" s="1387"/>
      <c r="L90" s="1387"/>
      <c r="M90" s="30"/>
      <c r="N90" s="899"/>
      <c r="O90" s="895"/>
    </row>
    <row r="91" spans="1:16" ht="12.75" hidden="1" customHeight="1" x14ac:dyDescent="0.2">
      <c r="B91" s="39"/>
      <c r="C91" s="1387"/>
      <c r="D91" s="1387"/>
      <c r="E91" s="1387"/>
      <c r="F91" s="1387"/>
      <c r="G91" s="1387"/>
      <c r="H91" s="1387"/>
      <c r="I91" s="1387"/>
      <c r="J91" s="1387"/>
      <c r="K91" s="1387"/>
      <c r="L91" s="1387"/>
      <c r="M91" s="30"/>
      <c r="N91" s="899"/>
      <c r="O91" s="895"/>
    </row>
    <row r="92" spans="1:16" ht="15" hidden="1" customHeight="1" x14ac:dyDescent="0.2">
      <c r="B92" s="39"/>
      <c r="C92" s="34"/>
      <c r="D92" s="34"/>
      <c r="E92" s="34"/>
      <c r="F92" s="1387"/>
      <c r="G92" s="1387"/>
      <c r="H92" s="1387"/>
      <c r="I92" s="1387"/>
      <c r="J92" s="1387"/>
      <c r="K92" s="1387"/>
      <c r="L92" s="1387"/>
      <c r="M92" s="30"/>
      <c r="N92" s="901"/>
      <c r="O92" s="900"/>
    </row>
    <row r="93" spans="1:16" ht="6" customHeight="1" x14ac:dyDescent="0.2">
      <c r="B93" s="39"/>
      <c r="C93" s="34"/>
      <c r="D93" s="34"/>
      <c r="E93" s="34"/>
      <c r="F93" s="34"/>
      <c r="G93" s="34"/>
      <c r="H93" s="34"/>
      <c r="I93" s="34"/>
      <c r="J93" s="34"/>
      <c r="K93"/>
      <c r="L93" s="11"/>
      <c r="M93" s="30"/>
      <c r="N93" s="44"/>
    </row>
    <row r="94" spans="1:16" ht="9.75" customHeight="1" x14ac:dyDescent="0.35">
      <c r="J94" s="11"/>
      <c r="K94" s="11"/>
      <c r="L94" s="100"/>
      <c r="M94" s="10" t="e">
        <f>SUM(#REF!)</f>
        <v>#REF!</v>
      </c>
      <c r="N94" s="4"/>
    </row>
    <row r="95" spans="1:16" s="14" customFormat="1" ht="29.25" hidden="1" customHeight="1" x14ac:dyDescent="0.2">
      <c r="A95" s="1048" t="s">
        <v>465</v>
      </c>
      <c r="B95" s="1476" t="s">
        <v>4086</v>
      </c>
      <c r="C95" s="1556"/>
      <c r="D95" s="1556"/>
      <c r="E95" s="1556"/>
      <c r="F95" s="1556"/>
      <c r="G95" s="1556"/>
      <c r="H95" s="1556"/>
      <c r="I95" s="1556"/>
      <c r="J95" s="1556"/>
      <c r="K95" s="1556"/>
      <c r="L95" s="1556"/>
      <c r="M95" s="1556"/>
      <c r="N95" s="1556"/>
      <c r="O95" s="1557"/>
      <c r="P95"/>
    </row>
    <row r="96" spans="1:16" s="14" customFormat="1" ht="12.75" hidden="1" customHeight="1" x14ac:dyDescent="0.2">
      <c r="A96" s="1048"/>
      <c r="B96"/>
      <c r="C96"/>
      <c r="D96"/>
      <c r="E96"/>
      <c r="F96"/>
      <c r="G96"/>
      <c r="H96"/>
      <c r="I96" s="31"/>
      <c r="J96"/>
      <c r="K96"/>
      <c r="L96" s="11"/>
      <c r="M96" s="30"/>
      <c r="N96" s="4"/>
      <c r="O96"/>
      <c r="P96"/>
    </row>
    <row r="97" spans="1:18" s="14" customFormat="1" ht="13.5" hidden="1" customHeight="1" x14ac:dyDescent="0.2">
      <c r="A97" s="1048"/>
      <c r="B97"/>
      <c r="C97"/>
      <c r="D97"/>
      <c r="E97"/>
      <c r="F97"/>
      <c r="G97"/>
      <c r="H97"/>
      <c r="I97" s="31"/>
      <c r="J97"/>
      <c r="K97"/>
      <c r="L97" s="11"/>
      <c r="M97" s="30"/>
      <c r="N97" s="46" t="s">
        <v>514</v>
      </c>
      <c r="O97"/>
      <c r="P97"/>
    </row>
    <row r="98" spans="1:18" s="14" customFormat="1" ht="15.75" hidden="1" customHeight="1" x14ac:dyDescent="0.2">
      <c r="A98" s="1048"/>
      <c r="B98" s="39" t="s">
        <v>521</v>
      </c>
      <c r="C98" s="1558" t="s">
        <v>4084</v>
      </c>
      <c r="D98" s="1540"/>
      <c r="E98" s="1540"/>
      <c r="F98" s="1540"/>
      <c r="G98" s="1540"/>
      <c r="H98" s="1540"/>
      <c r="I98" s="1540"/>
      <c r="J98" s="1540"/>
      <c r="K98" s="1540"/>
      <c r="L98" s="1540"/>
      <c r="M98" s="30"/>
      <c r="N98" s="1559"/>
      <c r="O98"/>
      <c r="P98"/>
      <c r="Q98" s="14" t="s">
        <v>4107</v>
      </c>
    </row>
    <row r="99" spans="1:18" s="14" customFormat="1" hidden="1" x14ac:dyDescent="0.2">
      <c r="A99" s="1048"/>
      <c r="B99" s="39"/>
      <c r="C99" s="1540"/>
      <c r="D99" s="1540"/>
      <c r="E99" s="1540"/>
      <c r="F99" s="1540"/>
      <c r="G99" s="1540"/>
      <c r="H99" s="1540"/>
      <c r="I99" s="1540"/>
      <c r="J99" s="1540"/>
      <c r="K99" s="1540"/>
      <c r="L99" s="1540"/>
      <c r="M99" s="30"/>
      <c r="N99" s="1555"/>
      <c r="O99"/>
      <c r="P99"/>
    </row>
    <row r="100" spans="1:18" s="14" customFormat="1" ht="12.75" hidden="1" customHeight="1" x14ac:dyDescent="0.2">
      <c r="A100" s="1048"/>
      <c r="B100" s="39"/>
      <c r="C100" s="1054"/>
      <c r="D100" s="1054"/>
      <c r="E100" s="1054"/>
      <c r="F100" s="1054"/>
      <c r="G100" s="1054"/>
      <c r="H100" s="1054"/>
      <c r="I100" s="1054"/>
      <c r="J100" s="1054"/>
      <c r="K100" s="1054"/>
      <c r="L100" s="1054"/>
      <c r="M100" s="30"/>
      <c r="N100" s="363"/>
      <c r="O100" s="1049"/>
      <c r="P100" s="1049"/>
    </row>
    <row r="101" spans="1:18" s="14" customFormat="1" ht="12.75" hidden="1" customHeight="1" x14ac:dyDescent="0.2">
      <c r="A101" s="1048"/>
      <c r="B101" s="39"/>
      <c r="C101" s="1561" t="s">
        <v>4085</v>
      </c>
      <c r="D101" s="1387"/>
      <c r="E101" s="1387"/>
      <c r="F101" s="1387"/>
      <c r="G101" s="1387"/>
      <c r="H101" s="1387"/>
      <c r="I101" s="1387"/>
      <c r="J101" s="1387"/>
      <c r="K101" s="1387"/>
      <c r="L101" s="1387"/>
      <c r="M101" s="30"/>
      <c r="N101" s="363"/>
      <c r="O101" s="1049"/>
      <c r="P101" s="1049"/>
    </row>
    <row r="102" spans="1:18" s="14" customFormat="1" ht="12.75" hidden="1" customHeight="1" x14ac:dyDescent="0.2">
      <c r="A102" s="1048"/>
      <c r="B102" s="39"/>
      <c r="C102" s="1387"/>
      <c r="D102" s="1387"/>
      <c r="E102" s="1387"/>
      <c r="F102" s="1387"/>
      <c r="G102" s="1387"/>
      <c r="H102" s="1387"/>
      <c r="I102" s="1387"/>
      <c r="J102" s="1387"/>
      <c r="K102" s="1387"/>
      <c r="L102" s="1387"/>
      <c r="M102" s="30"/>
      <c r="N102" s="363"/>
      <c r="O102" s="1049"/>
      <c r="P102" s="1049"/>
    </row>
    <row r="103" spans="1:18" s="14" customFormat="1" ht="12.75" customHeight="1" x14ac:dyDescent="0.2">
      <c r="A103" s="1048"/>
      <c r="B103" s="39"/>
      <c r="C103" s="34"/>
      <c r="D103" s="34"/>
      <c r="E103" s="34"/>
      <c r="F103" s="34"/>
      <c r="G103" s="34"/>
      <c r="H103" s="34"/>
      <c r="I103" s="34"/>
      <c r="J103" s="34"/>
      <c r="K103"/>
      <c r="L103" s="11"/>
      <c r="M103" s="30"/>
      <c r="N103" s="44"/>
      <c r="O103"/>
      <c r="P103"/>
    </row>
    <row r="104" spans="1:18" s="14" customFormat="1" ht="12.75" hidden="1" customHeight="1" x14ac:dyDescent="0.2">
      <c r="A104" s="1048"/>
      <c r="B104" s="39" t="s">
        <v>522</v>
      </c>
      <c r="C104" s="1540" t="s">
        <v>3984</v>
      </c>
      <c r="D104" s="1540"/>
      <c r="E104" s="1540"/>
      <c r="F104" s="1540"/>
      <c r="G104" s="1540"/>
      <c r="H104" s="1540"/>
      <c r="I104" s="1540"/>
      <c r="J104" s="1540"/>
      <c r="K104" s="1540"/>
      <c r="L104" s="1540"/>
      <c r="M104" s="30"/>
      <c r="N104" s="1559"/>
      <c r="O104" s="1034"/>
      <c r="P104" s="1034"/>
    </row>
    <row r="105" spans="1:18" s="14" customFormat="1" ht="12.75" hidden="1" customHeight="1" x14ac:dyDescent="0.2">
      <c r="A105" s="1048"/>
      <c r="B105" s="39"/>
      <c r="C105" s="1540"/>
      <c r="D105" s="1540"/>
      <c r="E105" s="1540"/>
      <c r="F105" s="1540"/>
      <c r="G105" s="1540"/>
      <c r="H105" s="1540"/>
      <c r="I105" s="1540"/>
      <c r="J105" s="1540"/>
      <c r="K105" s="1540"/>
      <c r="L105" s="1540"/>
      <c r="M105" s="30"/>
      <c r="N105" s="1560"/>
      <c r="O105" s="1034"/>
      <c r="P105" s="1034"/>
    </row>
    <row r="106" spans="1:18" s="14" customFormat="1" ht="12.75" hidden="1" customHeight="1" thickBot="1" x14ac:dyDescent="0.25">
      <c r="A106" s="1048"/>
      <c r="B106" s="39"/>
      <c r="C106" s="1033"/>
      <c r="D106" s="1033"/>
      <c r="E106" s="1387" t="s">
        <v>3985</v>
      </c>
      <c r="F106" s="1469"/>
      <c r="G106" s="1469"/>
      <c r="H106" s="1469"/>
      <c r="I106" s="1469"/>
      <c r="J106" s="1469"/>
      <c r="K106" s="1469"/>
      <c r="L106" s="1033"/>
      <c r="M106" s="30"/>
      <c r="N106" s="1042">
        <f>N104-N98</f>
        <v>0</v>
      </c>
      <c r="O106" s="1038" t="s">
        <v>11</v>
      </c>
      <c r="P106" s="1034"/>
    </row>
    <row r="107" spans="1:18" s="14" customFormat="1" ht="12.75" hidden="1" customHeight="1" thickTop="1" x14ac:dyDescent="0.2">
      <c r="A107" s="1048"/>
      <c r="B107" s="39"/>
      <c r="C107" s="1033"/>
      <c r="D107" s="1033"/>
      <c r="E107" s="1033"/>
      <c r="F107" s="1033"/>
      <c r="G107" s="1033"/>
      <c r="H107" s="1033"/>
      <c r="I107" s="1033"/>
      <c r="J107" s="1033"/>
      <c r="K107" s="1034"/>
      <c r="L107" s="11"/>
      <c r="M107" s="30"/>
      <c r="N107" s="1036"/>
      <c r="O107" s="1034"/>
      <c r="P107" s="1034"/>
    </row>
    <row r="108" spans="1:18" s="14" customFormat="1" ht="50.25" hidden="1" customHeight="1" x14ac:dyDescent="0.2">
      <c r="A108" s="1048"/>
      <c r="B108" s="640" t="s">
        <v>523</v>
      </c>
      <c r="C108" s="1540" t="s">
        <v>375</v>
      </c>
      <c r="D108" s="1540"/>
      <c r="E108" s="1540"/>
      <c r="F108" s="1540"/>
      <c r="G108" s="1540"/>
      <c r="H108" s="1540"/>
      <c r="I108" s="1540"/>
      <c r="J108" s="1540"/>
      <c r="K108" s="1540"/>
      <c r="L108" s="1540"/>
      <c r="M108" s="30"/>
      <c r="N108" s="44"/>
      <c r="O108"/>
      <c r="P108"/>
    </row>
    <row r="109" spans="1:18" s="14" customFormat="1" ht="12.75" hidden="1" customHeight="1" x14ac:dyDescent="0.2">
      <c r="A109" s="1048"/>
      <c r="B109" s="39"/>
      <c r="C109"/>
      <c r="D109" t="s">
        <v>191</v>
      </c>
      <c r="E109"/>
      <c r="F109"/>
      <c r="G109"/>
      <c r="H109"/>
      <c r="I109" s="31"/>
      <c r="J109"/>
      <c r="K109"/>
      <c r="L109" s="30"/>
      <c r="M109" s="30">
        <v>1</v>
      </c>
      <c r="N109" s="1040"/>
      <c r="O109"/>
      <c r="P109"/>
      <c r="Q109" s="1057"/>
      <c r="R109" s="12"/>
    </row>
    <row r="110" spans="1:18" s="14" customFormat="1" ht="12.75" hidden="1" customHeight="1" x14ac:dyDescent="0.2">
      <c r="A110" s="1048"/>
      <c r="B110" s="39"/>
      <c r="C110"/>
      <c r="D110" t="s">
        <v>1009</v>
      </c>
      <c r="E110"/>
      <c r="F110"/>
      <c r="G110"/>
      <c r="H110"/>
      <c r="I110" s="31"/>
      <c r="J110"/>
      <c r="K110"/>
      <c r="L110" s="30"/>
      <c r="M110" s="30">
        <v>2</v>
      </c>
      <c r="N110" s="1040"/>
      <c r="O110"/>
      <c r="P110"/>
      <c r="Q110" s="1057"/>
      <c r="R110" s="12"/>
    </row>
    <row r="111" spans="1:18" s="14" customFormat="1" ht="12.75" hidden="1" customHeight="1" x14ac:dyDescent="0.2">
      <c r="A111" s="1048"/>
      <c r="B111" s="39"/>
      <c r="C111"/>
      <c r="D111" t="s">
        <v>216</v>
      </c>
      <c r="E111"/>
      <c r="F111"/>
      <c r="G111"/>
      <c r="H111"/>
      <c r="I111" s="31"/>
      <c r="J111"/>
      <c r="K111"/>
      <c r="L111" s="30"/>
      <c r="M111" s="30">
        <v>3</v>
      </c>
      <c r="N111" s="1040"/>
      <c r="O111"/>
      <c r="P111"/>
      <c r="Q111" s="1057"/>
      <c r="R111" s="12"/>
    </row>
    <row r="112" spans="1:18" s="14" customFormat="1" ht="12.75" hidden="1" customHeight="1" x14ac:dyDescent="0.2">
      <c r="A112" s="1048"/>
      <c r="B112" s="39"/>
      <c r="C112"/>
      <c r="D112" t="s">
        <v>831</v>
      </c>
      <c r="E112"/>
      <c r="F112"/>
      <c r="G112"/>
      <c r="H112"/>
      <c r="I112" s="31"/>
      <c r="J112"/>
      <c r="K112"/>
      <c r="L112" s="30"/>
      <c r="M112" s="30">
        <v>4</v>
      </c>
      <c r="N112" s="1040"/>
      <c r="O112"/>
      <c r="P112"/>
      <c r="Q112" s="1057"/>
      <c r="R112" s="12"/>
    </row>
    <row r="113" spans="1:18" s="14" customFormat="1" ht="12.75" hidden="1" customHeight="1" x14ac:dyDescent="0.2">
      <c r="A113" s="1048"/>
      <c r="B113" s="39"/>
      <c r="C113"/>
      <c r="D113" t="s">
        <v>820</v>
      </c>
      <c r="E113"/>
      <c r="F113"/>
      <c r="G113"/>
      <c r="H113"/>
      <c r="I113" s="31"/>
      <c r="J113"/>
      <c r="K113"/>
      <c r="L113" s="30"/>
      <c r="M113" s="30">
        <v>5</v>
      </c>
      <c r="N113" s="1040"/>
      <c r="O113"/>
      <c r="P113"/>
      <c r="Q113" s="1057"/>
      <c r="R113" s="12"/>
    </row>
    <row r="114" spans="1:18" s="14" customFormat="1" ht="12.75" hidden="1" customHeight="1" x14ac:dyDescent="0.2">
      <c r="A114" s="1048"/>
      <c r="B114" s="39"/>
      <c r="C114"/>
      <c r="D114" t="s">
        <v>217</v>
      </c>
      <c r="E114"/>
      <c r="F114"/>
      <c r="G114"/>
      <c r="H114"/>
      <c r="I114" s="31"/>
      <c r="J114"/>
      <c r="K114"/>
      <c r="L114" s="30"/>
      <c r="M114" s="30">
        <v>6</v>
      </c>
      <c r="N114" s="1040"/>
      <c r="O114"/>
      <c r="P114"/>
      <c r="Q114" s="1057"/>
      <c r="R114" s="12"/>
    </row>
    <row r="115" spans="1:18" s="14" customFormat="1" ht="12.75" hidden="1" customHeight="1" x14ac:dyDescent="0.2">
      <c r="A115" s="1048"/>
      <c r="B115" s="39"/>
      <c r="C115"/>
      <c r="D115" t="s">
        <v>218</v>
      </c>
      <c r="E115"/>
      <c r="F115"/>
      <c r="G115"/>
      <c r="H115"/>
      <c r="I115" s="31"/>
      <c r="J115" s="11"/>
      <c r="K115" s="11"/>
      <c r="L115" s="30"/>
      <c r="M115" s="30">
        <v>7</v>
      </c>
      <c r="N115" s="1040"/>
      <c r="O115"/>
      <c r="P115"/>
      <c r="Q115" s="1057"/>
      <c r="R115" s="12"/>
    </row>
    <row r="116" spans="1:18" s="14" customFormat="1" ht="12.75" hidden="1" customHeight="1" x14ac:dyDescent="0.2">
      <c r="A116" s="1048"/>
      <c r="B116" s="39"/>
      <c r="C116"/>
      <c r="D116" t="s">
        <v>740</v>
      </c>
      <c r="E116"/>
      <c r="F116"/>
      <c r="G116"/>
      <c r="H116"/>
      <c r="I116" s="31"/>
      <c r="J116" s="11"/>
      <c r="K116" s="11"/>
      <c r="L116" s="30"/>
      <c r="M116" s="30"/>
      <c r="N116" s="1040"/>
      <c r="O116" s="1388" t="str">
        <f>IF(N118=N106," ","Recheck numbers. Entry is out of balance.")</f>
        <v xml:space="preserve"> </v>
      </c>
      <c r="P116" s="1388"/>
    </row>
    <row r="117" spans="1:18" s="14" customFormat="1" ht="12.75" hidden="1" customHeight="1" x14ac:dyDescent="0.2">
      <c r="A117" s="1048"/>
      <c r="B117" s="39"/>
      <c r="C117"/>
      <c r="D117" s="354" t="s">
        <v>376</v>
      </c>
      <c r="E117"/>
      <c r="F117"/>
      <c r="G117"/>
      <c r="H117"/>
      <c r="I117" s="31"/>
      <c r="J117" s="11"/>
      <c r="K117" s="11"/>
      <c r="L117" s="30"/>
      <c r="M117" s="30"/>
      <c r="N117" s="362"/>
      <c r="O117" s="1388"/>
      <c r="P117" s="1388"/>
    </row>
    <row r="118" spans="1:18" s="14" customFormat="1" ht="12.75" hidden="1" customHeight="1" thickBot="1" x14ac:dyDescent="0.25">
      <c r="A118" s="1048"/>
      <c r="B118" s="39"/>
      <c r="C118"/>
      <c r="D118" s="354"/>
      <c r="E118" t="s">
        <v>377</v>
      </c>
      <c r="F118"/>
      <c r="G118"/>
      <c r="H118"/>
      <c r="I118" s="31"/>
      <c r="J118" s="11"/>
      <c r="K118" s="11"/>
      <c r="L118" s="203" t="s">
        <v>11</v>
      </c>
      <c r="M118" s="30"/>
      <c r="N118" s="641">
        <f>SUM(N109:N117)</f>
        <v>0</v>
      </c>
      <c r="O118" s="1388"/>
      <c r="P118" s="1388"/>
    </row>
    <row r="119" spans="1:18" s="14" customFormat="1" ht="12.75" hidden="1" customHeight="1" thickTop="1" x14ac:dyDescent="0.35">
      <c r="A119" s="1048"/>
      <c r="B119"/>
      <c r="C119"/>
      <c r="D119"/>
      <c r="E119"/>
      <c r="F119"/>
      <c r="G119"/>
      <c r="H119"/>
      <c r="I119" s="31"/>
      <c r="J119" s="11"/>
      <c r="K119" s="11"/>
      <c r="L119" s="100"/>
      <c r="M119" s="10"/>
      <c r="N119" s="4"/>
      <c r="O119"/>
      <c r="P119"/>
    </row>
    <row r="120" spans="1:18" ht="25.5" customHeight="1" x14ac:dyDescent="0.2">
      <c r="A120" s="1048" t="s">
        <v>466</v>
      </c>
      <c r="B120" s="1494" t="s">
        <v>594</v>
      </c>
      <c r="C120" s="1495"/>
      <c r="D120" s="1495"/>
      <c r="E120" s="1495"/>
      <c r="F120" s="1495"/>
      <c r="G120" s="1495"/>
      <c r="H120" s="1495"/>
      <c r="I120" s="1495"/>
      <c r="J120" s="1495"/>
      <c r="K120" s="1495"/>
      <c r="L120" s="1495"/>
      <c r="M120" s="1495"/>
      <c r="N120" s="1495"/>
      <c r="O120" s="1496"/>
    </row>
    <row r="121" spans="1:18" ht="3.75" customHeight="1" x14ac:dyDescent="0.2">
      <c r="J121"/>
      <c r="K121"/>
      <c r="L121" s="11"/>
      <c r="M121" s="30"/>
      <c r="N121" s="4"/>
    </row>
    <row r="122" spans="1:18" ht="21" customHeight="1" x14ac:dyDescent="0.2">
      <c r="J122"/>
      <c r="K122"/>
      <c r="L122" s="11"/>
      <c r="M122" s="30"/>
      <c r="N122" s="382" t="s">
        <v>565</v>
      </c>
      <c r="O122" s="382" t="s">
        <v>593</v>
      </c>
    </row>
    <row r="123" spans="1:18" ht="14.25" customHeight="1" x14ac:dyDescent="0.2">
      <c r="B123" s="39" t="s">
        <v>521</v>
      </c>
      <c r="C123" t="s">
        <v>502</v>
      </c>
      <c r="I123"/>
      <c r="J123"/>
      <c r="K123" s="11"/>
      <c r="L123" s="11"/>
      <c r="M123" s="30"/>
      <c r="N123" s="356"/>
      <c r="O123" s="343"/>
    </row>
    <row r="124" spans="1:18" ht="6" customHeight="1" x14ac:dyDescent="0.2">
      <c r="I124"/>
      <c r="J124"/>
      <c r="K124" s="11"/>
      <c r="L124" s="11"/>
      <c r="M124" s="30"/>
      <c r="N124" s="338"/>
      <c r="O124" s="354"/>
    </row>
    <row r="125" spans="1:18" ht="14.25" customHeight="1" x14ac:dyDescent="0.2">
      <c r="B125" s="39" t="s">
        <v>522</v>
      </c>
      <c r="C125" s="1392" t="s">
        <v>595</v>
      </c>
      <c r="D125" s="1392"/>
      <c r="E125" s="1392"/>
      <c r="F125" s="1392"/>
      <c r="G125" s="1392"/>
      <c r="H125" s="1392"/>
      <c r="I125" s="1392"/>
      <c r="J125" s="1392"/>
      <c r="K125" s="11"/>
      <c r="L125" s="203" t="s">
        <v>12</v>
      </c>
      <c r="M125" s="30"/>
      <c r="N125" s="356"/>
      <c r="O125" s="343"/>
      <c r="P125" s="240" t="s">
        <v>699</v>
      </c>
    </row>
    <row r="126" spans="1:18" ht="6" customHeight="1" x14ac:dyDescent="0.2">
      <c r="I126"/>
      <c r="J126"/>
      <c r="K126" s="11"/>
      <c r="L126" s="11"/>
      <c r="M126" s="30"/>
      <c r="N126" s="338"/>
      <c r="O126" s="354"/>
    </row>
    <row r="127" spans="1:18" ht="13.5" customHeight="1" x14ac:dyDescent="0.2">
      <c r="B127" s="39" t="s">
        <v>523</v>
      </c>
      <c r="C127" s="1392" t="s">
        <v>273</v>
      </c>
      <c r="D127" s="1392"/>
      <c r="E127" s="1392"/>
      <c r="F127" s="1392"/>
      <c r="G127" s="1392"/>
      <c r="H127" s="1392"/>
      <c r="I127" s="1392"/>
      <c r="J127" s="1392"/>
      <c r="K127" s="11"/>
      <c r="L127" s="1552" t="s">
        <v>697</v>
      </c>
      <c r="M127" s="30"/>
      <c r="N127" s="356"/>
      <c r="O127" s="343"/>
      <c r="P127" s="1548" t="s">
        <v>700</v>
      </c>
    </row>
    <row r="128" spans="1:18" ht="5.25" customHeight="1" x14ac:dyDescent="0.2">
      <c r="I128"/>
      <c r="J128"/>
      <c r="K128" s="11"/>
      <c r="L128" s="1552"/>
      <c r="M128" s="30"/>
      <c r="N128" s="338"/>
      <c r="O128" s="354"/>
      <c r="P128" s="1548"/>
    </row>
    <row r="129" spans="2:16" ht="12.75" customHeight="1" x14ac:dyDescent="0.2">
      <c r="B129" s="39" t="s">
        <v>549</v>
      </c>
      <c r="C129" s="1387" t="s">
        <v>462</v>
      </c>
      <c r="D129" s="1387"/>
      <c r="E129" s="1387"/>
      <c r="F129" s="1387"/>
      <c r="G129" s="1387"/>
      <c r="H129" s="1387"/>
      <c r="I129" s="1387"/>
      <c r="J129" s="1387"/>
      <c r="K129" s="11"/>
      <c r="L129" s="1552" t="s">
        <v>698</v>
      </c>
      <c r="M129" s="30"/>
      <c r="N129" s="1499"/>
      <c r="O129" s="1499"/>
      <c r="P129" s="1548" t="s">
        <v>378</v>
      </c>
    </row>
    <row r="130" spans="2:16" ht="12.75" customHeight="1" x14ac:dyDescent="0.2">
      <c r="B130" s="39"/>
      <c r="C130" s="1387"/>
      <c r="D130" s="1387"/>
      <c r="E130" s="1387"/>
      <c r="F130" s="1387"/>
      <c r="G130" s="1387"/>
      <c r="H130" s="1387"/>
      <c r="I130" s="1387"/>
      <c r="J130" s="1387"/>
      <c r="K130" s="11"/>
      <c r="L130" s="1552"/>
      <c r="M130" s="30"/>
      <c r="N130" s="1499"/>
      <c r="O130" s="1499"/>
      <c r="P130" s="1548"/>
    </row>
    <row r="131" spans="2:16" ht="4.5" customHeight="1" x14ac:dyDescent="0.2">
      <c r="I131"/>
      <c r="J131"/>
      <c r="K131" s="11"/>
      <c r="L131" s="11"/>
      <c r="M131" s="30"/>
      <c r="N131" s="11"/>
    </row>
    <row r="132" spans="2:16" ht="12.75" customHeight="1" thickBot="1" x14ac:dyDescent="0.25">
      <c r="B132" s="39" t="s">
        <v>550</v>
      </c>
      <c r="C132" t="s">
        <v>274</v>
      </c>
      <c r="I132"/>
      <c r="J132"/>
      <c r="K132" s="11"/>
      <c r="L132" s="11"/>
      <c r="M132" s="30"/>
      <c r="N132" s="92">
        <f>N123+N125+N129-N127</f>
        <v>0</v>
      </c>
      <c r="O132" s="92">
        <f>O123+O125+O129-O127</f>
        <v>0</v>
      </c>
    </row>
    <row r="133" spans="2:16" ht="4.5" customHeight="1" thickTop="1" x14ac:dyDescent="0.2">
      <c r="I133"/>
      <c r="J133"/>
      <c r="K133" s="11"/>
      <c r="L133" s="11"/>
      <c r="M133" s="30"/>
      <c r="N133" s="11"/>
    </row>
    <row r="134" spans="2:16" x14ac:dyDescent="0.2">
      <c r="B134" s="39" t="s">
        <v>872</v>
      </c>
      <c r="C134" s="1387" t="s">
        <v>696</v>
      </c>
      <c r="D134" s="1387"/>
      <c r="E134" s="1387"/>
      <c r="F134" s="1387"/>
      <c r="G134" s="1387"/>
      <c r="H134" s="1387"/>
      <c r="I134" s="1387"/>
      <c r="J134" s="1387"/>
      <c r="K134" s="1387"/>
      <c r="L134" s="1387"/>
      <c r="M134" s="30"/>
    </row>
    <row r="135" spans="2:16" ht="51" customHeight="1" x14ac:dyDescent="0.2">
      <c r="B135" s="39"/>
      <c r="C135" s="1387"/>
      <c r="D135" s="1387"/>
      <c r="E135" s="1387"/>
      <c r="F135" s="1387"/>
      <c r="G135" s="1387"/>
      <c r="H135" s="1387"/>
      <c r="I135" s="1387"/>
      <c r="J135" s="1387"/>
      <c r="K135" s="1387"/>
      <c r="L135" s="1387"/>
      <c r="M135" s="30"/>
    </row>
    <row r="136" spans="2:16" ht="6.75" customHeight="1" x14ac:dyDescent="0.2">
      <c r="B136" s="39"/>
      <c r="C136" s="34"/>
      <c r="D136" s="34"/>
      <c r="E136" s="34"/>
      <c r="F136" s="34"/>
      <c r="G136" s="34"/>
      <c r="H136" s="34"/>
      <c r="I136" s="34"/>
      <c r="J136" s="34"/>
      <c r="K136" s="34"/>
      <c r="L136" s="34"/>
      <c r="M136" s="30"/>
    </row>
    <row r="137" spans="2:16" ht="15.75" customHeight="1" x14ac:dyDescent="0.2">
      <c r="B137" s="39"/>
      <c r="C137" s="34"/>
      <c r="D137" s="34"/>
      <c r="E137" s="34"/>
      <c r="F137" s="34"/>
      <c r="G137" s="1549" t="s">
        <v>565</v>
      </c>
      <c r="H137" s="1550"/>
      <c r="I137" s="1550"/>
      <c r="J137" s="1551"/>
      <c r="K137" s="34"/>
      <c r="L137" s="1549" t="s">
        <v>593</v>
      </c>
      <c r="M137" s="1550"/>
      <c r="N137" s="1550"/>
      <c r="O137" s="1551"/>
    </row>
    <row r="138" spans="2:16" x14ac:dyDescent="0.2">
      <c r="B138" s="39"/>
      <c r="C138" s="34"/>
      <c r="D138" s="34"/>
      <c r="E138" s="34"/>
      <c r="F138" s="34"/>
      <c r="G138" s="137" t="s">
        <v>106</v>
      </c>
      <c r="H138" s="137" t="s">
        <v>105</v>
      </c>
      <c r="I138" s="34"/>
      <c r="J138" s="242" t="s">
        <v>596</v>
      </c>
      <c r="K138" s="34"/>
      <c r="L138" s="137" t="s">
        <v>106</v>
      </c>
      <c r="M138" s="30"/>
      <c r="N138" s="137" t="s">
        <v>105</v>
      </c>
      <c r="O138" s="241" t="s">
        <v>596</v>
      </c>
    </row>
    <row r="139" spans="2:16" x14ac:dyDescent="0.2">
      <c r="C139" t="s">
        <v>191</v>
      </c>
      <c r="G139" s="356"/>
      <c r="H139" s="344"/>
      <c r="I139" s="341"/>
      <c r="J139" s="349"/>
      <c r="K139" s="354"/>
      <c r="L139" s="356"/>
      <c r="M139" s="340"/>
      <c r="N139" s="344"/>
      <c r="O139" s="349"/>
    </row>
    <row r="140" spans="2:16" x14ac:dyDescent="0.2">
      <c r="C140" t="s">
        <v>1009</v>
      </c>
      <c r="G140" s="356"/>
      <c r="H140" s="344"/>
      <c r="I140" s="341"/>
      <c r="J140" s="349"/>
      <c r="K140" s="354"/>
      <c r="L140" s="356"/>
      <c r="M140" s="340"/>
      <c r="N140" s="344"/>
      <c r="O140" s="349"/>
    </row>
    <row r="141" spans="2:16" x14ac:dyDescent="0.2">
      <c r="C141" t="s">
        <v>216</v>
      </c>
      <c r="G141" s="356"/>
      <c r="H141" s="344"/>
      <c r="I141" s="341"/>
      <c r="J141" s="349"/>
      <c r="K141" s="354"/>
      <c r="L141" s="356"/>
      <c r="M141" s="340"/>
      <c r="N141" s="344"/>
      <c r="O141" s="349"/>
    </row>
    <row r="142" spans="2:16" x14ac:dyDescent="0.2">
      <c r="C142" t="s">
        <v>831</v>
      </c>
      <c r="G142" s="356"/>
      <c r="H142" s="344"/>
      <c r="I142" s="341"/>
      <c r="J142" s="349"/>
      <c r="K142" s="354"/>
      <c r="L142" s="356"/>
      <c r="M142" s="340"/>
      <c r="N142" s="344"/>
      <c r="O142" s="349"/>
    </row>
    <row r="143" spans="2:16" x14ac:dyDescent="0.2">
      <c r="C143" t="s">
        <v>820</v>
      </c>
      <c r="G143" s="356"/>
      <c r="H143" s="344"/>
      <c r="I143" s="341"/>
      <c r="J143" s="349"/>
      <c r="K143" s="354"/>
      <c r="L143" s="356"/>
      <c r="M143" s="340"/>
      <c r="N143" s="344"/>
      <c r="O143" s="349"/>
    </row>
    <row r="144" spans="2:16" x14ac:dyDescent="0.2">
      <c r="C144" t="s">
        <v>217</v>
      </c>
      <c r="G144" s="356"/>
      <c r="H144" s="344"/>
      <c r="I144" s="341"/>
      <c r="J144" s="349"/>
      <c r="K144" s="354"/>
      <c r="L144" s="356"/>
      <c r="M144" s="340"/>
      <c r="N144" s="344"/>
      <c r="O144" s="349"/>
    </row>
    <row r="145" spans="1:15" x14ac:dyDescent="0.2">
      <c r="C145" t="s">
        <v>218</v>
      </c>
      <c r="G145" s="356"/>
      <c r="H145" s="356"/>
      <c r="I145" s="341"/>
      <c r="J145" s="349"/>
      <c r="K145" s="338"/>
      <c r="L145" s="356"/>
      <c r="M145" s="340"/>
      <c r="N145" s="356"/>
      <c r="O145" s="349"/>
    </row>
    <row r="146" spans="1:15" x14ac:dyDescent="0.2">
      <c r="C146" t="s">
        <v>178</v>
      </c>
      <c r="G146" s="356"/>
      <c r="H146" s="356"/>
      <c r="I146" s="341"/>
      <c r="J146" s="344"/>
      <c r="K146" s="338"/>
      <c r="L146" s="356"/>
      <c r="M146" s="340"/>
      <c r="N146" s="356"/>
      <c r="O146" s="344"/>
    </row>
    <row r="147" spans="1:15" x14ac:dyDescent="0.2">
      <c r="C147" s="354" t="s">
        <v>740</v>
      </c>
      <c r="G147" s="356"/>
      <c r="H147" s="356"/>
      <c r="I147" s="341"/>
      <c r="J147" s="344"/>
      <c r="K147" s="338"/>
      <c r="L147" s="356"/>
      <c r="M147" s="340"/>
      <c r="N147" s="356"/>
      <c r="O147" s="344"/>
    </row>
    <row r="148" spans="1:15" x14ac:dyDescent="0.2">
      <c r="C148" t="s">
        <v>738</v>
      </c>
      <c r="G148" s="356"/>
      <c r="H148" s="356"/>
      <c r="I148" s="341"/>
      <c r="J148" s="344"/>
      <c r="K148" s="338"/>
      <c r="L148" s="356"/>
      <c r="M148" s="340"/>
      <c r="N148" s="356"/>
      <c r="O148" s="344"/>
    </row>
    <row r="149" spans="1:15" ht="17.25" customHeight="1" x14ac:dyDescent="0.2">
      <c r="C149" t="s">
        <v>739</v>
      </c>
      <c r="G149" s="359"/>
      <c r="H149" s="359"/>
      <c r="I149" s="341"/>
      <c r="J149" s="344"/>
      <c r="K149" s="338"/>
      <c r="L149" s="359"/>
      <c r="M149" s="340"/>
      <c r="N149" s="359"/>
      <c r="O149" s="344"/>
    </row>
    <row r="150" spans="1:15" ht="17.25" thickBot="1" x14ac:dyDescent="0.4">
      <c r="G150" s="87">
        <f>SUM(G139:G149)</f>
        <v>0</v>
      </c>
      <c r="H150" s="91">
        <f>SUM(H139:H149)</f>
        <v>0</v>
      </c>
      <c r="J150" s="92">
        <f>SUM(J139:J149)</f>
        <v>0</v>
      </c>
      <c r="K150" s="11"/>
      <c r="L150" s="87">
        <f>SUM(L139:L149)</f>
        <v>0</v>
      </c>
      <c r="M150" s="100"/>
      <c r="N150" s="91">
        <f>SUM(N139:N149)</f>
        <v>0</v>
      </c>
      <c r="O150" s="92">
        <f>SUM(O139:O149)</f>
        <v>0</v>
      </c>
    </row>
    <row r="151" spans="1:15" ht="17.25" thickTop="1" x14ac:dyDescent="0.25">
      <c r="G151" s="240" t="s">
        <v>12</v>
      </c>
      <c r="H151" s="240" t="s">
        <v>697</v>
      </c>
      <c r="I151" s="45"/>
      <c r="J151" s="240" t="s">
        <v>698</v>
      </c>
      <c r="K151"/>
      <c r="L151" s="240" t="s">
        <v>699</v>
      </c>
      <c r="M151"/>
      <c r="N151" s="244" t="s">
        <v>700</v>
      </c>
      <c r="O151" s="244" t="s">
        <v>378</v>
      </c>
    </row>
    <row r="152" spans="1:15" s="197" customFormat="1" ht="15" customHeight="1" x14ac:dyDescent="0.2">
      <c r="A152" s="1048"/>
      <c r="G152" s="674" t="str">
        <f>IF(G150=N125," ","Recheck numbers. Entry is out of balance.")</f>
        <v xml:space="preserve"> </v>
      </c>
      <c r="H152" s="674" t="str">
        <f>IF(H150=N127," ","Recheck numbers. Entry is out of balance.")</f>
        <v xml:space="preserve"> </v>
      </c>
      <c r="I152" s="243"/>
      <c r="J152" s="674" t="str">
        <f>IF(J150=N129," ","Recheck numbers. Entry is out of balance.")</f>
        <v xml:space="preserve"> </v>
      </c>
      <c r="L152" s="674" t="str">
        <f>IF(L150=O125," ","Recheck numbers. Entry is out of balance.")</f>
        <v xml:space="preserve"> </v>
      </c>
      <c r="N152" s="674" t="str">
        <f>IF(N150=O127," ","Recheck numbers. Entry is out of balance.")</f>
        <v xml:space="preserve"> </v>
      </c>
      <c r="O152" s="674" t="str">
        <f>IF(O150=O129," ","Recheck numbers. Entry is out of balance.")</f>
        <v xml:space="preserve"> </v>
      </c>
    </row>
    <row r="153" spans="1:15" s="197" customFormat="1" ht="15" customHeight="1" x14ac:dyDescent="0.2">
      <c r="A153" s="1048" t="s">
        <v>467</v>
      </c>
      <c r="B153" s="1494" t="s">
        <v>2070</v>
      </c>
      <c r="C153" s="1495"/>
      <c r="D153" s="1495"/>
      <c r="E153" s="1495"/>
      <c r="F153" s="1495"/>
      <c r="G153" s="1495"/>
      <c r="H153" s="1495"/>
      <c r="I153" s="1495"/>
      <c r="J153" s="1495"/>
      <c r="K153" s="1495"/>
      <c r="L153" s="1495"/>
      <c r="M153" s="1546"/>
      <c r="N153" s="1495"/>
      <c r="O153" s="1496"/>
    </row>
    <row r="154" spans="1:15" s="197" customFormat="1" ht="15" customHeight="1" x14ac:dyDescent="0.2">
      <c r="A154" s="1048"/>
      <c r="B154" s="699"/>
      <c r="C154" s="699"/>
      <c r="D154" s="699"/>
      <c r="E154" s="699"/>
      <c r="F154" s="699"/>
      <c r="G154" s="675"/>
      <c r="H154" s="675"/>
      <c r="I154" s="701"/>
      <c r="J154" s="675"/>
      <c r="K154" s="699"/>
      <c r="L154" s="675"/>
      <c r="M154" s="699"/>
      <c r="N154" s="675"/>
      <c r="O154" s="675"/>
    </row>
    <row r="155" spans="1:15" s="197" customFormat="1" ht="15" customHeight="1" x14ac:dyDescent="0.2">
      <c r="A155" s="1048"/>
      <c r="B155" s="39" t="s">
        <v>521</v>
      </c>
      <c r="C155" s="699" t="s">
        <v>2107</v>
      </c>
      <c r="D155" s="699"/>
      <c r="E155" s="699"/>
      <c r="F155" s="699"/>
      <c r="G155" s="675"/>
      <c r="H155" s="675"/>
      <c r="I155" s="701"/>
      <c r="J155" s="675"/>
      <c r="K155" s="699"/>
      <c r="L155" s="747"/>
      <c r="M155" s="699"/>
      <c r="N155" s="675"/>
      <c r="O155" s="675"/>
    </row>
    <row r="156" spans="1:15" s="197" customFormat="1" ht="15" customHeight="1" x14ac:dyDescent="0.2">
      <c r="A156" s="1048"/>
      <c r="B156" s="39"/>
      <c r="C156" s="699"/>
      <c r="D156" s="699"/>
      <c r="E156" s="699"/>
      <c r="F156" s="699"/>
      <c r="G156" s="675"/>
      <c r="H156" s="675"/>
      <c r="I156" s="701"/>
      <c r="J156" s="675"/>
      <c r="K156" s="699"/>
      <c r="L156" s="675"/>
      <c r="M156" s="699"/>
      <c r="N156" s="675"/>
      <c r="O156" s="675"/>
    </row>
    <row r="157" spans="1:15" s="197" customFormat="1" ht="15" customHeight="1" x14ac:dyDescent="0.2">
      <c r="A157" s="1048"/>
      <c r="B157" s="39" t="s">
        <v>522</v>
      </c>
      <c r="C157" s="699" t="s">
        <v>2100</v>
      </c>
      <c r="D157" s="699"/>
      <c r="E157" s="699"/>
      <c r="F157" s="699"/>
      <c r="G157" s="675"/>
      <c r="H157" s="675"/>
      <c r="I157" s="701"/>
      <c r="J157" s="675"/>
      <c r="K157" s="699"/>
      <c r="L157" s="675"/>
      <c r="M157" s="699"/>
      <c r="N157" s="675"/>
      <c r="O157" s="675"/>
    </row>
    <row r="158" spans="1:15" s="197" customFormat="1" ht="15" customHeight="1" x14ac:dyDescent="0.2">
      <c r="A158" s="1048"/>
      <c r="B158" s="39"/>
      <c r="C158" s="699"/>
      <c r="D158" s="699"/>
      <c r="E158" s="699"/>
      <c r="F158" s="699"/>
      <c r="G158" s="675"/>
      <c r="H158" s="675"/>
      <c r="I158" s="701"/>
      <c r="J158" s="675"/>
      <c r="K158" s="699"/>
      <c r="L158" s="731"/>
      <c r="M158" s="699"/>
      <c r="N158" s="675"/>
      <c r="O158" s="675"/>
    </row>
    <row r="159" spans="1:15" s="197" customFormat="1" ht="15" customHeight="1" x14ac:dyDescent="0.2">
      <c r="A159" s="1048"/>
      <c r="B159" s="39"/>
      <c r="C159" s="688" t="s">
        <v>2060</v>
      </c>
      <c r="F159" s="699"/>
      <c r="G159" s="675"/>
      <c r="H159" s="675"/>
      <c r="I159" s="701"/>
      <c r="J159" s="675"/>
      <c r="K159" s="699"/>
      <c r="L159" s="752"/>
      <c r="N159" s="688"/>
      <c r="O159" s="675"/>
    </row>
    <row r="160" spans="1:15" s="197" customFormat="1" ht="15" customHeight="1" x14ac:dyDescent="0.2">
      <c r="A160" s="1048"/>
      <c r="B160" s="39"/>
      <c r="C160" s="688" t="s">
        <v>2077</v>
      </c>
      <c r="F160" s="699"/>
      <c r="G160" s="675"/>
      <c r="H160" s="675"/>
      <c r="I160" s="701"/>
      <c r="J160" s="675"/>
      <c r="K160" s="699"/>
      <c r="L160" s="752"/>
      <c r="N160" s="688"/>
      <c r="O160" s="675"/>
    </row>
    <row r="161" spans="1:15" s="197" customFormat="1" ht="15" customHeight="1" x14ac:dyDescent="0.2">
      <c r="A161" s="1048"/>
      <c r="B161" s="39"/>
      <c r="C161" s="707" t="s">
        <v>2078</v>
      </c>
      <c r="F161" s="699"/>
      <c r="G161" s="675"/>
      <c r="H161" s="675"/>
      <c r="I161" s="701"/>
      <c r="J161" s="675"/>
      <c r="K161" s="699"/>
      <c r="L161" s="708">
        <f>SUM(L159:L160)</f>
        <v>0</v>
      </c>
      <c r="N161" s="688" t="str">
        <f>IF(L161=1,"=100%","DOES NOT EQUAL 100%!!!")</f>
        <v>DOES NOT EQUAL 100%!!!</v>
      </c>
      <c r="O161" s="675"/>
    </row>
    <row r="162" spans="1:15" s="197" customFormat="1" ht="15" customHeight="1" x14ac:dyDescent="0.2">
      <c r="A162" s="1048"/>
      <c r="B162" s="39"/>
      <c r="C162" s="724"/>
      <c r="F162" s="699"/>
      <c r="G162" s="675"/>
      <c r="H162" s="675"/>
      <c r="I162" s="701"/>
      <c r="J162" s="675"/>
      <c r="K162" s="699"/>
      <c r="L162" s="723"/>
      <c r="N162" s="723"/>
      <c r="O162" s="675"/>
    </row>
    <row r="163" spans="1:15" s="197" customFormat="1" ht="15" customHeight="1" x14ac:dyDescent="0.2">
      <c r="A163" s="1048"/>
      <c r="B163" s="39"/>
      <c r="C163" s="710" t="s">
        <v>2088</v>
      </c>
      <c r="F163" s="699"/>
      <c r="G163" s="675"/>
      <c r="H163" s="675"/>
      <c r="I163" s="701"/>
      <c r="J163" s="675"/>
      <c r="K163" s="699"/>
      <c r="L163" s="723"/>
      <c r="N163" s="723"/>
      <c r="O163" s="675"/>
    </row>
    <row r="164" spans="1:15" s="197" customFormat="1" ht="15" customHeight="1" x14ac:dyDescent="0.2">
      <c r="A164" s="1048"/>
      <c r="B164" s="39"/>
      <c r="C164" s="724" t="s">
        <v>2079</v>
      </c>
      <c r="F164" s="699"/>
      <c r="G164" s="675"/>
      <c r="H164" s="675"/>
      <c r="I164" s="701"/>
      <c r="J164" s="675"/>
      <c r="K164" s="699"/>
      <c r="L164" s="752"/>
      <c r="N164" s="723"/>
      <c r="O164" s="675"/>
    </row>
    <row r="165" spans="1:15" s="197" customFormat="1" ht="15" customHeight="1" x14ac:dyDescent="0.2">
      <c r="A165" s="1048"/>
      <c r="B165" s="39"/>
      <c r="C165" s="724" t="s">
        <v>2080</v>
      </c>
      <c r="F165" s="699"/>
      <c r="G165" s="675"/>
      <c r="H165" s="675"/>
      <c r="I165" s="701"/>
      <c r="J165" s="675"/>
      <c r="K165" s="699"/>
      <c r="L165" s="752"/>
      <c r="N165" s="723"/>
      <c r="O165" s="675"/>
    </row>
    <row r="166" spans="1:15" s="197" customFormat="1" ht="15" customHeight="1" x14ac:dyDescent="0.2">
      <c r="A166" s="1048"/>
      <c r="B166" s="39"/>
      <c r="C166" s="724" t="s">
        <v>2081</v>
      </c>
      <c r="F166" s="699"/>
      <c r="G166" s="675"/>
      <c r="H166" s="675"/>
      <c r="I166" s="701"/>
      <c r="J166" s="675"/>
      <c r="K166" s="699"/>
      <c r="L166" s="752"/>
      <c r="N166" s="723"/>
      <c r="O166" s="675"/>
    </row>
    <row r="167" spans="1:15" s="197" customFormat="1" ht="15" customHeight="1" x14ac:dyDescent="0.2">
      <c r="A167" s="1048"/>
      <c r="B167" s="39"/>
      <c r="C167" s="724" t="s">
        <v>2082</v>
      </c>
      <c r="F167" s="699"/>
      <c r="G167" s="675"/>
      <c r="H167" s="675"/>
      <c r="I167" s="701"/>
      <c r="J167" s="675"/>
      <c r="K167" s="699"/>
      <c r="L167" s="752"/>
      <c r="N167" s="723"/>
      <c r="O167" s="675"/>
    </row>
    <row r="168" spans="1:15" s="197" customFormat="1" ht="15" customHeight="1" x14ac:dyDescent="0.2">
      <c r="A168" s="1048"/>
      <c r="B168" s="39"/>
      <c r="C168" s="724" t="s">
        <v>2083</v>
      </c>
      <c r="F168" s="699"/>
      <c r="G168" s="675"/>
      <c r="H168" s="675"/>
      <c r="I168" s="701"/>
      <c r="J168" s="675"/>
      <c r="K168" s="699"/>
      <c r="L168" s="752"/>
      <c r="N168" s="723"/>
      <c r="O168" s="675"/>
    </row>
    <row r="169" spans="1:15" s="197" customFormat="1" ht="15" customHeight="1" x14ac:dyDescent="0.2">
      <c r="A169" s="1048"/>
      <c r="B169" s="39"/>
      <c r="C169" s="724" t="s">
        <v>2084</v>
      </c>
      <c r="F169" s="699"/>
      <c r="G169" s="675"/>
      <c r="H169" s="675"/>
      <c r="I169" s="701"/>
      <c r="J169" s="675"/>
      <c r="K169" s="699"/>
      <c r="L169" s="752"/>
      <c r="N169" s="723"/>
      <c r="O169" s="675"/>
    </row>
    <row r="170" spans="1:15" s="197" customFormat="1" ht="15" customHeight="1" x14ac:dyDescent="0.2">
      <c r="A170" s="1048"/>
      <c r="B170" s="39"/>
      <c r="C170" s="724" t="s">
        <v>2085</v>
      </c>
      <c r="F170" s="699"/>
      <c r="G170" s="675"/>
      <c r="H170" s="675"/>
      <c r="I170" s="701"/>
      <c r="J170" s="675"/>
      <c r="K170" s="699"/>
      <c r="L170" s="752"/>
      <c r="N170" s="723"/>
      <c r="O170" s="675"/>
    </row>
    <row r="171" spans="1:15" s="197" customFormat="1" ht="15" customHeight="1" x14ac:dyDescent="0.2">
      <c r="A171" s="1048"/>
      <c r="B171" s="39"/>
      <c r="C171" s="724" t="s">
        <v>2086</v>
      </c>
      <c r="F171" s="699"/>
      <c r="G171" s="675"/>
      <c r="H171" s="675"/>
      <c r="I171" s="701"/>
      <c r="J171" s="675"/>
      <c r="K171" s="699"/>
      <c r="L171" s="752"/>
      <c r="N171" s="723"/>
      <c r="O171" s="675"/>
    </row>
    <row r="172" spans="1:15" s="197" customFormat="1" ht="15" customHeight="1" x14ac:dyDescent="0.2">
      <c r="A172" s="1048"/>
      <c r="B172" s="39"/>
      <c r="C172" s="724" t="s">
        <v>2087</v>
      </c>
      <c r="F172" s="699"/>
      <c r="G172" s="675"/>
      <c r="H172" s="675"/>
      <c r="I172" s="701"/>
      <c r="J172" s="675"/>
      <c r="K172" s="699"/>
      <c r="L172" s="752"/>
      <c r="N172" s="723"/>
      <c r="O172" s="675"/>
    </row>
    <row r="173" spans="1:15" s="197" customFormat="1" ht="15" customHeight="1" x14ac:dyDescent="0.2">
      <c r="A173" s="1048"/>
      <c r="B173" s="39"/>
      <c r="C173" s="707" t="s">
        <v>2089</v>
      </c>
      <c r="F173" s="699"/>
      <c r="G173" s="675"/>
      <c r="H173" s="675"/>
      <c r="I173" s="701"/>
      <c r="J173" s="675"/>
      <c r="K173" s="699"/>
      <c r="L173" s="708">
        <f>SUM(L164:L172)</f>
        <v>0</v>
      </c>
      <c r="N173" s="688" t="str">
        <f>IF(L173=L159,"Equals Governmental Activities","DOES NOT EQUAL Governmental Activities!!!")</f>
        <v>Equals Governmental Activities</v>
      </c>
      <c r="O173" s="675"/>
    </row>
    <row r="174" spans="1:15" s="197" customFormat="1" ht="15" customHeight="1" x14ac:dyDescent="0.2">
      <c r="A174" s="1048"/>
      <c r="B174" s="39"/>
      <c r="C174" s="699"/>
      <c r="D174" s="699"/>
      <c r="E174" s="699"/>
      <c r="F174" s="699"/>
      <c r="G174" s="675"/>
      <c r="H174" s="675"/>
      <c r="I174" s="701"/>
      <c r="J174" s="675"/>
      <c r="K174" s="699"/>
      <c r="L174" s="731"/>
      <c r="M174" s="699"/>
      <c r="N174" s="675"/>
      <c r="O174" s="675"/>
    </row>
    <row r="175" spans="1:15" s="197" customFormat="1" ht="15" customHeight="1" x14ac:dyDescent="0.2">
      <c r="A175" s="1048"/>
      <c r="B175" s="39"/>
      <c r="C175" s="699"/>
      <c r="D175" s="699"/>
      <c r="E175" s="699"/>
      <c r="F175" s="699"/>
      <c r="G175" s="675"/>
      <c r="H175" s="675"/>
      <c r="I175" s="701"/>
      <c r="J175" s="675"/>
      <c r="K175" s="699"/>
      <c r="L175" s="675"/>
      <c r="M175" s="699"/>
      <c r="N175" s="675"/>
      <c r="O175" s="675"/>
    </row>
    <row r="176" spans="1:15" s="197" customFormat="1" x14ac:dyDescent="0.2">
      <c r="A176" s="1048"/>
      <c r="B176" s="39" t="s">
        <v>523</v>
      </c>
      <c r="C176" s="1545" t="s">
        <v>2101</v>
      </c>
      <c r="D176" s="1545"/>
      <c r="E176" s="1545"/>
      <c r="F176" s="1545"/>
      <c r="G176" s="1545"/>
      <c r="H176" s="1545"/>
      <c r="I176" s="1545"/>
      <c r="J176" s="1545"/>
      <c r="K176" s="699"/>
      <c r="L176" s="701" t="s">
        <v>517</v>
      </c>
      <c r="M176" s="699"/>
      <c r="N176" s="701" t="s">
        <v>518</v>
      </c>
      <c r="O176" s="675"/>
    </row>
    <row r="177" spans="1:15" s="197" customFormat="1" ht="15" customHeight="1" x14ac:dyDescent="0.2">
      <c r="A177" s="1048"/>
      <c r="C177" s="699" t="s">
        <v>2073</v>
      </c>
      <c r="G177" s="674"/>
      <c r="H177" s="674"/>
      <c r="I177" s="243"/>
      <c r="J177" s="674"/>
      <c r="L177" s="15">
        <f>L155*L159</f>
        <v>0</v>
      </c>
      <c r="M177" s="15"/>
      <c r="N177" s="15"/>
      <c r="O177" s="674"/>
    </row>
    <row r="178" spans="1:15" s="197" customFormat="1" ht="15" customHeight="1" x14ac:dyDescent="0.2">
      <c r="A178" s="1048"/>
      <c r="C178" s="699" t="s">
        <v>2079</v>
      </c>
      <c r="G178" s="725"/>
      <c r="H178" s="725"/>
      <c r="I178" s="243"/>
      <c r="J178" s="725"/>
      <c r="L178" s="15"/>
      <c r="M178" s="15"/>
      <c r="N178" s="15">
        <f>L164*$L$155</f>
        <v>0</v>
      </c>
      <c r="O178" s="725"/>
    </row>
    <row r="179" spans="1:15" s="197" customFormat="1" ht="15" customHeight="1" x14ac:dyDescent="0.2">
      <c r="A179" s="1048"/>
      <c r="C179" s="699" t="s">
        <v>2080</v>
      </c>
      <c r="G179" s="725"/>
      <c r="H179" s="725"/>
      <c r="I179" s="243"/>
      <c r="J179" s="725"/>
      <c r="L179" s="15"/>
      <c r="M179" s="15"/>
      <c r="N179" s="15">
        <f t="shared" ref="N179:N186" si="2">L165*$L$155</f>
        <v>0</v>
      </c>
      <c r="O179" s="725"/>
    </row>
    <row r="180" spans="1:15" s="197" customFormat="1" ht="15" customHeight="1" x14ac:dyDescent="0.2">
      <c r="A180" s="1048"/>
      <c r="C180" s="699" t="s">
        <v>2081</v>
      </c>
      <c r="G180" s="725"/>
      <c r="H180" s="725"/>
      <c r="I180" s="243"/>
      <c r="J180" s="725"/>
      <c r="L180" s="15"/>
      <c r="M180" s="15"/>
      <c r="N180" s="15">
        <f t="shared" si="2"/>
        <v>0</v>
      </c>
      <c r="O180" s="725"/>
    </row>
    <row r="181" spans="1:15" s="197" customFormat="1" ht="15" customHeight="1" x14ac:dyDescent="0.2">
      <c r="A181" s="1048"/>
      <c r="C181" s="699" t="s">
        <v>2082</v>
      </c>
      <c r="G181" s="725"/>
      <c r="H181" s="725"/>
      <c r="I181" s="243"/>
      <c r="J181" s="725"/>
      <c r="L181" s="15"/>
      <c r="M181" s="15"/>
      <c r="N181" s="15">
        <f t="shared" si="2"/>
        <v>0</v>
      </c>
      <c r="O181" s="725"/>
    </row>
    <row r="182" spans="1:15" s="197" customFormat="1" ht="15" customHeight="1" x14ac:dyDescent="0.2">
      <c r="A182" s="1048"/>
      <c r="C182" s="699" t="s">
        <v>2083</v>
      </c>
      <c r="G182" s="725"/>
      <c r="H182" s="725"/>
      <c r="I182" s="243"/>
      <c r="J182" s="725"/>
      <c r="L182" s="15"/>
      <c r="M182" s="15"/>
      <c r="N182" s="15">
        <f t="shared" si="2"/>
        <v>0</v>
      </c>
      <c r="O182" s="725"/>
    </row>
    <row r="183" spans="1:15" s="197" customFormat="1" ht="15" customHeight="1" x14ac:dyDescent="0.2">
      <c r="A183" s="1048"/>
      <c r="C183" s="699" t="s">
        <v>2084</v>
      </c>
      <c r="G183" s="725"/>
      <c r="H183" s="725"/>
      <c r="I183" s="243"/>
      <c r="J183" s="725"/>
      <c r="L183" s="15"/>
      <c r="M183" s="15"/>
      <c r="N183" s="15">
        <f t="shared" si="2"/>
        <v>0</v>
      </c>
      <c r="O183" s="725"/>
    </row>
    <row r="184" spans="1:15" s="197" customFormat="1" ht="15" customHeight="1" x14ac:dyDescent="0.2">
      <c r="A184" s="1048"/>
      <c r="C184" s="699" t="s">
        <v>2085</v>
      </c>
      <c r="G184" s="725"/>
      <c r="H184" s="725"/>
      <c r="I184" s="243"/>
      <c r="J184" s="725"/>
      <c r="L184" s="15"/>
      <c r="M184" s="15"/>
      <c r="N184" s="15">
        <f t="shared" si="2"/>
        <v>0</v>
      </c>
      <c r="O184" s="725"/>
    </row>
    <row r="185" spans="1:15" s="197" customFormat="1" ht="15" customHeight="1" x14ac:dyDescent="0.2">
      <c r="A185" s="1048"/>
      <c r="C185" s="699" t="s">
        <v>2086</v>
      </c>
      <c r="G185" s="725"/>
      <c r="H185" s="725"/>
      <c r="I185" s="243"/>
      <c r="J185" s="725"/>
      <c r="L185" s="15"/>
      <c r="M185" s="15"/>
      <c r="N185" s="15">
        <f t="shared" si="2"/>
        <v>0</v>
      </c>
      <c r="O185" s="725"/>
    </row>
    <row r="186" spans="1:15" s="197" customFormat="1" ht="15" customHeight="1" x14ac:dyDescent="0.2">
      <c r="A186" s="1048"/>
      <c r="C186" s="699" t="s">
        <v>2087</v>
      </c>
      <c r="G186" s="725"/>
      <c r="H186" s="725"/>
      <c r="I186" s="243"/>
      <c r="J186" s="725"/>
      <c r="L186" s="15"/>
      <c r="M186" s="15"/>
      <c r="N186" s="15">
        <f t="shared" si="2"/>
        <v>0</v>
      </c>
      <c r="O186" s="725"/>
    </row>
    <row r="187" spans="1:15" s="197" customFormat="1" ht="15" customHeight="1" x14ac:dyDescent="0.2">
      <c r="A187" s="1048"/>
      <c r="G187" s="725"/>
      <c r="H187" s="725"/>
      <c r="I187" s="243"/>
      <c r="J187" s="725"/>
      <c r="L187" s="725"/>
      <c r="N187" s="725"/>
      <c r="O187" s="725"/>
    </row>
    <row r="188" spans="1:15" s="197" customFormat="1" ht="15" customHeight="1" x14ac:dyDescent="0.2">
      <c r="A188" s="1048"/>
      <c r="G188" s="725"/>
      <c r="H188" s="725"/>
      <c r="I188" s="243"/>
      <c r="J188" s="725"/>
      <c r="L188" s="725"/>
      <c r="N188" s="725"/>
      <c r="O188" s="725"/>
    </row>
    <row r="189" spans="1:15" s="197" customFormat="1" ht="15" customHeight="1" x14ac:dyDescent="0.2">
      <c r="A189" s="1048"/>
      <c r="G189" s="725"/>
      <c r="H189" s="725"/>
      <c r="I189" s="243"/>
      <c r="J189" s="725"/>
      <c r="L189" s="725"/>
      <c r="N189" s="725"/>
      <c r="O189" s="725"/>
    </row>
    <row r="190" spans="1:15" s="197" customFormat="1" ht="15" customHeight="1" x14ac:dyDescent="0.2">
      <c r="A190" s="1048"/>
      <c r="G190" s="674"/>
      <c r="H190" s="674"/>
      <c r="I190" s="243"/>
      <c r="J190" s="674"/>
      <c r="L190" s="674"/>
      <c r="N190" s="674"/>
      <c r="O190" s="674"/>
    </row>
    <row r="191" spans="1:15" s="197" customFormat="1" ht="15" customHeight="1" x14ac:dyDescent="0.2">
      <c r="A191" s="1048" t="s">
        <v>468</v>
      </c>
      <c r="B191" s="1494" t="s">
        <v>2072</v>
      </c>
      <c r="C191" s="1495"/>
      <c r="D191" s="1495"/>
      <c r="E191" s="1495"/>
      <c r="F191" s="1495"/>
      <c r="G191" s="1495"/>
      <c r="H191" s="1495"/>
      <c r="I191" s="1495"/>
      <c r="J191" s="1495"/>
      <c r="K191" s="1495"/>
      <c r="L191" s="1495"/>
      <c r="M191" s="1546"/>
      <c r="N191" s="1495"/>
      <c r="O191" s="1496"/>
    </row>
    <row r="192" spans="1:15" s="197" customFormat="1" ht="15" customHeight="1" x14ac:dyDescent="0.2">
      <c r="A192" s="1048"/>
      <c r="B192" s="699"/>
      <c r="C192" s="699"/>
      <c r="D192" s="699"/>
      <c r="E192" s="699"/>
      <c r="F192" s="699"/>
      <c r="G192" s="675"/>
      <c r="H192" s="675"/>
      <c r="I192" s="701"/>
      <c r="J192" s="675"/>
      <c r="K192" s="699"/>
      <c r="L192" s="675"/>
      <c r="M192" s="699"/>
      <c r="N192" s="675"/>
      <c r="O192" s="675"/>
    </row>
    <row r="193" spans="1:16" s="197" customFormat="1" ht="15" customHeight="1" x14ac:dyDescent="0.2">
      <c r="A193" s="1048"/>
      <c r="B193" s="39" t="s">
        <v>521</v>
      </c>
      <c r="C193" s="699" t="s">
        <v>2108</v>
      </c>
      <c r="D193" s="699"/>
      <c r="E193" s="699"/>
      <c r="F193" s="699"/>
      <c r="G193" s="675"/>
      <c r="H193" s="675"/>
      <c r="I193" s="701"/>
      <c r="J193" s="675"/>
      <c r="K193" s="699"/>
      <c r="L193" s="747"/>
      <c r="M193" s="699"/>
      <c r="N193" s="675"/>
      <c r="O193" s="675"/>
    </row>
    <row r="194" spans="1:16" s="197" customFormat="1" ht="15" customHeight="1" x14ac:dyDescent="0.2">
      <c r="A194" s="1048"/>
      <c r="B194" s="39"/>
      <c r="C194" s="699"/>
      <c r="D194" s="699"/>
      <c r="E194" s="699"/>
      <c r="F194" s="699"/>
      <c r="G194" s="675"/>
      <c r="H194" s="675"/>
      <c r="I194" s="701"/>
      <c r="J194" s="675"/>
      <c r="K194" s="699"/>
      <c r="L194" s="702"/>
      <c r="M194" s="699"/>
      <c r="N194" s="675"/>
      <c r="O194" s="675"/>
    </row>
    <row r="195" spans="1:16" s="197" customFormat="1" ht="15" customHeight="1" x14ac:dyDescent="0.2">
      <c r="A195" s="1048"/>
      <c r="B195" s="39" t="s">
        <v>522</v>
      </c>
      <c r="C195" s="699" t="s">
        <v>2071</v>
      </c>
      <c r="D195" s="699"/>
      <c r="E195" s="699"/>
      <c r="F195" s="699"/>
      <c r="G195" s="675"/>
      <c r="H195" s="675"/>
      <c r="I195" s="701"/>
      <c r="J195" s="675"/>
      <c r="K195" s="699"/>
      <c r="L195" s="703"/>
      <c r="M195" s="699"/>
      <c r="N195" s="675"/>
      <c r="O195" s="675"/>
    </row>
    <row r="196" spans="1:16" s="197" customFormat="1" ht="15" customHeight="1" x14ac:dyDescent="0.2">
      <c r="A196" s="1048"/>
      <c r="B196" s="39"/>
      <c r="C196" s="699"/>
      <c r="D196" s="699"/>
      <c r="E196" s="699"/>
      <c r="F196" s="699"/>
      <c r="G196" s="675"/>
      <c r="H196" s="675"/>
      <c r="I196" s="701"/>
      <c r="J196" s="675"/>
      <c r="K196" s="699"/>
      <c r="L196" s="675"/>
      <c r="M196" s="699"/>
      <c r="N196" s="675"/>
      <c r="O196" s="675"/>
    </row>
    <row r="197" spans="1:16" s="197" customFormat="1" ht="29.45" customHeight="1" thickBot="1" x14ac:dyDescent="0.25">
      <c r="A197" s="1048"/>
      <c r="B197" s="39" t="s">
        <v>523</v>
      </c>
      <c r="C197" s="1545" t="s">
        <v>3641</v>
      </c>
      <c r="D197" s="1545"/>
      <c r="E197" s="1545"/>
      <c r="F197" s="1545"/>
      <c r="G197" s="1545"/>
      <c r="H197" s="1545"/>
      <c r="I197" s="1545"/>
      <c r="J197" s="1545"/>
      <c r="K197" s="699"/>
      <c r="L197" s="80">
        <f>L193*L195</f>
        <v>0</v>
      </c>
      <c r="M197" s="699"/>
      <c r="N197" s="675"/>
      <c r="O197" s="675"/>
    </row>
    <row r="198" spans="1:16" s="197" customFormat="1" ht="15" customHeight="1" thickTop="1" x14ac:dyDescent="0.2">
      <c r="A198" s="1048"/>
      <c r="G198" s="674"/>
      <c r="H198" s="674"/>
      <c r="I198" s="243"/>
      <c r="J198" s="674"/>
      <c r="L198" s="674"/>
      <c r="N198" s="674"/>
      <c r="O198" s="674"/>
    </row>
    <row r="199" spans="1:16" s="197" customFormat="1" ht="15" customHeight="1" x14ac:dyDescent="0.2">
      <c r="A199" s="1048"/>
      <c r="G199" s="674"/>
      <c r="H199" s="674"/>
      <c r="I199" s="243"/>
      <c r="J199" s="674"/>
      <c r="L199" s="674"/>
      <c r="N199" s="674"/>
      <c r="O199" s="674"/>
    </row>
    <row r="200" spans="1:16" s="197" customFormat="1" ht="22.5" customHeight="1" x14ac:dyDescent="0.2">
      <c r="A200" s="1048"/>
      <c r="G200" s="676"/>
      <c r="H200" s="676"/>
      <c r="I200" s="243"/>
      <c r="J200" s="676"/>
      <c r="L200" s="676"/>
      <c r="N200" s="676"/>
      <c r="O200" s="676"/>
    </row>
    <row r="201" spans="1:16" ht="25.5" customHeight="1" x14ac:dyDescent="0.2">
      <c r="A201" s="1048" t="s">
        <v>469</v>
      </c>
      <c r="B201" s="1494" t="s">
        <v>290</v>
      </c>
      <c r="C201" s="1495"/>
      <c r="D201" s="1495"/>
      <c r="E201" s="1495"/>
      <c r="F201" s="1495"/>
      <c r="G201" s="1495"/>
      <c r="H201" s="1495"/>
      <c r="I201" s="1495"/>
      <c r="J201" s="1495"/>
      <c r="K201" s="1495"/>
      <c r="L201" s="1495"/>
      <c r="M201" s="1495"/>
      <c r="N201" s="1495"/>
      <c r="O201" s="1496"/>
      <c r="P201" s="52"/>
    </row>
    <row r="202" spans="1:16" x14ac:dyDescent="0.2">
      <c r="I202"/>
      <c r="J202"/>
      <c r="K202"/>
      <c r="L202" s="3" t="s">
        <v>875</v>
      </c>
      <c r="M202" s="3"/>
      <c r="N202" s="3" t="s">
        <v>518</v>
      </c>
    </row>
    <row r="203" spans="1:16" ht="12.75" customHeight="1" x14ac:dyDescent="0.2">
      <c r="D203" s="699" t="s">
        <v>482</v>
      </c>
      <c r="E203" t="s">
        <v>191</v>
      </c>
      <c r="I203"/>
      <c r="K203"/>
      <c r="L203" s="78">
        <f t="shared" ref="L203:L214" si="3">AB233</f>
        <v>0</v>
      </c>
      <c r="M203"/>
      <c r="N203" s="78">
        <f t="shared" ref="N203:N214" si="4">AC233</f>
        <v>0</v>
      </c>
    </row>
    <row r="204" spans="1:16" x14ac:dyDescent="0.2">
      <c r="E204" t="s">
        <v>1009</v>
      </c>
      <c r="I204"/>
      <c r="K204"/>
      <c r="L204" s="78">
        <f t="shared" si="3"/>
        <v>0</v>
      </c>
      <c r="M204"/>
      <c r="N204" s="78">
        <f t="shared" si="4"/>
        <v>0</v>
      </c>
    </row>
    <row r="205" spans="1:16" x14ac:dyDescent="0.2">
      <c r="E205" t="s">
        <v>1010</v>
      </c>
      <c r="I205"/>
      <c r="K205"/>
      <c r="L205" s="78">
        <f t="shared" si="3"/>
        <v>0</v>
      </c>
      <c r="M205"/>
      <c r="N205" s="78">
        <f t="shared" si="4"/>
        <v>0</v>
      </c>
    </row>
    <row r="206" spans="1:16" x14ac:dyDescent="0.2">
      <c r="E206" t="s">
        <v>831</v>
      </c>
      <c r="I206"/>
      <c r="J206"/>
      <c r="K206"/>
      <c r="L206" s="78">
        <f t="shared" si="3"/>
        <v>0</v>
      </c>
      <c r="M206"/>
      <c r="N206" s="78">
        <f t="shared" si="4"/>
        <v>0</v>
      </c>
    </row>
    <row r="207" spans="1:16" x14ac:dyDescent="0.2">
      <c r="E207" t="s">
        <v>820</v>
      </c>
      <c r="I207"/>
      <c r="J207"/>
      <c r="K207"/>
      <c r="L207" s="78">
        <f t="shared" si="3"/>
        <v>0</v>
      </c>
      <c r="M207"/>
      <c r="N207" s="78">
        <f t="shared" si="4"/>
        <v>0</v>
      </c>
    </row>
    <row r="208" spans="1:16" x14ac:dyDescent="0.2">
      <c r="E208" t="s">
        <v>205</v>
      </c>
      <c r="I208"/>
      <c r="J208"/>
      <c r="K208"/>
      <c r="L208" s="78">
        <f t="shared" si="3"/>
        <v>0</v>
      </c>
      <c r="M208"/>
      <c r="N208" s="78">
        <f t="shared" si="4"/>
        <v>0</v>
      </c>
    </row>
    <row r="209" spans="1:26" x14ac:dyDescent="0.2">
      <c r="E209" t="s">
        <v>1028</v>
      </c>
      <c r="I209"/>
      <c r="J209"/>
      <c r="K209"/>
      <c r="L209" s="78">
        <f t="shared" si="3"/>
        <v>0</v>
      </c>
      <c r="M209"/>
      <c r="N209" s="78">
        <f t="shared" si="4"/>
        <v>0</v>
      </c>
    </row>
    <row r="210" spans="1:26" x14ac:dyDescent="0.2">
      <c r="E210" t="s">
        <v>174</v>
      </c>
      <c r="I210"/>
      <c r="J210"/>
      <c r="K210"/>
      <c r="L210" s="78">
        <f t="shared" si="3"/>
        <v>0</v>
      </c>
      <c r="M210"/>
      <c r="N210" s="78">
        <f t="shared" si="4"/>
        <v>0</v>
      </c>
    </row>
    <row r="211" spans="1:26" x14ac:dyDescent="0.2">
      <c r="E211" s="354" t="s">
        <v>740</v>
      </c>
      <c r="I211"/>
      <c r="J211"/>
      <c r="K211"/>
      <c r="L211" s="78">
        <f t="shared" si="3"/>
        <v>0</v>
      </c>
      <c r="M211"/>
      <c r="N211" s="78">
        <f t="shared" si="4"/>
        <v>0</v>
      </c>
    </row>
    <row r="212" spans="1:26" x14ac:dyDescent="0.2">
      <c r="E212" t="s">
        <v>738</v>
      </c>
      <c r="I212"/>
      <c r="J212"/>
      <c r="K212"/>
      <c r="L212" s="78">
        <f t="shared" si="3"/>
        <v>0</v>
      </c>
      <c r="M212"/>
      <c r="N212" s="78">
        <f t="shared" si="4"/>
        <v>0</v>
      </c>
    </row>
    <row r="213" spans="1:26" x14ac:dyDescent="0.2">
      <c r="E213" t="s">
        <v>739</v>
      </c>
      <c r="I213"/>
      <c r="J213"/>
      <c r="K213"/>
      <c r="L213" s="78">
        <f t="shared" si="3"/>
        <v>0</v>
      </c>
      <c r="M213"/>
      <c r="N213" s="78">
        <f t="shared" si="4"/>
        <v>0</v>
      </c>
    </row>
    <row r="214" spans="1:26" x14ac:dyDescent="0.2">
      <c r="E214" t="s">
        <v>1047</v>
      </c>
      <c r="I214"/>
      <c r="J214"/>
      <c r="K214"/>
      <c r="L214" s="78">
        <f t="shared" si="3"/>
        <v>0</v>
      </c>
      <c r="M214"/>
      <c r="N214" s="78">
        <f t="shared" si="4"/>
        <v>0</v>
      </c>
    </row>
    <row r="215" spans="1:26" s="695" customFormat="1" x14ac:dyDescent="0.2">
      <c r="A215" s="1048"/>
      <c r="E215" s="695" t="s">
        <v>2643</v>
      </c>
      <c r="L215" s="697">
        <f>AB245</f>
        <v>0</v>
      </c>
      <c r="N215" s="697">
        <f>AC245</f>
        <v>0</v>
      </c>
      <c r="Y215" s="741"/>
      <c r="Z215" s="741"/>
    </row>
    <row r="216" spans="1:26" s="756" customFormat="1" x14ac:dyDescent="0.2">
      <c r="A216" s="1048"/>
      <c r="E216" s="756" t="s">
        <v>2642</v>
      </c>
      <c r="L216" s="757">
        <f>AB246</f>
        <v>0</v>
      </c>
      <c r="N216" s="757">
        <f>AC246</f>
        <v>0</v>
      </c>
    </row>
    <row r="217" spans="1:26" x14ac:dyDescent="0.2">
      <c r="F217" t="s">
        <v>1048</v>
      </c>
      <c r="I217"/>
      <c r="J217"/>
      <c r="K217"/>
      <c r="L217" s="78">
        <f>AB247</f>
        <v>0</v>
      </c>
      <c r="M217"/>
      <c r="N217" s="78">
        <f>AC247</f>
        <v>0</v>
      </c>
    </row>
    <row r="218" spans="1:26" x14ac:dyDescent="0.2">
      <c r="F218" s="354" t="s">
        <v>263</v>
      </c>
      <c r="I218"/>
      <c r="J218"/>
      <c r="K218"/>
      <c r="L218" s="78">
        <f>AB250</f>
        <v>0</v>
      </c>
      <c r="M218"/>
      <c r="N218" s="78">
        <f>AC250</f>
        <v>0</v>
      </c>
    </row>
    <row r="219" spans="1:26" x14ac:dyDescent="0.2">
      <c r="F219" s="354" t="s">
        <v>262</v>
      </c>
      <c r="L219" s="78">
        <f>AB251</f>
        <v>0</v>
      </c>
      <c r="N219" s="78">
        <f>AC251</f>
        <v>0</v>
      </c>
    </row>
    <row r="220" spans="1:26" x14ac:dyDescent="0.2">
      <c r="F220" t="str">
        <f>A248</f>
        <v>Net Pension obligation (LEO)</v>
      </c>
      <c r="I220"/>
      <c r="J220"/>
      <c r="K220"/>
      <c r="L220" s="78">
        <f>AB248</f>
        <v>0</v>
      </c>
      <c r="M220"/>
      <c r="N220" s="78">
        <f>AC248</f>
        <v>0</v>
      </c>
    </row>
    <row r="221" spans="1:26" s="790" customFormat="1" x14ac:dyDescent="0.2">
      <c r="A221" s="1048"/>
      <c r="F221" s="699" t="s">
        <v>88</v>
      </c>
      <c r="L221" s="792">
        <f>AB252</f>
        <v>0</v>
      </c>
      <c r="N221" s="792">
        <f>AC252</f>
        <v>0</v>
      </c>
    </row>
    <row r="222" spans="1:26" x14ac:dyDescent="0.2">
      <c r="F222" s="699" t="s">
        <v>4081</v>
      </c>
      <c r="I222"/>
      <c r="J222"/>
      <c r="K222"/>
      <c r="L222" s="78">
        <f>AB249</f>
        <v>0</v>
      </c>
      <c r="M222"/>
      <c r="N222" s="78">
        <f>AC249</f>
        <v>0</v>
      </c>
    </row>
    <row r="223" spans="1:26" ht="13.5" thickBot="1" x14ac:dyDescent="0.25">
      <c r="L223" s="80">
        <f>SUM(L203:L222)</f>
        <v>0</v>
      </c>
      <c r="M223" s="20">
        <f>SUM(M203:M219)</f>
        <v>0</v>
      </c>
      <c r="N223" s="80">
        <f>SUM(N203:N222)</f>
        <v>0</v>
      </c>
    </row>
    <row r="224" spans="1:26" ht="13.5" thickTop="1" x14ac:dyDescent="0.2">
      <c r="L224" s="5"/>
      <c r="N224" s="5"/>
    </row>
    <row r="226" spans="1:33" s="1049" customFormat="1" ht="12.75" customHeight="1" x14ac:dyDescent="0.25">
      <c r="A226" s="1059" t="s">
        <v>281</v>
      </c>
      <c r="B226" s="1059"/>
      <c r="C226" s="1059"/>
      <c r="D226" s="1059"/>
      <c r="E226" s="1059"/>
      <c r="F226" s="1059"/>
      <c r="G226" s="1059"/>
      <c r="H226" s="1059"/>
      <c r="I226" s="1059"/>
      <c r="J226" s="1059"/>
      <c r="K226" s="1059"/>
      <c r="L226" s="1059"/>
      <c r="M226" s="1059"/>
      <c r="N226" s="1059"/>
      <c r="O226" s="1059"/>
      <c r="P226" s="108"/>
      <c r="Q226" s="108"/>
      <c r="R226" s="108"/>
      <c r="S226" s="108"/>
      <c r="T226" s="108"/>
      <c r="U226" s="108"/>
      <c r="V226" s="108"/>
      <c r="W226" s="108"/>
      <c r="X226" s="108"/>
      <c r="Y226" s="108"/>
      <c r="Z226" s="108"/>
      <c r="AA226" s="108"/>
    </row>
    <row r="227" spans="1:33" s="1049" customFormat="1" ht="12.75" customHeight="1" x14ac:dyDescent="0.25">
      <c r="A227" s="1059"/>
      <c r="B227" s="1059"/>
      <c r="C227" s="1059"/>
      <c r="D227" s="1059"/>
      <c r="E227" s="1059"/>
      <c r="F227" s="1059"/>
      <c r="G227" s="1059"/>
      <c r="H227" s="1059"/>
      <c r="I227" s="1059"/>
      <c r="J227" s="1059"/>
      <c r="K227" s="1059"/>
      <c r="L227" s="1059"/>
      <c r="M227" s="1059"/>
      <c r="N227" s="1059"/>
      <c r="O227" s="1059"/>
      <c r="P227" s="108"/>
      <c r="Q227" s="108"/>
      <c r="R227" s="108"/>
      <c r="S227" s="108"/>
      <c r="T227" s="108"/>
      <c r="U227" s="108"/>
      <c r="V227" s="108"/>
      <c r="W227" s="108"/>
      <c r="X227" s="108"/>
      <c r="Y227" s="108"/>
      <c r="Z227" s="108"/>
      <c r="AA227" s="108"/>
    </row>
    <row r="228" spans="1:33" s="1049" customFormat="1" ht="18" x14ac:dyDescent="0.25">
      <c r="A228" s="1055"/>
      <c r="B228" s="1055"/>
      <c r="C228" s="1055"/>
      <c r="D228" s="1055"/>
      <c r="E228" s="1055"/>
      <c r="F228" s="1055"/>
      <c r="G228" s="1055"/>
      <c r="H228" s="1055"/>
      <c r="I228" s="1055"/>
      <c r="J228" s="1055"/>
      <c r="K228" s="1055"/>
      <c r="L228" s="1055"/>
      <c r="M228" s="1055"/>
      <c r="N228" s="1055"/>
      <c r="O228" s="1055"/>
      <c r="P228" s="108"/>
      <c r="Q228" s="108"/>
      <c r="R228" s="108"/>
      <c r="S228" s="108"/>
      <c r="T228" s="108"/>
      <c r="U228" s="108"/>
      <c r="V228" s="108"/>
      <c r="W228" s="108"/>
      <c r="X228" s="108"/>
      <c r="Y228" s="108"/>
      <c r="Z228" s="108"/>
      <c r="AA228" s="108"/>
    </row>
    <row r="229" spans="1:33" x14ac:dyDescent="0.2">
      <c r="F229" s="1484" t="s">
        <v>194</v>
      </c>
      <c r="G229" s="1485"/>
      <c r="H229" s="1484" t="s">
        <v>195</v>
      </c>
      <c r="I229" s="1488"/>
      <c r="J229" s="1485"/>
      <c r="K229" s="106"/>
      <c r="L229" s="1484" t="s">
        <v>709</v>
      </c>
      <c r="M229" s="1488"/>
      <c r="N229" s="1485"/>
      <c r="O229" s="1554"/>
      <c r="P229" s="1554"/>
      <c r="Q229" s="1554"/>
      <c r="R229" s="1547" t="s">
        <v>710</v>
      </c>
      <c r="S229" s="1504"/>
      <c r="T229" s="1508"/>
      <c r="U229" s="1547" t="s">
        <v>711</v>
      </c>
      <c r="V229" s="1508"/>
      <c r="W229" s="1553" t="s">
        <v>300</v>
      </c>
      <c r="X229" s="1504"/>
      <c r="Y229" s="1547" t="s">
        <v>301</v>
      </c>
      <c r="Z229" s="1508"/>
      <c r="AA229" s="257"/>
      <c r="AB229" s="1484" t="s">
        <v>923</v>
      </c>
      <c r="AC229" s="1485"/>
    </row>
    <row r="230" spans="1:33" x14ac:dyDescent="0.2">
      <c r="F230" s="1565" t="s">
        <v>418</v>
      </c>
      <c r="G230" s="1567"/>
      <c r="H230" s="1565" t="s">
        <v>417</v>
      </c>
      <c r="I230" s="1566"/>
      <c r="J230" s="1567"/>
      <c r="K230" s="106"/>
      <c r="L230" s="210"/>
      <c r="M230" s="46"/>
      <c r="N230" s="211"/>
      <c r="O230" s="1060"/>
      <c r="P230" s="1060"/>
      <c r="Q230" s="1060"/>
      <c r="R230" s="212"/>
      <c r="S230" s="751"/>
      <c r="T230" s="213"/>
      <c r="U230" s="212"/>
      <c r="V230" s="213"/>
      <c r="W230" s="99"/>
      <c r="X230" s="99"/>
      <c r="Y230" s="212"/>
      <c r="Z230" s="213"/>
      <c r="AA230" s="258" t="s">
        <v>975</v>
      </c>
      <c r="AB230" s="210"/>
      <c r="AC230" s="211"/>
    </row>
    <row r="231" spans="1:33" x14ac:dyDescent="0.2">
      <c r="F231" s="71" t="s">
        <v>517</v>
      </c>
      <c r="G231" s="72" t="s">
        <v>518</v>
      </c>
      <c r="H231" s="71" t="s">
        <v>517</v>
      </c>
      <c r="I231" s="69"/>
      <c r="J231" s="110" t="s">
        <v>518</v>
      </c>
      <c r="K231" s="109"/>
      <c r="L231" s="111" t="s">
        <v>517</v>
      </c>
      <c r="M231" s="69"/>
      <c r="N231" s="72" t="s">
        <v>518</v>
      </c>
      <c r="O231" s="1060"/>
      <c r="P231" s="1061"/>
      <c r="Q231" s="1060"/>
      <c r="R231" s="111" t="s">
        <v>517</v>
      </c>
      <c r="S231" s="1050"/>
      <c r="T231" s="112" t="s">
        <v>518</v>
      </c>
      <c r="U231" s="704" t="s">
        <v>517</v>
      </c>
      <c r="V231" s="705" t="s">
        <v>518</v>
      </c>
      <c r="W231" s="69" t="s">
        <v>517</v>
      </c>
      <c r="X231" s="69" t="s">
        <v>518</v>
      </c>
      <c r="Y231" s="704" t="s">
        <v>517</v>
      </c>
      <c r="Z231" s="705" t="s">
        <v>518</v>
      </c>
      <c r="AA231" s="259" t="s">
        <v>976</v>
      </c>
      <c r="AB231" s="71" t="s">
        <v>517</v>
      </c>
      <c r="AC231" s="72" t="s">
        <v>518</v>
      </c>
    </row>
    <row r="232" spans="1:33" ht="4.5" customHeight="1" x14ac:dyDescent="0.2">
      <c r="L232" s="14"/>
      <c r="M232" s="1053"/>
      <c r="N232" s="1064"/>
      <c r="O232" s="1061"/>
      <c r="P232" s="1061"/>
      <c r="Q232" s="1061"/>
      <c r="R232" s="7"/>
      <c r="S232" s="14"/>
      <c r="T232" s="14"/>
      <c r="AA232" s="260"/>
      <c r="AB232" s="113"/>
      <c r="AC232" s="36"/>
    </row>
    <row r="233" spans="1:33" x14ac:dyDescent="0.2">
      <c r="A233" s="699" t="s">
        <v>191</v>
      </c>
      <c r="B233" s="699"/>
      <c r="F233" s="36">
        <f t="shared" ref="F233:F241" si="5">J27+J41</f>
        <v>0</v>
      </c>
      <c r="G233" s="36">
        <v>0</v>
      </c>
      <c r="H233" s="36"/>
      <c r="I233" s="47"/>
      <c r="J233" s="1">
        <f t="shared" ref="J233:J241" si="6">L27+L41</f>
        <v>0</v>
      </c>
      <c r="L233" s="48">
        <f t="shared" ref="L233:L238" si="7">G71+N71-J71</f>
        <v>0</v>
      </c>
      <c r="M233" s="47"/>
      <c r="N233" s="720">
        <v>0</v>
      </c>
      <c r="O233" s="1062"/>
      <c r="P233" s="1062"/>
      <c r="Q233" s="1062"/>
      <c r="R233" s="114">
        <f t="shared" ref="R233:R241" si="8">N109</f>
        <v>0</v>
      </c>
      <c r="S233" s="48"/>
      <c r="T233" s="48"/>
      <c r="U233" s="36">
        <f t="shared" ref="U233:U243" si="9">G139+L139+J139+O139-H139-N139</f>
        <v>0</v>
      </c>
      <c r="V233" s="36"/>
      <c r="W233" s="36"/>
      <c r="X233" s="36">
        <f t="shared" ref="X233:X241" si="10">N178</f>
        <v>0</v>
      </c>
      <c r="Y233" s="36"/>
      <c r="Z233" s="36">
        <f>L193*L195</f>
        <v>0</v>
      </c>
      <c r="AA233" s="261">
        <f>(F233+H233+L233+O233+R233+U233+W233+Y233)-(G233+J233+N233+Q233+T233+V233+X233+Z233)</f>
        <v>0</v>
      </c>
      <c r="AB233" s="114">
        <f>IF(AA233&lt;0,0,AA233)</f>
        <v>0</v>
      </c>
      <c r="AC233" s="48">
        <f>IF(AA233&gt;0,0,AA233*-1)</f>
        <v>0</v>
      </c>
      <c r="AD233" s="36"/>
      <c r="AE233" s="36"/>
      <c r="AF233" s="36"/>
      <c r="AG233" s="36"/>
    </row>
    <row r="234" spans="1:33" x14ac:dyDescent="0.2">
      <c r="A234" s="699" t="s">
        <v>1009</v>
      </c>
      <c r="B234" s="699"/>
      <c r="F234" s="36">
        <f t="shared" si="5"/>
        <v>0</v>
      </c>
      <c r="G234" s="36"/>
      <c r="H234" s="36"/>
      <c r="I234" s="47"/>
      <c r="J234" s="1">
        <f t="shared" si="6"/>
        <v>0</v>
      </c>
      <c r="L234" s="48">
        <f t="shared" si="7"/>
        <v>0</v>
      </c>
      <c r="M234" s="47"/>
      <c r="N234" s="720"/>
      <c r="O234" s="1062"/>
      <c r="P234" s="1062"/>
      <c r="Q234" s="1062"/>
      <c r="R234" s="114">
        <f t="shared" si="8"/>
        <v>0</v>
      </c>
      <c r="S234" s="48"/>
      <c r="T234" s="48"/>
      <c r="U234" s="36">
        <f t="shared" si="9"/>
        <v>0</v>
      </c>
      <c r="V234" s="36"/>
      <c r="W234" s="36"/>
      <c r="X234" s="36">
        <f t="shared" si="10"/>
        <v>0</v>
      </c>
      <c r="Y234" s="36"/>
      <c r="Z234" s="36"/>
      <c r="AA234" s="261">
        <f t="shared" ref="AA234:AA244" si="11">(F234+H234+L234+O234+R234+U234+W234)-(G234+J234+N234+Q234+T234+V234+X234)</f>
        <v>0</v>
      </c>
      <c r="AB234" s="114">
        <f t="shared" ref="AB234:AB243" si="12">IF(AA234&lt;0,0,AA234)</f>
        <v>0</v>
      </c>
      <c r="AC234" s="48">
        <f t="shared" ref="AC234:AC243" si="13">IF(AA234&gt;0,0,AA234*-1)</f>
        <v>0</v>
      </c>
    </row>
    <row r="235" spans="1:33" x14ac:dyDescent="0.2">
      <c r="A235" s="699" t="s">
        <v>1010</v>
      </c>
      <c r="B235" s="699"/>
      <c r="F235" s="36">
        <f t="shared" si="5"/>
        <v>0</v>
      </c>
      <c r="G235" s="36"/>
      <c r="H235" s="36"/>
      <c r="I235" s="47"/>
      <c r="J235" s="1">
        <f t="shared" si="6"/>
        <v>0</v>
      </c>
      <c r="L235" s="48">
        <f t="shared" si="7"/>
        <v>0</v>
      </c>
      <c r="M235" s="47"/>
      <c r="N235" s="720"/>
      <c r="O235" s="1062"/>
      <c r="P235" s="1062"/>
      <c r="Q235" s="1062"/>
      <c r="R235" s="114">
        <f t="shared" si="8"/>
        <v>0</v>
      </c>
      <c r="S235" s="48"/>
      <c r="T235" s="48"/>
      <c r="U235" s="36">
        <f t="shared" si="9"/>
        <v>0</v>
      </c>
      <c r="V235" s="36"/>
      <c r="W235" s="36"/>
      <c r="X235" s="36">
        <f t="shared" si="10"/>
        <v>0</v>
      </c>
      <c r="Y235" s="36"/>
      <c r="Z235" s="36"/>
      <c r="AA235" s="261">
        <f t="shared" si="11"/>
        <v>0</v>
      </c>
      <c r="AB235" s="114">
        <f t="shared" si="12"/>
        <v>0</v>
      </c>
      <c r="AC235" s="48">
        <f t="shared" si="13"/>
        <v>0</v>
      </c>
    </row>
    <row r="236" spans="1:33" x14ac:dyDescent="0.2">
      <c r="A236" s="699" t="s">
        <v>831</v>
      </c>
      <c r="B236" s="699"/>
      <c r="F236" s="36">
        <f t="shared" si="5"/>
        <v>0</v>
      </c>
      <c r="G236" s="36"/>
      <c r="H236" s="36"/>
      <c r="I236" s="47"/>
      <c r="J236" s="1">
        <f t="shared" si="6"/>
        <v>0</v>
      </c>
      <c r="L236" s="48">
        <f t="shared" si="7"/>
        <v>0</v>
      </c>
      <c r="M236" s="47"/>
      <c r="N236" s="720"/>
      <c r="O236" s="1062"/>
      <c r="P236" s="1062"/>
      <c r="Q236" s="1062"/>
      <c r="R236" s="114">
        <f t="shared" si="8"/>
        <v>0</v>
      </c>
      <c r="S236" s="48"/>
      <c r="T236" s="48"/>
      <c r="U236" s="36">
        <f t="shared" si="9"/>
        <v>0</v>
      </c>
      <c r="V236" s="36"/>
      <c r="W236" s="36"/>
      <c r="X236" s="36">
        <f t="shared" si="10"/>
        <v>0</v>
      </c>
      <c r="Y236" s="36"/>
      <c r="Z236" s="36"/>
      <c r="AA236" s="261">
        <f t="shared" si="11"/>
        <v>0</v>
      </c>
      <c r="AB236" s="114">
        <f t="shared" si="12"/>
        <v>0</v>
      </c>
      <c r="AC236" s="48">
        <f t="shared" si="13"/>
        <v>0</v>
      </c>
    </row>
    <row r="237" spans="1:33" x14ac:dyDescent="0.2">
      <c r="A237" s="699" t="s">
        <v>820</v>
      </c>
      <c r="B237" s="699"/>
      <c r="F237" s="36">
        <f t="shared" si="5"/>
        <v>0</v>
      </c>
      <c r="G237" s="36"/>
      <c r="H237" s="36"/>
      <c r="I237" s="47"/>
      <c r="J237" s="1">
        <f t="shared" si="6"/>
        <v>0</v>
      </c>
      <c r="L237" s="48">
        <f t="shared" si="7"/>
        <v>0</v>
      </c>
      <c r="M237" s="47"/>
      <c r="N237" s="720"/>
      <c r="O237" s="1062"/>
      <c r="P237" s="1062"/>
      <c r="Q237" s="1062"/>
      <c r="R237" s="114">
        <f t="shared" si="8"/>
        <v>0</v>
      </c>
      <c r="S237" s="48"/>
      <c r="T237" s="48"/>
      <c r="U237" s="36">
        <f t="shared" si="9"/>
        <v>0</v>
      </c>
      <c r="V237" s="36"/>
      <c r="W237" s="36"/>
      <c r="X237" s="36">
        <f t="shared" si="10"/>
        <v>0</v>
      </c>
      <c r="Y237" s="36"/>
      <c r="Z237" s="36"/>
      <c r="AA237" s="261">
        <f t="shared" si="11"/>
        <v>0</v>
      </c>
      <c r="AB237" s="114">
        <f t="shared" si="12"/>
        <v>0</v>
      </c>
      <c r="AC237" s="48">
        <f t="shared" si="13"/>
        <v>0</v>
      </c>
    </row>
    <row r="238" spans="1:33" x14ac:dyDescent="0.2">
      <c r="A238" s="699" t="s">
        <v>205</v>
      </c>
      <c r="B238" s="699"/>
      <c r="F238" s="36">
        <f t="shared" si="5"/>
        <v>0</v>
      </c>
      <c r="G238" s="36"/>
      <c r="H238" s="36"/>
      <c r="I238" s="47"/>
      <c r="J238" s="1">
        <f t="shared" si="6"/>
        <v>0</v>
      </c>
      <c r="L238" s="48">
        <f t="shared" si="7"/>
        <v>0</v>
      </c>
      <c r="M238" s="47"/>
      <c r="N238" s="720"/>
      <c r="O238" s="1062"/>
      <c r="P238" s="1062"/>
      <c r="Q238" s="1062"/>
      <c r="R238" s="114">
        <f t="shared" si="8"/>
        <v>0</v>
      </c>
      <c r="S238" s="48"/>
      <c r="T238" s="48"/>
      <c r="U238" s="36">
        <f t="shared" si="9"/>
        <v>0</v>
      </c>
      <c r="V238" s="36"/>
      <c r="W238" s="36"/>
      <c r="X238" s="36">
        <f t="shared" si="10"/>
        <v>0</v>
      </c>
      <c r="Y238" s="36"/>
      <c r="Z238" s="36"/>
      <c r="AA238" s="261">
        <f t="shared" si="11"/>
        <v>0</v>
      </c>
      <c r="AB238" s="114">
        <f t="shared" si="12"/>
        <v>0</v>
      </c>
      <c r="AC238" s="48">
        <f t="shared" si="13"/>
        <v>0</v>
      </c>
    </row>
    <row r="239" spans="1:33" x14ac:dyDescent="0.2">
      <c r="A239" s="699" t="s">
        <v>1028</v>
      </c>
      <c r="B239" s="699"/>
      <c r="F239" s="36">
        <f t="shared" si="5"/>
        <v>0</v>
      </c>
      <c r="G239" s="36"/>
      <c r="H239" s="36"/>
      <c r="I239" s="47"/>
      <c r="J239" s="1">
        <f t="shared" si="6"/>
        <v>0</v>
      </c>
      <c r="L239" s="1065" t="str">
        <f>IF((G77+N77-J77)&gt;0, (G77+N77-J77),"0")</f>
        <v>0</v>
      </c>
      <c r="M239" s="683"/>
      <c r="N239" s="1066" t="str">
        <f>IF((G77+N77-J77)&lt;0,-(G77+N77-J77),"0")</f>
        <v>0</v>
      </c>
      <c r="O239" s="1062"/>
      <c r="P239" s="1062"/>
      <c r="Q239" s="1062"/>
      <c r="R239" s="114">
        <f t="shared" si="8"/>
        <v>0</v>
      </c>
      <c r="S239" s="48"/>
      <c r="T239" s="48"/>
      <c r="U239" s="36">
        <f t="shared" si="9"/>
        <v>0</v>
      </c>
      <c r="V239" s="36"/>
      <c r="W239" s="36"/>
      <c r="X239" s="36">
        <f t="shared" si="10"/>
        <v>0</v>
      </c>
      <c r="Y239" s="36"/>
      <c r="Z239" s="36"/>
      <c r="AA239" s="261">
        <f t="shared" si="11"/>
        <v>0</v>
      </c>
      <c r="AB239" s="114">
        <f t="shared" si="12"/>
        <v>0</v>
      </c>
      <c r="AC239" s="48">
        <f t="shared" si="13"/>
        <v>0</v>
      </c>
    </row>
    <row r="240" spans="1:33" x14ac:dyDescent="0.2">
      <c r="A240" s="699" t="s">
        <v>174</v>
      </c>
      <c r="B240" s="699"/>
      <c r="F240" s="36">
        <f t="shared" si="5"/>
        <v>0</v>
      </c>
      <c r="G240" s="36"/>
      <c r="H240" s="36"/>
      <c r="I240" s="47"/>
      <c r="J240" s="1">
        <f t="shared" si="6"/>
        <v>0</v>
      </c>
      <c r="L240" s="1065" t="str">
        <f>IF((G78+N78-J78)&gt;0, (G78+N78-J78),"0")</f>
        <v>0</v>
      </c>
      <c r="M240" s="683"/>
      <c r="N240" s="1066" t="str">
        <f>IF((G78+N78-J78)&lt;0,-(G78+N78-J78),"0")</f>
        <v>0</v>
      </c>
      <c r="O240" s="1062"/>
      <c r="P240" s="1062"/>
      <c r="Q240" s="1062"/>
      <c r="R240" s="114">
        <f t="shared" si="8"/>
        <v>0</v>
      </c>
      <c r="S240" s="48"/>
      <c r="T240" s="48"/>
      <c r="U240" s="36">
        <f t="shared" si="9"/>
        <v>0</v>
      </c>
      <c r="V240" s="36"/>
      <c r="W240" s="36"/>
      <c r="X240" s="36">
        <f t="shared" si="10"/>
        <v>0</v>
      </c>
      <c r="Y240" s="36"/>
      <c r="Z240" s="36"/>
      <c r="AA240" s="261">
        <f t="shared" si="11"/>
        <v>0</v>
      </c>
      <c r="AB240" s="114">
        <f t="shared" si="12"/>
        <v>0</v>
      </c>
      <c r="AC240" s="48">
        <f t="shared" si="13"/>
        <v>0</v>
      </c>
    </row>
    <row r="241" spans="1:29" x14ac:dyDescent="0.2">
      <c r="A241" s="1058" t="s">
        <v>740</v>
      </c>
      <c r="B241" s="699"/>
      <c r="F241" s="36">
        <f t="shared" si="5"/>
        <v>0</v>
      </c>
      <c r="G241" s="36"/>
      <c r="H241" s="36"/>
      <c r="I241" s="47"/>
      <c r="J241" s="1">
        <f t="shared" si="6"/>
        <v>0</v>
      </c>
      <c r="L241" s="1065" t="str">
        <f>IF((G79+N79-J79)&gt;0, (G79+N79-J79),"0")</f>
        <v>0</v>
      </c>
      <c r="M241" s="683"/>
      <c r="N241" s="1066" t="str">
        <f>IF((G79+N79-J79)&lt;0,-(G79+N79-J79),"0")</f>
        <v>0</v>
      </c>
      <c r="O241" s="1062"/>
      <c r="P241" s="1062"/>
      <c r="Q241" s="1062"/>
      <c r="R241" s="114">
        <f t="shared" si="8"/>
        <v>0</v>
      </c>
      <c r="S241" s="48"/>
      <c r="T241" s="48"/>
      <c r="U241" s="36">
        <f t="shared" si="9"/>
        <v>0</v>
      </c>
      <c r="V241" s="36"/>
      <c r="W241" s="36"/>
      <c r="X241" s="36">
        <f t="shared" si="10"/>
        <v>0</v>
      </c>
      <c r="Y241" s="36"/>
      <c r="Z241" s="36"/>
      <c r="AA241" s="261">
        <f t="shared" si="11"/>
        <v>0</v>
      </c>
      <c r="AB241" s="114">
        <f t="shared" si="12"/>
        <v>0</v>
      </c>
      <c r="AC241" s="48">
        <f t="shared" si="13"/>
        <v>0</v>
      </c>
    </row>
    <row r="242" spans="1:29" x14ac:dyDescent="0.2">
      <c r="A242" s="699" t="s">
        <v>738</v>
      </c>
      <c r="B242" s="699"/>
      <c r="F242" s="36"/>
      <c r="G242" s="36"/>
      <c r="H242" s="36"/>
      <c r="I242" s="47"/>
      <c r="L242" s="1065" t="str">
        <f>IF((G80+N80-J80)&gt;0, (G80+N80-J80),"0")</f>
        <v>0</v>
      </c>
      <c r="M242" s="683"/>
      <c r="N242" s="1066" t="str">
        <f>IF((G80+N80-J80)&lt;0,-(G80+N80-J80),"0")</f>
        <v>0</v>
      </c>
      <c r="O242" s="1062"/>
      <c r="P242" s="1062"/>
      <c r="Q242" s="1062"/>
      <c r="R242" s="114"/>
      <c r="S242" s="48"/>
      <c r="T242" s="48"/>
      <c r="U242" s="36">
        <f t="shared" si="9"/>
        <v>0</v>
      </c>
      <c r="V242" s="36"/>
      <c r="W242" s="36"/>
      <c r="X242" s="36"/>
      <c r="Y242" s="36"/>
      <c r="Z242" s="36"/>
      <c r="AA242" s="261">
        <f t="shared" si="11"/>
        <v>0</v>
      </c>
      <c r="AB242" s="114">
        <f t="shared" si="12"/>
        <v>0</v>
      </c>
      <c r="AC242" s="48">
        <f t="shared" si="13"/>
        <v>0</v>
      </c>
    </row>
    <row r="243" spans="1:29" x14ac:dyDescent="0.2">
      <c r="A243" s="699" t="s">
        <v>739</v>
      </c>
      <c r="B243" s="699"/>
      <c r="F243" s="36">
        <f>J37+J51</f>
        <v>0</v>
      </c>
      <c r="G243" s="36"/>
      <c r="H243" s="36"/>
      <c r="I243" s="47"/>
      <c r="L243" s="1065" t="str">
        <f>IF((G81+N81-J81)&gt;0, (G81+N81-J81),"0")</f>
        <v>0</v>
      </c>
      <c r="M243" s="683"/>
      <c r="N243" s="1066" t="str">
        <f>IF((G81+N81-J81)&lt;0,-(G81+N81-J81),"0")</f>
        <v>0</v>
      </c>
      <c r="O243" s="1062"/>
      <c r="P243" s="1062"/>
      <c r="Q243" s="1062"/>
      <c r="R243" s="114"/>
      <c r="S243" s="48"/>
      <c r="T243" s="48"/>
      <c r="U243" s="36">
        <f t="shared" si="9"/>
        <v>0</v>
      </c>
      <c r="V243" s="36"/>
      <c r="W243" s="36"/>
      <c r="X243" s="36"/>
      <c r="Y243" s="36"/>
      <c r="Z243" s="36"/>
      <c r="AA243" s="261">
        <f t="shared" si="11"/>
        <v>0</v>
      </c>
      <c r="AB243" s="114">
        <f t="shared" si="12"/>
        <v>0</v>
      </c>
      <c r="AC243" s="48">
        <f t="shared" si="13"/>
        <v>0</v>
      </c>
    </row>
    <row r="244" spans="1:29" x14ac:dyDescent="0.2">
      <c r="A244" s="699" t="s">
        <v>1047</v>
      </c>
      <c r="B244" s="699"/>
      <c r="F244" s="36"/>
      <c r="G244" s="36">
        <f>J36+J50</f>
        <v>0</v>
      </c>
      <c r="H244" s="36">
        <f>L36+L50</f>
        <v>0</v>
      </c>
      <c r="I244" s="47"/>
      <c r="L244" s="1065"/>
      <c r="M244" s="683"/>
      <c r="N244" s="1066">
        <f>N58+N62-N60</f>
        <v>0</v>
      </c>
      <c r="O244" s="1062"/>
      <c r="P244" s="1062"/>
      <c r="Q244" s="1062"/>
      <c r="R244" s="114"/>
      <c r="S244" s="48"/>
      <c r="T244" s="48"/>
      <c r="U244" s="36"/>
      <c r="V244" s="36"/>
      <c r="W244" s="36"/>
      <c r="X244" s="36"/>
      <c r="Y244" s="36"/>
      <c r="Z244" s="36"/>
      <c r="AA244" s="261">
        <f t="shared" si="11"/>
        <v>0</v>
      </c>
      <c r="AB244" s="263">
        <f t="shared" ref="AB244:AB252" si="14">IF(AA244&lt;0,0,AA244)</f>
        <v>0</v>
      </c>
      <c r="AC244" s="94">
        <f t="shared" ref="AC244:AC252" si="15">IF(AA244&gt;0,0,AA244*-1)</f>
        <v>0</v>
      </c>
    </row>
    <row r="245" spans="1:29" s="695" customFormat="1" x14ac:dyDescent="0.2">
      <c r="A245" s="699" t="s">
        <v>2643</v>
      </c>
      <c r="B245" s="699"/>
      <c r="F245" s="36"/>
      <c r="G245" s="36"/>
      <c r="H245" s="36"/>
      <c r="I245" s="47"/>
      <c r="J245" s="1"/>
      <c r="K245" s="1"/>
      <c r="L245" s="48"/>
      <c r="M245" s="47"/>
      <c r="N245" s="720"/>
      <c r="O245" s="1062"/>
      <c r="P245" s="1062"/>
      <c r="Q245" s="1062"/>
      <c r="R245" s="114"/>
      <c r="S245" s="48"/>
      <c r="T245" s="48"/>
      <c r="U245" s="36"/>
      <c r="V245" s="36"/>
      <c r="W245" s="36">
        <f>L177</f>
        <v>0</v>
      </c>
      <c r="X245" s="36"/>
      <c r="Y245" s="36"/>
      <c r="Z245" s="36"/>
      <c r="AA245" s="261">
        <f>(F245+H245+L245+O245+R245+U245+W245+Y245)-(G245+J245+N245+Q245+T245+V245+X245-Z245)</f>
        <v>0</v>
      </c>
      <c r="AB245" s="263">
        <f>IF(AA245&lt;0,0,AA245)</f>
        <v>0</v>
      </c>
      <c r="AC245" s="94">
        <f>IF(AA245&gt;0,0,AA245*-1)</f>
        <v>0</v>
      </c>
    </row>
    <row r="246" spans="1:29" s="756" customFormat="1" x14ac:dyDescent="0.2">
      <c r="A246" s="699" t="s">
        <v>2642</v>
      </c>
      <c r="B246" s="699"/>
      <c r="F246" s="36"/>
      <c r="G246" s="36"/>
      <c r="H246" s="36"/>
      <c r="I246" s="47"/>
      <c r="J246" s="1"/>
      <c r="K246" s="1"/>
      <c r="L246" s="48"/>
      <c r="M246" s="47"/>
      <c r="N246" s="720"/>
      <c r="O246" s="1062"/>
      <c r="P246" s="1062"/>
      <c r="Q246" s="1062"/>
      <c r="R246" s="114"/>
      <c r="S246" s="48"/>
      <c r="T246" s="48"/>
      <c r="U246" s="36"/>
      <c r="V246" s="36"/>
      <c r="W246" s="36"/>
      <c r="X246" s="36"/>
      <c r="Y246" s="36">
        <f>L197</f>
        <v>0</v>
      </c>
      <c r="Z246" s="36"/>
      <c r="AA246" s="261">
        <f>(F246+H246+L246+O246+R246+U246+W246+Y246)-(G246+J246+N246+Q246+T246+V246+X246-Z246)</f>
        <v>0</v>
      </c>
      <c r="AB246" s="263">
        <f>IF(AA246&lt;0,0,AA246)</f>
        <v>0</v>
      </c>
      <c r="AC246" s="94">
        <f>IF(AA246&gt;0,0,AA246*-1)</f>
        <v>0</v>
      </c>
    </row>
    <row r="247" spans="1:29" x14ac:dyDescent="0.2">
      <c r="A247" s="699" t="s">
        <v>1048</v>
      </c>
      <c r="B247" s="699"/>
      <c r="F247" s="36"/>
      <c r="G247" s="36"/>
      <c r="H247" s="36"/>
      <c r="I247" s="47"/>
      <c r="L247" s="48"/>
      <c r="M247" s="47"/>
      <c r="N247" s="720"/>
      <c r="O247" s="1062"/>
      <c r="P247" s="1062"/>
      <c r="Q247" s="1062"/>
      <c r="R247" s="114"/>
      <c r="S247" s="48"/>
      <c r="T247" s="48"/>
      <c r="U247" s="36"/>
      <c r="V247" s="36"/>
      <c r="W247" s="36"/>
      <c r="X247" s="36"/>
      <c r="Y247" s="36"/>
      <c r="Z247" s="36"/>
      <c r="AA247" s="261">
        <f t="shared" ref="AA247:AA252" si="16">(F247+H247+L247+O247+R247+U247+W247)-(G247+J247+N247+Q247+T247+V247+X247)</f>
        <v>0</v>
      </c>
      <c r="AB247" s="263">
        <f t="shared" si="14"/>
        <v>0</v>
      </c>
      <c r="AC247" s="94">
        <f t="shared" si="15"/>
        <v>0</v>
      </c>
    </row>
    <row r="248" spans="1:29" hidden="1" x14ac:dyDescent="0.2">
      <c r="A248" s="699" t="s">
        <v>2649</v>
      </c>
      <c r="B248" s="699"/>
      <c r="F248" s="36"/>
      <c r="G248" s="36"/>
      <c r="H248" s="36"/>
      <c r="I248" s="47"/>
      <c r="L248" s="48"/>
      <c r="M248" s="47"/>
      <c r="N248" s="720"/>
      <c r="O248" s="1062"/>
      <c r="P248" s="1062"/>
      <c r="Q248" s="1062"/>
      <c r="R248" s="114"/>
      <c r="S248" s="48"/>
      <c r="T248" s="48"/>
      <c r="U248" s="36"/>
      <c r="V248" s="36"/>
      <c r="W248" s="36"/>
      <c r="X248" s="36"/>
      <c r="Y248" s="36"/>
      <c r="Z248" s="36"/>
      <c r="AA248" s="261">
        <f t="shared" si="16"/>
        <v>0</v>
      </c>
      <c r="AB248" s="263">
        <f t="shared" si="14"/>
        <v>0</v>
      </c>
      <c r="AC248" s="94">
        <f t="shared" si="15"/>
        <v>0</v>
      </c>
    </row>
    <row r="249" spans="1:29" x14ac:dyDescent="0.2">
      <c r="A249" s="699" t="s">
        <v>4081</v>
      </c>
      <c r="B249" s="699"/>
      <c r="F249" s="36"/>
      <c r="G249" s="36"/>
      <c r="H249" s="36"/>
      <c r="I249" s="47"/>
      <c r="L249" s="48"/>
      <c r="M249" s="47"/>
      <c r="N249" s="720"/>
      <c r="O249" s="1062"/>
      <c r="P249" s="1062"/>
      <c r="Q249" s="1062"/>
      <c r="R249" s="114">
        <f>N98</f>
        <v>0</v>
      </c>
      <c r="S249" s="48"/>
      <c r="T249" s="48"/>
      <c r="U249" s="36"/>
      <c r="V249" s="36"/>
      <c r="W249" s="36"/>
      <c r="X249" s="36"/>
      <c r="Y249" s="36"/>
      <c r="Z249" s="36"/>
      <c r="AA249" s="261">
        <f t="shared" si="16"/>
        <v>0</v>
      </c>
      <c r="AB249" s="263">
        <f t="shared" si="14"/>
        <v>0</v>
      </c>
      <c r="AC249" s="94">
        <f>IF(AA249&gt;0,0,AA249*-1)</f>
        <v>0</v>
      </c>
    </row>
    <row r="250" spans="1:29" x14ac:dyDescent="0.2">
      <c r="A250" s="1058" t="s">
        <v>263</v>
      </c>
      <c r="B250" s="699"/>
      <c r="F250" s="36"/>
      <c r="G250" s="36"/>
      <c r="H250" s="36"/>
      <c r="I250" s="47"/>
      <c r="L250" s="48"/>
      <c r="M250" s="47"/>
      <c r="N250" s="720"/>
      <c r="O250" s="1062"/>
      <c r="P250" s="1062"/>
      <c r="Q250" s="1062"/>
      <c r="R250" s="114"/>
      <c r="S250" s="48"/>
      <c r="T250" s="48"/>
      <c r="U250" s="36"/>
      <c r="V250" s="36">
        <f>N125+N129-N127</f>
        <v>0</v>
      </c>
      <c r="W250" s="36"/>
      <c r="X250" s="36"/>
      <c r="Y250" s="36"/>
      <c r="Z250" s="36"/>
      <c r="AA250" s="261">
        <f t="shared" si="16"/>
        <v>0</v>
      </c>
      <c r="AB250" s="263">
        <f t="shared" si="14"/>
        <v>0</v>
      </c>
      <c r="AC250" s="94">
        <f t="shared" si="15"/>
        <v>0</v>
      </c>
    </row>
    <row r="251" spans="1:29" x14ac:dyDescent="0.2">
      <c r="A251" s="1058" t="s">
        <v>262</v>
      </c>
      <c r="B251" s="699"/>
      <c r="F251" s="36"/>
      <c r="G251" s="36"/>
      <c r="H251" s="36"/>
      <c r="I251" s="47"/>
      <c r="L251" s="48"/>
      <c r="M251" s="47"/>
      <c r="N251" s="720"/>
      <c r="O251" s="1062"/>
      <c r="P251" s="1062"/>
      <c r="Q251" s="1062"/>
      <c r="R251" s="114"/>
      <c r="S251" s="48"/>
      <c r="T251" s="48"/>
      <c r="U251" s="36"/>
      <c r="V251" s="36">
        <f>O125+O129-O127</f>
        <v>0</v>
      </c>
      <c r="W251" s="36"/>
      <c r="X251" s="36"/>
      <c r="Y251" s="36"/>
      <c r="Z251" s="36"/>
      <c r="AA251" s="261">
        <f t="shared" si="16"/>
        <v>0</v>
      </c>
      <c r="AB251" s="263">
        <f t="shared" si="14"/>
        <v>0</v>
      </c>
      <c r="AC251" s="94">
        <f t="shared" si="15"/>
        <v>0</v>
      </c>
    </row>
    <row r="252" spans="1:29" x14ac:dyDescent="0.2">
      <c r="A252" s="699" t="s">
        <v>88</v>
      </c>
      <c r="B252" s="699"/>
      <c r="L252" s="1067"/>
      <c r="M252" s="214"/>
      <c r="N252" s="129"/>
      <c r="O252" s="1063"/>
      <c r="P252" s="1061"/>
      <c r="Q252" s="1063"/>
      <c r="R252" s="9"/>
      <c r="S252" s="14"/>
      <c r="T252" s="171">
        <f>N98</f>
        <v>0</v>
      </c>
      <c r="W252" s="36"/>
      <c r="AA252" s="261">
        <f t="shared" si="16"/>
        <v>0</v>
      </c>
      <c r="AB252" s="264">
        <f t="shared" si="14"/>
        <v>0</v>
      </c>
      <c r="AC252" s="94">
        <f t="shared" si="15"/>
        <v>0</v>
      </c>
    </row>
    <row r="253" spans="1:29" ht="13.5" thickBot="1" x14ac:dyDescent="0.25">
      <c r="F253" s="107">
        <f>SUM(F233:F252)</f>
        <v>0</v>
      </c>
      <c r="G253" s="107">
        <f>SUM(G233:G252)</f>
        <v>0</v>
      </c>
      <c r="H253" s="107">
        <f>SUM(H233:H252)</f>
        <v>0</v>
      </c>
      <c r="I253" s="107">
        <f>SUM(I233:I250)</f>
        <v>0</v>
      </c>
      <c r="J253" s="20">
        <f>SUM(J233:J252)</f>
        <v>0</v>
      </c>
      <c r="K253" s="107"/>
      <c r="L253" s="20">
        <f>SUM(L233:L252)</f>
        <v>0</v>
      </c>
      <c r="M253" s="107">
        <f>SUM(M233:M252)</f>
        <v>0</v>
      </c>
      <c r="N253" s="132">
        <f>SUM(N233:N252)</f>
        <v>0</v>
      </c>
      <c r="O253" s="1063"/>
      <c r="P253" s="1063"/>
      <c r="Q253" s="1063"/>
      <c r="R253" s="115">
        <f>SUM(R227:R252)</f>
        <v>0</v>
      </c>
      <c r="S253" s="20"/>
      <c r="T253" s="20">
        <f>SUM(T233:T252)</f>
        <v>0</v>
      </c>
      <c r="U253" s="20"/>
      <c r="V253" s="20"/>
      <c r="W253" s="20">
        <f t="shared" ref="W253:AC253" si="17">SUM(W233:W252)</f>
        <v>0</v>
      </c>
      <c r="X253" s="20">
        <f t="shared" si="17"/>
        <v>0</v>
      </c>
      <c r="Y253" s="20"/>
      <c r="Z253" s="20"/>
      <c r="AA253" s="262">
        <f t="shared" si="17"/>
        <v>0</v>
      </c>
      <c r="AB253" s="115">
        <f t="shared" si="17"/>
        <v>0</v>
      </c>
      <c r="AC253" s="20">
        <f t="shared" si="17"/>
        <v>0</v>
      </c>
    </row>
    <row r="254" spans="1:29" ht="13.5" thickTop="1" x14ac:dyDescent="0.2"/>
  </sheetData>
  <sheetProtection algorithmName="SHA-512" hashValue="T8GYk6sub++s3BQ42Jgia8XzwpRRV5VCZICvfP0E6tP1nqpdXn6jMQKDfVFcqt6aBHPYoTx951ZouI4WJFglxw==" saltValue="f02yO9uy/qffFXYvSl+b4w==" spinCount="100000" sheet="1" objects="1" scenarios="1"/>
  <mergeCells count="61">
    <mergeCell ref="H230:J230"/>
    <mergeCell ref="F230:G230"/>
    <mergeCell ref="F229:G229"/>
    <mergeCell ref="J24:L24"/>
    <mergeCell ref="J38:L38"/>
    <mergeCell ref="B53:O53"/>
    <mergeCell ref="N62:N63"/>
    <mergeCell ref="B120:O120"/>
    <mergeCell ref="F92:L92"/>
    <mergeCell ref="O62:O63"/>
    <mergeCell ref="L78:L81"/>
    <mergeCell ref="C62:J64"/>
    <mergeCell ref="B201:O201"/>
    <mergeCell ref="C68:L69"/>
    <mergeCell ref="H78:H81"/>
    <mergeCell ref="O78:O81"/>
    <mergeCell ref="A2:P2"/>
    <mergeCell ref="B4:P4"/>
    <mergeCell ref="B22:O22"/>
    <mergeCell ref="C9:O10"/>
    <mergeCell ref="C12:O13"/>
    <mergeCell ref="C18:O19"/>
    <mergeCell ref="C15:O16"/>
    <mergeCell ref="C6:O7"/>
    <mergeCell ref="C20:O20"/>
    <mergeCell ref="C87:L88"/>
    <mergeCell ref="N87:N88"/>
    <mergeCell ref="P127:P128"/>
    <mergeCell ref="C108:L108"/>
    <mergeCell ref="O116:P118"/>
    <mergeCell ref="B95:O95"/>
    <mergeCell ref="C98:L99"/>
    <mergeCell ref="N98:N99"/>
    <mergeCell ref="C125:J125"/>
    <mergeCell ref="C127:J127"/>
    <mergeCell ref="L127:L128"/>
    <mergeCell ref="C90:L91"/>
    <mergeCell ref="C104:L105"/>
    <mergeCell ref="N104:N105"/>
    <mergeCell ref="E106:K106"/>
    <mergeCell ref="C101:L102"/>
    <mergeCell ref="AB229:AC229"/>
    <mergeCell ref="W229:X229"/>
    <mergeCell ref="H229:J229"/>
    <mergeCell ref="L229:N229"/>
    <mergeCell ref="O229:Q229"/>
    <mergeCell ref="R229:T229"/>
    <mergeCell ref="Y229:Z229"/>
    <mergeCell ref="C176:J176"/>
    <mergeCell ref="B191:O191"/>
    <mergeCell ref="C197:J197"/>
    <mergeCell ref="U229:V229"/>
    <mergeCell ref="P129:P130"/>
    <mergeCell ref="C134:L135"/>
    <mergeCell ref="B153:O153"/>
    <mergeCell ref="G137:J137"/>
    <mergeCell ref="N129:N130"/>
    <mergeCell ref="O129:O130"/>
    <mergeCell ref="L137:O137"/>
    <mergeCell ref="L129:L130"/>
    <mergeCell ref="C129:J130"/>
  </mergeCells>
  <phoneticPr fontId="17" type="noConversion"/>
  <printOptions horizontalCentered="1"/>
  <pageMargins left="0.51" right="0.33" top="0.66" bottom="0.5" header="0.5" footer="0.5"/>
  <pageSetup scale="59" orientation="portrait" r:id="rId1"/>
  <headerFooter alignWithMargins="0">
    <oddHeader>&amp;R&amp;"Arial,Bold"&amp;12Entry J</oddHeader>
    <oddFooter>&amp;L&amp;8&amp;D - County model&amp;R&amp;P</oddFooter>
  </headerFooter>
  <rowBreaks count="2" manualBreakCount="2">
    <brk id="82" max="15" man="1"/>
    <brk id="200" max="15" man="1"/>
  </rowBreaks>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229"/>
  <sheetViews>
    <sheetView topLeftCell="A68" zoomScaleNormal="100" workbookViewId="0">
      <selection activeCell="G63" sqref="G63 E70"/>
    </sheetView>
  </sheetViews>
  <sheetFormatPr defaultRowHeight="12.75" x14ac:dyDescent="0.2"/>
  <cols>
    <col min="1" max="1" width="3.42578125" style="4" customWidth="1"/>
    <col min="2" max="2" width="2.28515625" customWidth="1"/>
    <col min="3" max="3" width="36.7109375" customWidth="1"/>
    <col min="4" max="4" width="11.42578125" customWidth="1"/>
    <col min="5" max="5" width="15.7109375" customWidth="1"/>
    <col min="6" max="6" width="3.42578125" customWidth="1"/>
    <col min="7" max="7" width="15.7109375" customWidth="1"/>
    <col min="8" max="8" width="2.7109375" customWidth="1"/>
    <col min="9" max="9" width="36" customWidth="1"/>
    <col min="10" max="10" width="3.42578125" customWidth="1"/>
    <col min="11" max="13" width="15.7109375" customWidth="1"/>
  </cols>
  <sheetData>
    <row r="1" spans="1:13" s="160" customFormat="1" ht="15" x14ac:dyDescent="0.25">
      <c r="A1" s="194"/>
      <c r="C1" s="1594"/>
      <c r="D1" s="1594"/>
      <c r="E1" s="1541"/>
      <c r="F1" s="1541"/>
      <c r="G1" s="1541"/>
      <c r="H1" s="1541"/>
      <c r="I1" s="1541"/>
    </row>
    <row r="2" spans="1:13" s="160" customFormat="1" ht="15" customHeight="1" x14ac:dyDescent="0.25">
      <c r="A2" s="194"/>
      <c r="B2" s="1596" t="s">
        <v>109</v>
      </c>
      <c r="C2" s="1597"/>
      <c r="D2" s="1597"/>
      <c r="E2" s="1597"/>
      <c r="F2" s="1597"/>
      <c r="G2" s="1597"/>
      <c r="H2" s="1597"/>
      <c r="I2" s="1598"/>
    </row>
    <row r="3" spans="1:13" s="160" customFormat="1" ht="24" customHeight="1" x14ac:dyDescent="0.25">
      <c r="A3" s="194"/>
      <c r="B3" s="1599"/>
      <c r="C3" s="1600"/>
      <c r="D3" s="1600"/>
      <c r="E3" s="1600"/>
      <c r="F3" s="1600"/>
      <c r="G3" s="1600"/>
      <c r="H3" s="1600"/>
      <c r="I3" s="1601"/>
    </row>
    <row r="4" spans="1:13" s="160" customFormat="1" ht="6" customHeight="1" x14ac:dyDescent="0.25">
      <c r="A4" s="194"/>
      <c r="B4" s="334"/>
      <c r="C4" s="334"/>
      <c r="D4" s="334"/>
      <c r="E4" s="334"/>
      <c r="F4" s="334"/>
      <c r="G4" s="334"/>
      <c r="H4" s="334"/>
      <c r="I4" s="334"/>
      <c r="J4" s="335"/>
      <c r="K4" s="335"/>
      <c r="L4" s="335"/>
      <c r="M4" s="335"/>
    </row>
    <row r="5" spans="1:13" ht="12.75" customHeight="1" x14ac:dyDescent="0.2">
      <c r="C5" s="161"/>
      <c r="D5" s="161"/>
      <c r="E5" s="162"/>
      <c r="F5" s="162"/>
      <c r="G5" s="162"/>
      <c r="H5" s="162"/>
      <c r="I5" s="162"/>
    </row>
    <row r="6" spans="1:13" ht="12.75" customHeight="1" x14ac:dyDescent="0.2">
      <c r="C6" s="161"/>
      <c r="D6" s="161"/>
      <c r="E6" s="162"/>
      <c r="F6" s="162"/>
      <c r="G6" s="162"/>
      <c r="H6" s="162"/>
      <c r="I6" s="162"/>
    </row>
    <row r="7" spans="1:13" ht="12.75" customHeight="1" x14ac:dyDescent="0.2">
      <c r="C7" s="161"/>
      <c r="D7" s="161"/>
      <c r="E7" s="162"/>
      <c r="F7" s="162"/>
      <c r="G7" s="162"/>
      <c r="H7" s="162"/>
      <c r="I7" s="162"/>
    </row>
    <row r="8" spans="1:13" ht="12.75" customHeight="1" x14ac:dyDescent="0.2">
      <c r="C8" s="161"/>
      <c r="D8" s="161"/>
      <c r="E8" s="162"/>
      <c r="F8" s="162"/>
      <c r="G8" s="162"/>
      <c r="H8" s="162"/>
      <c r="I8" s="162"/>
    </row>
    <row r="9" spans="1:13" ht="12.75" customHeight="1" x14ac:dyDescent="0.2">
      <c r="C9" s="161"/>
      <c r="D9" s="161"/>
      <c r="E9" s="162"/>
      <c r="F9" s="162"/>
      <c r="G9" s="162"/>
      <c r="H9" s="162"/>
      <c r="I9" s="162"/>
    </row>
    <row r="10" spans="1:13" ht="12.75" customHeight="1" x14ac:dyDescent="0.2">
      <c r="C10" s="161"/>
      <c r="D10" s="161"/>
      <c r="E10" s="162"/>
      <c r="F10" s="162"/>
      <c r="G10" s="162"/>
      <c r="H10" s="162"/>
      <c r="I10" s="162"/>
    </row>
    <row r="11" spans="1:13" ht="12.75" customHeight="1" x14ac:dyDescent="0.2">
      <c r="C11" s="161"/>
      <c r="D11" s="161"/>
      <c r="E11" s="162"/>
      <c r="F11" s="162"/>
      <c r="G11" s="162"/>
      <c r="H11" s="162"/>
      <c r="I11" s="162"/>
    </row>
    <row r="12" spans="1:13" ht="12.75" customHeight="1" x14ac:dyDescent="0.2">
      <c r="C12" s="161"/>
      <c r="D12" s="161"/>
      <c r="E12" s="162"/>
      <c r="F12" s="162"/>
      <c r="G12" s="162"/>
      <c r="H12" s="162"/>
      <c r="I12" s="162"/>
    </row>
    <row r="13" spans="1:13" ht="12.75" customHeight="1" x14ac:dyDescent="0.2">
      <c r="C13" s="161"/>
      <c r="D13" s="161"/>
      <c r="E13" s="162"/>
      <c r="F13" s="162"/>
      <c r="G13" s="162"/>
      <c r="H13" s="162"/>
      <c r="I13" s="162"/>
    </row>
    <row r="14" spans="1:13" ht="12.75" customHeight="1" x14ac:dyDescent="0.2">
      <c r="C14" s="161"/>
      <c r="D14" s="161"/>
      <c r="E14" s="162"/>
      <c r="F14" s="162"/>
      <c r="G14" s="162"/>
      <c r="H14" s="162"/>
      <c r="I14" s="162"/>
    </row>
    <row r="15" spans="1:13" ht="12" customHeight="1" x14ac:dyDescent="0.2">
      <c r="B15" s="39" t="s">
        <v>521</v>
      </c>
      <c r="C15" s="1602" t="s">
        <v>724</v>
      </c>
      <c r="D15" s="1602"/>
      <c r="E15" s="1602"/>
      <c r="F15" s="1602"/>
      <c r="G15" s="1602"/>
      <c r="H15" s="1602"/>
      <c r="I15" s="1602"/>
      <c r="J15" s="195"/>
    </row>
    <row r="16" spans="1:13" ht="26.25" customHeight="1" x14ac:dyDescent="0.2">
      <c r="C16" s="1602"/>
      <c r="D16" s="1602"/>
      <c r="E16" s="1602"/>
      <c r="F16" s="1602"/>
      <c r="G16" s="1602"/>
      <c r="H16" s="1602"/>
      <c r="I16" s="1602"/>
      <c r="J16" s="195"/>
    </row>
    <row r="17" spans="2:9" ht="4.5" customHeight="1" x14ac:dyDescent="0.2"/>
    <row r="18" spans="2:9" ht="12.75" customHeight="1" x14ac:dyDescent="0.2">
      <c r="B18" s="39" t="s">
        <v>522</v>
      </c>
      <c r="C18" s="195"/>
      <c r="D18" s="195"/>
      <c r="E18" s="195"/>
      <c r="F18" s="195"/>
      <c r="G18" s="195"/>
      <c r="H18" s="195"/>
      <c r="I18" s="195"/>
    </row>
    <row r="19" spans="2:9" ht="12.75" customHeight="1" x14ac:dyDescent="0.2">
      <c r="C19" s="195"/>
      <c r="D19" s="195"/>
      <c r="E19" s="195"/>
      <c r="F19" s="195"/>
      <c r="G19" s="195"/>
      <c r="H19" s="195"/>
      <c r="I19" s="195"/>
    </row>
    <row r="20" spans="2:9" ht="12.75" customHeight="1" x14ac:dyDescent="0.2">
      <c r="C20" s="195"/>
      <c r="D20" s="195"/>
      <c r="E20" s="195"/>
      <c r="F20" s="195"/>
      <c r="G20" s="195"/>
      <c r="H20" s="195"/>
      <c r="I20" s="195"/>
    </row>
    <row r="21" spans="2:9" ht="12.75" customHeight="1" x14ac:dyDescent="0.2">
      <c r="C21" s="195"/>
      <c r="D21" s="195"/>
      <c r="E21" s="195"/>
      <c r="F21" s="195"/>
      <c r="G21" s="195"/>
      <c r="H21" s="195"/>
      <c r="I21" s="195"/>
    </row>
    <row r="22" spans="2:9" ht="12.75" customHeight="1" x14ac:dyDescent="0.2">
      <c r="C22" s="195"/>
      <c r="D22" s="195"/>
      <c r="E22" s="195"/>
      <c r="F22" s="195"/>
      <c r="G22" s="195"/>
      <c r="H22" s="195"/>
      <c r="I22" s="195"/>
    </row>
    <row r="23" spans="2:9" ht="4.5" customHeight="1" x14ac:dyDescent="0.2"/>
    <row r="24" spans="2:9" ht="12" customHeight="1" x14ac:dyDescent="0.2">
      <c r="B24" s="39" t="s">
        <v>523</v>
      </c>
      <c r="C24" s="1401" t="s">
        <v>1097</v>
      </c>
      <c r="D24" s="1505"/>
      <c r="E24" s="1505"/>
      <c r="F24" s="1505"/>
      <c r="G24" s="1505"/>
      <c r="H24" s="1505"/>
      <c r="I24" s="1505"/>
    </row>
    <row r="25" spans="2:9" ht="12.75" hidden="1" customHeight="1" x14ac:dyDescent="0.2">
      <c r="C25" s="1505"/>
      <c r="D25" s="1505"/>
      <c r="E25" s="1505"/>
      <c r="F25" s="1505"/>
      <c r="G25" s="1505"/>
      <c r="H25" s="1505"/>
      <c r="I25" s="1505"/>
    </row>
    <row r="26" spans="2:9" ht="4.5" customHeight="1" x14ac:dyDescent="0.2"/>
    <row r="27" spans="2:9" ht="12.75" hidden="1" customHeight="1" x14ac:dyDescent="0.2">
      <c r="B27" s="39"/>
      <c r="C27" s="1392"/>
      <c r="D27" s="1392"/>
      <c r="E27" s="1392"/>
      <c r="F27" s="1392"/>
      <c r="G27" s="1392"/>
      <c r="H27" s="1392"/>
      <c r="I27" s="1392"/>
    </row>
    <row r="28" spans="2:9" ht="12.75" customHeight="1" x14ac:dyDescent="0.2">
      <c r="B28" s="39" t="s">
        <v>549</v>
      </c>
      <c r="C28" s="1401" t="s">
        <v>1098</v>
      </c>
      <c r="D28" s="1402"/>
      <c r="E28" s="1402"/>
      <c r="F28" s="1402"/>
      <c r="G28" s="1402"/>
      <c r="H28" s="1402"/>
      <c r="I28" s="1402"/>
    </row>
    <row r="29" spans="2:9" ht="12.75" customHeight="1" x14ac:dyDescent="0.2">
      <c r="B29" s="39"/>
      <c r="C29" s="1402"/>
      <c r="D29" s="1402"/>
      <c r="E29" s="1402"/>
      <c r="F29" s="1402"/>
      <c r="G29" s="1402"/>
      <c r="H29" s="1402"/>
      <c r="I29" s="1402"/>
    </row>
    <row r="30" spans="2:9" ht="4.5" customHeight="1" x14ac:dyDescent="0.2">
      <c r="B30" s="39"/>
    </row>
    <row r="31" spans="2:9" ht="12.75" customHeight="1" x14ac:dyDescent="0.2">
      <c r="B31" s="39" t="s">
        <v>550</v>
      </c>
      <c r="C31" s="1602" t="s">
        <v>85</v>
      </c>
      <c r="D31" s="1602"/>
      <c r="E31" s="1602"/>
      <c r="F31" s="1602"/>
      <c r="G31" s="1602"/>
      <c r="H31" s="1602"/>
      <c r="I31" s="1602"/>
    </row>
    <row r="32" spans="2:9" ht="26.25" customHeight="1" x14ac:dyDescent="0.2">
      <c r="B32" s="39"/>
      <c r="C32" s="1602"/>
      <c r="D32" s="1602"/>
      <c r="E32" s="1602"/>
      <c r="F32" s="1602"/>
      <c r="G32" s="1602"/>
      <c r="H32" s="1602"/>
      <c r="I32" s="1602"/>
    </row>
    <row r="33" spans="1:13" ht="17.25" customHeight="1" thickBot="1" x14ac:dyDescent="0.25"/>
    <row r="34" spans="1:13" ht="33.75" customHeight="1" thickTop="1" thickBot="1" x14ac:dyDescent="0.3">
      <c r="C34" s="1585" t="s">
        <v>493</v>
      </c>
      <c r="D34" s="1586"/>
      <c r="E34" s="1586"/>
      <c r="F34" s="1586"/>
      <c r="G34" s="1586"/>
      <c r="H34" s="1586"/>
      <c r="I34" s="1587"/>
    </row>
    <row r="35" spans="1:13" ht="24" customHeight="1" thickTop="1" x14ac:dyDescent="0.2"/>
    <row r="36" spans="1:13" ht="17.25" customHeight="1" x14ac:dyDescent="0.2">
      <c r="A36" s="4" t="s">
        <v>547</v>
      </c>
      <c r="B36" s="1578" t="s">
        <v>869</v>
      </c>
      <c r="C36" s="1579"/>
      <c r="D36" s="1579"/>
      <c r="E36" s="1579"/>
      <c r="F36" s="1579"/>
      <c r="G36" s="1579"/>
      <c r="H36" s="1579"/>
      <c r="I36" s="1580"/>
    </row>
    <row r="37" spans="1:13" ht="22.5" customHeight="1" x14ac:dyDescent="0.2">
      <c r="B37" s="1581"/>
      <c r="C37" s="1582"/>
      <c r="D37" s="1582"/>
      <c r="E37" s="1582"/>
      <c r="F37" s="1582"/>
      <c r="G37" s="1582"/>
      <c r="H37" s="1582"/>
      <c r="I37" s="1583"/>
    </row>
    <row r="38" spans="1:13" ht="24" customHeight="1" x14ac:dyDescent="0.2">
      <c r="C38" s="163"/>
      <c r="D38" s="163"/>
      <c r="E38" s="11"/>
      <c r="F38" s="11"/>
      <c r="G38" s="11"/>
      <c r="H38" s="11"/>
      <c r="I38" s="164"/>
    </row>
    <row r="39" spans="1:13" x14ac:dyDescent="0.2">
      <c r="C39" s="1595" t="s">
        <v>14</v>
      </c>
      <c r="D39" s="1595"/>
      <c r="E39" s="1595"/>
      <c r="F39" s="1595"/>
      <c r="G39" s="1595"/>
      <c r="H39" s="57"/>
      <c r="I39" s="57"/>
      <c r="J39" s="57"/>
      <c r="K39" s="57"/>
      <c r="L39" s="57"/>
      <c r="M39" s="57"/>
    </row>
    <row r="40" spans="1:13" x14ac:dyDescent="0.2">
      <c r="C40" s="4"/>
      <c r="D40" s="4"/>
      <c r="E40" s="109" t="s">
        <v>15</v>
      </c>
      <c r="F40" s="158"/>
      <c r="G40" s="165" t="s">
        <v>16</v>
      </c>
      <c r="H40" s="166"/>
    </row>
    <row r="41" spans="1:13" x14ac:dyDescent="0.2">
      <c r="C41" s="121" t="s">
        <v>17</v>
      </c>
      <c r="D41" s="121"/>
      <c r="E41" s="1"/>
      <c r="F41" s="11"/>
      <c r="G41" s="164"/>
      <c r="H41" s="164"/>
    </row>
    <row r="42" spans="1:13" x14ac:dyDescent="0.2">
      <c r="C42" s="167" t="s">
        <v>18</v>
      </c>
      <c r="D42" s="167"/>
      <c r="E42" s="1"/>
      <c r="F42" s="11"/>
      <c r="G42" s="164"/>
      <c r="H42" s="164"/>
    </row>
    <row r="43" spans="1:13" x14ac:dyDescent="0.2">
      <c r="C43" s="168" t="s">
        <v>191</v>
      </c>
      <c r="D43" s="168"/>
      <c r="E43" s="364"/>
      <c r="F43" s="11"/>
      <c r="G43" s="638">
        <f t="shared" ref="G43:G53" si="0">IF(E$63=0,0,ROUND(E43/E$63,4))</f>
        <v>0</v>
      </c>
      <c r="H43" s="164"/>
    </row>
    <row r="44" spans="1:13" x14ac:dyDescent="0.2">
      <c r="C44" s="168" t="s">
        <v>1038</v>
      </c>
      <c r="D44" s="168"/>
      <c r="E44" s="349"/>
      <c r="F44" s="11"/>
      <c r="G44" s="638">
        <f t="shared" si="0"/>
        <v>0</v>
      </c>
      <c r="H44" s="164"/>
    </row>
    <row r="45" spans="1:13" x14ac:dyDescent="0.2">
      <c r="C45" s="168" t="s">
        <v>1010</v>
      </c>
      <c r="D45" s="168"/>
      <c r="E45" s="349"/>
      <c r="F45" s="11"/>
      <c r="G45" s="638">
        <f t="shared" si="0"/>
        <v>0</v>
      </c>
      <c r="H45" s="164"/>
    </row>
    <row r="46" spans="1:13" x14ac:dyDescent="0.2">
      <c r="C46" s="168" t="s">
        <v>831</v>
      </c>
      <c r="D46" s="168"/>
      <c r="E46" s="349"/>
      <c r="F46" s="11"/>
      <c r="G46" s="638">
        <f t="shared" si="0"/>
        <v>0</v>
      </c>
      <c r="H46" s="164"/>
    </row>
    <row r="47" spans="1:13" x14ac:dyDescent="0.2">
      <c r="C47" s="168" t="s">
        <v>820</v>
      </c>
      <c r="D47" s="168"/>
      <c r="E47" s="349"/>
      <c r="F47" s="11"/>
      <c r="G47" s="638">
        <f t="shared" si="0"/>
        <v>0</v>
      </c>
      <c r="H47" s="164"/>
    </row>
    <row r="48" spans="1:13" x14ac:dyDescent="0.2">
      <c r="C48" s="168" t="s">
        <v>309</v>
      </c>
      <c r="D48" s="168"/>
      <c r="E48" s="349"/>
      <c r="F48" s="11"/>
      <c r="G48" s="638">
        <f t="shared" si="0"/>
        <v>0</v>
      </c>
      <c r="H48" s="164"/>
    </row>
    <row r="49" spans="3:8" x14ac:dyDescent="0.2">
      <c r="C49" s="168" t="s">
        <v>19</v>
      </c>
      <c r="D49" s="168"/>
      <c r="E49" s="349"/>
      <c r="F49" s="11"/>
      <c r="G49" s="638">
        <f t="shared" si="0"/>
        <v>0</v>
      </c>
      <c r="H49" s="164"/>
    </row>
    <row r="50" spans="3:8" x14ac:dyDescent="0.2">
      <c r="C50" s="168" t="s">
        <v>174</v>
      </c>
      <c r="D50" s="168"/>
      <c r="E50" s="349"/>
      <c r="F50" s="11"/>
      <c r="G50" s="638">
        <f t="shared" si="0"/>
        <v>0</v>
      </c>
      <c r="H50" s="164"/>
    </row>
    <row r="51" spans="3:8" x14ac:dyDescent="0.2">
      <c r="C51" s="383" t="s">
        <v>740</v>
      </c>
      <c r="D51" s="168"/>
      <c r="E51" s="349"/>
      <c r="F51" s="11"/>
      <c r="G51" s="638">
        <f t="shared" si="0"/>
        <v>0</v>
      </c>
      <c r="H51" s="164"/>
    </row>
    <row r="52" spans="3:8" x14ac:dyDescent="0.2">
      <c r="C52" s="168"/>
      <c r="D52" s="168"/>
      <c r="E52" s="1"/>
      <c r="F52" s="11"/>
      <c r="G52" s="164"/>
      <c r="H52" s="164"/>
    </row>
    <row r="53" spans="3:8" ht="15" x14ac:dyDescent="0.2">
      <c r="C53" s="169" t="s">
        <v>20</v>
      </c>
      <c r="D53" s="169"/>
      <c r="E53" s="184">
        <f>+SUM(E43:E52)</f>
        <v>0</v>
      </c>
      <c r="F53" s="11"/>
      <c r="G53" s="638">
        <f t="shared" si="0"/>
        <v>0</v>
      </c>
      <c r="H53" s="185" t="s">
        <v>338</v>
      </c>
    </row>
    <row r="54" spans="3:8" x14ac:dyDescent="0.2">
      <c r="E54" s="1"/>
      <c r="F54" s="11"/>
      <c r="G54" s="170" t="s">
        <v>50</v>
      </c>
      <c r="H54" s="170"/>
    </row>
    <row r="55" spans="3:8" x14ac:dyDescent="0.2">
      <c r="C55" s="167" t="s">
        <v>21</v>
      </c>
      <c r="D55" s="167"/>
      <c r="E55" s="1"/>
      <c r="F55" s="11"/>
      <c r="G55" s="170" t="s">
        <v>50</v>
      </c>
      <c r="H55" s="170"/>
    </row>
    <row r="56" spans="3:8" x14ac:dyDescent="0.2">
      <c r="C56" s="168" t="s">
        <v>22</v>
      </c>
      <c r="D56" s="168"/>
      <c r="E56" s="364"/>
      <c r="F56" s="11"/>
      <c r="G56" s="638">
        <f>IF(E$63=0,0,ROUND(E56/E$63,4))</f>
        <v>0</v>
      </c>
      <c r="H56" s="164"/>
    </row>
    <row r="57" spans="3:8" x14ac:dyDescent="0.2">
      <c r="C57" s="168" t="s">
        <v>23</v>
      </c>
      <c r="D57" s="168"/>
      <c r="E57" s="365"/>
      <c r="F57" s="171"/>
      <c r="G57" s="638">
        <f>IF(E$63=0,0,ROUND(E57/E$63,4))</f>
        <v>0</v>
      </c>
      <c r="H57" s="164"/>
    </row>
    <row r="58" spans="3:8" x14ac:dyDescent="0.2">
      <c r="C58" s="383" t="s">
        <v>747</v>
      </c>
      <c r="D58" s="168"/>
      <c r="E58" s="365"/>
      <c r="F58" s="171"/>
      <c r="G58" s="638">
        <f>IF(E$63=0,0,ROUND(E58/E$63,4))</f>
        <v>0</v>
      </c>
      <c r="H58" s="164"/>
    </row>
    <row r="59" spans="3:8" x14ac:dyDescent="0.2">
      <c r="C59" s="383" t="s">
        <v>748</v>
      </c>
      <c r="D59" s="168"/>
      <c r="E59" s="365"/>
      <c r="F59" s="171"/>
      <c r="G59" s="638">
        <f>IF(E$63=0,0,ROUND(E59/E$63,4))</f>
        <v>0</v>
      </c>
      <c r="H59" s="164"/>
    </row>
    <row r="60" spans="3:8" x14ac:dyDescent="0.2">
      <c r="C60" s="167"/>
      <c r="D60" s="167"/>
      <c r="E60" s="1"/>
      <c r="F60" s="11"/>
      <c r="G60" s="164"/>
      <c r="H60" s="164"/>
    </row>
    <row r="61" spans="3:8" x14ac:dyDescent="0.2">
      <c r="C61" s="169" t="s">
        <v>24</v>
      </c>
      <c r="D61" s="169"/>
      <c r="E61" s="184">
        <f>+SUM(E56:E60)</f>
        <v>0</v>
      </c>
      <c r="F61" s="11"/>
      <c r="G61" s="638">
        <f>IF(E$63=0,0,ROUND(E61/E$63,4))</f>
        <v>0</v>
      </c>
      <c r="H61" s="172"/>
    </row>
    <row r="62" spans="3:8" x14ac:dyDescent="0.2">
      <c r="C62" s="168"/>
      <c r="D62" s="168"/>
      <c r="E62" s="1"/>
      <c r="F62" s="11"/>
      <c r="G62" s="164"/>
      <c r="H62" s="164"/>
    </row>
    <row r="63" spans="3:8" ht="13.5" thickBot="1" x14ac:dyDescent="0.25">
      <c r="C63" s="173" t="s">
        <v>25</v>
      </c>
      <c r="D63" s="173"/>
      <c r="E63" s="186">
        <f>+E53+E61</f>
        <v>0</v>
      </c>
      <c r="F63" s="11"/>
      <c r="G63" s="639">
        <f>G53+G61</f>
        <v>0</v>
      </c>
      <c r="H63" s="172"/>
    </row>
    <row r="64" spans="3:8" ht="13.5" thickTop="1" x14ac:dyDescent="0.2">
      <c r="C64" s="173"/>
      <c r="D64" s="173"/>
      <c r="E64" s="11"/>
      <c r="F64" s="11"/>
      <c r="G64" s="172"/>
      <c r="H64" s="172"/>
    </row>
    <row r="65" spans="1:9" x14ac:dyDescent="0.2">
      <c r="C65" s="174" t="s">
        <v>26</v>
      </c>
      <c r="D65" s="174"/>
      <c r="E65" s="359"/>
      <c r="F65" s="11"/>
      <c r="G65" s="172"/>
      <c r="H65" s="172"/>
    </row>
    <row r="66" spans="1:9" x14ac:dyDescent="0.2">
      <c r="C66" s="173"/>
      <c r="D66" s="173"/>
      <c r="E66" s="11"/>
      <c r="F66" s="11"/>
      <c r="G66" s="172"/>
      <c r="H66" s="172"/>
    </row>
    <row r="67" spans="1:9" ht="13.5" thickBot="1" x14ac:dyDescent="0.25">
      <c r="C67" s="173" t="s">
        <v>27</v>
      </c>
      <c r="D67" s="173"/>
      <c r="E67" s="186">
        <f>E63+E65</f>
        <v>0</v>
      </c>
      <c r="F67" s="11"/>
      <c r="G67" s="172"/>
      <c r="H67" s="172"/>
    </row>
    <row r="68" spans="1:9" ht="13.5" thickTop="1" x14ac:dyDescent="0.2">
      <c r="C68" s="173"/>
      <c r="D68" s="173"/>
      <c r="E68" s="1"/>
      <c r="F68" s="1"/>
      <c r="G68" s="164"/>
      <c r="H68" s="164"/>
    </row>
    <row r="69" spans="1:9" ht="15.75" customHeight="1" x14ac:dyDescent="0.2">
      <c r="C69" s="173"/>
      <c r="D69" s="173"/>
      <c r="E69" s="1"/>
      <c r="F69" s="1"/>
      <c r="G69" s="1574" t="s">
        <v>948</v>
      </c>
      <c r="H69" s="1574"/>
      <c r="I69" s="1574"/>
    </row>
    <row r="70" spans="1:9" ht="32.25" customHeight="1" x14ac:dyDescent="0.2">
      <c r="C70" s="1387" t="s">
        <v>445</v>
      </c>
      <c r="D70" s="1603"/>
      <c r="E70" s="187" t="str">
        <f>IF(G53&gt;=50%,"Governmental","Business Type")</f>
        <v>Business Type</v>
      </c>
      <c r="F70" s="230" t="s">
        <v>338</v>
      </c>
      <c r="G70" s="1574"/>
      <c r="H70" s="1574"/>
      <c r="I70" s="1574"/>
    </row>
    <row r="71" spans="1:9" ht="30" customHeight="1" x14ac:dyDescent="0.2">
      <c r="C71" s="34"/>
      <c r="D71" s="34"/>
      <c r="E71" s="176"/>
      <c r="F71" s="175"/>
      <c r="G71" s="164"/>
      <c r="H71" s="164"/>
    </row>
    <row r="72" spans="1:9" x14ac:dyDescent="0.2">
      <c r="E72" s="1"/>
      <c r="F72" s="1"/>
      <c r="G72" s="177"/>
      <c r="H72" s="177"/>
      <c r="I72" s="164"/>
    </row>
    <row r="73" spans="1:9" ht="17.25" customHeight="1" x14ac:dyDescent="0.2">
      <c r="A73" s="4" t="s">
        <v>548</v>
      </c>
      <c r="B73" s="1588" t="s">
        <v>1099</v>
      </c>
      <c r="C73" s="1589"/>
      <c r="D73" s="1589"/>
      <c r="E73" s="1589"/>
      <c r="F73" s="1589"/>
      <c r="G73" s="1589"/>
      <c r="H73" s="1589"/>
      <c r="I73" s="1590"/>
    </row>
    <row r="74" spans="1:9" ht="36" customHeight="1" x14ac:dyDescent="0.2">
      <c r="B74" s="1591"/>
      <c r="C74" s="1592"/>
      <c r="D74" s="1592"/>
      <c r="E74" s="1592"/>
      <c r="F74" s="1592"/>
      <c r="G74" s="1592"/>
      <c r="H74" s="1592"/>
      <c r="I74" s="1593"/>
    </row>
    <row r="75" spans="1:9" ht="3.75" customHeight="1" x14ac:dyDescent="0.2">
      <c r="E75" s="1"/>
      <c r="F75" s="1"/>
      <c r="G75" s="177"/>
      <c r="H75" s="177"/>
      <c r="I75" s="164"/>
    </row>
    <row r="76" spans="1:9" x14ac:dyDescent="0.2">
      <c r="B76" s="64" t="s">
        <v>521</v>
      </c>
      <c r="C76" s="4" t="s">
        <v>840</v>
      </c>
      <c r="E76" s="397" t="s">
        <v>517</v>
      </c>
      <c r="F76" s="106"/>
      <c r="G76" s="398" t="s">
        <v>518</v>
      </c>
      <c r="H76" s="177"/>
      <c r="I76" s="164"/>
    </row>
    <row r="77" spans="1:9" ht="4.5" customHeight="1" x14ac:dyDescent="0.2">
      <c r="E77" s="3"/>
      <c r="F77" s="46"/>
      <c r="G77" s="3"/>
      <c r="H77" s="177"/>
      <c r="I77" s="164"/>
    </row>
    <row r="78" spans="1:9" x14ac:dyDescent="0.2">
      <c r="C78" s="13" t="s">
        <v>608</v>
      </c>
      <c r="D78" s="13"/>
      <c r="E78" s="366">
        <v>0</v>
      </c>
      <c r="F78" s="99"/>
      <c r="G78" s="183"/>
      <c r="H78" s="177"/>
      <c r="I78" s="164"/>
    </row>
    <row r="79" spans="1:9" x14ac:dyDescent="0.2">
      <c r="C79" s="13" t="s">
        <v>241</v>
      </c>
      <c r="D79" s="13"/>
      <c r="E79" s="366">
        <v>0</v>
      </c>
      <c r="F79" s="99"/>
      <c r="G79" s="183"/>
      <c r="H79" s="177"/>
      <c r="I79" s="164"/>
    </row>
    <row r="80" spans="1:9" x14ac:dyDescent="0.2">
      <c r="C80" s="13" t="s">
        <v>54</v>
      </c>
      <c r="D80" s="13"/>
      <c r="E80" s="366">
        <v>0</v>
      </c>
      <c r="F80" s="99"/>
      <c r="G80" s="183"/>
      <c r="H80" s="177"/>
      <c r="I80" s="164"/>
    </row>
    <row r="81" spans="1:9" x14ac:dyDescent="0.2">
      <c r="C81" s="13" t="s">
        <v>850</v>
      </c>
      <c r="D81" s="13"/>
      <c r="E81" s="366">
        <v>0</v>
      </c>
      <c r="F81" s="99"/>
      <c r="G81" s="183"/>
      <c r="H81" s="177"/>
      <c r="I81" s="164"/>
    </row>
    <row r="82" spans="1:9" x14ac:dyDescent="0.2">
      <c r="C82" s="13" t="s">
        <v>57</v>
      </c>
      <c r="D82" s="13"/>
      <c r="E82" s="366">
        <v>0</v>
      </c>
      <c r="F82" s="99"/>
      <c r="G82" s="183"/>
      <c r="H82" s="177"/>
      <c r="I82" s="164"/>
    </row>
    <row r="83" spans="1:9" x14ac:dyDescent="0.2">
      <c r="C83" s="13" t="s">
        <v>58</v>
      </c>
      <c r="D83" s="13"/>
      <c r="E83" s="366">
        <v>0</v>
      </c>
      <c r="F83" s="99"/>
      <c r="G83" s="183"/>
      <c r="H83" s="177"/>
      <c r="I83" s="164"/>
    </row>
    <row r="84" spans="1:9" x14ac:dyDescent="0.2">
      <c r="C84" s="13" t="s">
        <v>826</v>
      </c>
      <c r="D84" s="13"/>
      <c r="E84" s="366">
        <v>0</v>
      </c>
      <c r="F84" s="99"/>
      <c r="G84" s="183"/>
      <c r="H84" s="177"/>
      <c r="I84" s="164"/>
    </row>
    <row r="85" spans="1:9" x14ac:dyDescent="0.2">
      <c r="C85" s="13" t="s">
        <v>827</v>
      </c>
      <c r="D85" s="13"/>
      <c r="E85" s="366">
        <v>0</v>
      </c>
      <c r="F85" s="99"/>
      <c r="G85" s="183"/>
      <c r="H85" s="177"/>
      <c r="I85" s="164"/>
    </row>
    <row r="86" spans="1:9" x14ac:dyDescent="0.2">
      <c r="C86" s="13" t="s">
        <v>824</v>
      </c>
      <c r="D86" s="13"/>
      <c r="E86" s="366">
        <v>0</v>
      </c>
      <c r="F86" s="99"/>
      <c r="G86" s="183"/>
      <c r="H86" s="177"/>
      <c r="I86" s="164"/>
    </row>
    <row r="87" spans="1:9" x14ac:dyDescent="0.2">
      <c r="C87" s="13" t="s">
        <v>609</v>
      </c>
      <c r="D87" s="13"/>
      <c r="E87" s="366">
        <v>0</v>
      </c>
      <c r="F87" s="99"/>
      <c r="G87" s="183"/>
      <c r="H87" s="177"/>
      <c r="I87" s="6" t="s">
        <v>1101</v>
      </c>
    </row>
    <row r="88" spans="1:9" s="727" customFormat="1" x14ac:dyDescent="0.2">
      <c r="A88" s="726"/>
      <c r="C88" s="699" t="s">
        <v>2069</v>
      </c>
      <c r="D88" s="728"/>
      <c r="E88" s="366">
        <v>0</v>
      </c>
      <c r="F88" s="730"/>
      <c r="G88" s="183"/>
      <c r="H88" s="177"/>
      <c r="I88" s="6"/>
    </row>
    <row r="89" spans="1:9" s="727" customFormat="1" ht="38.25" x14ac:dyDescent="0.2">
      <c r="A89" s="726"/>
      <c r="C89" s="711" t="s">
        <v>4019</v>
      </c>
      <c r="D89" s="728"/>
      <c r="E89" s="366">
        <v>0</v>
      </c>
      <c r="F89" s="730"/>
      <c r="G89" s="183"/>
      <c r="H89" s="177"/>
      <c r="I89" s="6"/>
    </row>
    <row r="90" spans="1:9" s="727" customFormat="1" ht="25.5" x14ac:dyDescent="0.2">
      <c r="A90" s="726"/>
      <c r="C90" s="711" t="s">
        <v>4026</v>
      </c>
      <c r="D90" s="728"/>
      <c r="E90" s="366">
        <v>0</v>
      </c>
      <c r="F90" s="730"/>
      <c r="G90" s="183"/>
      <c r="H90" s="177"/>
      <c r="I90" s="6"/>
    </row>
    <row r="91" spans="1:9" s="727" customFormat="1" x14ac:dyDescent="0.2">
      <c r="A91" s="726"/>
      <c r="C91" s="699" t="s">
        <v>4027</v>
      </c>
      <c r="D91" s="728"/>
      <c r="E91" s="366">
        <v>0</v>
      </c>
      <c r="F91" s="730"/>
      <c r="G91" s="183"/>
      <c r="H91" s="177"/>
      <c r="I91" s="6"/>
    </row>
    <row r="92" spans="1:9" s="727" customFormat="1" ht="42" customHeight="1" x14ac:dyDescent="0.2">
      <c r="A92" s="726"/>
      <c r="C92" s="744" t="s">
        <v>4029</v>
      </c>
      <c r="D92" s="728"/>
      <c r="E92" s="366">
        <v>0</v>
      </c>
      <c r="F92" s="730"/>
      <c r="G92" s="183"/>
      <c r="H92" s="177"/>
      <c r="I92" s="6"/>
    </row>
    <row r="93" spans="1:9" s="1049" customFormat="1" x14ac:dyDescent="0.2">
      <c r="A93" s="1048"/>
      <c r="C93" s="699" t="s">
        <v>3988</v>
      </c>
      <c r="D93" s="1051"/>
      <c r="E93" s="366">
        <v>0</v>
      </c>
      <c r="F93" s="751"/>
      <c r="G93" s="183"/>
      <c r="H93" s="177"/>
      <c r="I93" s="6"/>
    </row>
    <row r="94" spans="1:9" s="1137" customFormat="1" ht="25.5" x14ac:dyDescent="0.2">
      <c r="A94" s="1136"/>
      <c r="C94" s="1141" t="s">
        <v>4025</v>
      </c>
      <c r="D94" s="1138"/>
      <c r="E94" s="366">
        <v>0</v>
      </c>
      <c r="F94" s="751"/>
      <c r="G94" s="183"/>
      <c r="H94" s="177"/>
      <c r="I94" s="6"/>
    </row>
    <row r="95" spans="1:9" s="1137" customFormat="1" x14ac:dyDescent="0.2">
      <c r="A95" s="1136"/>
      <c r="C95" s="699" t="s">
        <v>4034</v>
      </c>
      <c r="D95" s="1138"/>
      <c r="E95" s="366">
        <v>0</v>
      </c>
      <c r="F95" s="751"/>
      <c r="G95" s="183"/>
      <c r="H95" s="177"/>
      <c r="I95" s="6"/>
    </row>
    <row r="96" spans="1:9" x14ac:dyDescent="0.2">
      <c r="C96" s="728" t="s">
        <v>610</v>
      </c>
      <c r="D96" s="13"/>
      <c r="E96" s="182"/>
      <c r="F96" s="99"/>
      <c r="G96" s="366">
        <v>0</v>
      </c>
      <c r="H96" s="177"/>
      <c r="I96" s="164"/>
    </row>
    <row r="97" spans="1:9" x14ac:dyDescent="0.2">
      <c r="C97" s="728" t="s">
        <v>611</v>
      </c>
      <c r="D97" s="13"/>
      <c r="E97" s="182"/>
      <c r="F97" s="99"/>
      <c r="G97" s="366">
        <v>0</v>
      </c>
      <c r="H97" s="177"/>
      <c r="I97" s="164"/>
    </row>
    <row r="98" spans="1:9" x14ac:dyDescent="0.2">
      <c r="C98" s="728" t="s">
        <v>612</v>
      </c>
      <c r="D98" s="13"/>
      <c r="E98" s="182"/>
      <c r="F98" s="99"/>
      <c r="G98" s="366">
        <v>0</v>
      </c>
      <c r="H98" s="177"/>
      <c r="I98" s="164"/>
    </row>
    <row r="99" spans="1:9" x14ac:dyDescent="0.2">
      <c r="C99" s="13" t="s">
        <v>613</v>
      </c>
      <c r="D99" s="13"/>
      <c r="E99" s="99"/>
      <c r="F99" s="99"/>
      <c r="G99" s="366">
        <v>0</v>
      </c>
      <c r="H99" s="177"/>
      <c r="I99" s="164"/>
    </row>
    <row r="100" spans="1:9" x14ac:dyDescent="0.2">
      <c r="C100" s="331" t="s">
        <v>59</v>
      </c>
      <c r="D100" s="13"/>
      <c r="E100" s="99"/>
      <c r="F100" s="99"/>
      <c r="G100" s="366">
        <v>0</v>
      </c>
      <c r="H100" s="177"/>
      <c r="I100" s="164"/>
    </row>
    <row r="101" spans="1:9" x14ac:dyDescent="0.2">
      <c r="C101" s="331" t="s">
        <v>849</v>
      </c>
      <c r="D101" s="13"/>
      <c r="E101" s="99"/>
      <c r="F101" s="99"/>
      <c r="G101" s="366">
        <v>0</v>
      </c>
      <c r="H101" s="177"/>
      <c r="I101" s="164"/>
    </row>
    <row r="102" spans="1:9" x14ac:dyDescent="0.2">
      <c r="C102" s="13" t="s">
        <v>937</v>
      </c>
      <c r="D102" s="13"/>
      <c r="E102" s="99"/>
      <c r="F102" s="99"/>
      <c r="G102" s="366">
        <v>0</v>
      </c>
      <c r="H102" s="177"/>
      <c r="I102" s="164"/>
    </row>
    <row r="103" spans="1:9" x14ac:dyDescent="0.2">
      <c r="C103" s="13" t="s">
        <v>938</v>
      </c>
      <c r="D103" s="13"/>
      <c r="E103" s="99"/>
      <c r="F103" s="99"/>
      <c r="G103" s="366">
        <v>0</v>
      </c>
      <c r="H103" s="177"/>
      <c r="I103" s="164"/>
    </row>
    <row r="104" spans="1:9" x14ac:dyDescent="0.2">
      <c r="C104" s="13" t="s">
        <v>4082</v>
      </c>
      <c r="D104" s="13"/>
      <c r="E104" s="99"/>
      <c r="F104" s="99"/>
      <c r="G104" s="366">
        <v>0</v>
      </c>
      <c r="H104" s="177"/>
      <c r="I104" s="164"/>
    </row>
    <row r="105" spans="1:9" x14ac:dyDescent="0.2">
      <c r="C105" s="13" t="s">
        <v>939</v>
      </c>
      <c r="D105" s="13"/>
      <c r="E105" s="99"/>
      <c r="F105" s="99"/>
      <c r="G105" s="366">
        <v>0</v>
      </c>
      <c r="H105" s="177"/>
      <c r="I105" s="164"/>
    </row>
    <row r="106" spans="1:9" s="727" customFormat="1" ht="51" x14ac:dyDescent="0.2">
      <c r="A106" s="726"/>
      <c r="C106" s="742" t="s">
        <v>4019</v>
      </c>
      <c r="D106" s="728"/>
      <c r="E106" s="730"/>
      <c r="F106" s="730"/>
      <c r="G106" s="366">
        <v>0</v>
      </c>
      <c r="H106" s="177"/>
      <c r="I106" s="164"/>
    </row>
    <row r="107" spans="1:9" s="727" customFormat="1" ht="25.5" x14ac:dyDescent="0.2">
      <c r="A107" s="726"/>
      <c r="C107" s="742" t="s">
        <v>4026</v>
      </c>
      <c r="D107" s="728"/>
      <c r="E107" s="730"/>
      <c r="F107" s="730"/>
      <c r="G107" s="366">
        <v>0</v>
      </c>
      <c r="H107" s="177"/>
      <c r="I107" s="164"/>
    </row>
    <row r="108" spans="1:9" s="727" customFormat="1" x14ac:dyDescent="0.2">
      <c r="A108" s="726"/>
      <c r="C108" s="743" t="s">
        <v>4027</v>
      </c>
      <c r="D108" s="728"/>
      <c r="E108" s="730"/>
      <c r="F108" s="730"/>
      <c r="G108" s="366">
        <v>0</v>
      </c>
      <c r="H108" s="177"/>
      <c r="I108" s="164"/>
    </row>
    <row r="109" spans="1:9" s="727" customFormat="1" ht="37.5" customHeight="1" x14ac:dyDescent="0.2">
      <c r="A109" s="726"/>
      <c r="C109" s="742" t="s">
        <v>4029</v>
      </c>
      <c r="D109" s="728"/>
      <c r="E109" s="730"/>
      <c r="F109" s="730"/>
      <c r="G109" s="366">
        <v>0</v>
      </c>
      <c r="H109" s="177"/>
      <c r="I109" s="164"/>
    </row>
    <row r="110" spans="1:9" s="1137" customFormat="1" ht="25.5" x14ac:dyDescent="0.2">
      <c r="A110" s="1136"/>
      <c r="C110" s="742" t="s">
        <v>4025</v>
      </c>
      <c r="D110" s="1138"/>
      <c r="E110" s="751"/>
      <c r="F110" s="751"/>
      <c r="G110" s="366">
        <v>0</v>
      </c>
      <c r="H110" s="177"/>
      <c r="I110" s="164"/>
    </row>
    <row r="111" spans="1:9" s="1137" customFormat="1" x14ac:dyDescent="0.2">
      <c r="A111" s="1136"/>
      <c r="C111" s="743" t="s">
        <v>4028</v>
      </c>
      <c r="D111" s="1138"/>
      <c r="E111" s="751"/>
      <c r="F111" s="751"/>
      <c r="G111" s="366">
        <v>0</v>
      </c>
      <c r="H111" s="177"/>
      <c r="I111" s="164"/>
    </row>
    <row r="112" spans="1:9" x14ac:dyDescent="0.2">
      <c r="C112" s="651" t="s">
        <v>1100</v>
      </c>
      <c r="D112" s="13"/>
      <c r="E112" s="93"/>
      <c r="F112" s="93"/>
      <c r="G112" s="366">
        <v>0</v>
      </c>
      <c r="H112" s="177"/>
      <c r="I112" s="227" t="s">
        <v>727</v>
      </c>
    </row>
    <row r="113" spans="1:9" ht="7.5" customHeight="1" x14ac:dyDescent="0.2">
      <c r="C113" s="13"/>
      <c r="D113" s="13"/>
      <c r="E113" s="93"/>
      <c r="F113" s="93"/>
      <c r="G113" s="93"/>
      <c r="H113" s="177"/>
      <c r="I113" s="164"/>
    </row>
    <row r="114" spans="1:9" ht="12.75" customHeight="1" x14ac:dyDescent="0.2">
      <c r="B114" s="64" t="s">
        <v>522</v>
      </c>
      <c r="C114" s="147" t="s">
        <v>841</v>
      </c>
      <c r="D114" s="13"/>
      <c r="E114" s="93"/>
      <c r="F114" s="93"/>
      <c r="G114" s="93"/>
      <c r="H114" s="177"/>
      <c r="I114" s="164"/>
    </row>
    <row r="115" spans="1:9" x14ac:dyDescent="0.2">
      <c r="C115" s="167" t="s">
        <v>904</v>
      </c>
      <c r="D115" s="167"/>
      <c r="F115" s="1"/>
      <c r="G115" s="349">
        <v>0</v>
      </c>
      <c r="H115" s="1"/>
      <c r="I115" s="189"/>
    </row>
    <row r="116" spans="1:9" ht="12.75" customHeight="1" x14ac:dyDescent="0.2">
      <c r="C116" s="167" t="s">
        <v>842</v>
      </c>
      <c r="D116" s="167"/>
      <c r="E116" s="344">
        <v>0</v>
      </c>
      <c r="F116" s="1"/>
      <c r="H116" s="1"/>
      <c r="I116" s="189" t="s">
        <v>726</v>
      </c>
    </row>
    <row r="117" spans="1:9" x14ac:dyDescent="0.2">
      <c r="C117" s="167" t="s">
        <v>147</v>
      </c>
      <c r="D117" s="167"/>
      <c r="E117" s="344">
        <v>0</v>
      </c>
      <c r="F117" s="1"/>
      <c r="H117" s="1"/>
      <c r="I117" s="189" t="s">
        <v>1102</v>
      </c>
    </row>
    <row r="118" spans="1:9" x14ac:dyDescent="0.2">
      <c r="C118" s="167" t="s">
        <v>146</v>
      </c>
      <c r="D118" s="167"/>
      <c r="F118" s="1"/>
      <c r="G118" s="349">
        <v>0</v>
      </c>
      <c r="H118" s="1"/>
      <c r="I118" s="189"/>
    </row>
    <row r="119" spans="1:9" x14ac:dyDescent="0.2">
      <c r="C119" s="167" t="s">
        <v>624</v>
      </c>
      <c r="D119" s="167"/>
      <c r="F119" s="1"/>
      <c r="G119" s="349">
        <v>0</v>
      </c>
      <c r="H119" s="1"/>
      <c r="I119" s="190" t="s">
        <v>572</v>
      </c>
    </row>
    <row r="120" spans="1:9" ht="22.5" x14ac:dyDescent="0.2">
      <c r="C120" s="167" t="s">
        <v>28</v>
      </c>
      <c r="D120" s="167"/>
      <c r="E120" s="344">
        <v>0</v>
      </c>
      <c r="F120" s="1"/>
      <c r="H120" s="1"/>
      <c r="I120" s="188" t="s">
        <v>604</v>
      </c>
    </row>
    <row r="121" spans="1:9" ht="7.5" customHeight="1" x14ac:dyDescent="0.2">
      <c r="B121" s="39"/>
      <c r="C121" s="167"/>
      <c r="D121" s="167"/>
      <c r="F121" s="1"/>
      <c r="G121" s="1"/>
      <c r="H121" s="1"/>
      <c r="I121" s="1"/>
    </row>
    <row r="122" spans="1:9" ht="23.25" customHeight="1" x14ac:dyDescent="0.2">
      <c r="B122" s="64" t="s">
        <v>523</v>
      </c>
      <c r="C122" s="1575" t="s">
        <v>1103</v>
      </c>
      <c r="D122" s="1577">
        <v>0</v>
      </c>
      <c r="F122" s="1"/>
      <c r="H122" s="1"/>
      <c r="I122" s="189" t="s">
        <v>1104</v>
      </c>
    </row>
    <row r="123" spans="1:9" ht="21.75" customHeight="1" x14ac:dyDescent="0.2">
      <c r="B123" s="64"/>
      <c r="C123" s="1576"/>
      <c r="D123" s="1577"/>
      <c r="F123" s="1"/>
      <c r="H123" s="1"/>
      <c r="I123" s="189"/>
    </row>
    <row r="124" spans="1:9" x14ac:dyDescent="0.2">
      <c r="B124" s="39"/>
      <c r="C124" s="224" t="s">
        <v>1024</v>
      </c>
      <c r="D124" s="225">
        <f>G115-E116-E117+G118+G119-E120</f>
        <v>0</v>
      </c>
      <c r="F124" s="1"/>
      <c r="G124" s="1"/>
      <c r="H124" s="1"/>
      <c r="I124" s="1"/>
    </row>
    <row r="125" spans="1:9" ht="36" customHeight="1" thickBot="1" x14ac:dyDescent="0.25">
      <c r="C125" s="168" t="s">
        <v>1025</v>
      </c>
      <c r="D125" s="239">
        <f>D122-D124</f>
        <v>0</v>
      </c>
      <c r="E125" s="8"/>
      <c r="F125" s="226"/>
      <c r="G125" s="207">
        <f>D125</f>
        <v>0</v>
      </c>
      <c r="H125" s="1"/>
      <c r="I125" s="231" t="s">
        <v>355</v>
      </c>
    </row>
    <row r="126" spans="1:9" ht="18.75" customHeight="1" thickTop="1" thickBot="1" x14ac:dyDescent="0.25">
      <c r="C126" s="168"/>
      <c r="D126" s="168"/>
      <c r="E126" s="228">
        <f>SUM(E78:E125)</f>
        <v>0</v>
      </c>
      <c r="F126" s="1"/>
      <c r="G126" s="92">
        <f>SUM(G96:G125)</f>
        <v>0</v>
      </c>
      <c r="H126" s="1"/>
      <c r="I126" s="232" t="s">
        <v>356</v>
      </c>
    </row>
    <row r="127" spans="1:9" ht="13.5" thickTop="1" x14ac:dyDescent="0.2">
      <c r="C127" s="168"/>
      <c r="D127" s="168"/>
      <c r="F127" s="1"/>
      <c r="G127" s="1"/>
      <c r="H127" s="1"/>
      <c r="I127" s="1"/>
    </row>
    <row r="128" spans="1:9" ht="15" customHeight="1" x14ac:dyDescent="0.2">
      <c r="A128" s="4" t="s">
        <v>816</v>
      </c>
      <c r="B128" s="1588" t="s">
        <v>1157</v>
      </c>
      <c r="C128" s="1589"/>
      <c r="D128" s="1589"/>
      <c r="E128" s="1589"/>
      <c r="F128" s="1589"/>
      <c r="G128" s="1589"/>
      <c r="H128" s="1589"/>
      <c r="I128" s="1590"/>
    </row>
    <row r="129" spans="1:12" ht="25.5" customHeight="1" x14ac:dyDescent="0.2">
      <c r="B129" s="1591"/>
      <c r="C129" s="1592"/>
      <c r="D129" s="1592"/>
      <c r="E129" s="1592"/>
      <c r="F129" s="1592"/>
      <c r="G129" s="1592"/>
      <c r="H129" s="1592"/>
      <c r="I129" s="1593"/>
    </row>
    <row r="130" spans="1:12" x14ac:dyDescent="0.2">
      <c r="E130" s="1"/>
      <c r="F130" s="1"/>
      <c r="G130" s="177"/>
      <c r="H130" s="177"/>
      <c r="I130" s="164"/>
    </row>
    <row r="131" spans="1:12" ht="12.75" customHeight="1" x14ac:dyDescent="0.2">
      <c r="B131" s="39" t="s">
        <v>521</v>
      </c>
      <c r="C131" s="1402" t="s">
        <v>528</v>
      </c>
      <c r="D131" s="1402"/>
      <c r="E131" s="1402"/>
      <c r="F131" s="1"/>
      <c r="G131" s="1573">
        <v>0</v>
      </c>
      <c r="H131" s="177"/>
      <c r="I131" s="164"/>
    </row>
    <row r="132" spans="1:12" ht="47.25" customHeight="1" x14ac:dyDescent="0.2">
      <c r="C132" s="1402"/>
      <c r="D132" s="1402"/>
      <c r="E132" s="1402"/>
      <c r="F132" s="1"/>
      <c r="G132" s="1573"/>
      <c r="H132" s="177"/>
      <c r="I132" s="164"/>
    </row>
    <row r="133" spans="1:12" x14ac:dyDescent="0.2">
      <c r="E133" s="1"/>
      <c r="F133" s="1"/>
      <c r="G133" s="177"/>
      <c r="H133" s="177"/>
      <c r="I133" s="193" t="s">
        <v>940</v>
      </c>
    </row>
    <row r="134" spans="1:12" x14ac:dyDescent="0.2">
      <c r="B134" s="39" t="s">
        <v>522</v>
      </c>
      <c r="C134" s="1402" t="s">
        <v>190</v>
      </c>
      <c r="D134" s="1402"/>
      <c r="E134" s="1402"/>
      <c r="F134" s="1"/>
      <c r="G134" s="1573">
        <v>0</v>
      </c>
      <c r="H134" s="177"/>
      <c r="I134" s="164"/>
    </row>
    <row r="135" spans="1:12" ht="44.25" customHeight="1" x14ac:dyDescent="0.2">
      <c r="C135" s="1402"/>
      <c r="D135" s="1402"/>
      <c r="E135" s="1402"/>
      <c r="F135" s="1"/>
      <c r="G135" s="1573"/>
      <c r="H135" s="177"/>
      <c r="I135" s="164"/>
    </row>
    <row r="136" spans="1:12" x14ac:dyDescent="0.2">
      <c r="E136" s="1"/>
      <c r="F136" s="1"/>
      <c r="G136" s="177"/>
      <c r="H136" s="177"/>
      <c r="I136" s="164"/>
    </row>
    <row r="137" spans="1:12" ht="13.5" customHeight="1" x14ac:dyDescent="0.2">
      <c r="A137" s="4" t="s">
        <v>822</v>
      </c>
      <c r="B137" s="1578" t="s">
        <v>512</v>
      </c>
      <c r="C137" s="1579"/>
      <c r="D137" s="1579"/>
      <c r="E137" s="1579"/>
      <c r="F137" s="1579"/>
      <c r="G137" s="1579"/>
      <c r="H137" s="1579"/>
      <c r="I137" s="1580"/>
      <c r="J137" s="1"/>
      <c r="K137" s="1"/>
      <c r="L137" s="1"/>
    </row>
    <row r="138" spans="1:12" ht="12" customHeight="1" x14ac:dyDescent="0.2">
      <c r="B138" s="1581"/>
      <c r="C138" s="1582"/>
      <c r="D138" s="1582"/>
      <c r="E138" s="1582"/>
      <c r="F138" s="1582"/>
      <c r="G138" s="1582"/>
      <c r="H138" s="1582"/>
      <c r="I138" s="1583"/>
      <c r="J138" s="1"/>
      <c r="K138" s="1"/>
      <c r="L138" s="1"/>
    </row>
    <row r="139" spans="1:12" ht="5.25" customHeight="1" x14ac:dyDescent="0.2">
      <c r="C139" s="179"/>
      <c r="D139" s="179"/>
      <c r="E139" s="162"/>
      <c r="F139" s="162"/>
      <c r="G139" s="162"/>
      <c r="H139" s="162"/>
      <c r="I139" s="162"/>
      <c r="J139" s="1"/>
      <c r="K139" s="1"/>
      <c r="L139" s="1"/>
    </row>
    <row r="140" spans="1:12" ht="37.5" customHeight="1" x14ac:dyDescent="0.2">
      <c r="C140" s="196" t="s">
        <v>848</v>
      </c>
      <c r="D140" s="196"/>
      <c r="E140" s="180" t="s">
        <v>605</v>
      </c>
      <c r="F140" s="178"/>
      <c r="G140" s="180" t="s">
        <v>606</v>
      </c>
      <c r="H140" s="178"/>
      <c r="I140" s="181"/>
      <c r="J140" s="1"/>
      <c r="K140" s="1"/>
      <c r="L140" s="1"/>
    </row>
    <row r="141" spans="1:12" x14ac:dyDescent="0.2">
      <c r="E141" s="1"/>
      <c r="F141" s="11"/>
      <c r="G141" s="1"/>
      <c r="H141" s="1"/>
      <c r="I141" s="1"/>
      <c r="J141" s="1"/>
      <c r="K141" s="1"/>
      <c r="L141" s="1"/>
    </row>
    <row r="142" spans="1:12" x14ac:dyDescent="0.2">
      <c r="C142" t="str">
        <f>+$C43</f>
        <v>General government</v>
      </c>
      <c r="E142" s="285">
        <f t="shared" ref="E142:E150" si="1">D$125*G43</f>
        <v>0</v>
      </c>
      <c r="F142" s="1"/>
      <c r="G142" s="1"/>
      <c r="H142" s="1"/>
      <c r="I142" s="1"/>
      <c r="J142" s="1"/>
      <c r="K142" s="1"/>
      <c r="L142" s="1"/>
    </row>
    <row r="143" spans="1:12" x14ac:dyDescent="0.2">
      <c r="C143" t="str">
        <f>+C44</f>
        <v>Public safety</v>
      </c>
      <c r="E143" s="285">
        <f t="shared" si="1"/>
        <v>0</v>
      </c>
      <c r="F143" s="1"/>
      <c r="G143" s="1"/>
      <c r="H143" s="1"/>
      <c r="I143" s="1"/>
      <c r="J143" s="1"/>
      <c r="K143" s="1"/>
      <c r="L143" s="1"/>
    </row>
    <row r="144" spans="1:12" x14ac:dyDescent="0.2">
      <c r="C144" t="str">
        <f>+C45</f>
        <v>Transportation</v>
      </c>
      <c r="E144" s="285">
        <f t="shared" si="1"/>
        <v>0</v>
      </c>
      <c r="F144" s="1"/>
      <c r="G144" s="1"/>
      <c r="H144" s="1"/>
      <c r="I144" s="1"/>
      <c r="J144" s="1"/>
      <c r="K144" s="1"/>
      <c r="L144" s="1"/>
    </row>
    <row r="145" spans="1:12" x14ac:dyDescent="0.2">
      <c r="C145" t="s">
        <v>831</v>
      </c>
      <c r="E145" s="285">
        <f t="shared" si="1"/>
        <v>0</v>
      </c>
      <c r="F145" s="1"/>
      <c r="G145" s="1"/>
      <c r="H145" s="1"/>
      <c r="I145" s="1"/>
      <c r="J145" s="1"/>
      <c r="K145" s="1"/>
      <c r="L145" s="1"/>
    </row>
    <row r="146" spans="1:12" x14ac:dyDescent="0.2">
      <c r="C146" t="s">
        <v>820</v>
      </c>
      <c r="E146" s="285">
        <f t="shared" si="1"/>
        <v>0</v>
      </c>
      <c r="F146" s="1"/>
      <c r="G146" s="1"/>
      <c r="H146" s="1"/>
      <c r="I146" s="1"/>
      <c r="J146" s="1"/>
      <c r="K146" s="1"/>
      <c r="L146" s="1"/>
    </row>
    <row r="147" spans="1:12" x14ac:dyDescent="0.2">
      <c r="C147" t="s">
        <v>309</v>
      </c>
      <c r="E147" s="285">
        <f t="shared" si="1"/>
        <v>0</v>
      </c>
      <c r="F147" s="1"/>
      <c r="G147" s="1"/>
      <c r="H147" s="1"/>
      <c r="I147" s="1"/>
      <c r="J147" s="1"/>
      <c r="K147" s="1"/>
      <c r="L147" s="1"/>
    </row>
    <row r="148" spans="1:12" x14ac:dyDescent="0.2">
      <c r="C148" t="s">
        <v>19</v>
      </c>
      <c r="E148" s="285">
        <f t="shared" si="1"/>
        <v>0</v>
      </c>
      <c r="F148" s="1"/>
      <c r="G148" s="1"/>
      <c r="H148" s="1"/>
      <c r="I148" s="6"/>
      <c r="J148" s="1"/>
      <c r="K148" s="1"/>
      <c r="L148" s="1"/>
    </row>
    <row r="149" spans="1:12" x14ac:dyDescent="0.2">
      <c r="C149" t="s">
        <v>174</v>
      </c>
      <c r="E149" s="285">
        <f t="shared" si="1"/>
        <v>0</v>
      </c>
      <c r="F149" s="1"/>
      <c r="G149" s="1"/>
      <c r="H149" s="1"/>
      <c r="I149" s="229"/>
      <c r="J149" s="1"/>
      <c r="K149" s="1"/>
      <c r="L149" s="1"/>
    </row>
    <row r="150" spans="1:12" ht="12.75" customHeight="1" x14ac:dyDescent="0.2">
      <c r="C150" s="354" t="s">
        <v>740</v>
      </c>
      <c r="E150" s="285">
        <f t="shared" si="1"/>
        <v>0</v>
      </c>
      <c r="F150" s="1"/>
      <c r="G150" s="1"/>
      <c r="H150" s="1"/>
      <c r="J150" s="1"/>
      <c r="K150" s="1"/>
      <c r="L150" s="1"/>
    </row>
    <row r="151" spans="1:12" ht="13.5" customHeight="1" x14ac:dyDescent="0.2">
      <c r="E151" s="1"/>
      <c r="F151" s="1"/>
      <c r="G151" s="1"/>
      <c r="H151" s="1"/>
      <c r="I151" s="1497" t="s">
        <v>189</v>
      </c>
      <c r="J151" s="1"/>
      <c r="K151" s="1"/>
      <c r="L151" s="1"/>
    </row>
    <row r="152" spans="1:12" ht="12" customHeight="1" x14ac:dyDescent="0.2">
      <c r="C152" t="str">
        <f>+C56</f>
        <v>Water and sewer</v>
      </c>
      <c r="E152" s="1"/>
      <c r="F152" s="1"/>
      <c r="G152" s="285">
        <f>D$125*G56</f>
        <v>0</v>
      </c>
      <c r="H152" s="1"/>
      <c r="I152" s="1392"/>
      <c r="J152" s="1"/>
      <c r="K152" s="1"/>
      <c r="L152" s="1"/>
    </row>
    <row r="153" spans="1:12" x14ac:dyDescent="0.2">
      <c r="C153" t="str">
        <f>+C57</f>
        <v>Electric</v>
      </c>
      <c r="E153" s="1"/>
      <c r="F153" s="1"/>
      <c r="G153" s="285">
        <f>D$125*G57</f>
        <v>0</v>
      </c>
      <c r="H153" s="1"/>
      <c r="I153" s="1392"/>
      <c r="J153" s="1"/>
      <c r="K153" s="1"/>
      <c r="L153" s="1"/>
    </row>
    <row r="154" spans="1:12" x14ac:dyDescent="0.2">
      <c r="C154" s="354" t="s">
        <v>749</v>
      </c>
      <c r="E154" s="1"/>
      <c r="F154" s="1"/>
      <c r="G154" s="285">
        <f>D$125*G58</f>
        <v>0</v>
      </c>
      <c r="H154" s="1"/>
      <c r="I154" s="1392"/>
      <c r="J154" s="1"/>
      <c r="K154" s="1"/>
      <c r="L154" s="1"/>
    </row>
    <row r="155" spans="1:12" x14ac:dyDescent="0.2">
      <c r="C155" s="354" t="s">
        <v>750</v>
      </c>
      <c r="E155" s="1"/>
      <c r="F155" s="1"/>
      <c r="G155" s="285">
        <f>D$125*G59</f>
        <v>0</v>
      </c>
      <c r="H155" s="1"/>
      <c r="I155" s="1464"/>
      <c r="J155" s="1"/>
      <c r="K155" s="1"/>
      <c r="L155" s="1"/>
    </row>
    <row r="156" spans="1:12" ht="13.5" thickBot="1" x14ac:dyDescent="0.25">
      <c r="C156" s="167" t="s">
        <v>607</v>
      </c>
      <c r="D156" s="167"/>
      <c r="E156" s="92">
        <f>SUM(E142:E155)</f>
        <v>0</v>
      </c>
      <c r="F156" s="1"/>
      <c r="G156" s="92">
        <f>SUM(G152:G155)</f>
        <v>0</v>
      </c>
      <c r="H156" s="233" t="s">
        <v>520</v>
      </c>
      <c r="I156" s="92">
        <f>SUM(E156:G156)</f>
        <v>0</v>
      </c>
      <c r="J156" s="1"/>
      <c r="K156" s="1"/>
      <c r="L156" s="1"/>
    </row>
    <row r="157" spans="1:12" ht="13.5" thickTop="1" x14ac:dyDescent="0.2">
      <c r="E157" s="1"/>
      <c r="F157" s="1"/>
      <c r="G157" s="1"/>
      <c r="H157" s="1"/>
      <c r="I157" s="164"/>
    </row>
    <row r="158" spans="1:12" ht="25.5" customHeight="1" x14ac:dyDescent="0.2">
      <c r="A158" s="4" t="s">
        <v>838</v>
      </c>
      <c r="B158" s="1470" t="s">
        <v>1044</v>
      </c>
      <c r="C158" s="1471"/>
      <c r="D158" s="1471"/>
      <c r="E158" s="1471"/>
      <c r="F158" s="1471"/>
      <c r="G158" s="1471"/>
      <c r="H158" s="1471"/>
      <c r="I158" s="1472"/>
    </row>
    <row r="159" spans="1:12" ht="12.75" customHeight="1" x14ac:dyDescent="0.2">
      <c r="E159" s="1"/>
      <c r="F159" s="1"/>
      <c r="G159" s="1"/>
      <c r="H159" s="1"/>
      <c r="I159" s="164"/>
    </row>
    <row r="160" spans="1:12" x14ac:dyDescent="0.2">
      <c r="E160" s="3" t="s">
        <v>517</v>
      </c>
      <c r="F160" s="46"/>
      <c r="G160" s="3" t="s">
        <v>518</v>
      </c>
      <c r="H160" s="46"/>
    </row>
    <row r="161" spans="1:9" x14ac:dyDescent="0.2">
      <c r="E161" s="216"/>
      <c r="F161" s="46"/>
      <c r="G161" s="220"/>
      <c r="H161" s="46"/>
      <c r="I161" s="191"/>
    </row>
    <row r="162" spans="1:9" x14ac:dyDescent="0.2">
      <c r="A162" s="197" t="s">
        <v>573</v>
      </c>
      <c r="C162" s="13" t="s">
        <v>608</v>
      </c>
      <c r="D162" s="13"/>
      <c r="E162" s="83">
        <f t="shared" ref="E162:E179" si="2">E78</f>
        <v>0</v>
      </c>
      <c r="G162" s="79"/>
    </row>
    <row r="163" spans="1:9" x14ac:dyDescent="0.2">
      <c r="C163" s="13" t="s">
        <v>241</v>
      </c>
      <c r="D163" s="13"/>
      <c r="E163" s="83">
        <f t="shared" si="2"/>
        <v>0</v>
      </c>
      <c r="G163" s="79"/>
    </row>
    <row r="164" spans="1:9" x14ac:dyDescent="0.2">
      <c r="C164" s="13" t="s">
        <v>54</v>
      </c>
      <c r="D164" s="13"/>
      <c r="E164" s="83">
        <f t="shared" si="2"/>
        <v>0</v>
      </c>
      <c r="G164" s="79"/>
    </row>
    <row r="165" spans="1:9" x14ac:dyDescent="0.2">
      <c r="C165" s="651" t="s">
        <v>850</v>
      </c>
      <c r="D165" s="13"/>
      <c r="E165" s="83">
        <f t="shared" si="2"/>
        <v>0</v>
      </c>
      <c r="G165" s="79"/>
    </row>
    <row r="166" spans="1:9" x14ac:dyDescent="0.2">
      <c r="C166" s="13" t="s">
        <v>57</v>
      </c>
      <c r="D166" s="13"/>
      <c r="E166" s="83">
        <f t="shared" si="2"/>
        <v>0</v>
      </c>
      <c r="G166" s="79"/>
    </row>
    <row r="167" spans="1:9" x14ac:dyDescent="0.2">
      <c r="C167" s="13" t="s">
        <v>58</v>
      </c>
      <c r="D167" s="13"/>
      <c r="E167" s="83">
        <f t="shared" si="2"/>
        <v>0</v>
      </c>
      <c r="G167" s="79"/>
    </row>
    <row r="168" spans="1:9" x14ac:dyDescent="0.2">
      <c r="C168" s="13" t="s">
        <v>826</v>
      </c>
      <c r="D168" s="13"/>
      <c r="E168" s="83">
        <f t="shared" si="2"/>
        <v>0</v>
      </c>
      <c r="G168" s="79"/>
    </row>
    <row r="169" spans="1:9" x14ac:dyDescent="0.2">
      <c r="C169" s="13" t="s">
        <v>827</v>
      </c>
      <c r="D169" s="13"/>
      <c r="E169" s="83">
        <f t="shared" si="2"/>
        <v>0</v>
      </c>
      <c r="G169" s="79"/>
    </row>
    <row r="170" spans="1:9" x14ac:dyDescent="0.2">
      <c r="C170" s="13" t="s">
        <v>824</v>
      </c>
      <c r="D170" s="13"/>
      <c r="E170" s="83">
        <f t="shared" si="2"/>
        <v>0</v>
      </c>
      <c r="G170" s="79"/>
    </row>
    <row r="171" spans="1:9" x14ac:dyDescent="0.2">
      <c r="C171" s="13" t="s">
        <v>609</v>
      </c>
      <c r="D171" s="13"/>
      <c r="E171" s="83">
        <f t="shared" si="2"/>
        <v>0</v>
      </c>
      <c r="G171" s="79"/>
      <c r="I171" s="6" t="s">
        <v>1046</v>
      </c>
    </row>
    <row r="172" spans="1:9" s="727" customFormat="1" x14ac:dyDescent="0.2">
      <c r="A172" s="726"/>
      <c r="C172" s="699" t="s">
        <v>2069</v>
      </c>
      <c r="D172" s="728"/>
      <c r="E172" s="729">
        <f t="shared" si="2"/>
        <v>0</v>
      </c>
      <c r="G172" s="79"/>
      <c r="I172" s="6"/>
    </row>
    <row r="173" spans="1:9" s="727" customFormat="1" ht="38.25" x14ac:dyDescent="0.2">
      <c r="A173" s="726"/>
      <c r="C173" s="1056" t="s">
        <v>4019</v>
      </c>
      <c r="D173" s="728"/>
      <c r="E173" s="729">
        <f t="shared" si="2"/>
        <v>0</v>
      </c>
      <c r="G173" s="79"/>
      <c r="I173" s="6"/>
    </row>
    <row r="174" spans="1:9" s="727" customFormat="1" ht="25.5" x14ac:dyDescent="0.2">
      <c r="A174" s="726"/>
      <c r="C174" s="1056" t="s">
        <v>4026</v>
      </c>
      <c r="D174" s="728"/>
      <c r="E174" s="729">
        <f t="shared" si="2"/>
        <v>0</v>
      </c>
      <c r="G174" s="79"/>
      <c r="I174" s="6"/>
    </row>
    <row r="175" spans="1:9" s="727" customFormat="1" x14ac:dyDescent="0.2">
      <c r="A175" s="726"/>
      <c r="C175" s="699" t="s">
        <v>4027</v>
      </c>
      <c r="D175" s="728"/>
      <c r="E175" s="729">
        <f t="shared" si="2"/>
        <v>0</v>
      </c>
      <c r="G175" s="79"/>
      <c r="I175" s="6"/>
    </row>
    <row r="176" spans="1:9" s="727" customFormat="1" ht="27" customHeight="1" x14ac:dyDescent="0.2">
      <c r="A176" s="726"/>
      <c r="C176" s="744" t="s">
        <v>4029</v>
      </c>
      <c r="D176" s="728"/>
      <c r="E176" s="729">
        <f t="shared" si="2"/>
        <v>0</v>
      </c>
      <c r="G176" s="79"/>
      <c r="I176" s="6"/>
    </row>
    <row r="177" spans="1:9" s="1049" customFormat="1" x14ac:dyDescent="0.2">
      <c r="A177" s="1048"/>
      <c r="C177" s="699" t="s">
        <v>3988</v>
      </c>
      <c r="D177" s="1051"/>
      <c r="E177" s="1052">
        <f t="shared" si="2"/>
        <v>0</v>
      </c>
      <c r="G177" s="79"/>
      <c r="I177" s="6"/>
    </row>
    <row r="178" spans="1:9" s="1137" customFormat="1" ht="25.5" x14ac:dyDescent="0.2">
      <c r="A178" s="1136"/>
      <c r="C178" s="1141" t="s">
        <v>4025</v>
      </c>
      <c r="D178" s="1138"/>
      <c r="E178" s="1139">
        <f t="shared" si="2"/>
        <v>0</v>
      </c>
      <c r="G178" s="79"/>
      <c r="I178" s="6"/>
    </row>
    <row r="179" spans="1:9" s="1137" customFormat="1" x14ac:dyDescent="0.2">
      <c r="A179" s="1136"/>
      <c r="C179" s="699" t="s">
        <v>4028</v>
      </c>
      <c r="D179" s="1138"/>
      <c r="E179" s="1139">
        <f t="shared" si="2"/>
        <v>0</v>
      </c>
      <c r="G179" s="79"/>
      <c r="I179" s="6"/>
    </row>
    <row r="180" spans="1:9" x14ac:dyDescent="0.2">
      <c r="C180" s="13" t="s">
        <v>610</v>
      </c>
      <c r="D180" s="13"/>
      <c r="E180" s="79"/>
      <c r="G180" s="83">
        <f t="shared" ref="G180:G195" si="3">G96</f>
        <v>0</v>
      </c>
    </row>
    <row r="181" spans="1:9" x14ac:dyDescent="0.2">
      <c r="C181" s="13" t="s">
        <v>611</v>
      </c>
      <c r="D181" s="13"/>
      <c r="E181" s="79"/>
      <c r="G181" s="83">
        <f t="shared" si="3"/>
        <v>0</v>
      </c>
    </row>
    <row r="182" spans="1:9" x14ac:dyDescent="0.2">
      <c r="C182" s="13" t="s">
        <v>612</v>
      </c>
      <c r="D182" s="13"/>
      <c r="E182" s="79"/>
      <c r="G182" s="83">
        <f t="shared" si="3"/>
        <v>0</v>
      </c>
    </row>
    <row r="183" spans="1:9" x14ac:dyDescent="0.2">
      <c r="C183" s="13" t="s">
        <v>613</v>
      </c>
      <c r="D183" s="13"/>
      <c r="E183" s="79"/>
      <c r="G183" s="83">
        <f t="shared" si="3"/>
        <v>0</v>
      </c>
    </row>
    <row r="184" spans="1:9" x14ac:dyDescent="0.2">
      <c r="C184" s="331" t="s">
        <v>59</v>
      </c>
      <c r="D184" s="13"/>
      <c r="E184" s="79"/>
      <c r="G184" s="83">
        <f t="shared" si="3"/>
        <v>0</v>
      </c>
    </row>
    <row r="185" spans="1:9" x14ac:dyDescent="0.2">
      <c r="C185" s="331" t="s">
        <v>849</v>
      </c>
      <c r="D185" s="13"/>
      <c r="E185" s="79"/>
      <c r="G185" s="83">
        <f t="shared" si="3"/>
        <v>0</v>
      </c>
    </row>
    <row r="186" spans="1:9" x14ac:dyDescent="0.2">
      <c r="C186" s="13" t="s">
        <v>419</v>
      </c>
      <c r="D186" s="13"/>
      <c r="E186" s="79"/>
      <c r="G186" s="83">
        <f t="shared" si="3"/>
        <v>0</v>
      </c>
    </row>
    <row r="187" spans="1:9" x14ac:dyDescent="0.2">
      <c r="C187" s="13" t="s">
        <v>938</v>
      </c>
      <c r="D187" s="13"/>
      <c r="E187" s="79"/>
      <c r="G187" s="83">
        <f t="shared" si="3"/>
        <v>0</v>
      </c>
    </row>
    <row r="188" spans="1:9" x14ac:dyDescent="0.2">
      <c r="C188" s="1157" t="s">
        <v>4082</v>
      </c>
      <c r="D188" s="13"/>
      <c r="E188" s="79"/>
      <c r="G188" s="83">
        <f t="shared" si="3"/>
        <v>0</v>
      </c>
    </row>
    <row r="189" spans="1:9" x14ac:dyDescent="0.2">
      <c r="C189" s="13" t="s">
        <v>483</v>
      </c>
      <c r="D189" s="13"/>
      <c r="E189" s="79"/>
      <c r="G189" s="83">
        <f t="shared" si="3"/>
        <v>0</v>
      </c>
    </row>
    <row r="190" spans="1:9" s="727" customFormat="1" ht="51" x14ac:dyDescent="0.2">
      <c r="A190" s="726"/>
      <c r="C190" s="742" t="s">
        <v>4019</v>
      </c>
      <c r="D190" s="728"/>
      <c r="E190" s="79"/>
      <c r="G190" s="729">
        <f t="shared" si="3"/>
        <v>0</v>
      </c>
    </row>
    <row r="191" spans="1:9" s="727" customFormat="1" ht="25.5" x14ac:dyDescent="0.2">
      <c r="A191" s="726"/>
      <c r="C191" s="742" t="s">
        <v>4026</v>
      </c>
      <c r="D191" s="728"/>
      <c r="E191" s="79"/>
      <c r="G191" s="729">
        <f t="shared" si="3"/>
        <v>0</v>
      </c>
    </row>
    <row r="192" spans="1:9" s="727" customFormat="1" x14ac:dyDescent="0.2">
      <c r="A192" s="726"/>
      <c r="C192" s="743" t="s">
        <v>4027</v>
      </c>
      <c r="D192" s="728"/>
      <c r="E192" s="79"/>
      <c r="G192" s="729">
        <f t="shared" si="3"/>
        <v>0</v>
      </c>
    </row>
    <row r="193" spans="1:9" s="727" customFormat="1" ht="38.25" x14ac:dyDescent="0.2">
      <c r="A193" s="726"/>
      <c r="C193" s="742" t="s">
        <v>4029</v>
      </c>
      <c r="D193" s="728"/>
      <c r="E193" s="79"/>
      <c r="G193" s="729">
        <f t="shared" si="3"/>
        <v>0</v>
      </c>
    </row>
    <row r="194" spans="1:9" s="1137" customFormat="1" ht="25.5" x14ac:dyDescent="0.2">
      <c r="A194" s="1136"/>
      <c r="C194" s="742" t="s">
        <v>4035</v>
      </c>
      <c r="D194" s="1138"/>
      <c r="E194" s="79"/>
      <c r="G194" s="1139">
        <f t="shared" si="3"/>
        <v>0</v>
      </c>
    </row>
    <row r="195" spans="1:9" s="1137" customFormat="1" x14ac:dyDescent="0.2">
      <c r="A195" s="1136"/>
      <c r="C195" s="743" t="s">
        <v>4034</v>
      </c>
      <c r="D195" s="1138"/>
      <c r="E195" s="79"/>
      <c r="G195" s="1139">
        <f t="shared" si="3"/>
        <v>0</v>
      </c>
    </row>
    <row r="196" spans="1:9" x14ac:dyDescent="0.2">
      <c r="C196" s="13" t="s">
        <v>485</v>
      </c>
      <c r="D196" s="13"/>
      <c r="E196" s="78"/>
      <c r="G196" s="78">
        <f>G112+G134</f>
        <v>0</v>
      </c>
    </row>
    <row r="197" spans="1:9" s="13" customFormat="1" ht="6" customHeight="1" x14ac:dyDescent="0.2">
      <c r="A197" s="147"/>
      <c r="E197" s="79"/>
      <c r="F197"/>
      <c r="G197" s="79"/>
      <c r="H197"/>
      <c r="I197"/>
    </row>
    <row r="198" spans="1:9" s="13" customFormat="1" x14ac:dyDescent="0.2">
      <c r="A198" s="147"/>
      <c r="C198" s="13" t="s">
        <v>421</v>
      </c>
      <c r="E198" s="79"/>
      <c r="F198"/>
      <c r="G198" s="78">
        <f>G115</f>
        <v>0</v>
      </c>
      <c r="H198"/>
      <c r="I198"/>
    </row>
    <row r="199" spans="1:9" s="13" customFormat="1" x14ac:dyDescent="0.2">
      <c r="A199" s="147"/>
      <c r="C199" s="13" t="s">
        <v>614</v>
      </c>
      <c r="E199" s="79"/>
      <c r="F199"/>
      <c r="G199" s="78">
        <f>G119</f>
        <v>0</v>
      </c>
      <c r="H199"/>
    </row>
    <row r="200" spans="1:9" s="13" customFormat="1" x14ac:dyDescent="0.2">
      <c r="A200" s="147"/>
      <c r="C200" s="13" t="s">
        <v>615</v>
      </c>
      <c r="E200" s="78">
        <f>E120</f>
        <v>0</v>
      </c>
      <c r="F200"/>
      <c r="G200" s="79"/>
      <c r="H200"/>
      <c r="I200" s="6" t="s">
        <v>150</v>
      </c>
    </row>
    <row r="201" spans="1:9" s="13" customFormat="1" x14ac:dyDescent="0.2">
      <c r="A201" s="147"/>
      <c r="C201" s="13" t="s">
        <v>486</v>
      </c>
      <c r="E201" s="78">
        <f>E116</f>
        <v>0</v>
      </c>
      <c r="F201"/>
      <c r="G201" s="79"/>
      <c r="H201"/>
      <c r="I201"/>
    </row>
    <row r="202" spans="1:9" s="13" customFormat="1" x14ac:dyDescent="0.2">
      <c r="A202" s="147"/>
      <c r="C202" s="13" t="s">
        <v>148</v>
      </c>
      <c r="E202" s="78"/>
      <c r="F202"/>
      <c r="G202" s="78">
        <f>G118</f>
        <v>0</v>
      </c>
      <c r="H202"/>
      <c r="I202"/>
    </row>
    <row r="203" spans="1:9" s="13" customFormat="1" x14ac:dyDescent="0.2">
      <c r="A203" s="147"/>
      <c r="C203" s="13" t="s">
        <v>149</v>
      </c>
      <c r="E203" s="78">
        <f>E117</f>
        <v>0</v>
      </c>
      <c r="F203"/>
      <c r="G203" s="79"/>
      <c r="H203"/>
      <c r="I203"/>
    </row>
    <row r="204" spans="1:9" ht="6" customHeight="1" x14ac:dyDescent="0.2">
      <c r="C204" s="13"/>
      <c r="D204" s="13"/>
      <c r="E204" s="79"/>
      <c r="G204" s="79"/>
    </row>
    <row r="205" spans="1:9" x14ac:dyDescent="0.2">
      <c r="C205" s="167" t="s">
        <v>616</v>
      </c>
      <c r="D205" s="167"/>
      <c r="E205" s="78"/>
      <c r="G205" s="78">
        <f>E142</f>
        <v>0</v>
      </c>
    </row>
    <row r="206" spans="1:9" x14ac:dyDescent="0.2">
      <c r="C206" s="167" t="s">
        <v>617</v>
      </c>
      <c r="D206" s="167"/>
      <c r="E206" s="78"/>
      <c r="G206" s="78">
        <f t="shared" ref="G206:G213" si="4">E143</f>
        <v>0</v>
      </c>
    </row>
    <row r="207" spans="1:9" x14ac:dyDescent="0.2">
      <c r="C207" s="167" t="s">
        <v>618</v>
      </c>
      <c r="D207" s="167"/>
      <c r="E207" s="78"/>
      <c r="G207" s="78">
        <f t="shared" si="4"/>
        <v>0</v>
      </c>
    </row>
    <row r="208" spans="1:9" x14ac:dyDescent="0.2">
      <c r="C208" t="s">
        <v>1045</v>
      </c>
      <c r="E208" s="78"/>
      <c r="G208" s="78">
        <f t="shared" si="4"/>
        <v>0</v>
      </c>
    </row>
    <row r="209" spans="1:9" x14ac:dyDescent="0.2">
      <c r="C209" s="167" t="s">
        <v>619</v>
      </c>
      <c r="D209" s="167"/>
      <c r="E209" s="78"/>
      <c r="G209" s="78">
        <f t="shared" si="4"/>
        <v>0</v>
      </c>
      <c r="I209" s="6" t="s">
        <v>151</v>
      </c>
    </row>
    <row r="210" spans="1:9" x14ac:dyDescent="0.2">
      <c r="C210" s="167" t="s">
        <v>309</v>
      </c>
      <c r="D210" s="167"/>
      <c r="E210" s="78"/>
      <c r="G210" s="78">
        <f t="shared" si="4"/>
        <v>0</v>
      </c>
    </row>
    <row r="211" spans="1:9" x14ac:dyDescent="0.2">
      <c r="C211" s="167" t="s">
        <v>620</v>
      </c>
      <c r="D211" s="167"/>
      <c r="E211" s="78"/>
      <c r="G211" s="78">
        <f t="shared" si="4"/>
        <v>0</v>
      </c>
    </row>
    <row r="212" spans="1:9" x14ac:dyDescent="0.2">
      <c r="C212" s="167" t="s">
        <v>174</v>
      </c>
      <c r="D212" s="167"/>
      <c r="E212" s="78"/>
      <c r="G212" s="78">
        <f t="shared" si="4"/>
        <v>0</v>
      </c>
    </row>
    <row r="213" spans="1:9" x14ac:dyDescent="0.2">
      <c r="C213" s="384" t="s">
        <v>740</v>
      </c>
      <c r="D213" s="167"/>
      <c r="E213" s="78"/>
      <c r="G213" s="78">
        <f t="shared" si="4"/>
        <v>0</v>
      </c>
    </row>
    <row r="214" spans="1:9" x14ac:dyDescent="0.2">
      <c r="A214" s="147"/>
      <c r="B214" s="13"/>
      <c r="C214" s="331" t="s">
        <v>725</v>
      </c>
      <c r="D214" s="331"/>
      <c r="E214" s="78"/>
      <c r="F214" s="13"/>
      <c r="G214" s="78">
        <f>G156+(G134*-1)</f>
        <v>0</v>
      </c>
      <c r="H214" s="13"/>
      <c r="I214" s="147"/>
    </row>
    <row r="215" spans="1:9" ht="6.75" customHeight="1" x14ac:dyDescent="0.2">
      <c r="C215" s="167"/>
      <c r="D215" s="167"/>
      <c r="E215" s="11"/>
      <c r="F215" s="1"/>
      <c r="G215" s="11"/>
      <c r="H215" s="14"/>
      <c r="I215" s="14"/>
    </row>
    <row r="216" spans="1:9" ht="13.5" thickBot="1" x14ac:dyDescent="0.25">
      <c r="C216" s="167"/>
      <c r="D216" s="167"/>
      <c r="E216" s="329">
        <f>SUM(E162:E214)</f>
        <v>0</v>
      </c>
      <c r="F216" s="1"/>
      <c r="G216" s="92">
        <f>SUM(G162:G214)</f>
        <v>0</v>
      </c>
    </row>
    <row r="217" spans="1:9" ht="18.75" customHeight="1" thickTop="1" x14ac:dyDescent="0.2">
      <c r="C217" s="167"/>
      <c r="D217" s="167"/>
      <c r="E217" s="11"/>
      <c r="F217" s="1"/>
      <c r="G217" s="11"/>
    </row>
    <row r="218" spans="1:9" x14ac:dyDescent="0.2">
      <c r="C218" s="1525" t="s">
        <v>621</v>
      </c>
      <c r="D218" s="1525"/>
      <c r="E218" t="s">
        <v>50</v>
      </c>
    </row>
    <row r="219" spans="1:9" x14ac:dyDescent="0.2">
      <c r="H219" s="14"/>
    </row>
    <row r="220" spans="1:9" x14ac:dyDescent="0.2">
      <c r="C220" t="s">
        <v>357</v>
      </c>
      <c r="E220" s="78">
        <f>G156+G131</f>
        <v>0</v>
      </c>
      <c r="G220" s="78"/>
    </row>
    <row r="221" spans="1:9" ht="12.75" customHeight="1" x14ac:dyDescent="0.2">
      <c r="C221" s="167" t="s">
        <v>622</v>
      </c>
      <c r="D221" s="167"/>
      <c r="E221" s="78"/>
      <c r="G221" s="78">
        <f>G152</f>
        <v>0</v>
      </c>
    </row>
    <row r="222" spans="1:9" ht="12.75" customHeight="1" x14ac:dyDescent="0.2">
      <c r="C222" s="167" t="s">
        <v>623</v>
      </c>
      <c r="D222" s="167"/>
      <c r="E222" s="78"/>
      <c r="G222" s="78">
        <f>G153</f>
        <v>0</v>
      </c>
      <c r="I222" s="1584" t="s">
        <v>650</v>
      </c>
    </row>
    <row r="223" spans="1:9" x14ac:dyDescent="0.2">
      <c r="C223" s="657" t="s">
        <v>647</v>
      </c>
      <c r="D223" s="167"/>
      <c r="E223" s="78"/>
      <c r="G223" s="78">
        <f>G154</f>
        <v>0</v>
      </c>
      <c r="I223" s="1584"/>
    </row>
    <row r="224" spans="1:9" x14ac:dyDescent="0.2">
      <c r="C224" s="384" t="s">
        <v>648</v>
      </c>
      <c r="D224" s="167"/>
      <c r="E224" s="78"/>
      <c r="G224" s="78">
        <f>G155</f>
        <v>0</v>
      </c>
    </row>
    <row r="225" spans="3:9" x14ac:dyDescent="0.2">
      <c r="C225" s="167" t="s">
        <v>746</v>
      </c>
      <c r="D225" s="167"/>
      <c r="E225" s="78"/>
      <c r="G225" s="78">
        <f>G131</f>
        <v>0</v>
      </c>
    </row>
    <row r="226" spans="3:9" ht="13.5" thickBot="1" x14ac:dyDescent="0.25">
      <c r="E226" s="80">
        <f>SUM(E220:E222)</f>
        <v>0</v>
      </c>
      <c r="G226" s="80">
        <f>SUM(G220:G225)</f>
        <v>0</v>
      </c>
    </row>
    <row r="227" spans="3:9" ht="13.5" thickTop="1" x14ac:dyDescent="0.2">
      <c r="I227" s="34"/>
    </row>
    <row r="228" spans="3:9" ht="12.75" customHeight="1" x14ac:dyDescent="0.2">
      <c r="C228" s="1387" t="s">
        <v>499</v>
      </c>
      <c r="D228" s="1387"/>
      <c r="E228" s="1387"/>
      <c r="F228" s="1387"/>
      <c r="G228" s="1387"/>
      <c r="H228" s="1387"/>
      <c r="I228" s="1387"/>
    </row>
    <row r="229" spans="3:9" x14ac:dyDescent="0.2">
      <c r="C229" s="1387"/>
      <c r="D229" s="1387"/>
      <c r="E229" s="1387"/>
      <c r="F229" s="1387"/>
      <c r="G229" s="1387"/>
      <c r="H229" s="1387"/>
      <c r="I229" s="1387"/>
    </row>
  </sheetData>
  <sheetProtection algorithmName="SHA-512" hashValue="Fh1ov1Nb0c7KPZ7JS/mkMTFzE/VXOZeasMhDpqyZ8AvrZn+v0hKyyPRMn51bUzAzN1zcmlt41nzcC2Xq4sLdyw==" saltValue="6jm+wzJn2iFDIyVB8rJhRA==" spinCount="100000" sheet="1" objects="1" scenarios="1"/>
  <mergeCells count="26">
    <mergeCell ref="C34:I34"/>
    <mergeCell ref="B73:I74"/>
    <mergeCell ref="B128:I129"/>
    <mergeCell ref="C1:I1"/>
    <mergeCell ref="C39:G39"/>
    <mergeCell ref="B2:I3"/>
    <mergeCell ref="C15:I16"/>
    <mergeCell ref="C24:I25"/>
    <mergeCell ref="C27:I27"/>
    <mergeCell ref="C31:I32"/>
    <mergeCell ref="C70:D70"/>
    <mergeCell ref="B36:I37"/>
    <mergeCell ref="C28:I29"/>
    <mergeCell ref="C228:I229"/>
    <mergeCell ref="C134:E135"/>
    <mergeCell ref="G134:G135"/>
    <mergeCell ref="G69:I70"/>
    <mergeCell ref="C122:C123"/>
    <mergeCell ref="D122:D123"/>
    <mergeCell ref="C218:D218"/>
    <mergeCell ref="B158:I158"/>
    <mergeCell ref="B137:I138"/>
    <mergeCell ref="C131:E132"/>
    <mergeCell ref="G131:G132"/>
    <mergeCell ref="I222:I223"/>
    <mergeCell ref="I151:I155"/>
  </mergeCells>
  <phoneticPr fontId="17" type="noConversion"/>
  <printOptions horizontalCentered="1"/>
  <pageMargins left="0.39" right="0.4" top="0.66" bottom="0.5" header="0.5" footer="0.5"/>
  <pageSetup scale="69" orientation="portrait" r:id="rId1"/>
  <headerFooter alignWithMargins="0">
    <oddHeader>&amp;REntry K.1</oddHeader>
    <oddFooter>&amp;L&amp;8&amp;D - County model&amp;R&amp;P</oddFooter>
  </headerFooter>
  <rowBreaks count="2" manualBreakCount="2">
    <brk id="72" max="8" man="1"/>
    <brk id="156" max="8" man="1"/>
  </row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224"/>
  <sheetViews>
    <sheetView zoomScaleNormal="100" workbookViewId="0">
      <selection activeCell="E46" sqref="E46"/>
    </sheetView>
  </sheetViews>
  <sheetFormatPr defaultRowHeight="12.75" x14ac:dyDescent="0.2"/>
  <cols>
    <col min="1" max="1" width="3.42578125" style="4" customWidth="1"/>
    <col min="2" max="2" width="2.28515625" customWidth="1"/>
    <col min="3" max="3" width="36.7109375" customWidth="1"/>
    <col min="4" max="4" width="11.42578125" customWidth="1"/>
    <col min="5" max="5" width="15.7109375" customWidth="1"/>
    <col min="6" max="6" width="3.42578125" customWidth="1"/>
    <col min="7" max="7" width="15.7109375" customWidth="1"/>
    <col min="8" max="8" width="2.7109375" customWidth="1"/>
    <col min="9" max="9" width="36" customWidth="1"/>
    <col min="10" max="10" width="3.42578125" customWidth="1"/>
    <col min="11" max="13" width="15.7109375" customWidth="1"/>
  </cols>
  <sheetData>
    <row r="1" spans="1:10" s="160" customFormat="1" ht="15" x14ac:dyDescent="0.25">
      <c r="A1" s="194"/>
      <c r="C1" s="1605"/>
      <c r="D1" s="1605"/>
      <c r="E1" s="1606"/>
      <c r="F1" s="1606"/>
      <c r="G1" s="1606"/>
      <c r="H1" s="1606"/>
      <c r="I1" s="1606"/>
    </row>
    <row r="2" spans="1:10" s="160" customFormat="1" ht="15" customHeight="1" x14ac:dyDescent="0.25">
      <c r="A2" s="194"/>
      <c r="B2" s="1596" t="s">
        <v>110</v>
      </c>
      <c r="C2" s="1597"/>
      <c r="D2" s="1597"/>
      <c r="E2" s="1597"/>
      <c r="F2" s="1597"/>
      <c r="G2" s="1597"/>
      <c r="H2" s="1597"/>
      <c r="I2" s="1598"/>
    </row>
    <row r="3" spans="1:10" s="160" customFormat="1" ht="24" customHeight="1" x14ac:dyDescent="0.25">
      <c r="A3" s="194"/>
      <c r="B3" s="1599"/>
      <c r="C3" s="1600"/>
      <c r="D3" s="1600"/>
      <c r="E3" s="1600"/>
      <c r="F3" s="1600"/>
      <c r="G3" s="1600"/>
      <c r="H3" s="1600"/>
      <c r="I3" s="1601"/>
    </row>
    <row r="4" spans="1:10" ht="6" customHeight="1" x14ac:dyDescent="0.2">
      <c r="B4" s="1607"/>
      <c r="C4" s="1607"/>
      <c r="D4" s="1607"/>
      <c r="E4" s="1607"/>
      <c r="F4" s="1607"/>
      <c r="G4" s="1607"/>
      <c r="H4" s="1607"/>
      <c r="I4" s="1607"/>
    </row>
    <row r="5" spans="1:10" ht="12.75" customHeight="1" x14ac:dyDescent="0.2">
      <c r="C5" s="161"/>
      <c r="D5" s="161"/>
      <c r="E5" s="162"/>
      <c r="F5" s="162"/>
      <c r="G5" s="162"/>
      <c r="H5" s="162"/>
      <c r="I5" s="162"/>
    </row>
    <row r="6" spans="1:10" ht="12.75" customHeight="1" x14ac:dyDescent="0.2">
      <c r="C6" s="161"/>
      <c r="D6" s="161"/>
      <c r="E6" s="162"/>
      <c r="F6" s="162"/>
      <c r="G6" s="162"/>
      <c r="H6" s="162"/>
      <c r="I6" s="162"/>
    </row>
    <row r="7" spans="1:10" ht="12.75" customHeight="1" x14ac:dyDescent="0.2">
      <c r="C7" s="161"/>
      <c r="D7" s="161"/>
      <c r="E7" s="162"/>
      <c r="F7" s="162"/>
      <c r="G7" s="162"/>
      <c r="H7" s="162"/>
      <c r="I7" s="162"/>
    </row>
    <row r="8" spans="1:10" ht="12.75" customHeight="1" x14ac:dyDescent="0.2">
      <c r="C8" s="161"/>
      <c r="D8" s="161"/>
      <c r="E8" s="162"/>
      <c r="F8" s="162"/>
      <c r="G8" s="162"/>
      <c r="H8" s="162"/>
      <c r="I8" s="162"/>
    </row>
    <row r="9" spans="1:10" ht="12.75" customHeight="1" x14ac:dyDescent="0.2">
      <c r="C9" s="161"/>
      <c r="D9" s="161"/>
      <c r="E9" s="162"/>
      <c r="F9" s="162"/>
      <c r="G9" s="162"/>
      <c r="H9" s="162"/>
      <c r="I9" s="162"/>
    </row>
    <row r="10" spans="1:10" ht="12.75" customHeight="1" x14ac:dyDescent="0.2">
      <c r="C10" s="161"/>
      <c r="D10" s="161"/>
      <c r="E10" s="162"/>
      <c r="F10" s="162"/>
      <c r="G10" s="162"/>
      <c r="H10" s="162"/>
      <c r="I10" s="162"/>
    </row>
    <row r="11" spans="1:10" ht="12.75" customHeight="1" x14ac:dyDescent="0.2">
      <c r="C11" s="161"/>
      <c r="D11" s="161"/>
      <c r="E11" s="162"/>
      <c r="F11" s="162"/>
      <c r="G11" s="162"/>
      <c r="H11" s="162"/>
      <c r="I11" s="162"/>
    </row>
    <row r="12" spans="1:10" ht="12.75" customHeight="1" x14ac:dyDescent="0.2">
      <c r="C12" s="161"/>
      <c r="D12" s="161"/>
      <c r="E12" s="162"/>
      <c r="F12" s="162"/>
      <c r="G12" s="162"/>
      <c r="H12" s="162"/>
      <c r="I12" s="162"/>
    </row>
    <row r="13" spans="1:10" ht="12.75" customHeight="1" x14ac:dyDescent="0.2">
      <c r="C13" s="161"/>
      <c r="D13" s="161"/>
      <c r="E13" s="162"/>
      <c r="F13" s="162"/>
      <c r="G13" s="162"/>
      <c r="H13" s="162"/>
      <c r="I13" s="162"/>
    </row>
    <row r="14" spans="1:10" ht="12" customHeight="1" x14ac:dyDescent="0.2">
      <c r="B14" s="39" t="s">
        <v>521</v>
      </c>
      <c r="C14" s="1602" t="s">
        <v>724</v>
      </c>
      <c r="D14" s="1602"/>
      <c r="E14" s="1602"/>
      <c r="F14" s="1602"/>
      <c r="G14" s="1602"/>
      <c r="H14" s="1602"/>
      <c r="I14" s="1602"/>
      <c r="J14" s="195"/>
    </row>
    <row r="15" spans="1:10" ht="26.25" customHeight="1" x14ac:dyDescent="0.2">
      <c r="C15" s="1602"/>
      <c r="D15" s="1602"/>
      <c r="E15" s="1602"/>
      <c r="F15" s="1602"/>
      <c r="G15" s="1602"/>
      <c r="H15" s="1602"/>
      <c r="I15" s="1602"/>
      <c r="J15" s="195"/>
    </row>
    <row r="16" spans="1:10" ht="4.5" customHeight="1" x14ac:dyDescent="0.2"/>
    <row r="17" spans="1:9" ht="12.75" customHeight="1" x14ac:dyDescent="0.2">
      <c r="B17" s="39" t="s">
        <v>522</v>
      </c>
      <c r="C17" s="1602" t="s">
        <v>1158</v>
      </c>
      <c r="D17" s="1602"/>
      <c r="E17" s="1602"/>
      <c r="F17" s="1602"/>
      <c r="G17" s="1602"/>
      <c r="H17" s="1602"/>
      <c r="I17" s="1602"/>
    </row>
    <row r="18" spans="1:9" ht="49.5" customHeight="1" x14ac:dyDescent="0.2">
      <c r="C18" s="1602"/>
      <c r="D18" s="1602"/>
      <c r="E18" s="1602"/>
      <c r="F18" s="1602"/>
      <c r="G18" s="1602"/>
      <c r="H18" s="1602"/>
      <c r="I18" s="1602"/>
    </row>
    <row r="19" spans="1:9" ht="4.5" customHeight="1" x14ac:dyDescent="0.2"/>
    <row r="20" spans="1:9" ht="12" customHeight="1" x14ac:dyDescent="0.2">
      <c r="B20" s="39" t="s">
        <v>523</v>
      </c>
      <c r="C20" s="1468" t="s">
        <v>1097</v>
      </c>
      <c r="D20" s="1392"/>
      <c r="E20" s="1392"/>
      <c r="F20" s="1392"/>
      <c r="G20" s="1392"/>
      <c r="H20" s="1392"/>
      <c r="I20" s="1392"/>
    </row>
    <row r="21" spans="1:9" ht="12.75" hidden="1" customHeight="1" x14ac:dyDescent="0.2">
      <c r="C21" s="1392"/>
      <c r="D21" s="1392"/>
      <c r="E21" s="1392"/>
      <c r="F21" s="1392"/>
      <c r="G21" s="1392"/>
      <c r="H21" s="1392"/>
      <c r="I21" s="1392"/>
    </row>
    <row r="22" spans="1:9" ht="4.5" customHeight="1" x14ac:dyDescent="0.2"/>
    <row r="23" spans="1:9" ht="12.75" hidden="1" customHeight="1" x14ac:dyDescent="0.2">
      <c r="B23" s="39"/>
      <c r="C23" s="1392"/>
      <c r="D23" s="1392"/>
      <c r="E23" s="1392"/>
      <c r="F23" s="1392"/>
      <c r="G23" s="1392"/>
      <c r="H23" s="1392"/>
      <c r="I23" s="1392"/>
    </row>
    <row r="24" spans="1:9" ht="12.75" customHeight="1" x14ac:dyDescent="0.2">
      <c r="B24" s="39" t="s">
        <v>549</v>
      </c>
      <c r="C24" s="1468" t="s">
        <v>1159</v>
      </c>
      <c r="D24" s="1387"/>
      <c r="E24" s="1387"/>
      <c r="F24" s="1387"/>
      <c r="G24" s="1387"/>
      <c r="H24" s="1387"/>
      <c r="I24" s="1387"/>
    </row>
    <row r="25" spans="1:9" ht="12.75" customHeight="1" x14ac:dyDescent="0.2">
      <c r="B25" s="39"/>
      <c r="C25" s="1387"/>
      <c r="D25" s="1387"/>
      <c r="E25" s="1387"/>
      <c r="F25" s="1387"/>
      <c r="G25" s="1387"/>
      <c r="H25" s="1387"/>
      <c r="I25" s="1387"/>
    </row>
    <row r="26" spans="1:9" ht="4.5" customHeight="1" x14ac:dyDescent="0.2">
      <c r="B26" s="39"/>
    </row>
    <row r="27" spans="1:9" ht="12.75" customHeight="1" x14ac:dyDescent="0.2">
      <c r="B27" s="39" t="s">
        <v>550</v>
      </c>
      <c r="C27" s="1602" t="s">
        <v>793</v>
      </c>
      <c r="D27" s="1602"/>
      <c r="E27" s="1602"/>
      <c r="F27" s="1602"/>
      <c r="G27" s="1602"/>
      <c r="H27" s="1602"/>
      <c r="I27" s="1602"/>
    </row>
    <row r="28" spans="1:9" ht="26.25" customHeight="1" x14ac:dyDescent="0.2">
      <c r="B28" s="39"/>
      <c r="C28" s="1602"/>
      <c r="D28" s="1602"/>
      <c r="E28" s="1602"/>
      <c r="F28" s="1602"/>
      <c r="G28" s="1602"/>
      <c r="H28" s="1602"/>
      <c r="I28" s="1602"/>
    </row>
    <row r="29" spans="1:9" ht="15.75" customHeight="1" thickBot="1" x14ac:dyDescent="0.25"/>
    <row r="30" spans="1:9" ht="31.5" customHeight="1" thickTop="1" thickBot="1" x14ac:dyDescent="0.3">
      <c r="C30" s="1585" t="s">
        <v>493</v>
      </c>
      <c r="D30" s="1586"/>
      <c r="E30" s="1586"/>
      <c r="F30" s="1586"/>
      <c r="G30" s="1586"/>
      <c r="H30" s="1586"/>
      <c r="I30" s="1587"/>
    </row>
    <row r="31" spans="1:9" ht="19.5" customHeight="1" thickTop="1" x14ac:dyDescent="0.2"/>
    <row r="32" spans="1:9" ht="17.25" customHeight="1" x14ac:dyDescent="0.2">
      <c r="A32" s="4" t="s">
        <v>547</v>
      </c>
      <c r="B32" s="1578" t="s">
        <v>869</v>
      </c>
      <c r="C32" s="1579"/>
      <c r="D32" s="1579"/>
      <c r="E32" s="1579"/>
      <c r="F32" s="1579"/>
      <c r="G32" s="1579"/>
      <c r="H32" s="1579"/>
      <c r="I32" s="1580"/>
    </row>
    <row r="33" spans="2:13" ht="22.5" customHeight="1" x14ac:dyDescent="0.2">
      <c r="B33" s="1581"/>
      <c r="C33" s="1582"/>
      <c r="D33" s="1582"/>
      <c r="E33" s="1582"/>
      <c r="F33" s="1582"/>
      <c r="G33" s="1582"/>
      <c r="H33" s="1582"/>
      <c r="I33" s="1583"/>
    </row>
    <row r="34" spans="2:13" ht="24" customHeight="1" x14ac:dyDescent="0.2">
      <c r="C34" s="163"/>
      <c r="D34" s="163"/>
      <c r="E34" s="11"/>
      <c r="F34" s="11"/>
      <c r="G34" s="11"/>
      <c r="H34" s="11"/>
      <c r="I34" s="164"/>
    </row>
    <row r="35" spans="2:13" x14ac:dyDescent="0.2">
      <c r="C35" s="1595" t="s">
        <v>14</v>
      </c>
      <c r="D35" s="1595"/>
      <c r="E35" s="1595"/>
      <c r="F35" s="1595"/>
      <c r="G35" s="1595"/>
      <c r="H35" s="57"/>
      <c r="I35" s="57"/>
      <c r="J35" s="57"/>
      <c r="K35" s="57"/>
      <c r="L35" s="57"/>
      <c r="M35" s="57"/>
    </row>
    <row r="36" spans="2:13" x14ac:dyDescent="0.2">
      <c r="C36" s="4"/>
      <c r="D36" s="4"/>
      <c r="E36" s="109" t="s">
        <v>15</v>
      </c>
      <c r="F36" s="158"/>
      <c r="G36" s="165" t="s">
        <v>16</v>
      </c>
      <c r="H36" s="166"/>
    </row>
    <row r="37" spans="2:13" x14ac:dyDescent="0.2">
      <c r="C37" s="121" t="s">
        <v>17</v>
      </c>
      <c r="D37" s="121"/>
      <c r="E37" s="1"/>
      <c r="F37" s="11"/>
      <c r="G37" s="164"/>
      <c r="H37" s="164"/>
    </row>
    <row r="38" spans="2:13" x14ac:dyDescent="0.2">
      <c r="C38" s="167" t="s">
        <v>18</v>
      </c>
      <c r="D38" s="167"/>
      <c r="E38" s="1"/>
      <c r="F38" s="11"/>
      <c r="G38" s="164"/>
      <c r="H38" s="164"/>
    </row>
    <row r="39" spans="2:13" x14ac:dyDescent="0.2">
      <c r="C39" s="168" t="s">
        <v>191</v>
      </c>
      <c r="D39" s="168"/>
      <c r="E39" s="364">
        <v>0</v>
      </c>
      <c r="F39" s="11"/>
      <c r="G39" s="638">
        <f t="shared" ref="G39:G49" si="0">IF(E$59=0,0,ROUND(E39/E$59,4))</f>
        <v>0</v>
      </c>
      <c r="H39" s="164"/>
    </row>
    <row r="40" spans="2:13" x14ac:dyDescent="0.2">
      <c r="C40" s="168" t="s">
        <v>1038</v>
      </c>
      <c r="D40" s="168"/>
      <c r="E40" s="349">
        <v>0</v>
      </c>
      <c r="F40" s="11"/>
      <c r="G40" s="638">
        <f t="shared" si="0"/>
        <v>0</v>
      </c>
      <c r="H40" s="164"/>
    </row>
    <row r="41" spans="2:13" x14ac:dyDescent="0.2">
      <c r="C41" s="168" t="s">
        <v>1010</v>
      </c>
      <c r="D41" s="168"/>
      <c r="E41" s="349">
        <v>0</v>
      </c>
      <c r="F41" s="11"/>
      <c r="G41" s="638">
        <f t="shared" si="0"/>
        <v>0</v>
      </c>
      <c r="H41" s="164"/>
    </row>
    <row r="42" spans="2:13" x14ac:dyDescent="0.2">
      <c r="C42" s="168" t="s">
        <v>831</v>
      </c>
      <c r="D42" s="168"/>
      <c r="E42" s="349">
        <v>0</v>
      </c>
      <c r="F42" s="11"/>
      <c r="G42" s="638">
        <f t="shared" si="0"/>
        <v>0</v>
      </c>
      <c r="H42" s="164"/>
    </row>
    <row r="43" spans="2:13" x14ac:dyDescent="0.2">
      <c r="C43" s="168" t="s">
        <v>820</v>
      </c>
      <c r="D43" s="168"/>
      <c r="E43" s="349">
        <v>0</v>
      </c>
      <c r="F43" s="11"/>
      <c r="G43" s="638">
        <f t="shared" si="0"/>
        <v>0</v>
      </c>
      <c r="H43" s="164"/>
    </row>
    <row r="44" spans="2:13" x14ac:dyDescent="0.2">
      <c r="C44" s="168" t="s">
        <v>309</v>
      </c>
      <c r="D44" s="168"/>
      <c r="E44" s="349">
        <v>0</v>
      </c>
      <c r="F44" s="11"/>
      <c r="G44" s="638">
        <f t="shared" si="0"/>
        <v>0</v>
      </c>
      <c r="H44" s="164"/>
    </row>
    <row r="45" spans="2:13" x14ac:dyDescent="0.2">
      <c r="C45" s="168" t="s">
        <v>19</v>
      </c>
      <c r="D45" s="168"/>
      <c r="E45" s="349">
        <v>0</v>
      </c>
      <c r="F45" s="11"/>
      <c r="G45" s="638">
        <f t="shared" si="0"/>
        <v>0</v>
      </c>
      <c r="H45" s="164"/>
    </row>
    <row r="46" spans="2:13" x14ac:dyDescent="0.2">
      <c r="C46" s="168" t="s">
        <v>174</v>
      </c>
      <c r="D46" s="168"/>
      <c r="E46" s="349">
        <v>0</v>
      </c>
      <c r="F46" s="11"/>
      <c r="G46" s="638">
        <f t="shared" si="0"/>
        <v>0</v>
      </c>
      <c r="H46" s="164"/>
    </row>
    <row r="47" spans="2:13" x14ac:dyDescent="0.2">
      <c r="C47" s="383" t="s">
        <v>740</v>
      </c>
      <c r="D47" s="168"/>
      <c r="E47" s="349">
        <v>0</v>
      </c>
      <c r="F47" s="11"/>
      <c r="G47" s="638">
        <f t="shared" si="0"/>
        <v>0</v>
      </c>
      <c r="H47" s="164"/>
    </row>
    <row r="48" spans="2:13" x14ac:dyDescent="0.2">
      <c r="C48" s="168"/>
      <c r="D48" s="168"/>
      <c r="E48" s="1"/>
      <c r="F48" s="11"/>
      <c r="G48" s="164"/>
      <c r="H48" s="164"/>
    </row>
    <row r="49" spans="3:8" ht="15" x14ac:dyDescent="0.2">
      <c r="C49" s="169" t="s">
        <v>20</v>
      </c>
      <c r="D49" s="169"/>
      <c r="E49" s="184">
        <f>+SUM(E39:E48)</f>
        <v>0</v>
      </c>
      <c r="F49" s="11"/>
      <c r="G49" s="638">
        <f t="shared" si="0"/>
        <v>0</v>
      </c>
      <c r="H49" s="185" t="s">
        <v>338</v>
      </c>
    </row>
    <row r="50" spans="3:8" x14ac:dyDescent="0.2">
      <c r="E50" s="1"/>
      <c r="F50" s="11"/>
      <c r="G50" s="170" t="s">
        <v>50</v>
      </c>
      <c r="H50" s="170"/>
    </row>
    <row r="51" spans="3:8" x14ac:dyDescent="0.2">
      <c r="C51" s="167" t="s">
        <v>21</v>
      </c>
      <c r="D51" s="167"/>
      <c r="E51" s="1"/>
      <c r="F51" s="11"/>
      <c r="G51" s="170" t="s">
        <v>50</v>
      </c>
      <c r="H51" s="170"/>
    </row>
    <row r="52" spans="3:8" x14ac:dyDescent="0.2">
      <c r="C52" s="168" t="s">
        <v>22</v>
      </c>
      <c r="D52" s="168"/>
      <c r="E52" s="364">
        <v>0</v>
      </c>
      <c r="F52" s="11"/>
      <c r="G52" s="638">
        <f>IF(E$59=0,0,ROUND(E52/E$59,4))</f>
        <v>0</v>
      </c>
      <c r="H52" s="164"/>
    </row>
    <row r="53" spans="3:8" x14ac:dyDescent="0.2">
      <c r="C53" s="168" t="s">
        <v>23</v>
      </c>
      <c r="D53" s="168"/>
      <c r="E53" s="365">
        <v>0</v>
      </c>
      <c r="F53" s="171"/>
      <c r="G53" s="638">
        <f>IF(E$59=0,0,ROUND(E53/E$59,4))</f>
        <v>0</v>
      </c>
      <c r="H53" s="164"/>
    </row>
    <row r="54" spans="3:8" x14ac:dyDescent="0.2">
      <c r="C54" s="383" t="s">
        <v>747</v>
      </c>
      <c r="D54" s="168"/>
      <c r="E54" s="365">
        <v>0</v>
      </c>
      <c r="F54" s="171"/>
      <c r="G54" s="638">
        <f>IF(E$59=0,0,ROUND(E54/E$59,4))</f>
        <v>0</v>
      </c>
      <c r="H54" s="164"/>
    </row>
    <row r="55" spans="3:8" x14ac:dyDescent="0.2">
      <c r="C55" s="383" t="s">
        <v>748</v>
      </c>
      <c r="D55" s="168"/>
      <c r="E55" s="365">
        <v>0</v>
      </c>
      <c r="F55" s="171"/>
      <c r="G55" s="638">
        <f>IF(E$59=0,0,ROUND(E55/E$59,4))</f>
        <v>0</v>
      </c>
      <c r="H55" s="164"/>
    </row>
    <row r="56" spans="3:8" x14ac:dyDescent="0.2">
      <c r="C56" s="167"/>
      <c r="D56" s="167"/>
      <c r="E56" s="1"/>
      <c r="F56" s="11"/>
      <c r="G56" s="164"/>
      <c r="H56" s="164"/>
    </row>
    <row r="57" spans="3:8" x14ac:dyDescent="0.2">
      <c r="C57" s="169" t="s">
        <v>24</v>
      </c>
      <c r="D57" s="169"/>
      <c r="E57" s="184">
        <f>+SUM(E52:E56)</f>
        <v>0</v>
      </c>
      <c r="F57" s="11"/>
      <c r="G57" s="638">
        <f>IF(E$59=0,0,ROUND(E57/E$59,4))</f>
        <v>0</v>
      </c>
      <c r="H57" s="172"/>
    </row>
    <row r="58" spans="3:8" x14ac:dyDescent="0.2">
      <c r="C58" s="168"/>
      <c r="D58" s="168"/>
      <c r="E58" s="1"/>
      <c r="F58" s="11"/>
      <c r="G58" s="164"/>
      <c r="H58" s="164"/>
    </row>
    <row r="59" spans="3:8" ht="13.5" thickBot="1" x14ac:dyDescent="0.25">
      <c r="C59" s="173" t="s">
        <v>25</v>
      </c>
      <c r="D59" s="173"/>
      <c r="E59" s="186">
        <f>+E49+E57</f>
        <v>0</v>
      </c>
      <c r="F59" s="11"/>
      <c r="G59" s="639">
        <f>G49+G57</f>
        <v>0</v>
      </c>
      <c r="H59" s="172"/>
    </row>
    <row r="60" spans="3:8" ht="13.5" thickTop="1" x14ac:dyDescent="0.2">
      <c r="C60" s="173"/>
      <c r="D60" s="173"/>
      <c r="E60" s="11"/>
      <c r="F60" s="11"/>
      <c r="G60" s="172"/>
      <c r="H60" s="172"/>
    </row>
    <row r="61" spans="3:8" x14ac:dyDescent="0.2">
      <c r="C61" s="174" t="s">
        <v>26</v>
      </c>
      <c r="D61" s="174"/>
      <c r="E61" s="359">
        <v>0</v>
      </c>
      <c r="F61" s="11"/>
      <c r="G61" s="172"/>
      <c r="H61" s="172"/>
    </row>
    <row r="62" spans="3:8" x14ac:dyDescent="0.2">
      <c r="C62" s="173"/>
      <c r="D62" s="173"/>
      <c r="E62" s="11"/>
      <c r="F62" s="11"/>
      <c r="G62" s="172"/>
      <c r="H62" s="172"/>
    </row>
    <row r="63" spans="3:8" ht="13.5" thickBot="1" x14ac:dyDescent="0.25">
      <c r="C63" s="173" t="s">
        <v>27</v>
      </c>
      <c r="D63" s="173"/>
      <c r="E63" s="186">
        <f>E59+E61</f>
        <v>0</v>
      </c>
      <c r="F63" s="11"/>
      <c r="G63" s="172"/>
      <c r="H63" s="172"/>
    </row>
    <row r="64" spans="3:8" ht="13.5" thickTop="1" x14ac:dyDescent="0.2">
      <c r="C64" s="173"/>
      <c r="D64" s="173"/>
      <c r="E64" s="1"/>
      <c r="F64" s="1"/>
      <c r="G64" s="164"/>
      <c r="H64" s="164"/>
    </row>
    <row r="65" spans="1:9" ht="15.75" customHeight="1" x14ac:dyDescent="0.2">
      <c r="C65" s="173"/>
      <c r="D65" s="173"/>
      <c r="E65" s="1"/>
      <c r="F65" s="1"/>
      <c r="G65" s="1574" t="s">
        <v>948</v>
      </c>
      <c r="H65" s="1574"/>
      <c r="I65" s="1574"/>
    </row>
    <row r="66" spans="1:9" ht="32.25" customHeight="1" x14ac:dyDescent="0.2">
      <c r="C66" s="1387" t="s">
        <v>445</v>
      </c>
      <c r="D66" s="1603"/>
      <c r="E66" s="187" t="str">
        <f>IF(G49&gt;=50%,"Governmental","Business Type")</f>
        <v>Business Type</v>
      </c>
      <c r="F66" s="230" t="s">
        <v>338</v>
      </c>
      <c r="G66" s="1574"/>
      <c r="H66" s="1574"/>
      <c r="I66" s="1574"/>
    </row>
    <row r="67" spans="1:9" ht="44.25" customHeight="1" x14ac:dyDescent="0.2">
      <c r="C67" s="34"/>
      <c r="D67" s="34"/>
      <c r="E67" s="176"/>
      <c r="F67" s="175"/>
      <c r="G67" s="164"/>
      <c r="H67" s="164"/>
    </row>
    <row r="68" spans="1:9" x14ac:dyDescent="0.2">
      <c r="E68" s="1"/>
      <c r="F68" s="1"/>
      <c r="G68" s="177"/>
      <c r="H68" s="177"/>
      <c r="I68" s="164"/>
    </row>
    <row r="69" spans="1:9" ht="17.25" customHeight="1" x14ac:dyDescent="0.2">
      <c r="A69" s="4" t="s">
        <v>548</v>
      </c>
      <c r="B69" s="1588" t="s">
        <v>1099</v>
      </c>
      <c r="C69" s="1589"/>
      <c r="D69" s="1589"/>
      <c r="E69" s="1589"/>
      <c r="F69" s="1589"/>
      <c r="G69" s="1589"/>
      <c r="H69" s="1589"/>
      <c r="I69" s="1590"/>
    </row>
    <row r="70" spans="1:9" ht="36" customHeight="1" x14ac:dyDescent="0.2">
      <c r="B70" s="1591"/>
      <c r="C70" s="1592"/>
      <c r="D70" s="1592"/>
      <c r="E70" s="1592"/>
      <c r="F70" s="1592"/>
      <c r="G70" s="1592"/>
      <c r="H70" s="1592"/>
      <c r="I70" s="1593"/>
    </row>
    <row r="71" spans="1:9" ht="3.75" customHeight="1" x14ac:dyDescent="0.2">
      <c r="E71" s="1"/>
      <c r="F71" s="1"/>
      <c r="G71" s="177"/>
      <c r="H71" s="177"/>
      <c r="I71" s="164"/>
    </row>
    <row r="72" spans="1:9" x14ac:dyDescent="0.2">
      <c r="B72" s="64" t="s">
        <v>521</v>
      </c>
      <c r="C72" s="4" t="s">
        <v>840</v>
      </c>
      <c r="E72" s="153" t="s">
        <v>517</v>
      </c>
      <c r="F72" s="158"/>
      <c r="G72" s="404" t="s">
        <v>518</v>
      </c>
      <c r="H72" s="177"/>
      <c r="I72" s="164"/>
    </row>
    <row r="73" spans="1:9" x14ac:dyDescent="0.2">
      <c r="C73" s="13" t="s">
        <v>608</v>
      </c>
      <c r="D73" s="13"/>
      <c r="E73" s="367">
        <v>0</v>
      </c>
      <c r="F73" s="99"/>
      <c r="G73" s="183"/>
      <c r="H73" s="177"/>
      <c r="I73" s="164"/>
    </row>
    <row r="74" spans="1:9" x14ac:dyDescent="0.2">
      <c r="C74" s="13" t="s">
        <v>241</v>
      </c>
      <c r="D74" s="13"/>
      <c r="E74" s="367">
        <v>0</v>
      </c>
      <c r="F74" s="99"/>
      <c r="G74" s="183"/>
      <c r="H74" s="177"/>
      <c r="I74" s="164"/>
    </row>
    <row r="75" spans="1:9" x14ac:dyDescent="0.2">
      <c r="C75" s="13" t="s">
        <v>54</v>
      </c>
      <c r="D75" s="13"/>
      <c r="E75" s="367">
        <v>0</v>
      </c>
      <c r="F75" s="99"/>
      <c r="G75" s="183"/>
      <c r="H75" s="177"/>
      <c r="I75" s="164"/>
    </row>
    <row r="76" spans="1:9" x14ac:dyDescent="0.2">
      <c r="C76" s="13" t="s">
        <v>850</v>
      </c>
      <c r="D76" s="13"/>
      <c r="E76" s="367">
        <v>0</v>
      </c>
      <c r="F76" s="99"/>
      <c r="G76" s="183"/>
      <c r="H76" s="177"/>
      <c r="I76" s="164"/>
    </row>
    <row r="77" spans="1:9" x14ac:dyDescent="0.2">
      <c r="C77" s="13" t="s">
        <v>57</v>
      </c>
      <c r="D77" s="13"/>
      <c r="E77" s="367">
        <v>0</v>
      </c>
      <c r="F77" s="99"/>
      <c r="G77" s="183"/>
      <c r="H77" s="177"/>
      <c r="I77" s="164"/>
    </row>
    <row r="78" spans="1:9" x14ac:dyDescent="0.2">
      <c r="C78" s="13" t="s">
        <v>58</v>
      </c>
      <c r="D78" s="13"/>
      <c r="E78" s="367">
        <v>0</v>
      </c>
      <c r="F78" s="99"/>
      <c r="G78" s="183"/>
      <c r="H78" s="177"/>
      <c r="I78" s="164"/>
    </row>
    <row r="79" spans="1:9" x14ac:dyDescent="0.2">
      <c r="C79" s="13" t="s">
        <v>826</v>
      </c>
      <c r="D79" s="13"/>
      <c r="E79" s="367">
        <v>0</v>
      </c>
      <c r="F79" s="99"/>
      <c r="G79" s="183"/>
      <c r="H79" s="177"/>
      <c r="I79" s="164"/>
    </row>
    <row r="80" spans="1:9" x14ac:dyDescent="0.2">
      <c r="C80" s="13" t="s">
        <v>827</v>
      </c>
      <c r="D80" s="13"/>
      <c r="E80" s="367">
        <v>0</v>
      </c>
      <c r="F80" s="99"/>
      <c r="G80" s="183"/>
      <c r="H80" s="177"/>
      <c r="I80" s="164"/>
    </row>
    <row r="81" spans="1:9" x14ac:dyDescent="0.2">
      <c r="C81" s="13" t="s">
        <v>824</v>
      </c>
      <c r="D81" s="13"/>
      <c r="E81" s="367">
        <v>0</v>
      </c>
      <c r="F81" s="99"/>
      <c r="G81" s="183"/>
      <c r="H81" s="177"/>
      <c r="I81" s="164"/>
    </row>
    <row r="82" spans="1:9" x14ac:dyDescent="0.2">
      <c r="C82" s="13" t="s">
        <v>609</v>
      </c>
      <c r="D82" s="13"/>
      <c r="E82" s="367">
        <v>0</v>
      </c>
      <c r="F82" s="99"/>
      <c r="G82" s="183"/>
      <c r="H82" s="177"/>
      <c r="I82" s="6" t="s">
        <v>1160</v>
      </c>
    </row>
    <row r="83" spans="1:9" s="727" customFormat="1" x14ac:dyDescent="0.2">
      <c r="A83" s="726"/>
      <c r="C83" s="699" t="s">
        <v>2069</v>
      </c>
      <c r="D83" s="728"/>
      <c r="E83" s="367">
        <v>0</v>
      </c>
      <c r="F83" s="730"/>
      <c r="G83" s="183"/>
      <c r="H83" s="177"/>
      <c r="I83" s="6"/>
    </row>
    <row r="84" spans="1:9" s="727" customFormat="1" ht="38.25" x14ac:dyDescent="0.2">
      <c r="A84" s="726"/>
      <c r="C84" s="1056" t="s">
        <v>4019</v>
      </c>
      <c r="D84" s="728"/>
      <c r="E84" s="367">
        <v>0</v>
      </c>
      <c r="F84" s="730"/>
      <c r="G84" s="183"/>
      <c r="H84" s="177"/>
      <c r="I84" s="6"/>
    </row>
    <row r="85" spans="1:9" s="727" customFormat="1" ht="25.5" x14ac:dyDescent="0.2">
      <c r="A85" s="726"/>
      <c r="C85" s="1056" t="s">
        <v>4026</v>
      </c>
      <c r="D85" s="728"/>
      <c r="E85" s="367">
        <v>0</v>
      </c>
      <c r="F85" s="730"/>
      <c r="G85" s="183"/>
      <c r="H85" s="177"/>
      <c r="I85" s="6"/>
    </row>
    <row r="86" spans="1:9" s="727" customFormat="1" x14ac:dyDescent="0.2">
      <c r="A86" s="726"/>
      <c r="C86" s="699" t="s">
        <v>4027</v>
      </c>
      <c r="D86" s="728"/>
      <c r="E86" s="367">
        <v>0</v>
      </c>
      <c r="F86" s="730"/>
      <c r="G86" s="183"/>
      <c r="H86" s="177"/>
      <c r="I86" s="6"/>
    </row>
    <row r="87" spans="1:9" s="727" customFormat="1" ht="25.9" customHeight="1" x14ac:dyDescent="0.2">
      <c r="A87" s="726"/>
      <c r="C87" s="744" t="s">
        <v>4029</v>
      </c>
      <c r="D87" s="728"/>
      <c r="E87" s="367">
        <v>0</v>
      </c>
      <c r="F87" s="730"/>
      <c r="G87" s="183"/>
      <c r="H87" s="177"/>
      <c r="I87" s="6"/>
    </row>
    <row r="88" spans="1:9" s="1049" customFormat="1" x14ac:dyDescent="0.2">
      <c r="A88" s="1048"/>
      <c r="C88" s="699" t="s">
        <v>3988</v>
      </c>
      <c r="D88" s="1051"/>
      <c r="E88" s="367">
        <v>0</v>
      </c>
      <c r="F88" s="751"/>
      <c r="G88" s="183"/>
      <c r="H88" s="177"/>
      <c r="I88" s="6"/>
    </row>
    <row r="89" spans="1:9" s="1137" customFormat="1" ht="25.5" x14ac:dyDescent="0.2">
      <c r="A89" s="1136"/>
      <c r="C89" s="1141" t="s">
        <v>4025</v>
      </c>
      <c r="D89" s="1138"/>
      <c r="E89" s="366">
        <v>0</v>
      </c>
      <c r="F89" s="751"/>
      <c r="G89" s="183"/>
      <c r="H89" s="177"/>
      <c r="I89" s="6"/>
    </row>
    <row r="90" spans="1:9" s="1137" customFormat="1" x14ac:dyDescent="0.2">
      <c r="A90" s="1136"/>
      <c r="C90" s="699" t="s">
        <v>4034</v>
      </c>
      <c r="D90" s="1138"/>
      <c r="E90" s="366">
        <v>0</v>
      </c>
      <c r="F90" s="751"/>
      <c r="G90" s="183"/>
      <c r="H90" s="177"/>
      <c r="I90" s="6"/>
    </row>
    <row r="91" spans="1:9" x14ac:dyDescent="0.2">
      <c r="C91" s="13" t="s">
        <v>610</v>
      </c>
      <c r="D91" s="13"/>
      <c r="E91" s="182"/>
      <c r="F91" s="99"/>
      <c r="G91" s="367">
        <v>0</v>
      </c>
      <c r="H91" s="177"/>
      <c r="I91" s="164"/>
    </row>
    <row r="92" spans="1:9" x14ac:dyDescent="0.2">
      <c r="C92" s="13" t="s">
        <v>611</v>
      </c>
      <c r="D92" s="13"/>
      <c r="E92" s="182"/>
      <c r="F92" s="99"/>
      <c r="G92" s="367">
        <v>0</v>
      </c>
      <c r="H92" s="177"/>
      <c r="I92" s="164"/>
    </row>
    <row r="93" spans="1:9" x14ac:dyDescent="0.2">
      <c r="C93" s="13" t="s">
        <v>612</v>
      </c>
      <c r="D93" s="13"/>
      <c r="E93" s="182"/>
      <c r="F93" s="99"/>
      <c r="G93" s="367">
        <v>0</v>
      </c>
      <c r="H93" s="177"/>
      <c r="I93" s="164"/>
    </row>
    <row r="94" spans="1:9" x14ac:dyDescent="0.2">
      <c r="C94" s="13" t="s">
        <v>613</v>
      </c>
      <c r="D94" s="13"/>
      <c r="E94" s="99"/>
      <c r="F94" s="99"/>
      <c r="G94" s="367">
        <v>0</v>
      </c>
      <c r="H94" s="177"/>
      <c r="I94" s="164"/>
    </row>
    <row r="95" spans="1:9" x14ac:dyDescent="0.2">
      <c r="C95" s="331" t="s">
        <v>59</v>
      </c>
      <c r="D95" s="13"/>
      <c r="E95" s="99"/>
      <c r="F95" s="99"/>
      <c r="G95" s="367">
        <v>0</v>
      </c>
      <c r="H95" s="177"/>
      <c r="I95" s="164"/>
    </row>
    <row r="96" spans="1:9" x14ac:dyDescent="0.2">
      <c r="C96" s="331" t="s">
        <v>849</v>
      </c>
      <c r="D96" s="13"/>
      <c r="E96" s="99"/>
      <c r="F96" s="99"/>
      <c r="G96" s="367">
        <v>0</v>
      </c>
      <c r="H96" s="177"/>
      <c r="I96" s="164"/>
    </row>
    <row r="97" spans="1:9" x14ac:dyDescent="0.2">
      <c r="C97" s="13" t="s">
        <v>937</v>
      </c>
      <c r="D97" s="13"/>
      <c r="E97" s="99"/>
      <c r="F97" s="99"/>
      <c r="G97" s="367">
        <v>0</v>
      </c>
      <c r="H97" s="177"/>
      <c r="I97" s="164"/>
    </row>
    <row r="98" spans="1:9" x14ac:dyDescent="0.2">
      <c r="C98" s="13" t="s">
        <v>938</v>
      </c>
      <c r="D98" s="13"/>
      <c r="E98" s="99"/>
      <c r="F98" s="99"/>
      <c r="G98" s="367">
        <v>0</v>
      </c>
      <c r="H98" s="177"/>
      <c r="I98" s="164"/>
    </row>
    <row r="99" spans="1:9" x14ac:dyDescent="0.2">
      <c r="C99" s="13" t="s">
        <v>4082</v>
      </c>
      <c r="D99" s="13"/>
      <c r="E99" s="99"/>
      <c r="F99" s="99"/>
      <c r="G99" s="367">
        <v>0</v>
      </c>
      <c r="H99" s="177"/>
      <c r="I99" s="164"/>
    </row>
    <row r="100" spans="1:9" x14ac:dyDescent="0.2">
      <c r="C100" s="13" t="s">
        <v>939</v>
      </c>
      <c r="D100" s="13"/>
      <c r="E100" s="99"/>
      <c r="F100" s="99"/>
      <c r="G100" s="367">
        <v>0</v>
      </c>
      <c r="H100" s="177"/>
      <c r="I100" s="164"/>
    </row>
    <row r="101" spans="1:9" s="727" customFormat="1" ht="51" x14ac:dyDescent="0.2">
      <c r="A101" s="726"/>
      <c r="C101" s="742" t="s">
        <v>4019</v>
      </c>
      <c r="D101" s="728"/>
      <c r="E101" s="730"/>
      <c r="F101" s="730"/>
      <c r="G101" s="367">
        <v>0</v>
      </c>
      <c r="H101" s="177"/>
      <c r="I101" s="164"/>
    </row>
    <row r="102" spans="1:9" s="727" customFormat="1" ht="25.5" x14ac:dyDescent="0.2">
      <c r="A102" s="726"/>
      <c r="C102" s="742" t="s">
        <v>4026</v>
      </c>
      <c r="D102" s="728"/>
      <c r="E102" s="730"/>
      <c r="F102" s="730"/>
      <c r="G102" s="367">
        <v>0</v>
      </c>
      <c r="H102" s="177"/>
      <c r="I102" s="164"/>
    </row>
    <row r="103" spans="1:9" s="727" customFormat="1" x14ac:dyDescent="0.2">
      <c r="A103" s="726"/>
      <c r="C103" s="743" t="s">
        <v>4027</v>
      </c>
      <c r="D103" s="728"/>
      <c r="E103" s="730"/>
      <c r="F103" s="730"/>
      <c r="G103" s="367">
        <v>0</v>
      </c>
      <c r="H103" s="177"/>
      <c r="I103" s="164"/>
    </row>
    <row r="104" spans="1:9" s="727" customFormat="1" ht="38.25" x14ac:dyDescent="0.2">
      <c r="A104" s="726"/>
      <c r="C104" s="742" t="s">
        <v>4029</v>
      </c>
      <c r="D104" s="728"/>
      <c r="E104" s="730"/>
      <c r="F104" s="730"/>
      <c r="G104" s="367">
        <v>0</v>
      </c>
      <c r="H104" s="177"/>
      <c r="I104" s="164"/>
    </row>
    <row r="105" spans="1:9" s="1137" customFormat="1" ht="25.5" x14ac:dyDescent="0.2">
      <c r="A105" s="1136"/>
      <c r="C105" s="742" t="s">
        <v>4025</v>
      </c>
      <c r="D105" s="1138"/>
      <c r="E105" s="751"/>
      <c r="F105" s="751"/>
      <c r="G105" s="366">
        <v>0</v>
      </c>
      <c r="H105" s="177"/>
      <c r="I105" s="164"/>
    </row>
    <row r="106" spans="1:9" s="1137" customFormat="1" x14ac:dyDescent="0.2">
      <c r="A106" s="1136"/>
      <c r="C106" s="743" t="s">
        <v>4028</v>
      </c>
      <c r="D106" s="1138"/>
      <c r="E106" s="751"/>
      <c r="F106" s="751"/>
      <c r="G106" s="366">
        <v>0</v>
      </c>
      <c r="H106" s="177"/>
      <c r="I106" s="164"/>
    </row>
    <row r="107" spans="1:9" x14ac:dyDescent="0.2">
      <c r="C107" s="651" t="s">
        <v>1100</v>
      </c>
      <c r="D107" s="13"/>
      <c r="E107" s="93"/>
      <c r="F107" s="93"/>
      <c r="G107" s="349">
        <v>0</v>
      </c>
      <c r="H107" s="177"/>
      <c r="I107" s="227" t="s">
        <v>727</v>
      </c>
    </row>
    <row r="108" spans="1:9" ht="7.5" customHeight="1" x14ac:dyDescent="0.2">
      <c r="C108" s="13"/>
      <c r="D108" s="13"/>
      <c r="E108" s="93"/>
      <c r="F108" s="93"/>
      <c r="G108" s="93"/>
      <c r="H108" s="177"/>
      <c r="I108" s="164"/>
    </row>
    <row r="109" spans="1:9" ht="12.75" customHeight="1" x14ac:dyDescent="0.2">
      <c r="B109" s="64" t="s">
        <v>522</v>
      </c>
      <c r="C109" s="147" t="s">
        <v>841</v>
      </c>
      <c r="D109" s="13"/>
      <c r="E109" s="93"/>
      <c r="F109" s="93"/>
      <c r="G109" s="93"/>
      <c r="H109" s="177"/>
      <c r="I109" s="164"/>
    </row>
    <row r="110" spans="1:9" x14ac:dyDescent="0.2">
      <c r="C110" s="167" t="s">
        <v>904</v>
      </c>
      <c r="D110" s="167"/>
      <c r="F110" s="1"/>
      <c r="G110" s="349">
        <v>0</v>
      </c>
      <c r="H110" s="1"/>
      <c r="I110" s="189"/>
    </row>
    <row r="111" spans="1:9" ht="12.75" customHeight="1" x14ac:dyDescent="0.2">
      <c r="C111" s="167" t="s">
        <v>842</v>
      </c>
      <c r="D111" s="167"/>
      <c r="E111" s="349">
        <v>0</v>
      </c>
      <c r="F111" s="1"/>
      <c r="H111" s="1"/>
      <c r="I111" s="189" t="s">
        <v>726</v>
      </c>
    </row>
    <row r="112" spans="1:9" x14ac:dyDescent="0.2">
      <c r="C112" s="167" t="s">
        <v>147</v>
      </c>
      <c r="D112" s="167"/>
      <c r="E112" s="349">
        <v>0</v>
      </c>
      <c r="F112" s="1"/>
      <c r="H112" s="1"/>
      <c r="I112" s="189" t="s">
        <v>1102</v>
      </c>
    </row>
    <row r="113" spans="1:9" x14ac:dyDescent="0.2">
      <c r="C113" s="167" t="s">
        <v>146</v>
      </c>
      <c r="D113" s="167"/>
      <c r="F113" s="1"/>
      <c r="G113" s="349">
        <v>0</v>
      </c>
      <c r="H113" s="1"/>
      <c r="I113" s="189"/>
    </row>
    <row r="114" spans="1:9" x14ac:dyDescent="0.2">
      <c r="C114" s="167" t="s">
        <v>624</v>
      </c>
      <c r="D114" s="167"/>
      <c r="F114" s="1"/>
      <c r="G114" s="349">
        <v>0</v>
      </c>
      <c r="H114" s="1"/>
      <c r="I114" s="190" t="s">
        <v>572</v>
      </c>
    </row>
    <row r="115" spans="1:9" ht="22.5" x14ac:dyDescent="0.2">
      <c r="C115" s="167" t="s">
        <v>28</v>
      </c>
      <c r="D115" s="167"/>
      <c r="E115" s="349">
        <v>0</v>
      </c>
      <c r="F115" s="1"/>
      <c r="H115" s="1"/>
      <c r="I115" s="188" t="s">
        <v>604</v>
      </c>
    </row>
    <row r="116" spans="1:9" x14ac:dyDescent="0.2">
      <c r="B116" s="39"/>
      <c r="C116" s="167"/>
      <c r="D116" s="167"/>
      <c r="F116" s="1"/>
      <c r="G116" s="1"/>
      <c r="H116" s="1"/>
      <c r="I116" s="1"/>
    </row>
    <row r="117" spans="1:9" ht="23.25" customHeight="1" x14ac:dyDescent="0.2">
      <c r="B117" s="64" t="s">
        <v>523</v>
      </c>
      <c r="C117" s="1575" t="s">
        <v>1103</v>
      </c>
      <c r="D117" s="1604">
        <v>0</v>
      </c>
      <c r="F117" s="1"/>
      <c r="H117" s="1"/>
      <c r="I117" s="189" t="s">
        <v>1104</v>
      </c>
    </row>
    <row r="118" spans="1:9" ht="21.75" customHeight="1" x14ac:dyDescent="0.2">
      <c r="B118" s="64"/>
      <c r="C118" s="1576"/>
      <c r="D118" s="1604"/>
      <c r="F118" s="1"/>
      <c r="H118" s="1"/>
      <c r="I118" s="189"/>
    </row>
    <row r="119" spans="1:9" x14ac:dyDescent="0.2">
      <c r="B119" s="39"/>
      <c r="C119" s="224" t="s">
        <v>1024</v>
      </c>
      <c r="D119" s="225">
        <f>G110-E111-E112+G113+G114-E115</f>
        <v>0</v>
      </c>
      <c r="F119" s="1"/>
      <c r="G119" s="1"/>
      <c r="H119" s="1"/>
      <c r="I119" s="1"/>
    </row>
    <row r="120" spans="1:9" ht="36" customHeight="1" thickBot="1" x14ac:dyDescent="0.25">
      <c r="C120" s="168" t="s">
        <v>1025</v>
      </c>
      <c r="D120" s="332">
        <f>D117-D119</f>
        <v>0</v>
      </c>
      <c r="E120" s="8"/>
      <c r="F120" s="226"/>
      <c r="G120" s="207">
        <f>D120</f>
        <v>0</v>
      </c>
      <c r="H120" s="1"/>
      <c r="I120" s="231" t="s">
        <v>355</v>
      </c>
    </row>
    <row r="121" spans="1:9" ht="18.75" customHeight="1" thickTop="1" thickBot="1" x14ac:dyDescent="0.25">
      <c r="C121" s="168"/>
      <c r="D121" s="168"/>
      <c r="E121" s="228">
        <f>SUM(E73:E120)</f>
        <v>0</v>
      </c>
      <c r="F121" s="1"/>
      <c r="G121" s="92">
        <f>SUM(G91:G120)</f>
        <v>0</v>
      </c>
      <c r="H121" s="1"/>
      <c r="I121" s="232" t="s">
        <v>356</v>
      </c>
    </row>
    <row r="122" spans="1:9" ht="18.75" customHeight="1" thickTop="1" x14ac:dyDescent="0.2">
      <c r="C122" s="168"/>
      <c r="D122" s="168"/>
      <c r="F122" s="1"/>
      <c r="G122" s="1"/>
      <c r="H122" s="1"/>
      <c r="I122" s="1"/>
    </row>
    <row r="123" spans="1:9" ht="15" customHeight="1" x14ac:dyDescent="0.2">
      <c r="A123" s="4" t="s">
        <v>816</v>
      </c>
      <c r="B123" s="1588" t="s">
        <v>1105</v>
      </c>
      <c r="C123" s="1589"/>
      <c r="D123" s="1589"/>
      <c r="E123" s="1589"/>
      <c r="F123" s="1589"/>
      <c r="G123" s="1589"/>
      <c r="H123" s="1589"/>
      <c r="I123" s="1590"/>
    </row>
    <row r="124" spans="1:9" ht="25.5" customHeight="1" x14ac:dyDescent="0.2">
      <c r="B124" s="1591"/>
      <c r="C124" s="1592"/>
      <c r="D124" s="1592"/>
      <c r="E124" s="1592"/>
      <c r="F124" s="1592"/>
      <c r="G124" s="1592"/>
      <c r="H124" s="1592"/>
      <c r="I124" s="1593"/>
    </row>
    <row r="125" spans="1:9" x14ac:dyDescent="0.2">
      <c r="E125" s="1"/>
      <c r="F125" s="1"/>
      <c r="G125" s="177"/>
      <c r="H125" s="177"/>
      <c r="I125" s="164"/>
    </row>
    <row r="126" spans="1:9" ht="12.75" customHeight="1" x14ac:dyDescent="0.2">
      <c r="B126" s="39" t="s">
        <v>521</v>
      </c>
      <c r="C126" s="1402" t="s">
        <v>528</v>
      </c>
      <c r="D126" s="1402"/>
      <c r="E126" s="1402"/>
      <c r="F126" s="1"/>
      <c r="G126" s="1573"/>
      <c r="H126" s="177"/>
      <c r="I126" s="164"/>
    </row>
    <row r="127" spans="1:9" ht="46.5" customHeight="1" x14ac:dyDescent="0.2">
      <c r="C127" s="1402"/>
      <c r="D127" s="1402"/>
      <c r="E127" s="1402"/>
      <c r="F127" s="1"/>
      <c r="G127" s="1573"/>
      <c r="H127" s="177"/>
      <c r="I127" s="164"/>
    </row>
    <row r="128" spans="1:9" x14ac:dyDescent="0.2">
      <c r="E128" s="1"/>
      <c r="F128" s="1"/>
      <c r="G128" s="177"/>
      <c r="H128" s="177"/>
      <c r="I128" s="193" t="s">
        <v>940</v>
      </c>
    </row>
    <row r="129" spans="1:12" x14ac:dyDescent="0.2">
      <c r="B129" s="39" t="s">
        <v>522</v>
      </c>
      <c r="C129" s="1402" t="s">
        <v>190</v>
      </c>
      <c r="D129" s="1402"/>
      <c r="E129" s="1402"/>
      <c r="F129" s="1"/>
      <c r="G129" s="1573"/>
      <c r="H129" s="177"/>
      <c r="I129" s="164"/>
    </row>
    <row r="130" spans="1:12" ht="45" customHeight="1" x14ac:dyDescent="0.2">
      <c r="C130" s="1402"/>
      <c r="D130" s="1402"/>
      <c r="E130" s="1402"/>
      <c r="F130" s="1"/>
      <c r="G130" s="1573"/>
      <c r="H130" s="177"/>
      <c r="I130" s="164"/>
    </row>
    <row r="131" spans="1:12" x14ac:dyDescent="0.2">
      <c r="E131" s="1"/>
      <c r="F131" s="1"/>
      <c r="G131" s="177"/>
      <c r="H131" s="177"/>
      <c r="I131" s="164"/>
    </row>
    <row r="132" spans="1:12" ht="13.5" customHeight="1" x14ac:dyDescent="0.2">
      <c r="A132" s="4" t="s">
        <v>822</v>
      </c>
      <c r="B132" s="1578" t="s">
        <v>512</v>
      </c>
      <c r="C132" s="1579"/>
      <c r="D132" s="1579"/>
      <c r="E132" s="1579"/>
      <c r="F132" s="1579"/>
      <c r="G132" s="1579"/>
      <c r="H132" s="1579"/>
      <c r="I132" s="1580"/>
      <c r="J132" s="1"/>
      <c r="K132" s="1"/>
      <c r="L132" s="1"/>
    </row>
    <row r="133" spans="1:12" ht="12" customHeight="1" x14ac:dyDescent="0.2">
      <c r="B133" s="1581"/>
      <c r="C133" s="1582"/>
      <c r="D133" s="1582"/>
      <c r="E133" s="1582"/>
      <c r="F133" s="1582"/>
      <c r="G133" s="1582"/>
      <c r="H133" s="1582"/>
      <c r="I133" s="1583"/>
      <c r="J133" s="1"/>
      <c r="K133" s="1"/>
      <c r="L133" s="1"/>
    </row>
    <row r="134" spans="1:12" ht="5.25" customHeight="1" x14ac:dyDescent="0.2">
      <c r="C134" s="179"/>
      <c r="D134" s="179"/>
      <c r="E134" s="162"/>
      <c r="F134" s="162"/>
      <c r="G134" s="162"/>
      <c r="H134" s="162"/>
      <c r="I134" s="162"/>
      <c r="J134" s="1"/>
      <c r="K134" s="1"/>
      <c r="L134" s="1"/>
    </row>
    <row r="135" spans="1:12" ht="37.5" customHeight="1" x14ac:dyDescent="0.2">
      <c r="C135" s="196" t="s">
        <v>848</v>
      </c>
      <c r="D135" s="196"/>
      <c r="E135" s="180" t="s">
        <v>605</v>
      </c>
      <c r="F135" s="178"/>
      <c r="G135" s="180" t="s">
        <v>606</v>
      </c>
      <c r="H135" s="178"/>
      <c r="I135" s="181"/>
      <c r="J135" s="1"/>
      <c r="K135" s="1"/>
      <c r="L135" s="1"/>
    </row>
    <row r="136" spans="1:12" x14ac:dyDescent="0.2">
      <c r="E136" s="1"/>
      <c r="F136" s="11"/>
      <c r="G136" s="1"/>
      <c r="H136" s="1"/>
      <c r="I136" s="1"/>
      <c r="J136" s="1"/>
      <c r="K136" s="1"/>
      <c r="L136" s="1"/>
    </row>
    <row r="137" spans="1:12" x14ac:dyDescent="0.2">
      <c r="C137" t="str">
        <f>+$C39</f>
        <v>General government</v>
      </c>
      <c r="E137" s="285">
        <f t="shared" ref="E137:E145" si="1">D$120*G39</f>
        <v>0</v>
      </c>
      <c r="F137" s="1"/>
      <c r="G137" s="1"/>
      <c r="H137" s="1"/>
      <c r="I137" s="1"/>
      <c r="J137" s="1"/>
      <c r="K137" s="1"/>
      <c r="L137" s="1"/>
    </row>
    <row r="138" spans="1:12" x14ac:dyDescent="0.2">
      <c r="C138" t="str">
        <f>+C40</f>
        <v>Public safety</v>
      </c>
      <c r="E138" s="285">
        <f t="shared" si="1"/>
        <v>0</v>
      </c>
      <c r="F138" s="1"/>
      <c r="G138" s="1"/>
      <c r="H138" s="1"/>
      <c r="I138" s="1"/>
      <c r="J138" s="1"/>
      <c r="K138" s="1"/>
      <c r="L138" s="1"/>
    </row>
    <row r="139" spans="1:12" x14ac:dyDescent="0.2">
      <c r="C139" t="str">
        <f>+C41</f>
        <v>Transportation</v>
      </c>
      <c r="E139" s="285">
        <f t="shared" si="1"/>
        <v>0</v>
      </c>
      <c r="F139" s="1"/>
      <c r="G139" s="1"/>
      <c r="H139" s="1"/>
      <c r="I139" s="1"/>
      <c r="J139" s="1"/>
      <c r="K139" s="1"/>
      <c r="L139" s="1"/>
    </row>
    <row r="140" spans="1:12" x14ac:dyDescent="0.2">
      <c r="C140" t="s">
        <v>831</v>
      </c>
      <c r="E140" s="285">
        <f t="shared" si="1"/>
        <v>0</v>
      </c>
      <c r="F140" s="1"/>
      <c r="G140" s="1"/>
      <c r="H140" s="1"/>
      <c r="I140" s="1"/>
      <c r="J140" s="1"/>
      <c r="K140" s="1"/>
      <c r="L140" s="1"/>
    </row>
    <row r="141" spans="1:12" x14ac:dyDescent="0.2">
      <c r="C141" t="s">
        <v>820</v>
      </c>
      <c r="E141" s="285">
        <f t="shared" si="1"/>
        <v>0</v>
      </c>
      <c r="F141" s="1"/>
      <c r="G141" s="1"/>
      <c r="H141" s="1"/>
      <c r="I141" s="1"/>
      <c r="J141" s="1"/>
      <c r="K141" s="1"/>
      <c r="L141" s="1"/>
    </row>
    <row r="142" spans="1:12" x14ac:dyDescent="0.2">
      <c r="C142" t="s">
        <v>309</v>
      </c>
      <c r="E142" s="285">
        <f t="shared" si="1"/>
        <v>0</v>
      </c>
      <c r="F142" s="1"/>
      <c r="G142" s="1"/>
      <c r="H142" s="1"/>
      <c r="I142" s="1"/>
      <c r="J142" s="1"/>
      <c r="K142" s="1"/>
      <c r="L142" s="1"/>
    </row>
    <row r="143" spans="1:12" x14ac:dyDescent="0.2">
      <c r="C143" t="s">
        <v>19</v>
      </c>
      <c r="E143" s="285">
        <f t="shared" si="1"/>
        <v>0</v>
      </c>
      <c r="F143" s="1"/>
      <c r="G143" s="1"/>
      <c r="H143" s="1"/>
      <c r="I143" s="6"/>
      <c r="J143" s="1"/>
      <c r="K143" s="1"/>
      <c r="L143" s="1"/>
    </row>
    <row r="144" spans="1:12" x14ac:dyDescent="0.2">
      <c r="C144" t="s">
        <v>174</v>
      </c>
      <c r="E144" s="285">
        <f t="shared" si="1"/>
        <v>0</v>
      </c>
      <c r="F144" s="1"/>
      <c r="G144" s="1"/>
      <c r="H144" s="1"/>
      <c r="I144" s="229"/>
      <c r="J144" s="1"/>
      <c r="K144" s="1"/>
      <c r="L144" s="1"/>
    </row>
    <row r="145" spans="1:12" ht="12.75" customHeight="1" x14ac:dyDescent="0.2">
      <c r="C145" s="354" t="s">
        <v>740</v>
      </c>
      <c r="E145" s="285">
        <f t="shared" si="1"/>
        <v>0</v>
      </c>
      <c r="F145" s="1"/>
      <c r="G145" s="1"/>
      <c r="H145" s="1"/>
      <c r="J145" s="1"/>
      <c r="K145" s="1"/>
      <c r="L145" s="1"/>
    </row>
    <row r="146" spans="1:12" x14ac:dyDescent="0.2">
      <c r="E146" s="1"/>
      <c r="F146" s="1"/>
      <c r="G146" s="1"/>
      <c r="H146" s="1"/>
      <c r="I146" s="1497" t="s">
        <v>189</v>
      </c>
      <c r="J146" s="1"/>
      <c r="K146" s="1"/>
      <c r="L146" s="1"/>
    </row>
    <row r="147" spans="1:12" ht="12" customHeight="1" x14ac:dyDescent="0.2">
      <c r="C147" t="str">
        <f>+C52</f>
        <v>Water and sewer</v>
      </c>
      <c r="E147" s="1"/>
      <c r="F147" s="1"/>
      <c r="G147" s="285">
        <f>D$120*G52</f>
        <v>0</v>
      </c>
      <c r="H147" s="1"/>
      <c r="I147" s="1497"/>
      <c r="J147" s="1"/>
      <c r="K147" s="1"/>
      <c r="L147" s="1"/>
    </row>
    <row r="148" spans="1:12" x14ac:dyDescent="0.2">
      <c r="C148" t="str">
        <f>+C53</f>
        <v>Electric</v>
      </c>
      <c r="E148" s="1"/>
      <c r="F148" s="1"/>
      <c r="G148" s="285">
        <f>D$120*G53</f>
        <v>0</v>
      </c>
      <c r="H148" s="1"/>
      <c r="I148" s="1497"/>
      <c r="J148" s="1"/>
      <c r="K148" s="1"/>
      <c r="L148" s="1"/>
    </row>
    <row r="149" spans="1:12" x14ac:dyDescent="0.2">
      <c r="C149" s="354" t="s">
        <v>749</v>
      </c>
      <c r="E149" s="1"/>
      <c r="F149" s="1"/>
      <c r="G149" s="285">
        <f>D$120*G54</f>
        <v>0</v>
      </c>
      <c r="H149" s="1"/>
      <c r="I149" s="1497"/>
      <c r="J149" s="1"/>
      <c r="K149" s="1"/>
      <c r="L149" s="1"/>
    </row>
    <row r="150" spans="1:12" x14ac:dyDescent="0.2">
      <c r="C150" s="354" t="s">
        <v>750</v>
      </c>
      <c r="E150" s="1"/>
      <c r="F150" s="1"/>
      <c r="G150" s="285">
        <f>D$120*G55</f>
        <v>0</v>
      </c>
      <c r="H150" s="1"/>
      <c r="I150" s="1497"/>
      <c r="J150" s="1"/>
      <c r="K150" s="1"/>
      <c r="L150" s="1"/>
    </row>
    <row r="151" spans="1:12" ht="13.5" thickBot="1" x14ac:dyDescent="0.25">
      <c r="C151" s="167" t="s">
        <v>607</v>
      </c>
      <c r="D151" s="167"/>
      <c r="E151" s="92">
        <f>SUM(E137:E150)</f>
        <v>0</v>
      </c>
      <c r="F151" s="1"/>
      <c r="G151" s="92">
        <f>SUM(G147:G150)</f>
        <v>0</v>
      </c>
      <c r="H151" s="233" t="s">
        <v>520</v>
      </c>
      <c r="I151" s="92">
        <f>SUM(E151:G151)</f>
        <v>0</v>
      </c>
      <c r="J151" s="1"/>
      <c r="K151" s="1"/>
      <c r="L151" s="1"/>
    </row>
    <row r="152" spans="1:12" ht="13.5" thickTop="1" x14ac:dyDescent="0.2">
      <c r="E152" s="1"/>
      <c r="F152" s="1"/>
      <c r="G152" s="1"/>
      <c r="H152" s="1"/>
      <c r="I152" s="164"/>
    </row>
    <row r="153" spans="1:12" ht="25.5" customHeight="1" x14ac:dyDescent="0.2">
      <c r="A153" s="4" t="s">
        <v>838</v>
      </c>
      <c r="B153" s="1470" t="s">
        <v>1044</v>
      </c>
      <c r="C153" s="1471"/>
      <c r="D153" s="1471"/>
      <c r="E153" s="1471"/>
      <c r="F153" s="1471"/>
      <c r="G153" s="1471"/>
      <c r="H153" s="1471"/>
      <c r="I153" s="1472"/>
    </row>
    <row r="154" spans="1:12" ht="12.75" customHeight="1" x14ac:dyDescent="0.2">
      <c r="E154" s="1"/>
      <c r="F154" s="1"/>
      <c r="G154" s="1"/>
      <c r="H154" s="1"/>
      <c r="I154" s="164"/>
    </row>
    <row r="155" spans="1:12" x14ac:dyDescent="0.2">
      <c r="E155" s="3" t="s">
        <v>517</v>
      </c>
      <c r="F155" s="46"/>
      <c r="G155" s="3" t="s">
        <v>518</v>
      </c>
      <c r="H155" s="46"/>
    </row>
    <row r="156" spans="1:12" x14ac:dyDescent="0.2">
      <c r="E156" s="216"/>
      <c r="F156" s="46"/>
      <c r="G156" s="220"/>
      <c r="H156" s="46"/>
      <c r="I156" s="191"/>
    </row>
    <row r="157" spans="1:12" x14ac:dyDescent="0.2">
      <c r="A157" s="197" t="s">
        <v>573</v>
      </c>
      <c r="C157" s="13" t="s">
        <v>608</v>
      </c>
      <c r="D157" s="13"/>
      <c r="E157" s="84">
        <f t="shared" ref="E157:E174" si="2">E73</f>
        <v>0</v>
      </c>
      <c r="G157" s="79"/>
    </row>
    <row r="158" spans="1:12" x14ac:dyDescent="0.2">
      <c r="C158" s="13" t="s">
        <v>241</v>
      </c>
      <c r="D158" s="13"/>
      <c r="E158" s="84">
        <f t="shared" si="2"/>
        <v>0</v>
      </c>
      <c r="G158" s="79"/>
    </row>
    <row r="159" spans="1:12" x14ac:dyDescent="0.2">
      <c r="C159" s="13" t="s">
        <v>54</v>
      </c>
      <c r="D159" s="13"/>
      <c r="E159" s="84">
        <f t="shared" si="2"/>
        <v>0</v>
      </c>
      <c r="G159" s="79"/>
    </row>
    <row r="160" spans="1:12" x14ac:dyDescent="0.2">
      <c r="C160" s="13" t="s">
        <v>850</v>
      </c>
      <c r="D160" s="13"/>
      <c r="E160" s="84">
        <f t="shared" si="2"/>
        <v>0</v>
      </c>
      <c r="G160" s="79"/>
    </row>
    <row r="161" spans="1:9" x14ac:dyDescent="0.2">
      <c r="C161" s="13" t="s">
        <v>57</v>
      </c>
      <c r="D161" s="13"/>
      <c r="E161" s="84">
        <f t="shared" si="2"/>
        <v>0</v>
      </c>
      <c r="G161" s="79"/>
    </row>
    <row r="162" spans="1:9" x14ac:dyDescent="0.2">
      <c r="C162" s="13" t="s">
        <v>58</v>
      </c>
      <c r="D162" s="13"/>
      <c r="E162" s="84">
        <f t="shared" si="2"/>
        <v>0</v>
      </c>
      <c r="G162" s="79"/>
    </row>
    <row r="163" spans="1:9" x14ac:dyDescent="0.2">
      <c r="C163" s="13" t="s">
        <v>826</v>
      </c>
      <c r="D163" s="13"/>
      <c r="E163" s="84">
        <f t="shared" si="2"/>
        <v>0</v>
      </c>
      <c r="G163" s="79"/>
    </row>
    <row r="164" spans="1:9" x14ac:dyDescent="0.2">
      <c r="C164" s="13" t="s">
        <v>827</v>
      </c>
      <c r="D164" s="13"/>
      <c r="E164" s="84">
        <f t="shared" si="2"/>
        <v>0</v>
      </c>
      <c r="G164" s="79"/>
    </row>
    <row r="165" spans="1:9" x14ac:dyDescent="0.2">
      <c r="C165" s="13" t="s">
        <v>824</v>
      </c>
      <c r="D165" s="13"/>
      <c r="E165" s="84">
        <f t="shared" si="2"/>
        <v>0</v>
      </c>
      <c r="G165" s="79"/>
    </row>
    <row r="166" spans="1:9" x14ac:dyDescent="0.2">
      <c r="C166" s="13" t="s">
        <v>609</v>
      </c>
      <c r="D166" s="13"/>
      <c r="E166" s="84">
        <f t="shared" si="2"/>
        <v>0</v>
      </c>
      <c r="G166" s="79"/>
      <c r="I166" s="6" t="s">
        <v>1046</v>
      </c>
    </row>
    <row r="167" spans="1:9" s="727" customFormat="1" x14ac:dyDescent="0.2">
      <c r="A167" s="726"/>
      <c r="C167" s="699" t="s">
        <v>2069</v>
      </c>
      <c r="D167" s="728"/>
      <c r="E167" s="84">
        <f t="shared" si="2"/>
        <v>0</v>
      </c>
      <c r="G167" s="79"/>
      <c r="I167" s="6"/>
    </row>
    <row r="168" spans="1:9" s="727" customFormat="1" ht="38.25" x14ac:dyDescent="0.2">
      <c r="A168" s="726"/>
      <c r="C168" s="1141" t="s">
        <v>4019</v>
      </c>
      <c r="D168" s="728"/>
      <c r="E168" s="84">
        <f t="shared" si="2"/>
        <v>0</v>
      </c>
      <c r="G168" s="79"/>
      <c r="I168" s="6"/>
    </row>
    <row r="169" spans="1:9" s="727" customFormat="1" ht="25.5" x14ac:dyDescent="0.2">
      <c r="A169" s="726"/>
      <c r="C169" s="1141" t="s">
        <v>4026</v>
      </c>
      <c r="D169" s="728"/>
      <c r="E169" s="84">
        <f t="shared" si="2"/>
        <v>0</v>
      </c>
      <c r="G169" s="79"/>
      <c r="I169" s="6"/>
    </row>
    <row r="170" spans="1:9" s="727" customFormat="1" x14ac:dyDescent="0.2">
      <c r="A170" s="726"/>
      <c r="C170" s="699" t="s">
        <v>4027</v>
      </c>
      <c r="D170" s="728"/>
      <c r="E170" s="84">
        <f t="shared" si="2"/>
        <v>0</v>
      </c>
      <c r="G170" s="79"/>
      <c r="I170" s="6"/>
    </row>
    <row r="171" spans="1:9" s="727" customFormat="1" ht="38.25" x14ac:dyDescent="0.2">
      <c r="A171" s="726"/>
      <c r="C171" s="1140" t="s">
        <v>4029</v>
      </c>
      <c r="D171" s="728"/>
      <c r="E171" s="84">
        <f t="shared" si="2"/>
        <v>0</v>
      </c>
      <c r="G171" s="79"/>
      <c r="I171" s="6"/>
    </row>
    <row r="172" spans="1:9" s="1049" customFormat="1" x14ac:dyDescent="0.2">
      <c r="A172" s="1048"/>
      <c r="C172" s="699" t="s">
        <v>3988</v>
      </c>
      <c r="D172" s="1051"/>
      <c r="E172" s="84">
        <f t="shared" si="2"/>
        <v>0</v>
      </c>
      <c r="G172" s="79"/>
      <c r="I172" s="6"/>
    </row>
    <row r="173" spans="1:9" s="1137" customFormat="1" ht="25.5" x14ac:dyDescent="0.2">
      <c r="A173" s="1136"/>
      <c r="C173" s="1141" t="s">
        <v>4025</v>
      </c>
      <c r="D173" s="1138"/>
      <c r="E173" s="84">
        <f t="shared" si="2"/>
        <v>0</v>
      </c>
      <c r="G173" s="79"/>
      <c r="I173" s="6"/>
    </row>
    <row r="174" spans="1:9" s="1137" customFormat="1" x14ac:dyDescent="0.2">
      <c r="A174" s="1136"/>
      <c r="C174" s="699" t="s">
        <v>4034</v>
      </c>
      <c r="D174" s="1138"/>
      <c r="E174" s="84">
        <f t="shared" si="2"/>
        <v>0</v>
      </c>
      <c r="G174" s="79"/>
      <c r="I174" s="6"/>
    </row>
    <row r="175" spans="1:9" x14ac:dyDescent="0.2">
      <c r="A175" s="726"/>
      <c r="C175" s="1051" t="s">
        <v>610</v>
      </c>
      <c r="D175" s="13"/>
      <c r="E175" s="79"/>
      <c r="G175" s="84">
        <f t="shared" ref="G175:G190" si="3">G91</f>
        <v>0</v>
      </c>
    </row>
    <row r="176" spans="1:9" x14ac:dyDescent="0.2">
      <c r="A176" s="726"/>
      <c r="C176" s="1051" t="s">
        <v>611</v>
      </c>
      <c r="D176" s="13"/>
      <c r="E176" s="79"/>
      <c r="G176" s="84">
        <f t="shared" si="3"/>
        <v>0</v>
      </c>
    </row>
    <row r="177" spans="1:9" x14ac:dyDescent="0.2">
      <c r="A177" s="726"/>
      <c r="C177" s="1051" t="s">
        <v>612</v>
      </c>
      <c r="D177" s="13"/>
      <c r="E177" s="79"/>
      <c r="G177" s="84">
        <f t="shared" si="3"/>
        <v>0</v>
      </c>
    </row>
    <row r="178" spans="1:9" x14ac:dyDescent="0.2">
      <c r="A178" s="726"/>
      <c r="C178" s="1051" t="s">
        <v>613</v>
      </c>
      <c r="D178" s="13"/>
      <c r="E178" s="79"/>
      <c r="G178" s="84">
        <f t="shared" si="3"/>
        <v>0</v>
      </c>
    </row>
    <row r="179" spans="1:9" x14ac:dyDescent="0.2">
      <c r="C179" s="331" t="s">
        <v>59</v>
      </c>
      <c r="D179" s="13"/>
      <c r="E179" s="79"/>
      <c r="G179" s="84">
        <f t="shared" si="3"/>
        <v>0</v>
      </c>
    </row>
    <row r="180" spans="1:9" x14ac:dyDescent="0.2">
      <c r="C180" s="331" t="s">
        <v>849</v>
      </c>
      <c r="D180" s="13"/>
      <c r="E180" s="79"/>
      <c r="G180" s="84">
        <f t="shared" si="3"/>
        <v>0</v>
      </c>
    </row>
    <row r="181" spans="1:9" x14ac:dyDescent="0.2">
      <c r="C181" s="1051" t="s">
        <v>419</v>
      </c>
      <c r="D181" s="13"/>
      <c r="E181" s="79"/>
      <c r="G181" s="84">
        <f t="shared" si="3"/>
        <v>0</v>
      </c>
    </row>
    <row r="182" spans="1:9" x14ac:dyDescent="0.2">
      <c r="C182" s="1051" t="s">
        <v>938</v>
      </c>
      <c r="D182" s="13"/>
      <c r="E182" s="79"/>
      <c r="G182" s="84">
        <f t="shared" si="3"/>
        <v>0</v>
      </c>
    </row>
    <row r="183" spans="1:9" x14ac:dyDescent="0.2">
      <c r="C183" s="1051" t="s">
        <v>4082</v>
      </c>
      <c r="D183" s="13"/>
      <c r="E183" s="79"/>
      <c r="G183" s="84">
        <f t="shared" si="3"/>
        <v>0</v>
      </c>
    </row>
    <row r="184" spans="1:9" x14ac:dyDescent="0.2">
      <c r="C184" s="1051" t="s">
        <v>483</v>
      </c>
      <c r="D184" s="13"/>
      <c r="E184" s="79"/>
      <c r="G184" s="84">
        <f t="shared" si="3"/>
        <v>0</v>
      </c>
    </row>
    <row r="185" spans="1:9" s="727" customFormat="1" ht="51" x14ac:dyDescent="0.2">
      <c r="A185" s="726"/>
      <c r="C185" s="742" t="s">
        <v>4019</v>
      </c>
      <c r="D185" s="728"/>
      <c r="E185" s="79"/>
      <c r="G185" s="84">
        <f t="shared" si="3"/>
        <v>0</v>
      </c>
    </row>
    <row r="186" spans="1:9" s="727" customFormat="1" ht="25.5" x14ac:dyDescent="0.2">
      <c r="A186" s="726"/>
      <c r="C186" s="742" t="s">
        <v>4026</v>
      </c>
      <c r="D186" s="728"/>
      <c r="E186" s="79"/>
      <c r="G186" s="84">
        <f t="shared" si="3"/>
        <v>0</v>
      </c>
    </row>
    <row r="187" spans="1:9" s="727" customFormat="1" x14ac:dyDescent="0.2">
      <c r="A187" s="726"/>
      <c r="C187" s="743" t="s">
        <v>4027</v>
      </c>
      <c r="D187" s="728"/>
      <c r="E187" s="79"/>
      <c r="G187" s="84">
        <f t="shared" si="3"/>
        <v>0</v>
      </c>
    </row>
    <row r="188" spans="1:9" s="727" customFormat="1" ht="38.25" x14ac:dyDescent="0.2">
      <c r="A188" s="726"/>
      <c r="C188" s="742" t="s">
        <v>4029</v>
      </c>
      <c r="D188" s="728"/>
      <c r="E188" s="79"/>
      <c r="G188" s="84">
        <f t="shared" si="3"/>
        <v>0</v>
      </c>
    </row>
    <row r="189" spans="1:9" s="1137" customFormat="1" ht="25.5" x14ac:dyDescent="0.2">
      <c r="A189" s="1136"/>
      <c r="C189" s="742" t="s">
        <v>4025</v>
      </c>
      <c r="D189" s="1138"/>
      <c r="E189" s="79"/>
      <c r="G189" s="84">
        <f t="shared" si="3"/>
        <v>0</v>
      </c>
    </row>
    <row r="190" spans="1:9" s="1137" customFormat="1" x14ac:dyDescent="0.2">
      <c r="A190" s="1136"/>
      <c r="C190" s="743" t="s">
        <v>4028</v>
      </c>
      <c r="D190" s="1138"/>
      <c r="E190" s="79"/>
      <c r="G190" s="84">
        <f t="shared" si="3"/>
        <v>0</v>
      </c>
    </row>
    <row r="191" spans="1:9" x14ac:dyDescent="0.2">
      <c r="C191" s="13" t="s">
        <v>485</v>
      </c>
      <c r="D191" s="13"/>
      <c r="E191" s="78"/>
      <c r="G191" s="78">
        <f>G107+G129</f>
        <v>0</v>
      </c>
    </row>
    <row r="192" spans="1:9" s="13" customFormat="1" ht="6" customHeight="1" x14ac:dyDescent="0.2">
      <c r="A192" s="147"/>
      <c r="E192" s="79"/>
      <c r="F192"/>
      <c r="G192" s="79"/>
      <c r="H192"/>
      <c r="I192"/>
    </row>
    <row r="193" spans="1:9" s="13" customFormat="1" x14ac:dyDescent="0.2">
      <c r="A193" s="147"/>
      <c r="C193" s="13" t="s">
        <v>421</v>
      </c>
      <c r="E193" s="79"/>
      <c r="F193"/>
      <c r="G193" s="78">
        <f>G110</f>
        <v>0</v>
      </c>
      <c r="H193"/>
      <c r="I193"/>
    </row>
    <row r="194" spans="1:9" s="13" customFormat="1" x14ac:dyDescent="0.2">
      <c r="A194" s="147"/>
      <c r="C194" s="13" t="s">
        <v>614</v>
      </c>
      <c r="E194" s="79"/>
      <c r="F194"/>
      <c r="G194" s="78">
        <f>G114</f>
        <v>0</v>
      </c>
      <c r="H194"/>
    </row>
    <row r="195" spans="1:9" s="13" customFormat="1" x14ac:dyDescent="0.2">
      <c r="A195" s="147"/>
      <c r="C195" s="13" t="s">
        <v>615</v>
      </c>
      <c r="E195" s="78">
        <f>E115</f>
        <v>0</v>
      </c>
      <c r="F195"/>
      <c r="G195" s="79"/>
      <c r="H195"/>
      <c r="I195" s="6" t="s">
        <v>150</v>
      </c>
    </row>
    <row r="196" spans="1:9" s="13" customFormat="1" x14ac:dyDescent="0.2">
      <c r="A196" s="147"/>
      <c r="C196" s="13" t="s">
        <v>486</v>
      </c>
      <c r="E196" s="78">
        <f>E111</f>
        <v>0</v>
      </c>
      <c r="F196"/>
      <c r="G196" s="79"/>
      <c r="H196"/>
      <c r="I196"/>
    </row>
    <row r="197" spans="1:9" s="13" customFormat="1" x14ac:dyDescent="0.2">
      <c r="A197" s="147"/>
      <c r="C197" s="13" t="s">
        <v>148</v>
      </c>
      <c r="E197" s="78"/>
      <c r="F197"/>
      <c r="G197" s="78">
        <f>G113</f>
        <v>0</v>
      </c>
      <c r="H197"/>
      <c r="I197"/>
    </row>
    <row r="198" spans="1:9" s="13" customFormat="1" x14ac:dyDescent="0.2">
      <c r="A198" s="147"/>
      <c r="C198" s="13" t="s">
        <v>149</v>
      </c>
      <c r="E198" s="78">
        <f>E112</f>
        <v>0</v>
      </c>
      <c r="F198"/>
      <c r="G198" s="79"/>
      <c r="H198"/>
      <c r="I198"/>
    </row>
    <row r="199" spans="1:9" ht="6" customHeight="1" x14ac:dyDescent="0.2">
      <c r="C199" s="13"/>
      <c r="D199" s="13"/>
      <c r="E199" s="79"/>
      <c r="G199" s="79"/>
    </row>
    <row r="200" spans="1:9" x14ac:dyDescent="0.2">
      <c r="C200" s="167" t="s">
        <v>616</v>
      </c>
      <c r="D200" s="167"/>
      <c r="E200" s="78"/>
      <c r="G200" s="78">
        <f t="shared" ref="G200:G208" si="4">E137</f>
        <v>0</v>
      </c>
    </row>
    <row r="201" spans="1:9" x14ac:dyDescent="0.2">
      <c r="C201" s="167" t="s">
        <v>617</v>
      </c>
      <c r="D201" s="167"/>
      <c r="E201" s="78"/>
      <c r="G201" s="78">
        <f t="shared" si="4"/>
        <v>0</v>
      </c>
    </row>
    <row r="202" spans="1:9" x14ac:dyDescent="0.2">
      <c r="C202" s="167" t="s">
        <v>618</v>
      </c>
      <c r="D202" s="167"/>
      <c r="E202" s="78"/>
      <c r="G202" s="78">
        <f t="shared" si="4"/>
        <v>0</v>
      </c>
    </row>
    <row r="203" spans="1:9" x14ac:dyDescent="0.2">
      <c r="C203" t="s">
        <v>1045</v>
      </c>
      <c r="E203" s="78"/>
      <c r="G203" s="78">
        <f t="shared" si="4"/>
        <v>0</v>
      </c>
    </row>
    <row r="204" spans="1:9" x14ac:dyDescent="0.2">
      <c r="C204" s="167" t="s">
        <v>619</v>
      </c>
      <c r="D204" s="167"/>
      <c r="E204" s="78"/>
      <c r="G204" s="78">
        <f t="shared" si="4"/>
        <v>0</v>
      </c>
      <c r="I204" s="6" t="s">
        <v>151</v>
      </c>
    </row>
    <row r="205" spans="1:9" x14ac:dyDescent="0.2">
      <c r="C205" s="167" t="s">
        <v>309</v>
      </c>
      <c r="D205" s="167"/>
      <c r="E205" s="78"/>
      <c r="G205" s="78">
        <f t="shared" si="4"/>
        <v>0</v>
      </c>
    </row>
    <row r="206" spans="1:9" x14ac:dyDescent="0.2">
      <c r="C206" s="167" t="s">
        <v>620</v>
      </c>
      <c r="D206" s="167"/>
      <c r="E206" s="78"/>
      <c r="G206" s="78">
        <f t="shared" si="4"/>
        <v>0</v>
      </c>
    </row>
    <row r="207" spans="1:9" x14ac:dyDescent="0.2">
      <c r="C207" s="167" t="s">
        <v>174</v>
      </c>
      <c r="D207" s="167"/>
      <c r="E207" s="78"/>
      <c r="G207" s="78">
        <f t="shared" si="4"/>
        <v>0</v>
      </c>
    </row>
    <row r="208" spans="1:9" x14ac:dyDescent="0.2">
      <c r="C208" s="384" t="s">
        <v>740</v>
      </c>
      <c r="D208" s="167"/>
      <c r="E208" s="78"/>
      <c r="G208" s="78">
        <f t="shared" si="4"/>
        <v>0</v>
      </c>
    </row>
    <row r="209" spans="3:9" x14ac:dyDescent="0.2">
      <c r="C209" s="167" t="s">
        <v>725</v>
      </c>
      <c r="D209" s="167"/>
      <c r="E209" s="78"/>
      <c r="G209" s="78">
        <f>G151+G126</f>
        <v>0</v>
      </c>
    </row>
    <row r="210" spans="3:9" ht="6.75" customHeight="1" x14ac:dyDescent="0.2">
      <c r="C210" s="167"/>
      <c r="D210" s="167"/>
      <c r="E210" s="11"/>
      <c r="F210" s="1"/>
      <c r="G210" s="11"/>
      <c r="H210" s="14"/>
      <c r="I210" s="14"/>
    </row>
    <row r="211" spans="3:9" ht="13.5" thickBot="1" x14ac:dyDescent="0.25">
      <c r="C211" s="167"/>
      <c r="D211" s="167"/>
      <c r="E211" s="92">
        <f>SUM(E157:E209)</f>
        <v>0</v>
      </c>
      <c r="F211" s="1"/>
      <c r="G211" s="92">
        <f>SUM(G157:G209)</f>
        <v>0</v>
      </c>
    </row>
    <row r="212" spans="3:9" ht="18.75" customHeight="1" thickTop="1" x14ac:dyDescent="0.2">
      <c r="C212" s="167"/>
      <c r="D212" s="167"/>
      <c r="E212" s="11"/>
      <c r="F212" s="1"/>
      <c r="G212" s="11"/>
    </row>
    <row r="213" spans="3:9" x14ac:dyDescent="0.2">
      <c r="C213" s="1525" t="s">
        <v>621</v>
      </c>
      <c r="D213" s="1525"/>
      <c r="E213" t="s">
        <v>50</v>
      </c>
    </row>
    <row r="214" spans="3:9" x14ac:dyDescent="0.2">
      <c r="H214" s="14"/>
    </row>
    <row r="215" spans="3:9" x14ac:dyDescent="0.2">
      <c r="C215" t="s">
        <v>357</v>
      </c>
      <c r="E215" s="78">
        <f>G151+G126</f>
        <v>0</v>
      </c>
      <c r="G215" s="79"/>
    </row>
    <row r="216" spans="3:9" ht="12.75" customHeight="1" x14ac:dyDescent="0.2">
      <c r="C216" s="167" t="s">
        <v>622</v>
      </c>
      <c r="D216" s="167"/>
      <c r="E216" s="79"/>
      <c r="G216" s="78">
        <f>G147</f>
        <v>0</v>
      </c>
    </row>
    <row r="217" spans="3:9" ht="12.75" customHeight="1" x14ac:dyDescent="0.2">
      <c r="C217" s="167" t="s">
        <v>623</v>
      </c>
      <c r="D217" s="167"/>
      <c r="E217" s="79"/>
      <c r="G217" s="15">
        <f>G148</f>
        <v>0</v>
      </c>
      <c r="I217" s="1584" t="s">
        <v>650</v>
      </c>
    </row>
    <row r="218" spans="3:9" x14ac:dyDescent="0.2">
      <c r="C218" s="384" t="s">
        <v>647</v>
      </c>
      <c r="D218" s="167"/>
      <c r="E218" s="79"/>
      <c r="G218" s="15">
        <f>G149</f>
        <v>0</v>
      </c>
      <c r="I218" s="1584"/>
    </row>
    <row r="219" spans="3:9" x14ac:dyDescent="0.2">
      <c r="C219" s="384" t="s">
        <v>648</v>
      </c>
      <c r="D219" s="167"/>
      <c r="E219" s="79"/>
      <c r="G219" s="15">
        <f>G150</f>
        <v>0</v>
      </c>
      <c r="I219" s="403"/>
    </row>
    <row r="220" spans="3:9" x14ac:dyDescent="0.2">
      <c r="C220" s="167" t="s">
        <v>746</v>
      </c>
      <c r="D220" s="167"/>
      <c r="E220" s="79"/>
      <c r="G220" s="198">
        <f>G126</f>
        <v>0</v>
      </c>
    </row>
    <row r="221" spans="3:9" ht="13.5" thickBot="1" x14ac:dyDescent="0.25">
      <c r="E221" s="80">
        <f>SUM(E215:E217)</f>
        <v>0</v>
      </c>
      <c r="G221" s="87">
        <f>SUM(G216:G220)</f>
        <v>0</v>
      </c>
    </row>
    <row r="222" spans="3:9" ht="13.5" thickTop="1" x14ac:dyDescent="0.2"/>
    <row r="223" spans="3:9" x14ac:dyDescent="0.2">
      <c r="C223" s="1387" t="s">
        <v>499</v>
      </c>
      <c r="D223" s="1387"/>
      <c r="E223" s="1387"/>
      <c r="F223" s="1387"/>
      <c r="G223" s="1387"/>
      <c r="H223" s="1387"/>
      <c r="I223" s="1387"/>
    </row>
    <row r="224" spans="3:9" x14ac:dyDescent="0.2">
      <c r="C224" s="1387"/>
      <c r="D224" s="1387"/>
      <c r="E224" s="1387"/>
      <c r="F224" s="1387"/>
      <c r="G224" s="1387"/>
      <c r="H224" s="1387"/>
      <c r="I224" s="1387"/>
    </row>
  </sheetData>
  <sheetProtection algorithmName="SHA-512" hashValue="Q6YgUR1qFZnJQAGh5OqT0VyU4Yxk4trwlbtSV6HU+490UTrw8SCLuRCDt9H2ku429L785yehdc0ZOXLxBfYPgg==" saltValue="D/hV0AnYU9/7DzqcstBK8A==" spinCount="100000" sheet="1" objects="1" scenarios="1"/>
  <mergeCells count="28">
    <mergeCell ref="C1:I1"/>
    <mergeCell ref="C35:G35"/>
    <mergeCell ref="B2:I3"/>
    <mergeCell ref="B4:I4"/>
    <mergeCell ref="C14:I15"/>
    <mergeCell ref="C20:I21"/>
    <mergeCell ref="C23:I23"/>
    <mergeCell ref="C27:I28"/>
    <mergeCell ref="C17:I18"/>
    <mergeCell ref="B32:I33"/>
    <mergeCell ref="C24:I25"/>
    <mergeCell ref="C30:I30"/>
    <mergeCell ref="I146:I150"/>
    <mergeCell ref="I217:I218"/>
    <mergeCell ref="C223:I224"/>
    <mergeCell ref="C213:D213"/>
    <mergeCell ref="C66:D66"/>
    <mergeCell ref="B153:I153"/>
    <mergeCell ref="B132:I133"/>
    <mergeCell ref="C126:E127"/>
    <mergeCell ref="G126:G127"/>
    <mergeCell ref="B69:I70"/>
    <mergeCell ref="B123:I124"/>
    <mergeCell ref="C129:E130"/>
    <mergeCell ref="G129:G130"/>
    <mergeCell ref="G65:I66"/>
    <mergeCell ref="C117:C118"/>
    <mergeCell ref="D117:D118"/>
  </mergeCells>
  <phoneticPr fontId="17" type="noConversion"/>
  <printOptions horizontalCentered="1"/>
  <pageMargins left="0.39" right="0.4" top="0.66" bottom="0.5" header="0.5" footer="0.5"/>
  <pageSetup scale="70" orientation="portrait" r:id="rId1"/>
  <headerFooter alignWithMargins="0">
    <oddHeader>&amp;REntry K.2</oddHeader>
    <oddFooter>&amp;L&amp;8&amp;D - County model&amp;R&amp;P</oddFooter>
  </headerFooter>
  <rowBreaks count="2" manualBreakCount="2">
    <brk id="68" max="8" man="1"/>
    <brk id="151" max="8" man="1"/>
  </rowBreak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228"/>
  <sheetViews>
    <sheetView topLeftCell="A67" zoomScaleNormal="100" workbookViewId="0">
      <selection activeCell="E89" sqref="E89"/>
    </sheetView>
  </sheetViews>
  <sheetFormatPr defaultRowHeight="12.75" x14ac:dyDescent="0.2"/>
  <cols>
    <col min="1" max="1" width="3.42578125" style="4" customWidth="1"/>
    <col min="2" max="2" width="2.28515625" customWidth="1"/>
    <col min="3" max="3" width="36.7109375" customWidth="1"/>
    <col min="4" max="4" width="11.42578125" customWidth="1"/>
    <col min="5" max="5" width="15.7109375" customWidth="1"/>
    <col min="6" max="6" width="3.42578125" customWidth="1"/>
    <col min="7" max="7" width="15.7109375" customWidth="1"/>
    <col min="8" max="8" width="2.7109375" customWidth="1"/>
    <col min="9" max="9" width="36" customWidth="1"/>
    <col min="10" max="10" width="3.42578125" customWidth="1"/>
    <col min="11" max="13" width="15.7109375" customWidth="1"/>
  </cols>
  <sheetData>
    <row r="1" spans="1:10" s="160" customFormat="1" ht="15" x14ac:dyDescent="0.25">
      <c r="A1" s="194"/>
      <c r="C1" s="1605"/>
      <c r="D1" s="1605"/>
      <c r="E1" s="1606"/>
      <c r="F1" s="1606"/>
      <c r="G1" s="1606"/>
      <c r="H1" s="1606"/>
      <c r="I1" s="1606"/>
    </row>
    <row r="2" spans="1:10" s="160" customFormat="1" ht="15" customHeight="1" x14ac:dyDescent="0.25">
      <c r="A2" s="194"/>
      <c r="B2" s="1596" t="s">
        <v>111</v>
      </c>
      <c r="C2" s="1597"/>
      <c r="D2" s="1597"/>
      <c r="E2" s="1597"/>
      <c r="F2" s="1597"/>
      <c r="G2" s="1597"/>
      <c r="H2" s="1597"/>
      <c r="I2" s="1598"/>
    </row>
    <row r="3" spans="1:10" s="160" customFormat="1" ht="24" customHeight="1" x14ac:dyDescent="0.25">
      <c r="A3" s="194"/>
      <c r="B3" s="1599"/>
      <c r="C3" s="1600"/>
      <c r="D3" s="1600"/>
      <c r="E3" s="1600"/>
      <c r="F3" s="1600"/>
      <c r="G3" s="1600"/>
      <c r="H3" s="1600"/>
      <c r="I3" s="1601"/>
    </row>
    <row r="4" spans="1:10" ht="4.5" customHeight="1" x14ac:dyDescent="0.2">
      <c r="B4" s="1607"/>
      <c r="C4" s="1607"/>
      <c r="D4" s="1607"/>
      <c r="E4" s="1607"/>
      <c r="F4" s="1607"/>
      <c r="G4" s="1607"/>
      <c r="H4" s="1607"/>
      <c r="I4" s="1607"/>
    </row>
    <row r="5" spans="1:10" ht="12.75" customHeight="1" x14ac:dyDescent="0.2">
      <c r="C5" s="161"/>
      <c r="D5" s="161"/>
      <c r="E5" s="162"/>
      <c r="F5" s="162"/>
      <c r="G5" s="162"/>
      <c r="H5" s="162"/>
      <c r="I5" s="162"/>
    </row>
    <row r="6" spans="1:10" ht="12.75" customHeight="1" x14ac:dyDescent="0.2">
      <c r="C6" s="161"/>
      <c r="D6" s="161"/>
      <c r="E6" s="162"/>
      <c r="F6" s="162"/>
      <c r="G6" s="162"/>
      <c r="H6" s="162"/>
      <c r="I6" s="162"/>
    </row>
    <row r="7" spans="1:10" ht="12.75" customHeight="1" x14ac:dyDescent="0.2">
      <c r="C7" s="161"/>
      <c r="D7" s="161"/>
      <c r="E7" s="162"/>
      <c r="F7" s="162"/>
      <c r="G7" s="162"/>
      <c r="H7" s="162"/>
      <c r="I7" s="162"/>
    </row>
    <row r="8" spans="1:10" ht="12.75" customHeight="1" x14ac:dyDescent="0.2">
      <c r="C8" s="161"/>
      <c r="D8" s="161"/>
      <c r="E8" s="162"/>
      <c r="F8" s="162"/>
      <c r="G8" s="162"/>
      <c r="H8" s="162"/>
      <c r="I8" s="162"/>
    </row>
    <row r="9" spans="1:10" ht="12.75" customHeight="1" x14ac:dyDescent="0.2">
      <c r="C9" s="161"/>
      <c r="D9" s="161"/>
      <c r="E9" s="162"/>
      <c r="F9" s="162"/>
      <c r="G9" s="162"/>
      <c r="H9" s="162"/>
      <c r="I9" s="162"/>
    </row>
    <row r="10" spans="1:10" ht="12.75" customHeight="1" x14ac:dyDescent="0.2">
      <c r="C10" s="161"/>
      <c r="D10" s="161"/>
      <c r="E10" s="162"/>
      <c r="F10" s="162"/>
      <c r="G10" s="162"/>
      <c r="H10" s="162"/>
      <c r="I10" s="162"/>
    </row>
    <row r="11" spans="1:10" ht="12.75" customHeight="1" x14ac:dyDescent="0.2">
      <c r="C11" s="161"/>
      <c r="D11" s="161"/>
      <c r="E11" s="162"/>
      <c r="F11" s="162"/>
      <c r="G11" s="162"/>
      <c r="H11" s="162"/>
      <c r="I11" s="162"/>
    </row>
    <row r="12" spans="1:10" ht="12.75" customHeight="1" x14ac:dyDescent="0.2">
      <c r="C12" s="161"/>
      <c r="D12" s="161"/>
      <c r="E12" s="162"/>
      <c r="F12" s="162"/>
      <c r="G12" s="162"/>
      <c r="H12" s="162"/>
      <c r="I12" s="162"/>
    </row>
    <row r="13" spans="1:10" ht="12.75" customHeight="1" x14ac:dyDescent="0.2">
      <c r="C13" s="161"/>
      <c r="D13" s="161"/>
      <c r="E13" s="162"/>
      <c r="F13" s="162"/>
      <c r="G13" s="162"/>
      <c r="H13" s="162"/>
      <c r="I13" s="162"/>
    </row>
    <row r="14" spans="1:10" ht="12" customHeight="1" x14ac:dyDescent="0.2">
      <c r="B14" s="39" t="s">
        <v>521</v>
      </c>
      <c r="C14" s="1602" t="s">
        <v>1095</v>
      </c>
      <c r="D14" s="1602"/>
      <c r="E14" s="1602"/>
      <c r="F14" s="1602"/>
      <c r="G14" s="1602"/>
      <c r="H14" s="1602"/>
      <c r="I14" s="1602"/>
      <c r="J14" s="195"/>
    </row>
    <row r="15" spans="1:10" ht="26.25" customHeight="1" x14ac:dyDescent="0.2">
      <c r="C15" s="1602"/>
      <c r="D15" s="1602"/>
      <c r="E15" s="1602"/>
      <c r="F15" s="1602"/>
      <c r="G15" s="1602"/>
      <c r="H15" s="1602"/>
      <c r="I15" s="1602"/>
      <c r="J15" s="195"/>
    </row>
    <row r="16" spans="1:10" ht="4.5" customHeight="1" x14ac:dyDescent="0.2"/>
    <row r="17" spans="1:9" ht="12.75" customHeight="1" x14ac:dyDescent="0.2">
      <c r="B17" s="39" t="s">
        <v>522</v>
      </c>
      <c r="C17" s="1602" t="s">
        <v>1096</v>
      </c>
      <c r="D17" s="1602"/>
      <c r="E17" s="1602"/>
      <c r="F17" s="1602"/>
      <c r="G17" s="1602"/>
      <c r="H17" s="1602"/>
      <c r="I17" s="1602"/>
    </row>
    <row r="18" spans="1:9" ht="51.75" customHeight="1" x14ac:dyDescent="0.2">
      <c r="C18" s="1602"/>
      <c r="D18" s="1602"/>
      <c r="E18" s="1602"/>
      <c r="F18" s="1602"/>
      <c r="G18" s="1602"/>
      <c r="H18" s="1602"/>
      <c r="I18" s="1602"/>
    </row>
    <row r="19" spans="1:9" ht="4.5" customHeight="1" x14ac:dyDescent="0.2"/>
    <row r="20" spans="1:9" ht="12" customHeight="1" x14ac:dyDescent="0.2">
      <c r="B20" s="39" t="s">
        <v>523</v>
      </c>
      <c r="C20" s="1402" t="s">
        <v>1097</v>
      </c>
      <c r="D20" s="1505"/>
      <c r="E20" s="1505"/>
      <c r="F20" s="1505"/>
      <c r="G20" s="1505"/>
      <c r="H20" s="1505"/>
      <c r="I20" s="1505"/>
    </row>
    <row r="21" spans="1:9" ht="12.75" hidden="1" customHeight="1" x14ac:dyDescent="0.2">
      <c r="C21" s="1505"/>
      <c r="D21" s="1505"/>
      <c r="E21" s="1505"/>
      <c r="F21" s="1505"/>
      <c r="G21" s="1505"/>
      <c r="H21" s="1505"/>
      <c r="I21" s="1505"/>
    </row>
    <row r="22" spans="1:9" ht="4.5" customHeight="1" x14ac:dyDescent="0.2"/>
    <row r="23" spans="1:9" ht="12.75" hidden="1" customHeight="1" x14ac:dyDescent="0.2">
      <c r="B23" s="39"/>
      <c r="C23" s="1392"/>
      <c r="D23" s="1392"/>
      <c r="E23" s="1392"/>
      <c r="F23" s="1392"/>
      <c r="G23" s="1392"/>
      <c r="H23" s="1392"/>
      <c r="I23" s="1392"/>
    </row>
    <row r="24" spans="1:9" ht="12.75" customHeight="1" x14ac:dyDescent="0.2">
      <c r="B24" s="39" t="s">
        <v>549</v>
      </c>
      <c r="C24" s="1402" t="s">
        <v>1098</v>
      </c>
      <c r="D24" s="1402"/>
      <c r="E24" s="1402"/>
      <c r="F24" s="1402"/>
      <c r="G24" s="1402"/>
      <c r="H24" s="1402"/>
      <c r="I24" s="1402"/>
    </row>
    <row r="25" spans="1:9" ht="12.75" customHeight="1" x14ac:dyDescent="0.2">
      <c r="B25" s="39"/>
      <c r="C25" s="1402"/>
      <c r="D25" s="1402"/>
      <c r="E25" s="1402"/>
      <c r="F25" s="1402"/>
      <c r="G25" s="1402"/>
      <c r="H25" s="1402"/>
      <c r="I25" s="1402"/>
    </row>
    <row r="26" spans="1:9" ht="4.5" customHeight="1" x14ac:dyDescent="0.2">
      <c r="B26" s="39"/>
    </row>
    <row r="27" spans="1:9" ht="12.75" customHeight="1" x14ac:dyDescent="0.2">
      <c r="B27" s="39" t="s">
        <v>550</v>
      </c>
      <c r="C27" s="1602" t="s">
        <v>649</v>
      </c>
      <c r="D27" s="1602"/>
      <c r="E27" s="1602"/>
      <c r="F27" s="1602"/>
      <c r="G27" s="1602"/>
      <c r="H27" s="1602"/>
      <c r="I27" s="1602"/>
    </row>
    <row r="28" spans="1:9" ht="26.25" customHeight="1" x14ac:dyDescent="0.2">
      <c r="B28" s="39"/>
      <c r="C28" s="1602"/>
      <c r="D28" s="1602"/>
      <c r="E28" s="1602"/>
      <c r="F28" s="1602"/>
      <c r="G28" s="1602"/>
      <c r="H28" s="1602"/>
      <c r="I28" s="1602"/>
    </row>
    <row r="29" spans="1:9" ht="24" customHeight="1" thickBot="1" x14ac:dyDescent="0.25"/>
    <row r="30" spans="1:9" ht="30.75" customHeight="1" thickTop="1" thickBot="1" x14ac:dyDescent="0.25">
      <c r="C30" s="1611" t="s">
        <v>492</v>
      </c>
      <c r="D30" s="1612"/>
      <c r="E30" s="1612"/>
      <c r="F30" s="1612"/>
      <c r="G30" s="1612"/>
      <c r="H30" s="1612"/>
      <c r="I30" s="1613"/>
    </row>
    <row r="31" spans="1:9" ht="24" customHeight="1" thickTop="1" x14ac:dyDescent="0.2"/>
    <row r="32" spans="1:9" ht="17.25" customHeight="1" x14ac:dyDescent="0.2">
      <c r="A32" s="4" t="s">
        <v>547</v>
      </c>
      <c r="B32" s="1578" t="s">
        <v>869</v>
      </c>
      <c r="C32" s="1579"/>
      <c r="D32" s="1579"/>
      <c r="E32" s="1579"/>
      <c r="F32" s="1579"/>
      <c r="G32" s="1579"/>
      <c r="H32" s="1579"/>
      <c r="I32" s="1580"/>
    </row>
    <row r="33" spans="2:13" ht="22.5" customHeight="1" x14ac:dyDescent="0.2">
      <c r="B33" s="1581"/>
      <c r="C33" s="1582"/>
      <c r="D33" s="1582"/>
      <c r="E33" s="1582"/>
      <c r="F33" s="1582"/>
      <c r="G33" s="1582"/>
      <c r="H33" s="1582"/>
      <c r="I33" s="1583"/>
    </row>
    <row r="34" spans="2:13" ht="24" customHeight="1" x14ac:dyDescent="0.2">
      <c r="C34" s="163"/>
      <c r="D34" s="163"/>
      <c r="E34" s="11"/>
      <c r="F34" s="11"/>
      <c r="G34" s="11"/>
      <c r="H34" s="11"/>
      <c r="I34" s="164"/>
    </row>
    <row r="35" spans="2:13" x14ac:dyDescent="0.2">
      <c r="C35" s="1595" t="s">
        <v>14</v>
      </c>
      <c r="D35" s="1595"/>
      <c r="E35" s="1595"/>
      <c r="F35" s="1595"/>
      <c r="G35" s="1595"/>
      <c r="H35" s="57"/>
      <c r="I35" s="57"/>
      <c r="J35" s="57"/>
      <c r="K35" s="57"/>
      <c r="L35" s="57"/>
      <c r="M35" s="57"/>
    </row>
    <row r="36" spans="2:13" x14ac:dyDescent="0.2">
      <c r="C36" s="4"/>
      <c r="D36" s="4"/>
      <c r="E36" s="109" t="s">
        <v>15</v>
      </c>
      <c r="F36" s="158"/>
      <c r="G36" s="165" t="s">
        <v>16</v>
      </c>
      <c r="H36" s="166"/>
    </row>
    <row r="37" spans="2:13" x14ac:dyDescent="0.2">
      <c r="C37" s="121" t="s">
        <v>17</v>
      </c>
      <c r="D37" s="121"/>
      <c r="E37" s="1"/>
      <c r="F37" s="11"/>
      <c r="G37" s="164"/>
      <c r="H37" s="164"/>
    </row>
    <row r="38" spans="2:13" x14ac:dyDescent="0.2">
      <c r="C38" s="167" t="s">
        <v>18</v>
      </c>
      <c r="D38" s="167"/>
      <c r="E38" s="1"/>
      <c r="F38" s="11"/>
      <c r="G38" s="164"/>
      <c r="H38" s="164"/>
    </row>
    <row r="39" spans="2:13" x14ac:dyDescent="0.2">
      <c r="C39" s="168" t="s">
        <v>191</v>
      </c>
      <c r="D39" s="168"/>
      <c r="E39" s="364">
        <v>0</v>
      </c>
      <c r="F39" s="11"/>
      <c r="G39" s="638">
        <f t="shared" ref="G39:G49" si="0">IF(E$59=0,0,ROUND(E39/E$59,4))</f>
        <v>0</v>
      </c>
      <c r="H39" s="164"/>
    </row>
    <row r="40" spans="2:13" x14ac:dyDescent="0.2">
      <c r="C40" s="168" t="s">
        <v>1038</v>
      </c>
      <c r="D40" s="168"/>
      <c r="E40" s="349">
        <v>0</v>
      </c>
      <c r="F40" s="11"/>
      <c r="G40" s="638">
        <f t="shared" si="0"/>
        <v>0</v>
      </c>
      <c r="H40" s="164"/>
    </row>
    <row r="41" spans="2:13" x14ac:dyDescent="0.2">
      <c r="C41" s="168" t="s">
        <v>1010</v>
      </c>
      <c r="D41" s="168"/>
      <c r="E41" s="349">
        <v>0</v>
      </c>
      <c r="F41" s="11"/>
      <c r="G41" s="638">
        <f t="shared" si="0"/>
        <v>0</v>
      </c>
      <c r="H41" s="164"/>
    </row>
    <row r="42" spans="2:13" x14ac:dyDescent="0.2">
      <c r="C42" s="168" t="s">
        <v>831</v>
      </c>
      <c r="D42" s="168"/>
      <c r="E42" s="349">
        <v>0</v>
      </c>
      <c r="F42" s="11"/>
      <c r="G42" s="638">
        <f t="shared" si="0"/>
        <v>0</v>
      </c>
      <c r="H42" s="164"/>
    </row>
    <row r="43" spans="2:13" x14ac:dyDescent="0.2">
      <c r="C43" s="168" t="s">
        <v>820</v>
      </c>
      <c r="D43" s="168"/>
      <c r="E43" s="349">
        <v>0</v>
      </c>
      <c r="F43" s="11"/>
      <c r="G43" s="638">
        <f t="shared" si="0"/>
        <v>0</v>
      </c>
      <c r="H43" s="164"/>
    </row>
    <row r="44" spans="2:13" x14ac:dyDescent="0.2">
      <c r="C44" s="168" t="s">
        <v>309</v>
      </c>
      <c r="D44" s="168"/>
      <c r="E44" s="349">
        <v>0</v>
      </c>
      <c r="F44" s="11"/>
      <c r="G44" s="638">
        <f t="shared" si="0"/>
        <v>0</v>
      </c>
      <c r="H44" s="164"/>
    </row>
    <row r="45" spans="2:13" x14ac:dyDescent="0.2">
      <c r="C45" s="168" t="s">
        <v>19</v>
      </c>
      <c r="D45" s="168"/>
      <c r="E45" s="349">
        <v>0</v>
      </c>
      <c r="F45" s="11"/>
      <c r="G45" s="638">
        <f t="shared" si="0"/>
        <v>0</v>
      </c>
      <c r="H45" s="164"/>
    </row>
    <row r="46" spans="2:13" x14ac:dyDescent="0.2">
      <c r="C46" s="168" t="s">
        <v>174</v>
      </c>
      <c r="D46" s="168"/>
      <c r="E46" s="349">
        <v>0</v>
      </c>
      <c r="F46" s="11"/>
      <c r="G46" s="638">
        <f t="shared" si="0"/>
        <v>0</v>
      </c>
      <c r="H46" s="164"/>
    </row>
    <row r="47" spans="2:13" x14ac:dyDescent="0.2">
      <c r="C47" s="383" t="s">
        <v>740</v>
      </c>
      <c r="D47" s="168"/>
      <c r="E47" s="349">
        <v>0</v>
      </c>
      <c r="F47" s="11"/>
      <c r="G47" s="638">
        <f t="shared" si="0"/>
        <v>0</v>
      </c>
      <c r="H47" s="164"/>
    </row>
    <row r="48" spans="2:13" x14ac:dyDescent="0.2">
      <c r="C48" s="168"/>
      <c r="D48" s="168"/>
      <c r="E48" s="1"/>
      <c r="F48" s="11"/>
      <c r="G48" s="164"/>
      <c r="H48" s="164"/>
    </row>
    <row r="49" spans="3:8" ht="15" x14ac:dyDescent="0.2">
      <c r="C49" s="169" t="s">
        <v>20</v>
      </c>
      <c r="D49" s="169"/>
      <c r="E49" s="184">
        <f>+SUM(E39:E48)</f>
        <v>0</v>
      </c>
      <c r="F49" s="11"/>
      <c r="G49" s="638">
        <f t="shared" si="0"/>
        <v>0</v>
      </c>
      <c r="H49" s="185" t="s">
        <v>338</v>
      </c>
    </row>
    <row r="50" spans="3:8" x14ac:dyDescent="0.2">
      <c r="E50" s="1"/>
      <c r="F50" s="11"/>
      <c r="G50" s="170" t="s">
        <v>50</v>
      </c>
      <c r="H50" s="170"/>
    </row>
    <row r="51" spans="3:8" x14ac:dyDescent="0.2">
      <c r="C51" s="167" t="s">
        <v>21</v>
      </c>
      <c r="D51" s="167"/>
      <c r="E51" s="1"/>
      <c r="F51" s="11"/>
      <c r="G51" s="170" t="s">
        <v>50</v>
      </c>
      <c r="H51" s="170"/>
    </row>
    <row r="52" spans="3:8" x14ac:dyDescent="0.2">
      <c r="C52" s="168" t="s">
        <v>22</v>
      </c>
      <c r="D52" s="168"/>
      <c r="E52" s="364">
        <v>0</v>
      </c>
      <c r="F52" s="11"/>
      <c r="G52" s="638">
        <f>IF(E$59=0,0,ROUND(E52/E$59,4))</f>
        <v>0</v>
      </c>
      <c r="H52" s="164"/>
    </row>
    <row r="53" spans="3:8" x14ac:dyDescent="0.2">
      <c r="C53" s="168" t="s">
        <v>23</v>
      </c>
      <c r="D53" s="168"/>
      <c r="E53" s="365">
        <v>0</v>
      </c>
      <c r="F53" s="171"/>
      <c r="G53" s="638">
        <f>IF(E$59=0,0,ROUND(E53/E$59,4))</f>
        <v>0</v>
      </c>
      <c r="H53" s="164"/>
    </row>
    <row r="54" spans="3:8" x14ac:dyDescent="0.2">
      <c r="C54" s="383" t="s">
        <v>747</v>
      </c>
      <c r="D54" s="168"/>
      <c r="E54" s="365">
        <v>0</v>
      </c>
      <c r="F54" s="171"/>
      <c r="G54" s="638">
        <f>IF(E$59=0,0,ROUND(E54/E$59,4))</f>
        <v>0</v>
      </c>
      <c r="H54" s="164"/>
    </row>
    <row r="55" spans="3:8" x14ac:dyDescent="0.2">
      <c r="C55" s="383" t="s">
        <v>748</v>
      </c>
      <c r="D55" s="168"/>
      <c r="E55" s="365">
        <v>0</v>
      </c>
      <c r="F55" s="171"/>
      <c r="G55" s="638">
        <f>IF(E$59=0,0,ROUND(E55/E$59,4))</f>
        <v>0</v>
      </c>
      <c r="H55" s="164"/>
    </row>
    <row r="56" spans="3:8" x14ac:dyDescent="0.2">
      <c r="C56" s="167"/>
      <c r="D56" s="167"/>
      <c r="E56" s="1"/>
      <c r="F56" s="11"/>
      <c r="G56" s="164"/>
      <c r="H56" s="164"/>
    </row>
    <row r="57" spans="3:8" x14ac:dyDescent="0.2">
      <c r="C57" s="169" t="s">
        <v>24</v>
      </c>
      <c r="D57" s="169"/>
      <c r="E57" s="184">
        <f>+SUM(E52:E56)</f>
        <v>0</v>
      </c>
      <c r="F57" s="11"/>
      <c r="G57" s="638">
        <f>IF(E$59=0,0,ROUND(E57/E$59,4))</f>
        <v>0</v>
      </c>
      <c r="H57" s="172"/>
    </row>
    <row r="58" spans="3:8" x14ac:dyDescent="0.2">
      <c r="C58" s="168"/>
      <c r="D58" s="168"/>
      <c r="E58" s="1"/>
      <c r="F58" s="11"/>
      <c r="G58" s="164"/>
      <c r="H58" s="164"/>
    </row>
    <row r="59" spans="3:8" ht="13.5" thickBot="1" x14ac:dyDescent="0.25">
      <c r="C59" s="173" t="s">
        <v>25</v>
      </c>
      <c r="D59" s="173"/>
      <c r="E59" s="186">
        <f>+E49+E57</f>
        <v>0</v>
      </c>
      <c r="F59" s="11"/>
      <c r="G59" s="639">
        <f>G49+G57</f>
        <v>0</v>
      </c>
      <c r="H59" s="172"/>
    </row>
    <row r="60" spans="3:8" ht="13.5" thickTop="1" x14ac:dyDescent="0.2">
      <c r="C60" s="173"/>
      <c r="D60" s="173"/>
      <c r="E60" s="11"/>
      <c r="F60" s="11"/>
      <c r="G60" s="172"/>
      <c r="H60" s="172"/>
    </row>
    <row r="61" spans="3:8" x14ac:dyDescent="0.2">
      <c r="C61" s="174" t="s">
        <v>26</v>
      </c>
      <c r="D61" s="174"/>
      <c r="E61" s="359">
        <v>0</v>
      </c>
      <c r="F61" s="11"/>
      <c r="G61" s="172"/>
      <c r="H61" s="172"/>
    </row>
    <row r="62" spans="3:8" x14ac:dyDescent="0.2">
      <c r="C62" s="173"/>
      <c r="D62" s="173"/>
      <c r="E62" s="11"/>
      <c r="F62" s="11"/>
      <c r="G62" s="172"/>
      <c r="H62" s="172"/>
    </row>
    <row r="63" spans="3:8" ht="13.5" thickBot="1" x14ac:dyDescent="0.25">
      <c r="C63" s="173" t="s">
        <v>27</v>
      </c>
      <c r="D63" s="173"/>
      <c r="E63" s="186">
        <f>E59+E61</f>
        <v>0</v>
      </c>
      <c r="F63" s="11"/>
      <c r="G63" s="172"/>
      <c r="H63" s="172"/>
    </row>
    <row r="64" spans="3:8" ht="13.5" thickTop="1" x14ac:dyDescent="0.2">
      <c r="C64" s="173"/>
      <c r="D64" s="173"/>
      <c r="E64" s="1"/>
      <c r="F64" s="1"/>
      <c r="G64" s="164"/>
      <c r="H64" s="164"/>
    </row>
    <row r="65" spans="1:9" ht="15.75" customHeight="1" x14ac:dyDescent="0.2">
      <c r="C65" s="173"/>
      <c r="D65" s="173"/>
      <c r="E65" s="1"/>
      <c r="F65" s="1"/>
      <c r="G65" s="1574" t="s">
        <v>948</v>
      </c>
      <c r="H65" s="1574"/>
      <c r="I65" s="1574"/>
    </row>
    <row r="66" spans="1:9" ht="32.25" customHeight="1" x14ac:dyDescent="0.2">
      <c r="C66" s="1387" t="s">
        <v>445</v>
      </c>
      <c r="D66" s="1603"/>
      <c r="E66" s="187" t="str">
        <f>IF(G49&gt;=50%,"Governmental","Business Type")</f>
        <v>Business Type</v>
      </c>
      <c r="F66" s="230" t="s">
        <v>338</v>
      </c>
      <c r="G66" s="1574"/>
      <c r="H66" s="1574"/>
      <c r="I66" s="1574"/>
    </row>
    <row r="67" spans="1:9" ht="44.25" customHeight="1" x14ac:dyDescent="0.2">
      <c r="C67" s="34"/>
      <c r="D67" s="34"/>
      <c r="E67" s="176"/>
      <c r="F67" s="175"/>
      <c r="G67" s="164"/>
      <c r="H67" s="164"/>
    </row>
    <row r="68" spans="1:9" x14ac:dyDescent="0.2">
      <c r="E68" s="1"/>
      <c r="F68" s="1"/>
      <c r="G68" s="177"/>
      <c r="H68" s="177"/>
      <c r="I68" s="164"/>
    </row>
    <row r="69" spans="1:9" ht="17.25" customHeight="1" x14ac:dyDescent="0.2">
      <c r="A69" s="4" t="s">
        <v>548</v>
      </c>
      <c r="B69" s="1578" t="s">
        <v>1099</v>
      </c>
      <c r="C69" s="1579"/>
      <c r="D69" s="1579"/>
      <c r="E69" s="1579"/>
      <c r="F69" s="1579"/>
      <c r="G69" s="1579"/>
      <c r="H69" s="1579"/>
      <c r="I69" s="1580"/>
    </row>
    <row r="70" spans="1:9" ht="36" customHeight="1" x14ac:dyDescent="0.2">
      <c r="B70" s="1581"/>
      <c r="C70" s="1582"/>
      <c r="D70" s="1582"/>
      <c r="E70" s="1582"/>
      <c r="F70" s="1582"/>
      <c r="G70" s="1582"/>
      <c r="H70" s="1582"/>
      <c r="I70" s="1583"/>
    </row>
    <row r="71" spans="1:9" ht="3.75" customHeight="1" x14ac:dyDescent="0.2">
      <c r="E71" s="1"/>
      <c r="F71" s="1"/>
      <c r="G71" s="177"/>
      <c r="H71" s="177"/>
      <c r="I71" s="164"/>
    </row>
    <row r="72" spans="1:9" x14ac:dyDescent="0.2">
      <c r="B72" s="64" t="s">
        <v>521</v>
      </c>
      <c r="C72" s="4" t="s">
        <v>840</v>
      </c>
      <c r="E72" s="3" t="s">
        <v>517</v>
      </c>
      <c r="F72" s="46"/>
      <c r="G72" s="3" t="s">
        <v>518</v>
      </c>
      <c r="H72" s="177"/>
      <c r="I72" s="164"/>
    </row>
    <row r="73" spans="1:9" x14ac:dyDescent="0.2">
      <c r="C73" s="13" t="s">
        <v>608</v>
      </c>
      <c r="D73" s="13"/>
      <c r="E73" s="367">
        <v>0</v>
      </c>
      <c r="F73" s="99"/>
      <c r="G73" s="183"/>
      <c r="H73" s="177"/>
      <c r="I73" s="164"/>
    </row>
    <row r="74" spans="1:9" x14ac:dyDescent="0.2">
      <c r="C74" s="13" t="s">
        <v>241</v>
      </c>
      <c r="D74" s="13"/>
      <c r="E74" s="367">
        <v>0</v>
      </c>
      <c r="F74" s="99"/>
      <c r="G74" s="183"/>
      <c r="H74" s="177"/>
      <c r="I74" s="164"/>
    </row>
    <row r="75" spans="1:9" x14ac:dyDescent="0.2">
      <c r="C75" s="13" t="s">
        <v>54</v>
      </c>
      <c r="D75" s="13"/>
      <c r="E75" s="367">
        <v>0</v>
      </c>
      <c r="F75" s="99"/>
      <c r="G75" s="183"/>
      <c r="H75" s="177"/>
      <c r="I75" s="164"/>
    </row>
    <row r="76" spans="1:9" x14ac:dyDescent="0.2">
      <c r="C76" s="13" t="s">
        <v>850</v>
      </c>
      <c r="D76" s="13"/>
      <c r="E76" s="367">
        <v>0</v>
      </c>
      <c r="F76" s="99"/>
      <c r="G76" s="183"/>
      <c r="H76" s="177"/>
      <c r="I76" s="164"/>
    </row>
    <row r="77" spans="1:9" x14ac:dyDescent="0.2">
      <c r="C77" s="13" t="s">
        <v>57</v>
      </c>
      <c r="D77" s="13"/>
      <c r="E77" s="367">
        <v>0</v>
      </c>
      <c r="F77" s="99"/>
      <c r="G77" s="183"/>
      <c r="H77" s="177"/>
      <c r="I77" s="164"/>
    </row>
    <row r="78" spans="1:9" x14ac:dyDescent="0.2">
      <c r="C78" s="13" t="s">
        <v>58</v>
      </c>
      <c r="D78" s="13"/>
      <c r="E78" s="367">
        <v>0</v>
      </c>
      <c r="F78" s="99"/>
      <c r="G78" s="183"/>
      <c r="H78" s="177"/>
      <c r="I78" s="164"/>
    </row>
    <row r="79" spans="1:9" x14ac:dyDescent="0.2">
      <c r="C79" s="13" t="s">
        <v>826</v>
      </c>
      <c r="D79" s="13"/>
      <c r="E79" s="367">
        <v>0</v>
      </c>
      <c r="F79" s="99"/>
      <c r="G79" s="183"/>
      <c r="H79" s="177"/>
      <c r="I79" s="164"/>
    </row>
    <row r="80" spans="1:9" x14ac:dyDescent="0.2">
      <c r="C80" s="13" t="s">
        <v>827</v>
      </c>
      <c r="D80" s="13"/>
      <c r="E80" s="367">
        <v>0</v>
      </c>
      <c r="F80" s="99"/>
      <c r="G80" s="183"/>
      <c r="H80" s="177"/>
      <c r="I80" s="164"/>
    </row>
    <row r="81" spans="1:9" x14ac:dyDescent="0.2">
      <c r="C81" s="13" t="s">
        <v>824</v>
      </c>
      <c r="D81" s="13"/>
      <c r="E81" s="367">
        <v>0</v>
      </c>
      <c r="F81" s="99"/>
      <c r="G81" s="183"/>
      <c r="H81" s="177"/>
      <c r="I81" s="164"/>
    </row>
    <row r="82" spans="1:9" x14ac:dyDescent="0.2">
      <c r="C82" s="13" t="s">
        <v>609</v>
      </c>
      <c r="D82" s="13"/>
      <c r="E82" s="367">
        <v>0</v>
      </c>
      <c r="F82" s="99"/>
      <c r="G82" s="183"/>
      <c r="H82" s="177"/>
      <c r="I82" s="658" t="s">
        <v>1101</v>
      </c>
    </row>
    <row r="83" spans="1:9" s="727" customFormat="1" x14ac:dyDescent="0.2">
      <c r="A83" s="726"/>
      <c r="C83" s="699" t="s">
        <v>2069</v>
      </c>
      <c r="D83" s="728"/>
      <c r="E83" s="367">
        <v>0</v>
      </c>
      <c r="F83" s="730"/>
      <c r="G83" s="183"/>
      <c r="H83" s="177"/>
      <c r="I83" s="658"/>
    </row>
    <row r="84" spans="1:9" s="727" customFormat="1" ht="38.25" x14ac:dyDescent="0.2">
      <c r="A84" s="726"/>
      <c r="C84" s="1141" t="s">
        <v>4019</v>
      </c>
      <c r="D84" s="728"/>
      <c r="E84" s="367">
        <v>0</v>
      </c>
      <c r="F84" s="730"/>
      <c r="G84" s="183"/>
      <c r="H84" s="177"/>
      <c r="I84" s="658"/>
    </row>
    <row r="85" spans="1:9" s="727" customFormat="1" ht="25.5" x14ac:dyDescent="0.2">
      <c r="A85" s="726"/>
      <c r="C85" s="1141" t="s">
        <v>4026</v>
      </c>
      <c r="D85" s="728"/>
      <c r="E85" s="367">
        <v>0</v>
      </c>
      <c r="F85" s="730"/>
      <c r="G85" s="183"/>
      <c r="H85" s="177"/>
      <c r="I85" s="658"/>
    </row>
    <row r="86" spans="1:9" s="727" customFormat="1" x14ac:dyDescent="0.2">
      <c r="A86" s="726"/>
      <c r="C86" s="699" t="s">
        <v>4027</v>
      </c>
      <c r="D86" s="728"/>
      <c r="E86" s="367">
        <v>0</v>
      </c>
      <c r="F86" s="730"/>
      <c r="G86" s="183"/>
      <c r="H86" s="177"/>
      <c r="I86" s="658"/>
    </row>
    <row r="87" spans="1:9" s="727" customFormat="1" ht="38.25" x14ac:dyDescent="0.2">
      <c r="A87" s="726"/>
      <c r="C87" s="1140" t="s">
        <v>4029</v>
      </c>
      <c r="D87" s="728"/>
      <c r="E87" s="367">
        <v>0</v>
      </c>
      <c r="F87" s="730"/>
      <c r="G87" s="183"/>
      <c r="H87" s="177"/>
      <c r="I87" s="658"/>
    </row>
    <row r="88" spans="1:9" s="1049" customFormat="1" x14ac:dyDescent="0.2">
      <c r="A88" s="1048"/>
      <c r="C88" s="699" t="s">
        <v>3988</v>
      </c>
      <c r="D88" s="1051"/>
      <c r="E88" s="367">
        <v>0</v>
      </c>
      <c r="F88" s="751"/>
      <c r="G88" s="183"/>
      <c r="H88" s="177"/>
      <c r="I88" s="658"/>
    </row>
    <row r="89" spans="1:9" s="1137" customFormat="1" ht="25.5" x14ac:dyDescent="0.2">
      <c r="A89" s="1136"/>
      <c r="C89" s="1141" t="s">
        <v>4025</v>
      </c>
      <c r="D89" s="1138"/>
      <c r="E89" s="366">
        <v>0</v>
      </c>
      <c r="F89" s="751"/>
      <c r="G89" s="183"/>
      <c r="H89" s="177"/>
      <c r="I89" s="6"/>
    </row>
    <row r="90" spans="1:9" s="1137" customFormat="1" x14ac:dyDescent="0.2">
      <c r="A90" s="1136"/>
      <c r="C90" s="699" t="s">
        <v>4034</v>
      </c>
      <c r="D90" s="1138"/>
      <c r="E90" s="366">
        <v>0</v>
      </c>
      <c r="F90" s="751"/>
      <c r="G90" s="183"/>
      <c r="H90" s="177"/>
      <c r="I90" s="6"/>
    </row>
    <row r="91" spans="1:9" s="1137" customFormat="1" ht="42" customHeight="1" x14ac:dyDescent="0.2">
      <c r="A91" s="1136"/>
      <c r="C91" s="1140" t="s">
        <v>4033</v>
      </c>
      <c r="D91" s="1138"/>
      <c r="E91" s="366">
        <v>0</v>
      </c>
      <c r="F91" s="751"/>
      <c r="G91" s="183"/>
      <c r="H91" s="177"/>
      <c r="I91" s="6"/>
    </row>
    <row r="92" spans="1:9" x14ac:dyDescent="0.2">
      <c r="C92" s="1051" t="s">
        <v>610</v>
      </c>
      <c r="D92" s="13"/>
      <c r="E92" s="182"/>
      <c r="F92" s="99"/>
      <c r="G92" s="367">
        <v>0</v>
      </c>
      <c r="H92" s="177"/>
      <c r="I92" s="164"/>
    </row>
    <row r="93" spans="1:9" x14ac:dyDescent="0.2">
      <c r="C93" s="1051" t="s">
        <v>611</v>
      </c>
      <c r="D93" s="13"/>
      <c r="E93" s="182"/>
      <c r="F93" s="99"/>
      <c r="G93" s="367">
        <v>0</v>
      </c>
      <c r="H93" s="177"/>
      <c r="I93" s="164"/>
    </row>
    <row r="94" spans="1:9" x14ac:dyDescent="0.2">
      <c r="C94" s="1051" t="s">
        <v>612</v>
      </c>
      <c r="D94" s="13"/>
      <c r="E94" s="182"/>
      <c r="F94" s="99"/>
      <c r="G94" s="367">
        <v>0</v>
      </c>
      <c r="H94" s="177"/>
      <c r="I94" s="164"/>
    </row>
    <row r="95" spans="1:9" x14ac:dyDescent="0.2">
      <c r="C95" s="1051" t="s">
        <v>613</v>
      </c>
      <c r="D95" s="13"/>
      <c r="E95" s="99"/>
      <c r="F95" s="99"/>
      <c r="G95" s="367">
        <v>0</v>
      </c>
      <c r="H95" s="177"/>
      <c r="I95" s="164"/>
    </row>
    <row r="96" spans="1:9" x14ac:dyDescent="0.2">
      <c r="C96" s="331" t="s">
        <v>59</v>
      </c>
      <c r="D96" s="13"/>
      <c r="E96" s="99"/>
      <c r="F96" s="99"/>
      <c r="G96" s="367">
        <v>0</v>
      </c>
      <c r="H96" s="177"/>
      <c r="I96" s="164"/>
    </row>
    <row r="97" spans="1:9" x14ac:dyDescent="0.2">
      <c r="C97" s="331" t="s">
        <v>849</v>
      </c>
      <c r="D97" s="13"/>
      <c r="E97" s="99"/>
      <c r="F97" s="99"/>
      <c r="G97" s="367">
        <v>0</v>
      </c>
      <c r="H97" s="177"/>
      <c r="I97" s="164"/>
    </row>
    <row r="98" spans="1:9" x14ac:dyDescent="0.2">
      <c r="C98" s="1051" t="s">
        <v>937</v>
      </c>
      <c r="D98" s="13"/>
      <c r="E98" s="99"/>
      <c r="F98" s="99"/>
      <c r="G98" s="367">
        <v>0</v>
      </c>
      <c r="H98" s="177"/>
      <c r="I98" s="164"/>
    </row>
    <row r="99" spans="1:9" x14ac:dyDescent="0.2">
      <c r="C99" s="1051" t="s">
        <v>938</v>
      </c>
      <c r="D99" s="13"/>
      <c r="E99" s="99"/>
      <c r="F99" s="99"/>
      <c r="G99" s="367">
        <v>0</v>
      </c>
      <c r="H99" s="177"/>
      <c r="I99" s="164"/>
    </row>
    <row r="100" spans="1:9" x14ac:dyDescent="0.2">
      <c r="C100" s="1051" t="s">
        <v>4082</v>
      </c>
      <c r="D100" s="13"/>
      <c r="E100" s="99"/>
      <c r="F100" s="99"/>
      <c r="G100" s="367">
        <v>0</v>
      </c>
      <c r="H100" s="177"/>
      <c r="I100" s="164"/>
    </row>
    <row r="101" spans="1:9" x14ac:dyDescent="0.2">
      <c r="C101" s="1051" t="s">
        <v>939</v>
      </c>
      <c r="D101" s="13"/>
      <c r="E101" s="99"/>
      <c r="F101" s="99"/>
      <c r="G101" s="367">
        <v>0</v>
      </c>
      <c r="H101" s="177"/>
      <c r="I101" s="164"/>
    </row>
    <row r="102" spans="1:9" s="727" customFormat="1" ht="51" x14ac:dyDescent="0.2">
      <c r="A102" s="726"/>
      <c r="C102" s="742" t="s">
        <v>4019</v>
      </c>
      <c r="D102" s="728"/>
      <c r="E102" s="730"/>
      <c r="F102" s="730"/>
      <c r="G102" s="367">
        <v>0</v>
      </c>
      <c r="H102" s="177"/>
      <c r="I102" s="164"/>
    </row>
    <row r="103" spans="1:9" s="727" customFormat="1" ht="25.5" x14ac:dyDescent="0.2">
      <c r="A103" s="726"/>
      <c r="C103" s="742" t="s">
        <v>4026</v>
      </c>
      <c r="D103" s="728"/>
      <c r="E103" s="730"/>
      <c r="F103" s="730"/>
      <c r="G103" s="367">
        <v>0</v>
      </c>
      <c r="H103" s="177"/>
      <c r="I103" s="164"/>
    </row>
    <row r="104" spans="1:9" s="727" customFormat="1" x14ac:dyDescent="0.2">
      <c r="A104" s="726"/>
      <c r="C104" s="743" t="s">
        <v>4027</v>
      </c>
      <c r="D104" s="728"/>
      <c r="E104" s="730"/>
      <c r="F104" s="730"/>
      <c r="G104" s="367">
        <v>0</v>
      </c>
      <c r="H104" s="177"/>
      <c r="I104" s="164"/>
    </row>
    <row r="105" spans="1:9" s="727" customFormat="1" ht="38.25" x14ac:dyDescent="0.2">
      <c r="A105" s="726"/>
      <c r="C105" s="742" t="s">
        <v>4029</v>
      </c>
      <c r="D105" s="728"/>
      <c r="E105" s="730"/>
      <c r="F105" s="730"/>
      <c r="G105" s="367">
        <v>0</v>
      </c>
      <c r="H105" s="177"/>
      <c r="I105" s="164"/>
    </row>
    <row r="106" spans="1:9" s="1137" customFormat="1" ht="25.5" x14ac:dyDescent="0.2">
      <c r="A106" s="1136"/>
      <c r="C106" s="742" t="s">
        <v>4025</v>
      </c>
      <c r="D106" s="1138"/>
      <c r="E106" s="751"/>
      <c r="F106" s="751"/>
      <c r="G106" s="367">
        <v>0</v>
      </c>
      <c r="H106" s="177"/>
      <c r="I106" s="164"/>
    </row>
    <row r="107" spans="1:9" s="1137" customFormat="1" x14ac:dyDescent="0.2">
      <c r="A107" s="1136"/>
      <c r="C107" s="743" t="s">
        <v>4028</v>
      </c>
      <c r="D107" s="1138"/>
      <c r="E107" s="751"/>
      <c r="F107" s="751"/>
      <c r="G107" s="367">
        <v>0</v>
      </c>
      <c r="H107" s="177"/>
      <c r="I107" s="164"/>
    </row>
    <row r="108" spans="1:9" s="1137" customFormat="1" ht="25.5" x14ac:dyDescent="0.2">
      <c r="A108" s="1136"/>
      <c r="C108" s="742" t="s">
        <v>4033</v>
      </c>
      <c r="D108" s="1138"/>
      <c r="E108" s="751"/>
      <c r="F108" s="751"/>
      <c r="G108" s="367">
        <v>0</v>
      </c>
      <c r="H108" s="177"/>
      <c r="I108" s="164"/>
    </row>
    <row r="109" spans="1:9" x14ac:dyDescent="0.2">
      <c r="C109" s="13" t="s">
        <v>1100</v>
      </c>
      <c r="D109" s="13"/>
      <c r="E109" s="93"/>
      <c r="F109" s="93"/>
      <c r="G109" s="349">
        <v>0</v>
      </c>
      <c r="H109" s="177"/>
      <c r="I109" s="227" t="s">
        <v>727</v>
      </c>
    </row>
    <row r="110" spans="1:9" ht="7.5" customHeight="1" x14ac:dyDescent="0.2">
      <c r="C110" s="13"/>
      <c r="D110" s="13"/>
      <c r="E110" s="93"/>
      <c r="F110" s="93"/>
      <c r="G110" s="93"/>
      <c r="H110" s="177"/>
      <c r="I110" s="164"/>
    </row>
    <row r="111" spans="1:9" ht="12.75" customHeight="1" x14ac:dyDescent="0.2">
      <c r="B111" s="64" t="s">
        <v>522</v>
      </c>
      <c r="C111" s="147" t="s">
        <v>841</v>
      </c>
      <c r="D111" s="13"/>
      <c r="E111" s="93"/>
      <c r="F111" s="93"/>
      <c r="G111" s="93"/>
      <c r="H111" s="177"/>
      <c r="I111" s="164"/>
    </row>
    <row r="112" spans="1:9" x14ac:dyDescent="0.2">
      <c r="C112" s="167" t="s">
        <v>904</v>
      </c>
      <c r="D112" s="167"/>
      <c r="F112" s="1"/>
      <c r="G112" s="349">
        <v>0</v>
      </c>
      <c r="H112" s="1"/>
      <c r="I112" s="189"/>
    </row>
    <row r="113" spans="1:9" ht="12.75" customHeight="1" x14ac:dyDescent="0.2">
      <c r="C113" s="167" t="s">
        <v>842</v>
      </c>
      <c r="D113" s="167"/>
      <c r="E113" s="349">
        <v>0</v>
      </c>
      <c r="F113" s="1"/>
      <c r="H113" s="1"/>
      <c r="I113" s="189" t="s">
        <v>726</v>
      </c>
    </row>
    <row r="114" spans="1:9" x14ac:dyDescent="0.2">
      <c r="C114" s="167" t="s">
        <v>147</v>
      </c>
      <c r="D114" s="167"/>
      <c r="E114" s="349">
        <v>0</v>
      </c>
      <c r="F114" s="1"/>
      <c r="H114" s="1"/>
      <c r="I114" s="190" t="s">
        <v>1102</v>
      </c>
    </row>
    <row r="115" spans="1:9" x14ac:dyDescent="0.2">
      <c r="C115" s="167" t="s">
        <v>146</v>
      </c>
      <c r="D115" s="167"/>
      <c r="F115" s="1"/>
      <c r="G115" s="349">
        <v>0</v>
      </c>
      <c r="H115" s="1"/>
      <c r="I115" s="189"/>
    </row>
    <row r="116" spans="1:9" x14ac:dyDescent="0.2">
      <c r="C116" s="167" t="s">
        <v>624</v>
      </c>
      <c r="D116" s="167"/>
      <c r="F116" s="1"/>
      <c r="G116" s="349">
        <v>0</v>
      </c>
      <c r="H116" s="1"/>
      <c r="I116" s="190" t="s">
        <v>572</v>
      </c>
    </row>
    <row r="117" spans="1:9" ht="22.5" x14ac:dyDescent="0.2">
      <c r="C117" s="167" t="s">
        <v>28</v>
      </c>
      <c r="D117" s="167"/>
      <c r="E117" s="349">
        <v>0</v>
      </c>
      <c r="F117" s="1"/>
      <c r="H117" s="1"/>
      <c r="I117" s="188" t="s">
        <v>604</v>
      </c>
    </row>
    <row r="118" spans="1:9" x14ac:dyDescent="0.2">
      <c r="B118" s="39"/>
      <c r="C118" s="167"/>
      <c r="D118" s="167"/>
      <c r="F118" s="1"/>
      <c r="G118" s="1"/>
      <c r="H118" s="1"/>
      <c r="I118" s="1"/>
    </row>
    <row r="119" spans="1:9" ht="24" customHeight="1" x14ac:dyDescent="0.2">
      <c r="B119" s="64" t="s">
        <v>523</v>
      </c>
      <c r="C119" s="1608" t="s">
        <v>1103</v>
      </c>
      <c r="D119" s="1604">
        <v>0</v>
      </c>
      <c r="F119" s="1"/>
      <c r="H119" s="1"/>
      <c r="I119" s="190" t="s">
        <v>1104</v>
      </c>
    </row>
    <row r="120" spans="1:9" ht="21.75" customHeight="1" x14ac:dyDescent="0.2">
      <c r="B120" s="64"/>
      <c r="C120" s="1609"/>
      <c r="D120" s="1604"/>
      <c r="F120" s="1"/>
      <c r="H120" s="1"/>
      <c r="I120" s="189"/>
    </row>
    <row r="121" spans="1:9" x14ac:dyDescent="0.2">
      <c r="B121" s="39"/>
      <c r="C121" s="224" t="s">
        <v>1024</v>
      </c>
      <c r="D121" s="225">
        <f>G112-E113-E114+G115+G116-E117</f>
        <v>0</v>
      </c>
      <c r="F121" s="1"/>
      <c r="G121" s="1"/>
      <c r="H121" s="1"/>
      <c r="I121" s="1"/>
    </row>
    <row r="122" spans="1:9" ht="36" customHeight="1" thickBot="1" x14ac:dyDescent="0.25">
      <c r="C122" s="168" t="s">
        <v>1025</v>
      </c>
      <c r="D122" s="332">
        <f>D119-D121</f>
        <v>0</v>
      </c>
      <c r="E122" s="8"/>
      <c r="F122" s="226"/>
      <c r="G122" s="207">
        <f>D122</f>
        <v>0</v>
      </c>
      <c r="H122" s="1"/>
      <c r="I122" s="231" t="s">
        <v>355</v>
      </c>
    </row>
    <row r="123" spans="1:9" ht="18.75" customHeight="1" thickTop="1" thickBot="1" x14ac:dyDescent="0.25">
      <c r="C123" s="168"/>
      <c r="D123" s="168"/>
      <c r="E123" s="228">
        <f>SUM(E73:E122)</f>
        <v>0</v>
      </c>
      <c r="F123" s="1"/>
      <c r="G123" s="92">
        <f>SUM(G92:G122)</f>
        <v>0</v>
      </c>
      <c r="H123" s="1"/>
      <c r="I123" s="232" t="s">
        <v>356</v>
      </c>
    </row>
    <row r="124" spans="1:9" ht="13.5" thickTop="1" x14ac:dyDescent="0.2">
      <c r="C124" s="168"/>
      <c r="D124" s="168"/>
      <c r="F124" s="1"/>
      <c r="G124" s="1"/>
      <c r="H124" s="1"/>
      <c r="I124" s="1"/>
    </row>
    <row r="125" spans="1:9" ht="15" customHeight="1" x14ac:dyDescent="0.2">
      <c r="A125" s="4" t="s">
        <v>816</v>
      </c>
      <c r="B125" s="1578" t="s">
        <v>1105</v>
      </c>
      <c r="C125" s="1579"/>
      <c r="D125" s="1579"/>
      <c r="E125" s="1579"/>
      <c r="F125" s="1579"/>
      <c r="G125" s="1579"/>
      <c r="H125" s="1579"/>
      <c r="I125" s="1580"/>
    </row>
    <row r="126" spans="1:9" ht="25.5" customHeight="1" x14ac:dyDescent="0.2">
      <c r="B126" s="1581"/>
      <c r="C126" s="1582"/>
      <c r="D126" s="1582"/>
      <c r="E126" s="1582"/>
      <c r="F126" s="1582"/>
      <c r="G126" s="1582"/>
      <c r="H126" s="1582"/>
      <c r="I126" s="1583"/>
    </row>
    <row r="127" spans="1:9" x14ac:dyDescent="0.2">
      <c r="E127" s="1"/>
      <c r="F127" s="1"/>
      <c r="G127" s="177"/>
      <c r="H127" s="177"/>
      <c r="I127" s="164"/>
    </row>
    <row r="128" spans="1:9" ht="12.75" customHeight="1" x14ac:dyDescent="0.2">
      <c r="B128" s="39" t="s">
        <v>521</v>
      </c>
      <c r="C128" s="1402" t="s">
        <v>528</v>
      </c>
      <c r="D128" s="1402"/>
      <c r="E128" s="1402"/>
      <c r="F128" s="1"/>
      <c r="G128" s="1573"/>
      <c r="H128" s="177"/>
      <c r="I128" s="164"/>
    </row>
    <row r="129" spans="1:12" ht="45.75" customHeight="1" x14ac:dyDescent="0.2">
      <c r="C129" s="1402"/>
      <c r="D129" s="1402"/>
      <c r="E129" s="1402"/>
      <c r="F129" s="1"/>
      <c r="G129" s="1573"/>
      <c r="H129" s="177"/>
      <c r="I129" s="164"/>
    </row>
    <row r="130" spans="1:12" x14ac:dyDescent="0.2">
      <c r="E130" s="1"/>
      <c r="F130" s="1"/>
      <c r="G130" s="177"/>
      <c r="H130" s="177"/>
      <c r="I130" s="193" t="s">
        <v>940</v>
      </c>
    </row>
    <row r="131" spans="1:12" x14ac:dyDescent="0.2">
      <c r="B131" s="39" t="s">
        <v>522</v>
      </c>
      <c r="C131" s="1402" t="s">
        <v>1106</v>
      </c>
      <c r="D131" s="1402"/>
      <c r="E131" s="1402"/>
      <c r="F131" s="1"/>
      <c r="G131" s="1573"/>
      <c r="H131" s="177"/>
      <c r="I131" s="164"/>
    </row>
    <row r="132" spans="1:12" ht="47.25" customHeight="1" x14ac:dyDescent="0.2">
      <c r="C132" s="1402"/>
      <c r="D132" s="1402"/>
      <c r="E132" s="1402"/>
      <c r="F132" s="1"/>
      <c r="G132" s="1573"/>
      <c r="H132" s="177"/>
      <c r="I132" s="164"/>
    </row>
    <row r="133" spans="1:12" x14ac:dyDescent="0.2">
      <c r="E133" s="1"/>
      <c r="F133" s="1"/>
      <c r="G133" s="177"/>
      <c r="H133" s="177"/>
      <c r="I133" s="164"/>
    </row>
    <row r="134" spans="1:12" ht="13.5" customHeight="1" x14ac:dyDescent="0.2">
      <c r="A134" s="4" t="s">
        <v>822</v>
      </c>
      <c r="B134" s="1578" t="s">
        <v>512</v>
      </c>
      <c r="C134" s="1579"/>
      <c r="D134" s="1579"/>
      <c r="E134" s="1579"/>
      <c r="F134" s="1579"/>
      <c r="G134" s="1579"/>
      <c r="H134" s="1579"/>
      <c r="I134" s="1580"/>
      <c r="J134" s="1"/>
      <c r="K134" s="1"/>
      <c r="L134" s="1"/>
    </row>
    <row r="135" spans="1:12" ht="12" customHeight="1" x14ac:dyDescent="0.2">
      <c r="B135" s="1581"/>
      <c r="C135" s="1582"/>
      <c r="D135" s="1582"/>
      <c r="E135" s="1582"/>
      <c r="F135" s="1582"/>
      <c r="G135" s="1582"/>
      <c r="H135" s="1582"/>
      <c r="I135" s="1583"/>
      <c r="J135" s="1"/>
      <c r="K135" s="1"/>
      <c r="L135" s="1"/>
    </row>
    <row r="136" spans="1:12" ht="5.25" customHeight="1" x14ac:dyDescent="0.2">
      <c r="C136" s="179"/>
      <c r="D136" s="179"/>
      <c r="E136" s="162"/>
      <c r="F136" s="162"/>
      <c r="G136" s="162"/>
      <c r="H136" s="162"/>
      <c r="I136" s="162"/>
      <c r="J136" s="1"/>
      <c r="K136" s="1"/>
      <c r="L136" s="1"/>
    </row>
    <row r="137" spans="1:12" ht="37.5" customHeight="1" x14ac:dyDescent="0.2">
      <c r="C137" s="196" t="s">
        <v>848</v>
      </c>
      <c r="D137" s="196"/>
      <c r="E137" s="180" t="s">
        <v>605</v>
      </c>
      <c r="F137" s="178"/>
      <c r="G137" s="180" t="s">
        <v>606</v>
      </c>
      <c r="H137" s="178"/>
      <c r="I137" s="181"/>
      <c r="J137" s="1"/>
      <c r="K137" s="1"/>
      <c r="L137" s="1"/>
    </row>
    <row r="138" spans="1:12" x14ac:dyDescent="0.2">
      <c r="E138" s="1"/>
      <c r="F138" s="11"/>
      <c r="G138" s="1"/>
      <c r="H138" s="1"/>
      <c r="I138" s="1"/>
      <c r="J138" s="1"/>
      <c r="K138" s="1"/>
      <c r="L138" s="1"/>
    </row>
    <row r="139" spans="1:12" x14ac:dyDescent="0.2">
      <c r="C139" t="str">
        <f>+$C39</f>
        <v>General government</v>
      </c>
      <c r="E139" s="285">
        <f t="shared" ref="E139:E147" si="1">D$122*G39</f>
        <v>0</v>
      </c>
      <c r="F139" s="1"/>
      <c r="G139" s="1"/>
      <c r="H139" s="1"/>
      <c r="I139" s="1"/>
      <c r="J139" s="1"/>
      <c r="K139" s="1"/>
      <c r="L139" s="1"/>
    </row>
    <row r="140" spans="1:12" x14ac:dyDescent="0.2">
      <c r="C140" t="str">
        <f>+C40</f>
        <v>Public safety</v>
      </c>
      <c r="E140" s="285">
        <f t="shared" si="1"/>
        <v>0</v>
      </c>
      <c r="F140" s="1"/>
      <c r="G140" s="1"/>
      <c r="H140" s="1"/>
      <c r="I140" s="1"/>
      <c r="J140" s="1"/>
      <c r="K140" s="1"/>
      <c r="L140" s="1"/>
    </row>
    <row r="141" spans="1:12" x14ac:dyDescent="0.2">
      <c r="C141" t="str">
        <f>+C41</f>
        <v>Transportation</v>
      </c>
      <c r="E141" s="285">
        <f t="shared" si="1"/>
        <v>0</v>
      </c>
      <c r="F141" s="1"/>
      <c r="G141" s="1"/>
      <c r="H141" s="1"/>
      <c r="I141" s="1"/>
      <c r="J141" s="1"/>
      <c r="K141" s="1"/>
      <c r="L141" s="1"/>
    </row>
    <row r="142" spans="1:12" x14ac:dyDescent="0.2">
      <c r="C142" t="s">
        <v>831</v>
      </c>
      <c r="E142" s="285">
        <f t="shared" si="1"/>
        <v>0</v>
      </c>
      <c r="F142" s="1"/>
      <c r="G142" s="1"/>
      <c r="H142" s="1"/>
      <c r="I142" s="1"/>
      <c r="J142" s="1"/>
      <c r="K142" s="1"/>
      <c r="L142" s="1"/>
    </row>
    <row r="143" spans="1:12" x14ac:dyDescent="0.2">
      <c r="C143" t="s">
        <v>820</v>
      </c>
      <c r="E143" s="285">
        <f t="shared" si="1"/>
        <v>0</v>
      </c>
      <c r="F143" s="1"/>
      <c r="G143" s="1"/>
      <c r="H143" s="1"/>
      <c r="I143" s="1"/>
      <c r="J143" s="1"/>
      <c r="K143" s="1"/>
      <c r="L143" s="1"/>
    </row>
    <row r="144" spans="1:12" x14ac:dyDescent="0.2">
      <c r="C144" t="s">
        <v>309</v>
      </c>
      <c r="E144" s="285">
        <f t="shared" si="1"/>
        <v>0</v>
      </c>
      <c r="F144" s="1"/>
      <c r="G144" s="1"/>
      <c r="H144" s="1"/>
      <c r="I144" s="1"/>
      <c r="J144" s="1"/>
      <c r="K144" s="1"/>
      <c r="L144" s="1"/>
    </row>
    <row r="145" spans="1:12" x14ac:dyDescent="0.2">
      <c r="C145" t="s">
        <v>19</v>
      </c>
      <c r="E145" s="285">
        <f t="shared" si="1"/>
        <v>0</v>
      </c>
      <c r="F145" s="1"/>
      <c r="G145" s="1"/>
      <c r="H145" s="1"/>
      <c r="I145" s="6"/>
      <c r="J145" s="1"/>
      <c r="K145" s="1"/>
      <c r="L145" s="1"/>
    </row>
    <row r="146" spans="1:12" x14ac:dyDescent="0.2">
      <c r="C146" t="s">
        <v>174</v>
      </c>
      <c r="E146" s="285">
        <f t="shared" si="1"/>
        <v>0</v>
      </c>
      <c r="F146" s="1"/>
      <c r="G146" s="1"/>
      <c r="H146" s="1"/>
      <c r="I146" s="229"/>
      <c r="J146" s="1"/>
      <c r="K146" s="1"/>
      <c r="L146" s="1"/>
    </row>
    <row r="147" spans="1:12" ht="12.75" customHeight="1" x14ac:dyDescent="0.2">
      <c r="C147" s="354" t="s">
        <v>740</v>
      </c>
      <c r="E147" s="285">
        <f t="shared" si="1"/>
        <v>0</v>
      </c>
      <c r="F147" s="1"/>
      <c r="G147" s="1"/>
      <c r="H147" s="1"/>
      <c r="J147" s="1"/>
      <c r="K147" s="1"/>
      <c r="L147" s="1"/>
    </row>
    <row r="148" spans="1:12" x14ac:dyDescent="0.2">
      <c r="E148" s="1"/>
      <c r="F148" s="1"/>
      <c r="G148" s="1"/>
      <c r="H148" s="1"/>
      <c r="I148" s="1497" t="s">
        <v>189</v>
      </c>
      <c r="J148" s="1"/>
      <c r="K148" s="1"/>
      <c r="L148" s="1"/>
    </row>
    <row r="149" spans="1:12" ht="12" customHeight="1" x14ac:dyDescent="0.2">
      <c r="C149" t="str">
        <f>+C52</f>
        <v>Water and sewer</v>
      </c>
      <c r="E149" s="1"/>
      <c r="F149" s="1"/>
      <c r="G149" s="285">
        <f>D$122*G52</f>
        <v>0</v>
      </c>
      <c r="H149" s="1"/>
      <c r="I149" s="1497"/>
      <c r="J149" s="1"/>
      <c r="K149" s="1"/>
      <c r="L149" s="1"/>
    </row>
    <row r="150" spans="1:12" x14ac:dyDescent="0.2">
      <c r="C150" t="str">
        <f>+C53</f>
        <v>Electric</v>
      </c>
      <c r="E150" s="1"/>
      <c r="F150" s="1"/>
      <c r="G150" s="285">
        <f>D$122*G53</f>
        <v>0</v>
      </c>
      <c r="H150" s="1"/>
      <c r="I150" s="1497"/>
      <c r="J150" s="1"/>
      <c r="K150" s="1"/>
      <c r="L150" s="1"/>
    </row>
    <row r="151" spans="1:12" x14ac:dyDescent="0.2">
      <c r="C151" s="354" t="s">
        <v>749</v>
      </c>
      <c r="E151" s="1"/>
      <c r="F151" s="1"/>
      <c r="G151" s="285">
        <f>D$122*G54</f>
        <v>0</v>
      </c>
      <c r="H151" s="1"/>
      <c r="I151" s="1497"/>
      <c r="J151" s="1"/>
      <c r="K151" s="1"/>
      <c r="L151" s="1"/>
    </row>
    <row r="152" spans="1:12" x14ac:dyDescent="0.2">
      <c r="C152" s="354" t="s">
        <v>750</v>
      </c>
      <c r="E152" s="1"/>
      <c r="F152" s="1"/>
      <c r="G152" s="285">
        <f>D$122*G55</f>
        <v>0</v>
      </c>
      <c r="H152" s="1"/>
      <c r="I152" s="1610"/>
      <c r="J152" s="1"/>
      <c r="K152" s="1"/>
      <c r="L152" s="1"/>
    </row>
    <row r="153" spans="1:12" ht="13.5" thickBot="1" x14ac:dyDescent="0.25">
      <c r="C153" s="167" t="s">
        <v>607</v>
      </c>
      <c r="D153" s="167"/>
      <c r="E153" s="92">
        <f>SUM(E139:E152)</f>
        <v>0</v>
      </c>
      <c r="F153" s="1"/>
      <c r="G153" s="92">
        <f>SUM(G149:G152)</f>
        <v>0</v>
      </c>
      <c r="H153" s="233" t="s">
        <v>520</v>
      </c>
      <c r="I153" s="92">
        <f>SUM(E153:G153)</f>
        <v>0</v>
      </c>
      <c r="J153" s="1"/>
      <c r="K153" s="1"/>
      <c r="L153" s="1"/>
    </row>
    <row r="154" spans="1:12" ht="13.5" thickTop="1" x14ac:dyDescent="0.2">
      <c r="E154" s="1"/>
      <c r="F154" s="1"/>
      <c r="G154" s="1"/>
      <c r="H154" s="1"/>
      <c r="I154" s="164"/>
    </row>
    <row r="155" spans="1:12" ht="25.5" customHeight="1" x14ac:dyDescent="0.2">
      <c r="A155" s="4" t="s">
        <v>838</v>
      </c>
      <c r="B155" s="1470" t="s">
        <v>1044</v>
      </c>
      <c r="C155" s="1471"/>
      <c r="D155" s="1471"/>
      <c r="E155" s="1471"/>
      <c r="F155" s="1471"/>
      <c r="G155" s="1471"/>
      <c r="H155" s="1471"/>
      <c r="I155" s="1472"/>
    </row>
    <row r="156" spans="1:12" ht="12.75" customHeight="1" x14ac:dyDescent="0.2">
      <c r="E156" s="1"/>
      <c r="F156" s="1"/>
      <c r="G156" s="1"/>
      <c r="H156" s="1"/>
      <c r="I156" s="164"/>
    </row>
    <row r="157" spans="1:12" x14ac:dyDescent="0.2">
      <c r="E157" s="3" t="s">
        <v>517</v>
      </c>
      <c r="F157" s="46"/>
      <c r="G157" s="3" t="s">
        <v>518</v>
      </c>
      <c r="H157" s="46"/>
    </row>
    <row r="158" spans="1:12" x14ac:dyDescent="0.2">
      <c r="E158" s="216"/>
      <c r="F158" s="46"/>
      <c r="G158" s="220"/>
      <c r="H158" s="46"/>
      <c r="I158" s="191"/>
    </row>
    <row r="159" spans="1:12" x14ac:dyDescent="0.2">
      <c r="A159" s="197" t="s">
        <v>573</v>
      </c>
      <c r="C159" s="13" t="s">
        <v>608</v>
      </c>
      <c r="D159" s="13"/>
      <c r="E159" s="84">
        <f t="shared" ref="E159:E177" si="2">E73</f>
        <v>0</v>
      </c>
      <c r="G159" s="79"/>
    </row>
    <row r="160" spans="1:12" x14ac:dyDescent="0.2">
      <c r="C160" s="13" t="s">
        <v>241</v>
      </c>
      <c r="D160" s="13"/>
      <c r="E160" s="84">
        <f t="shared" si="2"/>
        <v>0</v>
      </c>
      <c r="G160" s="79"/>
    </row>
    <row r="161" spans="1:9" x14ac:dyDescent="0.2">
      <c r="C161" s="13" t="s">
        <v>54</v>
      </c>
      <c r="D161" s="13"/>
      <c r="E161" s="84">
        <f t="shared" si="2"/>
        <v>0</v>
      </c>
      <c r="G161" s="79"/>
    </row>
    <row r="162" spans="1:9" x14ac:dyDescent="0.2">
      <c r="C162" s="13" t="s">
        <v>850</v>
      </c>
      <c r="D162" s="13"/>
      <c r="E162" s="84">
        <f t="shared" si="2"/>
        <v>0</v>
      </c>
      <c r="G162" s="79"/>
    </row>
    <row r="163" spans="1:9" x14ac:dyDescent="0.2">
      <c r="C163" s="13" t="s">
        <v>57</v>
      </c>
      <c r="D163" s="13"/>
      <c r="E163" s="84">
        <f t="shared" si="2"/>
        <v>0</v>
      </c>
      <c r="G163" s="79"/>
    </row>
    <row r="164" spans="1:9" x14ac:dyDescent="0.2">
      <c r="C164" s="13" t="s">
        <v>58</v>
      </c>
      <c r="D164" s="13"/>
      <c r="E164" s="84">
        <f t="shared" si="2"/>
        <v>0</v>
      </c>
      <c r="G164" s="79"/>
    </row>
    <row r="165" spans="1:9" x14ac:dyDescent="0.2">
      <c r="C165" s="13" t="s">
        <v>826</v>
      </c>
      <c r="D165" s="13"/>
      <c r="E165" s="84">
        <f t="shared" si="2"/>
        <v>0</v>
      </c>
      <c r="G165" s="79"/>
    </row>
    <row r="166" spans="1:9" x14ac:dyDescent="0.2">
      <c r="C166" s="13" t="s">
        <v>827</v>
      </c>
      <c r="D166" s="13"/>
      <c r="E166" s="84">
        <f t="shared" si="2"/>
        <v>0</v>
      </c>
      <c r="G166" s="79"/>
    </row>
    <row r="167" spans="1:9" x14ac:dyDescent="0.2">
      <c r="C167" s="13" t="s">
        <v>824</v>
      </c>
      <c r="D167" s="13"/>
      <c r="E167" s="84">
        <f t="shared" si="2"/>
        <v>0</v>
      </c>
      <c r="G167" s="79"/>
    </row>
    <row r="168" spans="1:9" x14ac:dyDescent="0.2">
      <c r="C168" s="13" t="s">
        <v>609</v>
      </c>
      <c r="D168" s="13"/>
      <c r="E168" s="84">
        <f t="shared" si="2"/>
        <v>0</v>
      </c>
      <c r="G168" s="79"/>
      <c r="I168" s="6" t="s">
        <v>1046</v>
      </c>
    </row>
    <row r="169" spans="1:9" s="727" customFormat="1" x14ac:dyDescent="0.2">
      <c r="A169" s="726"/>
      <c r="C169" s="699" t="s">
        <v>2069</v>
      </c>
      <c r="D169" s="728"/>
      <c r="E169" s="84">
        <f t="shared" si="2"/>
        <v>0</v>
      </c>
      <c r="G169" s="79"/>
      <c r="I169" s="6"/>
    </row>
    <row r="170" spans="1:9" s="727" customFormat="1" ht="38.25" x14ac:dyDescent="0.2">
      <c r="A170" s="726"/>
      <c r="C170" s="1141" t="s">
        <v>4019</v>
      </c>
      <c r="D170" s="728"/>
      <c r="E170" s="84">
        <f t="shared" si="2"/>
        <v>0</v>
      </c>
      <c r="G170" s="79"/>
      <c r="I170" s="6"/>
    </row>
    <row r="171" spans="1:9" s="727" customFormat="1" ht="25.5" x14ac:dyDescent="0.2">
      <c r="A171" s="726"/>
      <c r="C171" s="1141" t="s">
        <v>4026</v>
      </c>
      <c r="D171" s="728"/>
      <c r="E171" s="84">
        <f t="shared" si="2"/>
        <v>0</v>
      </c>
      <c r="G171" s="79"/>
      <c r="I171" s="6"/>
    </row>
    <row r="172" spans="1:9" s="727" customFormat="1" x14ac:dyDescent="0.2">
      <c r="A172" s="726"/>
      <c r="C172" s="699" t="s">
        <v>4027</v>
      </c>
      <c r="D172" s="728"/>
      <c r="E172" s="84">
        <f t="shared" si="2"/>
        <v>0</v>
      </c>
      <c r="G172" s="79"/>
      <c r="I172" s="6"/>
    </row>
    <row r="173" spans="1:9" s="727" customFormat="1" ht="28.9" customHeight="1" x14ac:dyDescent="0.2">
      <c r="A173" s="726"/>
      <c r="C173" s="1140" t="s">
        <v>4029</v>
      </c>
      <c r="D173" s="728"/>
      <c r="E173" s="84">
        <f t="shared" si="2"/>
        <v>0</v>
      </c>
      <c r="G173" s="79"/>
      <c r="I173" s="6"/>
    </row>
    <row r="174" spans="1:9" s="1049" customFormat="1" x14ac:dyDescent="0.2">
      <c r="A174" s="1048"/>
      <c r="C174" s="699" t="s">
        <v>3988</v>
      </c>
      <c r="D174" s="1051"/>
      <c r="E174" s="84">
        <f t="shared" si="2"/>
        <v>0</v>
      </c>
      <c r="G174" s="79"/>
      <c r="I174" s="6"/>
    </row>
    <row r="175" spans="1:9" s="1137" customFormat="1" ht="25.5" x14ac:dyDescent="0.2">
      <c r="A175" s="1136"/>
      <c r="C175" s="1141" t="s">
        <v>4025</v>
      </c>
      <c r="D175" s="1138"/>
      <c r="E175" s="84">
        <f t="shared" si="2"/>
        <v>0</v>
      </c>
      <c r="G175" s="79"/>
      <c r="I175" s="6"/>
    </row>
    <row r="176" spans="1:9" s="1137" customFormat="1" x14ac:dyDescent="0.2">
      <c r="A176" s="1136"/>
      <c r="C176" s="699" t="s">
        <v>4034</v>
      </c>
      <c r="D176" s="1138"/>
      <c r="E176" s="84">
        <f t="shared" si="2"/>
        <v>0</v>
      </c>
      <c r="G176" s="79"/>
      <c r="I176" s="6"/>
    </row>
    <row r="177" spans="1:9" s="1137" customFormat="1" ht="28.9" customHeight="1" x14ac:dyDescent="0.2">
      <c r="A177" s="1136"/>
      <c r="C177" s="1140" t="s">
        <v>4033</v>
      </c>
      <c r="D177" s="1138"/>
      <c r="E177" s="84">
        <f t="shared" si="2"/>
        <v>0</v>
      </c>
      <c r="G177" s="79"/>
      <c r="I177" s="6"/>
    </row>
    <row r="178" spans="1:9" x14ac:dyDescent="0.2">
      <c r="C178" s="1051" t="s">
        <v>610</v>
      </c>
      <c r="D178" s="13"/>
      <c r="E178" s="79"/>
      <c r="G178" s="84">
        <f t="shared" ref="G178:G191" si="3">G92</f>
        <v>0</v>
      </c>
    </row>
    <row r="179" spans="1:9" x14ac:dyDescent="0.2">
      <c r="C179" s="1051" t="s">
        <v>611</v>
      </c>
      <c r="D179" s="13"/>
      <c r="E179" s="79"/>
      <c r="G179" s="84">
        <f t="shared" si="3"/>
        <v>0</v>
      </c>
    </row>
    <row r="180" spans="1:9" x14ac:dyDescent="0.2">
      <c r="C180" s="1051" t="s">
        <v>612</v>
      </c>
      <c r="D180" s="13"/>
      <c r="E180" s="79"/>
      <c r="G180" s="84">
        <f t="shared" si="3"/>
        <v>0</v>
      </c>
    </row>
    <row r="181" spans="1:9" x14ac:dyDescent="0.2">
      <c r="C181" s="1051" t="s">
        <v>613</v>
      </c>
      <c r="D181" s="13"/>
      <c r="E181" s="79"/>
      <c r="G181" s="84">
        <f t="shared" si="3"/>
        <v>0</v>
      </c>
    </row>
    <row r="182" spans="1:9" x14ac:dyDescent="0.2">
      <c r="C182" s="331" t="s">
        <v>59</v>
      </c>
      <c r="D182" s="13"/>
      <c r="E182" s="79"/>
      <c r="G182" s="84">
        <f t="shared" si="3"/>
        <v>0</v>
      </c>
    </row>
    <row r="183" spans="1:9" x14ac:dyDescent="0.2">
      <c r="C183" s="331" t="s">
        <v>849</v>
      </c>
      <c r="D183" s="13"/>
      <c r="E183" s="79"/>
      <c r="G183" s="84">
        <f t="shared" si="3"/>
        <v>0</v>
      </c>
    </row>
    <row r="184" spans="1:9" x14ac:dyDescent="0.2">
      <c r="C184" s="1051" t="s">
        <v>937</v>
      </c>
      <c r="D184" s="13"/>
      <c r="E184" s="79"/>
      <c r="G184" s="84">
        <f t="shared" si="3"/>
        <v>0</v>
      </c>
    </row>
    <row r="185" spans="1:9" x14ac:dyDescent="0.2">
      <c r="C185" s="1051" t="s">
        <v>938</v>
      </c>
      <c r="D185" s="13"/>
      <c r="E185" s="79"/>
      <c r="G185" s="84">
        <f t="shared" si="3"/>
        <v>0</v>
      </c>
    </row>
    <row r="186" spans="1:9" x14ac:dyDescent="0.2">
      <c r="C186" s="1051" t="s">
        <v>4082</v>
      </c>
      <c r="D186" s="13"/>
      <c r="E186" s="79"/>
      <c r="G186" s="84">
        <f t="shared" si="3"/>
        <v>0</v>
      </c>
    </row>
    <row r="187" spans="1:9" x14ac:dyDescent="0.2">
      <c r="C187" s="1051" t="s">
        <v>939</v>
      </c>
      <c r="D187" s="13"/>
      <c r="E187" s="79"/>
      <c r="G187" s="84">
        <f t="shared" si="3"/>
        <v>0</v>
      </c>
    </row>
    <row r="188" spans="1:9" s="727" customFormat="1" ht="51" x14ac:dyDescent="0.2">
      <c r="A188" s="726"/>
      <c r="C188" s="742" t="s">
        <v>4019</v>
      </c>
      <c r="D188" s="728"/>
      <c r="E188" s="79"/>
      <c r="G188" s="84">
        <f t="shared" si="3"/>
        <v>0</v>
      </c>
    </row>
    <row r="189" spans="1:9" s="727" customFormat="1" ht="25.5" x14ac:dyDescent="0.2">
      <c r="A189" s="726"/>
      <c r="C189" s="742" t="s">
        <v>4026</v>
      </c>
      <c r="D189" s="728"/>
      <c r="E189" s="79"/>
      <c r="G189" s="84">
        <f t="shared" si="3"/>
        <v>0</v>
      </c>
    </row>
    <row r="190" spans="1:9" s="727" customFormat="1" x14ac:dyDescent="0.2">
      <c r="A190" s="726"/>
      <c r="C190" s="743" t="s">
        <v>4027</v>
      </c>
      <c r="D190" s="728"/>
      <c r="E190" s="79"/>
      <c r="G190" s="84">
        <f t="shared" si="3"/>
        <v>0</v>
      </c>
    </row>
    <row r="191" spans="1:9" s="727" customFormat="1" ht="38.25" x14ac:dyDescent="0.2">
      <c r="A191" s="726"/>
      <c r="C191" s="742" t="s">
        <v>4029</v>
      </c>
      <c r="D191" s="728"/>
      <c r="E191" s="79"/>
      <c r="G191" s="84">
        <f t="shared" si="3"/>
        <v>0</v>
      </c>
    </row>
    <row r="192" spans="1:9" s="1137" customFormat="1" ht="25.5" x14ac:dyDescent="0.2">
      <c r="A192" s="1136"/>
      <c r="C192" s="742" t="s">
        <v>4025</v>
      </c>
      <c r="D192" s="1138"/>
      <c r="E192" s="79"/>
      <c r="G192" s="84">
        <f t="shared" ref="G192:G194" si="4">G106</f>
        <v>0</v>
      </c>
    </row>
    <row r="193" spans="1:9" s="1137" customFormat="1" x14ac:dyDescent="0.2">
      <c r="A193" s="1136"/>
      <c r="C193" s="743" t="s">
        <v>4028</v>
      </c>
      <c r="D193" s="1138"/>
      <c r="E193" s="79"/>
      <c r="G193" s="84">
        <f t="shared" si="4"/>
        <v>0</v>
      </c>
    </row>
    <row r="194" spans="1:9" s="1137" customFormat="1" ht="25.5" x14ac:dyDescent="0.2">
      <c r="A194" s="1136"/>
      <c r="C194" s="742" t="s">
        <v>4033</v>
      </c>
      <c r="D194" s="1138"/>
      <c r="E194" s="79"/>
      <c r="G194" s="84">
        <f t="shared" si="4"/>
        <v>0</v>
      </c>
    </row>
    <row r="195" spans="1:9" x14ac:dyDescent="0.2">
      <c r="C195" s="13" t="s">
        <v>485</v>
      </c>
      <c r="D195" s="13"/>
      <c r="E195" s="78"/>
      <c r="G195" s="78">
        <f>G109+G131</f>
        <v>0</v>
      </c>
    </row>
    <row r="196" spans="1:9" s="13" customFormat="1" ht="6" customHeight="1" x14ac:dyDescent="0.2">
      <c r="A196" s="147"/>
      <c r="E196" s="79"/>
      <c r="F196"/>
      <c r="G196" s="79"/>
      <c r="H196"/>
      <c r="I196"/>
    </row>
    <row r="197" spans="1:9" s="13" customFormat="1" x14ac:dyDescent="0.2">
      <c r="A197" s="147"/>
      <c r="C197" s="13" t="s">
        <v>421</v>
      </c>
      <c r="E197" s="79"/>
      <c r="F197"/>
      <c r="G197" s="78">
        <f>G112</f>
        <v>0</v>
      </c>
      <c r="H197"/>
      <c r="I197"/>
    </row>
    <row r="198" spans="1:9" s="13" customFormat="1" x14ac:dyDescent="0.2">
      <c r="A198" s="147"/>
      <c r="C198" s="13" t="s">
        <v>614</v>
      </c>
      <c r="E198" s="79"/>
      <c r="F198"/>
      <c r="G198" s="78">
        <f>G116</f>
        <v>0</v>
      </c>
      <c r="H198"/>
    </row>
    <row r="199" spans="1:9" s="13" customFormat="1" x14ac:dyDescent="0.2">
      <c r="A199" s="147"/>
      <c r="C199" s="13" t="s">
        <v>615</v>
      </c>
      <c r="E199" s="78">
        <f>E117</f>
        <v>0</v>
      </c>
      <c r="F199"/>
      <c r="G199" s="79"/>
      <c r="H199"/>
      <c r="I199" s="6" t="s">
        <v>150</v>
      </c>
    </row>
    <row r="200" spans="1:9" s="13" customFormat="1" x14ac:dyDescent="0.2">
      <c r="A200" s="147"/>
      <c r="C200" s="13" t="s">
        <v>486</v>
      </c>
      <c r="E200" s="78">
        <f>E113</f>
        <v>0</v>
      </c>
      <c r="F200"/>
      <c r="G200" s="79"/>
      <c r="H200"/>
      <c r="I200"/>
    </row>
    <row r="201" spans="1:9" s="13" customFormat="1" x14ac:dyDescent="0.2">
      <c r="A201" s="147"/>
      <c r="C201" s="13" t="s">
        <v>148</v>
      </c>
      <c r="E201" s="78"/>
      <c r="F201"/>
      <c r="G201" s="78">
        <f>G115</f>
        <v>0</v>
      </c>
      <c r="H201"/>
      <c r="I201"/>
    </row>
    <row r="202" spans="1:9" s="13" customFormat="1" x14ac:dyDescent="0.2">
      <c r="A202" s="147"/>
      <c r="C202" s="13" t="s">
        <v>149</v>
      </c>
      <c r="E202" s="78">
        <f>E114</f>
        <v>0</v>
      </c>
      <c r="F202"/>
      <c r="G202" s="79"/>
      <c r="H202"/>
      <c r="I202"/>
    </row>
    <row r="203" spans="1:9" ht="6" customHeight="1" x14ac:dyDescent="0.2">
      <c r="C203" s="13"/>
      <c r="D203" s="13"/>
      <c r="E203" s="79"/>
      <c r="G203" s="79"/>
    </row>
    <row r="204" spans="1:9" x14ac:dyDescent="0.2">
      <c r="C204" s="167" t="s">
        <v>616</v>
      </c>
      <c r="D204" s="167"/>
      <c r="E204" s="78"/>
      <c r="G204" s="78">
        <f t="shared" ref="G204:G212" si="5">E139</f>
        <v>0</v>
      </c>
    </row>
    <row r="205" spans="1:9" x14ac:dyDescent="0.2">
      <c r="C205" s="167" t="s">
        <v>617</v>
      </c>
      <c r="D205" s="167"/>
      <c r="E205" s="78"/>
      <c r="G205" s="78">
        <f t="shared" si="5"/>
        <v>0</v>
      </c>
    </row>
    <row r="206" spans="1:9" x14ac:dyDescent="0.2">
      <c r="C206" s="167" t="s">
        <v>618</v>
      </c>
      <c r="D206" s="167"/>
      <c r="E206" s="78"/>
      <c r="G206" s="78">
        <f t="shared" si="5"/>
        <v>0</v>
      </c>
    </row>
    <row r="207" spans="1:9" x14ac:dyDescent="0.2">
      <c r="C207" t="s">
        <v>1045</v>
      </c>
      <c r="E207" s="78"/>
      <c r="G207" s="78">
        <f t="shared" si="5"/>
        <v>0</v>
      </c>
    </row>
    <row r="208" spans="1:9" x14ac:dyDescent="0.2">
      <c r="C208" s="167" t="s">
        <v>619</v>
      </c>
      <c r="D208" s="167"/>
      <c r="E208" s="78"/>
      <c r="G208" s="78">
        <f t="shared" si="5"/>
        <v>0</v>
      </c>
      <c r="I208" s="6" t="s">
        <v>151</v>
      </c>
    </row>
    <row r="209" spans="3:9" x14ac:dyDescent="0.2">
      <c r="C209" s="167" t="s">
        <v>309</v>
      </c>
      <c r="D209" s="167"/>
      <c r="E209" s="78"/>
      <c r="G209" s="78">
        <f t="shared" si="5"/>
        <v>0</v>
      </c>
    </row>
    <row r="210" spans="3:9" x14ac:dyDescent="0.2">
      <c r="C210" s="167" t="s">
        <v>620</v>
      </c>
      <c r="D210" s="167"/>
      <c r="E210" s="78"/>
      <c r="G210" s="78">
        <f t="shared" si="5"/>
        <v>0</v>
      </c>
    </row>
    <row r="211" spans="3:9" x14ac:dyDescent="0.2">
      <c r="C211" s="167" t="s">
        <v>174</v>
      </c>
      <c r="D211" s="167"/>
      <c r="E211" s="78"/>
      <c r="G211" s="78">
        <f t="shared" si="5"/>
        <v>0</v>
      </c>
    </row>
    <row r="212" spans="3:9" x14ac:dyDescent="0.2">
      <c r="C212" s="384" t="s">
        <v>740</v>
      </c>
      <c r="D212" s="167"/>
      <c r="E212" s="78"/>
      <c r="G212" s="78">
        <f t="shared" si="5"/>
        <v>0</v>
      </c>
    </row>
    <row r="213" spans="3:9" x14ac:dyDescent="0.2">
      <c r="C213" s="167" t="s">
        <v>725</v>
      </c>
      <c r="D213" s="167"/>
      <c r="E213" s="78"/>
      <c r="G213" s="78">
        <f>G153+G128</f>
        <v>0</v>
      </c>
    </row>
    <row r="214" spans="3:9" ht="6.75" customHeight="1" x14ac:dyDescent="0.2">
      <c r="C214" s="167"/>
      <c r="D214" s="167"/>
      <c r="E214" s="11"/>
      <c r="F214" s="1"/>
      <c r="G214" s="11"/>
      <c r="H214" s="14"/>
      <c r="I214" s="14"/>
    </row>
    <row r="215" spans="3:9" ht="13.5" thickBot="1" x14ac:dyDescent="0.25">
      <c r="C215" s="167"/>
      <c r="D215" s="167"/>
      <c r="E215" s="92">
        <f>SUM(E159:E213)</f>
        <v>0</v>
      </c>
      <c r="F215" s="1"/>
      <c r="G215" s="92">
        <f>SUM(G159:G213)</f>
        <v>0</v>
      </c>
    </row>
    <row r="216" spans="3:9" ht="18.75" customHeight="1" thickTop="1" x14ac:dyDescent="0.2">
      <c r="C216" s="167"/>
      <c r="D216" s="167"/>
      <c r="E216" s="11"/>
      <c r="F216" s="1"/>
      <c r="G216" s="11"/>
    </row>
    <row r="217" spans="3:9" x14ac:dyDescent="0.2">
      <c r="C217" s="1525" t="s">
        <v>621</v>
      </c>
      <c r="D217" s="1525"/>
      <c r="E217" t="s">
        <v>50</v>
      </c>
    </row>
    <row r="218" spans="3:9" x14ac:dyDescent="0.2">
      <c r="H218" s="14"/>
    </row>
    <row r="219" spans="3:9" x14ac:dyDescent="0.2">
      <c r="C219" t="s">
        <v>357</v>
      </c>
      <c r="E219" s="78">
        <f>G153+G128</f>
        <v>0</v>
      </c>
      <c r="G219" s="79"/>
    </row>
    <row r="220" spans="3:9" ht="12.75" customHeight="1" x14ac:dyDescent="0.2">
      <c r="C220" s="167" t="s">
        <v>622</v>
      </c>
      <c r="D220" s="167"/>
      <c r="E220" s="79"/>
      <c r="G220" s="78">
        <f>G149</f>
        <v>0</v>
      </c>
    </row>
    <row r="221" spans="3:9" ht="22.5" x14ac:dyDescent="0.2">
      <c r="C221" s="167" t="s">
        <v>623</v>
      </c>
      <c r="D221" s="167"/>
      <c r="E221" s="79"/>
      <c r="G221" s="15">
        <f>G150</f>
        <v>0</v>
      </c>
      <c r="I221" s="317" t="s">
        <v>650</v>
      </c>
    </row>
    <row r="222" spans="3:9" x14ac:dyDescent="0.2">
      <c r="C222" s="384" t="s">
        <v>647</v>
      </c>
      <c r="D222" s="167"/>
      <c r="E222" s="79"/>
      <c r="G222" s="15">
        <f>G151</f>
        <v>0</v>
      </c>
      <c r="I222" s="403"/>
    </row>
    <row r="223" spans="3:9" x14ac:dyDescent="0.2">
      <c r="C223" s="384" t="s">
        <v>648</v>
      </c>
      <c r="D223" s="167"/>
      <c r="E223" s="79"/>
      <c r="G223" s="15">
        <f>G152</f>
        <v>0</v>
      </c>
      <c r="I223" s="403"/>
    </row>
    <row r="224" spans="3:9" x14ac:dyDescent="0.2">
      <c r="C224" s="167" t="s">
        <v>746</v>
      </c>
      <c r="D224" s="167"/>
      <c r="E224" s="79"/>
      <c r="G224" s="198">
        <f>G128</f>
        <v>0</v>
      </c>
    </row>
    <row r="225" spans="3:9" ht="13.5" thickBot="1" x14ac:dyDescent="0.25">
      <c r="E225" s="80">
        <f>SUM(E219:E221)</f>
        <v>0</v>
      </c>
      <c r="G225" s="87">
        <f>SUM(G220:G224)</f>
        <v>0</v>
      </c>
    </row>
    <row r="226" spans="3:9" ht="13.5" thickTop="1" x14ac:dyDescent="0.2"/>
    <row r="227" spans="3:9" x14ac:dyDescent="0.2">
      <c r="C227" s="1468" t="s">
        <v>499</v>
      </c>
      <c r="D227" s="1387"/>
      <c r="E227" s="1387"/>
      <c r="F227" s="1387"/>
      <c r="G227" s="1387"/>
      <c r="H227" s="1387"/>
      <c r="I227" s="1387"/>
    </row>
    <row r="228" spans="3:9" x14ac:dyDescent="0.2">
      <c r="C228" s="1387"/>
      <c r="D228" s="1387"/>
      <c r="E228" s="1387"/>
      <c r="F228" s="1387"/>
      <c r="G228" s="1387"/>
      <c r="H228" s="1387"/>
      <c r="I228" s="1387"/>
    </row>
  </sheetData>
  <sheetProtection algorithmName="SHA-512" hashValue="gIFl+LLaIrUyIXWFSfqN7D6lXqqX1l4twEMZaO5c1t5h9lsaROHstEEMZicB4b7n+cuWdBeho/9pjxRvi5ML0w==" saltValue="WorrjG9t4o1yfQkPfV00Sw==" spinCount="100000" sheet="1" objects="1" scenarios="1"/>
  <mergeCells count="27">
    <mergeCell ref="C30:I30"/>
    <mergeCell ref="C1:I1"/>
    <mergeCell ref="C35:G35"/>
    <mergeCell ref="B2:I3"/>
    <mergeCell ref="B4:I4"/>
    <mergeCell ref="C14:I15"/>
    <mergeCell ref="C20:I21"/>
    <mergeCell ref="C23:I23"/>
    <mergeCell ref="C27:I28"/>
    <mergeCell ref="C17:I18"/>
    <mergeCell ref="C24:I25"/>
    <mergeCell ref="B32:I33"/>
    <mergeCell ref="C227:I228"/>
    <mergeCell ref="B125:I126"/>
    <mergeCell ref="C131:E132"/>
    <mergeCell ref="G131:G132"/>
    <mergeCell ref="G65:I66"/>
    <mergeCell ref="C119:C120"/>
    <mergeCell ref="D119:D120"/>
    <mergeCell ref="C217:D217"/>
    <mergeCell ref="C66:D66"/>
    <mergeCell ref="B155:I155"/>
    <mergeCell ref="B134:I135"/>
    <mergeCell ref="C128:E129"/>
    <mergeCell ref="G128:G129"/>
    <mergeCell ref="B69:I70"/>
    <mergeCell ref="I148:I152"/>
  </mergeCells>
  <phoneticPr fontId="17" type="noConversion"/>
  <printOptions horizontalCentered="1"/>
  <pageMargins left="0.39" right="0.4" top="0.66" bottom="0.5" header="0.5" footer="0.5"/>
  <pageSetup scale="70" orientation="portrait" r:id="rId1"/>
  <headerFooter alignWithMargins="0">
    <oddHeader>&amp;REntry K.3</oddHeader>
    <oddFooter>&amp;L&amp;8&amp;D - County model&amp;R&amp;P</oddFooter>
  </headerFooter>
  <rowBreaks count="2" manualBreakCount="2">
    <brk id="68" max="8" man="1"/>
    <brk id="153" max="8" man="1"/>
  </rowBreaks>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S299"/>
  <sheetViews>
    <sheetView topLeftCell="A31" zoomScale="90" zoomScaleNormal="90" workbookViewId="0"/>
  </sheetViews>
  <sheetFormatPr defaultRowHeight="12.75" x14ac:dyDescent="0.2"/>
  <cols>
    <col min="1" max="1" width="4.42578125" customWidth="1"/>
    <col min="2" max="2" width="3.42578125" customWidth="1"/>
    <col min="3" max="3" width="10" customWidth="1"/>
    <col min="4" max="4" width="4.5703125" customWidth="1"/>
    <col min="6" max="6" width="11.28515625" customWidth="1"/>
    <col min="7" max="7" width="8.42578125" bestFit="1" customWidth="1"/>
    <col min="8" max="8" width="11.42578125" bestFit="1" customWidth="1"/>
    <col min="9" max="9" width="7.7109375" customWidth="1"/>
    <col min="10" max="10" width="15.7109375" customWidth="1"/>
    <col min="11" max="11" width="1.140625" customWidth="1"/>
    <col min="12" max="12" width="16.5703125" customWidth="1"/>
    <col min="13" max="13" width="2.140625" customWidth="1"/>
    <col min="14" max="14" width="18" bestFit="1" customWidth="1"/>
    <col min="15" max="15" width="0.85546875" customWidth="1"/>
    <col min="16" max="16" width="1.140625" customWidth="1"/>
  </cols>
  <sheetData>
    <row r="1" spans="1:16" ht="7.5" customHeight="1" x14ac:dyDescent="0.2"/>
    <row r="2" spans="1:16" ht="33.75" customHeight="1" x14ac:dyDescent="0.25">
      <c r="A2" s="1465" t="s">
        <v>408</v>
      </c>
      <c r="B2" s="1466"/>
      <c r="C2" s="1466"/>
      <c r="D2" s="1466"/>
      <c r="E2" s="1466"/>
      <c r="F2" s="1466"/>
      <c r="G2" s="1466"/>
      <c r="H2" s="1466"/>
      <c r="I2" s="1466"/>
      <c r="J2" s="1466"/>
      <c r="K2" s="1466"/>
      <c r="L2" s="1466"/>
      <c r="M2" s="1466"/>
      <c r="N2" s="1466"/>
      <c r="O2" s="1467"/>
    </row>
    <row r="3" spans="1:16" ht="12" customHeight="1" x14ac:dyDescent="0.2">
      <c r="H3" s="42"/>
    </row>
    <row r="4" spans="1:16" ht="64.5" customHeight="1" x14ac:dyDescent="0.2">
      <c r="B4" s="1387" t="s">
        <v>275</v>
      </c>
      <c r="C4" s="1469"/>
      <c r="D4" s="1469"/>
      <c r="E4" s="1469"/>
      <c r="F4" s="1469"/>
      <c r="G4" s="1469"/>
      <c r="H4" s="1469"/>
      <c r="I4" s="1469"/>
      <c r="J4" s="1469"/>
      <c r="K4" s="1469"/>
      <c r="L4" s="1469"/>
      <c r="M4" s="1469"/>
      <c r="N4" s="1469"/>
      <c r="O4" s="1469"/>
      <c r="P4" s="1469"/>
    </row>
    <row r="5" spans="1:16" ht="7.5" customHeight="1" x14ac:dyDescent="0.2">
      <c r="B5" s="34"/>
      <c r="C5" s="35"/>
      <c r="D5" s="35"/>
      <c r="E5" s="35"/>
      <c r="F5" s="35"/>
      <c r="G5" s="35"/>
      <c r="H5" s="35"/>
      <c r="I5" s="35"/>
      <c r="J5" s="35"/>
      <c r="K5" s="35"/>
      <c r="L5" s="35"/>
      <c r="M5" s="35"/>
      <c r="N5" s="35"/>
      <c r="O5" s="35"/>
      <c r="P5" s="35"/>
    </row>
    <row r="6" spans="1:16" ht="12.75" customHeight="1" x14ac:dyDescent="0.2">
      <c r="A6" s="4"/>
      <c r="B6" s="41" t="s">
        <v>521</v>
      </c>
      <c r="C6" s="1387" t="s">
        <v>814</v>
      </c>
      <c r="D6" s="1387"/>
      <c r="E6" s="1387"/>
      <c r="F6" s="1387"/>
      <c r="G6" s="1387"/>
      <c r="H6" s="1387"/>
      <c r="I6" s="1387"/>
      <c r="J6" s="1387"/>
      <c r="K6" s="1387"/>
      <c r="L6" s="1387"/>
      <c r="M6" s="1387"/>
      <c r="N6" s="1387"/>
      <c r="O6" s="35"/>
      <c r="P6" s="35"/>
    </row>
    <row r="7" spans="1:16" ht="52.5" customHeight="1" x14ac:dyDescent="0.2">
      <c r="A7" s="4"/>
      <c r="B7" s="41"/>
      <c r="C7" s="1387"/>
      <c r="D7" s="1387"/>
      <c r="E7" s="1387"/>
      <c r="F7" s="1387"/>
      <c r="G7" s="1387"/>
      <c r="H7" s="1387"/>
      <c r="I7" s="1387"/>
      <c r="J7" s="1387"/>
      <c r="K7" s="1387"/>
      <c r="L7" s="1387"/>
      <c r="M7" s="1387"/>
      <c r="N7" s="1387"/>
      <c r="O7" s="35"/>
      <c r="P7" s="35"/>
    </row>
    <row r="8" spans="1:16" ht="6.75" customHeight="1" x14ac:dyDescent="0.2">
      <c r="B8" s="41"/>
      <c r="C8" s="35"/>
      <c r="D8" s="35"/>
      <c r="E8" s="35"/>
      <c r="F8" s="35"/>
      <c r="G8" s="35"/>
      <c r="H8" s="35"/>
      <c r="I8" s="35"/>
      <c r="J8" s="35"/>
      <c r="K8" s="35"/>
      <c r="L8" s="35"/>
      <c r="M8" s="35"/>
      <c r="N8" s="35"/>
      <c r="O8" s="35"/>
      <c r="P8" s="35"/>
    </row>
    <row r="9" spans="1:16" ht="12.75" customHeight="1" x14ac:dyDescent="0.2">
      <c r="B9" s="41" t="s">
        <v>522</v>
      </c>
      <c r="C9" s="1387" t="s">
        <v>157</v>
      </c>
      <c r="D9" s="1387"/>
      <c r="E9" s="1387"/>
      <c r="F9" s="1387"/>
      <c r="G9" s="1387"/>
      <c r="H9" s="1387"/>
      <c r="I9" s="1387"/>
      <c r="J9" s="1387"/>
      <c r="K9" s="1387"/>
      <c r="L9" s="1387"/>
      <c r="M9" s="1387"/>
      <c r="N9" s="1387"/>
      <c r="O9" s="35"/>
      <c r="P9" s="35"/>
    </row>
    <row r="10" spans="1:16" ht="51" customHeight="1" x14ac:dyDescent="0.2">
      <c r="B10" s="41"/>
      <c r="C10" s="1387"/>
      <c r="D10" s="1387"/>
      <c r="E10" s="1387"/>
      <c r="F10" s="1387"/>
      <c r="G10" s="1387"/>
      <c r="H10" s="1387"/>
      <c r="I10" s="1387"/>
      <c r="J10" s="1387"/>
      <c r="K10" s="1387"/>
      <c r="L10" s="1387"/>
      <c r="M10" s="1387"/>
      <c r="N10" s="1387"/>
      <c r="O10" s="35"/>
      <c r="P10" s="35"/>
    </row>
    <row r="11" spans="1:16" ht="6.75" customHeight="1" x14ac:dyDescent="0.2">
      <c r="B11" s="41"/>
      <c r="C11" s="34"/>
      <c r="D11" s="35"/>
      <c r="E11" s="35"/>
      <c r="F11" s="35"/>
      <c r="G11" s="35"/>
      <c r="H11" s="35"/>
      <c r="I11" s="35"/>
      <c r="J11" s="35"/>
      <c r="K11" s="35"/>
      <c r="L11" s="35"/>
      <c r="M11" s="35"/>
      <c r="N11" s="35"/>
      <c r="O11" s="35"/>
      <c r="P11" s="35"/>
    </row>
    <row r="12" spans="1:16" ht="12.75" customHeight="1" x14ac:dyDescent="0.2">
      <c r="B12" s="41" t="s">
        <v>523</v>
      </c>
      <c r="C12" s="1401" t="s">
        <v>1087</v>
      </c>
      <c r="D12" s="1401"/>
      <c r="E12" s="1401"/>
      <c r="F12" s="1401"/>
      <c r="G12" s="1401"/>
      <c r="H12" s="1401"/>
      <c r="I12" s="1401"/>
      <c r="J12" s="1401"/>
      <c r="K12" s="1401"/>
      <c r="L12" s="1401"/>
      <c r="M12" s="1401"/>
      <c r="N12" s="1401"/>
      <c r="O12" s="35"/>
      <c r="P12" s="35"/>
    </row>
    <row r="13" spans="1:16" ht="12.75" customHeight="1" x14ac:dyDescent="0.2">
      <c r="B13" s="41"/>
      <c r="C13" s="1401"/>
      <c r="D13" s="1401"/>
      <c r="E13" s="1401"/>
      <c r="F13" s="1401"/>
      <c r="G13" s="1401"/>
      <c r="H13" s="1401"/>
      <c r="I13" s="1401"/>
      <c r="J13" s="1401"/>
      <c r="K13" s="1401"/>
      <c r="L13" s="1401"/>
      <c r="M13" s="1401"/>
      <c r="N13" s="1401"/>
      <c r="O13" s="35"/>
      <c r="P13" s="35"/>
    </row>
    <row r="14" spans="1:16" ht="12.75" customHeight="1" x14ac:dyDescent="0.2">
      <c r="B14" s="41"/>
      <c r="C14" s="1401"/>
      <c r="D14" s="1401"/>
      <c r="E14" s="1401"/>
      <c r="F14" s="1401"/>
      <c r="G14" s="1401"/>
      <c r="H14" s="1401"/>
      <c r="I14" s="1401"/>
      <c r="J14" s="1401"/>
      <c r="K14" s="1401"/>
      <c r="L14" s="1401"/>
      <c r="M14" s="1401"/>
      <c r="N14" s="1401"/>
      <c r="O14" s="35"/>
      <c r="P14" s="35"/>
    </row>
    <row r="15" spans="1:16" ht="12.75" customHeight="1" x14ac:dyDescent="0.2">
      <c r="B15" s="41"/>
      <c r="C15" s="1401"/>
      <c r="D15" s="1401"/>
      <c r="E15" s="1401"/>
      <c r="F15" s="1401"/>
      <c r="G15" s="1401"/>
      <c r="H15" s="1401"/>
      <c r="I15" s="1401"/>
      <c r="J15" s="1401"/>
      <c r="K15" s="1401"/>
      <c r="L15" s="1401"/>
      <c r="M15" s="1401"/>
      <c r="N15" s="1401"/>
      <c r="O15" s="35"/>
      <c r="P15" s="35"/>
    </row>
    <row r="16" spans="1:16" ht="12.75" customHeight="1" x14ac:dyDescent="0.2">
      <c r="B16" s="41"/>
      <c r="C16" s="1401"/>
      <c r="D16" s="1401"/>
      <c r="E16" s="1401"/>
      <c r="F16" s="1401"/>
      <c r="G16" s="1401"/>
      <c r="H16" s="1401"/>
      <c r="I16" s="1401"/>
      <c r="J16" s="1401"/>
      <c r="K16" s="1401"/>
      <c r="L16" s="1401"/>
      <c r="M16" s="1401"/>
      <c r="N16" s="1401"/>
      <c r="O16" s="35"/>
      <c r="P16" s="35"/>
    </row>
    <row r="17" spans="2:16" ht="7.5" customHeight="1" x14ac:dyDescent="0.2">
      <c r="B17" s="41"/>
      <c r="C17" s="34"/>
      <c r="D17" s="35"/>
      <c r="E17" s="35"/>
      <c r="F17" s="35"/>
      <c r="G17" s="35"/>
      <c r="H17" s="35"/>
      <c r="I17" s="35"/>
      <c r="J17" s="35"/>
      <c r="K17" s="35"/>
      <c r="L17" s="35"/>
      <c r="M17" s="35"/>
      <c r="N17" s="35"/>
      <c r="O17" s="35"/>
      <c r="P17" s="35"/>
    </row>
    <row r="18" spans="2:16" ht="15" customHeight="1" x14ac:dyDescent="0.2">
      <c r="B18" s="41" t="s">
        <v>549</v>
      </c>
      <c r="C18" s="1561" t="s">
        <v>638</v>
      </c>
      <c r="D18" s="1387"/>
      <c r="E18" s="1387"/>
      <c r="F18" s="1387"/>
      <c r="G18" s="1387"/>
      <c r="H18" s="1387"/>
      <c r="I18" s="1387"/>
      <c r="J18" s="1387"/>
      <c r="K18" s="1387"/>
      <c r="L18" s="1387"/>
      <c r="M18" s="1387"/>
      <c r="N18" s="1387"/>
      <c r="O18" s="35"/>
      <c r="P18" s="35"/>
    </row>
    <row r="19" spans="2:16" ht="102.6" customHeight="1" x14ac:dyDescent="0.2">
      <c r="B19" s="41"/>
      <c r="C19" s="1387"/>
      <c r="D19" s="1387"/>
      <c r="E19" s="1387"/>
      <c r="F19" s="1387"/>
      <c r="G19" s="1387"/>
      <c r="H19" s="1387"/>
      <c r="I19" s="1387"/>
      <c r="J19" s="1387"/>
      <c r="K19" s="1387"/>
      <c r="L19" s="1387"/>
      <c r="M19" s="1387"/>
      <c r="N19" s="1387"/>
      <c r="O19" s="35"/>
      <c r="P19" s="35"/>
    </row>
    <row r="20" spans="2:16" ht="7.5" customHeight="1" x14ac:dyDescent="0.2">
      <c r="B20" s="41"/>
      <c r="C20" s="34"/>
      <c r="D20" s="35"/>
      <c r="E20" s="35"/>
      <c r="F20" s="35"/>
      <c r="G20" s="35"/>
      <c r="H20" s="35"/>
      <c r="I20" s="35"/>
      <c r="J20" s="35"/>
      <c r="K20" s="35"/>
      <c r="L20" s="35"/>
      <c r="M20" s="35"/>
      <c r="N20" s="35"/>
      <c r="O20" s="35"/>
      <c r="P20" s="35"/>
    </row>
    <row r="21" spans="2:16" ht="12.75" customHeight="1" x14ac:dyDescent="0.2">
      <c r="B21" s="41" t="s">
        <v>550</v>
      </c>
      <c r="C21" s="1562" t="s">
        <v>1088</v>
      </c>
      <c r="D21" s="1562"/>
      <c r="E21" s="1562"/>
      <c r="F21" s="1562"/>
      <c r="G21" s="1562"/>
      <c r="H21" s="1562"/>
      <c r="I21" s="1562"/>
      <c r="J21" s="1562"/>
      <c r="K21" s="1562"/>
      <c r="L21" s="1562"/>
      <c r="M21" s="1562"/>
      <c r="N21" s="1562"/>
      <c r="O21" s="35"/>
      <c r="P21" s="35"/>
    </row>
    <row r="22" spans="2:16" ht="12.75" customHeight="1" x14ac:dyDescent="0.2">
      <c r="B22" s="41"/>
      <c r="C22" s="1562"/>
      <c r="D22" s="1562"/>
      <c r="E22" s="1562"/>
      <c r="F22" s="1562"/>
      <c r="G22" s="1562"/>
      <c r="H22" s="1562"/>
      <c r="I22" s="1562"/>
      <c r="J22" s="1562"/>
      <c r="K22" s="1562"/>
      <c r="L22" s="1562"/>
      <c r="M22" s="1562"/>
      <c r="N22" s="1562"/>
      <c r="O22" s="35"/>
      <c r="P22" s="35"/>
    </row>
    <row r="23" spans="2:16" ht="12.75" customHeight="1" x14ac:dyDescent="0.2">
      <c r="B23" s="41"/>
      <c r="C23" s="1562"/>
      <c r="D23" s="1562"/>
      <c r="E23" s="1562"/>
      <c r="F23" s="1562"/>
      <c r="G23" s="1562"/>
      <c r="H23" s="1562"/>
      <c r="I23" s="1562"/>
      <c r="J23" s="1562"/>
      <c r="K23" s="1562"/>
      <c r="L23" s="1562"/>
      <c r="M23" s="1562"/>
      <c r="N23" s="1562"/>
      <c r="O23" s="35"/>
      <c r="P23" s="35"/>
    </row>
    <row r="24" spans="2:16" ht="12.75" customHeight="1" x14ac:dyDescent="0.2">
      <c r="B24" s="41"/>
      <c r="C24" s="1562"/>
      <c r="D24" s="1562"/>
      <c r="E24" s="1562"/>
      <c r="F24" s="1562"/>
      <c r="G24" s="1562"/>
      <c r="H24" s="1562"/>
      <c r="I24" s="1562"/>
      <c r="J24" s="1562"/>
      <c r="K24" s="1562"/>
      <c r="L24" s="1562"/>
      <c r="M24" s="1562"/>
      <c r="N24" s="1562"/>
      <c r="O24" s="35"/>
      <c r="P24" s="35"/>
    </row>
    <row r="25" spans="2:16" ht="12.75" customHeight="1" x14ac:dyDescent="0.2">
      <c r="B25" s="41"/>
      <c r="C25" s="1562"/>
      <c r="D25" s="1562"/>
      <c r="E25" s="1562"/>
      <c r="F25" s="1562"/>
      <c r="G25" s="1562"/>
      <c r="H25" s="1562"/>
      <c r="I25" s="1562"/>
      <c r="J25" s="1562"/>
      <c r="K25" s="1562"/>
      <c r="L25" s="1562"/>
      <c r="M25" s="1562"/>
      <c r="N25" s="1562"/>
      <c r="O25" s="35"/>
      <c r="P25" s="35"/>
    </row>
    <row r="26" spans="2:16" ht="16.899999999999999" customHeight="1" x14ac:dyDescent="0.2">
      <c r="B26" s="41"/>
      <c r="C26" s="1562"/>
      <c r="D26" s="1562"/>
      <c r="E26" s="1562"/>
      <c r="F26" s="1562"/>
      <c r="G26" s="1562"/>
      <c r="H26" s="1562"/>
      <c r="I26" s="1562"/>
      <c r="J26" s="1562"/>
      <c r="K26" s="1562"/>
      <c r="L26" s="1562"/>
      <c r="M26" s="1562"/>
      <c r="N26" s="1562"/>
      <c r="O26" s="35"/>
      <c r="P26" s="35"/>
    </row>
    <row r="27" spans="2:16" ht="7.5" customHeight="1" x14ac:dyDescent="0.2">
      <c r="B27" s="41"/>
      <c r="C27" s="34"/>
      <c r="D27" s="35"/>
      <c r="E27" s="35"/>
      <c r="F27" s="35"/>
      <c r="G27" s="35"/>
      <c r="H27" s="35"/>
      <c r="I27" s="35"/>
      <c r="J27" s="35"/>
      <c r="K27" s="35"/>
      <c r="L27" s="35"/>
      <c r="M27" s="35"/>
      <c r="N27" s="35"/>
      <c r="O27" s="35"/>
      <c r="P27" s="35"/>
    </row>
    <row r="28" spans="2:16" ht="12.75" customHeight="1" x14ac:dyDescent="0.2">
      <c r="B28" s="41" t="s">
        <v>872</v>
      </c>
      <c r="C28" s="1387" t="s">
        <v>164</v>
      </c>
      <c r="D28" s="1387"/>
      <c r="E28" s="1387"/>
      <c r="F28" s="1387"/>
      <c r="G28" s="1387"/>
      <c r="H28" s="1387"/>
      <c r="I28" s="1387"/>
      <c r="J28" s="1387"/>
      <c r="K28" s="1387"/>
      <c r="L28" s="1387"/>
      <c r="M28" s="1387"/>
      <c r="N28" s="1387"/>
      <c r="O28" s="35"/>
      <c r="P28" s="35"/>
    </row>
    <row r="29" spans="2:16" ht="24.75" customHeight="1" x14ac:dyDescent="0.2">
      <c r="B29" s="41"/>
      <c r="C29" s="1387"/>
      <c r="D29" s="1387"/>
      <c r="E29" s="1387"/>
      <c r="F29" s="1387"/>
      <c r="G29" s="1387"/>
      <c r="H29" s="1387"/>
      <c r="I29" s="1387"/>
      <c r="J29" s="1387"/>
      <c r="K29" s="1387"/>
      <c r="L29" s="1387"/>
      <c r="M29" s="1387"/>
      <c r="N29" s="1387"/>
      <c r="O29" s="35"/>
      <c r="P29" s="35"/>
    </row>
    <row r="30" spans="2:16" ht="7.5" customHeight="1" x14ac:dyDescent="0.2">
      <c r="B30" s="41"/>
      <c r="C30" s="34"/>
      <c r="D30" s="35"/>
      <c r="E30" s="35"/>
      <c r="F30" s="35"/>
      <c r="G30" s="35"/>
      <c r="H30" s="35"/>
      <c r="I30" s="35"/>
      <c r="J30" s="35"/>
      <c r="K30" s="35"/>
      <c r="L30" s="35"/>
      <c r="M30" s="35"/>
      <c r="N30" s="35"/>
      <c r="O30" s="35"/>
      <c r="P30" s="35"/>
    </row>
    <row r="31" spans="2:16" ht="12.75" customHeight="1" x14ac:dyDescent="0.2">
      <c r="B31" s="41" t="s">
        <v>958</v>
      </c>
      <c r="C31" s="1387" t="s">
        <v>141</v>
      </c>
      <c r="D31" s="1387"/>
      <c r="E31" s="1387"/>
      <c r="F31" s="1387"/>
      <c r="G31" s="1387"/>
      <c r="H31" s="1387"/>
      <c r="I31" s="1387"/>
      <c r="J31" s="1387"/>
      <c r="K31" s="1387"/>
      <c r="L31" s="1387"/>
      <c r="M31" s="1387"/>
      <c r="N31" s="1387"/>
      <c r="O31" s="35"/>
      <c r="P31" s="35"/>
    </row>
    <row r="32" spans="2:16" ht="12.75" customHeight="1" x14ac:dyDescent="0.2">
      <c r="B32" s="41"/>
      <c r="C32" s="1387"/>
      <c r="D32" s="1387"/>
      <c r="E32" s="1387"/>
      <c r="F32" s="1387"/>
      <c r="G32" s="1387"/>
      <c r="H32" s="1387"/>
      <c r="I32" s="1387"/>
      <c r="J32" s="1387"/>
      <c r="K32" s="1387"/>
      <c r="L32" s="1387"/>
      <c r="M32" s="1387"/>
      <c r="N32" s="1387"/>
      <c r="O32" s="35"/>
      <c r="P32" s="35"/>
    </row>
    <row r="33" spans="1:16" ht="13.5" customHeight="1" x14ac:dyDescent="0.2">
      <c r="B33" s="41"/>
      <c r="C33" s="1387"/>
      <c r="D33" s="1387"/>
      <c r="E33" s="1387"/>
      <c r="F33" s="1387"/>
      <c r="G33" s="1387"/>
      <c r="H33" s="1387"/>
      <c r="I33" s="1387"/>
      <c r="J33" s="1387"/>
      <c r="K33" s="1387"/>
      <c r="L33" s="1387"/>
      <c r="M33" s="1387"/>
      <c r="N33" s="1387"/>
      <c r="O33" s="35"/>
      <c r="P33" s="35"/>
    </row>
    <row r="34" spans="1:16" ht="12.75" customHeight="1" x14ac:dyDescent="0.2">
      <c r="B34" s="41"/>
      <c r="C34" s="1387"/>
      <c r="D34" s="1387"/>
      <c r="E34" s="1387"/>
      <c r="F34" s="1387"/>
      <c r="G34" s="1387"/>
      <c r="H34" s="1387"/>
      <c r="I34" s="1387"/>
      <c r="J34" s="1387"/>
      <c r="K34" s="1387"/>
      <c r="L34" s="1387"/>
      <c r="M34" s="1387"/>
      <c r="N34" s="1387"/>
      <c r="O34" s="35"/>
      <c r="P34" s="35"/>
    </row>
    <row r="35" spans="1:16" ht="7.5" customHeight="1" x14ac:dyDescent="0.2">
      <c r="B35" s="41"/>
      <c r="C35" s="34"/>
      <c r="D35" s="34"/>
      <c r="E35" s="34"/>
      <c r="F35" s="34"/>
      <c r="G35" s="34"/>
      <c r="H35" s="34"/>
      <c r="I35" s="34"/>
      <c r="J35" s="34"/>
      <c r="K35" s="34"/>
      <c r="L35" s="34"/>
      <c r="M35" s="34"/>
      <c r="N35" s="34"/>
      <c r="O35" s="35"/>
      <c r="P35" s="35"/>
    </row>
    <row r="36" spans="1:16" ht="12.75" customHeight="1" x14ac:dyDescent="0.2">
      <c r="B36" s="41" t="s">
        <v>295</v>
      </c>
      <c r="C36" s="1387" t="s">
        <v>656</v>
      </c>
      <c r="D36" s="1387"/>
      <c r="E36" s="1387"/>
      <c r="F36" s="1387"/>
      <c r="G36" s="1387"/>
      <c r="H36" s="1387"/>
      <c r="I36" s="1387"/>
      <c r="J36" s="1387"/>
      <c r="K36" s="1387"/>
      <c r="L36" s="1387"/>
      <c r="M36" s="1387"/>
      <c r="N36" s="1387"/>
      <c r="O36" s="35"/>
      <c r="P36" s="35"/>
    </row>
    <row r="37" spans="1:16" ht="12.75" customHeight="1" x14ac:dyDescent="0.2">
      <c r="B37" s="41"/>
      <c r="C37" s="1387"/>
      <c r="D37" s="1387"/>
      <c r="E37" s="1387"/>
      <c r="F37" s="1387"/>
      <c r="G37" s="1387"/>
      <c r="H37" s="1387"/>
      <c r="I37" s="1387"/>
      <c r="J37" s="1387"/>
      <c r="K37" s="1387"/>
      <c r="L37" s="1387"/>
      <c r="M37" s="1387"/>
      <c r="N37" s="1387"/>
      <c r="O37" s="35"/>
      <c r="P37" s="35"/>
    </row>
    <row r="38" spans="1:16" ht="12.75" customHeight="1" x14ac:dyDescent="0.2">
      <c r="B38" s="41"/>
      <c r="C38" s="1387"/>
      <c r="D38" s="1387"/>
      <c r="E38" s="1387"/>
      <c r="F38" s="1387"/>
      <c r="G38" s="1387"/>
      <c r="H38" s="1387"/>
      <c r="I38" s="1387"/>
      <c r="J38" s="1387"/>
      <c r="K38" s="1387"/>
      <c r="L38" s="1387"/>
      <c r="M38" s="1387"/>
      <c r="N38" s="1387"/>
      <c r="O38" s="35"/>
      <c r="P38" s="35"/>
    </row>
    <row r="39" spans="1:16" ht="12.75" customHeight="1" x14ac:dyDescent="0.2">
      <c r="B39" s="41"/>
      <c r="C39" s="1387"/>
      <c r="D39" s="1387"/>
      <c r="E39" s="1387"/>
      <c r="F39" s="1387"/>
      <c r="G39" s="1387"/>
      <c r="H39" s="1387"/>
      <c r="I39" s="1387"/>
      <c r="J39" s="1387"/>
      <c r="K39" s="1387"/>
      <c r="L39" s="1387"/>
      <c r="M39" s="1387"/>
      <c r="N39" s="1387"/>
      <c r="O39" s="35"/>
      <c r="P39" s="35"/>
    </row>
    <row r="40" spans="1:16" ht="12.75" customHeight="1" x14ac:dyDescent="0.2">
      <c r="B40" s="41"/>
      <c r="C40" s="1387"/>
      <c r="D40" s="1387"/>
      <c r="E40" s="1387"/>
      <c r="F40" s="1387"/>
      <c r="G40" s="1387"/>
      <c r="H40" s="1387"/>
      <c r="I40" s="1387"/>
      <c r="J40" s="1387"/>
      <c r="K40" s="1387"/>
      <c r="L40" s="1387"/>
      <c r="M40" s="1387"/>
      <c r="N40" s="1387"/>
      <c r="O40" s="35"/>
      <c r="P40" s="35"/>
    </row>
    <row r="41" spans="1:16" ht="7.5" customHeight="1" x14ac:dyDescent="0.2">
      <c r="B41" s="41"/>
      <c r="C41" s="34"/>
      <c r="D41" s="34"/>
      <c r="E41" s="34"/>
      <c r="F41" s="34"/>
      <c r="G41" s="34"/>
      <c r="H41" s="34"/>
      <c r="I41" s="34"/>
      <c r="J41" s="34"/>
      <c r="K41" s="34"/>
      <c r="L41" s="34"/>
      <c r="M41" s="34"/>
      <c r="N41" s="34"/>
      <c r="O41" s="35"/>
      <c r="P41" s="35"/>
    </row>
    <row r="42" spans="1:16" ht="12.75" customHeight="1" x14ac:dyDescent="0.2">
      <c r="B42" s="41" t="s">
        <v>33</v>
      </c>
      <c r="C42" s="1402" t="s">
        <v>1089</v>
      </c>
      <c r="D42" s="1402"/>
      <c r="E42" s="1402"/>
      <c r="F42" s="1402"/>
      <c r="G42" s="1402"/>
      <c r="H42" s="1402"/>
      <c r="I42" s="1402"/>
      <c r="J42" s="1402"/>
      <c r="K42" s="1402"/>
      <c r="L42" s="1402"/>
      <c r="M42" s="1402"/>
      <c r="N42" s="1402"/>
      <c r="O42" s="35"/>
      <c r="P42" s="35"/>
    </row>
    <row r="43" spans="1:16" ht="12.75" customHeight="1" x14ac:dyDescent="0.2">
      <c r="B43" s="41"/>
      <c r="C43" s="1402"/>
      <c r="D43" s="1402"/>
      <c r="E43" s="1402"/>
      <c r="F43" s="1402"/>
      <c r="G43" s="1402"/>
      <c r="H43" s="1402"/>
      <c r="I43" s="1402"/>
      <c r="J43" s="1402"/>
      <c r="K43" s="1402"/>
      <c r="L43" s="1402"/>
      <c r="M43" s="1402"/>
      <c r="N43" s="1402"/>
      <c r="O43" s="35"/>
      <c r="P43" s="35"/>
    </row>
    <row r="44" spans="1:16" ht="12.75" customHeight="1" x14ac:dyDescent="0.2">
      <c r="B44" s="41"/>
      <c r="C44" s="1402"/>
      <c r="D44" s="1402"/>
      <c r="E44" s="1402"/>
      <c r="F44" s="1402"/>
      <c r="G44" s="1402"/>
      <c r="H44" s="1402"/>
      <c r="I44" s="1402"/>
      <c r="J44" s="1402"/>
      <c r="K44" s="1402"/>
      <c r="L44" s="1402"/>
      <c r="M44" s="1402"/>
      <c r="N44" s="1402"/>
      <c r="O44" s="35"/>
      <c r="P44" s="35"/>
    </row>
    <row r="45" spans="1:16" ht="22.5" customHeight="1" x14ac:dyDescent="0.2">
      <c r="B45" s="41"/>
      <c r="C45" s="34"/>
      <c r="D45" s="35"/>
      <c r="E45" s="35"/>
      <c r="F45" s="35"/>
      <c r="G45" s="35"/>
      <c r="H45" s="35"/>
      <c r="I45" s="35"/>
      <c r="J45" s="35"/>
      <c r="K45" s="35"/>
      <c r="L45" s="35"/>
      <c r="M45" s="35"/>
      <c r="N45" s="35"/>
      <c r="O45" s="35"/>
      <c r="P45" s="35"/>
    </row>
    <row r="46" spans="1:16" ht="25.5" customHeight="1" x14ac:dyDescent="0.2">
      <c r="A46" s="4" t="s">
        <v>547</v>
      </c>
      <c r="B46" s="1470" t="s">
        <v>86</v>
      </c>
      <c r="C46" s="1471"/>
      <c r="D46" s="1471"/>
      <c r="E46" s="1471"/>
      <c r="F46" s="1471"/>
      <c r="G46" s="1471"/>
      <c r="H46" s="1471"/>
      <c r="I46" s="1471"/>
      <c r="J46" s="1471"/>
      <c r="K46" s="1471"/>
      <c r="L46" s="1471"/>
      <c r="M46" s="1471"/>
      <c r="N46" s="1472"/>
      <c r="O46" s="35"/>
      <c r="P46" s="35"/>
    </row>
    <row r="49" spans="1:14" x14ac:dyDescent="0.2">
      <c r="B49" s="39" t="s">
        <v>521</v>
      </c>
      <c r="C49" s="1387" t="s">
        <v>407</v>
      </c>
      <c r="D49" s="1387"/>
      <c r="E49" s="1387"/>
      <c r="F49" s="1387"/>
      <c r="G49" s="1387"/>
      <c r="H49" s="1387"/>
      <c r="I49" s="1387"/>
      <c r="J49" s="1387"/>
      <c r="K49" s="1387"/>
      <c r="L49" s="1387"/>
      <c r="N49" s="1617">
        <v>0</v>
      </c>
    </row>
    <row r="50" spans="1:14" ht="12" customHeight="1" x14ac:dyDescent="0.2">
      <c r="C50" s="1387"/>
      <c r="D50" s="1387"/>
      <c r="E50" s="1387"/>
      <c r="F50" s="1387"/>
      <c r="G50" s="1387"/>
      <c r="H50" s="1387"/>
      <c r="I50" s="1387"/>
      <c r="J50" s="1387"/>
      <c r="K50" s="1387"/>
      <c r="L50" s="1387"/>
      <c r="N50" s="1617"/>
    </row>
    <row r="51" spans="1:14" x14ac:dyDescent="0.2">
      <c r="C51" s="6"/>
    </row>
    <row r="52" spans="1:14" ht="16.5" customHeight="1" x14ac:dyDescent="0.2">
      <c r="B52" s="39" t="s">
        <v>522</v>
      </c>
      <c r="C52" s="1468" t="s">
        <v>69</v>
      </c>
      <c r="D52" s="1468"/>
      <c r="E52" s="1468"/>
      <c r="F52" s="1468"/>
      <c r="G52" s="1468"/>
      <c r="H52" s="1468"/>
      <c r="I52" s="1468"/>
      <c r="J52" s="1468"/>
      <c r="K52" s="1468"/>
      <c r="L52" s="1468"/>
      <c r="N52" s="1498">
        <v>0</v>
      </c>
    </row>
    <row r="53" spans="1:14" x14ac:dyDescent="0.2">
      <c r="C53" s="1468"/>
      <c r="D53" s="1468"/>
      <c r="E53" s="1468"/>
      <c r="F53" s="1468"/>
      <c r="G53" s="1468"/>
      <c r="H53" s="1468"/>
      <c r="I53" s="1468"/>
      <c r="J53" s="1468"/>
      <c r="K53" s="1468"/>
      <c r="L53" s="1468"/>
      <c r="N53" s="1498"/>
    </row>
    <row r="54" spans="1:14" x14ac:dyDescent="0.2">
      <c r="C54" s="235"/>
      <c r="D54" s="236"/>
      <c r="E54" s="236"/>
      <c r="F54" s="236"/>
      <c r="G54" s="236"/>
      <c r="H54" s="236"/>
      <c r="I54" s="236"/>
      <c r="J54" s="236"/>
      <c r="K54" s="236"/>
      <c r="L54" s="236"/>
      <c r="M54" s="236"/>
      <c r="N54" s="13"/>
    </row>
    <row r="55" spans="1:14" x14ac:dyDescent="0.2">
      <c r="C55" s="6"/>
    </row>
    <row r="56" spans="1:14" x14ac:dyDescent="0.2">
      <c r="C56" s="6"/>
    </row>
    <row r="57" spans="1:14" ht="25.5" customHeight="1" x14ac:dyDescent="0.2">
      <c r="A57" s="4" t="s">
        <v>548</v>
      </c>
      <c r="B57" s="1476" t="s">
        <v>87</v>
      </c>
      <c r="C57" s="1478"/>
      <c r="D57" s="1478"/>
      <c r="E57" s="1478"/>
      <c r="F57" s="1478"/>
      <c r="G57" s="1478"/>
      <c r="H57" s="1478"/>
      <c r="I57" s="1478"/>
      <c r="J57" s="1478"/>
      <c r="K57" s="1478"/>
      <c r="L57" s="1478"/>
      <c r="M57" s="1478"/>
      <c r="N57" s="1479"/>
    </row>
    <row r="58" spans="1:14" x14ac:dyDescent="0.2">
      <c r="H58" s="1"/>
    </row>
    <row r="59" spans="1:14" x14ac:dyDescent="0.2">
      <c r="H59" s="1"/>
    </row>
    <row r="60" spans="1:14" x14ac:dyDescent="0.2">
      <c r="B60" s="39" t="s">
        <v>521</v>
      </c>
      <c r="C60" s="1387" t="s">
        <v>585</v>
      </c>
      <c r="D60" s="1387"/>
      <c r="E60" s="1387"/>
      <c r="F60" s="1387"/>
      <c r="G60" s="1387"/>
      <c r="H60" s="1387"/>
      <c r="I60" s="1387"/>
      <c r="J60" s="1387"/>
      <c r="K60" s="1387"/>
      <c r="L60" s="1387"/>
      <c r="N60" s="1498">
        <v>0</v>
      </c>
    </row>
    <row r="61" spans="1:14" ht="26.25" customHeight="1" x14ac:dyDescent="0.2">
      <c r="C61" s="1387"/>
      <c r="D61" s="1387"/>
      <c r="E61" s="1387"/>
      <c r="F61" s="1387"/>
      <c r="G61" s="1387"/>
      <c r="H61" s="1387"/>
      <c r="I61" s="1387"/>
      <c r="J61" s="1387"/>
      <c r="K61" s="1387"/>
      <c r="L61" s="1387"/>
      <c r="N61" s="1498"/>
    </row>
    <row r="62" spans="1:14" ht="8.25" customHeight="1" x14ac:dyDescent="0.2">
      <c r="N62" s="36"/>
    </row>
    <row r="63" spans="1:14" x14ac:dyDescent="0.2">
      <c r="B63" s="39" t="s">
        <v>522</v>
      </c>
      <c r="C63" s="1387" t="s">
        <v>487</v>
      </c>
      <c r="D63" s="1387"/>
      <c r="E63" s="1387"/>
      <c r="F63" s="1387"/>
      <c r="G63" s="1387"/>
      <c r="H63" s="1387"/>
      <c r="I63" s="1387"/>
      <c r="J63" s="1387"/>
      <c r="K63" s="1387"/>
      <c r="L63" s="1387"/>
      <c r="N63" s="1498">
        <v>0</v>
      </c>
    </row>
    <row r="64" spans="1:14" ht="24.75" customHeight="1" x14ac:dyDescent="0.2">
      <c r="C64" s="1387"/>
      <c r="D64" s="1387"/>
      <c r="E64" s="1387"/>
      <c r="F64" s="1387"/>
      <c r="G64" s="1387"/>
      <c r="H64" s="1387"/>
      <c r="I64" s="1387"/>
      <c r="J64" s="1387"/>
      <c r="K64" s="1387"/>
      <c r="L64" s="1387"/>
      <c r="N64" s="1498"/>
    </row>
    <row r="65" spans="1:17" ht="12.75" customHeight="1" x14ac:dyDescent="0.2">
      <c r="L65" s="36"/>
    </row>
    <row r="66" spans="1:17" ht="12.75" customHeight="1" x14ac:dyDescent="0.2">
      <c r="L66" s="36"/>
    </row>
    <row r="67" spans="1:17" ht="36" customHeight="1" x14ac:dyDescent="0.2">
      <c r="A67" s="4" t="s">
        <v>816</v>
      </c>
      <c r="B67" s="1476" t="s">
        <v>155</v>
      </c>
      <c r="C67" s="1478"/>
      <c r="D67" s="1478"/>
      <c r="E67" s="1478"/>
      <c r="F67" s="1478"/>
      <c r="G67" s="1478"/>
      <c r="H67" s="1478"/>
      <c r="I67" s="1478"/>
      <c r="J67" s="1478"/>
      <c r="K67" s="1478"/>
      <c r="L67" s="1478"/>
      <c r="M67" s="1478"/>
      <c r="N67" s="1479"/>
    </row>
    <row r="68" spans="1:17" ht="13.5" customHeight="1" x14ac:dyDescent="0.2">
      <c r="L68" s="36"/>
    </row>
    <row r="69" spans="1:17" ht="12.75" customHeight="1" x14ac:dyDescent="0.2">
      <c r="B69" s="39" t="s">
        <v>521</v>
      </c>
      <c r="C69" s="1402" t="s">
        <v>1090</v>
      </c>
      <c r="D69" s="1402"/>
      <c r="E69" s="1402"/>
      <c r="F69" s="1402"/>
      <c r="G69" s="1402"/>
      <c r="H69" s="1402"/>
      <c r="I69" s="1402"/>
      <c r="J69" s="1402"/>
      <c r="K69" s="1402"/>
      <c r="L69" s="1402"/>
      <c r="N69" s="1498">
        <v>0</v>
      </c>
    </row>
    <row r="70" spans="1:17" ht="12.75" customHeight="1" x14ac:dyDescent="0.2">
      <c r="B70" s="39"/>
      <c r="C70" s="1402"/>
      <c r="D70" s="1402"/>
      <c r="E70" s="1402"/>
      <c r="F70" s="1402"/>
      <c r="G70" s="1402"/>
      <c r="H70" s="1402"/>
      <c r="I70" s="1402"/>
      <c r="J70" s="1402"/>
      <c r="K70" s="1402"/>
      <c r="L70" s="1402"/>
      <c r="N70" s="1498"/>
    </row>
    <row r="71" spans="1:17" ht="12.75" customHeight="1" x14ac:dyDescent="0.2">
      <c r="B71" s="39"/>
      <c r="C71" s="1402"/>
      <c r="D71" s="1402"/>
      <c r="E71" s="1402"/>
      <c r="F71" s="1402"/>
      <c r="G71" s="1402"/>
      <c r="H71" s="1402"/>
      <c r="I71" s="1402"/>
      <c r="J71" s="1402"/>
      <c r="K71" s="1402"/>
      <c r="L71" s="1402"/>
      <c r="N71" s="1498"/>
    </row>
    <row r="72" spans="1:17" ht="6" customHeight="1" x14ac:dyDescent="0.2">
      <c r="N72" s="36"/>
    </row>
    <row r="73" spans="1:17" ht="12.75" customHeight="1" x14ac:dyDescent="0.2">
      <c r="B73" s="39" t="s">
        <v>522</v>
      </c>
      <c r="C73" s="1387" t="s">
        <v>946</v>
      </c>
      <c r="D73" s="1387"/>
      <c r="E73" s="1387"/>
      <c r="F73" s="1387"/>
      <c r="G73" s="1387"/>
      <c r="H73" s="1387"/>
      <c r="I73" s="1387"/>
      <c r="J73" s="1387"/>
      <c r="K73" s="1387"/>
      <c r="L73" s="1387"/>
      <c r="N73" s="1498"/>
    </row>
    <row r="74" spans="1:17" ht="12.75" hidden="1" customHeight="1" x14ac:dyDescent="0.2">
      <c r="C74" s="1387"/>
      <c r="D74" s="1387"/>
      <c r="E74" s="1387"/>
      <c r="F74" s="1387"/>
      <c r="G74" s="1387"/>
      <c r="H74" s="1387"/>
      <c r="I74" s="1387"/>
      <c r="J74" s="1387"/>
      <c r="K74" s="1387"/>
      <c r="L74" s="1387"/>
      <c r="N74" s="1498"/>
    </row>
    <row r="75" spans="1:17" x14ac:dyDescent="0.2">
      <c r="C75" s="1387"/>
      <c r="D75" s="1387"/>
      <c r="E75" s="1387"/>
      <c r="F75" s="1387"/>
      <c r="G75" s="1387"/>
      <c r="H75" s="1387"/>
      <c r="I75" s="1387"/>
      <c r="J75" s="1387"/>
      <c r="K75" s="1387"/>
      <c r="L75" s="1387"/>
      <c r="N75" s="1498"/>
    </row>
    <row r="76" spans="1:17" ht="9" customHeight="1" x14ac:dyDescent="0.2">
      <c r="N76" s="36"/>
    </row>
    <row r="77" spans="1:17" ht="12.75" customHeight="1" x14ac:dyDescent="0.2">
      <c r="B77" s="39" t="s">
        <v>523</v>
      </c>
      <c r="C77" s="1387" t="s">
        <v>947</v>
      </c>
      <c r="D77" s="1387"/>
      <c r="E77" s="1387"/>
      <c r="F77" s="1387"/>
      <c r="G77" s="1387"/>
      <c r="H77" s="1387"/>
      <c r="I77" s="1387"/>
      <c r="J77" s="1387"/>
      <c r="K77" s="1387"/>
      <c r="L77" s="1387"/>
      <c r="N77" s="1498">
        <v>0</v>
      </c>
      <c r="Q77" s="53"/>
    </row>
    <row r="78" spans="1:17" ht="12.75" customHeight="1" x14ac:dyDescent="0.2">
      <c r="B78" s="39"/>
      <c r="C78" s="1387"/>
      <c r="D78" s="1387"/>
      <c r="E78" s="1387"/>
      <c r="F78" s="1387"/>
      <c r="G78" s="1387"/>
      <c r="H78" s="1387"/>
      <c r="I78" s="1387"/>
      <c r="J78" s="1387"/>
      <c r="K78" s="1387"/>
      <c r="L78" s="1387"/>
      <c r="N78" s="1498"/>
      <c r="Q78" s="53"/>
    </row>
    <row r="79" spans="1:17" ht="6" customHeight="1" x14ac:dyDescent="0.2">
      <c r="B79" s="39"/>
      <c r="N79" s="36"/>
    </row>
    <row r="80" spans="1:17" ht="12.75" customHeight="1" x14ac:dyDescent="0.2">
      <c r="B80" s="39" t="s">
        <v>549</v>
      </c>
      <c r="C80" s="1387" t="s">
        <v>154</v>
      </c>
      <c r="D80" s="1387"/>
      <c r="E80" s="1387"/>
      <c r="F80" s="1387"/>
      <c r="G80" s="1387"/>
      <c r="H80" s="1387"/>
      <c r="I80" s="1387"/>
      <c r="J80" s="1387"/>
      <c r="K80" s="1387"/>
      <c r="L80" s="1387"/>
      <c r="N80" s="1498">
        <v>0</v>
      </c>
    </row>
    <row r="81" spans="1:14" ht="12.75" customHeight="1" x14ac:dyDescent="0.2">
      <c r="B81" s="39"/>
      <c r="C81" s="1387"/>
      <c r="D81" s="1387"/>
      <c r="E81" s="1387"/>
      <c r="F81" s="1387"/>
      <c r="G81" s="1387"/>
      <c r="H81" s="1387"/>
      <c r="I81" s="1387"/>
      <c r="J81" s="1387"/>
      <c r="K81" s="1387"/>
      <c r="L81" s="1387"/>
      <c r="N81" s="1498"/>
    </row>
    <row r="82" spans="1:14" ht="13.5" customHeight="1" x14ac:dyDescent="0.2">
      <c r="B82" s="39"/>
      <c r="C82" s="1387"/>
      <c r="D82" s="1387"/>
      <c r="E82" s="1387"/>
      <c r="F82" s="1387"/>
      <c r="G82" s="1387"/>
      <c r="H82" s="1387"/>
      <c r="I82" s="1387"/>
      <c r="J82" s="1387"/>
      <c r="K82" s="1387"/>
      <c r="L82" s="1387"/>
      <c r="N82" s="1498"/>
    </row>
    <row r="83" spans="1:14" ht="21.75" customHeight="1" x14ac:dyDescent="0.2"/>
    <row r="84" spans="1:14" ht="25.5" customHeight="1" x14ac:dyDescent="0.2">
      <c r="A84" s="4" t="s">
        <v>822</v>
      </c>
      <c r="B84" s="1473" t="s">
        <v>156</v>
      </c>
      <c r="C84" s="1474"/>
      <c r="D84" s="1474"/>
      <c r="E84" s="1474"/>
      <c r="F84" s="1474"/>
      <c r="G84" s="1474"/>
      <c r="H84" s="1474"/>
      <c r="I84" s="1474"/>
      <c r="J84" s="1474"/>
      <c r="K84" s="1474"/>
      <c r="L84" s="1474"/>
      <c r="M84" s="1474"/>
      <c r="N84" s="1475"/>
    </row>
    <row r="85" spans="1:14" ht="12.75" customHeight="1" x14ac:dyDescent="0.2"/>
    <row r="86" spans="1:14" ht="17.25" customHeight="1" x14ac:dyDescent="0.2">
      <c r="B86" s="39" t="s">
        <v>521</v>
      </c>
      <c r="C86" s="1387" t="s">
        <v>140</v>
      </c>
      <c r="D86" s="1387"/>
      <c r="E86" s="1387"/>
      <c r="F86" s="1387"/>
      <c r="G86" s="1387"/>
      <c r="H86" s="1387"/>
      <c r="I86" s="1387"/>
      <c r="J86" s="1387"/>
      <c r="K86" s="1387"/>
      <c r="L86" s="1387"/>
      <c r="N86" s="344">
        <v>0</v>
      </c>
    </row>
    <row r="87" spans="1:14" ht="5.25" customHeight="1" x14ac:dyDescent="0.2">
      <c r="C87" s="34"/>
      <c r="D87" s="34"/>
      <c r="E87" s="34"/>
      <c r="F87" s="34"/>
      <c r="G87" s="34"/>
      <c r="H87" s="34"/>
      <c r="I87" s="34"/>
      <c r="J87" s="34"/>
      <c r="K87" s="34"/>
      <c r="L87" s="34"/>
      <c r="N87" s="354"/>
    </row>
    <row r="88" spans="1:14" ht="17.25" customHeight="1" x14ac:dyDescent="0.2">
      <c r="B88" s="39" t="s">
        <v>522</v>
      </c>
      <c r="C88" s="1392" t="s">
        <v>691</v>
      </c>
      <c r="D88" s="1392"/>
      <c r="E88" s="1392"/>
      <c r="F88" s="1392"/>
      <c r="G88" s="1392"/>
      <c r="H88" s="1392"/>
      <c r="I88" s="1392"/>
      <c r="J88" s="1392"/>
      <c r="N88" s="344">
        <v>0</v>
      </c>
    </row>
    <row r="89" spans="1:14" ht="3.75" customHeight="1" x14ac:dyDescent="0.2">
      <c r="N89" s="355"/>
    </row>
    <row r="90" spans="1:14" ht="12.75" customHeight="1" x14ac:dyDescent="0.2"/>
    <row r="91" spans="1:14" ht="12.75" customHeight="1" x14ac:dyDescent="0.2">
      <c r="C91" s="2" t="s">
        <v>139</v>
      </c>
    </row>
    <row r="92" spans="1:14" ht="21.75" customHeight="1" x14ac:dyDescent="0.2"/>
    <row r="93" spans="1:14" ht="25.5" customHeight="1" x14ac:dyDescent="0.2">
      <c r="A93" s="4" t="s">
        <v>838</v>
      </c>
      <c r="B93" s="1473" t="s">
        <v>287</v>
      </c>
      <c r="C93" s="1474"/>
      <c r="D93" s="1474"/>
      <c r="E93" s="1474"/>
      <c r="F93" s="1474"/>
      <c r="G93" s="1474"/>
      <c r="H93" s="1474"/>
      <c r="I93" s="1474"/>
      <c r="J93" s="1474"/>
      <c r="K93" s="1474"/>
      <c r="L93" s="1474"/>
      <c r="M93" s="1474"/>
      <c r="N93" s="1475"/>
    </row>
    <row r="94" spans="1:14" ht="12.75" customHeight="1" x14ac:dyDescent="0.2"/>
    <row r="95" spans="1:14" ht="12.75" customHeight="1" x14ac:dyDescent="0.2">
      <c r="B95" s="39" t="s">
        <v>521</v>
      </c>
      <c r="C95" s="1387" t="s">
        <v>868</v>
      </c>
      <c r="D95" s="1387"/>
      <c r="E95" s="1387"/>
      <c r="F95" s="1387"/>
      <c r="G95" s="1387"/>
      <c r="H95" s="1387"/>
      <c r="I95" s="1387"/>
      <c r="J95" s="1387"/>
    </row>
    <row r="96" spans="1:14" ht="63" customHeight="1" x14ac:dyDescent="0.2">
      <c r="C96" s="1387"/>
      <c r="D96" s="1387"/>
      <c r="E96" s="1387"/>
      <c r="F96" s="1387"/>
      <c r="G96" s="1387"/>
      <c r="H96" s="1387"/>
      <c r="I96" s="1387"/>
      <c r="J96" s="1387"/>
    </row>
    <row r="97" spans="1:14" ht="4.5" customHeight="1" x14ac:dyDescent="0.2">
      <c r="C97" s="34"/>
      <c r="D97" s="34"/>
      <c r="E97" s="34"/>
      <c r="F97" s="34"/>
      <c r="G97" s="34"/>
      <c r="H97" s="34"/>
      <c r="I97" s="34"/>
      <c r="J97" s="34"/>
    </row>
    <row r="98" spans="1:14" ht="12.75" customHeight="1" x14ac:dyDescent="0.2">
      <c r="I98" t="s">
        <v>191</v>
      </c>
      <c r="N98" s="344">
        <v>0</v>
      </c>
    </row>
    <row r="99" spans="1:14" ht="12.75" customHeight="1" x14ac:dyDescent="0.2">
      <c r="I99" t="s">
        <v>216</v>
      </c>
      <c r="N99" s="344">
        <v>0</v>
      </c>
    </row>
    <row r="100" spans="1:14" ht="6" customHeight="1" x14ac:dyDescent="0.2">
      <c r="N100" s="424"/>
    </row>
    <row r="101" spans="1:14" ht="12.75" customHeight="1" thickBot="1" x14ac:dyDescent="0.25">
      <c r="N101" s="80">
        <f>SUM(N98:N99)</f>
        <v>0</v>
      </c>
    </row>
    <row r="102" spans="1:14" ht="24" customHeight="1" thickTop="1" x14ac:dyDescent="0.2"/>
    <row r="103" spans="1:14" ht="25.5" customHeight="1" x14ac:dyDescent="0.2">
      <c r="A103" s="4" t="s">
        <v>729</v>
      </c>
      <c r="B103" s="1473" t="s">
        <v>662</v>
      </c>
      <c r="C103" s="1474"/>
      <c r="D103" s="1474"/>
      <c r="E103" s="1474"/>
      <c r="F103" s="1474"/>
      <c r="G103" s="1474"/>
      <c r="H103" s="1474"/>
      <c r="I103" s="1474"/>
      <c r="J103" s="1474"/>
      <c r="K103" s="1474"/>
      <c r="L103" s="1474"/>
      <c r="M103" s="1474"/>
      <c r="N103" s="1475"/>
    </row>
    <row r="104" spans="1:14" ht="16.5" customHeight="1" x14ac:dyDescent="0.2"/>
    <row r="105" spans="1:14" ht="12.75" customHeight="1" x14ac:dyDescent="0.2">
      <c r="B105" s="39" t="s">
        <v>521</v>
      </c>
      <c r="C105" t="s">
        <v>722</v>
      </c>
      <c r="N105" s="344">
        <v>0</v>
      </c>
    </row>
    <row r="106" spans="1:14" ht="6" customHeight="1" x14ac:dyDescent="0.2">
      <c r="N106" s="36"/>
    </row>
    <row r="107" spans="1:14" ht="12.75" customHeight="1" x14ac:dyDescent="0.2">
      <c r="B107" s="39" t="s">
        <v>522</v>
      </c>
      <c r="C107" t="s">
        <v>163</v>
      </c>
      <c r="N107" s="344">
        <v>0</v>
      </c>
    </row>
    <row r="108" spans="1:14" ht="6" customHeight="1" x14ac:dyDescent="0.2">
      <c r="N108" s="36"/>
    </row>
    <row r="109" spans="1:14" ht="12.75" customHeight="1" x14ac:dyDescent="0.2">
      <c r="B109" s="39" t="s">
        <v>523</v>
      </c>
      <c r="C109" t="s">
        <v>660</v>
      </c>
      <c r="N109" s="344">
        <v>0</v>
      </c>
    </row>
    <row r="110" spans="1:14" ht="6" customHeight="1" x14ac:dyDescent="0.2">
      <c r="N110" s="36"/>
    </row>
    <row r="111" spans="1:14" ht="12.75" customHeight="1" x14ac:dyDescent="0.2">
      <c r="B111" s="39" t="s">
        <v>549</v>
      </c>
      <c r="C111" t="s">
        <v>661</v>
      </c>
      <c r="N111" s="344">
        <v>0</v>
      </c>
    </row>
    <row r="112" spans="1:14" ht="6" customHeight="1" x14ac:dyDescent="0.2">
      <c r="N112" s="36"/>
    </row>
    <row r="113" spans="1:14" ht="12.75" customHeight="1" x14ac:dyDescent="0.2">
      <c r="B113" s="39" t="s">
        <v>550</v>
      </c>
      <c r="C113" t="s">
        <v>723</v>
      </c>
      <c r="N113" s="344">
        <v>0</v>
      </c>
    </row>
    <row r="114" spans="1:14" ht="6" customHeight="1" x14ac:dyDescent="0.2">
      <c r="N114" s="36"/>
    </row>
    <row r="115" spans="1:14" ht="12.75" customHeight="1" x14ac:dyDescent="0.2">
      <c r="B115" s="39" t="s">
        <v>872</v>
      </c>
      <c r="C115" s="1387" t="s">
        <v>981</v>
      </c>
      <c r="D115" s="1392"/>
      <c r="E115" s="1392"/>
      <c r="F115" s="1392"/>
      <c r="G115" s="1392"/>
      <c r="H115" s="1392"/>
      <c r="I115" s="1392"/>
      <c r="J115" s="1392"/>
      <c r="K115" s="1392"/>
      <c r="L115" s="1392"/>
      <c r="N115" s="344">
        <v>0</v>
      </c>
    </row>
    <row r="116" spans="1:14" ht="12.75" customHeight="1" x14ac:dyDescent="0.2">
      <c r="B116" s="39"/>
      <c r="C116" s="1392"/>
      <c r="D116" s="1392"/>
      <c r="E116" s="1392"/>
      <c r="F116" s="1392"/>
      <c r="G116" s="1392"/>
      <c r="H116" s="1392"/>
      <c r="I116" s="1392"/>
      <c r="J116" s="1392"/>
      <c r="K116" s="1392"/>
      <c r="L116" s="1392"/>
      <c r="N116" s="441"/>
    </row>
    <row r="117" spans="1:14" ht="6" customHeight="1" x14ac:dyDescent="0.2">
      <c r="N117" s="36"/>
    </row>
    <row r="118" spans="1:14" ht="13.5" customHeight="1" x14ac:dyDescent="0.2">
      <c r="B118" s="39" t="s">
        <v>958</v>
      </c>
      <c r="C118" s="354" t="s">
        <v>658</v>
      </c>
      <c r="N118" s="344">
        <v>0</v>
      </c>
    </row>
    <row r="119" spans="1:14" ht="6" customHeight="1" x14ac:dyDescent="0.2">
      <c r="N119" s="36"/>
    </row>
    <row r="120" spans="1:14" ht="12.75" customHeight="1" x14ac:dyDescent="0.2">
      <c r="B120" s="39" t="s">
        <v>295</v>
      </c>
      <c r="C120" s="354" t="s">
        <v>659</v>
      </c>
      <c r="N120" s="368">
        <v>0</v>
      </c>
    </row>
    <row r="121" spans="1:14" ht="12.75" customHeight="1" x14ac:dyDescent="0.2"/>
    <row r="122" spans="1:14" ht="24" customHeight="1" x14ac:dyDescent="0.2"/>
    <row r="123" spans="1:14" ht="25.5" customHeight="1" x14ac:dyDescent="0.2">
      <c r="A123" s="4" t="s">
        <v>730</v>
      </c>
      <c r="B123" s="1473" t="s">
        <v>282</v>
      </c>
      <c r="C123" s="1474"/>
      <c r="D123" s="1474"/>
      <c r="E123" s="1474"/>
      <c r="F123" s="1474"/>
      <c r="G123" s="1474"/>
      <c r="H123" s="1474"/>
      <c r="I123" s="1474"/>
      <c r="J123" s="1474"/>
      <c r="K123" s="1474"/>
      <c r="L123" s="1474"/>
      <c r="M123" s="1474"/>
      <c r="N123" s="1475"/>
    </row>
    <row r="124" spans="1:14" ht="16.5" customHeight="1" x14ac:dyDescent="0.2"/>
    <row r="125" spans="1:14" ht="12.75" customHeight="1" x14ac:dyDescent="0.2">
      <c r="B125" s="39" t="s">
        <v>521</v>
      </c>
      <c r="C125" s="1387" t="s">
        <v>1013</v>
      </c>
      <c r="D125" s="1387"/>
      <c r="E125" s="1387"/>
      <c r="F125" s="1387"/>
      <c r="G125" s="1387"/>
      <c r="H125" s="1387"/>
      <c r="I125" s="1387"/>
      <c r="J125" s="1387"/>
      <c r="M125" s="45"/>
    </row>
    <row r="126" spans="1:14" ht="51.75" customHeight="1" x14ac:dyDescent="0.2">
      <c r="C126" s="1387"/>
      <c r="D126" s="1387"/>
      <c r="E126" s="1387"/>
      <c r="F126" s="1387"/>
      <c r="G126" s="1387"/>
      <c r="H126" s="1387"/>
      <c r="I126" s="1387"/>
      <c r="J126" s="1387"/>
      <c r="L126" s="1615" t="s">
        <v>927</v>
      </c>
      <c r="M126" s="1615"/>
      <c r="N126" s="1615"/>
    </row>
    <row r="127" spans="1:14" ht="15.75" customHeight="1" x14ac:dyDescent="0.2">
      <c r="J127" s="3" t="s">
        <v>692</v>
      </c>
      <c r="L127" s="3" t="s">
        <v>896</v>
      </c>
      <c r="N127" s="3" t="s">
        <v>895</v>
      </c>
    </row>
    <row r="128" spans="1:14" ht="12.75" customHeight="1" x14ac:dyDescent="0.2">
      <c r="G128" t="s">
        <v>897</v>
      </c>
      <c r="J128" s="344">
        <v>0</v>
      </c>
      <c r="K128" s="355"/>
      <c r="L128" s="344">
        <v>0</v>
      </c>
      <c r="M128" s="355"/>
      <c r="N128" s="344">
        <v>0</v>
      </c>
    </row>
    <row r="129" spans="1:14" ht="12.75" customHeight="1" x14ac:dyDescent="0.2">
      <c r="G129" t="s">
        <v>1009</v>
      </c>
      <c r="J129" s="344">
        <v>0</v>
      </c>
      <c r="K129" s="355"/>
      <c r="L129" s="344">
        <v>0</v>
      </c>
      <c r="M129" s="355"/>
      <c r="N129" s="344">
        <v>0</v>
      </c>
    </row>
    <row r="130" spans="1:14" ht="12.75" customHeight="1" x14ac:dyDescent="0.2">
      <c r="G130" t="s">
        <v>216</v>
      </c>
      <c r="J130" s="344">
        <v>0</v>
      </c>
      <c r="K130" s="355"/>
      <c r="L130" s="344">
        <v>0</v>
      </c>
      <c r="M130" s="355"/>
      <c r="N130" s="344">
        <v>0</v>
      </c>
    </row>
    <row r="131" spans="1:14" ht="12.75" customHeight="1" x14ac:dyDescent="0.2">
      <c r="G131" t="s">
        <v>831</v>
      </c>
      <c r="J131" s="344">
        <v>0</v>
      </c>
      <c r="K131" s="355"/>
      <c r="L131" s="344">
        <v>0</v>
      </c>
      <c r="M131" s="355"/>
      <c r="N131" s="344">
        <v>0</v>
      </c>
    </row>
    <row r="132" spans="1:14" ht="12.75" customHeight="1" x14ac:dyDescent="0.2">
      <c r="G132" t="s">
        <v>820</v>
      </c>
      <c r="J132" s="344">
        <v>0</v>
      </c>
      <c r="K132" s="355"/>
      <c r="L132" s="344">
        <v>0</v>
      </c>
      <c r="M132" s="355"/>
      <c r="N132" s="344">
        <v>0</v>
      </c>
    </row>
    <row r="133" spans="1:14" ht="12.75" customHeight="1" x14ac:dyDescent="0.2">
      <c r="G133" t="s">
        <v>217</v>
      </c>
      <c r="J133" s="344">
        <v>0</v>
      </c>
      <c r="K133" s="355"/>
      <c r="L133" s="344">
        <v>0</v>
      </c>
      <c r="M133" s="355"/>
      <c r="N133" s="344">
        <v>0</v>
      </c>
    </row>
    <row r="134" spans="1:14" ht="12.75" customHeight="1" x14ac:dyDescent="0.2">
      <c r="G134" t="s">
        <v>218</v>
      </c>
      <c r="J134" s="344">
        <v>0</v>
      </c>
      <c r="K134" s="355"/>
      <c r="L134" s="344">
        <v>0</v>
      </c>
      <c r="M134" s="355"/>
      <c r="N134" s="344">
        <v>0</v>
      </c>
    </row>
    <row r="135" spans="1:14" ht="12.75" customHeight="1" x14ac:dyDescent="0.2">
      <c r="G135" t="s">
        <v>174</v>
      </c>
      <c r="J135" s="344">
        <v>0</v>
      </c>
      <c r="K135" s="355"/>
      <c r="L135" s="344">
        <v>0</v>
      </c>
      <c r="M135" s="355"/>
      <c r="N135" s="344">
        <v>0</v>
      </c>
    </row>
    <row r="136" spans="1:14" ht="12.75" customHeight="1" x14ac:dyDescent="0.2">
      <c r="G136" s="354" t="s">
        <v>740</v>
      </c>
      <c r="J136" s="344">
        <v>0</v>
      </c>
      <c r="K136" s="355"/>
      <c r="L136" s="344">
        <v>0</v>
      </c>
      <c r="M136" s="337"/>
      <c r="N136" s="344">
        <v>0</v>
      </c>
    </row>
    <row r="137" spans="1:14" ht="12.75" customHeight="1" thickBot="1" x14ac:dyDescent="0.25">
      <c r="J137" s="75">
        <f>SUM(J128:J136)</f>
        <v>0</v>
      </c>
      <c r="K137" s="36"/>
      <c r="L137" s="75">
        <f>SUM(L128:L136)</f>
        <v>0</v>
      </c>
      <c r="M137" s="48"/>
      <c r="N137" s="75">
        <f>SUM(N128:N136)</f>
        <v>0</v>
      </c>
    </row>
    <row r="138" spans="1:14" ht="12.75" customHeight="1" thickTop="1" x14ac:dyDescent="0.2">
      <c r="M138" s="14"/>
    </row>
    <row r="139" spans="1:14" ht="12.75" customHeight="1" x14ac:dyDescent="0.2">
      <c r="M139" s="14"/>
    </row>
    <row r="140" spans="1:14" ht="25.5" customHeight="1" x14ac:dyDescent="0.2">
      <c r="A140" s="4" t="s">
        <v>800</v>
      </c>
      <c r="B140" s="1473" t="s">
        <v>690</v>
      </c>
      <c r="C140" s="1474"/>
      <c r="D140" s="1474"/>
      <c r="E140" s="1474"/>
      <c r="F140" s="1474"/>
      <c r="G140" s="1474"/>
      <c r="H140" s="1474"/>
      <c r="I140" s="1474"/>
      <c r="J140" s="1474"/>
      <c r="K140" s="1474"/>
      <c r="L140" s="1474"/>
      <c r="M140" s="1614"/>
      <c r="N140" s="1475"/>
    </row>
    <row r="141" spans="1:14" ht="12.75" customHeight="1" x14ac:dyDescent="0.2"/>
    <row r="142" spans="1:14" ht="12.75" customHeight="1" x14ac:dyDescent="0.2">
      <c r="B142" s="39" t="s">
        <v>521</v>
      </c>
      <c r="C142" s="1387" t="s">
        <v>583</v>
      </c>
      <c r="D142" s="1387"/>
      <c r="E142" s="1387"/>
      <c r="F142" s="1387"/>
      <c r="G142" s="1387"/>
      <c r="H142" s="1387"/>
      <c r="I142" s="1387"/>
      <c r="J142" s="1387"/>
    </row>
    <row r="143" spans="1:14" ht="50.25" customHeight="1" x14ac:dyDescent="0.2">
      <c r="C143" s="1387"/>
      <c r="D143" s="1387"/>
      <c r="E143" s="1387"/>
      <c r="F143" s="1387"/>
      <c r="G143" s="1387"/>
      <c r="H143" s="1387"/>
      <c r="I143" s="1387"/>
      <c r="J143" s="1387"/>
      <c r="L143" s="3" t="s">
        <v>517</v>
      </c>
      <c r="M143" s="45"/>
      <c r="N143" s="3" t="s">
        <v>518</v>
      </c>
    </row>
    <row r="144" spans="1:14" ht="12.75" customHeight="1" x14ac:dyDescent="0.2">
      <c r="H144" t="s">
        <v>693</v>
      </c>
      <c r="L144" s="344">
        <v>0</v>
      </c>
      <c r="M144" s="355"/>
      <c r="N144" s="344">
        <v>0</v>
      </c>
    </row>
    <row r="145" spans="1:14" ht="12.75" customHeight="1" x14ac:dyDescent="0.2">
      <c r="H145" t="s">
        <v>191</v>
      </c>
      <c r="L145" s="344">
        <v>0</v>
      </c>
      <c r="M145" s="355"/>
      <c r="N145" s="344">
        <v>0</v>
      </c>
    </row>
    <row r="146" spans="1:14" ht="12.75" customHeight="1" x14ac:dyDescent="0.2">
      <c r="H146" t="s">
        <v>1009</v>
      </c>
      <c r="L146" s="344">
        <v>0</v>
      </c>
      <c r="M146" s="355"/>
      <c r="N146" s="344">
        <v>0</v>
      </c>
    </row>
    <row r="147" spans="1:14" ht="12.75" customHeight="1" x14ac:dyDescent="0.2">
      <c r="H147" t="s">
        <v>216</v>
      </c>
      <c r="L147" s="344">
        <v>0</v>
      </c>
      <c r="M147" s="355"/>
      <c r="N147" s="344">
        <v>0</v>
      </c>
    </row>
    <row r="148" spans="1:14" ht="12.75" customHeight="1" x14ac:dyDescent="0.2">
      <c r="H148" t="s">
        <v>831</v>
      </c>
      <c r="L148" s="344">
        <v>0</v>
      </c>
      <c r="M148" s="355"/>
      <c r="N148" s="344">
        <v>0</v>
      </c>
    </row>
    <row r="149" spans="1:14" ht="12.75" customHeight="1" x14ac:dyDescent="0.2">
      <c r="H149" t="s">
        <v>820</v>
      </c>
      <c r="L149" s="344">
        <v>0</v>
      </c>
      <c r="M149" s="355"/>
      <c r="N149" s="344">
        <v>0</v>
      </c>
    </row>
    <row r="150" spans="1:14" ht="12.75" customHeight="1" x14ac:dyDescent="0.2">
      <c r="H150" t="s">
        <v>217</v>
      </c>
      <c r="L150" s="344">
        <v>0</v>
      </c>
      <c r="M150" s="355"/>
      <c r="N150" s="344">
        <v>0</v>
      </c>
    </row>
    <row r="151" spans="1:14" ht="12.75" customHeight="1" x14ac:dyDescent="0.2">
      <c r="H151" t="s">
        <v>218</v>
      </c>
      <c r="L151" s="344">
        <v>0</v>
      </c>
      <c r="M151" s="355"/>
      <c r="N151" s="344">
        <v>0</v>
      </c>
    </row>
    <row r="152" spans="1:14" ht="12.75" customHeight="1" x14ac:dyDescent="0.2">
      <c r="H152" t="s">
        <v>174</v>
      </c>
      <c r="L152" s="344">
        <v>0</v>
      </c>
      <c r="M152" s="355"/>
      <c r="N152" s="344">
        <v>0</v>
      </c>
    </row>
    <row r="153" spans="1:14" ht="12.75" customHeight="1" x14ac:dyDescent="0.2">
      <c r="H153" s="354" t="s">
        <v>740</v>
      </c>
      <c r="L153" s="344">
        <v>0</v>
      </c>
      <c r="M153" s="355"/>
      <c r="N153" s="344">
        <v>0</v>
      </c>
    </row>
    <row r="154" spans="1:14" ht="12.75" customHeight="1" x14ac:dyDescent="0.2">
      <c r="H154" s="13" t="s">
        <v>1091</v>
      </c>
      <c r="L154" s="344">
        <v>0</v>
      </c>
      <c r="M154" s="355"/>
      <c r="N154" s="344">
        <v>0</v>
      </c>
    </row>
    <row r="155" spans="1:14" ht="12.75" customHeight="1" thickBot="1" x14ac:dyDescent="0.25">
      <c r="L155" s="75">
        <f>SUM(L144:L154)</f>
        <v>0</v>
      </c>
      <c r="M155" s="36"/>
      <c r="N155" s="75">
        <f>SUM(N144:N154)</f>
        <v>0</v>
      </c>
    </row>
    <row r="156" spans="1:14" ht="12.75" customHeight="1" thickTop="1" x14ac:dyDescent="0.2"/>
    <row r="157" spans="1:14" ht="25.5" customHeight="1" x14ac:dyDescent="0.2">
      <c r="A157" s="245" t="s">
        <v>1014</v>
      </c>
      <c r="B157" s="1473" t="s">
        <v>36</v>
      </c>
      <c r="C157" s="1474"/>
      <c r="D157" s="1474"/>
      <c r="E157" s="1474"/>
      <c r="F157" s="1474"/>
      <c r="G157" s="1474"/>
      <c r="H157" s="1474"/>
      <c r="I157" s="1474"/>
      <c r="J157" s="1474"/>
      <c r="K157" s="1474"/>
      <c r="L157" s="1474"/>
      <c r="M157" s="1474"/>
      <c r="N157" s="1475"/>
    </row>
    <row r="158" spans="1:14" ht="12.75" customHeight="1" x14ac:dyDescent="0.2"/>
    <row r="159" spans="1:14" ht="12.75" customHeight="1" x14ac:dyDescent="0.2">
      <c r="B159" s="39" t="s">
        <v>521</v>
      </c>
      <c r="C159" s="1387" t="s">
        <v>35</v>
      </c>
      <c r="D159" s="1387"/>
      <c r="E159" s="1387"/>
      <c r="F159" s="1387"/>
      <c r="G159" s="1387"/>
      <c r="H159" s="1387"/>
      <c r="I159" s="1387"/>
      <c r="J159" s="1387"/>
      <c r="N159" s="1498"/>
    </row>
    <row r="160" spans="1:14" ht="12.75" customHeight="1" x14ac:dyDescent="0.2">
      <c r="C160" s="1387"/>
      <c r="D160" s="1387"/>
      <c r="E160" s="1387"/>
      <c r="F160" s="1387"/>
      <c r="G160" s="1387"/>
      <c r="H160" s="1387"/>
      <c r="I160" s="1387"/>
      <c r="J160" s="1387"/>
      <c r="N160" s="1498"/>
    </row>
    <row r="161" spans="1:14" ht="12.75" customHeight="1" x14ac:dyDescent="0.2"/>
    <row r="162" spans="1:14" ht="12.75" customHeight="1" x14ac:dyDescent="0.2">
      <c r="B162" s="39" t="s">
        <v>522</v>
      </c>
      <c r="C162" s="1387" t="s">
        <v>37</v>
      </c>
      <c r="D162" s="1387"/>
      <c r="E162" s="1387"/>
      <c r="F162" s="1387"/>
      <c r="G162" s="1387"/>
      <c r="H162" s="1387"/>
      <c r="I162" s="1387"/>
      <c r="J162" s="1387"/>
      <c r="N162" s="1498"/>
    </row>
    <row r="163" spans="1:14" ht="12.75" customHeight="1" x14ac:dyDescent="0.2">
      <c r="C163" s="1387"/>
      <c r="D163" s="1387"/>
      <c r="E163" s="1387"/>
      <c r="F163" s="1387"/>
      <c r="G163" s="1387"/>
      <c r="H163" s="1387"/>
      <c r="I163" s="1387"/>
      <c r="J163" s="1387"/>
      <c r="N163" s="1498"/>
    </row>
    <row r="164" spans="1:14" ht="12.75" customHeight="1" x14ac:dyDescent="0.2"/>
    <row r="165" spans="1:14" ht="25.5" customHeight="1" x14ac:dyDescent="0.2">
      <c r="A165" s="4" t="s">
        <v>801</v>
      </c>
      <c r="B165" s="1473" t="s">
        <v>1092</v>
      </c>
      <c r="C165" s="1474"/>
      <c r="D165" s="1474"/>
      <c r="E165" s="1474"/>
      <c r="F165" s="1474"/>
      <c r="G165" s="1474"/>
      <c r="H165" s="1474"/>
      <c r="I165" s="1474"/>
      <c r="J165" s="1474"/>
      <c r="K165" s="1474"/>
      <c r="L165" s="1474"/>
      <c r="M165" s="1474"/>
      <c r="N165" s="1475"/>
    </row>
    <row r="166" spans="1:14" ht="12.75" customHeight="1" x14ac:dyDescent="0.2"/>
    <row r="167" spans="1:14" ht="12.75" customHeight="1" x14ac:dyDescent="0.2">
      <c r="B167" s="147" t="s">
        <v>1081</v>
      </c>
      <c r="C167" s="13"/>
      <c r="D167" s="13"/>
      <c r="E167" s="13"/>
      <c r="F167" s="13"/>
    </row>
    <row r="168" spans="1:14" ht="12.75" customHeight="1" x14ac:dyDescent="0.2">
      <c r="B168" s="39" t="s">
        <v>521</v>
      </c>
      <c r="C168" t="s">
        <v>677</v>
      </c>
      <c r="J168" s="13"/>
      <c r="L168" s="344">
        <v>0</v>
      </c>
    </row>
    <row r="169" spans="1:14" ht="12.75" customHeight="1" x14ac:dyDescent="0.2">
      <c r="J169" s="13"/>
      <c r="L169" s="36"/>
    </row>
    <row r="170" spans="1:14" ht="12.75" customHeight="1" x14ac:dyDescent="0.2">
      <c r="B170" s="39" t="s">
        <v>522</v>
      </c>
      <c r="C170" t="s">
        <v>570</v>
      </c>
      <c r="J170" s="13"/>
      <c r="L170" s="344">
        <v>0</v>
      </c>
    </row>
    <row r="171" spans="1:14" ht="12.75" customHeight="1" x14ac:dyDescent="0.2">
      <c r="J171" s="13"/>
      <c r="L171" s="36"/>
    </row>
    <row r="172" spans="1:14" ht="12.75" customHeight="1" x14ac:dyDescent="0.2">
      <c r="B172" s="39"/>
      <c r="C172" s="147" t="s">
        <v>1081</v>
      </c>
      <c r="D172" s="13"/>
      <c r="E172" s="13"/>
      <c r="F172" s="13"/>
      <c r="J172" s="13"/>
      <c r="L172" s="36"/>
      <c r="N172" s="78">
        <f>L168-L170</f>
        <v>0</v>
      </c>
    </row>
    <row r="173" spans="1:14" ht="7.5" customHeight="1" x14ac:dyDescent="0.2">
      <c r="J173" s="13"/>
      <c r="L173" s="36"/>
    </row>
    <row r="174" spans="1:14" ht="12.75" customHeight="1" x14ac:dyDescent="0.2">
      <c r="B174" s="4" t="s">
        <v>678</v>
      </c>
      <c r="J174" s="13"/>
      <c r="L174" s="36"/>
    </row>
    <row r="175" spans="1:14" ht="12.75" customHeight="1" x14ac:dyDescent="0.2">
      <c r="C175" t="s">
        <v>679</v>
      </c>
      <c r="J175" s="13"/>
      <c r="L175" s="344">
        <v>0</v>
      </c>
    </row>
    <row r="176" spans="1:14" ht="12.75" customHeight="1" x14ac:dyDescent="0.2">
      <c r="C176" t="s">
        <v>186</v>
      </c>
      <c r="J176" s="13"/>
      <c r="L176" s="344">
        <v>0</v>
      </c>
    </row>
    <row r="177" spans="2:19" ht="12.75" customHeight="1" x14ac:dyDescent="0.2">
      <c r="C177" t="s">
        <v>1010</v>
      </c>
      <c r="J177" s="13"/>
      <c r="L177" s="344">
        <v>0</v>
      </c>
    </row>
    <row r="178" spans="2:19" ht="12.75" customHeight="1" x14ac:dyDescent="0.2">
      <c r="C178" t="s">
        <v>1009</v>
      </c>
      <c r="J178" s="13"/>
      <c r="L178" s="344">
        <v>0</v>
      </c>
    </row>
    <row r="179" spans="2:19" ht="12.75" customHeight="1" x14ac:dyDescent="0.2">
      <c r="C179" t="s">
        <v>680</v>
      </c>
      <c r="J179" s="13"/>
      <c r="L179" s="344">
        <v>0</v>
      </c>
    </row>
    <row r="180" spans="2:19" ht="12.75" customHeight="1" x14ac:dyDescent="0.2">
      <c r="C180" t="s">
        <v>756</v>
      </c>
      <c r="J180" s="13"/>
      <c r="L180" s="344">
        <v>0</v>
      </c>
    </row>
    <row r="181" spans="2:19" ht="12.75" customHeight="1" x14ac:dyDescent="0.2">
      <c r="C181" t="s">
        <v>174</v>
      </c>
      <c r="J181" s="13"/>
      <c r="L181" s="344">
        <v>0</v>
      </c>
    </row>
    <row r="182" spans="2:19" ht="12.75" customHeight="1" x14ac:dyDescent="0.2">
      <c r="C182" t="s">
        <v>792</v>
      </c>
      <c r="J182" s="13"/>
      <c r="L182" s="344">
        <v>0</v>
      </c>
    </row>
    <row r="183" spans="2:19" ht="12.75" customHeight="1" x14ac:dyDescent="0.2">
      <c r="C183" t="s">
        <v>1062</v>
      </c>
      <c r="J183" s="13"/>
      <c r="L183" s="344">
        <v>0</v>
      </c>
    </row>
    <row r="184" spans="2:19" ht="12.75" customHeight="1" x14ac:dyDescent="0.2">
      <c r="C184" s="354" t="s">
        <v>4023</v>
      </c>
      <c r="J184" s="13"/>
      <c r="L184" s="344">
        <v>0</v>
      </c>
    </row>
    <row r="185" spans="2:19" ht="12.75" customHeight="1" x14ac:dyDescent="0.2">
      <c r="C185" s="354" t="s">
        <v>681</v>
      </c>
      <c r="J185" s="13"/>
      <c r="L185" s="344">
        <v>0</v>
      </c>
    </row>
    <row r="186" spans="2:19" ht="12.75" customHeight="1" x14ac:dyDescent="0.2">
      <c r="C186" s="354" t="s">
        <v>682</v>
      </c>
      <c r="J186" s="13"/>
      <c r="L186" s="344">
        <v>0</v>
      </c>
      <c r="N186" s="78">
        <f>SUM(L175:L186)</f>
        <v>0</v>
      </c>
    </row>
    <row r="187" spans="2:19" ht="7.5" customHeight="1" x14ac:dyDescent="0.2">
      <c r="J187" s="13"/>
    </row>
    <row r="188" spans="2:19" ht="12.75" customHeight="1" x14ac:dyDescent="0.2">
      <c r="B188" s="4" t="s">
        <v>683</v>
      </c>
      <c r="J188" s="13"/>
      <c r="L188" s="344">
        <v>0</v>
      </c>
      <c r="N188" s="1388" t="str">
        <f>IF(L190=L191," ","Recheck numbers above and detail in Worksheet M.  Above entry is out of balance.")</f>
        <v xml:space="preserve"> </v>
      </c>
    </row>
    <row r="189" spans="2:19" ht="12.75" customHeight="1" x14ac:dyDescent="0.2">
      <c r="N189" s="1388"/>
    </row>
    <row r="190" spans="2:19" ht="12.75" customHeight="1" x14ac:dyDescent="0.2">
      <c r="C190" s="410" t="s">
        <v>266</v>
      </c>
      <c r="D190" s="410"/>
      <c r="E190" s="411" t="s">
        <v>1093</v>
      </c>
      <c r="F190" s="407"/>
      <c r="G190" s="407"/>
      <c r="H190" s="407"/>
      <c r="I190" s="407"/>
      <c r="J190" s="407"/>
      <c r="K190" s="407"/>
      <c r="L190" s="408">
        <f>ROUND(N172+N186+L188,0)</f>
        <v>0</v>
      </c>
      <c r="N190" s="1388"/>
      <c r="R190" s="5"/>
      <c r="S190" s="5"/>
    </row>
    <row r="191" spans="2:19" ht="12.75" customHeight="1" x14ac:dyDescent="0.2">
      <c r="E191" s="411" t="s">
        <v>267</v>
      </c>
      <c r="F191" s="407"/>
      <c r="G191" s="407"/>
      <c r="H191" s="407"/>
      <c r="I191" s="407"/>
      <c r="J191" s="407"/>
      <c r="K191" s="407"/>
      <c r="L191" s="409">
        <f>ROUND('Conversion Worksheet'!BA165+'Conversion Worksheet'!BA175,0)</f>
        <v>0</v>
      </c>
      <c r="N191" s="1388"/>
    </row>
    <row r="192" spans="2:19" ht="23.25" customHeight="1" x14ac:dyDescent="0.2"/>
    <row r="193" spans="1:14" ht="25.5" customHeight="1" x14ac:dyDescent="0.2">
      <c r="A193" s="4" t="s">
        <v>801</v>
      </c>
      <c r="B193" s="1473" t="s">
        <v>701</v>
      </c>
      <c r="C193" s="1474"/>
      <c r="D193" s="1474"/>
      <c r="E193" s="1474"/>
      <c r="F193" s="1474"/>
      <c r="G193" s="1474"/>
      <c r="H193" s="1474"/>
      <c r="I193" s="1474"/>
      <c r="J193" s="1474"/>
      <c r="K193" s="1474"/>
      <c r="L193" s="1474"/>
      <c r="M193" s="1474"/>
      <c r="N193" s="1475"/>
    </row>
    <row r="194" spans="1:14" ht="6" customHeight="1" x14ac:dyDescent="0.2">
      <c r="A194" s="4"/>
      <c r="B194" s="44"/>
      <c r="C194" s="44"/>
      <c r="D194" s="44"/>
      <c r="E194" s="44"/>
      <c r="F194" s="44"/>
      <c r="G194" s="44"/>
      <c r="H194" s="44"/>
      <c r="I194" s="31"/>
      <c r="J194" s="31"/>
      <c r="K194" s="31"/>
      <c r="L194" s="31"/>
      <c r="M194" s="31"/>
      <c r="N194" s="31"/>
    </row>
    <row r="195" spans="1:14" ht="21" customHeight="1" x14ac:dyDescent="0.2">
      <c r="C195" s="280" t="s">
        <v>472</v>
      </c>
      <c r="J195" s="49" t="s">
        <v>517</v>
      </c>
      <c r="K195" s="38"/>
      <c r="L195" s="49" t="s">
        <v>518</v>
      </c>
    </row>
    <row r="196" spans="1:14" x14ac:dyDescent="0.2">
      <c r="A196" t="s">
        <v>409</v>
      </c>
      <c r="C196" s="276" t="s">
        <v>463</v>
      </c>
      <c r="D196" t="s">
        <v>410</v>
      </c>
      <c r="J196" s="83">
        <f>N49+N52</f>
        <v>0</v>
      </c>
      <c r="K196" s="94"/>
      <c r="L196" s="83"/>
      <c r="N196" s="2"/>
    </row>
    <row r="197" spans="1:14" x14ac:dyDescent="0.2">
      <c r="C197" s="276"/>
      <c r="E197" t="s">
        <v>411</v>
      </c>
      <c r="J197" s="83"/>
      <c r="K197" s="94"/>
      <c r="L197" s="83">
        <f>N49+N52</f>
        <v>0</v>
      </c>
    </row>
    <row r="198" spans="1:14" ht="4.5" customHeight="1" x14ac:dyDescent="0.2">
      <c r="C198" s="276"/>
      <c r="J198" s="36"/>
      <c r="K198" s="94"/>
      <c r="L198" s="36"/>
    </row>
    <row r="199" spans="1:14" x14ac:dyDescent="0.2">
      <c r="A199" t="s">
        <v>412</v>
      </c>
      <c r="C199" s="277" t="s">
        <v>464</v>
      </c>
      <c r="D199" s="13" t="s">
        <v>59</v>
      </c>
      <c r="E199" s="13"/>
      <c r="F199" s="13"/>
      <c r="G199" s="13"/>
      <c r="J199" s="83">
        <f>N60</f>
        <v>0</v>
      </c>
      <c r="K199" s="94"/>
      <c r="L199" s="83"/>
      <c r="N199" t="s">
        <v>112</v>
      </c>
    </row>
    <row r="200" spans="1:14" x14ac:dyDescent="0.2">
      <c r="C200" s="277"/>
      <c r="D200" s="13" t="s">
        <v>849</v>
      </c>
      <c r="E200" s="13"/>
      <c r="F200" s="13"/>
      <c r="G200" s="13"/>
      <c r="H200" s="2"/>
      <c r="J200" s="83">
        <f>N63</f>
        <v>0</v>
      </c>
      <c r="K200" s="94"/>
      <c r="L200" s="83"/>
      <c r="N200" s="6" t="s">
        <v>414</v>
      </c>
    </row>
    <row r="201" spans="1:14" ht="12.75" customHeight="1" x14ac:dyDescent="0.2">
      <c r="C201" s="277"/>
      <c r="D201" s="13"/>
      <c r="E201" s="13" t="s">
        <v>54</v>
      </c>
      <c r="F201" s="13"/>
      <c r="G201" s="13"/>
      <c r="J201" s="83"/>
      <c r="K201" s="94"/>
      <c r="L201" s="83">
        <f>N60</f>
        <v>0</v>
      </c>
    </row>
    <row r="202" spans="1:14" x14ac:dyDescent="0.2">
      <c r="C202" s="277"/>
      <c r="D202" s="13"/>
      <c r="E202" s="13" t="s">
        <v>850</v>
      </c>
      <c r="F202" s="13"/>
      <c r="G202" s="13"/>
      <c r="J202" s="83"/>
      <c r="K202" s="94"/>
      <c r="L202" s="83">
        <f>N63</f>
        <v>0</v>
      </c>
    </row>
    <row r="203" spans="1:14" ht="4.5" customHeight="1" x14ac:dyDescent="0.2">
      <c r="C203" s="276"/>
      <c r="J203" s="36"/>
      <c r="K203" s="94"/>
      <c r="L203" s="36"/>
    </row>
    <row r="204" spans="1:14" x14ac:dyDescent="0.2">
      <c r="A204" t="s">
        <v>413</v>
      </c>
      <c r="C204" s="276" t="s">
        <v>465</v>
      </c>
      <c r="D204" t="s">
        <v>849</v>
      </c>
      <c r="J204" s="83">
        <f>N80</f>
        <v>0</v>
      </c>
      <c r="K204" s="94"/>
      <c r="L204" s="83"/>
    </row>
    <row r="205" spans="1:14" x14ac:dyDescent="0.2">
      <c r="D205" t="s">
        <v>59</v>
      </c>
      <c r="J205" s="78">
        <f>N73</f>
        <v>0</v>
      </c>
      <c r="K205" s="94"/>
      <c r="L205" s="83"/>
      <c r="N205" s="6" t="s">
        <v>113</v>
      </c>
    </row>
    <row r="206" spans="1:14" x14ac:dyDescent="0.2">
      <c r="B206" s="19"/>
      <c r="D206" t="s">
        <v>420</v>
      </c>
      <c r="J206" s="83">
        <f>IF((L207+L208)-(J204+J205)&lt;0,0,(L207+L208)-(J204+J205))</f>
        <v>0</v>
      </c>
      <c r="K206" s="94"/>
      <c r="L206" s="83">
        <f>IF((L207+L208)-(J204+J205)&gt;0,0,(L207+L208)-(J204+J205))</f>
        <v>0</v>
      </c>
      <c r="N206" s="6" t="s">
        <v>115</v>
      </c>
    </row>
    <row r="207" spans="1:14" x14ac:dyDescent="0.2">
      <c r="E207" t="s">
        <v>850</v>
      </c>
      <c r="J207" s="83"/>
      <c r="K207" s="94"/>
      <c r="L207" s="83">
        <f>N77</f>
        <v>0</v>
      </c>
      <c r="N207" s="6" t="s">
        <v>114</v>
      </c>
    </row>
    <row r="208" spans="1:14" x14ac:dyDescent="0.2">
      <c r="E208" t="s">
        <v>54</v>
      </c>
      <c r="J208" s="83"/>
      <c r="K208" s="94"/>
      <c r="L208" s="83">
        <f>N69</f>
        <v>0</v>
      </c>
    </row>
    <row r="209" spans="1:14" ht="3.75" customHeight="1" x14ac:dyDescent="0.2">
      <c r="J209" s="94"/>
      <c r="K209" s="94"/>
      <c r="L209" s="94"/>
    </row>
    <row r="210" spans="1:14" x14ac:dyDescent="0.2">
      <c r="A210" t="s">
        <v>889</v>
      </c>
      <c r="C210" s="278" t="s">
        <v>466</v>
      </c>
      <c r="D210" t="s">
        <v>288</v>
      </c>
      <c r="J210" s="83">
        <f>N86</f>
        <v>0</v>
      </c>
      <c r="K210" s="94"/>
      <c r="L210" s="83"/>
    </row>
    <row r="211" spans="1:14" x14ac:dyDescent="0.2">
      <c r="C211" s="278"/>
      <c r="E211" t="s">
        <v>54</v>
      </c>
      <c r="J211" s="83"/>
      <c r="K211" s="94"/>
      <c r="L211" s="83">
        <f>N86</f>
        <v>0</v>
      </c>
      <c r="N211" s="6" t="s">
        <v>424</v>
      </c>
    </row>
    <row r="212" spans="1:14" x14ac:dyDescent="0.2">
      <c r="C212" s="278"/>
      <c r="D212" t="s">
        <v>59</v>
      </c>
      <c r="J212" s="83">
        <f>N88</f>
        <v>0</v>
      </c>
      <c r="K212" s="94"/>
      <c r="L212" s="83"/>
      <c r="N212" s="6" t="s">
        <v>425</v>
      </c>
    </row>
    <row r="213" spans="1:14" x14ac:dyDescent="0.2">
      <c r="C213" s="278"/>
      <c r="E213" t="s">
        <v>289</v>
      </c>
      <c r="J213" s="83"/>
      <c r="K213" s="94"/>
      <c r="L213" s="83">
        <f>N88</f>
        <v>0</v>
      </c>
    </row>
    <row r="214" spans="1:14" ht="5.25" customHeight="1" x14ac:dyDescent="0.2">
      <c r="C214" s="278"/>
      <c r="J214" s="94"/>
      <c r="K214" s="94"/>
      <c r="L214" s="94"/>
    </row>
    <row r="215" spans="1:14" x14ac:dyDescent="0.2">
      <c r="A215" t="s">
        <v>890</v>
      </c>
      <c r="C215" s="278" t="s">
        <v>467</v>
      </c>
      <c r="D215" t="s">
        <v>331</v>
      </c>
      <c r="J215" s="83">
        <f>N98</f>
        <v>0</v>
      </c>
      <c r="K215" s="94"/>
      <c r="L215" s="83"/>
    </row>
    <row r="216" spans="1:14" x14ac:dyDescent="0.2">
      <c r="C216" s="278"/>
      <c r="D216" t="s">
        <v>891</v>
      </c>
      <c r="J216" s="83">
        <f>N99</f>
        <v>0</v>
      </c>
      <c r="K216" s="94"/>
      <c r="L216" s="83"/>
      <c r="N216" s="6" t="s">
        <v>427</v>
      </c>
    </row>
    <row r="217" spans="1:14" x14ac:dyDescent="0.2">
      <c r="C217" s="278"/>
      <c r="E217" t="s">
        <v>191</v>
      </c>
      <c r="F217" s="53"/>
      <c r="J217" s="79"/>
      <c r="K217" s="13"/>
      <c r="L217" s="78">
        <f>N98</f>
        <v>0</v>
      </c>
      <c r="N217" s="6" t="s">
        <v>426</v>
      </c>
    </row>
    <row r="218" spans="1:14" x14ac:dyDescent="0.2">
      <c r="C218" s="278"/>
      <c r="E218" t="s">
        <v>216</v>
      </c>
      <c r="J218" s="79"/>
      <c r="K218" s="13"/>
      <c r="L218" s="78">
        <f>N99</f>
        <v>0</v>
      </c>
    </row>
    <row r="219" spans="1:14" ht="3.75" customHeight="1" x14ac:dyDescent="0.2">
      <c r="C219" s="278"/>
      <c r="K219" s="13"/>
    </row>
    <row r="220" spans="1:14" x14ac:dyDescent="0.2">
      <c r="A220" t="s">
        <v>892</v>
      </c>
      <c r="C220" s="278" t="s">
        <v>468</v>
      </c>
      <c r="D220" t="s">
        <v>669</v>
      </c>
      <c r="J220" s="78">
        <f>N105</f>
        <v>0</v>
      </c>
      <c r="K220" s="13"/>
      <c r="L220" s="79"/>
    </row>
    <row r="221" spans="1:14" x14ac:dyDescent="0.2">
      <c r="C221" s="278"/>
      <c r="D221" t="s">
        <v>668</v>
      </c>
      <c r="J221" s="78">
        <f>N107</f>
        <v>0</v>
      </c>
      <c r="K221" s="13"/>
      <c r="L221" s="79"/>
      <c r="N221" s="6"/>
    </row>
    <row r="222" spans="1:14" x14ac:dyDescent="0.2">
      <c r="C222" s="278"/>
      <c r="D222" t="s">
        <v>667</v>
      </c>
      <c r="J222" s="78">
        <f>N109</f>
        <v>0</v>
      </c>
      <c r="K222" s="13"/>
      <c r="L222" s="79"/>
      <c r="N222" s="6"/>
    </row>
    <row r="223" spans="1:14" x14ac:dyDescent="0.2">
      <c r="C223" s="278"/>
      <c r="D223" t="s">
        <v>666</v>
      </c>
      <c r="J223" s="78">
        <f>N111</f>
        <v>0</v>
      </c>
      <c r="K223" s="13"/>
      <c r="L223" s="79"/>
      <c r="N223" s="6"/>
    </row>
    <row r="224" spans="1:14" x14ac:dyDescent="0.2">
      <c r="C224" s="278"/>
      <c r="D224" t="s">
        <v>783</v>
      </c>
      <c r="J224" s="78">
        <f>N113</f>
        <v>0</v>
      </c>
      <c r="K224" s="13"/>
      <c r="L224" s="79"/>
      <c r="N224" s="6"/>
    </row>
    <row r="225" spans="1:14" x14ac:dyDescent="0.2">
      <c r="C225" s="278"/>
      <c r="D225" t="s">
        <v>1047</v>
      </c>
      <c r="J225" s="78">
        <f>N115</f>
        <v>0</v>
      </c>
      <c r="K225" s="13"/>
      <c r="L225" s="79"/>
      <c r="N225" s="6"/>
    </row>
    <row r="226" spans="1:14" x14ac:dyDescent="0.2">
      <c r="C226" s="278"/>
      <c r="D226" s="354" t="s">
        <v>664</v>
      </c>
      <c r="J226" s="78">
        <f>N118</f>
        <v>0</v>
      </c>
      <c r="K226" s="13"/>
      <c r="L226" s="79"/>
      <c r="N226" s="6"/>
    </row>
    <row r="227" spans="1:14" x14ac:dyDescent="0.2">
      <c r="C227" s="278"/>
      <c r="D227" s="354" t="s">
        <v>665</v>
      </c>
      <c r="J227" s="78">
        <f>N120</f>
        <v>0</v>
      </c>
      <c r="K227" s="13"/>
      <c r="L227" s="79"/>
      <c r="N227" s="6" t="s">
        <v>433</v>
      </c>
    </row>
    <row r="228" spans="1:14" x14ac:dyDescent="0.2">
      <c r="C228" s="278"/>
      <c r="E228" t="s">
        <v>670</v>
      </c>
      <c r="J228" s="79"/>
      <c r="K228" s="13"/>
      <c r="L228" s="78">
        <f>N105</f>
        <v>0</v>
      </c>
      <c r="N228" s="6" t="s">
        <v>663</v>
      </c>
    </row>
    <row r="229" spans="1:14" x14ac:dyDescent="0.2">
      <c r="C229" s="278"/>
      <c r="E229" t="s">
        <v>671</v>
      </c>
      <c r="J229" s="79"/>
      <c r="K229" s="13"/>
      <c r="L229" s="78">
        <f>N107</f>
        <v>0</v>
      </c>
      <c r="N229" s="6"/>
    </row>
    <row r="230" spans="1:14" x14ac:dyDescent="0.2">
      <c r="C230" s="278"/>
      <c r="E230" t="s">
        <v>672</v>
      </c>
      <c r="J230" s="79"/>
      <c r="K230" s="13"/>
      <c r="L230" s="78">
        <f>N109</f>
        <v>0</v>
      </c>
      <c r="N230" s="6"/>
    </row>
    <row r="231" spans="1:14" x14ac:dyDescent="0.2">
      <c r="C231" s="278"/>
      <c r="E231" t="s">
        <v>673</v>
      </c>
      <c r="J231" s="79"/>
      <c r="K231" s="13"/>
      <c r="L231" s="78">
        <f>N111</f>
        <v>0</v>
      </c>
      <c r="N231" s="6"/>
    </row>
    <row r="232" spans="1:14" x14ac:dyDescent="0.2">
      <c r="C232" s="278"/>
      <c r="E232" t="s">
        <v>674</v>
      </c>
      <c r="J232" s="79"/>
      <c r="K232" s="13"/>
      <c r="L232" s="78">
        <f>N113</f>
        <v>0</v>
      </c>
      <c r="N232" s="6"/>
    </row>
    <row r="233" spans="1:14" x14ac:dyDescent="0.2">
      <c r="C233" s="278"/>
      <c r="E233" t="s">
        <v>893</v>
      </c>
      <c r="J233" s="79"/>
      <c r="K233" s="13"/>
      <c r="L233" s="78">
        <f>N115</f>
        <v>0</v>
      </c>
      <c r="N233" s="6"/>
    </row>
    <row r="234" spans="1:14" x14ac:dyDescent="0.2">
      <c r="C234" s="278"/>
      <c r="E234" s="354" t="s">
        <v>676</v>
      </c>
      <c r="J234" s="79"/>
      <c r="K234" s="13"/>
      <c r="L234" s="78">
        <f>N118</f>
        <v>0</v>
      </c>
      <c r="N234" s="6"/>
    </row>
    <row r="235" spans="1:14" x14ac:dyDescent="0.2">
      <c r="C235" s="278"/>
      <c r="E235" s="354" t="s">
        <v>675</v>
      </c>
      <c r="J235" s="79"/>
      <c r="K235" s="13"/>
      <c r="L235" s="78">
        <f>N120</f>
        <v>0</v>
      </c>
      <c r="N235" s="6"/>
    </row>
    <row r="236" spans="1:14" ht="4.5" customHeight="1" x14ac:dyDescent="0.2">
      <c r="C236" s="278"/>
      <c r="K236" s="13"/>
    </row>
    <row r="237" spans="1:14" x14ac:dyDescent="0.2">
      <c r="A237" t="s">
        <v>894</v>
      </c>
      <c r="C237" s="278" t="s">
        <v>469</v>
      </c>
      <c r="D237" t="s">
        <v>191</v>
      </c>
      <c r="J237" s="83">
        <f t="shared" ref="J237:J245" si="0">J128</f>
        <v>0</v>
      </c>
      <c r="K237" s="13"/>
      <c r="L237" s="79"/>
    </row>
    <row r="238" spans="1:14" x14ac:dyDescent="0.2">
      <c r="C238" s="278"/>
      <c r="D238" t="s">
        <v>1009</v>
      </c>
      <c r="J238" s="83">
        <f t="shared" si="0"/>
        <v>0</v>
      </c>
      <c r="K238" s="13"/>
      <c r="L238" s="79"/>
    </row>
    <row r="239" spans="1:14" x14ac:dyDescent="0.2">
      <c r="C239" s="278"/>
      <c r="D239" t="s">
        <v>216</v>
      </c>
      <c r="J239" s="83">
        <f t="shared" si="0"/>
        <v>0</v>
      </c>
      <c r="K239" s="13"/>
      <c r="L239" s="79"/>
    </row>
    <row r="240" spans="1:14" x14ac:dyDescent="0.2">
      <c r="C240" s="278"/>
      <c r="D240" t="s">
        <v>831</v>
      </c>
      <c r="J240" s="83">
        <f t="shared" si="0"/>
        <v>0</v>
      </c>
      <c r="K240" s="13"/>
      <c r="L240" s="79"/>
    </row>
    <row r="241" spans="3:14" x14ac:dyDescent="0.2">
      <c r="C241" s="278"/>
      <c r="D241" t="s">
        <v>820</v>
      </c>
      <c r="J241" s="83">
        <f t="shared" si="0"/>
        <v>0</v>
      </c>
      <c r="K241" s="13"/>
      <c r="L241" s="79"/>
    </row>
    <row r="242" spans="3:14" x14ac:dyDescent="0.2">
      <c r="C242" s="278"/>
      <c r="D242" t="s">
        <v>217</v>
      </c>
      <c r="J242" s="83">
        <f t="shared" si="0"/>
        <v>0</v>
      </c>
      <c r="K242" s="13"/>
      <c r="L242" s="79"/>
    </row>
    <row r="243" spans="3:14" x14ac:dyDescent="0.2">
      <c r="C243" s="278"/>
      <c r="D243" t="s">
        <v>218</v>
      </c>
      <c r="J243" s="83">
        <f t="shared" si="0"/>
        <v>0</v>
      </c>
      <c r="K243" s="13"/>
      <c r="L243" s="79"/>
    </row>
    <row r="244" spans="3:14" x14ac:dyDescent="0.2">
      <c r="C244" s="278"/>
      <c r="D244" t="s">
        <v>174</v>
      </c>
      <c r="J244" s="83">
        <f t="shared" si="0"/>
        <v>0</v>
      </c>
      <c r="K244" s="13"/>
      <c r="L244" s="79"/>
    </row>
    <row r="245" spans="3:14" x14ac:dyDescent="0.2">
      <c r="C245" s="278"/>
      <c r="D245" s="354" t="s">
        <v>740</v>
      </c>
      <c r="J245" s="83">
        <f t="shared" si="0"/>
        <v>0</v>
      </c>
      <c r="K245" s="13"/>
      <c r="L245" s="79"/>
    </row>
    <row r="246" spans="3:14" x14ac:dyDescent="0.2">
      <c r="C246" s="278"/>
      <c r="E246" t="s">
        <v>171</v>
      </c>
      <c r="J246" s="83"/>
      <c r="K246" s="94"/>
      <c r="L246" s="83">
        <f>J137</f>
        <v>0</v>
      </c>
    </row>
    <row r="247" spans="3:14" x14ac:dyDescent="0.2">
      <c r="C247" s="278"/>
      <c r="D247" t="s">
        <v>904</v>
      </c>
      <c r="J247" s="83">
        <f>L137+N137</f>
        <v>0</v>
      </c>
      <c r="K247" s="94"/>
      <c r="L247" s="83"/>
    </row>
    <row r="248" spans="3:14" x14ac:dyDescent="0.2">
      <c r="C248" s="278"/>
      <c r="E248" t="s">
        <v>434</v>
      </c>
      <c r="J248" s="83"/>
      <c r="K248" s="94"/>
      <c r="L248" s="83">
        <f>L128</f>
        <v>0</v>
      </c>
    </row>
    <row r="249" spans="3:14" x14ac:dyDescent="0.2">
      <c r="C249" s="278"/>
      <c r="E249" t="s">
        <v>435</v>
      </c>
      <c r="J249" s="83"/>
      <c r="K249" s="94"/>
      <c r="L249" s="83">
        <f t="shared" ref="L249:L256" si="1">L129</f>
        <v>0</v>
      </c>
    </row>
    <row r="250" spans="3:14" x14ac:dyDescent="0.2">
      <c r="C250" s="278"/>
      <c r="E250" t="s">
        <v>436</v>
      </c>
      <c r="J250" s="83"/>
      <c r="K250" s="94"/>
      <c r="L250" s="83">
        <f t="shared" si="1"/>
        <v>0</v>
      </c>
    </row>
    <row r="251" spans="3:14" x14ac:dyDescent="0.2">
      <c r="C251" s="278"/>
      <c r="E251" t="s">
        <v>437</v>
      </c>
      <c r="J251" s="83"/>
      <c r="K251" s="94"/>
      <c r="L251" s="83">
        <f t="shared" si="1"/>
        <v>0</v>
      </c>
      <c r="N251" s="6" t="s">
        <v>428</v>
      </c>
    </row>
    <row r="252" spans="3:14" x14ac:dyDescent="0.2">
      <c r="C252" s="278"/>
      <c r="E252" t="s">
        <v>438</v>
      </c>
      <c r="J252" s="83"/>
      <c r="K252" s="94"/>
      <c r="L252" s="83">
        <f t="shared" si="1"/>
        <v>0</v>
      </c>
      <c r="N252" s="6" t="s">
        <v>429</v>
      </c>
    </row>
    <row r="253" spans="3:14" x14ac:dyDescent="0.2">
      <c r="C253" s="278"/>
      <c r="E253" t="s">
        <v>439</v>
      </c>
      <c r="J253" s="83"/>
      <c r="K253" s="94"/>
      <c r="L253" s="83">
        <f t="shared" si="1"/>
        <v>0</v>
      </c>
    </row>
    <row r="254" spans="3:14" x14ac:dyDescent="0.2">
      <c r="C254" s="278"/>
      <c r="E254" t="s">
        <v>440</v>
      </c>
      <c r="J254" s="83"/>
      <c r="K254" s="94"/>
      <c r="L254" s="83">
        <f t="shared" si="1"/>
        <v>0</v>
      </c>
    </row>
    <row r="255" spans="3:14" x14ac:dyDescent="0.2">
      <c r="C255" s="278"/>
      <c r="E255" t="s">
        <v>179</v>
      </c>
      <c r="J255" s="83"/>
      <c r="K255" s="94"/>
      <c r="L255" s="83">
        <f t="shared" si="1"/>
        <v>0</v>
      </c>
    </row>
    <row r="256" spans="3:14" x14ac:dyDescent="0.2">
      <c r="C256" s="278"/>
      <c r="E256" s="354" t="s">
        <v>441</v>
      </c>
      <c r="J256" s="83"/>
      <c r="K256" s="94"/>
      <c r="L256" s="83">
        <f t="shared" si="1"/>
        <v>0</v>
      </c>
    </row>
    <row r="257" spans="2:14" x14ac:dyDescent="0.2">
      <c r="C257" s="278"/>
      <c r="E257" t="s">
        <v>442</v>
      </c>
      <c r="J257" s="83"/>
      <c r="K257" s="94"/>
      <c r="L257" s="83">
        <f>N128</f>
        <v>0</v>
      </c>
    </row>
    <row r="258" spans="2:14" x14ac:dyDescent="0.2">
      <c r="C258" s="278"/>
      <c r="E258" t="s">
        <v>443</v>
      </c>
      <c r="J258" s="83"/>
      <c r="K258" s="94"/>
      <c r="L258" s="83">
        <f t="shared" ref="L258:L265" si="2">N129</f>
        <v>0</v>
      </c>
    </row>
    <row r="259" spans="2:14" x14ac:dyDescent="0.2">
      <c r="C259" s="278"/>
      <c r="E259" t="s">
        <v>444</v>
      </c>
      <c r="J259" s="83"/>
      <c r="K259" s="94"/>
      <c r="L259" s="83">
        <f t="shared" si="2"/>
        <v>0</v>
      </c>
    </row>
    <row r="260" spans="2:14" x14ac:dyDescent="0.2">
      <c r="C260" s="278"/>
      <c r="E260" t="s">
        <v>488</v>
      </c>
      <c r="J260" s="83"/>
      <c r="K260" s="94"/>
      <c r="L260" s="83">
        <f t="shared" si="2"/>
        <v>0</v>
      </c>
    </row>
    <row r="261" spans="2:14" x14ac:dyDescent="0.2">
      <c r="C261" s="278"/>
      <c r="E261" t="s">
        <v>489</v>
      </c>
      <c r="J261" s="83"/>
      <c r="K261" s="94"/>
      <c r="L261" s="83">
        <f t="shared" si="2"/>
        <v>0</v>
      </c>
    </row>
    <row r="262" spans="2:14" x14ac:dyDescent="0.2">
      <c r="C262" s="278"/>
      <c r="E262" t="s">
        <v>490</v>
      </c>
      <c r="J262" s="83"/>
      <c r="K262" s="94"/>
      <c r="L262" s="83">
        <f t="shared" si="2"/>
        <v>0</v>
      </c>
    </row>
    <row r="263" spans="2:14" x14ac:dyDescent="0.2">
      <c r="C263" s="278"/>
      <c r="E263" t="s">
        <v>491</v>
      </c>
      <c r="J263" s="83"/>
      <c r="K263" s="94"/>
      <c r="L263" s="83">
        <f t="shared" si="2"/>
        <v>0</v>
      </c>
    </row>
    <row r="264" spans="2:14" x14ac:dyDescent="0.2">
      <c r="C264" s="278"/>
      <c r="E264" t="s">
        <v>180</v>
      </c>
      <c r="J264" s="83"/>
      <c r="K264" s="94"/>
      <c r="L264" s="83">
        <f t="shared" si="2"/>
        <v>0</v>
      </c>
    </row>
    <row r="265" spans="2:14" x14ac:dyDescent="0.2">
      <c r="C265" s="278"/>
      <c r="E265" s="354" t="s">
        <v>545</v>
      </c>
      <c r="J265" s="83"/>
      <c r="K265" s="94"/>
      <c r="L265" s="83">
        <f t="shared" si="2"/>
        <v>0</v>
      </c>
    </row>
    <row r="266" spans="2:14" ht="3" customHeight="1" x14ac:dyDescent="0.2">
      <c r="C266" s="278"/>
      <c r="K266" s="13"/>
    </row>
    <row r="267" spans="2:14" x14ac:dyDescent="0.2">
      <c r="B267" t="s">
        <v>898</v>
      </c>
      <c r="C267" s="278" t="s">
        <v>470</v>
      </c>
      <c r="D267" t="s">
        <v>693</v>
      </c>
      <c r="J267" s="83">
        <f>L144</f>
        <v>0</v>
      </c>
      <c r="K267" s="94"/>
      <c r="L267" s="83">
        <f>N144</f>
        <v>0</v>
      </c>
    </row>
    <row r="268" spans="2:14" x14ac:dyDescent="0.2">
      <c r="C268" s="278"/>
      <c r="D268" t="s">
        <v>191</v>
      </c>
      <c r="J268" s="83">
        <f t="shared" ref="J268:J277" si="3">L145</f>
        <v>0</v>
      </c>
      <c r="K268" s="94"/>
      <c r="L268" s="83">
        <f t="shared" ref="L268:L277" si="4">N145</f>
        <v>0</v>
      </c>
    </row>
    <row r="269" spans="2:14" x14ac:dyDescent="0.2">
      <c r="C269" s="278"/>
      <c r="D269" t="s">
        <v>1009</v>
      </c>
      <c r="J269" s="83">
        <f t="shared" si="3"/>
        <v>0</v>
      </c>
      <c r="K269" s="94"/>
      <c r="L269" s="83">
        <f t="shared" si="4"/>
        <v>0</v>
      </c>
    </row>
    <row r="270" spans="2:14" x14ac:dyDescent="0.2">
      <c r="C270" s="278"/>
      <c r="D270" t="s">
        <v>216</v>
      </c>
      <c r="J270" s="83">
        <f t="shared" si="3"/>
        <v>0</v>
      </c>
      <c r="K270" s="94"/>
      <c r="L270" s="83">
        <f t="shared" si="4"/>
        <v>0</v>
      </c>
    </row>
    <row r="271" spans="2:14" x14ac:dyDescent="0.2">
      <c r="C271" s="278"/>
      <c r="D271" t="s">
        <v>831</v>
      </c>
      <c r="J271" s="83">
        <f t="shared" si="3"/>
        <v>0</v>
      </c>
      <c r="K271" s="94"/>
      <c r="L271" s="83">
        <f t="shared" si="4"/>
        <v>0</v>
      </c>
      <c r="N271" s="6" t="s">
        <v>430</v>
      </c>
    </row>
    <row r="272" spans="2:14" x14ac:dyDescent="0.2">
      <c r="C272" s="278"/>
      <c r="D272" t="s">
        <v>820</v>
      </c>
      <c r="J272" s="83">
        <f t="shared" si="3"/>
        <v>0</v>
      </c>
      <c r="K272" s="94"/>
      <c r="L272" s="83">
        <f t="shared" si="4"/>
        <v>0</v>
      </c>
      <c r="N272" s="6" t="s">
        <v>431</v>
      </c>
    </row>
    <row r="273" spans="2:16" x14ac:dyDescent="0.2">
      <c r="C273" s="278"/>
      <c r="D273" t="s">
        <v>217</v>
      </c>
      <c r="J273" s="83">
        <f t="shared" si="3"/>
        <v>0</v>
      </c>
      <c r="K273" s="94"/>
      <c r="L273" s="83">
        <f t="shared" si="4"/>
        <v>0</v>
      </c>
      <c r="N273" s="6" t="s">
        <v>432</v>
      </c>
    </row>
    <row r="274" spans="2:16" x14ac:dyDescent="0.2">
      <c r="C274" s="278"/>
      <c r="D274" t="s">
        <v>218</v>
      </c>
      <c r="J274" s="83">
        <f t="shared" si="3"/>
        <v>0</v>
      </c>
      <c r="K274" s="94"/>
      <c r="L274" s="83">
        <f t="shared" si="4"/>
        <v>0</v>
      </c>
    </row>
    <row r="275" spans="2:16" x14ac:dyDescent="0.2">
      <c r="C275" s="278"/>
      <c r="D275" t="s">
        <v>174</v>
      </c>
      <c r="J275" s="83">
        <f t="shared" si="3"/>
        <v>0</v>
      </c>
      <c r="K275" s="94"/>
      <c r="L275" s="83">
        <f t="shared" si="4"/>
        <v>0</v>
      </c>
    </row>
    <row r="276" spans="2:16" x14ac:dyDescent="0.2">
      <c r="C276" s="278"/>
      <c r="D276" s="354" t="s">
        <v>740</v>
      </c>
      <c r="J276" s="83">
        <f t="shared" si="3"/>
        <v>0</v>
      </c>
      <c r="K276" s="94"/>
      <c r="L276" s="83">
        <f t="shared" si="4"/>
        <v>0</v>
      </c>
    </row>
    <row r="277" spans="2:16" x14ac:dyDescent="0.2">
      <c r="C277" s="278"/>
      <c r="D277" t="s">
        <v>746</v>
      </c>
      <c r="J277" s="83">
        <f t="shared" si="3"/>
        <v>0</v>
      </c>
      <c r="K277" s="94"/>
      <c r="L277" s="83">
        <f t="shared" si="4"/>
        <v>0</v>
      </c>
    </row>
    <row r="278" spans="2:16" ht="4.5" customHeight="1" x14ac:dyDescent="0.2">
      <c r="J278" s="94"/>
      <c r="K278" s="94"/>
      <c r="L278" s="94"/>
      <c r="N278" s="1388" t="s">
        <v>41</v>
      </c>
      <c r="O278" s="1388"/>
      <c r="P278" s="1388"/>
    </row>
    <row r="279" spans="2:16" ht="12.75" customHeight="1" x14ac:dyDescent="0.2">
      <c r="B279" s="425" t="s">
        <v>38</v>
      </c>
      <c r="C279" s="279" t="s">
        <v>471</v>
      </c>
      <c r="D279" t="s">
        <v>39</v>
      </c>
      <c r="J279" s="83">
        <f>N159</f>
        <v>0</v>
      </c>
      <c r="K279" s="94"/>
      <c r="L279" s="83"/>
      <c r="N279" s="1388"/>
      <c r="O279" s="1388"/>
      <c r="P279" s="1388"/>
    </row>
    <row r="280" spans="2:16" x14ac:dyDescent="0.2">
      <c r="C280" s="278"/>
      <c r="D280" t="s">
        <v>42</v>
      </c>
      <c r="J280" s="83">
        <f>N162</f>
        <v>0</v>
      </c>
      <c r="K280" s="94"/>
      <c r="L280" s="83"/>
      <c r="N280" s="1388"/>
      <c r="O280" s="1388"/>
      <c r="P280" s="1388"/>
    </row>
    <row r="281" spans="2:16" x14ac:dyDescent="0.2">
      <c r="C281" s="278"/>
      <c r="E281" t="s">
        <v>40</v>
      </c>
      <c r="J281" s="83"/>
      <c r="K281" s="94"/>
      <c r="L281" s="83">
        <f>N159+N162</f>
        <v>0</v>
      </c>
      <c r="N281" s="1388"/>
      <c r="O281" s="1388"/>
      <c r="P281" s="1388"/>
    </row>
    <row r="282" spans="2:16" ht="4.5" customHeight="1" x14ac:dyDescent="0.2">
      <c r="C282" s="278"/>
      <c r="J282" s="13"/>
      <c r="K282" s="13"/>
      <c r="L282" s="13"/>
      <c r="N282" s="1388"/>
      <c r="O282" s="1388"/>
      <c r="P282" s="1388"/>
    </row>
    <row r="283" spans="2:16" x14ac:dyDescent="0.2">
      <c r="B283" t="s">
        <v>1015</v>
      </c>
      <c r="C283" s="276" t="s">
        <v>34</v>
      </c>
      <c r="D283" t="s">
        <v>746</v>
      </c>
      <c r="J283" s="78">
        <f>N172+L175+L176+L177+L178+L179+L180+L181+L182+L183+L184+L185+L186+L188</f>
        <v>0</v>
      </c>
      <c r="K283" s="13"/>
      <c r="L283" s="79"/>
    </row>
    <row r="284" spans="2:16" x14ac:dyDescent="0.2">
      <c r="E284" s="13" t="s">
        <v>1081</v>
      </c>
      <c r="F284" s="13"/>
      <c r="G284" s="13"/>
      <c r="J284" s="79"/>
      <c r="K284" s="13"/>
      <c r="L284" s="78">
        <f>N172</f>
        <v>0</v>
      </c>
    </row>
    <row r="285" spans="2:16" x14ac:dyDescent="0.2">
      <c r="E285" t="s">
        <v>1016</v>
      </c>
      <c r="J285" s="79"/>
      <c r="K285" s="13"/>
      <c r="L285" s="78">
        <f t="shared" ref="L285:L296" si="5">L175</f>
        <v>0</v>
      </c>
    </row>
    <row r="286" spans="2:16" x14ac:dyDescent="0.2">
      <c r="E286" t="s">
        <v>1017</v>
      </c>
      <c r="J286" s="79"/>
      <c r="K286" s="13"/>
      <c r="L286" s="78">
        <f t="shared" si="5"/>
        <v>0</v>
      </c>
    </row>
    <row r="287" spans="2:16" x14ac:dyDescent="0.2">
      <c r="E287" t="s">
        <v>1018</v>
      </c>
      <c r="J287" s="79"/>
      <c r="K287" s="13"/>
      <c r="L287" s="78">
        <f t="shared" si="5"/>
        <v>0</v>
      </c>
    </row>
    <row r="288" spans="2:16" x14ac:dyDescent="0.2">
      <c r="E288" t="s">
        <v>1019</v>
      </c>
      <c r="J288" s="79"/>
      <c r="K288" s="13"/>
      <c r="L288" s="78">
        <f t="shared" si="5"/>
        <v>0</v>
      </c>
      <c r="N288" s="1616" t="s">
        <v>1094</v>
      </c>
    </row>
    <row r="289" spans="5:14" x14ac:dyDescent="0.2">
      <c r="E289" t="s">
        <v>566</v>
      </c>
      <c r="J289" s="79"/>
      <c r="K289" s="13"/>
      <c r="L289" s="78">
        <f t="shared" si="5"/>
        <v>0</v>
      </c>
      <c r="N289" s="1616"/>
    </row>
    <row r="290" spans="5:14" x14ac:dyDescent="0.2">
      <c r="E290" t="s">
        <v>219</v>
      </c>
      <c r="J290" s="79"/>
      <c r="K290" s="13"/>
      <c r="L290" s="78">
        <f t="shared" si="5"/>
        <v>0</v>
      </c>
      <c r="N290" s="1616"/>
    </row>
    <row r="291" spans="5:14" x14ac:dyDescent="0.2">
      <c r="E291" t="s">
        <v>220</v>
      </c>
      <c r="J291" s="79"/>
      <c r="K291" s="13"/>
      <c r="L291" s="78">
        <f t="shared" si="5"/>
        <v>0</v>
      </c>
      <c r="N291" s="1616"/>
    </row>
    <row r="292" spans="5:14" x14ac:dyDescent="0.2">
      <c r="E292" t="s">
        <v>265</v>
      </c>
      <c r="J292" s="79"/>
      <c r="K292" s="13"/>
      <c r="L292" s="78">
        <f t="shared" si="5"/>
        <v>0</v>
      </c>
      <c r="N292" s="157"/>
    </row>
    <row r="293" spans="5:14" x14ac:dyDescent="0.2">
      <c r="E293" t="s">
        <v>1063</v>
      </c>
      <c r="J293" s="79"/>
      <c r="K293" s="13"/>
      <c r="L293" s="78">
        <f t="shared" si="5"/>
        <v>0</v>
      </c>
      <c r="N293" s="157"/>
    </row>
    <row r="294" spans="5:14" x14ac:dyDescent="0.2">
      <c r="E294" s="354" t="s">
        <v>567</v>
      </c>
      <c r="J294" s="79"/>
      <c r="K294" s="13"/>
      <c r="L294" s="78">
        <f t="shared" si="5"/>
        <v>0</v>
      </c>
    </row>
    <row r="295" spans="5:14" x14ac:dyDescent="0.2">
      <c r="E295" s="354" t="s">
        <v>568</v>
      </c>
      <c r="J295" s="79"/>
      <c r="K295" s="13"/>
      <c r="L295" s="78">
        <f t="shared" si="5"/>
        <v>0</v>
      </c>
    </row>
    <row r="296" spans="5:14" x14ac:dyDescent="0.2">
      <c r="E296" s="354" t="s">
        <v>569</v>
      </c>
      <c r="J296" s="79"/>
      <c r="K296" s="13"/>
      <c r="L296" s="78">
        <f t="shared" si="5"/>
        <v>0</v>
      </c>
    </row>
    <row r="297" spans="5:14" x14ac:dyDescent="0.2">
      <c r="E297" t="s">
        <v>973</v>
      </c>
      <c r="J297" s="79"/>
      <c r="K297" s="13"/>
      <c r="L297" s="78">
        <f>L188</f>
        <v>0</v>
      </c>
    </row>
    <row r="298" spans="5:14" ht="13.5" thickBot="1" x14ac:dyDescent="0.25">
      <c r="J298" s="80">
        <f>SUM(J196:J297)</f>
        <v>0</v>
      </c>
      <c r="K298" s="234"/>
      <c r="L298" s="80">
        <f>SUM(L196:L297)</f>
        <v>0</v>
      </c>
    </row>
    <row r="299" spans="5:14" ht="13.5" thickTop="1" x14ac:dyDescent="0.2"/>
  </sheetData>
  <sheetProtection algorithmName="SHA-512" hashValue="IRZ4hBgC4KPYhd2BxNp5+9PecgG1ueJI8KhIOVMga21Nlry9wcTWyPZimu4tFrMI8HV2VBkz8qWyaPsZCp8kDg==" saltValue="MZCgHhjETazGbmL45S0Cgg==" spinCount="100000" sheet="1" objects="1" scenarios="1"/>
  <mergeCells count="52">
    <mergeCell ref="B84:N84"/>
    <mergeCell ref="B93:N93"/>
    <mergeCell ref="C95:J96"/>
    <mergeCell ref="N80:N82"/>
    <mergeCell ref="C80:L82"/>
    <mergeCell ref="B46:N46"/>
    <mergeCell ref="B57:N57"/>
    <mergeCell ref="N60:N61"/>
    <mergeCell ref="C49:L50"/>
    <mergeCell ref="C60:L61"/>
    <mergeCell ref="C52:L53"/>
    <mergeCell ref="N52:N53"/>
    <mergeCell ref="N49:N50"/>
    <mergeCell ref="N69:N71"/>
    <mergeCell ref="N73:N75"/>
    <mergeCell ref="N77:N78"/>
    <mergeCell ref="C69:L71"/>
    <mergeCell ref="C73:L75"/>
    <mergeCell ref="C77:L78"/>
    <mergeCell ref="C18:N19"/>
    <mergeCell ref="C28:N29"/>
    <mergeCell ref="C21:N26"/>
    <mergeCell ref="C12:N16"/>
    <mergeCell ref="A2:O2"/>
    <mergeCell ref="B4:P4"/>
    <mergeCell ref="C6:N7"/>
    <mergeCell ref="C9:N10"/>
    <mergeCell ref="N288:N291"/>
    <mergeCell ref="B193:N193"/>
    <mergeCell ref="B165:N165"/>
    <mergeCell ref="C142:J143"/>
    <mergeCell ref="N188:N191"/>
    <mergeCell ref="N278:P282"/>
    <mergeCell ref="C162:J163"/>
    <mergeCell ref="N159:N160"/>
    <mergeCell ref="N162:N163"/>
    <mergeCell ref="C42:N44"/>
    <mergeCell ref="C31:N34"/>
    <mergeCell ref="B157:N157"/>
    <mergeCell ref="C159:J160"/>
    <mergeCell ref="C36:N40"/>
    <mergeCell ref="B140:N140"/>
    <mergeCell ref="L126:N126"/>
    <mergeCell ref="B103:N103"/>
    <mergeCell ref="B123:N123"/>
    <mergeCell ref="C125:J126"/>
    <mergeCell ref="N63:N64"/>
    <mergeCell ref="B67:N67"/>
    <mergeCell ref="C63:L64"/>
    <mergeCell ref="C115:L116"/>
    <mergeCell ref="C88:J88"/>
    <mergeCell ref="C86:L86"/>
  </mergeCells>
  <phoneticPr fontId="17" type="noConversion"/>
  <printOptions horizontalCentered="1"/>
  <pageMargins left="0.5" right="0.45" top="0.72" bottom="0.71" header="0.5" footer="0.5"/>
  <pageSetup scale="65" orientation="portrait" r:id="rId1"/>
  <headerFooter alignWithMargins="0">
    <oddHeader>&amp;R&amp;"Arial,Bold"&amp;12Entry  L</oddHeader>
    <oddFooter>&amp;L&amp;8&amp;D - County model&amp;R&amp;P</oddFooter>
  </headerFooter>
  <rowBreaks count="3" manualBreakCount="3">
    <brk id="64" max="15" man="1"/>
    <brk id="138" max="15" man="1"/>
    <brk id="219" max="15"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G114"/>
  <sheetViews>
    <sheetView zoomScaleNormal="100" workbookViewId="0">
      <selection sqref="A1:I1"/>
    </sheetView>
  </sheetViews>
  <sheetFormatPr defaultRowHeight="12.75" x14ac:dyDescent="0.2"/>
  <cols>
    <col min="1" max="1" width="3.42578125" customWidth="1"/>
    <col min="2" max="2" width="41.140625" customWidth="1"/>
    <col min="3" max="3" width="12.5703125" customWidth="1"/>
    <col min="4" max="4" width="12.85546875" customWidth="1"/>
    <col min="5" max="5" width="14" customWidth="1"/>
    <col min="6" max="6" width="13.140625" customWidth="1"/>
    <col min="7" max="7" width="11.28515625" customWidth="1"/>
    <col min="8" max="8" width="9.140625" customWidth="1"/>
  </cols>
  <sheetData>
    <row r="1" spans="1:12" ht="36.75" customHeight="1" x14ac:dyDescent="0.3">
      <c r="A1" s="1618" t="s">
        <v>1083</v>
      </c>
      <c r="B1" s="1619"/>
      <c r="C1" s="1619"/>
      <c r="D1" s="1619"/>
      <c r="E1" s="1619"/>
      <c r="F1" s="1619"/>
      <c r="G1" s="1619"/>
      <c r="H1" s="1619"/>
      <c r="I1" s="1620"/>
      <c r="J1" s="315"/>
      <c r="K1" s="315"/>
      <c r="L1" s="315"/>
    </row>
    <row r="2" spans="1:12" ht="11.25" customHeight="1" x14ac:dyDescent="0.2"/>
    <row r="3" spans="1:12" ht="51.75" customHeight="1" x14ac:dyDescent="0.2">
      <c r="B3" s="1402" t="s">
        <v>1147</v>
      </c>
      <c r="C3" s="1402"/>
      <c r="D3" s="1402"/>
      <c r="E3" s="1402"/>
      <c r="F3" s="1402"/>
      <c r="G3" s="1402"/>
      <c r="H3" s="1402"/>
      <c r="I3" s="1402"/>
    </row>
    <row r="4" spans="1:12" ht="4.5" customHeight="1" x14ac:dyDescent="0.2"/>
    <row r="5" spans="1:12" ht="27" customHeight="1" x14ac:dyDescent="0.2">
      <c r="B5" s="1387" t="s">
        <v>124</v>
      </c>
      <c r="C5" s="1387"/>
      <c r="D5" s="1387"/>
      <c r="E5" s="1387"/>
      <c r="F5" s="1387"/>
      <c r="G5" s="1387"/>
      <c r="H5" s="1387"/>
      <c r="I5" s="1387"/>
    </row>
    <row r="6" spans="1:12" ht="11.25" customHeight="1" x14ac:dyDescent="0.2"/>
    <row r="7" spans="1:12" ht="25.5" customHeight="1" x14ac:dyDescent="0.25">
      <c r="A7" s="4" t="s">
        <v>547</v>
      </c>
      <c r="B7" s="1621" t="s">
        <v>1148</v>
      </c>
      <c r="C7" s="1622"/>
      <c r="D7" s="1622"/>
      <c r="E7" s="1622"/>
      <c r="F7" s="1622"/>
      <c r="G7" s="1622"/>
      <c r="H7" s="1622"/>
      <c r="I7" s="1623"/>
    </row>
    <row r="8" spans="1:12" ht="6.75" customHeight="1" x14ac:dyDescent="0.25">
      <c r="B8" s="316"/>
      <c r="C8" s="316"/>
      <c r="D8" s="316"/>
      <c r="E8" s="316"/>
      <c r="F8" s="316"/>
      <c r="G8" s="316"/>
      <c r="H8" s="14"/>
    </row>
    <row r="9" spans="1:12" ht="12.75" customHeight="1" x14ac:dyDescent="0.25">
      <c r="B9" s="316"/>
      <c r="C9" s="316"/>
      <c r="D9" s="316"/>
      <c r="E9" s="316"/>
      <c r="F9" s="316"/>
      <c r="G9" s="316"/>
      <c r="H9" s="14"/>
    </row>
    <row r="10" spans="1:12" ht="12.75" customHeight="1" x14ac:dyDescent="0.25">
      <c r="B10" s="316"/>
      <c r="C10" s="316"/>
      <c r="D10" s="316"/>
      <c r="E10" s="316"/>
      <c r="F10" s="316"/>
      <c r="G10" s="316"/>
      <c r="H10" s="14"/>
    </row>
    <row r="11" spans="1:12" ht="12.75" customHeight="1" x14ac:dyDescent="0.25">
      <c r="B11" s="316"/>
      <c r="C11" s="316"/>
      <c r="D11" s="316"/>
      <c r="E11" s="316"/>
      <c r="F11" s="316"/>
      <c r="G11" s="316"/>
      <c r="H11" s="14"/>
    </row>
    <row r="12" spans="1:12" ht="12.75" customHeight="1" x14ac:dyDescent="0.25">
      <c r="B12" s="316"/>
      <c r="C12" s="316"/>
      <c r="D12" s="316"/>
      <c r="E12" s="316"/>
      <c r="F12" s="316"/>
      <c r="G12" s="316"/>
      <c r="H12" s="14"/>
    </row>
    <row r="13" spans="1:12" ht="12.75" customHeight="1" x14ac:dyDescent="0.25">
      <c r="B13" s="316"/>
      <c r="C13" s="316"/>
      <c r="D13" s="316"/>
      <c r="E13" s="316"/>
      <c r="F13" s="316"/>
      <c r="G13" s="316"/>
      <c r="H13" s="14"/>
    </row>
    <row r="14" spans="1:12" ht="12.75" customHeight="1" x14ac:dyDescent="0.25">
      <c r="B14" s="316"/>
      <c r="C14" s="316"/>
      <c r="D14" s="316"/>
      <c r="E14" s="316"/>
      <c r="F14" s="316"/>
      <c r="G14" s="316"/>
      <c r="H14" s="14"/>
    </row>
    <row r="15" spans="1:12" ht="12.75" customHeight="1" x14ac:dyDescent="0.25">
      <c r="B15" s="316"/>
      <c r="C15" s="316"/>
      <c r="D15" s="316"/>
      <c r="E15" s="316"/>
      <c r="F15" s="316"/>
      <c r="G15" s="316"/>
      <c r="H15" s="14"/>
    </row>
    <row r="16" spans="1:12" ht="12.75" customHeight="1" x14ac:dyDescent="0.25">
      <c r="B16" s="316"/>
      <c r="C16" s="316"/>
      <c r="D16" s="316"/>
      <c r="E16" s="316"/>
      <c r="F16" s="316"/>
      <c r="G16" s="316"/>
      <c r="H16" s="14"/>
    </row>
    <row r="17" spans="2:9" ht="9" customHeight="1" x14ac:dyDescent="0.25">
      <c r="B17" s="316"/>
      <c r="C17" s="316"/>
      <c r="D17" s="316"/>
      <c r="E17" s="316"/>
      <c r="F17" s="316"/>
      <c r="G17" s="316"/>
      <c r="H17" s="14"/>
    </row>
    <row r="18" spans="2:9" ht="9" customHeight="1" x14ac:dyDescent="0.25">
      <c r="B18" s="316"/>
      <c r="C18" s="316"/>
      <c r="D18" s="316"/>
      <c r="E18" s="316"/>
      <c r="F18" s="316"/>
      <c r="G18" s="316"/>
      <c r="H18" s="14"/>
    </row>
    <row r="19" spans="2:9" ht="15.75" x14ac:dyDescent="0.25">
      <c r="B19" s="290"/>
      <c r="C19" s="412" t="s">
        <v>66</v>
      </c>
      <c r="D19" s="412" t="s">
        <v>66</v>
      </c>
      <c r="E19" s="413" t="s">
        <v>67</v>
      </c>
      <c r="F19" s="414" t="s">
        <v>67</v>
      </c>
      <c r="G19" s="369" t="s">
        <v>361</v>
      </c>
    </row>
    <row r="20" spans="2:9" x14ac:dyDescent="0.2">
      <c r="B20" s="291"/>
      <c r="C20" s="370" t="s">
        <v>359</v>
      </c>
      <c r="D20" s="370"/>
      <c r="E20" s="370"/>
      <c r="F20" s="333" t="s">
        <v>360</v>
      </c>
      <c r="G20" s="370" t="s">
        <v>358</v>
      </c>
    </row>
    <row r="21" spans="2:9" x14ac:dyDescent="0.2">
      <c r="B21" s="292" t="s">
        <v>362</v>
      </c>
      <c r="C21" s="371" t="s">
        <v>363</v>
      </c>
      <c r="D21" s="371" t="s">
        <v>1071</v>
      </c>
      <c r="E21" s="371" t="s">
        <v>1072</v>
      </c>
      <c r="F21" s="372" t="s">
        <v>364</v>
      </c>
      <c r="G21" s="371" t="s">
        <v>1149</v>
      </c>
    </row>
    <row r="22" spans="2:9" ht="3.75" customHeight="1" x14ac:dyDescent="0.2">
      <c r="B22" s="7"/>
      <c r="C22" s="373"/>
      <c r="D22" s="373"/>
      <c r="E22" s="373"/>
      <c r="F22" s="373"/>
      <c r="G22" s="415"/>
    </row>
    <row r="23" spans="2:9" x14ac:dyDescent="0.2">
      <c r="B23" s="293" t="s">
        <v>191</v>
      </c>
      <c r="C23" s="388">
        <v>0</v>
      </c>
      <c r="D23" s="388">
        <v>0</v>
      </c>
      <c r="E23" s="388">
        <v>0</v>
      </c>
      <c r="F23" s="388">
        <v>0</v>
      </c>
      <c r="G23" s="416">
        <f t="shared" ref="G23:G35" si="0">+C23+D23-E23-F23</f>
        <v>0</v>
      </c>
      <c r="H23" s="294"/>
    </row>
    <row r="24" spans="2:9" ht="15" x14ac:dyDescent="0.2">
      <c r="B24" s="293" t="s">
        <v>1038</v>
      </c>
      <c r="C24" s="389">
        <v>0</v>
      </c>
      <c r="D24" s="389">
        <v>0</v>
      </c>
      <c r="E24" s="389">
        <v>0</v>
      </c>
      <c r="F24" s="389">
        <v>0</v>
      </c>
      <c r="G24" s="416">
        <f>+C24+D24-E24-F24</f>
        <v>0</v>
      </c>
      <c r="H24" s="90" t="s">
        <v>338</v>
      </c>
    </row>
    <row r="25" spans="2:9" x14ac:dyDescent="0.2">
      <c r="B25" s="293" t="s">
        <v>1010</v>
      </c>
      <c r="C25" s="389">
        <v>0</v>
      </c>
      <c r="D25" s="389">
        <v>0</v>
      </c>
      <c r="E25" s="389">
        <v>0</v>
      </c>
      <c r="F25" s="389">
        <v>0</v>
      </c>
      <c r="G25" s="416">
        <f t="shared" si="0"/>
        <v>0</v>
      </c>
      <c r="H25" s="294"/>
    </row>
    <row r="26" spans="2:9" x14ac:dyDescent="0.2">
      <c r="B26" s="293" t="s">
        <v>365</v>
      </c>
      <c r="C26" s="389">
        <v>0</v>
      </c>
      <c r="D26" s="389">
        <v>0</v>
      </c>
      <c r="E26" s="389">
        <v>0</v>
      </c>
      <c r="F26" s="389">
        <v>0</v>
      </c>
      <c r="G26" s="416">
        <f t="shared" si="0"/>
        <v>0</v>
      </c>
      <c r="H26" s="294"/>
    </row>
    <row r="27" spans="2:9" x14ac:dyDescent="0.2">
      <c r="B27" s="293" t="s">
        <v>185</v>
      </c>
      <c r="C27" s="353">
        <v>0</v>
      </c>
      <c r="D27" s="389">
        <v>0</v>
      </c>
      <c r="E27" s="389">
        <v>0</v>
      </c>
      <c r="F27" s="389">
        <v>0</v>
      </c>
      <c r="G27" s="416">
        <f t="shared" si="0"/>
        <v>0</v>
      </c>
      <c r="H27" s="294"/>
    </row>
    <row r="28" spans="2:9" ht="15" x14ac:dyDescent="0.2">
      <c r="B28" s="293" t="s">
        <v>205</v>
      </c>
      <c r="C28" s="353">
        <v>0</v>
      </c>
      <c r="D28" s="389">
        <v>0</v>
      </c>
      <c r="E28" s="389">
        <v>0</v>
      </c>
      <c r="F28" s="389">
        <v>0</v>
      </c>
      <c r="G28" s="416">
        <f>+C28+D28-E28-F28</f>
        <v>0</v>
      </c>
      <c r="H28" s="90" t="s">
        <v>339</v>
      </c>
      <c r="I28" s="13"/>
    </row>
    <row r="29" spans="2:9" ht="15" x14ac:dyDescent="0.2">
      <c r="B29" s="293" t="s">
        <v>308</v>
      </c>
      <c r="C29" s="389">
        <v>0</v>
      </c>
      <c r="D29" s="389">
        <v>0</v>
      </c>
      <c r="E29" s="389">
        <v>0</v>
      </c>
      <c r="F29" s="389">
        <v>0</v>
      </c>
      <c r="G29" s="416">
        <f>+C29+D29-E29-F29</f>
        <v>0</v>
      </c>
      <c r="H29" s="90" t="s">
        <v>474</v>
      </c>
      <c r="I29" s="13"/>
    </row>
    <row r="30" spans="2:9" ht="15" x14ac:dyDescent="0.2">
      <c r="B30" s="293" t="s">
        <v>174</v>
      </c>
      <c r="C30" s="389">
        <v>0</v>
      </c>
      <c r="D30" s="389">
        <v>0</v>
      </c>
      <c r="E30" s="389">
        <v>0</v>
      </c>
      <c r="F30" s="389">
        <v>0</v>
      </c>
      <c r="G30" s="416">
        <f>+C30+D30-E30-F30</f>
        <v>0</v>
      </c>
      <c r="H30" s="90" t="s">
        <v>193</v>
      </c>
      <c r="I30" s="13"/>
    </row>
    <row r="31" spans="2:9" x14ac:dyDescent="0.2">
      <c r="B31" s="385" t="s">
        <v>740</v>
      </c>
      <c r="C31" s="389">
        <v>0</v>
      </c>
      <c r="D31" s="389">
        <v>0</v>
      </c>
      <c r="E31" s="389">
        <v>0</v>
      </c>
      <c r="F31" s="389">
        <v>0</v>
      </c>
      <c r="G31" s="416">
        <f t="shared" si="0"/>
        <v>0</v>
      </c>
      <c r="H31" s="294"/>
      <c r="I31" s="13"/>
    </row>
    <row r="32" spans="2:9" ht="15" x14ac:dyDescent="0.2">
      <c r="B32" s="385" t="s">
        <v>792</v>
      </c>
      <c r="C32" s="389">
        <v>0</v>
      </c>
      <c r="D32" s="389">
        <v>0</v>
      </c>
      <c r="E32" s="389">
        <v>0</v>
      </c>
      <c r="F32" s="389">
        <v>0</v>
      </c>
      <c r="G32" s="416">
        <f t="shared" si="0"/>
        <v>0</v>
      </c>
      <c r="H32" s="90" t="s">
        <v>11</v>
      </c>
      <c r="I32" s="13"/>
    </row>
    <row r="33" spans="2:9" ht="15" x14ac:dyDescent="0.2">
      <c r="B33" s="385" t="s">
        <v>1062</v>
      </c>
      <c r="C33" s="389">
        <v>0</v>
      </c>
      <c r="D33" s="389">
        <v>0</v>
      </c>
      <c r="E33" s="389">
        <v>0</v>
      </c>
      <c r="F33" s="389">
        <v>0</v>
      </c>
      <c r="G33" s="416">
        <f>+C33+D33-E33-F33</f>
        <v>0</v>
      </c>
      <c r="H33" s="90" t="s">
        <v>12</v>
      </c>
      <c r="I33" s="13"/>
    </row>
    <row r="34" spans="2:9" x14ac:dyDescent="0.2">
      <c r="B34" s="293" t="s">
        <v>366</v>
      </c>
      <c r="C34" s="389">
        <v>0</v>
      </c>
      <c r="D34" s="389">
        <v>0</v>
      </c>
      <c r="E34" s="389">
        <v>0</v>
      </c>
      <c r="F34" s="389">
        <v>0</v>
      </c>
      <c r="G34" s="416">
        <f t="shared" si="0"/>
        <v>0</v>
      </c>
      <c r="H34" s="294"/>
      <c r="I34" s="13"/>
    </row>
    <row r="35" spans="2:9" x14ac:dyDescent="0.2">
      <c r="B35" s="295" t="s">
        <v>788</v>
      </c>
      <c r="C35" s="353">
        <v>0</v>
      </c>
      <c r="D35" s="389">
        <v>0</v>
      </c>
      <c r="E35" s="389">
        <v>0</v>
      </c>
      <c r="F35" s="389">
        <v>0</v>
      </c>
      <c r="G35" s="416">
        <f t="shared" si="0"/>
        <v>0</v>
      </c>
      <c r="H35" s="294"/>
    </row>
    <row r="36" spans="2:9" x14ac:dyDescent="0.2">
      <c r="B36" s="293"/>
      <c r="C36" s="390"/>
      <c r="D36" s="390"/>
      <c r="E36" s="390"/>
      <c r="F36" s="390"/>
      <c r="G36" s="391"/>
    </row>
    <row r="37" spans="2:9" x14ac:dyDescent="0.2">
      <c r="B37" s="421" t="s">
        <v>923</v>
      </c>
      <c r="C37" s="392">
        <f>SUM(C23:C35)</f>
        <v>0</v>
      </c>
      <c r="D37" s="392">
        <f>SUM(D23:D35)</f>
        <v>0</v>
      </c>
      <c r="E37" s="392">
        <f>SUM(E23:E35)</f>
        <v>0</v>
      </c>
      <c r="F37" s="392">
        <f>SUM(F23:F35)</f>
        <v>0</v>
      </c>
      <c r="G37" s="392">
        <f>SUM(G23:G35)</f>
        <v>0</v>
      </c>
    </row>
    <row r="38" spans="2:9" ht="7.5" customHeight="1" x14ac:dyDescent="0.2"/>
    <row r="39" spans="2:9" hidden="1" x14ac:dyDescent="0.2"/>
    <row r="40" spans="2:9" hidden="1" x14ac:dyDescent="0.2">
      <c r="B40" s="290"/>
      <c r="C40" s="296"/>
      <c r="D40" s="296"/>
      <c r="E40" s="296"/>
      <c r="F40" s="287"/>
      <c r="G40" s="296" t="s">
        <v>358</v>
      </c>
    </row>
    <row r="41" spans="2:9" hidden="1" x14ac:dyDescent="0.2">
      <c r="B41" s="291"/>
      <c r="C41" s="297" t="s">
        <v>359</v>
      </c>
      <c r="D41" s="297" t="s">
        <v>367</v>
      </c>
      <c r="E41" s="297" t="s">
        <v>367</v>
      </c>
      <c r="F41" s="57" t="s">
        <v>360</v>
      </c>
      <c r="G41" s="297" t="s">
        <v>361</v>
      </c>
    </row>
    <row r="42" spans="2:9" hidden="1" x14ac:dyDescent="0.2">
      <c r="B42" s="298" t="s">
        <v>368</v>
      </c>
      <c r="C42" s="299" t="s">
        <v>363</v>
      </c>
      <c r="D42" s="299" t="s">
        <v>369</v>
      </c>
      <c r="E42" s="299" t="s">
        <v>370</v>
      </c>
      <c r="F42" s="49" t="s">
        <v>364</v>
      </c>
      <c r="G42" s="299" t="s">
        <v>653</v>
      </c>
    </row>
    <row r="43" spans="2:9" hidden="1" x14ac:dyDescent="0.2">
      <c r="B43" s="300"/>
      <c r="C43" s="296"/>
      <c r="D43" s="296"/>
      <c r="E43" s="296"/>
      <c r="F43" s="287"/>
      <c r="G43" s="296"/>
    </row>
    <row r="44" spans="2:9" hidden="1" x14ac:dyDescent="0.2">
      <c r="B44" s="293" t="s">
        <v>371</v>
      </c>
      <c r="C44" s="301"/>
      <c r="D44" s="301"/>
      <c r="E44" s="301"/>
      <c r="F44" s="301"/>
      <c r="G44" s="301">
        <f t="shared" ref="G44:G49" si="1">+C44+D44-E44-F44</f>
        <v>0</v>
      </c>
    </row>
    <row r="45" spans="2:9" hidden="1" x14ac:dyDescent="0.2">
      <c r="B45" s="293" t="s">
        <v>372</v>
      </c>
      <c r="C45" s="302"/>
      <c r="D45" s="302"/>
      <c r="E45" s="302"/>
      <c r="F45" s="302"/>
      <c r="G45" s="301">
        <f t="shared" si="1"/>
        <v>0</v>
      </c>
    </row>
    <row r="46" spans="2:9" hidden="1" x14ac:dyDescent="0.2">
      <c r="B46" s="293" t="s">
        <v>23</v>
      </c>
      <c r="C46" s="302"/>
      <c r="D46" s="302"/>
      <c r="E46" s="302"/>
      <c r="F46" s="302"/>
      <c r="G46" s="301">
        <f t="shared" si="1"/>
        <v>0</v>
      </c>
    </row>
    <row r="47" spans="2:9" hidden="1" x14ac:dyDescent="0.2">
      <c r="B47" s="293" t="s">
        <v>373</v>
      </c>
      <c r="C47" s="302"/>
      <c r="D47" s="302"/>
      <c r="E47" s="302"/>
      <c r="F47" s="302"/>
      <c r="G47" s="301">
        <f t="shared" si="1"/>
        <v>0</v>
      </c>
    </row>
    <row r="48" spans="2:9" hidden="1" x14ac:dyDescent="0.2">
      <c r="B48" s="293" t="s">
        <v>374</v>
      </c>
      <c r="C48" s="302"/>
      <c r="D48" s="302"/>
      <c r="E48" s="302"/>
      <c r="F48" s="302"/>
      <c r="G48" s="301">
        <f t="shared" si="1"/>
        <v>0</v>
      </c>
    </row>
    <row r="49" spans="1:33" hidden="1" x14ac:dyDescent="0.2">
      <c r="B49" s="295" t="s">
        <v>717</v>
      </c>
      <c r="C49" s="8"/>
      <c r="D49" s="302"/>
      <c r="E49" s="302"/>
      <c r="F49" s="302"/>
      <c r="G49" s="301">
        <f t="shared" si="1"/>
        <v>0</v>
      </c>
    </row>
    <row r="50" spans="1:33" hidden="1" x14ac:dyDescent="0.2">
      <c r="B50" s="290"/>
      <c r="C50" s="290"/>
      <c r="D50" s="290"/>
      <c r="E50" s="290"/>
      <c r="F50" s="303"/>
      <c r="G50" s="290"/>
    </row>
    <row r="51" spans="1:33" hidden="1" x14ac:dyDescent="0.2">
      <c r="B51" s="301" t="s">
        <v>923</v>
      </c>
      <c r="C51" s="301">
        <f>SUM(C44:C49)</f>
        <v>0</v>
      </c>
      <c r="D51" s="301">
        <f>SUM(D44:D49)</f>
        <v>0</v>
      </c>
      <c r="E51" s="301">
        <f>SUM(E44:E49)</f>
        <v>0</v>
      </c>
      <c r="F51" s="301">
        <f>SUM(F44:F49)</f>
        <v>0</v>
      </c>
      <c r="G51" s="301">
        <f>SUM(G44:G49)</f>
        <v>0</v>
      </c>
    </row>
    <row r="52" spans="1:33" ht="15" x14ac:dyDescent="0.2">
      <c r="B52" s="387" t="s">
        <v>338</v>
      </c>
      <c r="C52" s="646" t="s">
        <v>1067</v>
      </c>
      <c r="D52" s="14"/>
      <c r="E52" s="14"/>
      <c r="F52" s="14"/>
      <c r="G52" s="14"/>
    </row>
    <row r="53" spans="1:33" ht="12.75" customHeight="1" x14ac:dyDescent="0.2">
      <c r="B53" s="387" t="s">
        <v>339</v>
      </c>
      <c r="C53" s="646" t="s">
        <v>1065</v>
      </c>
      <c r="D53" s="14"/>
      <c r="E53" s="14"/>
      <c r="F53" s="14"/>
      <c r="G53" s="14"/>
      <c r="H53" s="34"/>
      <c r="I53" s="34"/>
      <c r="J53" s="34"/>
    </row>
    <row r="54" spans="1:33" ht="12.75" customHeight="1" x14ac:dyDescent="0.2">
      <c r="B54" s="387" t="s">
        <v>474</v>
      </c>
      <c r="C54" s="1625" t="s">
        <v>1068</v>
      </c>
      <c r="D54" s="1626"/>
      <c r="E54" s="1626"/>
      <c r="F54" s="1626"/>
      <c r="G54" s="98"/>
    </row>
    <row r="55" spans="1:33" ht="25.5" customHeight="1" x14ac:dyDescent="0.2">
      <c r="B55" s="645" t="s">
        <v>193</v>
      </c>
      <c r="C55" s="1625" t="s">
        <v>1069</v>
      </c>
      <c r="D55" s="1387"/>
      <c r="E55" s="1387"/>
      <c r="F55" s="1387"/>
      <c r="G55" s="1387"/>
      <c r="H55" s="1387"/>
    </row>
    <row r="56" spans="1:33" ht="12.75" customHeight="1" x14ac:dyDescent="0.2">
      <c r="B56" s="387" t="s">
        <v>11</v>
      </c>
      <c r="C56" s="1626" t="s">
        <v>68</v>
      </c>
      <c r="D56" s="1626"/>
      <c r="E56" s="1626"/>
      <c r="F56" s="1626"/>
      <c r="G56" s="1626"/>
      <c r="H56" s="1626"/>
      <c r="I56" s="1626"/>
      <c r="J56" s="14"/>
      <c r="K56" s="14"/>
      <c r="L56" s="14"/>
      <c r="M56" s="14"/>
      <c r="N56" s="14"/>
      <c r="O56" s="14"/>
      <c r="P56" s="14"/>
      <c r="Q56" s="14"/>
      <c r="R56" s="14"/>
      <c r="S56" s="14"/>
      <c r="T56" s="14"/>
      <c r="U56" s="14"/>
      <c r="V56" s="14"/>
      <c r="W56" s="14"/>
      <c r="X56" s="14"/>
      <c r="Y56" s="14"/>
      <c r="Z56" s="14"/>
      <c r="AA56" s="14"/>
      <c r="AB56" s="14"/>
      <c r="AC56" s="14"/>
      <c r="AD56" s="14"/>
      <c r="AE56" s="14"/>
      <c r="AF56" s="14"/>
      <c r="AG56" s="14"/>
    </row>
    <row r="57" spans="1:33" ht="15" x14ac:dyDescent="0.2">
      <c r="B57" s="387" t="s">
        <v>12</v>
      </c>
      <c r="C57" s="1625" t="s">
        <v>1066</v>
      </c>
      <c r="D57" s="1387"/>
      <c r="E57" s="1387"/>
      <c r="F57" s="1387"/>
      <c r="G57" s="1387"/>
    </row>
    <row r="58" spans="1:33" ht="27.75" customHeight="1" x14ac:dyDescent="0.2">
      <c r="B58" s="647" t="s">
        <v>520</v>
      </c>
      <c r="C58" s="1625" t="s">
        <v>1082</v>
      </c>
      <c r="D58" s="1387"/>
      <c r="E58" s="1387"/>
      <c r="F58" s="1387"/>
      <c r="G58" s="1387"/>
      <c r="H58" s="1387"/>
    </row>
    <row r="59" spans="1:33" ht="24.75" customHeight="1" x14ac:dyDescent="0.2">
      <c r="B59" s="648" t="s">
        <v>1070</v>
      </c>
      <c r="C59" s="1627" t="s">
        <v>1170</v>
      </c>
      <c r="D59" s="1628"/>
      <c r="E59" s="1628"/>
      <c r="F59" s="1628"/>
      <c r="G59" s="1628"/>
      <c r="H59" s="1628"/>
    </row>
    <row r="60" spans="1:33" ht="25.5" customHeight="1" x14ac:dyDescent="0.25">
      <c r="A60" s="4" t="s">
        <v>548</v>
      </c>
      <c r="B60" s="1621" t="s">
        <v>1079</v>
      </c>
      <c r="C60" s="1622"/>
      <c r="D60" s="1622"/>
      <c r="E60" s="1622"/>
      <c r="F60" s="1622"/>
      <c r="G60" s="1622"/>
      <c r="H60" s="1622"/>
      <c r="I60" s="1623"/>
      <c r="J60" s="304"/>
      <c r="K60" s="304"/>
      <c r="L60" s="304"/>
    </row>
    <row r="61" spans="1:33" ht="6.75" customHeight="1" x14ac:dyDescent="0.2">
      <c r="B61" s="1624"/>
      <c r="C61" s="1624"/>
      <c r="D61" s="1624"/>
      <c r="E61" s="1624"/>
      <c r="F61" s="1624"/>
      <c r="G61" s="1624"/>
      <c r="H61" s="1624"/>
      <c r="I61" s="1624"/>
      <c r="J61" s="304"/>
      <c r="K61" s="304"/>
      <c r="L61" s="304"/>
    </row>
    <row r="62" spans="1:33" x14ac:dyDescent="0.2">
      <c r="B62" s="326" t="s">
        <v>243</v>
      </c>
      <c r="C62" s="57"/>
      <c r="D62" s="57"/>
    </row>
    <row r="63" spans="1:33" x14ac:dyDescent="0.2">
      <c r="B63" s="303"/>
      <c r="C63" s="99" t="s">
        <v>640</v>
      </c>
      <c r="D63" s="46" t="s">
        <v>642</v>
      </c>
      <c r="E63" s="46" t="s">
        <v>643</v>
      </c>
    </row>
    <row r="64" spans="1:33" x14ac:dyDescent="0.2">
      <c r="B64" s="305" t="s">
        <v>639</v>
      </c>
      <c r="C64" s="321" t="s">
        <v>653</v>
      </c>
      <c r="D64" s="3" t="s">
        <v>833</v>
      </c>
      <c r="E64" s="3" t="s">
        <v>653</v>
      </c>
    </row>
    <row r="65" spans="2:9" x14ac:dyDescent="0.2">
      <c r="B65" s="327" t="s">
        <v>244</v>
      </c>
      <c r="C65" s="323" t="str">
        <f>'Conversion Worksheet'!AZ37</f>
        <v xml:space="preserve"> </v>
      </c>
      <c r="D65" s="14"/>
    </row>
    <row r="66" spans="2:9" x14ac:dyDescent="0.2">
      <c r="B66" s="327" t="s">
        <v>245</v>
      </c>
      <c r="C66" s="322" t="str">
        <f>'Conversion Worksheet'!AZ41</f>
        <v xml:space="preserve"> </v>
      </c>
      <c r="D66" s="14"/>
    </row>
    <row r="67" spans="2:9" x14ac:dyDescent="0.2">
      <c r="B67" s="327" t="s">
        <v>246</v>
      </c>
      <c r="C67" s="322" t="str">
        <f>'Conversion Worksheet'!AZ42</f>
        <v xml:space="preserve"> </v>
      </c>
      <c r="D67" s="322">
        <f>'Conversion Worksheet'!BA45</f>
        <v>0</v>
      </c>
      <c r="E67" s="14"/>
    </row>
    <row r="68" spans="2:9" x14ac:dyDescent="0.2">
      <c r="B68" s="327" t="s">
        <v>247</v>
      </c>
      <c r="C68" s="322" t="str">
        <f>'Conversion Worksheet'!AZ46</f>
        <v xml:space="preserve"> </v>
      </c>
      <c r="D68" s="322">
        <f>'Conversion Worksheet'!BA49</f>
        <v>0</v>
      </c>
      <c r="E68" s="14"/>
    </row>
    <row r="69" spans="2:9" x14ac:dyDescent="0.2">
      <c r="B69" s="327" t="s">
        <v>248</v>
      </c>
      <c r="C69" s="322" t="str">
        <f>'Conversion Worksheet'!AZ50</f>
        <v xml:space="preserve"> </v>
      </c>
      <c r="D69" s="322">
        <f>'Conversion Worksheet'!BA53</f>
        <v>0</v>
      </c>
      <c r="E69" s="14"/>
      <c r="F69" s="1632" t="s">
        <v>1169</v>
      </c>
      <c r="G69" s="1632"/>
      <c r="H69" s="1632"/>
      <c r="I69" s="1632"/>
    </row>
    <row r="70" spans="2:9" x14ac:dyDescent="0.2">
      <c r="B70" s="327" t="s">
        <v>982</v>
      </c>
      <c r="C70" s="322" t="str">
        <f>'Conversion Worksheet'!AZ54</f>
        <v xml:space="preserve"> </v>
      </c>
      <c r="D70" s="322">
        <f>'Conversion Worksheet'!BA57</f>
        <v>0</v>
      </c>
      <c r="E70" s="14"/>
      <c r="F70" s="1632"/>
      <c r="G70" s="1632"/>
      <c r="H70" s="1632"/>
      <c r="I70" s="1632"/>
    </row>
    <row r="71" spans="2:9" x14ac:dyDescent="0.2">
      <c r="B71" s="327" t="s">
        <v>983</v>
      </c>
      <c r="C71" s="322" t="str">
        <f>'Conversion Worksheet'!AZ58</f>
        <v xml:space="preserve"> </v>
      </c>
      <c r="D71" s="322">
        <f>'Conversion Worksheet'!BA61</f>
        <v>0</v>
      </c>
      <c r="E71" s="14"/>
    </row>
    <row r="72" spans="2:9" x14ac:dyDescent="0.2">
      <c r="B72" s="386" t="s">
        <v>984</v>
      </c>
      <c r="C72" s="322" t="str">
        <f>'Conversion Worksheet'!AZ62</f>
        <v xml:space="preserve"> </v>
      </c>
      <c r="D72" s="251">
        <f>'Conversion Worksheet'!BA65</f>
        <v>0</v>
      </c>
      <c r="E72" s="14"/>
    </row>
    <row r="73" spans="2:9" x14ac:dyDescent="0.2">
      <c r="B73" s="386" t="s">
        <v>985</v>
      </c>
      <c r="C73" s="322" t="str">
        <f>'Conversion Worksheet'!AZ66</f>
        <v xml:space="preserve"> </v>
      </c>
      <c r="D73" s="251">
        <f>'Conversion Worksheet'!BA69</f>
        <v>0</v>
      </c>
      <c r="E73" s="14"/>
    </row>
    <row r="74" spans="2:9" x14ac:dyDescent="0.2">
      <c r="B74" s="327" t="s">
        <v>986</v>
      </c>
      <c r="C74" s="324" t="str">
        <f>'Conversion Worksheet'!AZ40</f>
        <v xml:space="preserve"> </v>
      </c>
      <c r="D74" s="275"/>
      <c r="E74" s="14"/>
    </row>
    <row r="75" spans="2:9" ht="13.5" thickBot="1" x14ac:dyDescent="0.25">
      <c r="B75" s="328" t="s">
        <v>641</v>
      </c>
      <c r="C75" s="325">
        <f>SUM(C64:C74)</f>
        <v>0</v>
      </c>
      <c r="D75" s="325">
        <f>SUM(D67:D73)</f>
        <v>0</v>
      </c>
      <c r="E75" s="417">
        <f>C75-D75</f>
        <v>0</v>
      </c>
    </row>
    <row r="76" spans="2:9" ht="13.5" thickTop="1" x14ac:dyDescent="0.2">
      <c r="B76" s="14"/>
      <c r="C76" s="14"/>
      <c r="D76" s="14"/>
    </row>
    <row r="77" spans="2:9" x14ac:dyDescent="0.2">
      <c r="B77" s="305" t="s">
        <v>988</v>
      </c>
      <c r="C77" s="401"/>
      <c r="D77" s="14"/>
    </row>
    <row r="78" spans="2:9" x14ac:dyDescent="0.2">
      <c r="B78" s="327" t="s">
        <v>906</v>
      </c>
      <c r="C78" s="402">
        <v>0</v>
      </c>
      <c r="D78" s="14"/>
    </row>
    <row r="79" spans="2:9" x14ac:dyDescent="0.2">
      <c r="B79" s="327" t="s">
        <v>1003</v>
      </c>
      <c r="C79" s="420"/>
      <c r="D79" s="14"/>
    </row>
    <row r="80" spans="2:9" ht="25.5" x14ac:dyDescent="0.2">
      <c r="B80" s="399" t="s">
        <v>907</v>
      </c>
      <c r="C80" s="402">
        <v>0</v>
      </c>
      <c r="D80" s="14"/>
    </row>
    <row r="81" spans="2:7" ht="24.75" customHeight="1" x14ac:dyDescent="0.2">
      <c r="B81" s="399" t="s">
        <v>908</v>
      </c>
      <c r="C81" s="402">
        <v>0</v>
      </c>
      <c r="D81" s="1633" t="s">
        <v>123</v>
      </c>
      <c r="E81" s="1633"/>
      <c r="F81" s="1633"/>
    </row>
    <row r="82" spans="2:7" ht="25.5" x14ac:dyDescent="0.2">
      <c r="B82" s="399" t="s">
        <v>791</v>
      </c>
      <c r="C82" s="402">
        <v>0</v>
      </c>
      <c r="D82" s="319"/>
    </row>
    <row r="83" spans="2:7" x14ac:dyDescent="0.2">
      <c r="B83" s="399" t="s">
        <v>909</v>
      </c>
      <c r="C83" s="342">
        <v>0</v>
      </c>
    </row>
    <row r="84" spans="2:7" x14ac:dyDescent="0.2">
      <c r="B84" s="400" t="s">
        <v>885</v>
      </c>
      <c r="C84" s="342">
        <v>0</v>
      </c>
    </row>
    <row r="85" spans="2:7" x14ac:dyDescent="0.2">
      <c r="B85" s="327" t="s">
        <v>990</v>
      </c>
      <c r="C85" s="47"/>
      <c r="D85" s="14"/>
    </row>
    <row r="86" spans="2:7" x14ac:dyDescent="0.2">
      <c r="B86" s="327" t="s">
        <v>886</v>
      </c>
      <c r="C86" s="353">
        <v>0</v>
      </c>
      <c r="D86" s="14"/>
    </row>
    <row r="87" spans="2:7" x14ac:dyDescent="0.2">
      <c r="B87" s="305" t="s">
        <v>991</v>
      </c>
      <c r="C87" s="418">
        <f>+C78-C80-C81-C82-C83-C84+C86</f>
        <v>0</v>
      </c>
      <c r="D87" s="14"/>
    </row>
    <row r="88" spans="2:7" x14ac:dyDescent="0.2">
      <c r="B88" s="14"/>
      <c r="D88" s="14"/>
    </row>
    <row r="89" spans="2:7" ht="13.5" thickBot="1" x14ac:dyDescent="0.25">
      <c r="B89" s="393" t="s">
        <v>1081</v>
      </c>
      <c r="C89" s="330">
        <f>E75-C87</f>
        <v>0</v>
      </c>
      <c r="D89" s="6"/>
    </row>
    <row r="90" spans="2:7" ht="20.25" customHeight="1" thickTop="1" x14ac:dyDescent="0.2">
      <c r="B90" s="288"/>
      <c r="D90" s="14"/>
    </row>
    <row r="91" spans="2:7" hidden="1" x14ac:dyDescent="0.2">
      <c r="B91" s="288"/>
    </row>
    <row r="92" spans="2:7" hidden="1" x14ac:dyDescent="0.2">
      <c r="B92" s="306"/>
      <c r="C92" s="296"/>
      <c r="E92" s="296" t="s">
        <v>993</v>
      </c>
      <c r="F92" s="296" t="s">
        <v>994</v>
      </c>
      <c r="G92" s="289"/>
    </row>
    <row r="93" spans="2:7" hidden="1" x14ac:dyDescent="0.2">
      <c r="B93" s="291"/>
      <c r="C93" s="297" t="s">
        <v>995</v>
      </c>
      <c r="D93" s="296"/>
      <c r="E93" s="297" t="s">
        <v>996</v>
      </c>
      <c r="F93" s="297" t="s">
        <v>997</v>
      </c>
      <c r="G93" s="307"/>
    </row>
    <row r="94" spans="2:7" hidden="1" x14ac:dyDescent="0.2">
      <c r="B94" s="298" t="s">
        <v>368</v>
      </c>
      <c r="C94" s="299" t="s">
        <v>998</v>
      </c>
      <c r="D94" s="297" t="s">
        <v>23</v>
      </c>
      <c r="E94" s="299" t="s">
        <v>1000</v>
      </c>
      <c r="F94" s="299" t="s">
        <v>1001</v>
      </c>
      <c r="G94" s="308" t="s">
        <v>923</v>
      </c>
    </row>
    <row r="95" spans="2:7" hidden="1" x14ac:dyDescent="0.2">
      <c r="B95" s="290"/>
      <c r="C95" s="290"/>
      <c r="D95" s="299" t="s">
        <v>999</v>
      </c>
      <c r="E95" s="290"/>
      <c r="F95" s="290"/>
      <c r="G95" s="290"/>
    </row>
    <row r="96" spans="2:7" hidden="1" x14ac:dyDescent="0.2">
      <c r="B96" s="309" t="s">
        <v>1002</v>
      </c>
      <c r="C96" s="291"/>
      <c r="D96" s="290"/>
      <c r="E96" s="291"/>
      <c r="F96" s="291"/>
      <c r="G96" s="291">
        <f>+C96+D97+E96+F96</f>
        <v>0</v>
      </c>
    </row>
    <row r="97" spans="1:12" hidden="1" x14ac:dyDescent="0.2">
      <c r="B97" s="291" t="s">
        <v>839</v>
      </c>
      <c r="C97" s="291"/>
      <c r="D97" s="291"/>
      <c r="E97" s="291"/>
      <c r="F97" s="291"/>
      <c r="G97" s="291">
        <f>+C97+D98+E97+F97</f>
        <v>0</v>
      </c>
    </row>
    <row r="98" spans="1:12" hidden="1" x14ac:dyDescent="0.2">
      <c r="B98" s="291" t="s">
        <v>1003</v>
      </c>
      <c r="C98" s="291"/>
      <c r="D98" s="291"/>
      <c r="E98" s="291"/>
      <c r="F98" s="291"/>
      <c r="G98" s="291"/>
    </row>
    <row r="99" spans="1:12" hidden="1" x14ac:dyDescent="0.2">
      <c r="B99" s="291" t="s">
        <v>1004</v>
      </c>
      <c r="C99" s="301"/>
      <c r="D99" s="291"/>
      <c r="E99" s="301"/>
      <c r="F99" s="301"/>
      <c r="G99" s="301">
        <f>+C99+D100+E99+F99</f>
        <v>0</v>
      </c>
    </row>
    <row r="100" spans="1:12" hidden="1" x14ac:dyDescent="0.2">
      <c r="B100" s="310" t="s">
        <v>987</v>
      </c>
      <c r="C100" s="291">
        <f>+C96+C97-C99</f>
        <v>0</v>
      </c>
      <c r="D100" s="301"/>
      <c r="E100" s="291">
        <f>+E96+E97-E99</f>
        <v>0</v>
      </c>
      <c r="F100" s="291">
        <f>+F96+F97-F99</f>
        <v>0</v>
      </c>
      <c r="G100" s="291">
        <f>+G96+G97-G99</f>
        <v>0</v>
      </c>
    </row>
    <row r="101" spans="1:12" hidden="1" x14ac:dyDescent="0.2">
      <c r="B101" s="309" t="s">
        <v>1005</v>
      </c>
      <c r="C101" s="291"/>
      <c r="D101" s="291">
        <f>+D97+D98-D100</f>
        <v>0</v>
      </c>
      <c r="E101" s="291"/>
      <c r="F101" s="291"/>
      <c r="G101" s="291"/>
    </row>
    <row r="102" spans="1:12" hidden="1" x14ac:dyDescent="0.2">
      <c r="B102" s="309" t="s">
        <v>989</v>
      </c>
      <c r="C102" s="291"/>
      <c r="D102" s="291"/>
      <c r="E102" s="291"/>
      <c r="F102" s="291"/>
      <c r="G102" s="291">
        <f>+C102+D103+E102+F102</f>
        <v>0</v>
      </c>
    </row>
    <row r="103" spans="1:12" hidden="1" x14ac:dyDescent="0.2">
      <c r="B103" s="311" t="s">
        <v>644</v>
      </c>
      <c r="C103" s="291"/>
      <c r="D103" s="291"/>
      <c r="E103" s="291"/>
      <c r="F103" s="291"/>
      <c r="G103" s="291">
        <f>+C103+D104+E103+F103</f>
        <v>0</v>
      </c>
    </row>
    <row r="104" spans="1:12" hidden="1" x14ac:dyDescent="0.2">
      <c r="B104" s="309" t="s">
        <v>990</v>
      </c>
      <c r="C104" s="291"/>
      <c r="D104" s="291"/>
      <c r="E104" s="291"/>
      <c r="F104" s="291"/>
      <c r="G104" s="291"/>
    </row>
    <row r="105" spans="1:12" hidden="1" x14ac:dyDescent="0.2">
      <c r="B105" s="309" t="s">
        <v>645</v>
      </c>
      <c r="C105" s="291"/>
      <c r="D105" s="291"/>
      <c r="E105" s="291"/>
      <c r="F105" s="291"/>
      <c r="G105" s="291">
        <f>+C105+D106+E105+F105</f>
        <v>0</v>
      </c>
    </row>
    <row r="106" spans="1:12" hidden="1" x14ac:dyDescent="0.2">
      <c r="B106" s="312" t="s">
        <v>1006</v>
      </c>
      <c r="C106" s="301"/>
      <c r="D106" s="291"/>
      <c r="E106" s="301"/>
      <c r="F106" s="301"/>
      <c r="G106" s="301">
        <f>+C106+D107+E106+F106</f>
        <v>0</v>
      </c>
    </row>
    <row r="107" spans="1:12" hidden="1" x14ac:dyDescent="0.2">
      <c r="B107" s="320" t="s">
        <v>992</v>
      </c>
      <c r="C107" s="290">
        <f>+C100-C102-C103+C105+C106</f>
        <v>0</v>
      </c>
      <c r="D107" s="301"/>
      <c r="E107" s="290">
        <f>+E100-E102-E103+E105+E106</f>
        <v>0</v>
      </c>
      <c r="F107" s="290">
        <f>+F100-F102-F103+F105+F106</f>
        <v>0</v>
      </c>
      <c r="G107" s="291">
        <f>+G100-G102-G103+G105+G106</f>
        <v>0</v>
      </c>
    </row>
    <row r="108" spans="1:12" ht="25.5" customHeight="1" x14ac:dyDescent="0.25">
      <c r="A108" s="4" t="s">
        <v>816</v>
      </c>
      <c r="B108" s="1629" t="s">
        <v>1084</v>
      </c>
      <c r="C108" s="1630"/>
      <c r="D108" s="1630"/>
      <c r="E108" s="1630"/>
      <c r="F108" s="1630"/>
      <c r="G108" s="1630"/>
      <c r="H108" s="1630"/>
      <c r="I108" s="1631"/>
      <c r="J108" s="304"/>
      <c r="K108" s="304"/>
      <c r="L108" s="304"/>
    </row>
    <row r="110" spans="1:12" ht="20.100000000000001" customHeight="1" x14ac:dyDescent="0.2">
      <c r="B110" s="34" t="s">
        <v>1085</v>
      </c>
      <c r="C110" s="313">
        <f>('Conversion Worksheet'!BA165)+('Conversion Worksheet'!BA175-'Conversion Worksheet'!AZ175)</f>
        <v>0</v>
      </c>
      <c r="D110" s="319" t="s">
        <v>560</v>
      </c>
      <c r="E110" s="34"/>
      <c r="F110" s="34"/>
    </row>
    <row r="111" spans="1:12" ht="20.100000000000001" customHeight="1" x14ac:dyDescent="0.2">
      <c r="B111" s="34" t="s">
        <v>1086</v>
      </c>
      <c r="C111" s="313">
        <f>G37</f>
        <v>0</v>
      </c>
      <c r="D111" s="319" t="s">
        <v>558</v>
      </c>
      <c r="E111" s="34"/>
      <c r="F111" s="34"/>
    </row>
    <row r="112" spans="1:12" ht="20.100000000000001" customHeight="1" x14ac:dyDescent="0.2">
      <c r="B112" s="34" t="s">
        <v>1080</v>
      </c>
      <c r="C112" s="314">
        <f>+C89</f>
        <v>0</v>
      </c>
      <c r="D112" s="319" t="s">
        <v>559</v>
      </c>
      <c r="E112" s="34"/>
      <c r="F112" s="34"/>
    </row>
    <row r="113" spans="2:6" ht="20.100000000000001" customHeight="1" thickBot="1" x14ac:dyDescent="0.25">
      <c r="B113" s="650" t="s">
        <v>1161</v>
      </c>
      <c r="C113" s="419">
        <f>+C110-C111-C112</f>
        <v>0</v>
      </c>
      <c r="D113" s="34"/>
      <c r="E113" s="34"/>
      <c r="F113" s="34"/>
    </row>
    <row r="114" spans="2:6" ht="13.5" thickTop="1" x14ac:dyDescent="0.2">
      <c r="D114" s="34"/>
    </row>
  </sheetData>
  <sheetProtection algorithmName="SHA-512" hashValue="UamkPB0A1+ajyu5GQqK69JsZ60Gt1lPOLj8v0YSPQSBHqa9ri4oQBD4QSXtMbMfRRkLIvFRI2q3AQXzYD6Vsbw==" saltValue="c/+xoBJFONU5uwWP9oFt0A==" spinCount="100000" sheet="1" objects="1" scenarios="1"/>
  <mergeCells count="15">
    <mergeCell ref="B108:I108"/>
    <mergeCell ref="B3:I3"/>
    <mergeCell ref="B5:I5"/>
    <mergeCell ref="F69:I70"/>
    <mergeCell ref="D81:F81"/>
    <mergeCell ref="C55:H55"/>
    <mergeCell ref="A1:I1"/>
    <mergeCell ref="B60:I60"/>
    <mergeCell ref="B61:I61"/>
    <mergeCell ref="B7:I7"/>
    <mergeCell ref="C54:F54"/>
    <mergeCell ref="C57:G57"/>
    <mergeCell ref="C59:H59"/>
    <mergeCell ref="C58:H58"/>
    <mergeCell ref="C56:I56"/>
  </mergeCells>
  <phoneticPr fontId="0" type="noConversion"/>
  <printOptions horizontalCentered="1"/>
  <pageMargins left="0.43" right="0.45" top="0.68" bottom="0.67" header="0.5" footer="0.5"/>
  <pageSetup scale="54" orientation="portrait" r:id="rId1"/>
  <headerFooter alignWithMargins="0">
    <oddHeader xml:space="preserve">&amp;R&amp;8M - Supporting Schedule
</oddHeader>
    <oddFooter>&amp;L&amp;8&amp;D - County model&amp;R&amp;P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2:W159"/>
  <sheetViews>
    <sheetView tabSelected="1" topLeftCell="A11" zoomScaleNormal="100" workbookViewId="0">
      <selection activeCell="C35" sqref="C35:V37"/>
    </sheetView>
  </sheetViews>
  <sheetFormatPr defaultColWidth="9.140625" defaultRowHeight="12.75" x14ac:dyDescent="0.2"/>
  <cols>
    <col min="1" max="1" width="13.140625" style="748" customWidth="1"/>
    <col min="2" max="2" width="55.5703125" style="748" bestFit="1" customWidth="1"/>
    <col min="3" max="3" width="26.85546875" style="748" customWidth="1"/>
    <col min="4" max="4" width="21.42578125" style="748" customWidth="1"/>
    <col min="5" max="5" width="20" style="748" customWidth="1"/>
    <col min="6" max="6" width="25.42578125" style="748" customWidth="1"/>
    <col min="7" max="7" width="18.28515625" style="748" customWidth="1"/>
    <col min="8" max="8" width="20" style="748" customWidth="1"/>
    <col min="9" max="9" width="2.7109375" style="748" customWidth="1"/>
    <col min="10" max="10" width="19.42578125" style="748" customWidth="1"/>
    <col min="11" max="11" width="23" style="748" customWidth="1"/>
    <col min="12" max="12" width="18.28515625" style="748" customWidth="1"/>
    <col min="13" max="13" width="20" style="748" customWidth="1"/>
    <col min="14" max="14" width="2.7109375" style="748" customWidth="1"/>
    <col min="15" max="15" width="19.42578125" style="748" customWidth="1"/>
    <col min="16" max="16" width="20.5703125" style="748" customWidth="1"/>
    <col min="17" max="17" width="13.85546875" style="748" customWidth="1"/>
    <col min="18" max="18" width="22.42578125" style="748" customWidth="1"/>
    <col min="19" max="19" width="2.7109375" style="748" customWidth="1"/>
    <col min="20" max="20" width="13.5703125" style="748" customWidth="1"/>
    <col min="21" max="21" width="26.85546875" style="748" customWidth="1"/>
    <col min="22" max="22" width="16.7109375" style="748" customWidth="1"/>
    <col min="23" max="16384" width="9.140625" style="748"/>
  </cols>
  <sheetData>
    <row r="2" spans="1:5" ht="38.25" customHeight="1" x14ac:dyDescent="0.25">
      <c r="A2" s="1621" t="s">
        <v>2053</v>
      </c>
      <c r="B2" s="1622"/>
      <c r="C2" s="1623"/>
    </row>
    <row r="5" spans="1:5" ht="63" customHeight="1" x14ac:dyDescent="0.2">
      <c r="A5" s="1634" t="s">
        <v>4784</v>
      </c>
      <c r="B5" s="1634"/>
      <c r="C5" s="1634"/>
      <c r="E5" s="699"/>
    </row>
    <row r="11" spans="1:5" ht="15" x14ac:dyDescent="0.2">
      <c r="A11" s="679" t="s">
        <v>547</v>
      </c>
      <c r="B11" s="680" t="s">
        <v>3572</v>
      </c>
      <c r="C11" s="680"/>
      <c r="D11" s="681"/>
    </row>
    <row r="13" spans="1:5" x14ac:dyDescent="0.2">
      <c r="B13" s="224" t="s">
        <v>2054</v>
      </c>
      <c r="C13" s="754" t="s">
        <v>2112</v>
      </c>
    </row>
    <row r="14" spans="1:5" x14ac:dyDescent="0.2">
      <c r="C14" s="341"/>
    </row>
    <row r="15" spans="1:5" x14ac:dyDescent="0.2">
      <c r="B15" s="748" t="s">
        <v>2111</v>
      </c>
      <c r="C15" s="788" t="s">
        <v>2112</v>
      </c>
    </row>
    <row r="16" spans="1:5" x14ac:dyDescent="0.2">
      <c r="C16" s="341"/>
    </row>
    <row r="17" spans="1:22" ht="46.5" customHeight="1" x14ac:dyDescent="0.2">
      <c r="B17" s="759" t="s">
        <v>4804</v>
      </c>
      <c r="C17" s="789"/>
    </row>
    <row r="18" spans="1:22" x14ac:dyDescent="0.2">
      <c r="C18" s="341"/>
    </row>
    <row r="21" spans="1:22" x14ac:dyDescent="0.2">
      <c r="C21" s="748">
        <v>3</v>
      </c>
      <c r="D21" s="748">
        <v>4</v>
      </c>
      <c r="F21" s="748">
        <v>5</v>
      </c>
      <c r="G21" s="748">
        <v>6</v>
      </c>
      <c r="H21" s="748">
        <v>7</v>
      </c>
      <c r="I21" s="748">
        <v>8</v>
      </c>
      <c r="J21" s="748">
        <v>9</v>
      </c>
      <c r="K21" s="748">
        <v>10</v>
      </c>
      <c r="L21" s="748">
        <v>11</v>
      </c>
      <c r="M21" s="748">
        <v>12</v>
      </c>
      <c r="N21" s="748">
        <v>13</v>
      </c>
      <c r="O21" s="748">
        <v>14</v>
      </c>
      <c r="P21" s="748">
        <v>15</v>
      </c>
      <c r="Q21" s="748">
        <v>16</v>
      </c>
      <c r="R21" s="748">
        <v>17</v>
      </c>
      <c r="S21" s="748">
        <v>18</v>
      </c>
      <c r="T21" s="748">
        <v>19</v>
      </c>
      <c r="U21" s="748">
        <v>20</v>
      </c>
      <c r="V21" s="748">
        <v>21</v>
      </c>
    </row>
    <row r="22" spans="1:22" ht="15" x14ac:dyDescent="0.25">
      <c r="F22" s="60"/>
      <c r="G22" s="60"/>
      <c r="J22" s="677" t="s">
        <v>1171</v>
      </c>
      <c r="K22" s="677"/>
      <c r="L22" s="677"/>
      <c r="M22" s="677"/>
      <c r="O22" s="677" t="s">
        <v>1172</v>
      </c>
      <c r="P22" s="677"/>
      <c r="Q22" s="677"/>
      <c r="R22" s="677"/>
      <c r="T22" s="677" t="s">
        <v>1173</v>
      </c>
      <c r="U22" s="677"/>
      <c r="V22" s="677"/>
    </row>
    <row r="23" spans="1:22" ht="105" x14ac:dyDescent="0.25">
      <c r="A23" s="678" t="s">
        <v>1174</v>
      </c>
      <c r="B23" s="678" t="s">
        <v>1175</v>
      </c>
      <c r="C23" s="678" t="s">
        <v>2113</v>
      </c>
      <c r="D23" s="678" t="s">
        <v>2114</v>
      </c>
      <c r="E23" s="678" t="s">
        <v>2115</v>
      </c>
      <c r="F23" s="678" t="s">
        <v>2116</v>
      </c>
      <c r="G23" s="678" t="s">
        <v>2117</v>
      </c>
      <c r="H23" s="678" t="s">
        <v>2118</v>
      </c>
      <c r="I23" s="678"/>
      <c r="J23" s="678" t="s">
        <v>1177</v>
      </c>
      <c r="K23" s="678" t="s">
        <v>1178</v>
      </c>
      <c r="L23" s="678" t="s">
        <v>1179</v>
      </c>
      <c r="M23" s="678" t="s">
        <v>1180</v>
      </c>
      <c r="N23" s="678"/>
      <c r="O23" s="678" t="s">
        <v>1177</v>
      </c>
      <c r="P23" s="678" t="s">
        <v>1178</v>
      </c>
      <c r="Q23" s="678" t="s">
        <v>1179</v>
      </c>
      <c r="R23" s="678" t="s">
        <v>1180</v>
      </c>
      <c r="S23" s="678"/>
      <c r="T23" s="678" t="s">
        <v>1181</v>
      </c>
      <c r="U23" s="678" t="s">
        <v>1182</v>
      </c>
      <c r="V23" s="678" t="s">
        <v>2119</v>
      </c>
    </row>
    <row r="24" spans="1:22" ht="15" x14ac:dyDescent="0.25">
      <c r="A24" s="678"/>
      <c r="B24" s="678"/>
      <c r="C24" s="678"/>
      <c r="D24" s="678"/>
      <c r="E24" s="678"/>
      <c r="F24" s="678"/>
      <c r="G24" s="678"/>
      <c r="H24" s="678"/>
      <c r="I24" s="678"/>
      <c r="J24" s="678"/>
      <c r="K24" s="678"/>
      <c r="L24" s="678"/>
      <c r="M24" s="678"/>
      <c r="N24" s="678"/>
      <c r="O24" s="678"/>
      <c r="P24" s="678"/>
      <c r="Q24" s="678"/>
      <c r="R24" s="678"/>
      <c r="S24" s="678"/>
      <c r="T24" s="678"/>
      <c r="U24" s="678"/>
      <c r="V24" s="678"/>
    </row>
    <row r="25" spans="1:22" s="1196" customFormat="1" ht="30" x14ac:dyDescent="0.25">
      <c r="A25" s="1201" t="s">
        <v>2120</v>
      </c>
      <c r="B25" s="1241" t="s">
        <v>4800</v>
      </c>
      <c r="C25" s="1201"/>
      <c r="D25" s="1201"/>
      <c r="E25" s="1201"/>
      <c r="F25" s="1201"/>
      <c r="G25" s="1201"/>
      <c r="H25" s="1201"/>
      <c r="I25" s="1201"/>
      <c r="J25" s="1201"/>
      <c r="K25" s="1201"/>
      <c r="L25" s="1201"/>
      <c r="M25" s="1201"/>
      <c r="N25" s="1201"/>
      <c r="O25" s="1201"/>
      <c r="P25" s="1201"/>
      <c r="Q25" s="1201"/>
      <c r="R25" s="1201"/>
      <c r="S25" s="1201"/>
      <c r="T25" s="1201"/>
      <c r="U25" s="1201"/>
      <c r="V25" s="1201"/>
    </row>
    <row r="26" spans="1:22" s="1196" customFormat="1" x14ac:dyDescent="0.2">
      <c r="A26" s="701" t="str">
        <f>VLOOKUP($C$13,'2021 LGERS summary'!$B$926:$C$1836,2,FALSE)</f>
        <v>N/A</v>
      </c>
      <c r="B26" s="1196" t="str">
        <f>C13</f>
        <v>No additional agency chosen</v>
      </c>
      <c r="C26" s="760">
        <f>VLOOKUP($A$26,'2021 LGERS summary'!A:U,3,FALSE)</f>
        <v>0</v>
      </c>
      <c r="D26" s="760">
        <f>VLOOKUP($A$26,'2021 LGERS summary'!$A$6:$U$906,4,FALSE)</f>
        <v>0</v>
      </c>
      <c r="E26" s="760">
        <f>C26-D26</f>
        <v>0</v>
      </c>
      <c r="F26" s="36">
        <f>VLOOKUP($A$26,'LGERS Contributions FY 2020'!$A$3:$U$906,3,FALSE)</f>
        <v>0</v>
      </c>
      <c r="G26" s="36">
        <f>+H35</f>
        <v>0</v>
      </c>
      <c r="H26" s="36">
        <f>VLOOKUP($A$26,'2021 LGERS summary'!$A$6:$V$906,5,FALSE)</f>
        <v>0</v>
      </c>
      <c r="I26" s="36"/>
      <c r="J26" s="36">
        <f>VLOOKUP($A$26,'2021 LGERS summary'!$A$6:$V$906,7,FALSE)</f>
        <v>0</v>
      </c>
      <c r="K26" s="36">
        <f>VLOOKUP($A$26,'2021 LGERS summary'!$A$6:$V$906,8,FALSE)</f>
        <v>0</v>
      </c>
      <c r="L26" s="36">
        <f>VLOOKUP($A$26,'2021 LGERS summary'!$A$6:$V$906,9,FALSE)</f>
        <v>0</v>
      </c>
      <c r="M26" s="36">
        <f>VLOOKUP($A$26,'2021 LGERS summary'!$A$6:$V$906,10,FALSE)</f>
        <v>0</v>
      </c>
      <c r="N26" s="36"/>
      <c r="O26" s="36">
        <f>VLOOKUP($A$26,'2021 LGERS summary'!$A$6:$V$906,13,FALSE)</f>
        <v>0</v>
      </c>
      <c r="P26" s="36">
        <f>VLOOKUP($A$26,'2021 LGERS summary'!$A$6:$V$906,14,FALSE)</f>
        <v>0</v>
      </c>
      <c r="Q26" s="36">
        <f>VLOOKUP($A$26,'2021 LGERS summary'!$A$6:$V$906,14,FALSE)</f>
        <v>0</v>
      </c>
      <c r="R26" s="36">
        <f>VLOOKUP($A$26,'2021 LGERS summary'!$A$6:$V$906,16,FALSE)</f>
        <v>0</v>
      </c>
      <c r="S26" s="36"/>
      <c r="T26" s="36">
        <f>VLOOKUP($A$26,'2021 LGERS summary'!$A$6:$V$906,18,FALSE)</f>
        <v>0</v>
      </c>
      <c r="U26" s="36">
        <f>VLOOKUP($A$26,'2021 LGERS summary'!$A$6:$V$906,19,FALSE)</f>
        <v>0</v>
      </c>
      <c r="V26" s="36">
        <f>VLOOKUP($A$26,'2021 LGERS summary'!$A$6:$V$906,20,FALSE)</f>
        <v>0</v>
      </c>
    </row>
    <row r="27" spans="1:22" s="1196" customFormat="1" ht="15" x14ac:dyDescent="0.25">
      <c r="A27" s="1201"/>
      <c r="B27" s="1201"/>
      <c r="C27" s="1201"/>
      <c r="D27" s="1201"/>
      <c r="E27" s="1201"/>
      <c r="F27" s="1201"/>
      <c r="G27" s="1201"/>
      <c r="H27" s="1201"/>
      <c r="I27" s="1201"/>
      <c r="J27" s="1201"/>
      <c r="K27" s="1201"/>
      <c r="L27" s="1201"/>
      <c r="M27" s="1201"/>
      <c r="N27" s="1201"/>
      <c r="O27" s="1201"/>
      <c r="P27" s="1239"/>
      <c r="Q27" s="1201"/>
      <c r="R27" s="1201"/>
      <c r="S27" s="1201"/>
      <c r="T27" s="1201"/>
      <c r="U27" s="1201"/>
      <c r="V27" s="1201"/>
    </row>
    <row r="28" spans="1:22" s="1196" customFormat="1" x14ac:dyDescent="0.2">
      <c r="A28" s="701" t="str">
        <f>VLOOKUP($C$15,'2021 LGERS summary'!$B$926:$C$1836,2,FALSE)</f>
        <v>N/A</v>
      </c>
      <c r="B28" s="761" t="str">
        <f>C15</f>
        <v>No additional agency chosen</v>
      </c>
      <c r="C28" s="760">
        <f>VLOOKUP($A$28,'2021 LGERS summary'!$A$6:$U$906,3,FALSE)</f>
        <v>0</v>
      </c>
      <c r="D28" s="760">
        <f>VLOOKUP($A$28,'2021 LGERS summary'!$A$6:$U$906,4,FALSE)</f>
        <v>0</v>
      </c>
      <c r="E28" s="760">
        <f>C28-D28</f>
        <v>0</v>
      </c>
      <c r="F28" s="36">
        <f>VLOOKUP($A28,'LGERS Contributions FY 2020'!$A:$C,3,FALSE)</f>
        <v>0</v>
      </c>
      <c r="G28" s="36">
        <f>+H37</f>
        <v>0</v>
      </c>
      <c r="H28" s="36">
        <f>VLOOKUP($A$28,'2021 LGERS summary'!$A$6:$V$906,5,FALSE)</f>
        <v>0</v>
      </c>
      <c r="I28" s="36"/>
      <c r="J28" s="36">
        <f>VLOOKUP($A$28,'2021 LGERS summary'!$A$6:$V$906,7,FALSE)</f>
        <v>0</v>
      </c>
      <c r="K28" s="36">
        <f>VLOOKUP($A$28,'2021 LGERS summary'!$A$6:$V$906,8,FALSE)</f>
        <v>0</v>
      </c>
      <c r="L28" s="36">
        <f>VLOOKUP($A$28,'2021 LGERS summary'!$A$6:$V$906,9,FALSE)</f>
        <v>0</v>
      </c>
      <c r="M28" s="36">
        <f>VLOOKUP($A$28,'2021 LGERS summary'!$A$6:$V$906,10,FALSE)</f>
        <v>0</v>
      </c>
      <c r="N28" s="36"/>
      <c r="O28" s="36">
        <f>VLOOKUP($A$28,'2021 LGERS summary'!$A$6:$V$906,13,FALSE)</f>
        <v>0</v>
      </c>
      <c r="P28" s="36">
        <f>VLOOKUP($A$28,'2021 LGERS summary'!$A$6:$V$906,14,FALSE)</f>
        <v>0</v>
      </c>
      <c r="Q28" s="36">
        <f>VLOOKUP($A$28,'2021 LGERS summary'!$A$6:$V$906,14,FALSE)</f>
        <v>0</v>
      </c>
      <c r="R28" s="36">
        <f>VLOOKUP($A$28,'2021 LGERS summary'!$A$6:$V$906,16,FALSE)</f>
        <v>0</v>
      </c>
      <c r="S28" s="36"/>
      <c r="T28" s="36">
        <f>VLOOKUP($A$28,'2021 LGERS summary'!$A$6:$V$906,18,FALSE)</f>
        <v>0</v>
      </c>
      <c r="U28" s="36">
        <f>VLOOKUP($A$28,'2021 LGERS summary'!$A$6:$V$906,19,FALSE)</f>
        <v>0</v>
      </c>
      <c r="V28" s="36">
        <f>VLOOKUP($A$28,'2021 LGERS summary'!$A$6:$V$906,20,FALSE)</f>
        <v>0</v>
      </c>
    </row>
    <row r="29" spans="1:22" s="1196" customFormat="1" ht="15" x14ac:dyDescent="0.25">
      <c r="A29" s="1201"/>
      <c r="B29" s="1201"/>
      <c r="C29" s="1201"/>
      <c r="D29" s="1201"/>
      <c r="E29" s="1201"/>
      <c r="F29" s="1201"/>
      <c r="G29" s="1201"/>
      <c r="H29" s="1201"/>
      <c r="I29" s="1201"/>
      <c r="J29" s="1201"/>
      <c r="K29" s="1201"/>
      <c r="L29" s="1201"/>
      <c r="M29" s="1201"/>
      <c r="N29" s="1201"/>
      <c r="O29" s="1201"/>
      <c r="P29" s="1201"/>
      <c r="Q29" s="1201"/>
      <c r="R29" s="1201"/>
      <c r="S29" s="1201"/>
      <c r="T29" s="1201"/>
      <c r="U29" s="1201"/>
      <c r="V29" s="1201"/>
    </row>
    <row r="30" spans="1:22" s="1196" customFormat="1" x14ac:dyDescent="0.2">
      <c r="B30" s="1196" t="s">
        <v>2121</v>
      </c>
      <c r="C30" s="760">
        <f>C26+C28</f>
        <v>0</v>
      </c>
      <c r="D30" s="760">
        <f>D26+D28</f>
        <v>0</v>
      </c>
      <c r="E30" s="760">
        <f>C30-D30</f>
        <v>0</v>
      </c>
      <c r="F30" s="762">
        <f>F26+F28</f>
        <v>0</v>
      </c>
      <c r="G30" s="762">
        <f>G26+G28</f>
        <v>0</v>
      </c>
      <c r="H30" s="762">
        <f>H26+H28</f>
        <v>0</v>
      </c>
      <c r="I30" s="762"/>
      <c r="J30" s="762">
        <f>J26+J28</f>
        <v>0</v>
      </c>
      <c r="K30" s="762">
        <f>K26+K28</f>
        <v>0</v>
      </c>
      <c r="L30" s="762">
        <f>L26+L28</f>
        <v>0</v>
      </c>
      <c r="M30" s="762">
        <f>M26+M28</f>
        <v>0</v>
      </c>
      <c r="N30" s="762"/>
      <c r="O30" s="762">
        <f>O26+O28</f>
        <v>0</v>
      </c>
      <c r="P30" s="762">
        <f>P26+P28</f>
        <v>0</v>
      </c>
      <c r="Q30" s="762">
        <f>Q26+Q28</f>
        <v>0</v>
      </c>
      <c r="R30" s="762">
        <f>R26+R28</f>
        <v>0</v>
      </c>
      <c r="S30" s="762"/>
      <c r="T30" s="762">
        <f>T26+T28</f>
        <v>0</v>
      </c>
      <c r="U30" s="762">
        <f>U26+U28</f>
        <v>0</v>
      </c>
      <c r="V30" s="762">
        <f>V26+V28</f>
        <v>0</v>
      </c>
    </row>
    <row r="31" spans="1:22" s="1196" customFormat="1" x14ac:dyDescent="0.2"/>
    <row r="32" spans="1:22" s="1196" customFormat="1" x14ac:dyDescent="0.2">
      <c r="A32" s="19"/>
      <c r="B32" s="1196" t="s">
        <v>4830</v>
      </c>
      <c r="F32" s="762">
        <f>+'LGERS Contributions FY 2020'!C1</f>
        <v>627119908</v>
      </c>
      <c r="G32" s="1386">
        <f>+'2020 LGERS summary'!E3</f>
        <v>2730922015</v>
      </c>
      <c r="H32" s="762">
        <f>+'2021 LGERS summary'!E3</f>
        <v>3573425995</v>
      </c>
      <c r="I32" s="762"/>
      <c r="J32" s="762">
        <f>+'2021 LGERS summary'!G3</f>
        <v>451260991</v>
      </c>
      <c r="K32" s="762">
        <f>+'2021 LGERS summary'!H3</f>
        <v>502863984</v>
      </c>
      <c r="L32" s="762">
        <f>+'2021 LGERS summary'!I3</f>
        <v>265932990</v>
      </c>
      <c r="M32" s="762">
        <f>+'2021 LGERS summary'!J3</f>
        <v>46013594</v>
      </c>
      <c r="N32" s="762"/>
      <c r="O32" s="762">
        <f>+'2021 LGERS summary'!M3</f>
        <v>0</v>
      </c>
      <c r="P32" s="762">
        <f>+'2021 LGERS summary'!M3</f>
        <v>0</v>
      </c>
      <c r="Q32" s="762">
        <f>+'2021 LGERS summary'!N3</f>
        <v>0</v>
      </c>
      <c r="R32" s="762">
        <f>+'2021 LGERS summary'!P3</f>
        <v>46013483</v>
      </c>
      <c r="S32" s="762"/>
      <c r="T32" s="762">
        <f>+'2021 LGERS summary'!R3</f>
        <v>1228874981</v>
      </c>
      <c r="U32" s="762">
        <f>'2021 LGERS summary'!S3</f>
        <v>10</v>
      </c>
      <c r="V32" s="762">
        <f>'2021 LGERS summary'!T3</f>
        <v>1228874991</v>
      </c>
    </row>
    <row r="33" spans="1:23" s="1196" customFormat="1" x14ac:dyDescent="0.2">
      <c r="A33" s="19"/>
      <c r="F33" s="762"/>
      <c r="G33" s="762"/>
      <c r="H33" s="762"/>
      <c r="J33" s="762"/>
      <c r="K33" s="762"/>
      <c r="L33" s="762"/>
      <c r="M33" s="762"/>
      <c r="O33" s="762"/>
      <c r="P33" s="762"/>
      <c r="Q33" s="762"/>
      <c r="R33" s="762"/>
      <c r="T33" s="762"/>
      <c r="U33" s="762"/>
      <c r="V33" s="762"/>
    </row>
    <row r="34" spans="1:23" s="1196" customFormat="1" ht="28.5" customHeight="1" x14ac:dyDescent="0.2">
      <c r="A34" s="1240" t="s">
        <v>2122</v>
      </c>
      <c r="B34" s="1242" t="s">
        <v>4779</v>
      </c>
      <c r="F34" s="762"/>
      <c r="G34" s="762"/>
      <c r="H34" s="762"/>
      <c r="J34" s="762"/>
      <c r="K34" s="762"/>
      <c r="L34" s="762"/>
      <c r="M34" s="762"/>
      <c r="O34" s="762"/>
      <c r="P34" s="762"/>
      <c r="Q34" s="762"/>
      <c r="R34" s="762"/>
      <c r="T34" s="762"/>
      <c r="U34" s="762"/>
      <c r="V34" s="762"/>
    </row>
    <row r="35" spans="1:23" s="1196" customFormat="1" x14ac:dyDescent="0.2">
      <c r="A35" s="701" t="str">
        <f>VLOOKUP($C$13,'2019 LGERS summary'!$B$911:$C$1812,2,FALSE)</f>
        <v>N/A</v>
      </c>
      <c r="B35" s="1196" t="str">
        <f>C13</f>
        <v>No additional agency chosen</v>
      </c>
      <c r="C35" s="760">
        <f>VLOOKUP($A$35,'2020 LGERS summary'!$A$6:$U$920,3,FALSE)</f>
        <v>0</v>
      </c>
      <c r="D35" s="760">
        <f>VLOOKUP($A$35,'2020 LGERS summary'!$A$6:$U$920,4,FALSE)</f>
        <v>0</v>
      </c>
      <c r="E35" s="760">
        <f>C35-D35</f>
        <v>0</v>
      </c>
      <c r="F35" s="36">
        <f>VLOOKUP($A35,'LGERS Contributions FY 2019'!A:E,3,FALSE)</f>
        <v>0</v>
      </c>
      <c r="G35" s="36">
        <f>VLOOKUP($A$35,'2019 LGERS summary'!$A$6:$U$920,7,FALSE)</f>
        <v>0</v>
      </c>
      <c r="H35" s="36">
        <f>VLOOKUP($A$26,'2020 LGERS summary'!$A$6:$V$920,5,FALSE)</f>
        <v>0</v>
      </c>
      <c r="I35" s="36"/>
      <c r="J35" s="36">
        <f>VLOOKUP($A$35,'2020 LGERS summary'!$A$6:$U$920,7,FALSE)</f>
        <v>0</v>
      </c>
      <c r="K35" s="36">
        <f>VLOOKUP($A$35,'2020 LGERS summary'!$A$6:$U$920,8,FALSE)</f>
        <v>0</v>
      </c>
      <c r="L35" s="36">
        <f>VLOOKUP($A$26,'2020 LGERS summary'!$A$6:$V$920,9,FALSE)</f>
        <v>0</v>
      </c>
      <c r="M35" s="36">
        <f>VLOOKUP($A$26,'2020 LGERS summary'!$A$6:$V$920,10,FALSE)</f>
        <v>0</v>
      </c>
      <c r="N35" s="36"/>
      <c r="O35" s="36">
        <f>VLOOKUP($A$26,'2020 LGERS summary'!$A$6:$V$920,12,FALSE)</f>
        <v>0</v>
      </c>
      <c r="P35" s="36">
        <f>VLOOKUP($A$26,'2020 LGERS summary'!$A$6:$V$920,13,FALSE)</f>
        <v>0</v>
      </c>
      <c r="Q35" s="36">
        <f>VLOOKUP($A$26,'2020 LGERS summary'!$A$6:$V$920,14,FALSE)</f>
        <v>0</v>
      </c>
      <c r="R35" s="36">
        <f>VLOOKUP($A$26,'2020 LGERS summary'!$A$6:$V$920,15,FALSE)</f>
        <v>0</v>
      </c>
      <c r="S35" s="36"/>
      <c r="T35" s="36">
        <f>VLOOKUP($A$26,'2020 LGERS summary'!$A$6:$V$920,18,FALSE)</f>
        <v>0</v>
      </c>
      <c r="U35" s="36">
        <f>VLOOKUP($A$26,'2020 LGERS summary'!$A$6:$V$920,19,FALSE)</f>
        <v>0</v>
      </c>
      <c r="V35" s="36">
        <f>VLOOKUP($A$26,'2020 LGERS summary'!$A$6:$V$920,20,FALSE)</f>
        <v>0</v>
      </c>
    </row>
    <row r="36" spans="1:23" s="1196" customFormat="1" x14ac:dyDescent="0.2">
      <c r="A36" s="19"/>
      <c r="C36" s="760"/>
      <c r="E36" s="760"/>
      <c r="F36" s="762"/>
      <c r="G36" s="762"/>
      <c r="H36" s="762"/>
      <c r="J36" s="762"/>
      <c r="K36" s="762"/>
      <c r="L36" s="762"/>
      <c r="M36" s="762"/>
      <c r="O36" s="762"/>
      <c r="P36" s="762"/>
      <c r="Q36" s="762"/>
      <c r="R36" s="762"/>
      <c r="T36" s="762"/>
      <c r="U36" s="762"/>
      <c r="V36" s="762"/>
    </row>
    <row r="37" spans="1:23" s="1196" customFormat="1" x14ac:dyDescent="0.2">
      <c r="A37" s="701" t="str">
        <f>VLOOKUP($C$15,'2019 LGERS summary'!$B$906:$C$1812,2,FALSE)</f>
        <v>N/A</v>
      </c>
      <c r="B37" s="764" t="str">
        <f>C15</f>
        <v>No additional agency chosen</v>
      </c>
      <c r="C37" s="760">
        <f>VLOOKUP($A$37,'2020 LGERS summary'!$A$6:$U$920,3,FALSE)</f>
        <v>0</v>
      </c>
      <c r="D37" s="760">
        <f>VLOOKUP($A$37,'2020 LGERS summary'!$A$6:$U$920,4,FALSE)</f>
        <v>0</v>
      </c>
      <c r="E37" s="760">
        <f t="shared" ref="E37" si="0">C37-D37</f>
        <v>0</v>
      </c>
      <c r="F37" s="94">
        <f>VLOOKUP($A37,'LGERS Contributions FY 2019'!A:E,3,FALSE)</f>
        <v>0</v>
      </c>
      <c r="G37" s="36">
        <f>VLOOKUP($A$37,'2019 LGERS summary'!$A$6:$U$920,7,FALSE)</f>
        <v>0</v>
      </c>
      <c r="H37" s="36">
        <f>VLOOKUP($A$28,'2020 LGERS summary'!$A$6:$V$920,5,FALSE)</f>
        <v>0</v>
      </c>
      <c r="I37" s="36"/>
      <c r="J37" s="36">
        <f>VLOOKUP($A$37,'2020 LGERS summary'!$A$6:$U$920,7,FALSE)</f>
        <v>0</v>
      </c>
      <c r="K37" s="36">
        <f>VLOOKUP($A$37,'2020 LGERS summary'!$A$6:$U$920,8,FALSE)</f>
        <v>0</v>
      </c>
      <c r="L37" s="36">
        <f>VLOOKUP($A$28,'2020 LGERS summary'!$A$6:$V$920,9,FALSE)</f>
        <v>0</v>
      </c>
      <c r="M37" s="36">
        <f>VLOOKUP($A$28,'2020 LGERS summary'!$A$6:$V$920,10,FALSE)</f>
        <v>0</v>
      </c>
      <c r="N37" s="36"/>
      <c r="O37" s="36">
        <f>VLOOKUP($A$28,'2020 LGERS summary'!$A$6:$V$920,12,FALSE)</f>
        <v>0</v>
      </c>
      <c r="P37" s="36">
        <f>VLOOKUP($A$28,'2020 LGERS summary'!$A$6:$V$920,13,FALSE)</f>
        <v>0</v>
      </c>
      <c r="Q37" s="36">
        <f>VLOOKUP($A$28,'2020 LGERS summary'!$A$6:$V$920,14,FALSE)</f>
        <v>0</v>
      </c>
      <c r="R37" s="36">
        <f>VLOOKUP($A$28,'2020 LGERS summary'!$A$6:$V$920,15,FALSE)</f>
        <v>0</v>
      </c>
      <c r="S37" s="36"/>
      <c r="T37" s="36">
        <f>VLOOKUP($A$28,'2020 LGERS summary'!$A$6:$V$920,18,FALSE)</f>
        <v>0</v>
      </c>
      <c r="U37" s="36">
        <f>VLOOKUP($A$28,'2020 LGERS summary'!$A$6:$V$920,19,FALSE)</f>
        <v>0</v>
      </c>
      <c r="V37" s="36">
        <f>VLOOKUP($A$28,'2020 LGERS summary'!$A$6:$V$920,20,FALSE)</f>
        <v>0</v>
      </c>
    </row>
    <row r="38" spans="1:23" s="1196" customFormat="1" ht="15" x14ac:dyDescent="0.25">
      <c r="A38" s="763"/>
      <c r="F38" s="762"/>
      <c r="G38" s="762"/>
      <c r="H38" s="762"/>
      <c r="J38" s="762"/>
      <c r="K38" s="762"/>
      <c r="L38" s="762"/>
      <c r="M38" s="762"/>
      <c r="O38" s="762"/>
      <c r="P38" s="762"/>
      <c r="Q38" s="762"/>
      <c r="R38" s="762"/>
      <c r="T38" s="762"/>
      <c r="U38" s="762"/>
      <c r="V38" s="762"/>
    </row>
    <row r="39" spans="1:23" s="1196" customFormat="1" x14ac:dyDescent="0.2">
      <c r="A39" s="19"/>
      <c r="B39" s="1196" t="s">
        <v>2121</v>
      </c>
      <c r="C39" s="760">
        <f>C35+C37</f>
        <v>0</v>
      </c>
      <c r="D39" s="760">
        <f>D35+D37</f>
        <v>0</v>
      </c>
      <c r="E39" s="760">
        <f>C39-D39</f>
        <v>0</v>
      </c>
      <c r="F39" s="762">
        <f>F35+F37</f>
        <v>0</v>
      </c>
      <c r="G39" s="762">
        <f>G35+G37</f>
        <v>0</v>
      </c>
      <c r="H39" s="762">
        <f>H35+H37</f>
        <v>0</v>
      </c>
      <c r="I39" s="762"/>
      <c r="J39" s="762">
        <f>J35+J37</f>
        <v>0</v>
      </c>
      <c r="K39" s="762">
        <f>K35+K37</f>
        <v>0</v>
      </c>
      <c r="L39" s="762">
        <f>L35+L37</f>
        <v>0</v>
      </c>
      <c r="M39" s="762">
        <f>M35+M37</f>
        <v>0</v>
      </c>
      <c r="N39" s="762"/>
      <c r="O39" s="762">
        <f>O35+O37</f>
        <v>0</v>
      </c>
      <c r="P39" s="762">
        <f>P35+P37</f>
        <v>0</v>
      </c>
      <c r="Q39" s="762">
        <f>Q35+Q37</f>
        <v>0</v>
      </c>
      <c r="R39" s="762">
        <f>R35+R37</f>
        <v>0</v>
      </c>
      <c r="S39" s="762"/>
      <c r="T39" s="762">
        <f>T35+T37</f>
        <v>0</v>
      </c>
      <c r="U39" s="762">
        <f>U35+U37</f>
        <v>0</v>
      </c>
      <c r="V39" s="762">
        <f>V35+V37</f>
        <v>0</v>
      </c>
    </row>
    <row r="40" spans="1:23" s="1196" customFormat="1" x14ac:dyDescent="0.2">
      <c r="A40" s="19"/>
      <c r="F40" s="762"/>
      <c r="G40" s="762"/>
      <c r="H40" s="762"/>
      <c r="J40" s="762"/>
      <c r="K40" s="762"/>
      <c r="L40" s="762"/>
      <c r="M40" s="762"/>
      <c r="O40" s="762"/>
      <c r="P40" s="762"/>
      <c r="Q40" s="762"/>
      <c r="R40" s="762"/>
      <c r="T40" s="762"/>
      <c r="U40" s="762"/>
      <c r="V40" s="762"/>
    </row>
    <row r="41" spans="1:23" s="1307" customFormat="1" x14ac:dyDescent="0.2">
      <c r="A41" s="19"/>
      <c r="B41" s="1307" t="s">
        <v>4831</v>
      </c>
      <c r="F41" s="1386">
        <f>'LGERS Contributions FY 2019'!C1</f>
        <v>528347298</v>
      </c>
      <c r="G41" s="1386">
        <f>+'2019 LGERS summary'!G908</f>
        <v>2372341991</v>
      </c>
      <c r="H41" s="1386">
        <f>'2020 LGERS summary'!E3</f>
        <v>2730922015</v>
      </c>
      <c r="I41" s="1386"/>
      <c r="J41" s="1386">
        <f>'2020 LGERS summary'!G3</f>
        <v>467603002</v>
      </c>
      <c r="K41" s="1386">
        <f>'2020 LGERS summary'!H3</f>
        <v>66610997</v>
      </c>
      <c r="L41" s="1386">
        <f>'2020 LGERS summary'!I3</f>
        <v>445095014</v>
      </c>
      <c r="M41" s="1386">
        <f>'2020 LGERS summary'!J3</f>
        <v>38373065</v>
      </c>
      <c r="N41" s="1386"/>
      <c r="O41" s="1386">
        <f>'2020 LGERS summary'!M3</f>
        <v>0</v>
      </c>
      <c r="P41" s="1386">
        <f>'2020 LGERS summary'!N3</f>
        <v>0</v>
      </c>
      <c r="Q41" s="1386">
        <f>'2020 LGERS summary'!N3</f>
        <v>0</v>
      </c>
      <c r="R41" s="1386">
        <f>'2020 LGERS summary'!P3</f>
        <v>38372960</v>
      </c>
      <c r="S41" s="1386"/>
      <c r="T41" s="1386">
        <f>'2020 LGERS summary'!R3</f>
        <v>1216512993</v>
      </c>
      <c r="U41" s="1386">
        <f>'2020 LGERS summary'!S3</f>
        <v>24</v>
      </c>
      <c r="V41" s="1386">
        <f>'2020 LGERS summary'!T3</f>
        <v>1216513017</v>
      </c>
      <c r="W41" s="1386"/>
    </row>
    <row r="42" spans="1:23" s="1196" customFormat="1" x14ac:dyDescent="0.2">
      <c r="C42" s="36"/>
      <c r="D42" s="36"/>
      <c r="E42" s="36"/>
      <c r="F42" s="36"/>
      <c r="G42" s="36"/>
      <c r="H42" s="36"/>
      <c r="I42" s="36"/>
      <c r="J42" s="36"/>
      <c r="K42" s="36"/>
      <c r="L42" s="36"/>
      <c r="M42" s="36"/>
      <c r="N42" s="36"/>
      <c r="O42" s="36"/>
      <c r="P42" s="36"/>
      <c r="Q42" s="36"/>
      <c r="R42" s="36"/>
      <c r="S42" s="36"/>
      <c r="U42" s="5"/>
      <c r="V42" s="5"/>
    </row>
    <row r="43" spans="1:23" s="1196" customFormat="1" ht="25.5" x14ac:dyDescent="0.2">
      <c r="J43" s="1195" t="s">
        <v>3573</v>
      </c>
      <c r="K43" s="5">
        <f>K39-P39</f>
        <v>0</v>
      </c>
    </row>
    <row r="44" spans="1:23" s="14" customFormat="1" ht="15" x14ac:dyDescent="0.25">
      <c r="A44" s="830"/>
      <c r="B44" s="826"/>
      <c r="C44" s="785"/>
      <c r="D44" s="785"/>
      <c r="E44" s="785"/>
      <c r="F44" s="47"/>
      <c r="G44" s="47"/>
      <c r="H44" s="47"/>
      <c r="I44" s="785"/>
      <c r="J44" s="47"/>
      <c r="K44" s="47"/>
      <c r="L44" s="47"/>
      <c r="M44" s="47"/>
      <c r="N44" s="785"/>
      <c r="O44" s="48"/>
      <c r="Q44" s="48"/>
      <c r="R44" s="48"/>
      <c r="S44" s="48"/>
      <c r="U44" s="48"/>
      <c r="V44" s="48"/>
    </row>
    <row r="45" spans="1:23" hidden="1" x14ac:dyDescent="0.2">
      <c r="A45" s="830"/>
      <c r="B45" s="785" t="s">
        <v>3574</v>
      </c>
      <c r="C45" s="785"/>
      <c r="D45" s="10">
        <f>G30</f>
        <v>0</v>
      </c>
      <c r="E45" s="827"/>
      <c r="F45" s="47"/>
      <c r="G45" s="47"/>
      <c r="H45" s="47"/>
      <c r="I45" s="785"/>
      <c r="J45" s="47"/>
      <c r="K45" s="47"/>
      <c r="L45" s="47"/>
      <c r="M45" s="47"/>
      <c r="N45" s="785"/>
    </row>
    <row r="46" spans="1:23" ht="15" hidden="1" x14ac:dyDescent="0.25">
      <c r="A46" s="830"/>
      <c r="B46" s="785" t="s">
        <v>3575</v>
      </c>
      <c r="C46" s="785"/>
      <c r="D46" s="10"/>
      <c r="E46" s="827">
        <f>H30</f>
        <v>0</v>
      </c>
      <c r="F46" s="1021"/>
      <c r="G46" s="47"/>
      <c r="H46" s="785"/>
      <c r="I46" s="47"/>
      <c r="J46" s="47"/>
      <c r="K46" s="47"/>
      <c r="L46" s="47"/>
      <c r="M46" s="785"/>
      <c r="N46" s="47"/>
    </row>
    <row r="47" spans="1:23" hidden="1" x14ac:dyDescent="0.2">
      <c r="A47" s="830"/>
      <c r="B47" s="785" t="s">
        <v>3576</v>
      </c>
      <c r="C47" s="785"/>
      <c r="D47" s="10">
        <f>V30</f>
        <v>0</v>
      </c>
      <c r="E47" s="827"/>
      <c r="F47" s="47"/>
      <c r="G47" s="47"/>
      <c r="H47" s="785"/>
      <c r="I47" s="47"/>
      <c r="J47" s="47"/>
      <c r="K47" s="47"/>
      <c r="L47" s="47"/>
      <c r="M47" s="785"/>
      <c r="N47" s="47"/>
    </row>
    <row r="48" spans="1:23" hidden="1" x14ac:dyDescent="0.2">
      <c r="A48" s="830"/>
      <c r="B48" s="785" t="s">
        <v>3577</v>
      </c>
      <c r="C48" s="785"/>
      <c r="D48" s="10"/>
      <c r="E48" s="827">
        <f>J39</f>
        <v>0</v>
      </c>
      <c r="F48" s="47"/>
      <c r="G48" s="47"/>
      <c r="H48" s="785"/>
      <c r="I48" s="47"/>
      <c r="J48" s="47"/>
      <c r="K48" s="47"/>
      <c r="L48" s="47"/>
      <c r="M48" s="785"/>
      <c r="N48" s="47"/>
    </row>
    <row r="49" spans="1:14" hidden="1" x14ac:dyDescent="0.2">
      <c r="A49" s="830"/>
      <c r="B49" s="785" t="s">
        <v>3578</v>
      </c>
      <c r="C49" s="785"/>
      <c r="D49" s="10"/>
      <c r="E49" s="827">
        <f>IF(K39-P39&gt;0,K39-P39,0)</f>
        <v>0</v>
      </c>
      <c r="F49" s="47"/>
      <c r="G49" s="47"/>
      <c r="H49" s="785"/>
      <c r="I49" s="47"/>
      <c r="J49" s="47"/>
      <c r="K49" s="47"/>
      <c r="L49" s="47"/>
      <c r="M49" s="785"/>
      <c r="N49" s="47"/>
    </row>
    <row r="50" spans="1:14" hidden="1" x14ac:dyDescent="0.2">
      <c r="A50" s="830"/>
      <c r="B50" s="785" t="s">
        <v>3579</v>
      </c>
      <c r="C50" s="785"/>
      <c r="D50" s="10"/>
      <c r="E50" s="827">
        <f>L39</f>
        <v>0</v>
      </c>
      <c r="F50" s="133"/>
      <c r="G50" s="133"/>
      <c r="H50" s="133"/>
      <c r="I50" s="133"/>
      <c r="J50" s="133"/>
      <c r="K50" s="133"/>
      <c r="L50" s="133"/>
      <c r="M50" s="133"/>
      <c r="N50" s="133"/>
    </row>
    <row r="51" spans="1:14" hidden="1" x14ac:dyDescent="0.2">
      <c r="A51" s="830"/>
      <c r="B51" s="787" t="s">
        <v>3580</v>
      </c>
      <c r="C51" s="785"/>
      <c r="D51" s="10"/>
      <c r="E51" s="827">
        <f>M39</f>
        <v>0</v>
      </c>
      <c r="F51" s="133"/>
      <c r="G51" s="133"/>
      <c r="H51" s="133"/>
      <c r="I51" s="133"/>
      <c r="J51" s="133"/>
      <c r="K51" s="133"/>
      <c r="L51" s="133"/>
      <c r="M51" s="133"/>
      <c r="N51" s="133"/>
    </row>
    <row r="52" spans="1:14" hidden="1" x14ac:dyDescent="0.2">
      <c r="A52" s="830"/>
      <c r="B52" s="787" t="s">
        <v>3581</v>
      </c>
      <c r="C52" s="785"/>
      <c r="D52" s="10">
        <f>O39</f>
        <v>0</v>
      </c>
      <c r="E52" s="145"/>
      <c r="F52" s="751"/>
      <c r="G52" s="751"/>
      <c r="H52" s="751"/>
      <c r="I52" s="785"/>
      <c r="J52" s="765"/>
      <c r="K52" s="785"/>
      <c r="L52" s="785"/>
      <c r="M52" s="785"/>
      <c r="N52" s="785"/>
    </row>
    <row r="53" spans="1:14" hidden="1" x14ac:dyDescent="0.2">
      <c r="A53" s="830"/>
      <c r="B53" s="785" t="s">
        <v>3582</v>
      </c>
      <c r="C53" s="785"/>
      <c r="D53" s="10">
        <f>IF(P39-K39&gt;0,P39-K39,0)</f>
        <v>0</v>
      </c>
      <c r="E53" s="827"/>
      <c r="F53" s="751"/>
      <c r="G53" s="751"/>
      <c r="H53" s="751"/>
      <c r="I53" s="785"/>
      <c r="J53" s="765"/>
      <c r="K53" s="785"/>
      <c r="L53" s="785"/>
      <c r="M53" s="785"/>
      <c r="N53" s="785"/>
    </row>
    <row r="54" spans="1:14" ht="15" hidden="1" x14ac:dyDescent="0.25">
      <c r="A54" s="830"/>
      <c r="B54" s="829" t="s">
        <v>3583</v>
      </c>
      <c r="C54" s="828"/>
      <c r="D54" s="834">
        <f>Q39</f>
        <v>0</v>
      </c>
      <c r="E54" s="834"/>
      <c r="F54" s="831"/>
      <c r="G54" s="831"/>
      <c r="H54" s="831"/>
      <c r="I54" s="831"/>
      <c r="J54" s="831"/>
      <c r="K54" s="831"/>
      <c r="L54" s="831"/>
      <c r="M54" s="831"/>
      <c r="N54" s="831"/>
    </row>
    <row r="55" spans="1:14" hidden="1" x14ac:dyDescent="0.2">
      <c r="A55" s="830"/>
      <c r="B55" s="829" t="s">
        <v>3584</v>
      </c>
      <c r="C55" s="828"/>
      <c r="D55" s="834">
        <f>R39</f>
        <v>0</v>
      </c>
      <c r="E55" s="834"/>
      <c r="F55" s="683"/>
      <c r="G55" s="683"/>
      <c r="H55" s="683"/>
      <c r="I55" s="785"/>
      <c r="J55" s="785"/>
      <c r="K55" s="785"/>
      <c r="L55" s="785"/>
      <c r="M55" s="785"/>
      <c r="N55" s="785"/>
    </row>
    <row r="56" spans="1:14" hidden="1" x14ac:dyDescent="0.2">
      <c r="A56" s="830"/>
      <c r="B56" s="785" t="s">
        <v>3585</v>
      </c>
      <c r="C56" s="828"/>
      <c r="D56" s="834">
        <f>J30</f>
        <v>0</v>
      </c>
      <c r="E56" s="834"/>
      <c r="F56" s="785"/>
      <c r="G56" s="785"/>
      <c r="H56" s="785"/>
      <c r="I56" s="785"/>
      <c r="J56" s="785"/>
      <c r="K56" s="785"/>
      <c r="L56" s="785"/>
      <c r="M56" s="785"/>
      <c r="N56" s="785"/>
    </row>
    <row r="57" spans="1:14" hidden="1" x14ac:dyDescent="0.2">
      <c r="A57" s="830"/>
      <c r="B57" s="785" t="s">
        <v>3586</v>
      </c>
      <c r="C57" s="828"/>
      <c r="D57" s="834">
        <f>IF(K30-P30&gt;0,K30-P30,0)</f>
        <v>0</v>
      </c>
      <c r="E57" s="834"/>
      <c r="F57" s="824"/>
      <c r="G57" s="824"/>
      <c r="H57" s="824"/>
      <c r="I57" s="785"/>
      <c r="J57" s="785"/>
      <c r="K57" s="785"/>
      <c r="L57" s="785"/>
      <c r="M57" s="785"/>
      <c r="N57" s="785"/>
    </row>
    <row r="58" spans="1:14" hidden="1" x14ac:dyDescent="0.2">
      <c r="A58" s="830"/>
      <c r="B58" s="785" t="s">
        <v>3587</v>
      </c>
      <c r="C58" s="828"/>
      <c r="D58" s="834">
        <f>L30</f>
        <v>0</v>
      </c>
      <c r="E58" s="145"/>
      <c r="F58" s="785"/>
      <c r="G58" s="785"/>
      <c r="H58" s="785"/>
      <c r="I58" s="785"/>
      <c r="J58" s="785"/>
      <c r="K58" s="785"/>
      <c r="L58" s="785"/>
      <c r="M58" s="785"/>
      <c r="N58" s="785"/>
    </row>
    <row r="59" spans="1:14" ht="15" hidden="1" x14ac:dyDescent="0.25">
      <c r="A59" s="830"/>
      <c r="B59" s="787" t="s">
        <v>3588</v>
      </c>
      <c r="C59" s="828"/>
      <c r="D59" s="834">
        <f>M30</f>
        <v>0</v>
      </c>
      <c r="E59" s="145"/>
      <c r="F59" s="825"/>
      <c r="G59" s="825"/>
      <c r="H59" s="825"/>
      <c r="I59" s="826"/>
      <c r="J59" s="826"/>
      <c r="K59" s="826"/>
      <c r="L59" s="826"/>
      <c r="M59" s="826"/>
      <c r="N59" s="826"/>
    </row>
    <row r="60" spans="1:14" hidden="1" x14ac:dyDescent="0.2">
      <c r="A60" s="830"/>
      <c r="B60" s="787" t="s">
        <v>3589</v>
      </c>
      <c r="C60" s="828"/>
      <c r="D60" s="834"/>
      <c r="E60" s="145">
        <f>O30</f>
        <v>0</v>
      </c>
      <c r="F60" s="785"/>
      <c r="G60" s="785"/>
      <c r="H60" s="785"/>
      <c r="I60" s="785"/>
      <c r="J60" s="785"/>
      <c r="K60" s="785"/>
      <c r="L60" s="785"/>
      <c r="M60" s="785"/>
      <c r="N60" s="785"/>
    </row>
    <row r="61" spans="1:14" hidden="1" x14ac:dyDescent="0.2">
      <c r="A61" s="830"/>
      <c r="B61" s="785" t="s">
        <v>3590</v>
      </c>
      <c r="C61" s="785"/>
      <c r="D61" s="10"/>
      <c r="E61" s="827">
        <f>IF(P30-K30&gt;0,P30-K30,0)</f>
        <v>0</v>
      </c>
      <c r="F61" s="785"/>
      <c r="G61" s="785"/>
      <c r="H61" s="785"/>
      <c r="I61" s="785"/>
      <c r="J61" s="785"/>
      <c r="K61" s="785"/>
      <c r="L61" s="824"/>
      <c r="M61" s="785"/>
      <c r="N61" s="785"/>
    </row>
    <row r="62" spans="1:14" hidden="1" x14ac:dyDescent="0.2">
      <c r="A62" s="830"/>
      <c r="B62" s="829" t="s">
        <v>3591</v>
      </c>
      <c r="C62" s="785"/>
      <c r="D62" s="10"/>
      <c r="E62" s="827">
        <f>Q30</f>
        <v>0</v>
      </c>
      <c r="F62" s="785"/>
      <c r="G62" s="785"/>
      <c r="H62" s="785"/>
      <c r="I62" s="785"/>
      <c r="J62" s="785"/>
      <c r="K62" s="785"/>
      <c r="L62" s="824"/>
      <c r="M62" s="785"/>
      <c r="N62" s="785"/>
    </row>
    <row r="63" spans="1:14" hidden="1" x14ac:dyDescent="0.2">
      <c r="A63" s="830"/>
      <c r="B63" s="829" t="s">
        <v>3592</v>
      </c>
      <c r="C63" s="785"/>
      <c r="D63" s="10"/>
      <c r="E63" s="827">
        <f>R30</f>
        <v>0</v>
      </c>
      <c r="F63" s="785"/>
      <c r="G63" s="785"/>
      <c r="H63" s="785"/>
      <c r="I63" s="785"/>
      <c r="J63" s="785"/>
      <c r="K63" s="785"/>
      <c r="L63" s="683"/>
      <c r="M63" s="785"/>
      <c r="N63" s="785"/>
    </row>
    <row r="64" spans="1:14" hidden="1" x14ac:dyDescent="0.2">
      <c r="A64" s="830"/>
      <c r="B64" s="785" t="s">
        <v>3593</v>
      </c>
      <c r="C64" s="785"/>
      <c r="D64" s="10"/>
      <c r="E64" s="827">
        <f>C17</f>
        <v>0</v>
      </c>
      <c r="F64" s="785"/>
      <c r="G64" s="785"/>
      <c r="H64" s="785"/>
      <c r="I64" s="785"/>
      <c r="J64" s="785"/>
      <c r="K64" s="785"/>
      <c r="L64" s="824"/>
      <c r="M64" s="785"/>
      <c r="N64" s="785"/>
    </row>
    <row r="65" spans="1:15" hidden="1" x14ac:dyDescent="0.2">
      <c r="A65" s="830"/>
      <c r="B65" s="785" t="s">
        <v>3594</v>
      </c>
      <c r="C65" s="785"/>
      <c r="D65" s="10">
        <f>IF(C17-F30&gt;0,C17-F30,0)</f>
        <v>0</v>
      </c>
      <c r="E65" s="827">
        <f>IF(F30-C17&gt;0,F30-C17,0)</f>
        <v>0</v>
      </c>
      <c r="F65" s="824"/>
      <c r="G65" s="824"/>
      <c r="H65" s="824"/>
      <c r="I65" s="824"/>
      <c r="J65" s="824"/>
      <c r="K65" s="824"/>
      <c r="L65" s="824"/>
      <c r="M65" s="683"/>
      <c r="N65" s="824"/>
    </row>
    <row r="66" spans="1:15" hidden="1" x14ac:dyDescent="0.2">
      <c r="A66" s="830"/>
      <c r="B66" s="785" t="s">
        <v>3595</v>
      </c>
      <c r="C66" s="785"/>
      <c r="D66" s="10">
        <f>IF(SUM(E45:E65)&gt;SUM(D45:D65),SUM(E45:E65)-SUM(D45:D65),0)</f>
        <v>0</v>
      </c>
      <c r="E66" s="827">
        <f>IF(SUM(D45:D65)&gt;SUM(E45:E65),SUM(D45:D65)-SUM(E45:E65),0)</f>
        <v>0</v>
      </c>
      <c r="F66" s="785"/>
      <c r="G66" s="785"/>
      <c r="H66" s="785"/>
      <c r="I66" s="785"/>
      <c r="J66" s="785"/>
      <c r="K66" s="785"/>
      <c r="L66" s="785"/>
      <c r="M66" s="785"/>
      <c r="N66" s="785"/>
    </row>
    <row r="67" spans="1:15" hidden="1" x14ac:dyDescent="0.2">
      <c r="A67" s="830"/>
      <c r="B67" s="785"/>
      <c r="C67" s="785"/>
      <c r="D67" s="10">
        <f>SUM(D45:D66)</f>
        <v>0</v>
      </c>
      <c r="E67" s="10">
        <f>SUM(E45:E66)</f>
        <v>0</v>
      </c>
      <c r="F67" s="683"/>
      <c r="G67" s="683"/>
      <c r="H67" s="683"/>
      <c r="I67" s="683"/>
      <c r="J67" s="683"/>
      <c r="K67" s="683"/>
      <c r="L67" s="683"/>
      <c r="M67" s="683"/>
      <c r="N67" s="683"/>
    </row>
    <row r="68" spans="1:15" x14ac:dyDescent="0.2">
      <c r="A68" s="830"/>
      <c r="B68" s="785"/>
      <c r="C68" s="785"/>
      <c r="D68" s="785"/>
      <c r="E68" s="785"/>
      <c r="F68" s="785"/>
      <c r="G68" s="785"/>
      <c r="H68" s="785"/>
      <c r="I68" s="785"/>
      <c r="J68" s="785"/>
      <c r="K68" s="785"/>
      <c r="L68" s="785"/>
      <c r="M68" s="785"/>
      <c r="N68" s="785"/>
    </row>
    <row r="69" spans="1:15" ht="15" x14ac:dyDescent="0.25">
      <c r="A69" s="830"/>
      <c r="B69" s="826"/>
      <c r="C69" s="825"/>
      <c r="D69" s="825"/>
      <c r="E69" s="825"/>
      <c r="F69" s="825"/>
      <c r="G69" s="825"/>
      <c r="H69" s="825"/>
      <c r="I69" s="825"/>
      <c r="J69" s="825"/>
      <c r="K69" s="825"/>
      <c r="L69" s="825"/>
      <c r="M69" s="825"/>
      <c r="N69" s="825"/>
    </row>
    <row r="70" spans="1:15" x14ac:dyDescent="0.2">
      <c r="A70" s="830"/>
      <c r="B70" s="785"/>
      <c r="C70" s="785"/>
      <c r="D70" s="785"/>
      <c r="E70" s="47"/>
      <c r="F70" s="47"/>
      <c r="G70" s="47"/>
      <c r="H70" s="785"/>
      <c r="I70" s="47"/>
      <c r="J70" s="47"/>
      <c r="K70" s="47"/>
      <c r="L70" s="47"/>
      <c r="M70" s="785"/>
      <c r="N70" s="47"/>
    </row>
    <row r="71" spans="1:15" ht="15" x14ac:dyDescent="0.25">
      <c r="A71" s="830"/>
      <c r="B71" s="826"/>
      <c r="C71" s="785"/>
      <c r="D71" s="785"/>
      <c r="E71" s="47"/>
      <c r="F71" s="47"/>
      <c r="G71" s="47"/>
      <c r="H71" s="785"/>
      <c r="I71" s="47"/>
      <c r="J71" s="47"/>
      <c r="K71" s="47"/>
      <c r="L71" s="47"/>
      <c r="M71" s="785"/>
      <c r="N71" s="47"/>
    </row>
    <row r="72" spans="1:15" x14ac:dyDescent="0.2">
      <c r="A72" s="687" t="s">
        <v>548</v>
      </c>
      <c r="B72" s="1635" t="s">
        <v>2059</v>
      </c>
      <c r="C72" s="1636"/>
      <c r="D72" s="1636"/>
      <c r="E72" s="1636"/>
      <c r="F72" s="1636"/>
      <c r="G72" s="1636"/>
      <c r="H72" s="1636"/>
      <c r="I72" s="1637"/>
      <c r="J72" s="133"/>
      <c r="K72" s="133"/>
      <c r="L72" s="133"/>
      <c r="M72" s="133"/>
      <c r="N72" s="133"/>
      <c r="O72" s="133"/>
    </row>
    <row r="73" spans="1:15" x14ac:dyDescent="0.2">
      <c r="A73" s="687"/>
      <c r="B73" s="688"/>
      <c r="C73" s="688"/>
      <c r="D73" s="688"/>
      <c r="E73" s="688"/>
      <c r="F73" s="688"/>
      <c r="G73" s="688"/>
      <c r="H73" s="688"/>
      <c r="I73" s="688"/>
      <c r="J73" s="133"/>
      <c r="K73" s="133"/>
      <c r="L73" s="133"/>
      <c r="M73" s="133"/>
      <c r="N73" s="133"/>
      <c r="O73" s="133"/>
    </row>
    <row r="74" spans="1:15" s="160" customFormat="1" ht="15" x14ac:dyDescent="0.25">
      <c r="A74" s="1243"/>
      <c r="B74" s="1638" t="s">
        <v>4795</v>
      </c>
      <c r="C74" s="1639"/>
      <c r="D74" s="1639"/>
      <c r="E74" s="1640"/>
      <c r="F74" s="1244"/>
      <c r="G74" s="1244"/>
      <c r="H74" s="1244"/>
      <c r="I74" s="1244"/>
      <c r="J74" s="1245"/>
      <c r="K74" s="1245"/>
      <c r="L74" s="1245"/>
      <c r="M74" s="1245"/>
      <c r="N74" s="1245"/>
      <c r="O74" s="1245"/>
    </row>
    <row r="75" spans="1:15" x14ac:dyDescent="0.2">
      <c r="A75" s="685"/>
      <c r="B75" s="732" t="s">
        <v>2060</v>
      </c>
      <c r="C75" s="1161">
        <f>'J. Other Liability &amp; Expenses'!L159</f>
        <v>0</v>
      </c>
      <c r="D75" s="688"/>
      <c r="E75" s="733"/>
      <c r="G75" s="749"/>
      <c r="H75" s="749"/>
      <c r="I75" s="749"/>
      <c r="J75" s="749"/>
      <c r="K75" s="749"/>
      <c r="L75" s="749"/>
      <c r="M75" s="749"/>
      <c r="N75" s="749"/>
      <c r="O75" s="749"/>
    </row>
    <row r="76" spans="1:15" x14ac:dyDescent="0.2">
      <c r="A76" s="685"/>
      <c r="B76" s="732" t="s">
        <v>2077</v>
      </c>
      <c r="C76" s="1161">
        <f>'J. Other Liability &amp; Expenses'!L160</f>
        <v>0</v>
      </c>
      <c r="D76" s="688"/>
      <c r="E76" s="733"/>
      <c r="G76" s="749"/>
      <c r="H76" s="749"/>
      <c r="I76" s="749"/>
      <c r="J76" s="749"/>
      <c r="K76" s="749"/>
      <c r="L76" s="749"/>
      <c r="M76" s="749"/>
      <c r="N76" s="749"/>
      <c r="O76" s="749"/>
    </row>
    <row r="77" spans="1:15" x14ac:dyDescent="0.2">
      <c r="A77" s="685"/>
      <c r="B77" s="734" t="s">
        <v>2078</v>
      </c>
      <c r="C77" s="708">
        <f>SUM(C75:C76)</f>
        <v>0</v>
      </c>
      <c r="D77" s="688" t="str">
        <f>IF(C77=1,"=100%","DOES NOT EQUAL 100%!!!")</f>
        <v>DOES NOT EQUAL 100%!!!</v>
      </c>
      <c r="E77" s="682"/>
      <c r="G77" s="749"/>
      <c r="H77" s="749"/>
      <c r="I77" s="749"/>
      <c r="J77" s="749"/>
      <c r="K77" s="749"/>
      <c r="L77" s="749"/>
      <c r="M77" s="749"/>
      <c r="N77" s="749"/>
      <c r="O77" s="749"/>
    </row>
    <row r="78" spans="1:15" x14ac:dyDescent="0.2">
      <c r="A78" s="685"/>
      <c r="B78" s="735"/>
      <c r="C78" s="749"/>
      <c r="D78" s="749"/>
      <c r="E78" s="682"/>
      <c r="G78" s="749"/>
      <c r="H78" s="749"/>
      <c r="I78" s="749"/>
      <c r="J78" s="749"/>
      <c r="K78" s="749"/>
      <c r="L78" s="749"/>
      <c r="M78" s="749"/>
      <c r="N78" s="749"/>
      <c r="O78" s="749"/>
    </row>
    <row r="79" spans="1:15" x14ac:dyDescent="0.2">
      <c r="A79" s="685"/>
      <c r="B79" s="736" t="s">
        <v>2088</v>
      </c>
      <c r="C79" s="749"/>
      <c r="D79" s="749"/>
      <c r="E79" s="682"/>
      <c r="G79" s="749"/>
      <c r="H79" s="749"/>
      <c r="I79" s="749"/>
      <c r="J79" s="749"/>
      <c r="K79" s="749"/>
      <c r="L79" s="749"/>
      <c r="M79" s="749"/>
      <c r="N79" s="749"/>
      <c r="O79" s="749"/>
    </row>
    <row r="80" spans="1:15" x14ac:dyDescent="0.2">
      <c r="A80" s="685"/>
      <c r="B80" s="735" t="s">
        <v>2079</v>
      </c>
      <c r="C80" s="1161">
        <f>'J. Other Liability &amp; Expenses'!L164</f>
        <v>0</v>
      </c>
      <c r="D80" s="749"/>
      <c r="E80" s="682"/>
      <c r="G80" s="749"/>
      <c r="H80" s="749"/>
      <c r="I80" s="749"/>
      <c r="J80" s="749"/>
      <c r="K80" s="749"/>
      <c r="L80" s="749"/>
      <c r="M80" s="749"/>
      <c r="N80" s="749"/>
      <c r="O80" s="749"/>
    </row>
    <row r="81" spans="1:15" x14ac:dyDescent="0.2">
      <c r="A81" s="685"/>
      <c r="B81" s="735" t="s">
        <v>2080</v>
      </c>
      <c r="C81" s="1161">
        <f>'J. Other Liability &amp; Expenses'!L165</f>
        <v>0</v>
      </c>
      <c r="D81" s="749"/>
      <c r="E81" s="682"/>
      <c r="G81" s="749"/>
      <c r="H81" s="749"/>
      <c r="I81" s="749"/>
      <c r="J81" s="749"/>
      <c r="K81" s="749"/>
      <c r="L81" s="749"/>
      <c r="M81" s="749"/>
      <c r="N81" s="749"/>
      <c r="O81" s="749"/>
    </row>
    <row r="82" spans="1:15" x14ac:dyDescent="0.2">
      <c r="A82" s="685"/>
      <c r="B82" s="735" t="s">
        <v>2081</v>
      </c>
      <c r="C82" s="1161">
        <f>'J. Other Liability &amp; Expenses'!L166</f>
        <v>0</v>
      </c>
      <c r="D82" s="749"/>
      <c r="E82" s="682"/>
      <c r="G82" s="749"/>
      <c r="H82" s="749"/>
      <c r="I82" s="749"/>
      <c r="J82" s="749"/>
      <c r="K82" s="749"/>
      <c r="L82" s="749"/>
      <c r="M82" s="749"/>
      <c r="N82" s="749"/>
      <c r="O82" s="749"/>
    </row>
    <row r="83" spans="1:15" x14ac:dyDescent="0.2">
      <c r="A83" s="685"/>
      <c r="B83" s="735" t="s">
        <v>2082</v>
      </c>
      <c r="C83" s="1161">
        <f>'J. Other Liability &amp; Expenses'!L167</f>
        <v>0</v>
      </c>
      <c r="D83" s="749"/>
      <c r="E83" s="682"/>
      <c r="G83" s="749"/>
      <c r="H83" s="749"/>
      <c r="I83" s="749"/>
      <c r="J83" s="749"/>
      <c r="K83" s="749"/>
      <c r="L83" s="749"/>
      <c r="M83" s="749"/>
      <c r="N83" s="749"/>
      <c r="O83" s="749"/>
    </row>
    <row r="84" spans="1:15" x14ac:dyDescent="0.2">
      <c r="A84" s="685"/>
      <c r="B84" s="735" t="s">
        <v>2083</v>
      </c>
      <c r="C84" s="1161">
        <f>'J. Other Liability &amp; Expenses'!L168</f>
        <v>0</v>
      </c>
      <c r="D84" s="749"/>
      <c r="E84" s="682"/>
      <c r="G84" s="749"/>
      <c r="H84" s="749"/>
      <c r="I84" s="749"/>
      <c r="J84" s="749"/>
      <c r="K84" s="749"/>
      <c r="L84" s="749"/>
      <c r="M84" s="749"/>
      <c r="N84" s="749"/>
      <c r="O84" s="749"/>
    </row>
    <row r="85" spans="1:15" x14ac:dyDescent="0.2">
      <c r="A85" s="685"/>
      <c r="B85" s="735" t="s">
        <v>2084</v>
      </c>
      <c r="C85" s="1161">
        <f>'J. Other Liability &amp; Expenses'!L169</f>
        <v>0</v>
      </c>
      <c r="D85" s="749"/>
      <c r="E85" s="682"/>
      <c r="G85" s="749"/>
      <c r="H85" s="749"/>
      <c r="I85" s="749"/>
      <c r="J85" s="749"/>
      <c r="K85" s="749"/>
      <c r="L85" s="749"/>
      <c r="M85" s="749"/>
      <c r="N85" s="749"/>
      <c r="O85" s="749"/>
    </row>
    <row r="86" spans="1:15" x14ac:dyDescent="0.2">
      <c r="A86" s="685"/>
      <c r="B86" s="735" t="s">
        <v>2085</v>
      </c>
      <c r="C86" s="1161">
        <f>'J. Other Liability &amp; Expenses'!L170</f>
        <v>0</v>
      </c>
      <c r="D86" s="749"/>
      <c r="E86" s="682"/>
      <c r="G86" s="749"/>
      <c r="H86" s="749"/>
      <c r="I86" s="749"/>
      <c r="J86" s="749"/>
      <c r="K86" s="749"/>
      <c r="L86" s="749"/>
      <c r="M86" s="749"/>
      <c r="N86" s="749"/>
      <c r="O86" s="749"/>
    </row>
    <row r="87" spans="1:15" x14ac:dyDescent="0.2">
      <c r="A87" s="685"/>
      <c r="B87" s="735" t="s">
        <v>2086</v>
      </c>
      <c r="C87" s="1161">
        <f>'J. Other Liability &amp; Expenses'!L171</f>
        <v>0</v>
      </c>
      <c r="D87" s="749"/>
      <c r="E87" s="682"/>
      <c r="G87" s="749"/>
      <c r="H87" s="749"/>
      <c r="I87" s="749"/>
      <c r="J87" s="749"/>
      <c r="K87" s="749"/>
      <c r="L87" s="749"/>
      <c r="M87" s="749"/>
      <c r="N87" s="749"/>
      <c r="O87" s="749"/>
    </row>
    <row r="88" spans="1:15" x14ac:dyDescent="0.2">
      <c r="A88" s="685"/>
      <c r="B88" s="735" t="s">
        <v>2087</v>
      </c>
      <c r="C88" s="1161">
        <f>'J. Other Liability &amp; Expenses'!L172</f>
        <v>0</v>
      </c>
      <c r="D88" s="749"/>
      <c r="E88" s="682"/>
      <c r="G88" s="749"/>
      <c r="H88" s="749"/>
      <c r="I88" s="749"/>
      <c r="J88" s="749"/>
      <c r="K88" s="749"/>
      <c r="L88" s="749"/>
      <c r="M88" s="749"/>
      <c r="N88" s="749"/>
      <c r="O88" s="749"/>
    </row>
    <row r="89" spans="1:15" x14ac:dyDescent="0.2">
      <c r="A89" s="685"/>
      <c r="B89" s="737" t="s">
        <v>2089</v>
      </c>
      <c r="C89" s="738">
        <f>SUM(C80:C88)</f>
        <v>0</v>
      </c>
      <c r="D89" s="739" t="str">
        <f>IF(C89=C75,"Equals Governmental Activities","DOES NOT EQUAL Governmental Activities!!!")</f>
        <v>Equals Governmental Activities</v>
      </c>
      <c r="E89" s="740"/>
      <c r="G89" s="749"/>
      <c r="H89" s="749"/>
      <c r="I89" s="749"/>
      <c r="J89" s="749"/>
      <c r="K89" s="749"/>
      <c r="L89" s="749"/>
      <c r="M89" s="749"/>
      <c r="N89" s="749"/>
      <c r="O89" s="749"/>
    </row>
    <row r="90" spans="1:15" x14ac:dyDescent="0.2">
      <c r="A90" s="685"/>
      <c r="B90" s="750"/>
      <c r="C90" s="749"/>
      <c r="D90" s="749"/>
      <c r="E90" s="749"/>
      <c r="F90" s="749"/>
      <c r="G90" s="749"/>
      <c r="H90" s="749"/>
      <c r="I90" s="749"/>
      <c r="J90" s="749"/>
      <c r="K90" s="749"/>
      <c r="L90" s="749"/>
      <c r="M90" s="749"/>
      <c r="N90" s="749"/>
      <c r="O90" s="749"/>
    </row>
    <row r="91" spans="1:15" x14ac:dyDescent="0.2">
      <c r="A91" s="685"/>
      <c r="B91" s="750"/>
      <c r="C91" s="749"/>
      <c r="D91" s="749"/>
      <c r="E91" s="749"/>
      <c r="F91" s="749"/>
      <c r="G91" s="749"/>
      <c r="H91" s="749"/>
      <c r="I91" s="749"/>
      <c r="J91" s="749"/>
      <c r="K91" s="749"/>
      <c r="L91" s="749"/>
      <c r="M91" s="749"/>
      <c r="N91" s="749"/>
      <c r="O91" s="749"/>
    </row>
    <row r="92" spans="1:15" x14ac:dyDescent="0.2">
      <c r="A92" s="685"/>
      <c r="B92" s="750"/>
      <c r="C92" s="749"/>
      <c r="D92" s="749"/>
      <c r="E92" s="749"/>
      <c r="F92" s="688"/>
    </row>
    <row r="93" spans="1:15" x14ac:dyDescent="0.2">
      <c r="A93" s="685"/>
      <c r="B93" s="783"/>
      <c r="C93" s="766" t="s">
        <v>2056</v>
      </c>
      <c r="D93" s="766" t="s">
        <v>2057</v>
      </c>
      <c r="E93" s="784"/>
      <c r="F93" s="784"/>
      <c r="G93" s="784"/>
      <c r="H93" s="784"/>
    </row>
    <row r="94" spans="1:15" x14ac:dyDescent="0.2">
      <c r="A94" s="685"/>
      <c r="B94" s="786" t="s">
        <v>1117</v>
      </c>
      <c r="C94" s="285">
        <f t="shared" ref="C94:D101" si="1">G125</f>
        <v>0</v>
      </c>
      <c r="D94" s="285">
        <f t="shared" si="1"/>
        <v>0</v>
      </c>
      <c r="E94" s="784"/>
      <c r="F94" s="784"/>
      <c r="G94" s="784"/>
      <c r="H94" s="784"/>
    </row>
    <row r="95" spans="1:15" x14ac:dyDescent="0.2">
      <c r="A95" s="685"/>
      <c r="B95" s="786" t="s">
        <v>2123</v>
      </c>
      <c r="C95" s="285">
        <f t="shared" si="1"/>
        <v>0</v>
      </c>
      <c r="D95" s="285">
        <f t="shared" si="1"/>
        <v>0</v>
      </c>
      <c r="E95" s="690"/>
      <c r="F95" s="784"/>
      <c r="G95" s="5"/>
      <c r="H95" s="784"/>
    </row>
    <row r="96" spans="1:15" x14ac:dyDescent="0.2">
      <c r="A96" s="685"/>
      <c r="B96" s="786" t="s">
        <v>2055</v>
      </c>
      <c r="C96" s="285">
        <f t="shared" si="1"/>
        <v>0</v>
      </c>
      <c r="D96" s="285">
        <f t="shared" si="1"/>
        <v>0</v>
      </c>
      <c r="E96" s="690"/>
      <c r="F96" s="784"/>
      <c r="G96" s="5"/>
      <c r="H96" s="784"/>
    </row>
    <row r="97" spans="1:9" x14ac:dyDescent="0.2">
      <c r="A97" s="685"/>
      <c r="B97" s="786" t="s">
        <v>2090</v>
      </c>
      <c r="C97" s="285">
        <f t="shared" si="1"/>
        <v>0</v>
      </c>
      <c r="D97" s="285">
        <f t="shared" si="1"/>
        <v>0</v>
      </c>
      <c r="E97" s="690"/>
      <c r="F97" s="784"/>
      <c r="G97" s="784"/>
      <c r="H97" s="784"/>
    </row>
    <row r="98" spans="1:9" x14ac:dyDescent="0.2">
      <c r="A98" s="685"/>
      <c r="B98" s="786" t="s">
        <v>2091</v>
      </c>
      <c r="C98" s="285">
        <f t="shared" si="1"/>
        <v>0</v>
      </c>
      <c r="D98" s="285">
        <f t="shared" si="1"/>
        <v>0</v>
      </c>
      <c r="E98" s="690"/>
      <c r="F98" s="784"/>
      <c r="G98" s="784"/>
      <c r="H98" s="784"/>
    </row>
    <row r="99" spans="1:9" x14ac:dyDescent="0.2">
      <c r="A99" s="685"/>
      <c r="B99" s="786" t="s">
        <v>2092</v>
      </c>
      <c r="C99" s="285">
        <f t="shared" si="1"/>
        <v>0</v>
      </c>
      <c r="D99" s="285">
        <f t="shared" si="1"/>
        <v>0</v>
      </c>
      <c r="E99" s="690"/>
      <c r="F99" s="784"/>
      <c r="G99" s="784"/>
      <c r="H99" s="784"/>
    </row>
    <row r="100" spans="1:9" x14ac:dyDescent="0.2">
      <c r="A100" s="685"/>
      <c r="B100" s="786" t="s">
        <v>2093</v>
      </c>
      <c r="C100" s="285">
        <f t="shared" si="1"/>
        <v>0</v>
      </c>
      <c r="D100" s="285">
        <f t="shared" si="1"/>
        <v>0</v>
      </c>
      <c r="E100" s="690"/>
      <c r="F100" s="784"/>
      <c r="G100" s="784"/>
      <c r="H100" s="784"/>
    </row>
    <row r="101" spans="1:9" x14ac:dyDescent="0.2">
      <c r="A101" s="685"/>
      <c r="B101" s="786" t="s">
        <v>2094</v>
      </c>
      <c r="C101" s="285">
        <f t="shared" si="1"/>
        <v>0</v>
      </c>
      <c r="D101" s="285">
        <f t="shared" si="1"/>
        <v>0</v>
      </c>
      <c r="E101" s="690"/>
      <c r="F101" s="784"/>
      <c r="G101" s="784"/>
      <c r="H101" s="784"/>
    </row>
    <row r="102" spans="1:9" s="790" customFormat="1" x14ac:dyDescent="0.2">
      <c r="A102" s="685"/>
      <c r="B102" s="793" t="s">
        <v>3610</v>
      </c>
      <c r="C102" s="285">
        <f t="shared" ref="C102:D105" si="2">G133</f>
        <v>0</v>
      </c>
      <c r="D102" s="285">
        <f t="shared" si="2"/>
        <v>0</v>
      </c>
      <c r="E102" s="690"/>
    </row>
    <row r="103" spans="1:9" x14ac:dyDescent="0.2">
      <c r="A103" s="685"/>
      <c r="B103" s="786" t="s">
        <v>2095</v>
      </c>
      <c r="C103" s="285">
        <f t="shared" si="2"/>
        <v>0</v>
      </c>
      <c r="D103" s="285">
        <f t="shared" si="2"/>
        <v>0</v>
      </c>
      <c r="E103" s="690"/>
      <c r="F103" s="784"/>
      <c r="G103" s="699"/>
      <c r="H103" s="699"/>
    </row>
    <row r="104" spans="1:9" s="790" customFormat="1" x14ac:dyDescent="0.2">
      <c r="A104" s="685"/>
      <c r="B104" s="793" t="s">
        <v>3611</v>
      </c>
      <c r="C104" s="285">
        <f t="shared" si="2"/>
        <v>0</v>
      </c>
      <c r="D104" s="285">
        <f t="shared" si="2"/>
        <v>0</v>
      </c>
      <c r="E104" s="690"/>
      <c r="G104" s="699"/>
      <c r="H104" s="699"/>
    </row>
    <row r="105" spans="1:9" x14ac:dyDescent="0.2">
      <c r="A105" s="685"/>
      <c r="B105" s="786" t="s">
        <v>2096</v>
      </c>
      <c r="C105" s="285">
        <f t="shared" si="2"/>
        <v>0</v>
      </c>
      <c r="D105" s="285">
        <f t="shared" si="2"/>
        <v>0</v>
      </c>
      <c r="E105" s="690"/>
      <c r="F105" s="784"/>
      <c r="G105" s="784"/>
      <c r="H105" s="784"/>
      <c r="I105" s="699"/>
    </row>
    <row r="106" spans="1:9" ht="25.5" x14ac:dyDescent="0.2">
      <c r="A106" s="685"/>
      <c r="B106" s="786" t="s">
        <v>3596</v>
      </c>
      <c r="C106" s="285">
        <f t="shared" ref="C106:C114" si="3">G137</f>
        <v>0</v>
      </c>
      <c r="D106" s="285">
        <f t="shared" ref="D106:D114" si="4">H137</f>
        <v>0</v>
      </c>
      <c r="E106" s="784"/>
      <c r="F106" s="784"/>
      <c r="G106" s="784"/>
      <c r="H106" s="784"/>
    </row>
    <row r="107" spans="1:9" ht="25.5" x14ac:dyDescent="0.2">
      <c r="A107" s="685"/>
      <c r="B107" s="786" t="s">
        <v>2124</v>
      </c>
      <c r="C107" s="285">
        <f t="shared" si="3"/>
        <v>0</v>
      </c>
      <c r="D107" s="285">
        <f t="shared" si="4"/>
        <v>0</v>
      </c>
      <c r="E107" s="784"/>
      <c r="F107" s="784"/>
      <c r="G107" s="784"/>
      <c r="H107" s="784"/>
    </row>
    <row r="108" spans="1:9" x14ac:dyDescent="0.2">
      <c r="A108" s="685"/>
      <c r="B108" s="786" t="s">
        <v>3597</v>
      </c>
      <c r="C108" s="285">
        <f t="shared" si="3"/>
        <v>0</v>
      </c>
      <c r="D108" s="285">
        <f t="shared" si="4"/>
        <v>0</v>
      </c>
      <c r="E108" s="784"/>
      <c r="F108" s="784"/>
      <c r="G108" s="784"/>
      <c r="H108" s="784"/>
    </row>
    <row r="109" spans="1:9" ht="38.25" x14ac:dyDescent="0.2">
      <c r="A109" s="685"/>
      <c r="B109" s="786" t="s">
        <v>3598</v>
      </c>
      <c r="C109" s="285">
        <f t="shared" si="3"/>
        <v>0</v>
      </c>
      <c r="D109" s="285">
        <f t="shared" si="4"/>
        <v>0</v>
      </c>
      <c r="E109" s="784"/>
      <c r="F109" s="784"/>
      <c r="G109" s="784"/>
      <c r="H109" s="784"/>
    </row>
    <row r="110" spans="1:9" ht="25.5" x14ac:dyDescent="0.2">
      <c r="A110" s="685"/>
      <c r="B110" s="786" t="s">
        <v>3599</v>
      </c>
      <c r="C110" s="285">
        <f t="shared" si="3"/>
        <v>0</v>
      </c>
      <c r="D110" s="285">
        <f t="shared" si="4"/>
        <v>0</v>
      </c>
      <c r="E110" s="784"/>
      <c r="F110" s="784"/>
      <c r="G110" s="784"/>
      <c r="H110" s="784"/>
    </row>
    <row r="111" spans="1:9" ht="25.5" x14ac:dyDescent="0.2">
      <c r="A111" s="685"/>
      <c r="B111" s="786" t="s">
        <v>3600</v>
      </c>
      <c r="C111" s="285">
        <f t="shared" si="3"/>
        <v>0</v>
      </c>
      <c r="D111" s="285">
        <f t="shared" si="4"/>
        <v>0</v>
      </c>
      <c r="E111" s="784"/>
      <c r="F111" s="784"/>
      <c r="G111" s="784"/>
      <c r="H111" s="784"/>
    </row>
    <row r="112" spans="1:9" x14ac:dyDescent="0.2">
      <c r="A112" s="685"/>
      <c r="B112" s="786" t="s">
        <v>3601</v>
      </c>
      <c r="C112" s="285">
        <f t="shared" si="3"/>
        <v>0</v>
      </c>
      <c r="D112" s="285">
        <f t="shared" si="4"/>
        <v>0</v>
      </c>
      <c r="E112" s="784"/>
      <c r="F112" s="784"/>
      <c r="G112" s="784"/>
      <c r="H112" s="784"/>
    </row>
    <row r="113" spans="1:8" ht="38.25" x14ac:dyDescent="0.2">
      <c r="A113" s="685"/>
      <c r="B113" s="786" t="s">
        <v>3602</v>
      </c>
      <c r="C113" s="285">
        <f t="shared" si="3"/>
        <v>0</v>
      </c>
      <c r="D113" s="285">
        <f t="shared" si="4"/>
        <v>0</v>
      </c>
      <c r="E113" s="784"/>
      <c r="F113" s="784"/>
      <c r="G113" s="784"/>
      <c r="H113" s="784"/>
    </row>
    <row r="114" spans="1:8" x14ac:dyDescent="0.2">
      <c r="A114" s="685"/>
      <c r="B114" s="786" t="s">
        <v>2058</v>
      </c>
      <c r="C114" s="285">
        <f t="shared" si="3"/>
        <v>0</v>
      </c>
      <c r="D114" s="285">
        <f t="shared" si="4"/>
        <v>0</v>
      </c>
      <c r="E114" s="784"/>
      <c r="F114" s="784"/>
      <c r="G114" s="784"/>
      <c r="H114" s="784"/>
    </row>
    <row r="115" spans="1:8" x14ac:dyDescent="0.2">
      <c r="A115" s="685"/>
      <c r="B115" s="786"/>
      <c r="C115" s="285"/>
      <c r="D115" s="285"/>
      <c r="E115" s="784"/>
      <c r="F115" s="784"/>
      <c r="G115" s="784"/>
      <c r="H115" s="784"/>
    </row>
    <row r="116" spans="1:8" x14ac:dyDescent="0.2">
      <c r="A116" s="685"/>
      <c r="B116" s="783"/>
      <c r="C116" s="686"/>
      <c r="D116" s="686"/>
      <c r="E116" s="784"/>
      <c r="F116" s="784"/>
      <c r="G116" s="784"/>
      <c r="H116" s="784"/>
    </row>
    <row r="117" spans="1:8" ht="13.5" thickBot="1" x14ac:dyDescent="0.25">
      <c r="A117" s="685"/>
      <c r="B117" s="783"/>
      <c r="C117" s="691">
        <f>SUM(C94:C116)</f>
        <v>0</v>
      </c>
      <c r="D117" s="691">
        <f>SUM(D94:D116)</f>
        <v>0</v>
      </c>
      <c r="E117" s="784"/>
      <c r="F117" s="784"/>
      <c r="G117" s="784"/>
      <c r="H117" s="784"/>
    </row>
    <row r="118" spans="1:8" ht="13.5" thickTop="1" x14ac:dyDescent="0.2">
      <c r="A118" s="685"/>
      <c r="B118" s="783"/>
      <c r="C118" s="686"/>
      <c r="D118" s="686"/>
      <c r="E118" s="784"/>
      <c r="F118" s="784"/>
      <c r="G118" s="784"/>
      <c r="H118" s="784"/>
    </row>
    <row r="119" spans="1:8" x14ac:dyDescent="0.2">
      <c r="A119" s="685"/>
      <c r="B119" s="1641" t="s">
        <v>2098</v>
      </c>
      <c r="C119" s="1641"/>
      <c r="D119" s="1641"/>
      <c r="E119" s="1641"/>
      <c r="F119" s="1641"/>
      <c r="G119" s="1641"/>
      <c r="H119" s="1641"/>
    </row>
    <row r="120" spans="1:8" x14ac:dyDescent="0.2">
      <c r="A120" s="685"/>
      <c r="B120" s="1641"/>
      <c r="C120" s="1641"/>
      <c r="D120" s="1641"/>
      <c r="E120" s="1641"/>
      <c r="F120" s="1641"/>
      <c r="G120" s="1641"/>
      <c r="H120" s="1641"/>
    </row>
    <row r="121" spans="1:8" ht="18" x14ac:dyDescent="0.25">
      <c r="A121" s="685"/>
      <c r="B121" s="713"/>
      <c r="C121" s="713"/>
      <c r="D121" s="713"/>
      <c r="E121" s="713"/>
      <c r="F121" s="713"/>
      <c r="G121" s="713"/>
      <c r="H121" s="712"/>
    </row>
    <row r="122" spans="1:8" ht="18" x14ac:dyDescent="0.2">
      <c r="A122" s="685"/>
      <c r="B122" s="713"/>
      <c r="C122" s="714"/>
      <c r="D122" s="716"/>
      <c r="E122" s="717"/>
      <c r="F122" s="713"/>
      <c r="G122" s="1484" t="s">
        <v>923</v>
      </c>
      <c r="H122" s="1485"/>
    </row>
    <row r="123" spans="1:8" x14ac:dyDescent="0.2">
      <c r="A123" s="685"/>
      <c r="B123" s="787"/>
      <c r="C123" s="767"/>
      <c r="D123" s="768"/>
      <c r="E123" s="258"/>
      <c r="F123" s="785"/>
      <c r="G123" s="210"/>
      <c r="H123" s="211"/>
    </row>
    <row r="124" spans="1:8" x14ac:dyDescent="0.2">
      <c r="A124" s="685"/>
      <c r="B124" s="787"/>
      <c r="C124" s="715" t="s">
        <v>517</v>
      </c>
      <c r="D124" s="154" t="s">
        <v>518</v>
      </c>
      <c r="E124" s="259" t="s">
        <v>2097</v>
      </c>
      <c r="F124" s="785"/>
      <c r="G124" s="71" t="s">
        <v>517</v>
      </c>
      <c r="H124" s="72" t="s">
        <v>518</v>
      </c>
    </row>
    <row r="125" spans="1:8" ht="12.75" customHeight="1" x14ac:dyDescent="0.2">
      <c r="A125" s="685"/>
      <c r="B125" s="786" t="s">
        <v>1117</v>
      </c>
      <c r="C125" s="832">
        <v>0</v>
      </c>
      <c r="D125" s="769">
        <v>0</v>
      </c>
      <c r="E125" s="718">
        <f>C125-D125</f>
        <v>0</v>
      </c>
      <c r="F125" s="784"/>
      <c r="G125" s="114">
        <f t="shared" ref="G125:G145" si="5">IF(E125&lt;0,0,E125)</f>
        <v>0</v>
      </c>
      <c r="H125" s="720">
        <f t="shared" ref="H125:H145" si="6">IF(E125&gt;0,0,E125*-1)</f>
        <v>0</v>
      </c>
    </row>
    <row r="126" spans="1:8" ht="12.75" customHeight="1" x14ac:dyDescent="0.2">
      <c r="A126" s="685"/>
      <c r="B126" s="786" t="s">
        <v>2123</v>
      </c>
      <c r="C126" s="771">
        <v>0</v>
      </c>
      <c r="D126" s="770">
        <v>0</v>
      </c>
      <c r="E126" s="718">
        <f t="shared" ref="E126:E145" si="7">C126-D126</f>
        <v>0</v>
      </c>
      <c r="F126" s="784"/>
      <c r="G126" s="114">
        <f t="shared" si="5"/>
        <v>0</v>
      </c>
      <c r="H126" s="720">
        <f>IF(E126&gt;0,0,E126*-1)</f>
        <v>0</v>
      </c>
    </row>
    <row r="127" spans="1:8" x14ac:dyDescent="0.2">
      <c r="A127" s="685"/>
      <c r="B127" s="786" t="s">
        <v>2055</v>
      </c>
      <c r="C127" s="771">
        <f>(D45+D46)*C75</f>
        <v>0</v>
      </c>
      <c r="D127" s="770">
        <f>(E45+E46)*C75</f>
        <v>0</v>
      </c>
      <c r="E127" s="718">
        <f t="shared" si="7"/>
        <v>0</v>
      </c>
      <c r="F127" s="784"/>
      <c r="G127" s="114">
        <f t="shared" si="5"/>
        <v>0</v>
      </c>
      <c r="H127" s="720">
        <f>IF(E127&gt;0,0,E127*-1)</f>
        <v>0</v>
      </c>
    </row>
    <row r="128" spans="1:8" x14ac:dyDescent="0.2">
      <c r="A128" s="685"/>
      <c r="B128" s="786" t="s">
        <v>2090</v>
      </c>
      <c r="C128" s="771">
        <f>($D$47+$D$65+$D$66)*C80</f>
        <v>0</v>
      </c>
      <c r="D128" s="770">
        <f>($E$47+$E$65+$E$66)*C80</f>
        <v>0</v>
      </c>
      <c r="E128" s="718">
        <f t="shared" si="7"/>
        <v>0</v>
      </c>
      <c r="F128" s="784"/>
      <c r="G128" s="114">
        <f>IF(E128&lt;0,0,E128)-E146</f>
        <v>0</v>
      </c>
      <c r="H128" s="720">
        <f t="shared" si="6"/>
        <v>0</v>
      </c>
    </row>
    <row r="129" spans="2:8" x14ac:dyDescent="0.2">
      <c r="B129" s="786" t="s">
        <v>2091</v>
      </c>
      <c r="C129" s="771">
        <f>($D$47+$D$65+$D$66)*C81</f>
        <v>0</v>
      </c>
      <c r="D129" s="770">
        <f t="shared" ref="D129:D136" si="8">($E$47+$E$65+$E$66)*C81</f>
        <v>0</v>
      </c>
      <c r="E129" s="718">
        <f t="shared" si="7"/>
        <v>0</v>
      </c>
      <c r="F129" s="784"/>
      <c r="G129" s="114">
        <f t="shared" si="5"/>
        <v>0</v>
      </c>
      <c r="H129" s="720">
        <f t="shared" si="6"/>
        <v>0</v>
      </c>
    </row>
    <row r="130" spans="2:8" x14ac:dyDescent="0.2">
      <c r="B130" s="786" t="s">
        <v>2092</v>
      </c>
      <c r="C130" s="771">
        <f>($D$47+$D$65+$D$66)*C82</f>
        <v>0</v>
      </c>
      <c r="D130" s="770">
        <f t="shared" si="8"/>
        <v>0</v>
      </c>
      <c r="E130" s="718">
        <f t="shared" si="7"/>
        <v>0</v>
      </c>
      <c r="F130" s="784"/>
      <c r="G130" s="114">
        <f t="shared" si="5"/>
        <v>0</v>
      </c>
      <c r="H130" s="720">
        <f t="shared" si="6"/>
        <v>0</v>
      </c>
    </row>
    <row r="131" spans="2:8" x14ac:dyDescent="0.2">
      <c r="B131" s="786" t="s">
        <v>2093</v>
      </c>
      <c r="C131" s="771">
        <f t="shared" ref="C131:C136" si="9">($D$47+$D$65+$D$66)*C83</f>
        <v>0</v>
      </c>
      <c r="D131" s="770">
        <f t="shared" si="8"/>
        <v>0</v>
      </c>
      <c r="E131" s="718">
        <f t="shared" si="7"/>
        <v>0</v>
      </c>
      <c r="F131" s="784"/>
      <c r="G131" s="114">
        <f t="shared" si="5"/>
        <v>0</v>
      </c>
      <c r="H131" s="720">
        <f t="shared" si="6"/>
        <v>0</v>
      </c>
    </row>
    <row r="132" spans="2:8" x14ac:dyDescent="0.2">
      <c r="B132" s="786" t="s">
        <v>2094</v>
      </c>
      <c r="C132" s="771">
        <f t="shared" si="9"/>
        <v>0</v>
      </c>
      <c r="D132" s="770">
        <f t="shared" si="8"/>
        <v>0</v>
      </c>
      <c r="E132" s="718">
        <f t="shared" si="7"/>
        <v>0</v>
      </c>
      <c r="F132" s="784"/>
      <c r="G132" s="114">
        <f t="shared" si="5"/>
        <v>0</v>
      </c>
      <c r="H132" s="720">
        <f t="shared" si="6"/>
        <v>0</v>
      </c>
    </row>
    <row r="133" spans="2:8" s="790" customFormat="1" x14ac:dyDescent="0.2">
      <c r="B133" s="793" t="s">
        <v>3610</v>
      </c>
      <c r="C133" s="771">
        <f t="shared" si="9"/>
        <v>0</v>
      </c>
      <c r="D133" s="770">
        <f t="shared" si="8"/>
        <v>0</v>
      </c>
      <c r="E133" s="718">
        <f t="shared" si="7"/>
        <v>0</v>
      </c>
      <c r="G133" s="114">
        <f>IF(E133&lt;0,0,E133)</f>
        <v>0</v>
      </c>
      <c r="H133" s="720">
        <f>IF(E133&gt;0,0,E133*-1)</f>
        <v>0</v>
      </c>
    </row>
    <row r="134" spans="2:8" x14ac:dyDescent="0.2">
      <c r="B134" s="793" t="s">
        <v>2095</v>
      </c>
      <c r="C134" s="771">
        <f t="shared" si="9"/>
        <v>0</v>
      </c>
      <c r="D134" s="770">
        <f t="shared" si="8"/>
        <v>0</v>
      </c>
      <c r="E134" s="718">
        <f t="shared" si="7"/>
        <v>0</v>
      </c>
      <c r="F134" s="784"/>
      <c r="G134" s="114">
        <f>IF(E134&lt;0,0,E134)</f>
        <v>0</v>
      </c>
      <c r="H134" s="720">
        <f>IF(E134&gt;0,0,E134*-1)</f>
        <v>0</v>
      </c>
    </row>
    <row r="135" spans="2:8" s="790" customFormat="1" x14ac:dyDescent="0.2">
      <c r="B135" s="793" t="s">
        <v>3611</v>
      </c>
      <c r="C135" s="771">
        <f t="shared" si="9"/>
        <v>0</v>
      </c>
      <c r="D135" s="770">
        <f t="shared" si="8"/>
        <v>0</v>
      </c>
      <c r="E135" s="718">
        <f t="shared" si="7"/>
        <v>0</v>
      </c>
      <c r="G135" s="114">
        <f>IF(E135&lt;0,0,E135)</f>
        <v>0</v>
      </c>
      <c r="H135" s="720">
        <f>IF(E135&gt;0,0,E135*-1)</f>
        <v>0</v>
      </c>
    </row>
    <row r="136" spans="2:8" x14ac:dyDescent="0.2">
      <c r="B136" s="786" t="s">
        <v>2096</v>
      </c>
      <c r="C136" s="771">
        <f t="shared" si="9"/>
        <v>0</v>
      </c>
      <c r="D136" s="770">
        <f t="shared" si="8"/>
        <v>0</v>
      </c>
      <c r="E136" s="718">
        <f t="shared" si="7"/>
        <v>0</v>
      </c>
      <c r="F136" s="784"/>
      <c r="G136" s="114">
        <f>IF(E136&lt;0,0,E136)</f>
        <v>0</v>
      </c>
      <c r="H136" s="720">
        <f>IF(E136&gt;0,0,E136*-1)</f>
        <v>0</v>
      </c>
    </row>
    <row r="137" spans="2:8" ht="25.5" x14ac:dyDescent="0.2">
      <c r="B137" s="786" t="s">
        <v>3596</v>
      </c>
      <c r="C137" s="771">
        <f>(D48+D56)*C75</f>
        <v>0</v>
      </c>
      <c r="D137" s="770">
        <f>(E48+E56)*C75</f>
        <v>0</v>
      </c>
      <c r="E137" s="718">
        <f t="shared" si="7"/>
        <v>0</v>
      </c>
      <c r="F137" s="785"/>
      <c r="G137" s="114">
        <f t="shared" si="5"/>
        <v>0</v>
      </c>
      <c r="H137" s="720">
        <f t="shared" si="6"/>
        <v>0</v>
      </c>
    </row>
    <row r="138" spans="2:8" ht="25.5" x14ac:dyDescent="0.2">
      <c r="B138" s="786" t="s">
        <v>2124</v>
      </c>
      <c r="C138" s="771">
        <f>(D49+D57)*C75</f>
        <v>0</v>
      </c>
      <c r="D138" s="770">
        <f>(E49+E57)*C75</f>
        <v>0</v>
      </c>
      <c r="E138" s="718">
        <f t="shared" si="7"/>
        <v>0</v>
      </c>
      <c r="F138" s="785"/>
      <c r="G138" s="114">
        <f t="shared" si="5"/>
        <v>0</v>
      </c>
      <c r="H138" s="720">
        <f t="shared" si="6"/>
        <v>0</v>
      </c>
    </row>
    <row r="139" spans="2:8" x14ac:dyDescent="0.2">
      <c r="B139" s="786" t="s">
        <v>3597</v>
      </c>
      <c r="C139" s="771">
        <f>(D50+D58)*C75</f>
        <v>0</v>
      </c>
      <c r="D139" s="770">
        <f>(E50+E58)*C75</f>
        <v>0</v>
      </c>
      <c r="E139" s="718">
        <f t="shared" si="7"/>
        <v>0</v>
      </c>
      <c r="F139" s="785"/>
      <c r="G139" s="114">
        <f t="shared" si="5"/>
        <v>0</v>
      </c>
      <c r="H139" s="720">
        <f t="shared" si="6"/>
        <v>0</v>
      </c>
    </row>
    <row r="140" spans="2:8" ht="38.25" x14ac:dyDescent="0.2">
      <c r="B140" s="786" t="s">
        <v>3598</v>
      </c>
      <c r="C140" s="771">
        <f>(D51+D59)*C75</f>
        <v>0</v>
      </c>
      <c r="D140" s="770">
        <f>(E51+E59)*C75</f>
        <v>0</v>
      </c>
      <c r="E140" s="718">
        <f t="shared" si="7"/>
        <v>0</v>
      </c>
      <c r="F140" s="785"/>
      <c r="G140" s="114">
        <f t="shared" si="5"/>
        <v>0</v>
      </c>
      <c r="H140" s="720">
        <f t="shared" si="6"/>
        <v>0</v>
      </c>
    </row>
    <row r="141" spans="2:8" ht="25.5" x14ac:dyDescent="0.2">
      <c r="B141" s="786" t="s">
        <v>3599</v>
      </c>
      <c r="C141" s="771">
        <f>(D52+D60)*C75</f>
        <v>0</v>
      </c>
      <c r="D141" s="770">
        <f>(E52+E60)*C75</f>
        <v>0</v>
      </c>
      <c r="E141" s="718">
        <f t="shared" si="7"/>
        <v>0</v>
      </c>
      <c r="F141" s="785"/>
      <c r="G141" s="114">
        <f t="shared" si="5"/>
        <v>0</v>
      </c>
      <c r="H141" s="720">
        <f t="shared" si="6"/>
        <v>0</v>
      </c>
    </row>
    <row r="142" spans="2:8" ht="25.5" x14ac:dyDescent="0.2">
      <c r="B142" s="786" t="s">
        <v>3600</v>
      </c>
      <c r="C142" s="771">
        <f>(D53+D61)*C75</f>
        <v>0</v>
      </c>
      <c r="D142" s="770">
        <f>(E53+E61)*C75</f>
        <v>0</v>
      </c>
      <c r="E142" s="718">
        <f t="shared" si="7"/>
        <v>0</v>
      </c>
      <c r="F142" s="785"/>
      <c r="G142" s="114">
        <f t="shared" si="5"/>
        <v>0</v>
      </c>
      <c r="H142" s="720">
        <f t="shared" si="6"/>
        <v>0</v>
      </c>
    </row>
    <row r="143" spans="2:8" x14ac:dyDescent="0.2">
      <c r="B143" s="786" t="s">
        <v>3601</v>
      </c>
      <c r="C143" s="771">
        <f>(D54+D62)*C75</f>
        <v>0</v>
      </c>
      <c r="D143" s="770">
        <f>(E54+E62)*C75</f>
        <v>0</v>
      </c>
      <c r="E143" s="718">
        <f t="shared" si="7"/>
        <v>0</v>
      </c>
      <c r="F143" s="785"/>
      <c r="G143" s="114">
        <f t="shared" si="5"/>
        <v>0</v>
      </c>
      <c r="H143" s="720">
        <f t="shared" si="6"/>
        <v>0</v>
      </c>
    </row>
    <row r="144" spans="2:8" ht="38.25" x14ac:dyDescent="0.2">
      <c r="B144" s="786" t="s">
        <v>3602</v>
      </c>
      <c r="C144" s="771">
        <f>(D55+D63)*C75</f>
        <v>0</v>
      </c>
      <c r="D144" s="770">
        <f>(E55+E63)*C75</f>
        <v>0</v>
      </c>
      <c r="E144" s="718">
        <f t="shared" si="7"/>
        <v>0</v>
      </c>
      <c r="F144" s="785"/>
      <c r="G144" s="114">
        <f t="shared" si="5"/>
        <v>0</v>
      </c>
      <c r="H144" s="720">
        <f t="shared" si="6"/>
        <v>0</v>
      </c>
    </row>
    <row r="145" spans="2:9" x14ac:dyDescent="0.2">
      <c r="B145" s="786" t="s">
        <v>2058</v>
      </c>
      <c r="C145" s="771">
        <f>D64*C75</f>
        <v>0</v>
      </c>
      <c r="D145" s="770">
        <f>E64*C75</f>
        <v>0</v>
      </c>
      <c r="E145" s="718">
        <f t="shared" si="7"/>
        <v>0</v>
      </c>
      <c r="F145" s="785"/>
      <c r="G145" s="114">
        <f t="shared" si="5"/>
        <v>0</v>
      </c>
      <c r="H145" s="720">
        <f t="shared" si="6"/>
        <v>0</v>
      </c>
      <c r="I145" s="772"/>
    </row>
    <row r="146" spans="2:9" x14ac:dyDescent="0.2">
      <c r="B146" s="784"/>
      <c r="C146" s="721">
        <f>SUM(C124:C145)</f>
        <v>0</v>
      </c>
      <c r="D146" s="722">
        <f>SUM(D124:D145)</f>
        <v>0</v>
      </c>
      <c r="E146" s="719">
        <f>SUM(E124:E145)</f>
        <v>0</v>
      </c>
      <c r="F146" s="214"/>
      <c r="G146" s="721">
        <f>SUM(G124:G145)</f>
        <v>0</v>
      </c>
      <c r="H146" s="722">
        <f>SUM(H124:H145)</f>
        <v>0</v>
      </c>
      <c r="I146" s="772"/>
    </row>
    <row r="147" spans="2:9" x14ac:dyDescent="0.2">
      <c r="B147" s="711"/>
      <c r="C147" s="833"/>
      <c r="D147" s="833"/>
      <c r="E147" s="145"/>
      <c r="F147" s="785"/>
      <c r="G147" s="47"/>
      <c r="H147" s="47"/>
      <c r="I147" s="772"/>
    </row>
    <row r="148" spans="2:9" x14ac:dyDescent="0.2">
      <c r="B148" s="711"/>
      <c r="C148" s="833"/>
      <c r="D148" s="833"/>
      <c r="E148" s="145"/>
      <c r="F148" s="785"/>
      <c r="G148" s="47"/>
      <c r="H148" s="47"/>
      <c r="I148" s="772"/>
    </row>
    <row r="149" spans="2:9" x14ac:dyDescent="0.2">
      <c r="B149" s="711"/>
      <c r="C149" s="833"/>
      <c r="D149" s="833"/>
      <c r="E149" s="145"/>
      <c r="F149" s="785"/>
      <c r="G149" s="47"/>
      <c r="H149" s="47"/>
    </row>
    <row r="150" spans="2:9" x14ac:dyDescent="0.2">
      <c r="B150" s="711"/>
      <c r="C150" s="833"/>
      <c r="D150" s="833"/>
      <c r="E150" s="145"/>
      <c r="F150" s="785"/>
      <c r="G150" s="47"/>
      <c r="H150" s="47"/>
    </row>
    <row r="151" spans="2:9" x14ac:dyDescent="0.2">
      <c r="B151" s="711"/>
      <c r="C151" s="833"/>
      <c r="D151" s="833"/>
      <c r="E151" s="145"/>
      <c r="F151" s="785"/>
      <c r="G151" s="47"/>
      <c r="H151" s="47"/>
    </row>
    <row r="152" spans="2:9" x14ac:dyDescent="0.2">
      <c r="B152" s="711"/>
      <c r="C152" s="833"/>
      <c r="D152" s="833"/>
      <c r="E152" s="145"/>
      <c r="F152" s="785"/>
      <c r="G152" s="47"/>
      <c r="H152" s="47"/>
    </row>
    <row r="153" spans="2:9" x14ac:dyDescent="0.2">
      <c r="B153" s="711"/>
      <c r="C153" s="833"/>
      <c r="D153" s="833"/>
      <c r="E153" s="145"/>
      <c r="F153" s="785"/>
      <c r="G153" s="47"/>
      <c r="H153" s="47"/>
    </row>
    <row r="154" spans="2:9" x14ac:dyDescent="0.2">
      <c r="B154" s="711"/>
      <c r="C154" s="833"/>
      <c r="D154" s="833"/>
      <c r="E154" s="145"/>
      <c r="F154" s="785"/>
      <c r="G154" s="47"/>
      <c r="H154" s="47"/>
    </row>
    <row r="155" spans="2:9" x14ac:dyDescent="0.2">
      <c r="B155" s="711"/>
      <c r="C155" s="833"/>
      <c r="D155" s="833"/>
      <c r="E155" s="145"/>
      <c r="F155" s="785"/>
      <c r="G155" s="47"/>
      <c r="H155" s="47"/>
    </row>
    <row r="156" spans="2:9" x14ac:dyDescent="0.2">
      <c r="B156" s="711"/>
      <c r="C156" s="833"/>
      <c r="D156" s="833"/>
      <c r="E156" s="145"/>
      <c r="F156" s="785"/>
      <c r="G156" s="47"/>
      <c r="H156" s="47"/>
    </row>
    <row r="157" spans="2:9" x14ac:dyDescent="0.2">
      <c r="B157" s="711"/>
      <c r="C157" s="833"/>
      <c r="D157" s="833"/>
      <c r="E157" s="145"/>
      <c r="F157" s="785"/>
      <c r="G157" s="47"/>
      <c r="H157" s="47"/>
    </row>
    <row r="158" spans="2:9" x14ac:dyDescent="0.2">
      <c r="B158" s="711"/>
      <c r="C158" s="833"/>
      <c r="D158" s="833"/>
      <c r="E158" s="145"/>
      <c r="F158" s="785"/>
      <c r="G158" s="47"/>
      <c r="H158" s="47"/>
    </row>
    <row r="159" spans="2:9" x14ac:dyDescent="0.2">
      <c r="C159" s="10"/>
      <c r="D159" s="10"/>
      <c r="E159" s="145"/>
      <c r="F159" s="785"/>
      <c r="G159" s="10"/>
      <c r="H159" s="10"/>
    </row>
  </sheetData>
  <dataConsolidate/>
  <mergeCells count="6">
    <mergeCell ref="G122:H122"/>
    <mergeCell ref="A2:C2"/>
    <mergeCell ref="A5:C5"/>
    <mergeCell ref="B72:I72"/>
    <mergeCell ref="B74:E74"/>
    <mergeCell ref="B119:H120"/>
  </mergeCells>
  <conditionalFormatting sqref="B46:E53 C61:E63 B64:E67">
    <cfRule type="expression" dxfId="46" priority="11">
      <formula>#REF!=2</formula>
    </cfRule>
  </conditionalFormatting>
  <conditionalFormatting sqref="B54">
    <cfRule type="expression" dxfId="45" priority="10">
      <formula>#REF!=2</formula>
    </cfRule>
  </conditionalFormatting>
  <conditionalFormatting sqref="E58:E60">
    <cfRule type="expression" dxfId="44" priority="9">
      <formula>#REF!=2</formula>
    </cfRule>
  </conditionalFormatting>
  <conditionalFormatting sqref="C54:E54">
    <cfRule type="expression" dxfId="43" priority="8">
      <formula>#REF!=2</formula>
    </cfRule>
  </conditionalFormatting>
  <conditionalFormatting sqref="B55">
    <cfRule type="expression" dxfId="42" priority="7">
      <formula>#REF!=2</formula>
    </cfRule>
  </conditionalFormatting>
  <conditionalFormatting sqref="C55:C60">
    <cfRule type="expression" dxfId="41" priority="6">
      <formula>#REF!=2</formula>
    </cfRule>
  </conditionalFormatting>
  <conditionalFormatting sqref="D55:D60">
    <cfRule type="expression" dxfId="40" priority="5">
      <formula>#REF!=2</formula>
    </cfRule>
  </conditionalFormatting>
  <conditionalFormatting sqref="E55:E57">
    <cfRule type="expression" dxfId="39" priority="4">
      <formula>#REF!=2</formula>
    </cfRule>
  </conditionalFormatting>
  <conditionalFormatting sqref="B56:B61">
    <cfRule type="expression" dxfId="38" priority="3">
      <formula>#REF!=2</formula>
    </cfRule>
  </conditionalFormatting>
  <conditionalFormatting sqref="B62">
    <cfRule type="expression" dxfId="37" priority="2">
      <formula>#REF!=2</formula>
    </cfRule>
  </conditionalFormatting>
  <conditionalFormatting sqref="B63">
    <cfRule type="expression" dxfId="36" priority="1">
      <formula>#REF!=2</formula>
    </cfRule>
  </conditionalFormatting>
  <pageMargins left="0.7" right="0.7" top="0.75" bottom="0.75" header="0.3" footer="0.3"/>
  <pageSetup scale="51" fitToWidth="2" fitToHeight="11"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100-000000000000}">
          <x14:formula1>
            <xm:f>'2021 LGERS summary'!$B$926:$B$1836</xm:f>
          </x14:formula1>
          <xm:sqref>C15 C13</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3F697-16F0-4FDA-9B19-8830D0931AC0}">
  <sheetPr>
    <pageSetUpPr fitToPage="1"/>
  </sheetPr>
  <dimension ref="A1:U1906"/>
  <sheetViews>
    <sheetView zoomScale="90" zoomScaleNormal="90" workbookViewId="0">
      <pane ySplit="11" topLeftCell="A1814" activePane="bottomLeft" state="frozen"/>
      <selection pane="bottomLeft" activeCell="B1836" sqref="B1836"/>
    </sheetView>
  </sheetViews>
  <sheetFormatPr defaultRowHeight="15" x14ac:dyDescent="0.25"/>
  <cols>
    <col min="1" max="1" width="10.5703125" style="1248" customWidth="1"/>
    <col min="2" max="2" width="48.85546875" style="1248" customWidth="1"/>
    <col min="3" max="3" width="13.85546875" style="1248" customWidth="1"/>
    <col min="4" max="4" width="13.85546875" style="1262" customWidth="1"/>
    <col min="5" max="5" width="30.140625" style="1248" customWidth="1"/>
    <col min="6" max="6" width="3.85546875" style="1248" customWidth="1"/>
    <col min="7" max="7" width="18.28515625" style="1248" customWidth="1"/>
    <col min="8" max="8" width="20" style="1251" customWidth="1"/>
    <col min="9" max="9" width="16.85546875" style="1248" customWidth="1"/>
    <col min="10" max="10" width="19.42578125" style="1248" customWidth="1"/>
    <col min="11" max="11" width="20" style="1251" customWidth="1"/>
    <col min="12" max="12" width="3.85546875" style="1248" customWidth="1"/>
    <col min="13" max="13" width="18.28515625" style="1248" customWidth="1"/>
    <col min="14" max="14" width="11.85546875" style="1248" customWidth="1"/>
    <col min="15" max="15" width="19.42578125" style="1248" customWidth="1"/>
    <col min="16" max="16" width="20" style="1251" customWidth="1"/>
    <col min="17" max="17" width="3.85546875" style="1248" customWidth="1"/>
    <col min="18" max="18" width="21.140625" style="1248" bestFit="1" customWidth="1"/>
    <col min="19" max="19" width="22.42578125" style="1248" customWidth="1"/>
    <col min="20" max="20" width="19.140625" style="1248" bestFit="1" customWidth="1"/>
    <col min="21" max="21" width="13.28515625" style="1248" bestFit="1" customWidth="1"/>
    <col min="22" max="16384" width="9.140625" style="1248"/>
  </cols>
  <sheetData>
    <row r="1" spans="1:21" ht="30" x14ac:dyDescent="0.25">
      <c r="A1" s="1248" t="str">
        <f>+'[8]Changes to Update Template '!C43</f>
        <v>Measurement date 6/30/2020</v>
      </c>
      <c r="C1" s="1249" t="s">
        <v>4796</v>
      </c>
      <c r="D1" s="1250" t="s">
        <v>4797</v>
      </c>
      <c r="H1" s="1248"/>
    </row>
    <row r="2" spans="1:21" x14ac:dyDescent="0.25">
      <c r="A2" s="1248" t="s">
        <v>3678</v>
      </c>
      <c r="C2" s="1252">
        <f>+C4-C3</f>
        <v>0</v>
      </c>
      <c r="D2" s="1252">
        <f>+D4-D3</f>
        <v>0</v>
      </c>
      <c r="E2" s="1253">
        <f>+E4-E3</f>
        <v>0</v>
      </c>
      <c r="G2" s="1253">
        <f>+G4-G3</f>
        <v>0</v>
      </c>
      <c r="H2" s="1253">
        <f>+H4-H3</f>
        <v>0</v>
      </c>
      <c r="I2" s="1253">
        <f>+I4-I3</f>
        <v>0</v>
      </c>
      <c r="J2" s="1253">
        <f>+J4-J3</f>
        <v>0</v>
      </c>
      <c r="K2" s="1253">
        <f>+K4-K3</f>
        <v>0</v>
      </c>
      <c r="M2" s="1253">
        <f>+M4-M3</f>
        <v>0</v>
      </c>
      <c r="N2" s="1253">
        <f>+N4-N3</f>
        <v>0</v>
      </c>
      <c r="O2" s="1253">
        <f>+O4-O3</f>
        <v>0</v>
      </c>
      <c r="P2" s="1253">
        <f>+P4-P3</f>
        <v>0</v>
      </c>
      <c r="R2" s="1253">
        <f>+R4-R3</f>
        <v>0</v>
      </c>
      <c r="S2" s="1253">
        <f>+S4-S3</f>
        <v>0</v>
      </c>
      <c r="T2" s="1253">
        <f>+T4-T3</f>
        <v>0</v>
      </c>
    </row>
    <row r="3" spans="1:21" s="1258" customFormat="1" x14ac:dyDescent="0.25">
      <c r="A3" s="1254"/>
      <c r="B3" s="1255" t="s">
        <v>923</v>
      </c>
      <c r="C3" s="1256">
        <f>SUM(C9:C923)</f>
        <v>1</v>
      </c>
      <c r="D3" s="1256">
        <f>SUM(D9:D923)</f>
        <v>1</v>
      </c>
      <c r="E3" s="1253">
        <f>SUM(E9:E923)</f>
        <v>3573425995</v>
      </c>
      <c r="F3" s="1248"/>
      <c r="G3" s="1253">
        <f>SUM(G9:G923)</f>
        <v>451260991</v>
      </c>
      <c r="H3" s="1253">
        <f>SUM(H9:H923)</f>
        <v>502863984</v>
      </c>
      <c r="I3" s="1253">
        <f>SUM(I9:I923)</f>
        <v>265932990</v>
      </c>
      <c r="J3" s="1253">
        <f>SUM(J9:J923)</f>
        <v>46013594</v>
      </c>
      <c r="K3" s="1253">
        <f>SUM(K9:K923)</f>
        <v>1266071559</v>
      </c>
      <c r="L3" s="1248"/>
      <c r="M3" s="1253">
        <f>SUM(M9:M923)</f>
        <v>0</v>
      </c>
      <c r="N3" s="1253">
        <f>SUM(N9:N923)</f>
        <v>0</v>
      </c>
      <c r="O3" s="1253">
        <f>SUM(O9:O923)</f>
        <v>46013483</v>
      </c>
      <c r="P3" s="1253">
        <f>SUM(P9:P923)</f>
        <v>46013483</v>
      </c>
      <c r="Q3" s="1248"/>
      <c r="R3" s="1253">
        <f>SUM(R9:R923)</f>
        <v>1228874981</v>
      </c>
      <c r="S3" s="1253">
        <f>SUM(S9:S923)</f>
        <v>10</v>
      </c>
      <c r="T3" s="1253">
        <f>SUM(T9:T923)</f>
        <v>1228874991</v>
      </c>
      <c r="U3" s="1257"/>
    </row>
    <row r="4" spans="1:21" s="1258" customFormat="1" x14ac:dyDescent="0.25">
      <c r="A4" s="1254"/>
      <c r="B4" s="1255" t="s">
        <v>4798</v>
      </c>
      <c r="C4" s="1256">
        <v>1</v>
      </c>
      <c r="D4" s="1256">
        <v>1</v>
      </c>
      <c r="E4" s="1253">
        <f>SUM(E9:E923)</f>
        <v>3573425995</v>
      </c>
      <c r="F4" s="1253"/>
      <c r="G4" s="1253">
        <f>SUM(G9:G923)</f>
        <v>451260991</v>
      </c>
      <c r="H4" s="1253">
        <f>SUM(H9:H923)</f>
        <v>502863984</v>
      </c>
      <c r="I4" s="1253">
        <f>SUM(I9:I923)</f>
        <v>265932990</v>
      </c>
      <c r="J4" s="1253">
        <f>SUM(J9:J923)</f>
        <v>46013594</v>
      </c>
      <c r="K4" s="1253">
        <f>SUM(K9:K923)</f>
        <v>1266071559</v>
      </c>
      <c r="L4" s="1253"/>
      <c r="M4" s="1253">
        <f>SUM(M9:M923)</f>
        <v>0</v>
      </c>
      <c r="N4" s="1253">
        <f>SUM(N9:N923)</f>
        <v>0</v>
      </c>
      <c r="O4" s="1253">
        <f>SUM(O9:O923)</f>
        <v>46013483</v>
      </c>
      <c r="P4" s="1253">
        <f>SUM(P9:P923)</f>
        <v>46013483</v>
      </c>
      <c r="Q4" s="1253"/>
      <c r="R4" s="1253">
        <f>SUM(R9:R923)</f>
        <v>1228874981</v>
      </c>
      <c r="S4" s="1253">
        <f>SUM(S9:S923)</f>
        <v>10</v>
      </c>
      <c r="T4" s="1253">
        <f>SUM(T9:T923)</f>
        <v>1228874991</v>
      </c>
    </row>
    <row r="5" spans="1:21" x14ac:dyDescent="0.25">
      <c r="B5" s="1261">
        <f>COUNT(B9:B899)</f>
        <v>0</v>
      </c>
      <c r="C5" s="1252">
        <f>+C3-C4</f>
        <v>0</v>
      </c>
      <c r="D5" s="1252">
        <f>+D3-D4</f>
        <v>0</v>
      </c>
      <c r="E5" s="1253"/>
      <c r="H5" s="1248"/>
    </row>
    <row r="6" spans="1:21" x14ac:dyDescent="0.25">
      <c r="G6" s="1263" t="s">
        <v>1171</v>
      </c>
      <c r="H6" s="1263"/>
      <c r="I6" s="1263"/>
      <c r="J6" s="1263"/>
      <c r="K6" s="1264"/>
      <c r="M6" s="1263" t="s">
        <v>1172</v>
      </c>
      <c r="N6" s="1263"/>
      <c r="O6" s="1263"/>
      <c r="P6" s="1264"/>
      <c r="R6" s="1263" t="s">
        <v>1173</v>
      </c>
      <c r="S6" s="1263"/>
      <c r="T6" s="1263"/>
    </row>
    <row r="7" spans="1:21" ht="120" x14ac:dyDescent="0.25">
      <c r="A7" s="1265" t="s">
        <v>1174</v>
      </c>
      <c r="B7" s="1265" t="s">
        <v>1175</v>
      </c>
      <c r="C7" s="1265" t="s">
        <v>2113</v>
      </c>
      <c r="D7" s="1265" t="s">
        <v>2114</v>
      </c>
      <c r="E7" s="1265" t="s">
        <v>2055</v>
      </c>
      <c r="F7" s="1265"/>
      <c r="G7" s="1265" t="s">
        <v>1177</v>
      </c>
      <c r="H7" s="1266" t="s">
        <v>1178</v>
      </c>
      <c r="I7" s="1265" t="s">
        <v>1179</v>
      </c>
      <c r="J7" s="1265" t="s">
        <v>1180</v>
      </c>
      <c r="K7" s="1266" t="s">
        <v>3679</v>
      </c>
      <c r="L7" s="1265"/>
      <c r="M7" s="1265" t="s">
        <v>1177</v>
      </c>
      <c r="N7" s="1265" t="s">
        <v>1179</v>
      </c>
      <c r="O7" s="1265" t="s">
        <v>1180</v>
      </c>
      <c r="P7" s="1266" t="s">
        <v>3680</v>
      </c>
      <c r="Q7" s="1265"/>
      <c r="R7" s="1265" t="s">
        <v>1181</v>
      </c>
      <c r="S7" s="1265" t="s">
        <v>1182</v>
      </c>
      <c r="T7" s="1265" t="s">
        <v>1183</v>
      </c>
    </row>
    <row r="8" spans="1:21" x14ac:dyDescent="0.25">
      <c r="A8" s="1267" t="s">
        <v>837</v>
      </c>
      <c r="B8" s="1268" t="s">
        <v>2112</v>
      </c>
      <c r="C8" s="1265">
        <v>0</v>
      </c>
      <c r="D8" s="1262">
        <v>0</v>
      </c>
      <c r="E8" s="1265">
        <v>0</v>
      </c>
      <c r="F8" s="1265"/>
      <c r="G8" s="1265">
        <v>0</v>
      </c>
      <c r="H8" s="1266">
        <v>0</v>
      </c>
      <c r="I8" s="1265">
        <v>0</v>
      </c>
      <c r="J8" s="1265">
        <v>0</v>
      </c>
      <c r="K8" s="1266">
        <v>0</v>
      </c>
      <c r="L8" s="1265"/>
      <c r="M8" s="1265">
        <v>0</v>
      </c>
      <c r="N8" s="1265">
        <v>0</v>
      </c>
      <c r="O8" s="1265">
        <v>0</v>
      </c>
      <c r="P8" s="1266">
        <v>0</v>
      </c>
      <c r="Q8" s="1265"/>
      <c r="R8" s="1265">
        <v>0</v>
      </c>
      <c r="S8" s="1265">
        <v>0</v>
      </c>
      <c r="T8" s="1265">
        <v>0</v>
      </c>
    </row>
    <row r="9" spans="1:21" x14ac:dyDescent="0.25">
      <c r="A9" s="1203">
        <v>70505</v>
      </c>
      <c r="B9" s="1204" t="s">
        <v>2653</v>
      </c>
      <c r="C9" s="1303">
        <v>2.9159999999999999E-4</v>
      </c>
      <c r="D9" s="1303">
        <v>3.2890000000000003E-4</v>
      </c>
      <c r="E9" s="1007">
        <v>1042011</v>
      </c>
      <c r="F9" s="1270"/>
      <c r="G9" s="1200">
        <v>131588</v>
      </c>
      <c r="H9" s="1200">
        <v>146635</v>
      </c>
      <c r="I9" s="1200">
        <v>77546</v>
      </c>
      <c r="J9" s="1007">
        <v>0</v>
      </c>
      <c r="K9" s="1007">
        <v>355769</v>
      </c>
      <c r="L9" s="1270"/>
      <c r="M9" s="1198">
        <v>0</v>
      </c>
      <c r="N9" s="1198">
        <v>0</v>
      </c>
      <c r="O9" s="1007">
        <v>49935</v>
      </c>
      <c r="P9" s="1007">
        <v>49935</v>
      </c>
      <c r="Q9" s="1270"/>
      <c r="R9" s="1200">
        <v>358340</v>
      </c>
      <c r="S9" s="1007">
        <v>-28715</v>
      </c>
      <c r="T9" s="1306">
        <v>329625</v>
      </c>
    </row>
    <row r="10" spans="1:21" x14ac:dyDescent="0.25">
      <c r="A10" s="1203">
        <v>71786</v>
      </c>
      <c r="B10" s="1204" t="s">
        <v>2654</v>
      </c>
      <c r="C10" s="1303">
        <v>0</v>
      </c>
      <c r="D10" s="1303">
        <v>0</v>
      </c>
      <c r="E10" s="1007">
        <v>0</v>
      </c>
      <c r="F10" s="1270"/>
      <c r="G10" s="1200">
        <v>0</v>
      </c>
      <c r="H10" s="1200">
        <v>0</v>
      </c>
      <c r="I10" s="1200">
        <v>0</v>
      </c>
      <c r="J10" s="1007">
        <v>0</v>
      </c>
      <c r="K10" s="1007">
        <v>0</v>
      </c>
      <c r="L10" s="1270"/>
      <c r="M10" s="1198">
        <v>0</v>
      </c>
      <c r="N10" s="1198">
        <v>0</v>
      </c>
      <c r="O10" s="1007">
        <v>8771</v>
      </c>
      <c r="P10" s="1007">
        <v>8771</v>
      </c>
      <c r="Q10" s="1270"/>
      <c r="R10" s="1200">
        <v>0</v>
      </c>
      <c r="S10" s="1007">
        <v>-7538</v>
      </c>
      <c r="T10" s="1306">
        <v>-7538</v>
      </c>
    </row>
    <row r="11" spans="1:21" x14ac:dyDescent="0.25">
      <c r="A11" s="1203">
        <v>72265</v>
      </c>
      <c r="B11" s="1204" t="s">
        <v>2655</v>
      </c>
      <c r="C11" s="1303">
        <v>1.5550000000000001E-4</v>
      </c>
      <c r="D11" s="1303">
        <v>1.44E-4</v>
      </c>
      <c r="E11" s="1007">
        <v>555668</v>
      </c>
      <c r="F11" s="1270"/>
      <c r="G11" s="1200">
        <v>70171</v>
      </c>
      <c r="H11" s="1200">
        <v>78195</v>
      </c>
      <c r="I11" s="1200">
        <v>41353</v>
      </c>
      <c r="J11" s="1007">
        <v>21070</v>
      </c>
      <c r="K11" s="1007">
        <v>210789</v>
      </c>
      <c r="L11" s="1270"/>
      <c r="M11" s="1198">
        <v>0</v>
      </c>
      <c r="N11" s="1198">
        <v>0</v>
      </c>
      <c r="O11" s="1007">
        <v>4322</v>
      </c>
      <c r="P11" s="1007">
        <v>4322</v>
      </c>
      <c r="Q11" s="1270"/>
      <c r="R11" s="1200">
        <v>191090</v>
      </c>
      <c r="S11" s="1007">
        <v>5673</v>
      </c>
      <c r="T11" s="1306">
        <v>196763</v>
      </c>
    </row>
    <row r="12" spans="1:21" x14ac:dyDescent="0.25">
      <c r="A12" s="1202">
        <v>72593</v>
      </c>
      <c r="B12" s="1301" t="s">
        <v>3681</v>
      </c>
      <c r="C12" s="1303">
        <v>6.7000000000000002E-6</v>
      </c>
      <c r="D12" s="1303">
        <v>6.1E-6</v>
      </c>
      <c r="E12" s="1007">
        <v>23942</v>
      </c>
      <c r="F12" s="1270"/>
      <c r="G12" s="1200">
        <v>3023</v>
      </c>
      <c r="H12" s="1200">
        <v>3369</v>
      </c>
      <c r="I12" s="1200">
        <v>1782</v>
      </c>
      <c r="J12" s="1007">
        <v>918</v>
      </c>
      <c r="K12" s="1007">
        <v>9092</v>
      </c>
      <c r="L12" s="1270"/>
      <c r="M12" s="1198">
        <v>0</v>
      </c>
      <c r="N12" s="1198">
        <v>0</v>
      </c>
      <c r="O12" s="1007">
        <v>596</v>
      </c>
      <c r="P12" s="1007">
        <v>596</v>
      </c>
      <c r="Q12" s="1270"/>
      <c r="R12" s="1200">
        <v>8233</v>
      </c>
      <c r="S12" s="1007">
        <v>559</v>
      </c>
      <c r="T12" s="1306">
        <v>8792</v>
      </c>
    </row>
    <row r="13" spans="1:21" x14ac:dyDescent="0.25">
      <c r="A13" s="1203">
        <v>72657</v>
      </c>
      <c r="B13" s="1204" t="s">
        <v>2656</v>
      </c>
      <c r="C13" s="1303">
        <v>3.8000000000000002E-5</v>
      </c>
      <c r="D13" s="1303">
        <v>3.7200000000000003E-5</v>
      </c>
      <c r="E13" s="1007">
        <v>135790</v>
      </c>
      <c r="F13" s="1270"/>
      <c r="G13" s="1200">
        <v>17148</v>
      </c>
      <c r="H13" s="1200">
        <v>19109</v>
      </c>
      <c r="I13" s="1200">
        <v>10105</v>
      </c>
      <c r="J13" s="1007">
        <v>0</v>
      </c>
      <c r="K13" s="1007">
        <v>46362</v>
      </c>
      <c r="L13" s="1270"/>
      <c r="M13" s="1198">
        <v>0</v>
      </c>
      <c r="N13" s="1198">
        <v>0</v>
      </c>
      <c r="O13" s="1007">
        <v>5921</v>
      </c>
      <c r="P13" s="1007">
        <v>5921</v>
      </c>
      <c r="Q13" s="1270"/>
      <c r="R13" s="1200">
        <v>46697</v>
      </c>
      <c r="S13" s="1007">
        <v>-2850</v>
      </c>
      <c r="T13" s="1306">
        <v>43847</v>
      </c>
    </row>
    <row r="14" spans="1:21" x14ac:dyDescent="0.25">
      <c r="A14" s="1203">
        <v>90001</v>
      </c>
      <c r="B14" s="1204" t="s">
        <v>2657</v>
      </c>
      <c r="C14" s="1303">
        <v>8.8630000000000002E-4</v>
      </c>
      <c r="D14" s="1303">
        <v>8.6050000000000005E-4</v>
      </c>
      <c r="E14" s="1007">
        <v>3167127</v>
      </c>
      <c r="F14" s="1270"/>
      <c r="G14" s="1200">
        <v>399953</v>
      </c>
      <c r="H14" s="1200">
        <v>445688</v>
      </c>
      <c r="I14" s="1200">
        <v>235696</v>
      </c>
      <c r="J14" s="1007">
        <v>49757</v>
      </c>
      <c r="K14" s="1007">
        <v>1131094</v>
      </c>
      <c r="L14" s="1270"/>
      <c r="M14" s="1198">
        <v>0</v>
      </c>
      <c r="N14" s="1198">
        <v>0</v>
      </c>
      <c r="O14" s="1007">
        <v>3133</v>
      </c>
      <c r="P14" s="1007">
        <v>3133</v>
      </c>
      <c r="Q14" s="1270"/>
      <c r="R14" s="1200">
        <v>1089152</v>
      </c>
      <c r="S14" s="1007">
        <v>16498</v>
      </c>
      <c r="T14" s="1306">
        <v>1105650</v>
      </c>
    </row>
    <row r="15" spans="1:21" x14ac:dyDescent="0.25">
      <c r="A15" s="1203">
        <v>90002</v>
      </c>
      <c r="B15" s="1204" t="s">
        <v>2658</v>
      </c>
      <c r="C15" s="1303">
        <v>7.7999999999999999E-6</v>
      </c>
      <c r="D15" s="1303">
        <v>8.3999999999999992E-6</v>
      </c>
      <c r="E15" s="1007">
        <v>27873</v>
      </c>
      <c r="F15" s="1270"/>
      <c r="G15" s="1200">
        <v>3520</v>
      </c>
      <c r="H15" s="1200">
        <v>3923</v>
      </c>
      <c r="I15" s="1200">
        <v>2074</v>
      </c>
      <c r="J15" s="1007">
        <v>2668</v>
      </c>
      <c r="K15" s="1007">
        <v>12185</v>
      </c>
      <c r="L15" s="1270"/>
      <c r="M15" s="1198">
        <v>0</v>
      </c>
      <c r="N15" s="1198">
        <v>0</v>
      </c>
      <c r="O15" s="1007">
        <v>0</v>
      </c>
      <c r="P15" s="1007">
        <v>0</v>
      </c>
      <c r="Q15" s="1270"/>
      <c r="R15" s="1200">
        <v>9585</v>
      </c>
      <c r="S15" s="1007">
        <v>1250</v>
      </c>
      <c r="T15" s="1306">
        <v>10835</v>
      </c>
    </row>
    <row r="16" spans="1:21" x14ac:dyDescent="0.25">
      <c r="A16" s="1203">
        <v>90011</v>
      </c>
      <c r="B16" s="1204" t="s">
        <v>2659</v>
      </c>
      <c r="C16" s="1303">
        <v>1.6799999999999999E-4</v>
      </c>
      <c r="D16" s="1303">
        <v>1.8009999999999999E-4</v>
      </c>
      <c r="E16" s="1007">
        <v>600336</v>
      </c>
      <c r="F16" s="1270"/>
      <c r="G16" s="1200">
        <v>75812</v>
      </c>
      <c r="H16" s="1200">
        <v>84481</v>
      </c>
      <c r="I16" s="1200">
        <v>44677</v>
      </c>
      <c r="J16" s="1007">
        <v>0</v>
      </c>
      <c r="K16" s="1007">
        <v>204970</v>
      </c>
      <c r="L16" s="1270"/>
      <c r="M16" s="1198">
        <v>0</v>
      </c>
      <c r="N16" s="1198">
        <v>0</v>
      </c>
      <c r="O16" s="1007">
        <v>22352</v>
      </c>
      <c r="P16" s="1007">
        <v>22352</v>
      </c>
      <c r="Q16" s="1270"/>
      <c r="R16" s="1200">
        <v>206451</v>
      </c>
      <c r="S16" s="1007">
        <v>-14496</v>
      </c>
      <c r="T16" s="1306">
        <v>191955</v>
      </c>
    </row>
    <row r="17" spans="1:20" x14ac:dyDescent="0.25">
      <c r="A17" s="1203">
        <v>90092</v>
      </c>
      <c r="B17" s="1204" t="s">
        <v>2660</v>
      </c>
      <c r="C17" s="1303">
        <v>4.2119999999999999E-4</v>
      </c>
      <c r="D17" s="1303">
        <v>3.9530000000000001E-4</v>
      </c>
      <c r="E17" s="1007">
        <v>1505127</v>
      </c>
      <c r="F17" s="1270"/>
      <c r="G17" s="1200">
        <v>190071</v>
      </c>
      <c r="H17" s="1200">
        <v>211806</v>
      </c>
      <c r="I17" s="1200">
        <v>112011</v>
      </c>
      <c r="J17" s="1007">
        <v>74797</v>
      </c>
      <c r="K17" s="1007">
        <v>588685</v>
      </c>
      <c r="L17" s="1270"/>
      <c r="M17" s="1198">
        <v>0</v>
      </c>
      <c r="N17" s="1198">
        <v>0</v>
      </c>
      <c r="O17" s="1007">
        <v>2018</v>
      </c>
      <c r="P17" s="1007">
        <v>2018</v>
      </c>
      <c r="Q17" s="1270"/>
      <c r="R17" s="1200">
        <v>517602</v>
      </c>
      <c r="S17" s="1007">
        <v>14287</v>
      </c>
      <c r="T17" s="1306">
        <v>531889</v>
      </c>
    </row>
    <row r="18" spans="1:20" x14ac:dyDescent="0.25">
      <c r="A18" s="1203">
        <v>90096</v>
      </c>
      <c r="B18" s="1204" t="s">
        <v>2661</v>
      </c>
      <c r="C18" s="1303">
        <v>9.6089999999999999E-4</v>
      </c>
      <c r="D18" s="1303">
        <v>9.722E-4</v>
      </c>
      <c r="E18" s="1007">
        <v>3433705</v>
      </c>
      <c r="F18" s="1270"/>
      <c r="G18" s="1200">
        <v>433617</v>
      </c>
      <c r="H18" s="1200">
        <v>483202</v>
      </c>
      <c r="I18" s="1200">
        <v>255535</v>
      </c>
      <c r="J18" s="1007">
        <v>188744</v>
      </c>
      <c r="K18" s="1007">
        <v>1361098</v>
      </c>
      <c r="L18" s="1270"/>
      <c r="M18" s="1198">
        <v>0</v>
      </c>
      <c r="N18" s="1198">
        <v>0</v>
      </c>
      <c r="O18" s="1007">
        <v>51356</v>
      </c>
      <c r="P18" s="1007">
        <v>51356</v>
      </c>
      <c r="Q18" s="1270"/>
      <c r="R18" s="1200">
        <v>1180826</v>
      </c>
      <c r="S18" s="1007">
        <v>4489</v>
      </c>
      <c r="T18" s="1306">
        <v>1185315</v>
      </c>
    </row>
    <row r="19" spans="1:20" x14ac:dyDescent="0.25">
      <c r="A19" s="1203">
        <v>90098</v>
      </c>
      <c r="B19" s="1204" t="s">
        <v>2662</v>
      </c>
      <c r="C19" s="1303">
        <v>2.5950000000000002E-4</v>
      </c>
      <c r="D19" s="1303">
        <v>2.521E-4</v>
      </c>
      <c r="E19" s="1007">
        <v>927304</v>
      </c>
      <c r="F19" s="1270"/>
      <c r="G19" s="1200">
        <v>117102</v>
      </c>
      <c r="H19" s="1200">
        <v>130494</v>
      </c>
      <c r="I19" s="1200">
        <v>69010</v>
      </c>
      <c r="J19" s="1007">
        <v>25313</v>
      </c>
      <c r="K19" s="1007">
        <v>341919</v>
      </c>
      <c r="L19" s="1270"/>
      <c r="M19" s="1198">
        <v>0</v>
      </c>
      <c r="N19" s="1198">
        <v>0</v>
      </c>
      <c r="O19" s="1007">
        <v>33796</v>
      </c>
      <c r="P19" s="1007">
        <v>33796</v>
      </c>
      <c r="Q19" s="1270"/>
      <c r="R19" s="1200">
        <v>318893</v>
      </c>
      <c r="S19" s="1007">
        <v>-25117</v>
      </c>
      <c r="T19" s="1306">
        <v>293776</v>
      </c>
    </row>
    <row r="20" spans="1:20" x14ac:dyDescent="0.25">
      <c r="A20" s="1203">
        <v>90099</v>
      </c>
      <c r="B20" s="1204" t="s">
        <v>2663</v>
      </c>
      <c r="C20" s="1303">
        <v>6.7920000000000003E-4</v>
      </c>
      <c r="D20" s="1303">
        <v>6.7389999999999995E-4</v>
      </c>
      <c r="E20" s="1007">
        <v>2427071</v>
      </c>
      <c r="F20" s="1270"/>
      <c r="G20" s="1200">
        <v>306496</v>
      </c>
      <c r="H20" s="1200">
        <v>341545</v>
      </c>
      <c r="I20" s="1200">
        <v>180622</v>
      </c>
      <c r="J20" s="1007">
        <v>21836</v>
      </c>
      <c r="K20" s="1007">
        <v>850499</v>
      </c>
      <c r="L20" s="1270"/>
      <c r="M20" s="1198">
        <v>0</v>
      </c>
      <c r="N20" s="1198">
        <v>0</v>
      </c>
      <c r="O20" s="1007">
        <v>57549</v>
      </c>
      <c r="P20" s="1007">
        <v>57549</v>
      </c>
      <c r="Q20" s="1270"/>
      <c r="R20" s="1200">
        <v>834652</v>
      </c>
      <c r="S20" s="1007">
        <v>-9264</v>
      </c>
      <c r="T20" s="1306">
        <v>825388</v>
      </c>
    </row>
    <row r="21" spans="1:20" x14ac:dyDescent="0.25">
      <c r="A21" s="1203">
        <v>90101</v>
      </c>
      <c r="B21" s="1204" t="s">
        <v>2664</v>
      </c>
      <c r="C21" s="1303">
        <v>6.2649999999999997E-3</v>
      </c>
      <c r="D21" s="1303">
        <v>6.2302E-3</v>
      </c>
      <c r="E21" s="1007">
        <v>22387514</v>
      </c>
      <c r="F21" s="1270"/>
      <c r="G21" s="1200">
        <v>2827150</v>
      </c>
      <c r="H21" s="1200">
        <v>3150443</v>
      </c>
      <c r="I21" s="1200">
        <v>1666070</v>
      </c>
      <c r="J21" s="1007">
        <v>89967</v>
      </c>
      <c r="K21" s="1007">
        <v>7733630</v>
      </c>
      <c r="L21" s="1270"/>
      <c r="M21" s="1198">
        <v>0</v>
      </c>
      <c r="N21" s="1198">
        <v>0</v>
      </c>
      <c r="O21" s="1007">
        <v>244056</v>
      </c>
      <c r="P21" s="1007">
        <v>244056</v>
      </c>
      <c r="Q21" s="1270"/>
      <c r="R21" s="1200">
        <v>7698902</v>
      </c>
      <c r="S21" s="1007">
        <v>-26041</v>
      </c>
      <c r="T21" s="1306">
        <v>7672861</v>
      </c>
    </row>
    <row r="22" spans="1:20" x14ac:dyDescent="0.25">
      <c r="A22" s="1203">
        <v>90111</v>
      </c>
      <c r="B22" s="1204" t="s">
        <v>2665</v>
      </c>
      <c r="C22" s="1303">
        <v>4.9195999999999997E-3</v>
      </c>
      <c r="D22" s="1303">
        <v>4.9528000000000003E-3</v>
      </c>
      <c r="E22" s="1007">
        <v>17579827</v>
      </c>
      <c r="F22" s="1270"/>
      <c r="G22" s="1200">
        <v>2220024</v>
      </c>
      <c r="H22" s="1200">
        <v>2473889</v>
      </c>
      <c r="I22" s="1200">
        <v>1308284</v>
      </c>
      <c r="J22" s="1007">
        <v>7272</v>
      </c>
      <c r="K22" s="1007">
        <v>6009469</v>
      </c>
      <c r="L22" s="1270"/>
      <c r="M22" s="1198">
        <v>0</v>
      </c>
      <c r="N22" s="1198">
        <v>0</v>
      </c>
      <c r="O22" s="1007">
        <v>229781</v>
      </c>
      <c r="P22" s="1007">
        <v>229781</v>
      </c>
      <c r="Q22" s="1270"/>
      <c r="R22" s="1200">
        <v>6045573</v>
      </c>
      <c r="S22" s="1007">
        <v>-89818</v>
      </c>
      <c r="T22" s="1306">
        <v>5955755</v>
      </c>
    </row>
    <row r="23" spans="1:20" x14ac:dyDescent="0.25">
      <c r="A23" s="1203">
        <v>90114</v>
      </c>
      <c r="B23" s="1204" t="s">
        <v>2666</v>
      </c>
      <c r="C23" s="1303">
        <v>1.1237E-3</v>
      </c>
      <c r="D23" s="1303">
        <v>1.1188999999999999E-3</v>
      </c>
      <c r="E23" s="1007">
        <v>4015459</v>
      </c>
      <c r="F23" s="1270"/>
      <c r="G23" s="1200">
        <v>507082</v>
      </c>
      <c r="H23" s="1200">
        <v>565069</v>
      </c>
      <c r="I23" s="1200">
        <v>298829</v>
      </c>
      <c r="J23" s="1007">
        <v>859896</v>
      </c>
      <c r="K23" s="1007">
        <v>2230876</v>
      </c>
      <c r="L23" s="1270"/>
      <c r="M23" s="1198">
        <v>0</v>
      </c>
      <c r="N23" s="1198">
        <v>0</v>
      </c>
      <c r="O23" s="1007">
        <v>185</v>
      </c>
      <c r="P23" s="1007">
        <v>185</v>
      </c>
      <c r="Q23" s="1270"/>
      <c r="R23" s="1200">
        <v>1380887</v>
      </c>
      <c r="S23" s="1007">
        <v>524997</v>
      </c>
      <c r="T23" s="1306">
        <v>1905884</v>
      </c>
    </row>
    <row r="24" spans="1:20" x14ac:dyDescent="0.25">
      <c r="A24" s="1203">
        <v>90117</v>
      </c>
      <c r="B24" s="1204" t="s">
        <v>2667</v>
      </c>
      <c r="C24" s="1303">
        <v>1.3799999999999999E-4</v>
      </c>
      <c r="D24" s="1303">
        <v>1.3219999999999999E-4</v>
      </c>
      <c r="E24" s="1007">
        <v>493133</v>
      </c>
      <c r="F24" s="1270"/>
      <c r="G24" s="1200">
        <v>62274</v>
      </c>
      <c r="H24" s="1200">
        <v>69395</v>
      </c>
      <c r="I24" s="1200">
        <v>36699</v>
      </c>
      <c r="J24" s="1007">
        <v>49251</v>
      </c>
      <c r="K24" s="1007">
        <v>217619</v>
      </c>
      <c r="L24" s="1270"/>
      <c r="M24" s="1198">
        <v>0</v>
      </c>
      <c r="N24" s="1198">
        <v>0</v>
      </c>
      <c r="O24" s="1007">
        <v>0</v>
      </c>
      <c r="P24" s="1007">
        <v>0</v>
      </c>
      <c r="Q24" s="1270"/>
      <c r="R24" s="1200">
        <v>169585</v>
      </c>
      <c r="S24" s="1007">
        <v>25022</v>
      </c>
      <c r="T24" s="1306">
        <v>194607</v>
      </c>
    </row>
    <row r="25" spans="1:20" x14ac:dyDescent="0.25">
      <c r="A25" s="1203">
        <v>90121</v>
      </c>
      <c r="B25" s="1204" t="s">
        <v>2668</v>
      </c>
      <c r="C25" s="1303">
        <v>1.0861E-3</v>
      </c>
      <c r="D25" s="1303">
        <v>1.1077999999999999E-3</v>
      </c>
      <c r="E25" s="1007">
        <v>3881098</v>
      </c>
      <c r="F25" s="1270"/>
      <c r="G25" s="1200">
        <v>490115</v>
      </c>
      <c r="H25" s="1200">
        <v>546161</v>
      </c>
      <c r="I25" s="1200">
        <v>288830</v>
      </c>
      <c r="J25" s="1007">
        <v>0</v>
      </c>
      <c r="K25" s="1007">
        <v>1325106</v>
      </c>
      <c r="L25" s="1270"/>
      <c r="M25" s="1198">
        <v>0</v>
      </c>
      <c r="N25" s="1198">
        <v>0</v>
      </c>
      <c r="O25" s="1007">
        <v>106159</v>
      </c>
      <c r="P25" s="1007">
        <v>106159</v>
      </c>
      <c r="Q25" s="1270"/>
      <c r="R25" s="1200">
        <v>1334681</v>
      </c>
      <c r="S25" s="1007">
        <v>-58208</v>
      </c>
      <c r="T25" s="1306">
        <v>1276473</v>
      </c>
    </row>
    <row r="26" spans="1:20" x14ac:dyDescent="0.25">
      <c r="A26" s="1203">
        <v>90131</v>
      </c>
      <c r="B26" s="1204" t="s">
        <v>2669</v>
      </c>
      <c r="C26" s="1303">
        <v>4.9819999999999997E-4</v>
      </c>
      <c r="D26" s="1303">
        <v>4.9050000000000005E-4</v>
      </c>
      <c r="E26" s="1007">
        <v>1780281</v>
      </c>
      <c r="F26" s="1270"/>
      <c r="G26" s="1200">
        <v>224818</v>
      </c>
      <c r="H26" s="1200">
        <v>250527</v>
      </c>
      <c r="I26" s="1200">
        <v>132488</v>
      </c>
      <c r="J26" s="1007">
        <v>3471</v>
      </c>
      <c r="K26" s="1007">
        <v>611304</v>
      </c>
      <c r="L26" s="1270"/>
      <c r="M26" s="1198">
        <v>0</v>
      </c>
      <c r="N26" s="1198">
        <v>0</v>
      </c>
      <c r="O26" s="1007">
        <v>12089</v>
      </c>
      <c r="P26" s="1007">
        <v>12089</v>
      </c>
      <c r="Q26" s="1270"/>
      <c r="R26" s="1200">
        <v>612226</v>
      </c>
      <c r="S26" s="1007">
        <v>-10522</v>
      </c>
      <c r="T26" s="1306">
        <v>601704</v>
      </c>
    </row>
    <row r="27" spans="1:20" x14ac:dyDescent="0.25">
      <c r="A27" s="1203">
        <v>90141</v>
      </c>
      <c r="B27" s="1204" t="s">
        <v>2670</v>
      </c>
      <c r="C27" s="1303">
        <v>1.6770000000000001E-4</v>
      </c>
      <c r="D27" s="1303">
        <v>1.4770000000000001E-4</v>
      </c>
      <c r="E27" s="1007">
        <v>599264</v>
      </c>
      <c r="F27" s="1270"/>
      <c r="G27" s="1200">
        <v>75676</v>
      </c>
      <c r="H27" s="1200">
        <v>84330</v>
      </c>
      <c r="I27" s="1200">
        <v>44597</v>
      </c>
      <c r="J27" s="1007">
        <v>21933</v>
      </c>
      <c r="K27" s="1007">
        <v>226536</v>
      </c>
      <c r="L27" s="1270"/>
      <c r="M27" s="1198">
        <v>0</v>
      </c>
      <c r="N27" s="1198">
        <v>0</v>
      </c>
      <c r="O27" s="1007">
        <v>1403</v>
      </c>
      <c r="P27" s="1007">
        <v>1403</v>
      </c>
      <c r="Q27" s="1270"/>
      <c r="R27" s="1200">
        <v>206082</v>
      </c>
      <c r="S27" s="1007">
        <v>4779</v>
      </c>
      <c r="T27" s="1306">
        <v>210861</v>
      </c>
    </row>
    <row r="28" spans="1:20" x14ac:dyDescent="0.25">
      <c r="A28" s="1203">
        <v>90151</v>
      </c>
      <c r="B28" s="1204" t="s">
        <v>2671</v>
      </c>
      <c r="C28" s="1303">
        <v>8.8999999999999995E-6</v>
      </c>
      <c r="D28" s="1303">
        <v>9.3000000000000007E-6</v>
      </c>
      <c r="E28" s="1007">
        <v>31803</v>
      </c>
      <c r="F28" s="1270"/>
      <c r="G28" s="1200">
        <v>4016</v>
      </c>
      <c r="H28" s="1200">
        <v>4475</v>
      </c>
      <c r="I28" s="1200">
        <v>2367</v>
      </c>
      <c r="J28" s="1007">
        <v>0</v>
      </c>
      <c r="K28" s="1007">
        <v>10858</v>
      </c>
      <c r="L28" s="1270"/>
      <c r="M28" s="1198">
        <v>0</v>
      </c>
      <c r="N28" s="1198">
        <v>0</v>
      </c>
      <c r="O28" s="1007">
        <v>3655</v>
      </c>
      <c r="P28" s="1007">
        <v>3655</v>
      </c>
      <c r="Q28" s="1270"/>
      <c r="R28" s="1200">
        <v>10937</v>
      </c>
      <c r="S28" s="1007">
        <v>-1760</v>
      </c>
      <c r="T28" s="1306">
        <v>9177</v>
      </c>
    </row>
    <row r="29" spans="1:20" x14ac:dyDescent="0.25">
      <c r="A29" s="1203">
        <v>90161</v>
      </c>
      <c r="B29" s="1204" t="s">
        <v>2672</v>
      </c>
      <c r="C29" s="1303">
        <v>2.73E-5</v>
      </c>
      <c r="D29" s="1303">
        <v>3.57E-5</v>
      </c>
      <c r="E29" s="1007">
        <v>97555</v>
      </c>
      <c r="F29" s="1270"/>
      <c r="G29" s="1200">
        <v>12319</v>
      </c>
      <c r="H29" s="1200">
        <v>13728</v>
      </c>
      <c r="I29" s="1200">
        <v>7260</v>
      </c>
      <c r="J29" s="1007">
        <v>1330</v>
      </c>
      <c r="K29" s="1007">
        <v>34637</v>
      </c>
      <c r="L29" s="1270"/>
      <c r="M29" s="1198">
        <v>0</v>
      </c>
      <c r="N29" s="1198">
        <v>0</v>
      </c>
      <c r="O29" s="1007">
        <v>15320</v>
      </c>
      <c r="P29" s="1007">
        <v>15320</v>
      </c>
      <c r="Q29" s="1270"/>
      <c r="R29" s="1200">
        <v>33548</v>
      </c>
      <c r="S29" s="1007">
        <v>-3705</v>
      </c>
      <c r="T29" s="1306">
        <v>29843</v>
      </c>
    </row>
    <row r="30" spans="1:20" x14ac:dyDescent="0.25">
      <c r="A30" s="1203">
        <v>90201</v>
      </c>
      <c r="B30" s="1204" t="s">
        <v>2673</v>
      </c>
      <c r="C30" s="1303">
        <v>1.3292E-3</v>
      </c>
      <c r="D30" s="1303">
        <v>1.2569E-3</v>
      </c>
      <c r="E30" s="1007">
        <v>4749798</v>
      </c>
      <c r="F30" s="1270"/>
      <c r="G30" s="1200">
        <v>599816</v>
      </c>
      <c r="H30" s="1200">
        <v>668407</v>
      </c>
      <c r="I30" s="1200">
        <v>353478</v>
      </c>
      <c r="J30" s="1007">
        <v>114565</v>
      </c>
      <c r="K30" s="1007">
        <v>1736266</v>
      </c>
      <c r="L30" s="1270"/>
      <c r="M30" s="1198">
        <v>0</v>
      </c>
      <c r="N30" s="1198">
        <v>0</v>
      </c>
      <c r="O30" s="1007">
        <v>21883</v>
      </c>
      <c r="P30" s="1007">
        <v>21883</v>
      </c>
      <c r="Q30" s="1270"/>
      <c r="R30" s="1200">
        <v>1633421</v>
      </c>
      <c r="S30" s="1007">
        <v>22640</v>
      </c>
      <c r="T30" s="1306">
        <v>1656061</v>
      </c>
    </row>
    <row r="31" spans="1:20" x14ac:dyDescent="0.25">
      <c r="A31" s="1203">
        <v>90203</v>
      </c>
      <c r="B31" s="1204" t="s">
        <v>2674</v>
      </c>
      <c r="C31" s="1303">
        <v>1.8110000000000001E-4</v>
      </c>
      <c r="D31" s="1303">
        <v>2.0019999999999999E-4</v>
      </c>
      <c r="E31" s="1007">
        <v>647147</v>
      </c>
      <c r="F31" s="1270"/>
      <c r="G31" s="1200">
        <v>81723</v>
      </c>
      <c r="H31" s="1200">
        <v>91069</v>
      </c>
      <c r="I31" s="1200">
        <v>48160</v>
      </c>
      <c r="J31" s="1007">
        <v>3764</v>
      </c>
      <c r="K31" s="1007">
        <v>224716</v>
      </c>
      <c r="L31" s="1270"/>
      <c r="M31" s="1198">
        <v>0</v>
      </c>
      <c r="N31" s="1198">
        <v>0</v>
      </c>
      <c r="O31" s="1007">
        <v>25075</v>
      </c>
      <c r="P31" s="1007">
        <v>25075</v>
      </c>
      <c r="Q31" s="1270"/>
      <c r="R31" s="1200">
        <v>222549</v>
      </c>
      <c r="S31" s="1007">
        <v>-16100</v>
      </c>
      <c r="T31" s="1306">
        <v>206449</v>
      </c>
    </row>
    <row r="32" spans="1:20" x14ac:dyDescent="0.25">
      <c r="A32" s="1203">
        <v>90205</v>
      </c>
      <c r="B32" s="1204" t="s">
        <v>2675</v>
      </c>
      <c r="C32" s="1303">
        <v>3.0199999999999999E-5</v>
      </c>
      <c r="D32" s="1303">
        <v>3.04E-5</v>
      </c>
      <c r="E32" s="1007">
        <v>107917</v>
      </c>
      <c r="F32" s="1270"/>
      <c r="G32" s="1200">
        <v>13628</v>
      </c>
      <c r="H32" s="1200">
        <v>15187</v>
      </c>
      <c r="I32" s="1200">
        <v>8031</v>
      </c>
      <c r="J32" s="1007">
        <v>1986</v>
      </c>
      <c r="K32" s="1007">
        <v>38832</v>
      </c>
      <c r="L32" s="1270"/>
      <c r="M32" s="1198">
        <v>0</v>
      </c>
      <c r="N32" s="1198">
        <v>0</v>
      </c>
      <c r="O32" s="1007">
        <v>937</v>
      </c>
      <c r="P32" s="1007">
        <v>937</v>
      </c>
      <c r="Q32" s="1270"/>
      <c r="R32" s="1200">
        <v>37112</v>
      </c>
      <c r="S32" s="1007">
        <v>34</v>
      </c>
      <c r="T32" s="1306">
        <v>37146</v>
      </c>
    </row>
    <row r="33" spans="1:20" x14ac:dyDescent="0.25">
      <c r="A33" s="1203">
        <v>90206</v>
      </c>
      <c r="B33" s="1204" t="s">
        <v>2676</v>
      </c>
      <c r="C33" s="1303">
        <v>3.6870000000000002E-4</v>
      </c>
      <c r="D33" s="1303">
        <v>3.6160000000000001E-4</v>
      </c>
      <c r="E33" s="1007">
        <v>1317522</v>
      </c>
      <c r="F33" s="1270"/>
      <c r="G33" s="1200">
        <v>166380</v>
      </c>
      <c r="H33" s="1200">
        <v>185406</v>
      </c>
      <c r="I33" s="1200">
        <v>98049</v>
      </c>
      <c r="J33" s="1007">
        <v>27266</v>
      </c>
      <c r="K33" s="1007">
        <v>477101</v>
      </c>
      <c r="L33" s="1270"/>
      <c r="M33" s="1198">
        <v>0</v>
      </c>
      <c r="N33" s="1198">
        <v>0</v>
      </c>
      <c r="O33" s="1007">
        <v>39344</v>
      </c>
      <c r="P33" s="1007">
        <v>39344</v>
      </c>
      <c r="Q33" s="1270"/>
      <c r="R33" s="1200">
        <v>453086</v>
      </c>
      <c r="S33" s="1007">
        <v>-9138</v>
      </c>
      <c r="T33" s="1306">
        <v>443948</v>
      </c>
    </row>
    <row r="34" spans="1:20" x14ac:dyDescent="0.25">
      <c r="A34" s="1203">
        <v>90211</v>
      </c>
      <c r="B34" s="1204" t="s">
        <v>2677</v>
      </c>
      <c r="C34" s="1303">
        <v>1.473E-4</v>
      </c>
      <c r="D34" s="1303">
        <v>1.5799999999999999E-4</v>
      </c>
      <c r="E34" s="1007">
        <v>526366</v>
      </c>
      <c r="F34" s="1270"/>
      <c r="G34" s="1200">
        <v>66471</v>
      </c>
      <c r="H34" s="1200">
        <v>74071</v>
      </c>
      <c r="I34" s="1200">
        <v>39172</v>
      </c>
      <c r="J34" s="1007">
        <v>7103</v>
      </c>
      <c r="K34" s="1007">
        <v>186817</v>
      </c>
      <c r="L34" s="1270"/>
      <c r="M34" s="1198">
        <v>0</v>
      </c>
      <c r="N34" s="1198">
        <v>0</v>
      </c>
      <c r="O34" s="1007">
        <v>6721</v>
      </c>
      <c r="P34" s="1007">
        <v>6721</v>
      </c>
      <c r="Q34" s="1270"/>
      <c r="R34" s="1200">
        <v>181013</v>
      </c>
      <c r="S34" s="1007">
        <v>-2491</v>
      </c>
      <c r="T34" s="1306">
        <v>178522</v>
      </c>
    </row>
    <row r="35" spans="1:20" x14ac:dyDescent="0.25">
      <c r="A35" s="1203">
        <v>90301</v>
      </c>
      <c r="B35" s="1204" t="s">
        <v>2678</v>
      </c>
      <c r="C35" s="1303">
        <v>7.2150000000000003E-4</v>
      </c>
      <c r="D35" s="1303">
        <v>7.339E-4</v>
      </c>
      <c r="E35" s="1007">
        <v>2578227</v>
      </c>
      <c r="F35" s="1270"/>
      <c r="G35" s="1200">
        <v>325585</v>
      </c>
      <c r="H35" s="1200">
        <v>362816</v>
      </c>
      <c r="I35" s="1200">
        <v>191871</v>
      </c>
      <c r="J35" s="1007">
        <v>0</v>
      </c>
      <c r="K35" s="1007">
        <v>880272</v>
      </c>
      <c r="L35" s="1270"/>
      <c r="M35" s="1198">
        <v>0</v>
      </c>
      <c r="N35" s="1198">
        <v>0</v>
      </c>
      <c r="O35" s="1007">
        <v>17977</v>
      </c>
      <c r="P35" s="1007">
        <v>17977</v>
      </c>
      <c r="Q35" s="1270"/>
      <c r="R35" s="1200">
        <v>886633</v>
      </c>
      <c r="S35" s="1007">
        <v>-8773</v>
      </c>
      <c r="T35" s="1306">
        <v>877860</v>
      </c>
    </row>
    <row r="36" spans="1:20" x14ac:dyDescent="0.25">
      <c r="A36" s="1203">
        <v>90305</v>
      </c>
      <c r="B36" s="1204" t="s">
        <v>2679</v>
      </c>
      <c r="C36" s="1303">
        <v>1.4750000000000001E-4</v>
      </c>
      <c r="D36" s="1303">
        <v>1.404E-4</v>
      </c>
      <c r="E36" s="1007">
        <v>527080</v>
      </c>
      <c r="F36" s="1270"/>
      <c r="G36" s="1200">
        <v>66561</v>
      </c>
      <c r="H36" s="1200">
        <v>74173</v>
      </c>
      <c r="I36" s="1200">
        <v>39225</v>
      </c>
      <c r="J36" s="1007">
        <v>29456</v>
      </c>
      <c r="K36" s="1007">
        <v>209415</v>
      </c>
      <c r="L36" s="1270"/>
      <c r="M36" s="1198">
        <v>0</v>
      </c>
      <c r="N36" s="1198">
        <v>0</v>
      </c>
      <c r="O36" s="1007">
        <v>0</v>
      </c>
      <c r="P36" s="1007">
        <v>0</v>
      </c>
      <c r="Q36" s="1270"/>
      <c r="R36" s="1200">
        <v>181259</v>
      </c>
      <c r="S36" s="1007">
        <v>12348</v>
      </c>
      <c r="T36" s="1306">
        <v>193607</v>
      </c>
    </row>
    <row r="37" spans="1:20" x14ac:dyDescent="0.25">
      <c r="A37" s="1203">
        <v>90307</v>
      </c>
      <c r="B37" s="1204" t="s">
        <v>2680</v>
      </c>
      <c r="C37" s="1303">
        <v>5.1000000000000003E-6</v>
      </c>
      <c r="D37" s="1303">
        <v>5.8000000000000004E-6</v>
      </c>
      <c r="E37" s="1007">
        <v>18224</v>
      </c>
      <c r="F37" s="1270"/>
      <c r="G37" s="1200">
        <v>2301</v>
      </c>
      <c r="H37" s="1200">
        <v>2565</v>
      </c>
      <c r="I37" s="1200">
        <v>1356</v>
      </c>
      <c r="J37" s="1007">
        <v>1014</v>
      </c>
      <c r="K37" s="1007">
        <v>7236</v>
      </c>
      <c r="L37" s="1270"/>
      <c r="M37" s="1198">
        <v>0</v>
      </c>
      <c r="N37" s="1198">
        <v>0</v>
      </c>
      <c r="O37" s="1007">
        <v>16</v>
      </c>
      <c r="P37" s="1007">
        <v>16</v>
      </c>
      <c r="Q37" s="1270"/>
      <c r="R37" s="1200">
        <v>6267</v>
      </c>
      <c r="S37" s="1007">
        <v>421</v>
      </c>
      <c r="T37" s="1306">
        <v>6688</v>
      </c>
    </row>
    <row r="38" spans="1:20" x14ac:dyDescent="0.25">
      <c r="A38" s="1203">
        <v>90401</v>
      </c>
      <c r="B38" s="1204" t="s">
        <v>2681</v>
      </c>
      <c r="C38" s="1303">
        <v>1.3274000000000001E-3</v>
      </c>
      <c r="D38" s="1303">
        <v>1.2876000000000001E-3</v>
      </c>
      <c r="E38" s="1007">
        <v>4743366</v>
      </c>
      <c r="F38" s="1270"/>
      <c r="G38" s="1200">
        <v>599004</v>
      </c>
      <c r="H38" s="1200">
        <v>667502</v>
      </c>
      <c r="I38" s="1200">
        <v>352999</v>
      </c>
      <c r="J38" s="1007">
        <v>174341</v>
      </c>
      <c r="K38" s="1007">
        <v>1793846</v>
      </c>
      <c r="L38" s="1270"/>
      <c r="M38" s="1198">
        <v>0</v>
      </c>
      <c r="N38" s="1198">
        <v>0</v>
      </c>
      <c r="O38" s="1007">
        <v>7660</v>
      </c>
      <c r="P38" s="1007">
        <v>7660</v>
      </c>
      <c r="Q38" s="1270"/>
      <c r="R38" s="1200">
        <v>1631209</v>
      </c>
      <c r="S38" s="1007">
        <v>54979</v>
      </c>
      <c r="T38" s="1306">
        <v>1686188</v>
      </c>
    </row>
    <row r="39" spans="1:20" x14ac:dyDescent="0.25">
      <c r="A39" s="1203">
        <v>90411</v>
      </c>
      <c r="B39" s="1204" t="s">
        <v>2682</v>
      </c>
      <c r="C39" s="1303">
        <v>3.4289999999999999E-4</v>
      </c>
      <c r="D39" s="1303">
        <v>3.2929999999999998E-4</v>
      </c>
      <c r="E39" s="1007">
        <v>1225328</v>
      </c>
      <c r="F39" s="1270"/>
      <c r="G39" s="1200">
        <v>154737</v>
      </c>
      <c r="H39" s="1200">
        <v>172432</v>
      </c>
      <c r="I39" s="1200">
        <v>91188</v>
      </c>
      <c r="J39" s="1007">
        <v>19525</v>
      </c>
      <c r="K39" s="1007">
        <v>437882</v>
      </c>
      <c r="L39" s="1270"/>
      <c r="M39" s="1198">
        <v>0</v>
      </c>
      <c r="N39" s="1198">
        <v>0</v>
      </c>
      <c r="O39" s="1007">
        <v>23124</v>
      </c>
      <c r="P39" s="1007">
        <v>23124</v>
      </c>
      <c r="Q39" s="1270"/>
      <c r="R39" s="1200">
        <v>421381</v>
      </c>
      <c r="S39" s="1007">
        <v>-10332</v>
      </c>
      <c r="T39" s="1306">
        <v>411049</v>
      </c>
    </row>
    <row r="40" spans="1:20" x14ac:dyDescent="0.25">
      <c r="A40" s="1203">
        <v>90413</v>
      </c>
      <c r="B40" s="1204" t="s">
        <v>2683</v>
      </c>
      <c r="C40" s="1303">
        <v>3.3899999999999997E-5</v>
      </c>
      <c r="D40" s="1303">
        <v>3.4900000000000001E-5</v>
      </c>
      <c r="E40" s="1007">
        <v>121139</v>
      </c>
      <c r="F40" s="1270"/>
      <c r="G40" s="1200">
        <v>15298</v>
      </c>
      <c r="H40" s="1200">
        <v>17047</v>
      </c>
      <c r="I40" s="1200">
        <v>9015</v>
      </c>
      <c r="J40" s="1007">
        <v>3026</v>
      </c>
      <c r="K40" s="1007">
        <v>44386</v>
      </c>
      <c r="L40" s="1270"/>
      <c r="M40" s="1198">
        <v>0</v>
      </c>
      <c r="N40" s="1198">
        <v>0</v>
      </c>
      <c r="O40" s="1007">
        <v>229</v>
      </c>
      <c r="P40" s="1007">
        <v>229</v>
      </c>
      <c r="Q40" s="1270"/>
      <c r="R40" s="1200">
        <v>41659</v>
      </c>
      <c r="S40" s="1007">
        <v>1249</v>
      </c>
      <c r="T40" s="1306">
        <v>42908</v>
      </c>
    </row>
    <row r="41" spans="1:20" x14ac:dyDescent="0.25">
      <c r="A41" s="1203">
        <v>90417</v>
      </c>
      <c r="B41" s="1204" t="s">
        <v>2684</v>
      </c>
      <c r="C41" s="1303">
        <v>9.5999999999999996E-6</v>
      </c>
      <c r="D41" s="1303">
        <v>1.06E-5</v>
      </c>
      <c r="E41" s="1007">
        <v>34305</v>
      </c>
      <c r="F41" s="1270"/>
      <c r="G41" s="1200">
        <v>4332</v>
      </c>
      <c r="H41" s="1200">
        <v>4828</v>
      </c>
      <c r="I41" s="1200">
        <v>2553</v>
      </c>
      <c r="J41" s="1007">
        <v>5017</v>
      </c>
      <c r="K41" s="1007">
        <v>16730</v>
      </c>
      <c r="L41" s="1270"/>
      <c r="M41" s="1198">
        <v>0</v>
      </c>
      <c r="N41" s="1198">
        <v>0</v>
      </c>
      <c r="O41" s="1007">
        <v>0</v>
      </c>
      <c r="P41" s="1007">
        <v>0</v>
      </c>
      <c r="Q41" s="1270"/>
      <c r="R41" s="1200">
        <v>11797</v>
      </c>
      <c r="S41" s="1007">
        <v>2486</v>
      </c>
      <c r="T41" s="1306">
        <v>14283</v>
      </c>
    </row>
    <row r="42" spans="1:20" x14ac:dyDescent="0.25">
      <c r="A42" s="1203">
        <v>90421</v>
      </c>
      <c r="B42" s="1204" t="s">
        <v>2685</v>
      </c>
      <c r="C42" s="1303">
        <v>2.5199999999999999E-5</v>
      </c>
      <c r="D42" s="1303">
        <v>1.98E-5</v>
      </c>
      <c r="E42" s="1007">
        <v>90050</v>
      </c>
      <c r="F42" s="1270"/>
      <c r="G42" s="1200">
        <v>11372</v>
      </c>
      <c r="H42" s="1200">
        <v>12673</v>
      </c>
      <c r="I42" s="1200">
        <v>6702</v>
      </c>
      <c r="J42" s="1007">
        <v>8546</v>
      </c>
      <c r="K42" s="1007">
        <v>39293</v>
      </c>
      <c r="L42" s="1270"/>
      <c r="M42" s="1198">
        <v>0</v>
      </c>
      <c r="N42" s="1198">
        <v>0</v>
      </c>
      <c r="O42" s="1007">
        <v>2463</v>
      </c>
      <c r="P42" s="1007">
        <v>2463</v>
      </c>
      <c r="Q42" s="1270"/>
      <c r="R42" s="1200">
        <v>30968</v>
      </c>
      <c r="S42" s="1007">
        <v>1016</v>
      </c>
      <c r="T42" s="1306">
        <v>31984</v>
      </c>
    </row>
    <row r="43" spans="1:20" x14ac:dyDescent="0.25">
      <c r="A43" s="1203">
        <v>90431</v>
      </c>
      <c r="B43" s="1204" t="s">
        <v>2686</v>
      </c>
      <c r="C43" s="1303">
        <v>4.85E-5</v>
      </c>
      <c r="D43" s="1303">
        <v>4.8099999999999997E-5</v>
      </c>
      <c r="E43" s="1007">
        <v>173311</v>
      </c>
      <c r="F43" s="1270"/>
      <c r="G43" s="1200">
        <v>21886</v>
      </c>
      <c r="H43" s="1200">
        <v>24389</v>
      </c>
      <c r="I43" s="1200">
        <v>12898</v>
      </c>
      <c r="J43" s="1007">
        <v>2806</v>
      </c>
      <c r="K43" s="1007">
        <v>61979</v>
      </c>
      <c r="L43" s="1270"/>
      <c r="M43" s="1198">
        <v>0</v>
      </c>
      <c r="N43" s="1198">
        <v>0</v>
      </c>
      <c r="O43" s="1007">
        <v>818</v>
      </c>
      <c r="P43" s="1007">
        <v>818</v>
      </c>
      <c r="Q43" s="1270"/>
      <c r="R43" s="1200">
        <v>59600</v>
      </c>
      <c r="S43" s="1007">
        <v>731</v>
      </c>
      <c r="T43" s="1306">
        <v>60331</v>
      </c>
    </row>
    <row r="44" spans="1:20" x14ac:dyDescent="0.25">
      <c r="A44" s="1203">
        <v>90441</v>
      </c>
      <c r="B44" s="1204" t="s">
        <v>2687</v>
      </c>
      <c r="C44" s="1303">
        <v>5.8000000000000004E-6</v>
      </c>
      <c r="D44" s="1303">
        <v>6.7000000000000002E-6</v>
      </c>
      <c r="E44" s="1007">
        <v>20726</v>
      </c>
      <c r="F44" s="1270"/>
      <c r="G44" s="1200">
        <v>2617</v>
      </c>
      <c r="H44" s="1200">
        <v>2916</v>
      </c>
      <c r="I44" s="1200">
        <v>1542</v>
      </c>
      <c r="J44" s="1007">
        <v>1897</v>
      </c>
      <c r="K44" s="1007">
        <v>8972</v>
      </c>
      <c r="L44" s="1270"/>
      <c r="M44" s="1198">
        <v>0</v>
      </c>
      <c r="N44" s="1198">
        <v>0</v>
      </c>
      <c r="O44" s="1007">
        <v>0</v>
      </c>
      <c r="P44" s="1007">
        <v>0</v>
      </c>
      <c r="Q44" s="1270"/>
      <c r="R44" s="1200">
        <v>7127</v>
      </c>
      <c r="S44" s="1007">
        <v>748</v>
      </c>
      <c r="T44" s="1306">
        <v>7875</v>
      </c>
    </row>
    <row r="45" spans="1:20" x14ac:dyDescent="0.25">
      <c r="A45" s="1203">
        <v>90451</v>
      </c>
      <c r="B45" s="1204" t="s">
        <v>2688</v>
      </c>
      <c r="C45" s="1303">
        <v>2.2399999999999999E-5</v>
      </c>
      <c r="D45" s="1303">
        <v>2.3099999999999999E-5</v>
      </c>
      <c r="E45" s="1007">
        <v>80045</v>
      </c>
      <c r="F45" s="1270"/>
      <c r="G45" s="1200">
        <v>10108</v>
      </c>
      <c r="H45" s="1200">
        <v>11264</v>
      </c>
      <c r="I45" s="1200">
        <v>5957</v>
      </c>
      <c r="J45" s="1007">
        <v>2683</v>
      </c>
      <c r="K45" s="1007">
        <v>30012</v>
      </c>
      <c r="L45" s="1270"/>
      <c r="M45" s="1198">
        <v>0</v>
      </c>
      <c r="N45" s="1198">
        <v>0</v>
      </c>
      <c r="O45" s="1007">
        <v>1731</v>
      </c>
      <c r="P45" s="1007">
        <v>1731</v>
      </c>
      <c r="Q45" s="1270"/>
      <c r="R45" s="1200">
        <v>27527</v>
      </c>
      <c r="S45" s="1007">
        <v>1009</v>
      </c>
      <c r="T45" s="1306">
        <v>28536</v>
      </c>
    </row>
    <row r="46" spans="1:20" x14ac:dyDescent="0.25">
      <c r="A46" s="1203">
        <v>90461</v>
      </c>
      <c r="B46" s="1204" t="s">
        <v>2689</v>
      </c>
      <c r="C46" s="1303">
        <v>1.9E-6</v>
      </c>
      <c r="D46" s="1303">
        <v>2.0999999999999998E-6</v>
      </c>
      <c r="E46" s="1007">
        <v>6790</v>
      </c>
      <c r="F46" s="1270"/>
      <c r="G46" s="1200">
        <v>857</v>
      </c>
      <c r="H46" s="1200">
        <v>955</v>
      </c>
      <c r="I46" s="1200">
        <v>505</v>
      </c>
      <c r="J46" s="1007">
        <v>5100</v>
      </c>
      <c r="K46" s="1007">
        <v>7417</v>
      </c>
      <c r="L46" s="1270"/>
      <c r="M46" s="1198">
        <v>0</v>
      </c>
      <c r="N46" s="1198">
        <v>0</v>
      </c>
      <c r="O46" s="1007">
        <v>3549</v>
      </c>
      <c r="P46" s="1007">
        <v>3549</v>
      </c>
      <c r="Q46" s="1270"/>
      <c r="R46" s="1200">
        <v>2335</v>
      </c>
      <c r="S46" s="1007">
        <v>-638</v>
      </c>
      <c r="T46" s="1306">
        <v>1697</v>
      </c>
    </row>
    <row r="47" spans="1:20" x14ac:dyDescent="0.25">
      <c r="A47" s="1203">
        <v>90501</v>
      </c>
      <c r="B47" s="1204" t="s">
        <v>2690</v>
      </c>
      <c r="C47" s="1303">
        <v>1.4997999999999999E-3</v>
      </c>
      <c r="D47" s="1303">
        <v>1.4587000000000001E-3</v>
      </c>
      <c r="E47" s="1007">
        <v>5359424</v>
      </c>
      <c r="F47" s="1270"/>
      <c r="G47" s="1200">
        <v>676801</v>
      </c>
      <c r="H47" s="1200">
        <v>754196</v>
      </c>
      <c r="I47" s="1200">
        <v>398846</v>
      </c>
      <c r="J47" s="1007">
        <v>131520</v>
      </c>
      <c r="K47" s="1007">
        <v>1961363</v>
      </c>
      <c r="L47" s="1270"/>
      <c r="M47" s="1198">
        <v>0</v>
      </c>
      <c r="N47" s="1198">
        <v>0</v>
      </c>
      <c r="O47" s="1007">
        <v>2974</v>
      </c>
      <c r="P47" s="1007">
        <v>2974</v>
      </c>
      <c r="Q47" s="1270"/>
      <c r="R47" s="1200">
        <v>1843067</v>
      </c>
      <c r="S47" s="1007">
        <v>47651</v>
      </c>
      <c r="T47" s="1306">
        <v>1890718</v>
      </c>
    </row>
    <row r="48" spans="1:20" x14ac:dyDescent="0.25">
      <c r="A48" s="1203">
        <v>90507</v>
      </c>
      <c r="B48" s="1204" t="s">
        <v>1220</v>
      </c>
      <c r="C48" s="1303">
        <v>1.1199999999999999E-5</v>
      </c>
      <c r="D48" s="1303">
        <v>3.4000000000000001E-6</v>
      </c>
      <c r="E48" s="1007">
        <v>40022</v>
      </c>
      <c r="F48" s="1270"/>
      <c r="G48" s="1200">
        <v>5054</v>
      </c>
      <c r="H48" s="1200">
        <v>5632</v>
      </c>
      <c r="I48" s="1200">
        <v>2978</v>
      </c>
      <c r="J48" s="1007">
        <v>19680</v>
      </c>
      <c r="K48" s="1007">
        <v>33344</v>
      </c>
      <c r="L48" s="1270"/>
      <c r="M48" s="1198">
        <v>0</v>
      </c>
      <c r="N48" s="1198">
        <v>0</v>
      </c>
      <c r="O48" s="1007">
        <v>0</v>
      </c>
      <c r="P48" s="1007">
        <v>0</v>
      </c>
      <c r="Q48" s="1270"/>
      <c r="R48" s="1200">
        <v>13763</v>
      </c>
      <c r="S48" s="1007">
        <v>9085</v>
      </c>
      <c r="T48" s="1306">
        <v>22848</v>
      </c>
    </row>
    <row r="49" spans="1:20" x14ac:dyDescent="0.25">
      <c r="A49" s="1203">
        <v>90511</v>
      </c>
      <c r="B49" s="1204" t="s">
        <v>2691</v>
      </c>
      <c r="C49" s="1303">
        <v>9.2200000000000005E-5</v>
      </c>
      <c r="D49" s="1303">
        <v>1.011E-4</v>
      </c>
      <c r="E49" s="1007">
        <v>329470</v>
      </c>
      <c r="F49" s="1270"/>
      <c r="G49" s="1200">
        <v>41606</v>
      </c>
      <c r="H49" s="1200">
        <v>46364</v>
      </c>
      <c r="I49" s="1200">
        <v>24519</v>
      </c>
      <c r="J49" s="1007">
        <v>21291</v>
      </c>
      <c r="K49" s="1007">
        <v>133780</v>
      </c>
      <c r="L49" s="1270"/>
      <c r="M49" s="1198">
        <v>0</v>
      </c>
      <c r="N49" s="1198">
        <v>0</v>
      </c>
      <c r="O49" s="1007">
        <v>2656</v>
      </c>
      <c r="P49" s="1007">
        <v>2656</v>
      </c>
      <c r="Q49" s="1270"/>
      <c r="R49" s="1200">
        <v>113302</v>
      </c>
      <c r="S49" s="1007">
        <v>9314</v>
      </c>
      <c r="T49" s="1306">
        <v>122616</v>
      </c>
    </row>
    <row r="50" spans="1:20" x14ac:dyDescent="0.25">
      <c r="A50" s="1203">
        <v>90521</v>
      </c>
      <c r="B50" s="1204" t="s">
        <v>2692</v>
      </c>
      <c r="C50" s="1303">
        <v>1.4129999999999999E-4</v>
      </c>
      <c r="D50" s="1303">
        <v>1.371E-4</v>
      </c>
      <c r="E50" s="1007">
        <v>504925</v>
      </c>
      <c r="F50" s="1270"/>
      <c r="G50" s="1200">
        <v>63763</v>
      </c>
      <c r="H50" s="1200">
        <v>71055</v>
      </c>
      <c r="I50" s="1200">
        <v>37576</v>
      </c>
      <c r="J50" s="1007">
        <v>0</v>
      </c>
      <c r="K50" s="1007">
        <v>172394</v>
      </c>
      <c r="L50" s="1270"/>
      <c r="M50" s="1198">
        <v>0</v>
      </c>
      <c r="N50" s="1198">
        <v>0</v>
      </c>
      <c r="O50" s="1007">
        <v>13369</v>
      </c>
      <c r="P50" s="1007">
        <v>13369</v>
      </c>
      <c r="Q50" s="1270"/>
      <c r="R50" s="1200">
        <v>173640</v>
      </c>
      <c r="S50" s="1007">
        <v>-8994</v>
      </c>
      <c r="T50" s="1306">
        <v>164646</v>
      </c>
    </row>
    <row r="51" spans="1:20" x14ac:dyDescent="0.25">
      <c r="A51" s="1203">
        <v>90601</v>
      </c>
      <c r="B51" s="1204" t="s">
        <v>2693</v>
      </c>
      <c r="C51" s="1303">
        <v>1.242E-3</v>
      </c>
      <c r="D51" s="1303">
        <v>1.1100999999999999E-3</v>
      </c>
      <c r="E51" s="1007">
        <v>4438195</v>
      </c>
      <c r="F51" s="1270"/>
      <c r="G51" s="1200">
        <v>560466</v>
      </c>
      <c r="H51" s="1200">
        <v>624557</v>
      </c>
      <c r="I51" s="1200">
        <v>330289</v>
      </c>
      <c r="J51" s="1007">
        <v>160636</v>
      </c>
      <c r="K51" s="1007">
        <v>1675948</v>
      </c>
      <c r="L51" s="1270"/>
      <c r="M51" s="1198">
        <v>0</v>
      </c>
      <c r="N51" s="1198">
        <v>0</v>
      </c>
      <c r="O51" s="1007">
        <v>13006</v>
      </c>
      <c r="P51" s="1007">
        <v>13006</v>
      </c>
      <c r="Q51" s="1270"/>
      <c r="R51" s="1200">
        <v>1526263</v>
      </c>
      <c r="S51" s="1007">
        <v>41596</v>
      </c>
      <c r="T51" s="1306">
        <v>1567859</v>
      </c>
    </row>
    <row r="52" spans="1:20" x14ac:dyDescent="0.25">
      <c r="A52" s="1203">
        <v>90602</v>
      </c>
      <c r="B52" s="1204" t="s">
        <v>2125</v>
      </c>
      <c r="C52" s="1303">
        <v>8.0099999999999995E-5</v>
      </c>
      <c r="D52" s="1303">
        <v>9.2999999999999997E-5</v>
      </c>
      <c r="E52" s="1007">
        <v>286231</v>
      </c>
      <c r="F52" s="1270"/>
      <c r="G52" s="1200">
        <v>36146</v>
      </c>
      <c r="H52" s="1200">
        <v>40279</v>
      </c>
      <c r="I52" s="1200">
        <v>21301</v>
      </c>
      <c r="J52" s="1007">
        <v>28901</v>
      </c>
      <c r="K52" s="1007">
        <v>126627</v>
      </c>
      <c r="L52" s="1270"/>
      <c r="M52" s="1198">
        <v>0</v>
      </c>
      <c r="N52" s="1198">
        <v>0</v>
      </c>
      <c r="O52" s="1007">
        <v>28726</v>
      </c>
      <c r="P52" s="1007">
        <v>28726</v>
      </c>
      <c r="Q52" s="1270"/>
      <c r="R52" s="1200">
        <v>98433</v>
      </c>
      <c r="S52" s="1007">
        <v>10305</v>
      </c>
      <c r="T52" s="1306">
        <v>108738</v>
      </c>
    </row>
    <row r="53" spans="1:20" x14ac:dyDescent="0.25">
      <c r="A53" s="1203">
        <v>90605</v>
      </c>
      <c r="B53" s="1204" t="s">
        <v>2694</v>
      </c>
      <c r="C53" s="1303">
        <v>4.8399999999999997E-5</v>
      </c>
      <c r="D53" s="1303">
        <v>4.9799999999999998E-5</v>
      </c>
      <c r="E53" s="1007">
        <v>172954</v>
      </c>
      <c r="F53" s="1270"/>
      <c r="G53" s="1200">
        <v>21841</v>
      </c>
      <c r="H53" s="1200">
        <v>24339</v>
      </c>
      <c r="I53" s="1200">
        <v>12871</v>
      </c>
      <c r="J53" s="1007">
        <v>12417</v>
      </c>
      <c r="K53" s="1007">
        <v>71468</v>
      </c>
      <c r="L53" s="1270"/>
      <c r="M53" s="1198">
        <v>0</v>
      </c>
      <c r="N53" s="1198">
        <v>0</v>
      </c>
      <c r="O53" s="1007">
        <v>555</v>
      </c>
      <c r="P53" s="1007">
        <v>555</v>
      </c>
      <c r="Q53" s="1270"/>
      <c r="R53" s="1200">
        <v>59478</v>
      </c>
      <c r="S53" s="1007">
        <v>6976</v>
      </c>
      <c r="T53" s="1306">
        <v>66454</v>
      </c>
    </row>
    <row r="54" spans="1:20" x14ac:dyDescent="0.25">
      <c r="A54" s="1203">
        <v>90611</v>
      </c>
      <c r="B54" s="1204" t="s">
        <v>2695</v>
      </c>
      <c r="C54" s="1303">
        <v>1.4320000000000001E-4</v>
      </c>
      <c r="D54" s="1303">
        <v>1.526E-4</v>
      </c>
      <c r="E54" s="1007">
        <v>511715</v>
      </c>
      <c r="F54" s="1270"/>
      <c r="G54" s="1200">
        <v>64621</v>
      </c>
      <c r="H54" s="1200">
        <v>72010</v>
      </c>
      <c r="I54" s="1200">
        <v>38082</v>
      </c>
      <c r="J54" s="1007">
        <v>3728</v>
      </c>
      <c r="K54" s="1007">
        <v>178441</v>
      </c>
      <c r="L54" s="1270"/>
      <c r="M54" s="1198">
        <v>0</v>
      </c>
      <c r="N54" s="1198">
        <v>0</v>
      </c>
      <c r="O54" s="1007">
        <v>23751</v>
      </c>
      <c r="P54" s="1007">
        <v>23751</v>
      </c>
      <c r="Q54" s="1270"/>
      <c r="R54" s="1200">
        <v>175975</v>
      </c>
      <c r="S54" s="1007">
        <v>-11400</v>
      </c>
      <c r="T54" s="1306">
        <v>164575</v>
      </c>
    </row>
    <row r="55" spans="1:20" x14ac:dyDescent="0.25">
      <c r="A55" s="1203">
        <v>90617</v>
      </c>
      <c r="B55" s="1204" t="s">
        <v>2696</v>
      </c>
      <c r="C55" s="1303">
        <v>2.94E-5</v>
      </c>
      <c r="D55" s="1303">
        <v>2.8600000000000001E-5</v>
      </c>
      <c r="E55" s="1007">
        <v>105059</v>
      </c>
      <c r="F55" s="1270"/>
      <c r="G55" s="1200">
        <v>13267</v>
      </c>
      <c r="H55" s="1200">
        <v>14784</v>
      </c>
      <c r="I55" s="1200">
        <v>7818</v>
      </c>
      <c r="J55" s="1007">
        <v>7739</v>
      </c>
      <c r="K55" s="1007">
        <v>43608</v>
      </c>
      <c r="L55" s="1270"/>
      <c r="M55" s="1198">
        <v>0</v>
      </c>
      <c r="N55" s="1198">
        <v>0</v>
      </c>
      <c r="O55" s="1007">
        <v>0</v>
      </c>
      <c r="P55" s="1007">
        <v>0</v>
      </c>
      <c r="Q55" s="1270"/>
      <c r="R55" s="1200">
        <v>36129</v>
      </c>
      <c r="S55" s="1007">
        <v>3741</v>
      </c>
      <c r="T55" s="1306">
        <v>39870</v>
      </c>
    </row>
    <row r="56" spans="1:20" x14ac:dyDescent="0.25">
      <c r="A56" s="1203">
        <v>90621</v>
      </c>
      <c r="B56" s="1204" t="s">
        <v>2697</v>
      </c>
      <c r="C56" s="1303">
        <v>6.9300000000000004E-5</v>
      </c>
      <c r="D56" s="1303">
        <v>6.97E-5</v>
      </c>
      <c r="E56" s="1007">
        <v>247638</v>
      </c>
      <c r="F56" s="1270"/>
      <c r="G56" s="1200">
        <v>31272</v>
      </c>
      <c r="H56" s="1200">
        <v>34848</v>
      </c>
      <c r="I56" s="1200">
        <v>18429</v>
      </c>
      <c r="J56" s="1007">
        <v>1656</v>
      </c>
      <c r="K56" s="1007">
        <v>86205</v>
      </c>
      <c r="L56" s="1270"/>
      <c r="M56" s="1198">
        <v>0</v>
      </c>
      <c r="N56" s="1198">
        <v>0</v>
      </c>
      <c r="O56" s="1007">
        <v>5297</v>
      </c>
      <c r="P56" s="1007">
        <v>5297</v>
      </c>
      <c r="Q56" s="1270"/>
      <c r="R56" s="1200">
        <v>85161</v>
      </c>
      <c r="S56" s="1007">
        <v>-4362</v>
      </c>
      <c r="T56" s="1306">
        <v>80799</v>
      </c>
    </row>
    <row r="57" spans="1:20" x14ac:dyDescent="0.25">
      <c r="A57" s="1203">
        <v>90631</v>
      </c>
      <c r="B57" s="1204" t="s">
        <v>2698</v>
      </c>
      <c r="C57" s="1303">
        <v>3.636E-4</v>
      </c>
      <c r="D57" s="1303">
        <v>3.6430000000000002E-4</v>
      </c>
      <c r="E57" s="1007">
        <v>1299298</v>
      </c>
      <c r="F57" s="1270"/>
      <c r="G57" s="1200">
        <v>164078</v>
      </c>
      <c r="H57" s="1200">
        <v>182841</v>
      </c>
      <c r="I57" s="1200">
        <v>96693</v>
      </c>
      <c r="J57" s="1007">
        <v>11040</v>
      </c>
      <c r="K57" s="1007">
        <v>454652</v>
      </c>
      <c r="L57" s="1270"/>
      <c r="M57" s="1198">
        <v>0</v>
      </c>
      <c r="N57" s="1198">
        <v>0</v>
      </c>
      <c r="O57" s="1007">
        <v>8114</v>
      </c>
      <c r="P57" s="1007">
        <v>8114</v>
      </c>
      <c r="Q57" s="1270"/>
      <c r="R57" s="1200">
        <v>446819</v>
      </c>
      <c r="S57" s="1007">
        <v>4228</v>
      </c>
      <c r="T57" s="1306">
        <v>451047</v>
      </c>
    </row>
    <row r="58" spans="1:20" x14ac:dyDescent="0.25">
      <c r="A58" s="1203">
        <v>90641</v>
      </c>
      <c r="B58" s="1204" t="s">
        <v>2699</v>
      </c>
      <c r="C58" s="1303">
        <v>1.1E-5</v>
      </c>
      <c r="D58" s="1303">
        <v>1.1800000000000001E-5</v>
      </c>
      <c r="E58" s="1007">
        <v>39308</v>
      </c>
      <c r="F58" s="1270"/>
      <c r="G58" s="1200">
        <v>4964</v>
      </c>
      <c r="H58" s="1200">
        <v>5531</v>
      </c>
      <c r="I58" s="1200">
        <v>2925</v>
      </c>
      <c r="J58" s="1007">
        <v>148</v>
      </c>
      <c r="K58" s="1007">
        <v>13568</v>
      </c>
      <c r="L58" s="1270"/>
      <c r="M58" s="1198">
        <v>0</v>
      </c>
      <c r="N58" s="1198">
        <v>0</v>
      </c>
      <c r="O58" s="1007">
        <v>313</v>
      </c>
      <c r="P58" s="1007">
        <v>313</v>
      </c>
      <c r="Q58" s="1270"/>
      <c r="R58" s="1200">
        <v>13518</v>
      </c>
      <c r="S58" s="1007">
        <v>-153</v>
      </c>
      <c r="T58" s="1306">
        <v>13365</v>
      </c>
    </row>
    <row r="59" spans="1:20" x14ac:dyDescent="0.25">
      <c r="A59" s="1203">
        <v>90651</v>
      </c>
      <c r="B59" s="1204" t="s">
        <v>2700</v>
      </c>
      <c r="C59" s="1303">
        <v>9.5199999999999997E-5</v>
      </c>
      <c r="D59" s="1303">
        <v>1.031E-4</v>
      </c>
      <c r="E59" s="1007">
        <v>340190</v>
      </c>
      <c r="F59" s="1270"/>
      <c r="G59" s="1200">
        <v>42960</v>
      </c>
      <c r="H59" s="1200">
        <v>47872</v>
      </c>
      <c r="I59" s="1200">
        <v>25317</v>
      </c>
      <c r="J59" s="1007">
        <v>62899</v>
      </c>
      <c r="K59" s="1007">
        <v>179048</v>
      </c>
      <c r="L59" s="1270"/>
      <c r="M59" s="1198">
        <v>0</v>
      </c>
      <c r="N59" s="1198">
        <v>0</v>
      </c>
      <c r="O59" s="1007">
        <v>2350</v>
      </c>
      <c r="P59" s="1007">
        <v>2350</v>
      </c>
      <c r="Q59" s="1270"/>
      <c r="R59" s="1200">
        <v>116989</v>
      </c>
      <c r="S59" s="1007">
        <v>39447</v>
      </c>
      <c r="T59" s="1306">
        <v>156436</v>
      </c>
    </row>
    <row r="60" spans="1:20" x14ac:dyDescent="0.25">
      <c r="A60" s="1203">
        <v>90701</v>
      </c>
      <c r="B60" s="1204" t="s">
        <v>2701</v>
      </c>
      <c r="C60" s="1303">
        <v>2.5049E-3</v>
      </c>
      <c r="D60" s="1303">
        <v>2.6227999999999998E-3</v>
      </c>
      <c r="E60" s="1007">
        <v>8951075</v>
      </c>
      <c r="F60" s="1270"/>
      <c r="G60" s="1200">
        <v>1130364</v>
      </c>
      <c r="H60" s="1200">
        <v>1259624</v>
      </c>
      <c r="I60" s="1200">
        <v>666136</v>
      </c>
      <c r="J60" s="1007">
        <v>28249</v>
      </c>
      <c r="K60" s="1007">
        <v>3084373</v>
      </c>
      <c r="L60" s="1270"/>
      <c r="M60" s="1198">
        <v>0</v>
      </c>
      <c r="N60" s="1198">
        <v>0</v>
      </c>
      <c r="O60" s="1007">
        <v>330199</v>
      </c>
      <c r="P60" s="1007">
        <v>330199</v>
      </c>
      <c r="Q60" s="1270"/>
      <c r="R60" s="1200">
        <v>3078209</v>
      </c>
      <c r="S60" s="1007">
        <v>-97064</v>
      </c>
      <c r="T60" s="1306">
        <v>2981145</v>
      </c>
    </row>
    <row r="61" spans="1:20" x14ac:dyDescent="0.25">
      <c r="A61" s="1203">
        <v>90704</v>
      </c>
      <c r="B61" s="1204" t="s">
        <v>2702</v>
      </c>
      <c r="C61" s="1303">
        <v>4.1999999999999998E-5</v>
      </c>
      <c r="D61" s="1303">
        <v>4.4299999999999999E-5</v>
      </c>
      <c r="E61" s="1007">
        <v>150084</v>
      </c>
      <c r="F61" s="1270"/>
      <c r="G61" s="1200">
        <v>18953</v>
      </c>
      <c r="H61" s="1200">
        <v>21120</v>
      </c>
      <c r="I61" s="1200">
        <v>11169</v>
      </c>
      <c r="J61" s="1007">
        <v>23801</v>
      </c>
      <c r="K61" s="1007">
        <v>75043</v>
      </c>
      <c r="L61" s="1270"/>
      <c r="M61" s="1198">
        <v>0</v>
      </c>
      <c r="N61" s="1198">
        <v>0</v>
      </c>
      <c r="O61" s="1007">
        <v>0</v>
      </c>
      <c r="P61" s="1007">
        <v>0</v>
      </c>
      <c r="Q61" s="1270"/>
      <c r="R61" s="1200">
        <v>51613</v>
      </c>
      <c r="S61" s="1007">
        <v>11324</v>
      </c>
      <c r="T61" s="1306">
        <v>62937</v>
      </c>
    </row>
    <row r="62" spans="1:20" x14ac:dyDescent="0.25">
      <c r="A62" s="1203">
        <v>90705</v>
      </c>
      <c r="B62" s="1204" t="s">
        <v>2703</v>
      </c>
      <c r="C62" s="1303">
        <v>3.3800000000000002E-5</v>
      </c>
      <c r="D62" s="1303">
        <v>4.1199999999999999E-5</v>
      </c>
      <c r="E62" s="1007">
        <v>120782</v>
      </c>
      <c r="F62" s="1270"/>
      <c r="G62" s="1200">
        <v>15253</v>
      </c>
      <c r="H62" s="1200">
        <v>16997</v>
      </c>
      <c r="I62" s="1200">
        <v>8989</v>
      </c>
      <c r="J62" s="1007">
        <v>8868</v>
      </c>
      <c r="K62" s="1007">
        <v>50107</v>
      </c>
      <c r="L62" s="1270"/>
      <c r="M62" s="1198">
        <v>0</v>
      </c>
      <c r="N62" s="1198">
        <v>0</v>
      </c>
      <c r="O62" s="1007">
        <v>7044</v>
      </c>
      <c r="P62" s="1007">
        <v>7044</v>
      </c>
      <c r="Q62" s="1270"/>
      <c r="R62" s="1200">
        <v>41536</v>
      </c>
      <c r="S62" s="1007">
        <v>3014</v>
      </c>
      <c r="T62" s="1306">
        <v>44550</v>
      </c>
    </row>
    <row r="63" spans="1:20" x14ac:dyDescent="0.25">
      <c r="A63" s="1203">
        <v>90709</v>
      </c>
      <c r="B63" s="1204" t="s">
        <v>2704</v>
      </c>
      <c r="C63" s="1303">
        <v>1.4219999999999999E-4</v>
      </c>
      <c r="D63" s="1303">
        <v>1.474E-4</v>
      </c>
      <c r="E63" s="1007">
        <v>508141</v>
      </c>
      <c r="F63" s="1270"/>
      <c r="G63" s="1200">
        <v>64169</v>
      </c>
      <c r="H63" s="1200">
        <v>71507</v>
      </c>
      <c r="I63" s="1200">
        <v>37816</v>
      </c>
      <c r="J63" s="1007">
        <v>20432</v>
      </c>
      <c r="K63" s="1007">
        <v>193924</v>
      </c>
      <c r="L63" s="1270"/>
      <c r="M63" s="1198">
        <v>0</v>
      </c>
      <c r="N63" s="1198">
        <v>0</v>
      </c>
      <c r="O63" s="1007">
        <v>13495</v>
      </c>
      <c r="P63" s="1007">
        <v>13495</v>
      </c>
      <c r="Q63" s="1270"/>
      <c r="R63" s="1200">
        <v>174746</v>
      </c>
      <c r="S63" s="1007">
        <v>-4917</v>
      </c>
      <c r="T63" s="1306">
        <v>169829</v>
      </c>
    </row>
    <row r="64" spans="1:20" x14ac:dyDescent="0.25">
      <c r="A64" s="1203">
        <v>90711</v>
      </c>
      <c r="B64" s="1204" t="s">
        <v>2705</v>
      </c>
      <c r="C64" s="1303">
        <v>1.5904000000000001E-3</v>
      </c>
      <c r="D64" s="1303">
        <v>1.5481E-3</v>
      </c>
      <c r="E64" s="1007">
        <v>5683177</v>
      </c>
      <c r="F64" s="1270"/>
      <c r="G64" s="1200">
        <v>717685</v>
      </c>
      <c r="H64" s="1200">
        <v>799754</v>
      </c>
      <c r="I64" s="1200">
        <v>422940</v>
      </c>
      <c r="J64" s="1007">
        <v>38640</v>
      </c>
      <c r="K64" s="1007">
        <v>1979019</v>
      </c>
      <c r="L64" s="1270"/>
      <c r="M64" s="1198">
        <v>0</v>
      </c>
      <c r="N64" s="1198">
        <v>0</v>
      </c>
      <c r="O64" s="1007">
        <v>79471</v>
      </c>
      <c r="P64" s="1007">
        <v>79471</v>
      </c>
      <c r="Q64" s="1270"/>
      <c r="R64" s="1200">
        <v>1954403</v>
      </c>
      <c r="S64" s="1007">
        <v>-49393</v>
      </c>
      <c r="T64" s="1306">
        <v>1905010</v>
      </c>
    </row>
    <row r="65" spans="1:20" x14ac:dyDescent="0.25">
      <c r="A65" s="1203">
        <v>90721</v>
      </c>
      <c r="B65" s="1204" t="s">
        <v>2706</v>
      </c>
      <c r="C65" s="1303">
        <v>2.12E-5</v>
      </c>
      <c r="D65" s="1303">
        <v>2.1399999999999998E-5</v>
      </c>
      <c r="E65" s="1007">
        <v>75757</v>
      </c>
      <c r="F65" s="1270"/>
      <c r="G65" s="1200">
        <v>9567</v>
      </c>
      <c r="H65" s="1200">
        <v>10660</v>
      </c>
      <c r="I65" s="1200">
        <v>5638</v>
      </c>
      <c r="J65" s="1007">
        <v>3692</v>
      </c>
      <c r="K65" s="1007">
        <v>29557</v>
      </c>
      <c r="L65" s="1270"/>
      <c r="M65" s="1198">
        <v>0</v>
      </c>
      <c r="N65" s="1198">
        <v>0</v>
      </c>
      <c r="O65" s="1007">
        <v>4164</v>
      </c>
      <c r="P65" s="1007">
        <v>4164</v>
      </c>
      <c r="Q65" s="1270"/>
      <c r="R65" s="1200">
        <v>26052</v>
      </c>
      <c r="S65" s="1007">
        <v>-1073</v>
      </c>
      <c r="T65" s="1306">
        <v>24979</v>
      </c>
    </row>
    <row r="66" spans="1:20" x14ac:dyDescent="0.25">
      <c r="A66" s="1203">
        <v>90731</v>
      </c>
      <c r="B66" s="1204" t="s">
        <v>2707</v>
      </c>
      <c r="C66" s="1303">
        <v>1.5310000000000001E-4</v>
      </c>
      <c r="D66" s="1303">
        <v>1.384E-4</v>
      </c>
      <c r="E66" s="1007">
        <v>547092</v>
      </c>
      <c r="F66" s="1270"/>
      <c r="G66" s="1200">
        <v>69088</v>
      </c>
      <c r="H66" s="1200">
        <v>76989</v>
      </c>
      <c r="I66" s="1200">
        <v>40714</v>
      </c>
      <c r="J66" s="1007">
        <v>22723</v>
      </c>
      <c r="K66" s="1007">
        <v>209514</v>
      </c>
      <c r="L66" s="1270"/>
      <c r="M66" s="1198">
        <v>0</v>
      </c>
      <c r="N66" s="1198">
        <v>0</v>
      </c>
      <c r="O66" s="1007">
        <v>10045</v>
      </c>
      <c r="P66" s="1007">
        <v>10045</v>
      </c>
      <c r="Q66" s="1270"/>
      <c r="R66" s="1200">
        <v>188141</v>
      </c>
      <c r="S66" s="1007">
        <v>466</v>
      </c>
      <c r="T66" s="1306">
        <v>188607</v>
      </c>
    </row>
    <row r="67" spans="1:20" x14ac:dyDescent="0.25">
      <c r="A67" s="1203">
        <v>90741</v>
      </c>
      <c r="B67" s="1204" t="s">
        <v>2708</v>
      </c>
      <c r="C67" s="1303">
        <v>1.33E-5</v>
      </c>
      <c r="D67" s="1303">
        <v>1.38E-5</v>
      </c>
      <c r="E67" s="1007">
        <v>47527</v>
      </c>
      <c r="F67" s="1270"/>
      <c r="G67" s="1200">
        <v>6002</v>
      </c>
      <c r="H67" s="1200">
        <v>6688</v>
      </c>
      <c r="I67" s="1200">
        <v>3537</v>
      </c>
      <c r="J67" s="1007">
        <v>2005</v>
      </c>
      <c r="K67" s="1007">
        <v>18232</v>
      </c>
      <c r="L67" s="1270"/>
      <c r="M67" s="1198">
        <v>0</v>
      </c>
      <c r="N67" s="1198">
        <v>0</v>
      </c>
      <c r="O67" s="1007">
        <v>934</v>
      </c>
      <c r="P67" s="1007">
        <v>934</v>
      </c>
      <c r="Q67" s="1270"/>
      <c r="R67" s="1200">
        <v>16344</v>
      </c>
      <c r="S67" s="1007">
        <v>886</v>
      </c>
      <c r="T67" s="1306">
        <v>17230</v>
      </c>
    </row>
    <row r="68" spans="1:20" x14ac:dyDescent="0.25">
      <c r="A68" s="1203">
        <v>90751</v>
      </c>
      <c r="B68" s="1204" t="s">
        <v>2709</v>
      </c>
      <c r="C68" s="1303">
        <v>6.2600000000000004E-5</v>
      </c>
      <c r="D68" s="1303">
        <v>6.3E-5</v>
      </c>
      <c r="E68" s="1007">
        <v>223696</v>
      </c>
      <c r="F68" s="1270"/>
      <c r="G68" s="1200">
        <v>28249</v>
      </c>
      <c r="H68" s="1200">
        <v>31479</v>
      </c>
      <c r="I68" s="1200">
        <v>16647</v>
      </c>
      <c r="J68" s="1007">
        <v>1235</v>
      </c>
      <c r="K68" s="1007">
        <v>77610</v>
      </c>
      <c r="L68" s="1270"/>
      <c r="M68" s="1198">
        <v>0</v>
      </c>
      <c r="N68" s="1198">
        <v>0</v>
      </c>
      <c r="O68" s="1007">
        <v>12854</v>
      </c>
      <c r="P68" s="1007">
        <v>12854</v>
      </c>
      <c r="Q68" s="1270"/>
      <c r="R68" s="1200">
        <v>76928</v>
      </c>
      <c r="S68" s="1007">
        <v>-3798</v>
      </c>
      <c r="T68" s="1306">
        <v>73130</v>
      </c>
    </row>
    <row r="69" spans="1:20" x14ac:dyDescent="0.25">
      <c r="A69" s="1203">
        <v>90801</v>
      </c>
      <c r="B69" s="1204" t="s">
        <v>2710</v>
      </c>
      <c r="C69" s="1303">
        <v>1.2543000000000001E-3</v>
      </c>
      <c r="D69" s="1303">
        <v>1.2669999999999999E-3</v>
      </c>
      <c r="E69" s="1007">
        <v>4482148</v>
      </c>
      <c r="F69" s="1270"/>
      <c r="G69" s="1200">
        <v>566017</v>
      </c>
      <c r="H69" s="1200">
        <v>630742</v>
      </c>
      <c r="I69" s="1200">
        <v>333560</v>
      </c>
      <c r="J69" s="1007">
        <v>12107</v>
      </c>
      <c r="K69" s="1007">
        <v>1542426</v>
      </c>
      <c r="L69" s="1270"/>
      <c r="M69" s="1198">
        <v>0</v>
      </c>
      <c r="N69" s="1198">
        <v>0</v>
      </c>
      <c r="O69" s="1007">
        <v>190080</v>
      </c>
      <c r="P69" s="1007">
        <v>190080</v>
      </c>
      <c r="Q69" s="1270"/>
      <c r="R69" s="1200">
        <v>1541378</v>
      </c>
      <c r="S69" s="1007">
        <v>-48811</v>
      </c>
      <c r="T69" s="1306">
        <v>1492567</v>
      </c>
    </row>
    <row r="70" spans="1:20" x14ac:dyDescent="0.25">
      <c r="A70" s="1203">
        <v>90804</v>
      </c>
      <c r="B70" s="1204" t="s">
        <v>2711</v>
      </c>
      <c r="C70" s="1303">
        <v>5.0000000000000004E-6</v>
      </c>
      <c r="D70" s="1303">
        <v>5.5999999999999997E-6</v>
      </c>
      <c r="E70" s="1007">
        <v>17867</v>
      </c>
      <c r="F70" s="1270"/>
      <c r="G70" s="1200">
        <v>2256</v>
      </c>
      <c r="H70" s="1200">
        <v>2514</v>
      </c>
      <c r="I70" s="1200">
        <v>1330</v>
      </c>
      <c r="J70" s="1007">
        <v>13</v>
      </c>
      <c r="K70" s="1007">
        <v>6113</v>
      </c>
      <c r="L70" s="1270"/>
      <c r="M70" s="1198">
        <v>0</v>
      </c>
      <c r="N70" s="1198">
        <v>0</v>
      </c>
      <c r="O70" s="1007">
        <v>769</v>
      </c>
      <c r="P70" s="1007">
        <v>769</v>
      </c>
      <c r="Q70" s="1270"/>
      <c r="R70" s="1200">
        <v>6144</v>
      </c>
      <c r="S70" s="1007">
        <v>-100</v>
      </c>
      <c r="T70" s="1306">
        <v>6044</v>
      </c>
    </row>
    <row r="71" spans="1:20" x14ac:dyDescent="0.25">
      <c r="A71" s="1203">
        <v>90805</v>
      </c>
      <c r="B71" s="1204" t="s">
        <v>2712</v>
      </c>
      <c r="C71" s="1303">
        <v>6.3E-5</v>
      </c>
      <c r="D71" s="1303">
        <v>6.5900000000000003E-5</v>
      </c>
      <c r="E71" s="1007">
        <v>225126</v>
      </c>
      <c r="F71" s="1270"/>
      <c r="G71" s="1200">
        <v>28429</v>
      </c>
      <c r="H71" s="1200">
        <v>31681</v>
      </c>
      <c r="I71" s="1200">
        <v>16754</v>
      </c>
      <c r="J71" s="1007">
        <v>20954</v>
      </c>
      <c r="K71" s="1007">
        <v>97818</v>
      </c>
      <c r="L71" s="1270"/>
      <c r="M71" s="1198">
        <v>0</v>
      </c>
      <c r="N71" s="1198">
        <v>0</v>
      </c>
      <c r="O71" s="1007">
        <v>0</v>
      </c>
      <c r="P71" s="1007">
        <v>0</v>
      </c>
      <c r="Q71" s="1270"/>
      <c r="R71" s="1200">
        <v>77419</v>
      </c>
      <c r="S71" s="1007">
        <v>11966</v>
      </c>
      <c r="T71" s="1306">
        <v>89385</v>
      </c>
    </row>
    <row r="72" spans="1:20" x14ac:dyDescent="0.25">
      <c r="A72" s="1203">
        <v>90808</v>
      </c>
      <c r="B72" s="1204" t="s">
        <v>2713</v>
      </c>
      <c r="C72" s="1303">
        <v>1.4809999999999999E-4</v>
      </c>
      <c r="D72" s="1303">
        <v>1.395E-4</v>
      </c>
      <c r="E72" s="1007">
        <v>529224</v>
      </c>
      <c r="F72" s="1270"/>
      <c r="G72" s="1200">
        <v>66832</v>
      </c>
      <c r="H72" s="1200">
        <v>74474</v>
      </c>
      <c r="I72" s="1200">
        <v>39385</v>
      </c>
      <c r="J72" s="1007">
        <v>43849</v>
      </c>
      <c r="K72" s="1007">
        <v>224540</v>
      </c>
      <c r="L72" s="1270"/>
      <c r="M72" s="1198">
        <v>0</v>
      </c>
      <c r="N72" s="1198">
        <v>0</v>
      </c>
      <c r="O72" s="1007">
        <v>145</v>
      </c>
      <c r="P72" s="1007">
        <v>145</v>
      </c>
      <c r="Q72" s="1270"/>
      <c r="R72" s="1200">
        <v>181996</v>
      </c>
      <c r="S72" s="1007">
        <v>14853</v>
      </c>
      <c r="T72" s="1306">
        <v>196849</v>
      </c>
    </row>
    <row r="73" spans="1:20" x14ac:dyDescent="0.25">
      <c r="A73" s="1203">
        <v>90811</v>
      </c>
      <c r="B73" s="1204" t="s">
        <v>2714</v>
      </c>
      <c r="C73" s="1303">
        <v>3.8999999999999999E-5</v>
      </c>
      <c r="D73" s="1303">
        <v>3.4900000000000001E-5</v>
      </c>
      <c r="E73" s="1007">
        <v>139364</v>
      </c>
      <c r="F73" s="1270"/>
      <c r="G73" s="1200">
        <v>17599</v>
      </c>
      <c r="H73" s="1200">
        <v>19612</v>
      </c>
      <c r="I73" s="1200">
        <v>10371</v>
      </c>
      <c r="J73" s="1007">
        <v>2865</v>
      </c>
      <c r="K73" s="1007">
        <v>50447</v>
      </c>
      <c r="L73" s="1270"/>
      <c r="M73" s="1198">
        <v>0</v>
      </c>
      <c r="N73" s="1198">
        <v>0</v>
      </c>
      <c r="O73" s="1007">
        <v>6045</v>
      </c>
      <c r="P73" s="1007">
        <v>6045</v>
      </c>
      <c r="Q73" s="1270"/>
      <c r="R73" s="1200">
        <v>47926</v>
      </c>
      <c r="S73" s="1007">
        <v>-2832</v>
      </c>
      <c r="T73" s="1306">
        <v>45094</v>
      </c>
    </row>
    <row r="74" spans="1:20" x14ac:dyDescent="0.25">
      <c r="A74" s="1203">
        <v>90812</v>
      </c>
      <c r="B74" s="1204" t="s">
        <v>2715</v>
      </c>
      <c r="C74" s="1303">
        <v>2.0900000000000001E-4</v>
      </c>
      <c r="D74" s="1303">
        <v>2.2100000000000001E-4</v>
      </c>
      <c r="E74" s="1007">
        <v>746846</v>
      </c>
      <c r="F74" s="1270"/>
      <c r="G74" s="1200">
        <v>94314</v>
      </c>
      <c r="H74" s="1200">
        <v>105098</v>
      </c>
      <c r="I74" s="1200">
        <v>55580</v>
      </c>
      <c r="J74" s="1007">
        <v>2663</v>
      </c>
      <c r="K74" s="1007">
        <v>257655</v>
      </c>
      <c r="L74" s="1270"/>
      <c r="M74" s="1198">
        <v>0</v>
      </c>
      <c r="N74" s="1198">
        <v>0</v>
      </c>
      <c r="O74" s="1007">
        <v>22362</v>
      </c>
      <c r="P74" s="1007">
        <v>22362</v>
      </c>
      <c r="Q74" s="1270"/>
      <c r="R74" s="1200">
        <v>256835</v>
      </c>
      <c r="S74" s="1007">
        <v>-8342</v>
      </c>
      <c r="T74" s="1306">
        <v>248493</v>
      </c>
    </row>
    <row r="75" spans="1:20" x14ac:dyDescent="0.25">
      <c r="A75" s="1203">
        <v>90813</v>
      </c>
      <c r="B75" s="1204" t="s">
        <v>2716</v>
      </c>
      <c r="C75" s="1303">
        <v>4.0999999999999997E-6</v>
      </c>
      <c r="D75" s="1303">
        <v>4.6E-6</v>
      </c>
      <c r="E75" s="1007">
        <v>14651</v>
      </c>
      <c r="F75" s="1270"/>
      <c r="G75" s="1200">
        <v>1850</v>
      </c>
      <c r="H75" s="1200">
        <v>2061</v>
      </c>
      <c r="I75" s="1200">
        <v>1090</v>
      </c>
      <c r="J75" s="1007">
        <v>0</v>
      </c>
      <c r="K75" s="1007">
        <v>5001</v>
      </c>
      <c r="L75" s="1270"/>
      <c r="M75" s="1198">
        <v>0</v>
      </c>
      <c r="N75" s="1198">
        <v>0</v>
      </c>
      <c r="O75" s="1007">
        <v>1383</v>
      </c>
      <c r="P75" s="1007">
        <v>1383</v>
      </c>
      <c r="Q75" s="1270"/>
      <c r="R75" s="1200">
        <v>5038</v>
      </c>
      <c r="S75" s="1007">
        <v>-627</v>
      </c>
      <c r="T75" s="1306">
        <v>4411</v>
      </c>
    </row>
    <row r="76" spans="1:20" x14ac:dyDescent="0.25">
      <c r="A76" s="1203">
        <v>90861</v>
      </c>
      <c r="B76" s="1204" t="s">
        <v>2717</v>
      </c>
      <c r="C76" s="1303">
        <v>2.5000000000000002E-6</v>
      </c>
      <c r="D76" s="1303">
        <v>8.4999999999999999E-6</v>
      </c>
      <c r="E76" s="1007">
        <v>8934</v>
      </c>
      <c r="F76" s="1270"/>
      <c r="G76" s="1200">
        <v>1128</v>
      </c>
      <c r="H76" s="1200">
        <v>1257</v>
      </c>
      <c r="I76" s="1200">
        <v>665</v>
      </c>
      <c r="J76" s="1007">
        <v>5118</v>
      </c>
      <c r="K76" s="1007">
        <v>8168</v>
      </c>
      <c r="L76" s="1270"/>
      <c r="M76" s="1198">
        <v>0</v>
      </c>
      <c r="N76" s="1198">
        <v>0</v>
      </c>
      <c r="O76" s="1007">
        <v>5566</v>
      </c>
      <c r="P76" s="1007">
        <v>5566</v>
      </c>
      <c r="Q76" s="1270"/>
      <c r="R76" s="1200">
        <v>3072</v>
      </c>
      <c r="S76" s="1007">
        <v>616</v>
      </c>
      <c r="T76" s="1306">
        <v>3688</v>
      </c>
    </row>
    <row r="77" spans="1:20" x14ac:dyDescent="0.25">
      <c r="A77" s="1203">
        <v>90901</v>
      </c>
      <c r="B77" s="1204" t="s">
        <v>2718</v>
      </c>
      <c r="C77" s="1303">
        <v>2.0888E-3</v>
      </c>
      <c r="D77" s="1303">
        <v>2.274E-3</v>
      </c>
      <c r="E77" s="1007">
        <v>7464172</v>
      </c>
      <c r="F77" s="1270"/>
      <c r="G77" s="1200">
        <v>942594</v>
      </c>
      <c r="H77" s="1200">
        <v>1050383</v>
      </c>
      <c r="I77" s="1200">
        <v>555481</v>
      </c>
      <c r="J77" s="1007">
        <v>68919</v>
      </c>
      <c r="K77" s="1007">
        <v>2617377</v>
      </c>
      <c r="L77" s="1270"/>
      <c r="M77" s="1198">
        <v>0</v>
      </c>
      <c r="N77" s="1198">
        <v>0</v>
      </c>
      <c r="O77" s="1007">
        <v>217379</v>
      </c>
      <c r="P77" s="1007">
        <v>217379</v>
      </c>
      <c r="Q77" s="1270"/>
      <c r="R77" s="1200">
        <v>2566874</v>
      </c>
      <c r="S77" s="1007">
        <v>-55781</v>
      </c>
      <c r="T77" s="1306">
        <v>2511093</v>
      </c>
    </row>
    <row r="78" spans="1:20" x14ac:dyDescent="0.25">
      <c r="A78" s="1203">
        <v>90911</v>
      </c>
      <c r="B78" s="1204" t="s">
        <v>2719</v>
      </c>
      <c r="C78" s="1303">
        <v>3.7490000000000001E-4</v>
      </c>
      <c r="D78" s="1303">
        <v>3.8539999999999999E-4</v>
      </c>
      <c r="E78" s="1007">
        <v>1339677</v>
      </c>
      <c r="F78" s="1270"/>
      <c r="G78" s="1200">
        <v>169178</v>
      </c>
      <c r="H78" s="1200">
        <v>188523</v>
      </c>
      <c r="I78" s="1200">
        <v>99698</v>
      </c>
      <c r="J78" s="1007">
        <v>1700</v>
      </c>
      <c r="K78" s="1007">
        <v>459099</v>
      </c>
      <c r="L78" s="1270"/>
      <c r="M78" s="1198">
        <v>0</v>
      </c>
      <c r="N78" s="1198">
        <v>0</v>
      </c>
      <c r="O78" s="1007">
        <v>55640</v>
      </c>
      <c r="P78" s="1007">
        <v>55640</v>
      </c>
      <c r="Q78" s="1270"/>
      <c r="R78" s="1200">
        <v>460705</v>
      </c>
      <c r="S78" s="1007">
        <v>-22311</v>
      </c>
      <c r="T78" s="1306">
        <v>438394</v>
      </c>
    </row>
    <row r="79" spans="1:20" x14ac:dyDescent="0.25">
      <c r="A79" s="1203">
        <v>90917</v>
      </c>
      <c r="B79" s="1204" t="s">
        <v>2720</v>
      </c>
      <c r="C79" s="1303">
        <v>9.7999999999999993E-6</v>
      </c>
      <c r="D79" s="1303">
        <v>8.1000000000000004E-6</v>
      </c>
      <c r="E79" s="1007">
        <v>35020</v>
      </c>
      <c r="F79" s="1270"/>
      <c r="G79" s="1200">
        <v>4422</v>
      </c>
      <c r="H79" s="1200">
        <v>4928</v>
      </c>
      <c r="I79" s="1200">
        <v>2606</v>
      </c>
      <c r="J79" s="1007">
        <v>3613</v>
      </c>
      <c r="K79" s="1007">
        <v>15569</v>
      </c>
      <c r="L79" s="1270"/>
      <c r="M79" s="1198">
        <v>0</v>
      </c>
      <c r="N79" s="1198">
        <v>0</v>
      </c>
      <c r="O79" s="1007">
        <v>2375</v>
      </c>
      <c r="P79" s="1007">
        <v>2375</v>
      </c>
      <c r="Q79" s="1270"/>
      <c r="R79" s="1200">
        <v>12043</v>
      </c>
      <c r="S79" s="1007">
        <v>588</v>
      </c>
      <c r="T79" s="1306">
        <v>12631</v>
      </c>
    </row>
    <row r="80" spans="1:20" x14ac:dyDescent="0.25">
      <c r="A80" s="1203">
        <v>90918</v>
      </c>
      <c r="B80" s="1204" t="s">
        <v>2721</v>
      </c>
      <c r="C80" s="1303">
        <v>9.9000000000000001E-6</v>
      </c>
      <c r="D80" s="1303">
        <v>1.06E-5</v>
      </c>
      <c r="E80" s="1007">
        <v>35377</v>
      </c>
      <c r="F80" s="1270"/>
      <c r="G80" s="1200">
        <v>4467</v>
      </c>
      <c r="H80" s="1200">
        <v>4979</v>
      </c>
      <c r="I80" s="1200">
        <v>2633</v>
      </c>
      <c r="J80" s="1007">
        <v>0</v>
      </c>
      <c r="K80" s="1007">
        <v>12079</v>
      </c>
      <c r="L80" s="1270"/>
      <c r="M80" s="1198">
        <v>0</v>
      </c>
      <c r="N80" s="1198">
        <v>0</v>
      </c>
      <c r="O80" s="1007">
        <v>2062</v>
      </c>
      <c r="P80" s="1007">
        <v>2062</v>
      </c>
      <c r="Q80" s="1270"/>
      <c r="R80" s="1200">
        <v>12166</v>
      </c>
      <c r="S80" s="1007">
        <v>-1182</v>
      </c>
      <c r="T80" s="1306">
        <v>10984</v>
      </c>
    </row>
    <row r="81" spans="1:20" x14ac:dyDescent="0.25">
      <c r="A81" s="1203">
        <v>90921</v>
      </c>
      <c r="B81" s="1204" t="s">
        <v>2722</v>
      </c>
      <c r="C81" s="1303">
        <v>1.027E-4</v>
      </c>
      <c r="D81" s="1303">
        <v>1.2129999999999999E-4</v>
      </c>
      <c r="E81" s="1007">
        <v>366991</v>
      </c>
      <c r="F81" s="1270"/>
      <c r="G81" s="1200">
        <v>46345</v>
      </c>
      <c r="H81" s="1200">
        <v>51645</v>
      </c>
      <c r="I81" s="1200">
        <v>27311</v>
      </c>
      <c r="J81" s="1007">
        <v>7078</v>
      </c>
      <c r="K81" s="1007">
        <v>132379</v>
      </c>
      <c r="L81" s="1270"/>
      <c r="M81" s="1198">
        <v>0</v>
      </c>
      <c r="N81" s="1198">
        <v>0</v>
      </c>
      <c r="O81" s="1007">
        <v>13655</v>
      </c>
      <c r="P81" s="1007">
        <v>13655</v>
      </c>
      <c r="Q81" s="1270"/>
      <c r="R81" s="1200">
        <v>126205</v>
      </c>
      <c r="S81" s="1007">
        <v>843</v>
      </c>
      <c r="T81" s="1306">
        <v>127048</v>
      </c>
    </row>
    <row r="82" spans="1:20" x14ac:dyDescent="0.25">
      <c r="A82" s="1203">
        <v>90931</v>
      </c>
      <c r="B82" s="1204" t="s">
        <v>2723</v>
      </c>
      <c r="C82" s="1303">
        <v>3.18E-5</v>
      </c>
      <c r="D82" s="1303">
        <v>3.7299999999999999E-5</v>
      </c>
      <c r="E82" s="1007">
        <v>113635</v>
      </c>
      <c r="F82" s="1270"/>
      <c r="G82" s="1200">
        <v>14350</v>
      </c>
      <c r="H82" s="1200">
        <v>15991</v>
      </c>
      <c r="I82" s="1200">
        <v>8457</v>
      </c>
      <c r="J82" s="1007">
        <v>0</v>
      </c>
      <c r="K82" s="1007">
        <v>38798</v>
      </c>
      <c r="L82" s="1270"/>
      <c r="M82" s="1198">
        <v>0</v>
      </c>
      <c r="N82" s="1198">
        <v>0</v>
      </c>
      <c r="O82" s="1007">
        <v>13119</v>
      </c>
      <c r="P82" s="1007">
        <v>13119</v>
      </c>
      <c r="Q82" s="1270"/>
      <c r="R82" s="1200">
        <v>39078</v>
      </c>
      <c r="S82" s="1007">
        <v>-7656</v>
      </c>
      <c r="T82" s="1306">
        <v>31422</v>
      </c>
    </row>
    <row r="83" spans="1:20" x14ac:dyDescent="0.25">
      <c r="A83" s="1203">
        <v>90941</v>
      </c>
      <c r="B83" s="1204" t="s">
        <v>2724</v>
      </c>
      <c r="C83" s="1303">
        <v>6.9999999999999994E-5</v>
      </c>
      <c r="D83" s="1303">
        <v>8.5400000000000002E-5</v>
      </c>
      <c r="E83" s="1007">
        <v>250140</v>
      </c>
      <c r="F83" s="1270"/>
      <c r="G83" s="1200">
        <v>31588</v>
      </c>
      <c r="H83" s="1200">
        <v>35201</v>
      </c>
      <c r="I83" s="1200">
        <v>18615</v>
      </c>
      <c r="J83" s="1007">
        <v>3755</v>
      </c>
      <c r="K83" s="1007">
        <v>89159</v>
      </c>
      <c r="L83" s="1270"/>
      <c r="M83" s="1198">
        <v>0</v>
      </c>
      <c r="N83" s="1198">
        <v>0</v>
      </c>
      <c r="O83" s="1007">
        <v>18499</v>
      </c>
      <c r="P83" s="1007">
        <v>18499</v>
      </c>
      <c r="Q83" s="1270"/>
      <c r="R83" s="1200">
        <v>86021</v>
      </c>
      <c r="S83" s="1007">
        <v>-5648</v>
      </c>
      <c r="T83" s="1306">
        <v>80373</v>
      </c>
    </row>
    <row r="84" spans="1:20" x14ac:dyDescent="0.25">
      <c r="A84" s="1203">
        <v>91001</v>
      </c>
      <c r="B84" s="1204" t="s">
        <v>2725</v>
      </c>
      <c r="C84" s="1303">
        <v>7.1149000000000004E-3</v>
      </c>
      <c r="D84" s="1303">
        <v>7.2779999999999997E-3</v>
      </c>
      <c r="E84" s="1007">
        <v>25424569</v>
      </c>
      <c r="F84" s="1270"/>
      <c r="G84" s="1200">
        <v>3210677</v>
      </c>
      <c r="H84" s="1200">
        <v>3577827</v>
      </c>
      <c r="I84" s="1200">
        <v>1892087</v>
      </c>
      <c r="J84" s="1007">
        <v>261637</v>
      </c>
      <c r="K84" s="1007">
        <v>8942228</v>
      </c>
      <c r="L84" s="1270"/>
      <c r="M84" s="1198">
        <v>0</v>
      </c>
      <c r="N84" s="1198">
        <v>0</v>
      </c>
      <c r="O84" s="1007">
        <v>485948</v>
      </c>
      <c r="P84" s="1007">
        <v>485948</v>
      </c>
      <c r="Q84" s="1270"/>
      <c r="R84" s="1200">
        <v>8743323</v>
      </c>
      <c r="S84" s="1007">
        <v>-145374</v>
      </c>
      <c r="T84" s="1306">
        <v>8597949</v>
      </c>
    </row>
    <row r="85" spans="1:20" x14ac:dyDescent="0.25">
      <c r="A85" s="1203">
        <v>91002</v>
      </c>
      <c r="B85" s="1204" t="s">
        <v>2726</v>
      </c>
      <c r="C85" s="1303">
        <v>1.1846999999999999E-3</v>
      </c>
      <c r="D85" s="1303">
        <v>1.2939E-3</v>
      </c>
      <c r="E85" s="1007">
        <v>4233438</v>
      </c>
      <c r="F85" s="1270"/>
      <c r="G85" s="1200">
        <v>534609</v>
      </c>
      <c r="H85" s="1200">
        <v>595743</v>
      </c>
      <c r="I85" s="1200">
        <v>315051</v>
      </c>
      <c r="J85" s="1007">
        <v>216108</v>
      </c>
      <c r="K85" s="1007">
        <v>1661511</v>
      </c>
      <c r="L85" s="1270"/>
      <c r="M85" s="1198">
        <v>0</v>
      </c>
      <c r="N85" s="1198">
        <v>0</v>
      </c>
      <c r="O85" s="1007">
        <v>235197</v>
      </c>
      <c r="P85" s="1007">
        <v>235197</v>
      </c>
      <c r="Q85" s="1270"/>
      <c r="R85" s="1200">
        <v>1455848</v>
      </c>
      <c r="S85" s="1007">
        <v>2293</v>
      </c>
      <c r="T85" s="1306">
        <v>1458141</v>
      </c>
    </row>
    <row r="86" spans="1:20" x14ac:dyDescent="0.25">
      <c r="A86" s="1203">
        <v>91003</v>
      </c>
      <c r="B86" s="1204" t="s">
        <v>2727</v>
      </c>
      <c r="C86" s="1303">
        <v>5.7609999999999996E-4</v>
      </c>
      <c r="D86" s="1303">
        <v>5.9570000000000001E-4</v>
      </c>
      <c r="E86" s="1007">
        <v>2058651</v>
      </c>
      <c r="F86" s="1270"/>
      <c r="G86" s="1200">
        <v>259971</v>
      </c>
      <c r="H86" s="1200">
        <v>289700</v>
      </c>
      <c r="I86" s="1200">
        <v>153204</v>
      </c>
      <c r="J86" s="1007">
        <v>39079</v>
      </c>
      <c r="K86" s="1007">
        <v>741954</v>
      </c>
      <c r="L86" s="1270"/>
      <c r="M86" s="1198">
        <v>0</v>
      </c>
      <c r="N86" s="1198">
        <v>0</v>
      </c>
      <c r="O86" s="1007">
        <v>32577</v>
      </c>
      <c r="P86" s="1007">
        <v>32577</v>
      </c>
      <c r="Q86" s="1270"/>
      <c r="R86" s="1200">
        <v>707955</v>
      </c>
      <c r="S86" s="1007">
        <v>-6472</v>
      </c>
      <c r="T86" s="1306">
        <v>701483</v>
      </c>
    </row>
    <row r="87" spans="1:20" x14ac:dyDescent="0.25">
      <c r="A87" s="1203">
        <v>91004</v>
      </c>
      <c r="B87" s="1204" t="s">
        <v>2728</v>
      </c>
      <c r="C87" s="1303">
        <v>3.6600000000000002E-5</v>
      </c>
      <c r="D87" s="1303">
        <v>3.3300000000000003E-5</v>
      </c>
      <c r="E87" s="1007">
        <v>130787</v>
      </c>
      <c r="F87" s="1270"/>
      <c r="G87" s="1200">
        <v>16516</v>
      </c>
      <c r="H87" s="1200">
        <v>18405</v>
      </c>
      <c r="I87" s="1200">
        <v>9733</v>
      </c>
      <c r="J87" s="1007">
        <v>7714</v>
      </c>
      <c r="K87" s="1007">
        <v>52368</v>
      </c>
      <c r="L87" s="1270"/>
      <c r="M87" s="1198">
        <v>0</v>
      </c>
      <c r="N87" s="1198">
        <v>0</v>
      </c>
      <c r="O87" s="1007">
        <v>2526</v>
      </c>
      <c r="P87" s="1007">
        <v>2526</v>
      </c>
      <c r="Q87" s="1270"/>
      <c r="R87" s="1200">
        <v>44977</v>
      </c>
      <c r="S87" s="1007">
        <v>3813</v>
      </c>
      <c r="T87" s="1306">
        <v>48790</v>
      </c>
    </row>
    <row r="88" spans="1:20" x14ac:dyDescent="0.25">
      <c r="A88" s="1203">
        <v>91006</v>
      </c>
      <c r="B88" s="1204" t="s">
        <v>2729</v>
      </c>
      <c r="C88" s="1303">
        <v>1.0206E-3</v>
      </c>
      <c r="D88" s="1303">
        <v>1.0489E-3</v>
      </c>
      <c r="E88" s="1007">
        <v>3647039</v>
      </c>
      <c r="F88" s="1270"/>
      <c r="G88" s="1200">
        <v>460557</v>
      </c>
      <c r="H88" s="1200">
        <v>513223</v>
      </c>
      <c r="I88" s="1200">
        <v>271411</v>
      </c>
      <c r="J88" s="1007">
        <v>0</v>
      </c>
      <c r="K88" s="1007">
        <v>1245191</v>
      </c>
      <c r="L88" s="1270"/>
      <c r="M88" s="1198">
        <v>0</v>
      </c>
      <c r="N88" s="1198">
        <v>0</v>
      </c>
      <c r="O88" s="1007">
        <v>99385</v>
      </c>
      <c r="P88" s="1007">
        <v>99385</v>
      </c>
      <c r="Q88" s="1270"/>
      <c r="R88" s="1200">
        <v>1254190</v>
      </c>
      <c r="S88" s="1007">
        <v>-40264</v>
      </c>
      <c r="T88" s="1306">
        <v>1213926</v>
      </c>
    </row>
    <row r="89" spans="1:20" x14ac:dyDescent="0.25">
      <c r="A89" s="1203">
        <v>91007</v>
      </c>
      <c r="B89" s="1204" t="s">
        <v>2730</v>
      </c>
      <c r="C89" s="1303">
        <v>9.5000000000000005E-6</v>
      </c>
      <c r="D89" s="1303">
        <v>1.0900000000000001E-5</v>
      </c>
      <c r="E89" s="1007">
        <v>33948</v>
      </c>
      <c r="F89" s="1270"/>
      <c r="G89" s="1200">
        <v>4287</v>
      </c>
      <c r="H89" s="1200">
        <v>4778</v>
      </c>
      <c r="I89" s="1200">
        <v>2526</v>
      </c>
      <c r="J89" s="1007">
        <v>2199</v>
      </c>
      <c r="K89" s="1007">
        <v>13790</v>
      </c>
      <c r="L89" s="1270"/>
      <c r="M89" s="1198">
        <v>0</v>
      </c>
      <c r="N89" s="1198">
        <v>0</v>
      </c>
      <c r="O89" s="1007">
        <v>1100</v>
      </c>
      <c r="P89" s="1007">
        <v>1100</v>
      </c>
      <c r="Q89" s="1270"/>
      <c r="R89" s="1200">
        <v>11674</v>
      </c>
      <c r="S89" s="1007">
        <v>1949</v>
      </c>
      <c r="T89" s="1306">
        <v>13623</v>
      </c>
    </row>
    <row r="90" spans="1:20" x14ac:dyDescent="0.25">
      <c r="A90" s="1203">
        <v>91008</v>
      </c>
      <c r="B90" s="1204" t="s">
        <v>2731</v>
      </c>
      <c r="C90" s="1303">
        <v>1.5430000000000001E-4</v>
      </c>
      <c r="D90" s="1303">
        <v>1.474E-4</v>
      </c>
      <c r="E90" s="1007">
        <v>551380</v>
      </c>
      <c r="F90" s="1270"/>
      <c r="G90" s="1200">
        <v>69630</v>
      </c>
      <c r="H90" s="1200">
        <v>77591</v>
      </c>
      <c r="I90" s="1200">
        <v>41033</v>
      </c>
      <c r="J90" s="1007">
        <v>25263</v>
      </c>
      <c r="K90" s="1007">
        <v>213517</v>
      </c>
      <c r="L90" s="1270"/>
      <c r="M90" s="1198">
        <v>0</v>
      </c>
      <c r="N90" s="1198">
        <v>0</v>
      </c>
      <c r="O90" s="1007">
        <v>0</v>
      </c>
      <c r="P90" s="1007">
        <v>0</v>
      </c>
      <c r="Q90" s="1270"/>
      <c r="R90" s="1200">
        <v>189615</v>
      </c>
      <c r="S90" s="1007">
        <v>14446</v>
      </c>
      <c r="T90" s="1306">
        <v>204061</v>
      </c>
    </row>
    <row r="91" spans="1:20" x14ac:dyDescent="0.25">
      <c r="A91" s="1203">
        <v>91009</v>
      </c>
      <c r="B91" s="1204" t="s">
        <v>2732</v>
      </c>
      <c r="C91" s="1303">
        <v>1.22E-5</v>
      </c>
      <c r="D91" s="1303">
        <v>8.3000000000000002E-6</v>
      </c>
      <c r="E91" s="1007">
        <v>43596</v>
      </c>
      <c r="F91" s="1270"/>
      <c r="G91" s="1200">
        <v>5505</v>
      </c>
      <c r="H91" s="1200">
        <v>6135</v>
      </c>
      <c r="I91" s="1200">
        <v>3244</v>
      </c>
      <c r="J91" s="1007">
        <v>10679</v>
      </c>
      <c r="K91" s="1007">
        <v>25563</v>
      </c>
      <c r="L91" s="1270"/>
      <c r="M91" s="1198">
        <v>0</v>
      </c>
      <c r="N91" s="1198">
        <v>0</v>
      </c>
      <c r="O91" s="1007">
        <v>482</v>
      </c>
      <c r="P91" s="1007">
        <v>482</v>
      </c>
      <c r="Q91" s="1270"/>
      <c r="R91" s="1200">
        <v>14992</v>
      </c>
      <c r="S91" s="1007">
        <v>4794</v>
      </c>
      <c r="T91" s="1306">
        <v>19786</v>
      </c>
    </row>
    <row r="92" spans="1:20" x14ac:dyDescent="0.25">
      <c r="A92" s="1203">
        <v>91010</v>
      </c>
      <c r="B92" s="1204" t="s">
        <v>2733</v>
      </c>
      <c r="C92" s="1303">
        <v>4.9400000000000001E-5</v>
      </c>
      <c r="D92" s="1303">
        <v>5.1E-5</v>
      </c>
      <c r="E92" s="1007">
        <v>176527</v>
      </c>
      <c r="F92" s="1270"/>
      <c r="G92" s="1200">
        <v>22292</v>
      </c>
      <c r="H92" s="1200">
        <v>24842</v>
      </c>
      <c r="I92" s="1200">
        <v>13137</v>
      </c>
      <c r="J92" s="1007">
        <v>3556</v>
      </c>
      <c r="K92" s="1007">
        <v>63827</v>
      </c>
      <c r="L92" s="1270"/>
      <c r="M92" s="1198">
        <v>0</v>
      </c>
      <c r="N92" s="1198">
        <v>0</v>
      </c>
      <c r="O92" s="1007">
        <v>5274</v>
      </c>
      <c r="P92" s="1007">
        <v>5274</v>
      </c>
      <c r="Q92" s="1270"/>
      <c r="R92" s="1200">
        <v>60706</v>
      </c>
      <c r="S92" s="1007">
        <v>-985</v>
      </c>
      <c r="T92" s="1306">
        <v>59721</v>
      </c>
    </row>
    <row r="93" spans="1:20" x14ac:dyDescent="0.25">
      <c r="A93" s="1203">
        <v>91011</v>
      </c>
      <c r="B93" s="1204" t="s">
        <v>2734</v>
      </c>
      <c r="C93" s="1303">
        <v>3.701E-4</v>
      </c>
      <c r="D93" s="1303">
        <v>3.2009999999999997E-4</v>
      </c>
      <c r="E93" s="1007">
        <v>1322525</v>
      </c>
      <c r="F93" s="1270"/>
      <c r="G93" s="1200">
        <v>167012</v>
      </c>
      <c r="H93" s="1200">
        <v>186110</v>
      </c>
      <c r="I93" s="1200">
        <v>98422</v>
      </c>
      <c r="J93" s="1007">
        <v>88706</v>
      </c>
      <c r="K93" s="1007">
        <v>540250</v>
      </c>
      <c r="L93" s="1270"/>
      <c r="M93" s="1198">
        <v>0</v>
      </c>
      <c r="N93" s="1198">
        <v>0</v>
      </c>
      <c r="O93" s="1007">
        <v>19723</v>
      </c>
      <c r="P93" s="1007">
        <v>19723</v>
      </c>
      <c r="Q93" s="1270"/>
      <c r="R93" s="1200">
        <v>454807</v>
      </c>
      <c r="S93" s="1007">
        <v>29321</v>
      </c>
      <c r="T93" s="1306">
        <v>484128</v>
      </c>
    </row>
    <row r="94" spans="1:20" x14ac:dyDescent="0.25">
      <c r="A94" s="1203">
        <v>91012</v>
      </c>
      <c r="B94" s="1204" t="s">
        <v>2735</v>
      </c>
      <c r="C94" s="1303">
        <v>1.1600000000000001E-5</v>
      </c>
      <c r="D94" s="1303">
        <v>1.4600000000000001E-5</v>
      </c>
      <c r="E94" s="1007">
        <v>41452</v>
      </c>
      <c r="F94" s="1270"/>
      <c r="G94" s="1200">
        <v>5235</v>
      </c>
      <c r="H94" s="1200">
        <v>5833</v>
      </c>
      <c r="I94" s="1200">
        <v>3085</v>
      </c>
      <c r="J94" s="1007">
        <v>2200</v>
      </c>
      <c r="K94" s="1007">
        <v>16353</v>
      </c>
      <c r="L94" s="1270"/>
      <c r="M94" s="1198">
        <v>0</v>
      </c>
      <c r="N94" s="1198">
        <v>0</v>
      </c>
      <c r="O94" s="1007">
        <v>4668</v>
      </c>
      <c r="P94" s="1007">
        <v>4668</v>
      </c>
      <c r="Q94" s="1270"/>
      <c r="R94" s="1200">
        <v>14255</v>
      </c>
      <c r="S94" s="1007">
        <v>172</v>
      </c>
      <c r="T94" s="1306">
        <v>14427</v>
      </c>
    </row>
    <row r="95" spans="1:20" x14ac:dyDescent="0.25">
      <c r="A95" s="1203">
        <v>91013</v>
      </c>
      <c r="B95" s="1204" t="s">
        <v>2736</v>
      </c>
      <c r="C95" s="1303">
        <v>3.7200000000000003E-5</v>
      </c>
      <c r="D95" s="1303">
        <v>3.4999999999999997E-5</v>
      </c>
      <c r="E95" s="1007">
        <v>132931</v>
      </c>
      <c r="F95" s="1270"/>
      <c r="G95" s="1200">
        <v>16787</v>
      </c>
      <c r="H95" s="1200">
        <v>18707</v>
      </c>
      <c r="I95" s="1200">
        <v>9893</v>
      </c>
      <c r="J95" s="1007">
        <v>33610</v>
      </c>
      <c r="K95" s="1007">
        <v>78997</v>
      </c>
      <c r="L95" s="1270"/>
      <c r="M95" s="1198">
        <v>0</v>
      </c>
      <c r="N95" s="1198">
        <v>0</v>
      </c>
      <c r="O95" s="1007">
        <v>0</v>
      </c>
      <c r="P95" s="1007">
        <v>0</v>
      </c>
      <c r="Q95" s="1270"/>
      <c r="R95" s="1200">
        <v>45714</v>
      </c>
      <c r="S95" s="1007">
        <v>20026</v>
      </c>
      <c r="T95" s="1306">
        <v>65740</v>
      </c>
    </row>
    <row r="96" spans="1:20" x14ac:dyDescent="0.25">
      <c r="A96" s="1203">
        <v>91014</v>
      </c>
      <c r="B96" s="1204" t="s">
        <v>2737</v>
      </c>
      <c r="C96" s="1303">
        <v>1.762E-4</v>
      </c>
      <c r="D96" s="1303">
        <v>1.7640000000000001E-4</v>
      </c>
      <c r="E96" s="1007">
        <v>629638</v>
      </c>
      <c r="F96" s="1270"/>
      <c r="G96" s="1200">
        <v>79512</v>
      </c>
      <c r="H96" s="1200">
        <v>88604</v>
      </c>
      <c r="I96" s="1200">
        <v>46857</v>
      </c>
      <c r="J96" s="1007">
        <v>4631</v>
      </c>
      <c r="K96" s="1007">
        <v>219604</v>
      </c>
      <c r="L96" s="1270"/>
      <c r="M96" s="1198">
        <v>0</v>
      </c>
      <c r="N96" s="1198">
        <v>0</v>
      </c>
      <c r="O96" s="1007">
        <v>17662</v>
      </c>
      <c r="P96" s="1007">
        <v>17662</v>
      </c>
      <c r="Q96" s="1270"/>
      <c r="R96" s="1200">
        <v>216528</v>
      </c>
      <c r="S96" s="1007">
        <v>-7149</v>
      </c>
      <c r="T96" s="1306">
        <v>209379</v>
      </c>
    </row>
    <row r="97" spans="1:20" x14ac:dyDescent="0.25">
      <c r="A97" s="1203">
        <v>91015</v>
      </c>
      <c r="B97" s="1302" t="s">
        <v>4129</v>
      </c>
      <c r="C97" s="1303">
        <v>1.6699999999999999E-5</v>
      </c>
      <c r="D97" s="1303">
        <v>1.8499999999999999E-5</v>
      </c>
      <c r="E97" s="1007">
        <v>59676</v>
      </c>
      <c r="F97" s="1270"/>
      <c r="G97" s="1200">
        <v>7536</v>
      </c>
      <c r="H97" s="1200">
        <v>8398</v>
      </c>
      <c r="I97" s="1200">
        <v>4441</v>
      </c>
      <c r="J97" s="1007">
        <v>22918</v>
      </c>
      <c r="K97" s="1007">
        <v>43293</v>
      </c>
      <c r="L97" s="1270"/>
      <c r="M97" s="1198">
        <v>0</v>
      </c>
      <c r="N97" s="1198">
        <v>0</v>
      </c>
      <c r="O97" s="1007">
        <v>0</v>
      </c>
      <c r="P97" s="1007">
        <v>0</v>
      </c>
      <c r="Q97" s="1270"/>
      <c r="R97" s="1200">
        <v>20522</v>
      </c>
      <c r="S97" s="1007">
        <v>9328</v>
      </c>
      <c r="T97" s="1306">
        <v>29850</v>
      </c>
    </row>
    <row r="98" spans="1:20" x14ac:dyDescent="0.25">
      <c r="A98" s="1203">
        <v>91017</v>
      </c>
      <c r="B98" s="1204" t="s">
        <v>2738</v>
      </c>
      <c r="C98" s="1303">
        <v>2.8500000000000002E-5</v>
      </c>
      <c r="D98" s="1303">
        <v>2.4700000000000001E-5</v>
      </c>
      <c r="E98" s="1007">
        <v>101843</v>
      </c>
      <c r="F98" s="1270"/>
      <c r="G98" s="1200">
        <v>12861</v>
      </c>
      <c r="H98" s="1200">
        <v>14332</v>
      </c>
      <c r="I98" s="1200">
        <v>7579</v>
      </c>
      <c r="J98" s="1007">
        <v>7550</v>
      </c>
      <c r="K98" s="1007">
        <v>42322</v>
      </c>
      <c r="L98" s="1270"/>
      <c r="M98" s="1198">
        <v>0</v>
      </c>
      <c r="N98" s="1198">
        <v>0</v>
      </c>
      <c r="O98" s="1007">
        <v>0</v>
      </c>
      <c r="P98" s="1007">
        <v>0</v>
      </c>
      <c r="Q98" s="1270"/>
      <c r="R98" s="1200">
        <v>35023</v>
      </c>
      <c r="S98" s="1007">
        <v>4699</v>
      </c>
      <c r="T98" s="1306">
        <v>39722</v>
      </c>
    </row>
    <row r="99" spans="1:20" x14ac:dyDescent="0.25">
      <c r="A99" s="1203">
        <v>91020</v>
      </c>
      <c r="B99" s="1204" t="s">
        <v>2739</v>
      </c>
      <c r="C99" s="1303">
        <v>2.1399999999999998E-5</v>
      </c>
      <c r="D99" s="1303">
        <v>2.2900000000000001E-5</v>
      </c>
      <c r="E99" s="1007">
        <v>76471</v>
      </c>
      <c r="F99" s="1270"/>
      <c r="G99" s="1200">
        <v>9657</v>
      </c>
      <c r="H99" s="1200">
        <v>10761</v>
      </c>
      <c r="I99" s="1200">
        <v>5691</v>
      </c>
      <c r="J99" s="1007">
        <v>2669</v>
      </c>
      <c r="K99" s="1007">
        <v>28778</v>
      </c>
      <c r="L99" s="1270"/>
      <c r="M99" s="1198">
        <v>0</v>
      </c>
      <c r="N99" s="1198">
        <v>0</v>
      </c>
      <c r="O99" s="1007">
        <v>6135</v>
      </c>
      <c r="P99" s="1007">
        <v>6135</v>
      </c>
      <c r="Q99" s="1270"/>
      <c r="R99" s="1200">
        <v>26298</v>
      </c>
      <c r="S99" s="1007">
        <v>-17</v>
      </c>
      <c r="T99" s="1306">
        <v>26281</v>
      </c>
    </row>
    <row r="100" spans="1:20" x14ac:dyDescent="0.25">
      <c r="A100" s="1203">
        <v>91021</v>
      </c>
      <c r="B100" s="1204" t="s">
        <v>2740</v>
      </c>
      <c r="C100" s="1303">
        <v>9.5620000000000004E-4</v>
      </c>
      <c r="D100" s="1303">
        <v>9.2460000000000003E-4</v>
      </c>
      <c r="E100" s="1007">
        <v>3416910</v>
      </c>
      <c r="F100" s="1270"/>
      <c r="G100" s="1200">
        <v>431496</v>
      </c>
      <c r="H100" s="1200">
        <v>480839</v>
      </c>
      <c r="I100" s="1200">
        <v>254285</v>
      </c>
      <c r="J100" s="1007">
        <v>91579</v>
      </c>
      <c r="K100" s="1007">
        <v>1258199</v>
      </c>
      <c r="L100" s="1270"/>
      <c r="M100" s="1198">
        <v>0</v>
      </c>
      <c r="N100" s="1198">
        <v>0</v>
      </c>
      <c r="O100" s="1007">
        <v>2726</v>
      </c>
      <c r="P100" s="1007">
        <v>2726</v>
      </c>
      <c r="Q100" s="1270"/>
      <c r="R100" s="1200">
        <v>1175050</v>
      </c>
      <c r="S100" s="1007">
        <v>21074</v>
      </c>
      <c r="T100" s="1306">
        <v>1196124</v>
      </c>
    </row>
    <row r="101" spans="1:20" x14ac:dyDescent="0.25">
      <c r="A101" s="1203">
        <v>91024</v>
      </c>
      <c r="B101" s="1204" t="s">
        <v>2741</v>
      </c>
      <c r="C101" s="1303">
        <v>1.0170000000000001E-4</v>
      </c>
      <c r="D101" s="1303">
        <v>9.3599999999999998E-5</v>
      </c>
      <c r="E101" s="1007">
        <v>363417</v>
      </c>
      <c r="F101" s="1270"/>
      <c r="G101" s="1200">
        <v>45893</v>
      </c>
      <c r="H101" s="1200">
        <v>51141</v>
      </c>
      <c r="I101" s="1200">
        <v>27045</v>
      </c>
      <c r="J101" s="1007">
        <v>25705</v>
      </c>
      <c r="K101" s="1007">
        <v>149784</v>
      </c>
      <c r="L101" s="1270"/>
      <c r="M101" s="1198">
        <v>0</v>
      </c>
      <c r="N101" s="1198">
        <v>0</v>
      </c>
      <c r="O101" s="1007">
        <v>0</v>
      </c>
      <c r="P101" s="1007">
        <v>0</v>
      </c>
      <c r="Q101" s="1270"/>
      <c r="R101" s="1200">
        <v>124977</v>
      </c>
      <c r="S101" s="1007">
        <v>13314</v>
      </c>
      <c r="T101" s="1306">
        <v>138291</v>
      </c>
    </row>
    <row r="102" spans="1:20" x14ac:dyDescent="0.25">
      <c r="A102" s="1203">
        <v>91026</v>
      </c>
      <c r="B102" s="1204" t="s">
        <v>1269</v>
      </c>
      <c r="C102" s="1303">
        <v>3.5800000000000003E-5</v>
      </c>
      <c r="D102" s="1303">
        <v>3.1099999999999997E-5</v>
      </c>
      <c r="E102" s="1007">
        <v>127929</v>
      </c>
      <c r="F102" s="1270"/>
      <c r="G102" s="1200">
        <v>16155</v>
      </c>
      <c r="H102" s="1200">
        <v>18003</v>
      </c>
      <c r="I102" s="1200">
        <v>9520</v>
      </c>
      <c r="J102" s="1007">
        <v>28141</v>
      </c>
      <c r="K102" s="1007">
        <v>71819</v>
      </c>
      <c r="L102" s="1270"/>
      <c r="M102" s="1198">
        <v>0</v>
      </c>
      <c r="N102" s="1198">
        <v>0</v>
      </c>
      <c r="O102" s="1007">
        <v>0</v>
      </c>
      <c r="P102" s="1007">
        <v>0</v>
      </c>
      <c r="Q102" s="1270"/>
      <c r="R102" s="1200">
        <v>43994</v>
      </c>
      <c r="S102" s="1007">
        <v>16410</v>
      </c>
      <c r="T102" s="1306">
        <v>60404</v>
      </c>
    </row>
    <row r="103" spans="1:20" x14ac:dyDescent="0.25">
      <c r="A103" s="1203">
        <v>91027</v>
      </c>
      <c r="B103" s="1204" t="s">
        <v>2742</v>
      </c>
      <c r="C103" s="1303">
        <v>1.7099999999999999E-5</v>
      </c>
      <c r="D103" s="1303">
        <v>1.7E-5</v>
      </c>
      <c r="E103" s="1007">
        <v>61106</v>
      </c>
      <c r="F103" s="1270"/>
      <c r="G103" s="1200">
        <v>7717</v>
      </c>
      <c r="H103" s="1200">
        <v>8599</v>
      </c>
      <c r="I103" s="1200">
        <v>4547</v>
      </c>
      <c r="J103" s="1007">
        <v>15946</v>
      </c>
      <c r="K103" s="1007">
        <v>36809</v>
      </c>
      <c r="L103" s="1270"/>
      <c r="M103" s="1198">
        <v>0</v>
      </c>
      <c r="N103" s="1198">
        <v>0</v>
      </c>
      <c r="O103" s="1007">
        <v>0</v>
      </c>
      <c r="P103" s="1007">
        <v>0</v>
      </c>
      <c r="Q103" s="1270"/>
      <c r="R103" s="1200">
        <v>21014</v>
      </c>
      <c r="S103" s="1007">
        <v>8518</v>
      </c>
      <c r="T103" s="1306">
        <v>29532</v>
      </c>
    </row>
    <row r="104" spans="1:20" x14ac:dyDescent="0.25">
      <c r="A104" s="1203">
        <v>91032</v>
      </c>
      <c r="B104" s="1204" t="s">
        <v>2743</v>
      </c>
      <c r="C104" s="1303">
        <v>2.02E-5</v>
      </c>
      <c r="D104" s="1303">
        <v>1.66E-5</v>
      </c>
      <c r="E104" s="1007">
        <v>72183</v>
      </c>
      <c r="F104" s="1270"/>
      <c r="G104" s="1200">
        <v>9115</v>
      </c>
      <c r="H104" s="1200">
        <v>10158</v>
      </c>
      <c r="I104" s="1200">
        <v>5372</v>
      </c>
      <c r="J104" s="1007">
        <v>29808</v>
      </c>
      <c r="K104" s="1007">
        <v>54453</v>
      </c>
      <c r="L104" s="1270"/>
      <c r="M104" s="1198">
        <v>0</v>
      </c>
      <c r="N104" s="1198">
        <v>0</v>
      </c>
      <c r="O104" s="1007">
        <v>0</v>
      </c>
      <c r="P104" s="1007">
        <v>0</v>
      </c>
      <c r="Q104" s="1270"/>
      <c r="R104" s="1200">
        <v>24823</v>
      </c>
      <c r="S104" s="1007">
        <v>12431</v>
      </c>
      <c r="T104" s="1306">
        <v>37254</v>
      </c>
    </row>
    <row r="105" spans="1:20" x14ac:dyDescent="0.25">
      <c r="A105" s="1203">
        <v>91041</v>
      </c>
      <c r="B105" s="1204" t="s">
        <v>2744</v>
      </c>
      <c r="C105" s="1303">
        <v>4.773E-4</v>
      </c>
      <c r="D105" s="1303">
        <v>4.3379999999999997E-4</v>
      </c>
      <c r="E105" s="1007">
        <v>1705596</v>
      </c>
      <c r="F105" s="1270"/>
      <c r="G105" s="1200">
        <v>215387</v>
      </c>
      <c r="H105" s="1200">
        <v>240017</v>
      </c>
      <c r="I105" s="1200">
        <v>126930</v>
      </c>
      <c r="J105" s="1007">
        <v>22181</v>
      </c>
      <c r="K105" s="1007">
        <v>604515</v>
      </c>
      <c r="L105" s="1270"/>
      <c r="M105" s="1198">
        <v>0</v>
      </c>
      <c r="N105" s="1198">
        <v>0</v>
      </c>
      <c r="O105" s="1007">
        <v>31390</v>
      </c>
      <c r="P105" s="1007">
        <v>31390</v>
      </c>
      <c r="Q105" s="1270"/>
      <c r="R105" s="1200">
        <v>586542</v>
      </c>
      <c r="S105" s="1007">
        <v>-23435</v>
      </c>
      <c r="T105" s="1306">
        <v>563107</v>
      </c>
    </row>
    <row r="106" spans="1:20" x14ac:dyDescent="0.25">
      <c r="A106" s="1203">
        <v>91042</v>
      </c>
      <c r="B106" s="1204" t="s">
        <v>2745</v>
      </c>
      <c r="C106" s="1303">
        <v>2.7510000000000002E-4</v>
      </c>
      <c r="D106" s="1303">
        <v>2.6259999999999999E-4</v>
      </c>
      <c r="E106" s="1007">
        <v>983049</v>
      </c>
      <c r="F106" s="1270"/>
      <c r="G106" s="1200">
        <v>124142</v>
      </c>
      <c r="H106" s="1200">
        <v>138338</v>
      </c>
      <c r="I106" s="1200">
        <v>73158</v>
      </c>
      <c r="J106" s="1007">
        <v>16544</v>
      </c>
      <c r="K106" s="1007">
        <v>352182</v>
      </c>
      <c r="L106" s="1270"/>
      <c r="M106" s="1198">
        <v>0</v>
      </c>
      <c r="N106" s="1198">
        <v>0</v>
      </c>
      <c r="O106" s="1007">
        <v>9663</v>
      </c>
      <c r="P106" s="1007">
        <v>9663</v>
      </c>
      <c r="Q106" s="1270"/>
      <c r="R106" s="1200">
        <v>338064</v>
      </c>
      <c r="S106" s="1007">
        <v>3177</v>
      </c>
      <c r="T106" s="1306">
        <v>341241</v>
      </c>
    </row>
    <row r="107" spans="1:20" x14ac:dyDescent="0.25">
      <c r="A107" s="1203">
        <v>91047</v>
      </c>
      <c r="B107" s="1204" t="s">
        <v>2746</v>
      </c>
      <c r="C107" s="1303">
        <v>1.03E-5</v>
      </c>
      <c r="D107" s="1303">
        <v>1.15E-5</v>
      </c>
      <c r="E107" s="1007">
        <v>36806</v>
      </c>
      <c r="F107" s="1270"/>
      <c r="G107" s="1200">
        <v>4648</v>
      </c>
      <c r="H107" s="1200">
        <v>5180</v>
      </c>
      <c r="I107" s="1200">
        <v>2739</v>
      </c>
      <c r="J107" s="1007">
        <v>13721</v>
      </c>
      <c r="K107" s="1007">
        <v>26288</v>
      </c>
      <c r="L107" s="1270"/>
      <c r="M107" s="1198">
        <v>0</v>
      </c>
      <c r="N107" s="1198">
        <v>0</v>
      </c>
      <c r="O107" s="1007">
        <v>19</v>
      </c>
      <c r="P107" s="1007">
        <v>19</v>
      </c>
      <c r="Q107" s="1270"/>
      <c r="R107" s="1200">
        <v>12657</v>
      </c>
      <c r="S107" s="1007">
        <v>8907</v>
      </c>
      <c r="T107" s="1306">
        <v>21564</v>
      </c>
    </row>
    <row r="108" spans="1:20" x14ac:dyDescent="0.25">
      <c r="A108" s="1203">
        <v>91051</v>
      </c>
      <c r="B108" s="1204" t="s">
        <v>2747</v>
      </c>
      <c r="C108" s="1303">
        <v>6.2199999999999994E-5</v>
      </c>
      <c r="D108" s="1303">
        <v>6.2799999999999995E-5</v>
      </c>
      <c r="E108" s="1007">
        <v>222267</v>
      </c>
      <c r="F108" s="1270"/>
      <c r="G108" s="1200">
        <v>28068</v>
      </c>
      <c r="H108" s="1200">
        <v>31278</v>
      </c>
      <c r="I108" s="1200">
        <v>16541</v>
      </c>
      <c r="J108" s="1007">
        <v>2678</v>
      </c>
      <c r="K108" s="1007">
        <v>78565</v>
      </c>
      <c r="L108" s="1270"/>
      <c r="M108" s="1198">
        <v>0</v>
      </c>
      <c r="N108" s="1198">
        <v>0</v>
      </c>
      <c r="O108" s="1007">
        <v>2438</v>
      </c>
      <c r="P108" s="1007">
        <v>2438</v>
      </c>
      <c r="Q108" s="1270"/>
      <c r="R108" s="1200">
        <v>76436</v>
      </c>
      <c r="S108" s="1007">
        <v>-1418</v>
      </c>
      <c r="T108" s="1306">
        <v>75018</v>
      </c>
    </row>
    <row r="109" spans="1:20" x14ac:dyDescent="0.25">
      <c r="A109" s="1203">
        <v>91057</v>
      </c>
      <c r="B109" s="1204" t="s">
        <v>2748</v>
      </c>
      <c r="C109" s="1303">
        <v>1.1E-5</v>
      </c>
      <c r="D109" s="1303">
        <v>1.5699999999999999E-5</v>
      </c>
      <c r="E109" s="1007">
        <v>39308</v>
      </c>
      <c r="F109" s="1270"/>
      <c r="G109" s="1200">
        <v>4964</v>
      </c>
      <c r="H109" s="1200">
        <v>5531</v>
      </c>
      <c r="I109" s="1200">
        <v>2925</v>
      </c>
      <c r="J109" s="1007">
        <v>5681</v>
      </c>
      <c r="K109" s="1007">
        <v>19101</v>
      </c>
      <c r="L109" s="1270"/>
      <c r="M109" s="1198">
        <v>0</v>
      </c>
      <c r="N109" s="1198">
        <v>0</v>
      </c>
      <c r="O109" s="1007">
        <v>2506</v>
      </c>
      <c r="P109" s="1007">
        <v>2506</v>
      </c>
      <c r="Q109" s="1270"/>
      <c r="R109" s="1200">
        <v>13518</v>
      </c>
      <c r="S109" s="1007">
        <v>2221</v>
      </c>
      <c r="T109" s="1306">
        <v>15739</v>
      </c>
    </row>
    <row r="110" spans="1:20" x14ac:dyDescent="0.25">
      <c r="A110" s="1203">
        <v>91061</v>
      </c>
      <c r="B110" s="1204" t="s">
        <v>2749</v>
      </c>
      <c r="C110" s="1303">
        <v>3.7950000000000001E-4</v>
      </c>
      <c r="D110" s="1303">
        <v>3.8039999999999998E-4</v>
      </c>
      <c r="E110" s="1007">
        <v>1356115</v>
      </c>
      <c r="F110" s="1270"/>
      <c r="G110" s="1200">
        <v>171254</v>
      </c>
      <c r="H110" s="1200">
        <v>190837</v>
      </c>
      <c r="I110" s="1200">
        <v>100922</v>
      </c>
      <c r="J110" s="1007">
        <v>5377</v>
      </c>
      <c r="K110" s="1007">
        <v>468390</v>
      </c>
      <c r="L110" s="1270"/>
      <c r="M110" s="1198">
        <v>0</v>
      </c>
      <c r="N110" s="1198">
        <v>0</v>
      </c>
      <c r="O110" s="1007">
        <v>25253</v>
      </c>
      <c r="P110" s="1007">
        <v>25253</v>
      </c>
      <c r="Q110" s="1270"/>
      <c r="R110" s="1200">
        <v>466358</v>
      </c>
      <c r="S110" s="1007">
        <v>-4310</v>
      </c>
      <c r="T110" s="1306">
        <v>462048</v>
      </c>
    </row>
    <row r="111" spans="1:20" x14ac:dyDescent="0.25">
      <c r="A111" s="1203">
        <v>91067</v>
      </c>
      <c r="B111" s="1204" t="s">
        <v>2750</v>
      </c>
      <c r="C111" s="1303">
        <v>1.5400000000000002E-5</v>
      </c>
      <c r="D111" s="1303">
        <v>1.6200000000000001E-5</v>
      </c>
      <c r="E111" s="1007">
        <v>55031</v>
      </c>
      <c r="F111" s="1270"/>
      <c r="G111" s="1200">
        <v>6949</v>
      </c>
      <c r="H111" s="1200">
        <v>7744</v>
      </c>
      <c r="I111" s="1200">
        <v>4095</v>
      </c>
      <c r="J111" s="1007">
        <v>1757</v>
      </c>
      <c r="K111" s="1007">
        <v>20545</v>
      </c>
      <c r="L111" s="1270"/>
      <c r="M111" s="1198">
        <v>0</v>
      </c>
      <c r="N111" s="1198">
        <v>0</v>
      </c>
      <c r="O111" s="1007">
        <v>101</v>
      </c>
      <c r="P111" s="1007">
        <v>101</v>
      </c>
      <c r="Q111" s="1270"/>
      <c r="R111" s="1200">
        <v>18925</v>
      </c>
      <c r="S111" s="1007">
        <v>936</v>
      </c>
      <c r="T111" s="1306">
        <v>19861</v>
      </c>
    </row>
    <row r="112" spans="1:20" x14ac:dyDescent="0.25">
      <c r="A112" s="1203">
        <v>91071</v>
      </c>
      <c r="B112" s="1204" t="s">
        <v>2751</v>
      </c>
      <c r="C112" s="1303">
        <v>2.186E-4</v>
      </c>
      <c r="D112" s="1303">
        <v>2.4489999999999999E-4</v>
      </c>
      <c r="E112" s="1007">
        <v>781151</v>
      </c>
      <c r="F112" s="1270"/>
      <c r="G112" s="1200">
        <v>98646</v>
      </c>
      <c r="H112" s="1200">
        <v>109926</v>
      </c>
      <c r="I112" s="1200">
        <v>58133</v>
      </c>
      <c r="J112" s="1007">
        <v>0</v>
      </c>
      <c r="K112" s="1007">
        <v>266705</v>
      </c>
      <c r="L112" s="1270"/>
      <c r="M112" s="1198">
        <v>0</v>
      </c>
      <c r="N112" s="1198">
        <v>0</v>
      </c>
      <c r="O112" s="1007">
        <v>34332</v>
      </c>
      <c r="P112" s="1007">
        <v>34332</v>
      </c>
      <c r="Q112" s="1270"/>
      <c r="R112" s="1200">
        <v>268632</v>
      </c>
      <c r="S112" s="1007">
        <v>-15274</v>
      </c>
      <c r="T112" s="1306">
        <v>253358</v>
      </c>
    </row>
    <row r="113" spans="1:20" x14ac:dyDescent="0.25">
      <c r="A113" s="1203">
        <v>91077</v>
      </c>
      <c r="B113" s="1204" t="s">
        <v>2752</v>
      </c>
      <c r="C113" s="1303">
        <v>1.1600000000000001E-5</v>
      </c>
      <c r="D113" s="1303">
        <v>5.9000000000000003E-6</v>
      </c>
      <c r="E113" s="1007">
        <v>41452</v>
      </c>
      <c r="F113" s="1270"/>
      <c r="G113" s="1200">
        <v>5235</v>
      </c>
      <c r="H113" s="1200">
        <v>5833</v>
      </c>
      <c r="I113" s="1200">
        <v>3085</v>
      </c>
      <c r="J113" s="1007">
        <v>11113</v>
      </c>
      <c r="K113" s="1007">
        <v>25266</v>
      </c>
      <c r="L113" s="1270"/>
      <c r="M113" s="1198">
        <v>0</v>
      </c>
      <c r="N113" s="1198">
        <v>0</v>
      </c>
      <c r="O113" s="1007">
        <v>0</v>
      </c>
      <c r="P113" s="1007">
        <v>0</v>
      </c>
      <c r="Q113" s="1270"/>
      <c r="R113" s="1200">
        <v>14255</v>
      </c>
      <c r="S113" s="1007">
        <v>4072</v>
      </c>
      <c r="T113" s="1306">
        <v>18327</v>
      </c>
    </row>
    <row r="114" spans="1:20" x14ac:dyDescent="0.25">
      <c r="A114" s="1203">
        <v>91081</v>
      </c>
      <c r="B114" s="1204" t="s">
        <v>2753</v>
      </c>
      <c r="C114" s="1303">
        <v>4.2880000000000001E-4</v>
      </c>
      <c r="D114" s="1303">
        <v>4.2739999999999998E-4</v>
      </c>
      <c r="E114" s="1007">
        <v>1532285</v>
      </c>
      <c r="F114" s="1270"/>
      <c r="G114" s="1200">
        <v>193501</v>
      </c>
      <c r="H114" s="1200">
        <v>215628</v>
      </c>
      <c r="I114" s="1200">
        <v>114032</v>
      </c>
      <c r="J114" s="1007">
        <v>21270</v>
      </c>
      <c r="K114" s="1007">
        <v>544431</v>
      </c>
      <c r="L114" s="1270"/>
      <c r="M114" s="1198">
        <v>0</v>
      </c>
      <c r="N114" s="1198">
        <v>0</v>
      </c>
      <c r="O114" s="1007">
        <v>5134</v>
      </c>
      <c r="P114" s="1007">
        <v>5134</v>
      </c>
      <c r="Q114" s="1270"/>
      <c r="R114" s="1200">
        <v>526942</v>
      </c>
      <c r="S114" s="1007">
        <v>7304</v>
      </c>
      <c r="T114" s="1306">
        <v>534246</v>
      </c>
    </row>
    <row r="115" spans="1:20" x14ac:dyDescent="0.25">
      <c r="A115" s="1203">
        <v>91091</v>
      </c>
      <c r="B115" s="1204" t="s">
        <v>2754</v>
      </c>
      <c r="C115" s="1303">
        <v>5.6079999999999997E-4</v>
      </c>
      <c r="D115" s="1303">
        <v>5.4540000000000003E-4</v>
      </c>
      <c r="E115" s="1007">
        <v>2003977</v>
      </c>
      <c r="F115" s="1270"/>
      <c r="G115" s="1200">
        <v>253067</v>
      </c>
      <c r="H115" s="1200">
        <v>282006</v>
      </c>
      <c r="I115" s="1200">
        <v>149135</v>
      </c>
      <c r="J115" s="1007">
        <v>39220</v>
      </c>
      <c r="K115" s="1007">
        <v>723428</v>
      </c>
      <c r="L115" s="1270"/>
      <c r="M115" s="1198">
        <v>0</v>
      </c>
      <c r="N115" s="1198">
        <v>0</v>
      </c>
      <c r="O115" s="1007">
        <v>22626</v>
      </c>
      <c r="P115" s="1007">
        <v>22626</v>
      </c>
      <c r="Q115" s="1270"/>
      <c r="R115" s="1200">
        <v>689153</v>
      </c>
      <c r="S115" s="1007">
        <v>-3925</v>
      </c>
      <c r="T115" s="1306">
        <v>685228</v>
      </c>
    </row>
    <row r="116" spans="1:20" x14ac:dyDescent="0.25">
      <c r="A116" s="1203">
        <v>91101</v>
      </c>
      <c r="B116" s="1204" t="s">
        <v>2755</v>
      </c>
      <c r="C116" s="1303">
        <v>1.2932900000000001E-2</v>
      </c>
      <c r="D116" s="1303">
        <v>1.32874E-2</v>
      </c>
      <c r="E116" s="1007">
        <v>46214761</v>
      </c>
      <c r="F116" s="1270"/>
      <c r="G116" s="1200">
        <v>5836113</v>
      </c>
      <c r="H116" s="1200">
        <v>6503490</v>
      </c>
      <c r="I116" s="1200">
        <v>3439285</v>
      </c>
      <c r="J116" s="1007">
        <v>0</v>
      </c>
      <c r="K116" s="1007">
        <v>15778888</v>
      </c>
      <c r="L116" s="1270"/>
      <c r="M116" s="1198">
        <v>0</v>
      </c>
      <c r="N116" s="1198">
        <v>0</v>
      </c>
      <c r="O116" s="1007">
        <v>1219673</v>
      </c>
      <c r="P116" s="1007">
        <v>1219673</v>
      </c>
      <c r="Q116" s="1270"/>
      <c r="R116" s="1200">
        <v>15892917</v>
      </c>
      <c r="S116" s="1007">
        <v>-554318</v>
      </c>
      <c r="T116" s="1306">
        <v>15338599</v>
      </c>
    </row>
    <row r="117" spans="1:20" x14ac:dyDescent="0.25">
      <c r="A117" s="1203">
        <v>91102</v>
      </c>
      <c r="B117" s="1204" t="s">
        <v>2756</v>
      </c>
      <c r="C117" s="1303">
        <v>2.8190000000000002E-4</v>
      </c>
      <c r="D117" s="1303">
        <v>3.279E-4</v>
      </c>
      <c r="E117" s="1007">
        <v>1007349</v>
      </c>
      <c r="F117" s="1270"/>
      <c r="G117" s="1200">
        <v>127210</v>
      </c>
      <c r="H117" s="1200">
        <v>141758</v>
      </c>
      <c r="I117" s="1200">
        <v>74967</v>
      </c>
      <c r="J117" s="1007">
        <v>5544</v>
      </c>
      <c r="K117" s="1007">
        <v>349479</v>
      </c>
      <c r="L117" s="1270"/>
      <c r="M117" s="1198">
        <v>0</v>
      </c>
      <c r="N117" s="1198">
        <v>0</v>
      </c>
      <c r="O117" s="1007">
        <v>52694</v>
      </c>
      <c r="P117" s="1007">
        <v>52694</v>
      </c>
      <c r="Q117" s="1270"/>
      <c r="R117" s="1200">
        <v>346420</v>
      </c>
      <c r="S117" s="1007">
        <v>-8206</v>
      </c>
      <c r="T117" s="1306">
        <v>338214</v>
      </c>
    </row>
    <row r="118" spans="1:20" x14ac:dyDescent="0.25">
      <c r="A118" s="1203">
        <v>91104</v>
      </c>
      <c r="B118" s="1204" t="s">
        <v>2757</v>
      </c>
      <c r="C118" s="1303">
        <v>1.7499999999999998E-5</v>
      </c>
      <c r="D118" s="1303">
        <v>1.66E-5</v>
      </c>
      <c r="E118" s="1007">
        <v>62535</v>
      </c>
      <c r="F118" s="1270"/>
      <c r="G118" s="1200">
        <v>7897</v>
      </c>
      <c r="H118" s="1200">
        <v>8800</v>
      </c>
      <c r="I118" s="1200">
        <v>4654</v>
      </c>
      <c r="J118" s="1007">
        <v>12276</v>
      </c>
      <c r="K118" s="1007">
        <v>33627</v>
      </c>
      <c r="L118" s="1270"/>
      <c r="M118" s="1198">
        <v>0</v>
      </c>
      <c r="N118" s="1198">
        <v>0</v>
      </c>
      <c r="O118" s="1007">
        <v>0</v>
      </c>
      <c r="P118" s="1007">
        <v>0</v>
      </c>
      <c r="Q118" s="1270"/>
      <c r="R118" s="1200">
        <v>21505</v>
      </c>
      <c r="S118" s="1007">
        <v>4738</v>
      </c>
      <c r="T118" s="1306">
        <v>26243</v>
      </c>
    </row>
    <row r="119" spans="1:20" x14ac:dyDescent="0.25">
      <c r="A119" s="1203">
        <v>91107</v>
      </c>
      <c r="B119" s="1204" t="s">
        <v>2758</v>
      </c>
      <c r="C119" s="1303">
        <v>3.8999999999999999E-5</v>
      </c>
      <c r="D119" s="1303">
        <v>5.4500000000000003E-5</v>
      </c>
      <c r="E119" s="1007">
        <v>139364</v>
      </c>
      <c r="F119" s="1270"/>
      <c r="G119" s="1200">
        <v>17599</v>
      </c>
      <c r="H119" s="1200">
        <v>19612</v>
      </c>
      <c r="I119" s="1200">
        <v>10371</v>
      </c>
      <c r="J119" s="1007">
        <v>7582</v>
      </c>
      <c r="K119" s="1007">
        <v>55164</v>
      </c>
      <c r="L119" s="1270"/>
      <c r="M119" s="1198">
        <v>0</v>
      </c>
      <c r="N119" s="1198">
        <v>0</v>
      </c>
      <c r="O119" s="1007">
        <v>10013</v>
      </c>
      <c r="P119" s="1007">
        <v>10013</v>
      </c>
      <c r="Q119" s="1270"/>
      <c r="R119" s="1200">
        <v>47926</v>
      </c>
      <c r="S119" s="1007">
        <v>1514</v>
      </c>
      <c r="T119" s="1306">
        <v>49440</v>
      </c>
    </row>
    <row r="120" spans="1:20" x14ac:dyDescent="0.25">
      <c r="A120" s="1203">
        <v>91108</v>
      </c>
      <c r="B120" s="1204" t="s">
        <v>2759</v>
      </c>
      <c r="C120" s="1303">
        <v>1.1678999999999999E-3</v>
      </c>
      <c r="D120" s="1303">
        <v>1.1929E-3</v>
      </c>
      <c r="E120" s="1007">
        <v>4173404</v>
      </c>
      <c r="F120" s="1270"/>
      <c r="G120" s="1200">
        <v>527028</v>
      </c>
      <c r="H120" s="1200">
        <v>587294</v>
      </c>
      <c r="I120" s="1200">
        <v>310583</v>
      </c>
      <c r="J120" s="1007">
        <v>52032</v>
      </c>
      <c r="K120" s="1007">
        <v>1476937</v>
      </c>
      <c r="L120" s="1270"/>
      <c r="M120" s="1198">
        <v>0</v>
      </c>
      <c r="N120" s="1198">
        <v>0</v>
      </c>
      <c r="O120" s="1007">
        <v>16801</v>
      </c>
      <c r="P120" s="1007">
        <v>16801</v>
      </c>
      <c r="Q120" s="1270"/>
      <c r="R120" s="1200">
        <v>1435203</v>
      </c>
      <c r="S120" s="1007">
        <v>23812</v>
      </c>
      <c r="T120" s="1306">
        <v>1459015</v>
      </c>
    </row>
    <row r="121" spans="1:20" x14ac:dyDescent="0.25">
      <c r="A121" s="1203">
        <v>91109</v>
      </c>
      <c r="B121" s="1204" t="s">
        <v>2760</v>
      </c>
      <c r="C121" s="1303">
        <v>9.8599999999999998E-5</v>
      </c>
      <c r="D121" s="1303">
        <v>9.8300000000000004E-5</v>
      </c>
      <c r="E121" s="1007">
        <v>352340</v>
      </c>
      <c r="F121" s="1270"/>
      <c r="G121" s="1200">
        <v>44494</v>
      </c>
      <c r="H121" s="1200">
        <v>49582</v>
      </c>
      <c r="I121" s="1200">
        <v>26221</v>
      </c>
      <c r="J121" s="1007">
        <v>3753</v>
      </c>
      <c r="K121" s="1007">
        <v>124050</v>
      </c>
      <c r="L121" s="1270"/>
      <c r="M121" s="1198">
        <v>0</v>
      </c>
      <c r="N121" s="1198">
        <v>0</v>
      </c>
      <c r="O121" s="1007">
        <v>0</v>
      </c>
      <c r="P121" s="1007">
        <v>0</v>
      </c>
      <c r="Q121" s="1270"/>
      <c r="R121" s="1200">
        <v>121167</v>
      </c>
      <c r="S121" s="1007">
        <v>2175</v>
      </c>
      <c r="T121" s="1306">
        <v>123342</v>
      </c>
    </row>
    <row r="122" spans="1:20" x14ac:dyDescent="0.25">
      <c r="A122" s="1203">
        <v>91111</v>
      </c>
      <c r="B122" s="1204" t="s">
        <v>2761</v>
      </c>
      <c r="C122" s="1303">
        <v>2.0149999999999999E-4</v>
      </c>
      <c r="D122" s="1303">
        <v>1.973E-4</v>
      </c>
      <c r="E122" s="1007">
        <v>720045</v>
      </c>
      <c r="F122" s="1270"/>
      <c r="G122" s="1200">
        <v>90929</v>
      </c>
      <c r="H122" s="1200">
        <v>101327</v>
      </c>
      <c r="I122" s="1200">
        <v>53585</v>
      </c>
      <c r="J122" s="1007">
        <v>23018</v>
      </c>
      <c r="K122" s="1007">
        <v>268859</v>
      </c>
      <c r="L122" s="1270"/>
      <c r="M122" s="1198">
        <v>0</v>
      </c>
      <c r="N122" s="1198">
        <v>0</v>
      </c>
      <c r="O122" s="1007">
        <v>14470</v>
      </c>
      <c r="P122" s="1007">
        <v>14470</v>
      </c>
      <c r="Q122" s="1270"/>
      <c r="R122" s="1200">
        <v>247618</v>
      </c>
      <c r="S122" s="1007">
        <v>6082</v>
      </c>
      <c r="T122" s="1306">
        <v>253700</v>
      </c>
    </row>
    <row r="123" spans="1:20" x14ac:dyDescent="0.25">
      <c r="A123" s="1203">
        <v>91119</v>
      </c>
      <c r="B123" s="1204" t="s">
        <v>1289</v>
      </c>
      <c r="C123" s="1303">
        <v>0</v>
      </c>
      <c r="D123" s="1303">
        <v>0</v>
      </c>
      <c r="E123" s="1007">
        <v>0</v>
      </c>
      <c r="F123" s="1270"/>
      <c r="G123" s="1200">
        <v>0</v>
      </c>
      <c r="H123" s="1200">
        <v>0</v>
      </c>
      <c r="I123" s="1200">
        <v>0</v>
      </c>
      <c r="J123" s="1007">
        <v>0</v>
      </c>
      <c r="K123" s="1007">
        <v>0</v>
      </c>
      <c r="L123" s="1270"/>
      <c r="M123" s="1198">
        <v>0</v>
      </c>
      <c r="N123" s="1198">
        <v>0</v>
      </c>
      <c r="O123" s="1007">
        <v>0</v>
      </c>
      <c r="P123" s="1007">
        <v>0</v>
      </c>
      <c r="Q123" s="1270"/>
      <c r="R123" s="1200">
        <v>0</v>
      </c>
      <c r="S123" s="1007">
        <v>0</v>
      </c>
      <c r="T123" s="1306">
        <v>0</v>
      </c>
    </row>
    <row r="124" spans="1:20" x14ac:dyDescent="0.25">
      <c r="A124" s="1203">
        <v>91120</v>
      </c>
      <c r="B124" s="1204" t="s">
        <v>2762</v>
      </c>
      <c r="C124" s="1303">
        <v>2.6830000000000002E-4</v>
      </c>
      <c r="D124" s="1303">
        <v>1.807E-4</v>
      </c>
      <c r="E124" s="1007">
        <v>958750</v>
      </c>
      <c r="F124" s="1270"/>
      <c r="G124" s="1200">
        <v>121073</v>
      </c>
      <c r="H124" s="1200">
        <v>134919</v>
      </c>
      <c r="I124" s="1200">
        <v>71350</v>
      </c>
      <c r="J124" s="1007">
        <v>92496</v>
      </c>
      <c r="K124" s="1007">
        <v>419838</v>
      </c>
      <c r="L124" s="1270"/>
      <c r="M124" s="1198">
        <v>0</v>
      </c>
      <c r="N124" s="1198">
        <v>0</v>
      </c>
      <c r="O124" s="1007">
        <v>6336</v>
      </c>
      <c r="P124" s="1007">
        <v>6336</v>
      </c>
      <c r="Q124" s="1270"/>
      <c r="R124" s="1200">
        <v>329707</v>
      </c>
      <c r="S124" s="1007">
        <v>26418</v>
      </c>
      <c r="T124" s="1306">
        <v>356125</v>
      </c>
    </row>
    <row r="125" spans="1:20" x14ac:dyDescent="0.25">
      <c r="A125" s="1203">
        <v>91121</v>
      </c>
      <c r="B125" s="1204" t="s">
        <v>2763</v>
      </c>
      <c r="C125" s="1303">
        <v>1.04712E-2</v>
      </c>
      <c r="D125" s="1303">
        <v>1.03844E-2</v>
      </c>
      <c r="E125" s="1007">
        <v>37418058</v>
      </c>
      <c r="F125" s="1270"/>
      <c r="G125" s="1200">
        <v>4725244</v>
      </c>
      <c r="H125" s="1200">
        <v>5265589</v>
      </c>
      <c r="I125" s="1200">
        <v>2784638</v>
      </c>
      <c r="J125" s="1007">
        <v>0</v>
      </c>
      <c r="K125" s="1007">
        <v>12775471</v>
      </c>
      <c r="L125" s="1270"/>
      <c r="M125" s="1198">
        <v>0</v>
      </c>
      <c r="N125" s="1198">
        <v>0</v>
      </c>
      <c r="O125" s="1007">
        <v>491973</v>
      </c>
      <c r="P125" s="1007">
        <v>491973</v>
      </c>
      <c r="Q125" s="1270"/>
      <c r="R125" s="1200">
        <v>12867796</v>
      </c>
      <c r="S125" s="1007">
        <v>-291985</v>
      </c>
      <c r="T125" s="1306">
        <v>12575811</v>
      </c>
    </row>
    <row r="126" spans="1:20" x14ac:dyDescent="0.25">
      <c r="A126" s="1203">
        <v>91127</v>
      </c>
      <c r="B126" s="1204" t="s">
        <v>2764</v>
      </c>
      <c r="C126" s="1303">
        <v>2.8170000000000002E-4</v>
      </c>
      <c r="D126" s="1303">
        <v>2.7989999999999997E-4</v>
      </c>
      <c r="E126" s="1007">
        <v>1006634</v>
      </c>
      <c r="F126" s="1270"/>
      <c r="G126" s="1200">
        <v>127120</v>
      </c>
      <c r="H126" s="1200">
        <v>141656</v>
      </c>
      <c r="I126" s="1200">
        <v>74913</v>
      </c>
      <c r="J126" s="1007">
        <v>52813</v>
      </c>
      <c r="K126" s="1007">
        <v>396502</v>
      </c>
      <c r="L126" s="1270"/>
      <c r="M126" s="1198">
        <v>0</v>
      </c>
      <c r="N126" s="1198">
        <v>0</v>
      </c>
      <c r="O126" s="1007">
        <v>0</v>
      </c>
      <c r="P126" s="1007">
        <v>0</v>
      </c>
      <c r="Q126" s="1270"/>
      <c r="R126" s="1200">
        <v>346174</v>
      </c>
      <c r="S126" s="1007">
        <v>25804</v>
      </c>
      <c r="T126" s="1306">
        <v>371978</v>
      </c>
    </row>
    <row r="127" spans="1:20" x14ac:dyDescent="0.25">
      <c r="A127" s="1203">
        <v>91128</v>
      </c>
      <c r="B127" s="1204" t="s">
        <v>2765</v>
      </c>
      <c r="C127" s="1303">
        <v>5.1889999999999998E-4</v>
      </c>
      <c r="D127" s="1303">
        <v>4.6710000000000002E-4</v>
      </c>
      <c r="E127" s="1007">
        <v>1854251</v>
      </c>
      <c r="F127" s="1270"/>
      <c r="G127" s="1200">
        <v>234159</v>
      </c>
      <c r="H127" s="1200">
        <v>260936</v>
      </c>
      <c r="I127" s="1200">
        <v>137993</v>
      </c>
      <c r="J127" s="1007">
        <v>77937</v>
      </c>
      <c r="K127" s="1007">
        <v>711025</v>
      </c>
      <c r="L127" s="1270"/>
      <c r="M127" s="1198">
        <v>0</v>
      </c>
      <c r="N127" s="1198">
        <v>0</v>
      </c>
      <c r="O127" s="1007">
        <v>23048</v>
      </c>
      <c r="P127" s="1007">
        <v>23048</v>
      </c>
      <c r="Q127" s="1270"/>
      <c r="R127" s="1200">
        <v>637663</v>
      </c>
      <c r="S127" s="1007">
        <v>19134</v>
      </c>
      <c r="T127" s="1306">
        <v>656797</v>
      </c>
    </row>
    <row r="128" spans="1:20" x14ac:dyDescent="0.25">
      <c r="A128" s="1203">
        <v>91138</v>
      </c>
      <c r="B128" s="1204" t="s">
        <v>2766</v>
      </c>
      <c r="C128" s="1303">
        <v>4.5300000000000001E-4</v>
      </c>
      <c r="D128" s="1303">
        <v>4.8010000000000001E-4</v>
      </c>
      <c r="E128" s="1007">
        <v>1618762</v>
      </c>
      <c r="F128" s="1270"/>
      <c r="G128" s="1200">
        <v>204421</v>
      </c>
      <c r="H128" s="1200">
        <v>227798</v>
      </c>
      <c r="I128" s="1200">
        <v>120468</v>
      </c>
      <c r="J128" s="1007">
        <v>0</v>
      </c>
      <c r="K128" s="1007">
        <v>552687</v>
      </c>
      <c r="L128" s="1270"/>
      <c r="M128" s="1198">
        <v>0</v>
      </c>
      <c r="N128" s="1198">
        <v>0</v>
      </c>
      <c r="O128" s="1007">
        <v>164406</v>
      </c>
      <c r="P128" s="1007">
        <v>164406</v>
      </c>
      <c r="Q128" s="1270"/>
      <c r="R128" s="1200">
        <v>556680</v>
      </c>
      <c r="S128" s="1007">
        <v>-90888</v>
      </c>
      <c r="T128" s="1306">
        <v>465792</v>
      </c>
    </row>
    <row r="129" spans="1:20" x14ac:dyDescent="0.25">
      <c r="A129" s="1203">
        <v>91141</v>
      </c>
      <c r="B129" s="1204" t="s">
        <v>2767</v>
      </c>
      <c r="C129" s="1303">
        <v>6.3380000000000001E-4</v>
      </c>
      <c r="D129" s="1303">
        <v>6.3610000000000001E-4</v>
      </c>
      <c r="E129" s="1007">
        <v>2264837</v>
      </c>
      <c r="F129" s="1270"/>
      <c r="G129" s="1200">
        <v>286009</v>
      </c>
      <c r="H129" s="1200">
        <v>318716</v>
      </c>
      <c r="I129" s="1200">
        <v>168548</v>
      </c>
      <c r="J129" s="1007">
        <v>23203</v>
      </c>
      <c r="K129" s="1007">
        <v>796476</v>
      </c>
      <c r="L129" s="1270"/>
      <c r="M129" s="1198">
        <v>0</v>
      </c>
      <c r="N129" s="1198">
        <v>0</v>
      </c>
      <c r="O129" s="1007">
        <v>65041</v>
      </c>
      <c r="P129" s="1007">
        <v>65041</v>
      </c>
      <c r="Q129" s="1270"/>
      <c r="R129" s="1200">
        <v>778861</v>
      </c>
      <c r="S129" s="1007">
        <v>-28413</v>
      </c>
      <c r="T129" s="1306">
        <v>750448</v>
      </c>
    </row>
    <row r="130" spans="1:20" x14ac:dyDescent="0.25">
      <c r="A130" s="1203">
        <v>91147</v>
      </c>
      <c r="B130" s="1204" t="s">
        <v>2768</v>
      </c>
      <c r="C130" s="1303">
        <v>2.8399999999999999E-5</v>
      </c>
      <c r="D130" s="1303">
        <v>2.5400000000000001E-5</v>
      </c>
      <c r="E130" s="1007">
        <v>101485</v>
      </c>
      <c r="F130" s="1270"/>
      <c r="G130" s="1200">
        <v>12816</v>
      </c>
      <c r="H130" s="1200">
        <v>14281</v>
      </c>
      <c r="I130" s="1200">
        <v>7552</v>
      </c>
      <c r="J130" s="1007">
        <v>6727</v>
      </c>
      <c r="K130" s="1007">
        <v>41376</v>
      </c>
      <c r="L130" s="1270"/>
      <c r="M130" s="1198">
        <v>0</v>
      </c>
      <c r="N130" s="1198">
        <v>0</v>
      </c>
      <c r="O130" s="1007">
        <v>406</v>
      </c>
      <c r="P130" s="1007">
        <v>406</v>
      </c>
      <c r="Q130" s="1270"/>
      <c r="R130" s="1200">
        <v>34900</v>
      </c>
      <c r="S130" s="1007">
        <v>2925</v>
      </c>
      <c r="T130" s="1306">
        <v>37825</v>
      </c>
    </row>
    <row r="131" spans="1:20" x14ac:dyDescent="0.25">
      <c r="A131" s="1203">
        <v>91151</v>
      </c>
      <c r="B131" s="1204" t="s">
        <v>2769</v>
      </c>
      <c r="C131" s="1303">
        <v>6.0360000000000003E-4</v>
      </c>
      <c r="D131" s="1303">
        <v>5.8460000000000001E-4</v>
      </c>
      <c r="E131" s="1007">
        <v>2156920</v>
      </c>
      <c r="F131" s="1270"/>
      <c r="G131" s="1200">
        <v>272381</v>
      </c>
      <c r="H131" s="1200">
        <v>303529</v>
      </c>
      <c r="I131" s="1200">
        <v>160517</v>
      </c>
      <c r="J131" s="1007">
        <v>0</v>
      </c>
      <c r="K131" s="1007">
        <v>736427</v>
      </c>
      <c r="L131" s="1270"/>
      <c r="M131" s="1198">
        <v>0</v>
      </c>
      <c r="N131" s="1198">
        <v>0</v>
      </c>
      <c r="O131" s="1007">
        <v>67325</v>
      </c>
      <c r="P131" s="1007">
        <v>67325</v>
      </c>
      <c r="Q131" s="1270"/>
      <c r="R131" s="1200">
        <v>741749</v>
      </c>
      <c r="S131" s="1007">
        <v>-37099</v>
      </c>
      <c r="T131" s="1306">
        <v>704650</v>
      </c>
    </row>
    <row r="132" spans="1:20" x14ac:dyDescent="0.25">
      <c r="A132" s="1203">
        <v>91154</v>
      </c>
      <c r="B132" s="1204" t="s">
        <v>2770</v>
      </c>
      <c r="C132" s="1303">
        <v>2.1999999999999999E-5</v>
      </c>
      <c r="D132" s="1303">
        <v>2.0999999999999999E-5</v>
      </c>
      <c r="E132" s="1007">
        <v>78615</v>
      </c>
      <c r="F132" s="1270"/>
      <c r="G132" s="1200">
        <v>9928</v>
      </c>
      <c r="H132" s="1200">
        <v>11063</v>
      </c>
      <c r="I132" s="1200">
        <v>5851</v>
      </c>
      <c r="J132" s="1007">
        <v>2355</v>
      </c>
      <c r="K132" s="1007">
        <v>29197</v>
      </c>
      <c r="L132" s="1270"/>
      <c r="M132" s="1198">
        <v>0</v>
      </c>
      <c r="N132" s="1198">
        <v>0</v>
      </c>
      <c r="O132" s="1007">
        <v>3882</v>
      </c>
      <c r="P132" s="1007">
        <v>3882</v>
      </c>
      <c r="Q132" s="1270"/>
      <c r="R132" s="1200">
        <v>27035</v>
      </c>
      <c r="S132" s="1007">
        <v>347</v>
      </c>
      <c r="T132" s="1306">
        <v>27382</v>
      </c>
    </row>
    <row r="133" spans="1:20" x14ac:dyDescent="0.25">
      <c r="A133" s="1203">
        <v>91161</v>
      </c>
      <c r="B133" s="1204" t="s">
        <v>2771</v>
      </c>
      <c r="C133" s="1303">
        <v>9.2499999999999999E-5</v>
      </c>
      <c r="D133" s="1303">
        <v>1.0509999999999999E-4</v>
      </c>
      <c r="E133" s="1007">
        <v>330542</v>
      </c>
      <c r="F133" s="1270"/>
      <c r="G133" s="1200">
        <v>41742</v>
      </c>
      <c r="H133" s="1200">
        <v>46515</v>
      </c>
      <c r="I133" s="1200">
        <v>24599</v>
      </c>
      <c r="J133" s="1007">
        <v>8609</v>
      </c>
      <c r="K133" s="1007">
        <v>121465</v>
      </c>
      <c r="L133" s="1270"/>
      <c r="M133" s="1198">
        <v>0</v>
      </c>
      <c r="N133" s="1198">
        <v>0</v>
      </c>
      <c r="O133" s="1007">
        <v>19071</v>
      </c>
      <c r="P133" s="1007">
        <v>19071</v>
      </c>
      <c r="Q133" s="1270"/>
      <c r="R133" s="1200">
        <v>113671</v>
      </c>
      <c r="S133" s="1007">
        <v>-4719</v>
      </c>
      <c r="T133" s="1306">
        <v>108952</v>
      </c>
    </row>
    <row r="134" spans="1:20" x14ac:dyDescent="0.25">
      <c r="A134" s="1203">
        <v>91171</v>
      </c>
      <c r="B134" s="1204" t="s">
        <v>2772</v>
      </c>
      <c r="C134" s="1303">
        <v>2.6679999999999998E-4</v>
      </c>
      <c r="D134" s="1303">
        <v>2.6820000000000001E-4</v>
      </c>
      <c r="E134" s="1007">
        <v>953390</v>
      </c>
      <c r="F134" s="1270"/>
      <c r="G134" s="1200">
        <v>120396</v>
      </c>
      <c r="H134" s="1200">
        <v>134164</v>
      </c>
      <c r="I134" s="1200">
        <v>70951</v>
      </c>
      <c r="J134" s="1007">
        <v>18750</v>
      </c>
      <c r="K134" s="1007">
        <v>344261</v>
      </c>
      <c r="L134" s="1270"/>
      <c r="M134" s="1198">
        <v>0</v>
      </c>
      <c r="N134" s="1198">
        <v>0</v>
      </c>
      <c r="O134" s="1007">
        <v>24586</v>
      </c>
      <c r="P134" s="1007">
        <v>24586</v>
      </c>
      <c r="Q134" s="1270"/>
      <c r="R134" s="1200">
        <v>327864</v>
      </c>
      <c r="S134" s="1007">
        <v>-8431</v>
      </c>
      <c r="T134" s="1306">
        <v>319433</v>
      </c>
    </row>
    <row r="135" spans="1:20" x14ac:dyDescent="0.25">
      <c r="A135" s="1203">
        <v>91201</v>
      </c>
      <c r="B135" s="1204" t="s">
        <v>2773</v>
      </c>
      <c r="C135" s="1303">
        <v>2.5533000000000001E-3</v>
      </c>
      <c r="D135" s="1303">
        <v>2.2897999999999998E-3</v>
      </c>
      <c r="E135" s="1007">
        <v>9124029</v>
      </c>
      <c r="F135" s="1270"/>
      <c r="G135" s="1200">
        <v>1152205</v>
      </c>
      <c r="H135" s="1200">
        <v>1283963</v>
      </c>
      <c r="I135" s="1200">
        <v>679007</v>
      </c>
      <c r="J135" s="1007">
        <v>279487</v>
      </c>
      <c r="K135" s="1007">
        <v>3394662</v>
      </c>
      <c r="L135" s="1270"/>
      <c r="M135" s="1198">
        <v>0</v>
      </c>
      <c r="N135" s="1198">
        <v>0</v>
      </c>
      <c r="O135" s="1007">
        <v>72376</v>
      </c>
      <c r="P135" s="1007">
        <v>72376</v>
      </c>
      <c r="Q135" s="1270"/>
      <c r="R135" s="1200">
        <v>3137687</v>
      </c>
      <c r="S135" s="1007">
        <v>45818</v>
      </c>
      <c r="T135" s="1306">
        <v>3183505</v>
      </c>
    </row>
    <row r="136" spans="1:20" x14ac:dyDescent="0.25">
      <c r="A136" s="1203">
        <v>91202</v>
      </c>
      <c r="B136" s="1204" t="s">
        <v>2774</v>
      </c>
      <c r="C136" s="1303">
        <v>7.0699999999999997E-5</v>
      </c>
      <c r="D136" s="1303">
        <v>1.752E-4</v>
      </c>
      <c r="E136" s="1007">
        <v>252641</v>
      </c>
      <c r="F136" s="1270"/>
      <c r="G136" s="1200">
        <v>31904</v>
      </c>
      <c r="H136" s="1200">
        <v>35552</v>
      </c>
      <c r="I136" s="1200">
        <v>18801</v>
      </c>
      <c r="J136" s="1007">
        <v>4110</v>
      </c>
      <c r="K136" s="1007">
        <v>90367</v>
      </c>
      <c r="L136" s="1270"/>
      <c r="M136" s="1198">
        <v>0</v>
      </c>
      <c r="N136" s="1198">
        <v>0</v>
      </c>
      <c r="O136" s="1007">
        <v>135945</v>
      </c>
      <c r="P136" s="1007">
        <v>135945</v>
      </c>
      <c r="Q136" s="1270"/>
      <c r="R136" s="1200">
        <v>86881</v>
      </c>
      <c r="S136" s="1007">
        <v>-39199</v>
      </c>
      <c r="T136" s="1306">
        <v>47682</v>
      </c>
    </row>
    <row r="137" spans="1:20" x14ac:dyDescent="0.25">
      <c r="A137" s="1203">
        <v>91203</v>
      </c>
      <c r="B137" s="1204" t="s">
        <v>2775</v>
      </c>
      <c r="C137" s="1303">
        <v>2.3599999999999999E-4</v>
      </c>
      <c r="D137" s="1303">
        <v>2.2670000000000001E-4</v>
      </c>
      <c r="E137" s="1007">
        <v>843329</v>
      </c>
      <c r="F137" s="1270"/>
      <c r="G137" s="1200">
        <v>106498</v>
      </c>
      <c r="H137" s="1200">
        <v>118676</v>
      </c>
      <c r="I137" s="1200">
        <v>62760</v>
      </c>
      <c r="J137" s="1007">
        <v>53752</v>
      </c>
      <c r="K137" s="1007">
        <v>341686</v>
      </c>
      <c r="L137" s="1270"/>
      <c r="M137" s="1198">
        <v>0</v>
      </c>
      <c r="N137" s="1198">
        <v>0</v>
      </c>
      <c r="O137" s="1007">
        <v>0</v>
      </c>
      <c r="P137" s="1007">
        <v>0</v>
      </c>
      <c r="Q137" s="1270"/>
      <c r="R137" s="1200">
        <v>290015</v>
      </c>
      <c r="S137" s="1007">
        <v>24459</v>
      </c>
      <c r="T137" s="1306">
        <v>314474</v>
      </c>
    </row>
    <row r="138" spans="1:20" x14ac:dyDescent="0.25">
      <c r="A138" s="1203">
        <v>91206</v>
      </c>
      <c r="B138" s="1204" t="s">
        <v>2776</v>
      </c>
      <c r="C138" s="1303">
        <v>9.0109999999999995E-4</v>
      </c>
      <c r="D138" s="1303">
        <v>9.525E-4</v>
      </c>
      <c r="E138" s="1007">
        <v>3220014</v>
      </c>
      <c r="F138" s="1270"/>
      <c r="G138" s="1200">
        <v>406631</v>
      </c>
      <c r="H138" s="1200">
        <v>453131</v>
      </c>
      <c r="I138" s="1200">
        <v>239632</v>
      </c>
      <c r="J138" s="1007">
        <v>38794</v>
      </c>
      <c r="K138" s="1007">
        <v>1138188</v>
      </c>
      <c r="L138" s="1270"/>
      <c r="M138" s="1198">
        <v>0</v>
      </c>
      <c r="N138" s="1198">
        <v>0</v>
      </c>
      <c r="O138" s="1007">
        <v>58234</v>
      </c>
      <c r="P138" s="1007">
        <v>58234</v>
      </c>
      <c r="Q138" s="1270"/>
      <c r="R138" s="1200">
        <v>1107339</v>
      </c>
      <c r="S138" s="1007">
        <v>-775</v>
      </c>
      <c r="T138" s="1306">
        <v>1106564</v>
      </c>
    </row>
    <row r="139" spans="1:20" s="1271" customFormat="1" x14ac:dyDescent="0.25">
      <c r="A139" s="1203">
        <v>91208</v>
      </c>
      <c r="B139" s="1204" t="s">
        <v>2777</v>
      </c>
      <c r="C139" s="1303">
        <v>1.6200000000000001E-5</v>
      </c>
      <c r="D139" s="1303">
        <v>1.9000000000000001E-5</v>
      </c>
      <c r="E139" s="1007">
        <v>57890</v>
      </c>
      <c r="F139" s="1270"/>
      <c r="G139" s="1200">
        <v>7310</v>
      </c>
      <c r="H139" s="1200">
        <v>8146</v>
      </c>
      <c r="I139" s="1200">
        <v>4308</v>
      </c>
      <c r="J139" s="1007">
        <v>3777</v>
      </c>
      <c r="K139" s="1007">
        <v>23541</v>
      </c>
      <c r="L139" s="1270"/>
      <c r="M139" s="1198">
        <v>0</v>
      </c>
      <c r="N139" s="1198">
        <v>0</v>
      </c>
      <c r="O139" s="1007">
        <v>3159</v>
      </c>
      <c r="P139" s="1007">
        <v>3159</v>
      </c>
      <c r="Q139" s="1270"/>
      <c r="R139" s="1200">
        <v>19908</v>
      </c>
      <c r="S139" s="1007">
        <v>278</v>
      </c>
      <c r="T139" s="1306">
        <v>20186</v>
      </c>
    </row>
    <row r="140" spans="1:20" x14ac:dyDescent="0.25">
      <c r="A140" s="1203">
        <v>91211</v>
      </c>
      <c r="B140" s="1204" t="s">
        <v>2778</v>
      </c>
      <c r="C140" s="1303">
        <v>4.817E-4</v>
      </c>
      <c r="D140" s="1303">
        <v>4.4870000000000001E-4</v>
      </c>
      <c r="E140" s="1007">
        <v>1721319</v>
      </c>
      <c r="F140" s="1270"/>
      <c r="G140" s="1200">
        <v>217372</v>
      </c>
      <c r="H140" s="1200">
        <v>242229</v>
      </c>
      <c r="I140" s="1200">
        <v>128100</v>
      </c>
      <c r="J140" s="1007">
        <v>33767</v>
      </c>
      <c r="K140" s="1007">
        <v>621468</v>
      </c>
      <c r="L140" s="1270"/>
      <c r="M140" s="1198">
        <v>0</v>
      </c>
      <c r="N140" s="1198">
        <v>0</v>
      </c>
      <c r="O140" s="1007">
        <v>22111</v>
      </c>
      <c r="P140" s="1007">
        <v>22111</v>
      </c>
      <c r="Q140" s="1270"/>
      <c r="R140" s="1200">
        <v>591949</v>
      </c>
      <c r="S140" s="1007">
        <v>3732</v>
      </c>
      <c r="T140" s="1306">
        <v>595681</v>
      </c>
    </row>
    <row r="141" spans="1:20" x14ac:dyDescent="0.25">
      <c r="A141" s="1203">
        <v>91213</v>
      </c>
      <c r="B141" s="1204" t="s">
        <v>2779</v>
      </c>
      <c r="C141" s="1303">
        <v>2.9E-5</v>
      </c>
      <c r="D141" s="1303">
        <v>2.9200000000000002E-5</v>
      </c>
      <c r="E141" s="1007">
        <v>103629</v>
      </c>
      <c r="F141" s="1270"/>
      <c r="G141" s="1200">
        <v>13087</v>
      </c>
      <c r="H141" s="1200">
        <v>14583</v>
      </c>
      <c r="I141" s="1200">
        <v>7712</v>
      </c>
      <c r="J141" s="1007">
        <v>1937</v>
      </c>
      <c r="K141" s="1007">
        <v>37319</v>
      </c>
      <c r="L141" s="1270"/>
      <c r="M141" s="1198">
        <v>0</v>
      </c>
      <c r="N141" s="1198">
        <v>0</v>
      </c>
      <c r="O141" s="1007">
        <v>4459</v>
      </c>
      <c r="P141" s="1007">
        <v>4459</v>
      </c>
      <c r="Q141" s="1270"/>
      <c r="R141" s="1200">
        <v>35637</v>
      </c>
      <c r="S141" s="1007">
        <v>-2638</v>
      </c>
      <c r="T141" s="1306">
        <v>32999</v>
      </c>
    </row>
    <row r="142" spans="1:20" x14ac:dyDescent="0.25">
      <c r="A142" s="1203">
        <v>91214</v>
      </c>
      <c r="B142" s="1204" t="s">
        <v>2780</v>
      </c>
      <c r="C142" s="1303">
        <v>3.5899999999999998E-5</v>
      </c>
      <c r="D142" s="1303">
        <v>3.5800000000000003E-5</v>
      </c>
      <c r="E142" s="1007">
        <v>128286</v>
      </c>
      <c r="F142" s="1270"/>
      <c r="G142" s="1200">
        <v>16200</v>
      </c>
      <c r="H142" s="1200">
        <v>18053</v>
      </c>
      <c r="I142" s="1200">
        <v>9547</v>
      </c>
      <c r="J142" s="1007">
        <v>462</v>
      </c>
      <c r="K142" s="1007">
        <v>44262</v>
      </c>
      <c r="L142" s="1270"/>
      <c r="M142" s="1198">
        <v>0</v>
      </c>
      <c r="N142" s="1198">
        <v>0</v>
      </c>
      <c r="O142" s="1007">
        <v>5796</v>
      </c>
      <c r="P142" s="1007">
        <v>5796</v>
      </c>
      <c r="Q142" s="1270"/>
      <c r="R142" s="1200">
        <v>44117</v>
      </c>
      <c r="S142" s="1007">
        <v>-2709</v>
      </c>
      <c r="T142" s="1306">
        <v>41408</v>
      </c>
    </row>
    <row r="143" spans="1:20" x14ac:dyDescent="0.25">
      <c r="A143" s="1203">
        <v>91217</v>
      </c>
      <c r="B143" s="1204" t="s">
        <v>2781</v>
      </c>
      <c r="C143" s="1303">
        <v>2.12E-5</v>
      </c>
      <c r="D143" s="1303">
        <v>2.0400000000000001E-5</v>
      </c>
      <c r="E143" s="1007">
        <v>75757</v>
      </c>
      <c r="F143" s="1270"/>
      <c r="G143" s="1200">
        <v>9567</v>
      </c>
      <c r="H143" s="1200">
        <v>10660</v>
      </c>
      <c r="I143" s="1200">
        <v>5638</v>
      </c>
      <c r="J143" s="1007">
        <v>13836</v>
      </c>
      <c r="K143" s="1007">
        <v>39701</v>
      </c>
      <c r="L143" s="1270"/>
      <c r="M143" s="1198">
        <v>0</v>
      </c>
      <c r="N143" s="1198">
        <v>0</v>
      </c>
      <c r="O143" s="1007">
        <v>1622</v>
      </c>
      <c r="P143" s="1007">
        <v>1622</v>
      </c>
      <c r="Q143" s="1270"/>
      <c r="R143" s="1200">
        <v>26052</v>
      </c>
      <c r="S143" s="1007">
        <v>5951</v>
      </c>
      <c r="T143" s="1306">
        <v>32003</v>
      </c>
    </row>
    <row r="144" spans="1:20" x14ac:dyDescent="0.25">
      <c r="A144" s="1203">
        <v>91221</v>
      </c>
      <c r="B144" s="1204" t="s">
        <v>2782</v>
      </c>
      <c r="C144" s="1303">
        <v>1.037E-4</v>
      </c>
      <c r="D144" s="1303">
        <v>1.099E-4</v>
      </c>
      <c r="E144" s="1007">
        <v>370564</v>
      </c>
      <c r="F144" s="1270"/>
      <c r="G144" s="1200">
        <v>46796</v>
      </c>
      <c r="H144" s="1200">
        <v>52147</v>
      </c>
      <c r="I144" s="1200">
        <v>27577</v>
      </c>
      <c r="J144" s="1007">
        <v>327</v>
      </c>
      <c r="K144" s="1007">
        <v>126847</v>
      </c>
      <c r="L144" s="1270"/>
      <c r="M144" s="1198">
        <v>0</v>
      </c>
      <c r="N144" s="1198">
        <v>0</v>
      </c>
      <c r="O144" s="1007">
        <v>17764</v>
      </c>
      <c r="P144" s="1007">
        <v>17764</v>
      </c>
      <c r="Q144" s="1270"/>
      <c r="R144" s="1200">
        <v>127434</v>
      </c>
      <c r="S144" s="1007">
        <v>-8209</v>
      </c>
      <c r="T144" s="1306">
        <v>119225</v>
      </c>
    </row>
    <row r="145" spans="1:20" x14ac:dyDescent="0.25">
      <c r="A145" s="1203">
        <v>91231</v>
      </c>
      <c r="B145" s="1204" t="s">
        <v>2783</v>
      </c>
      <c r="C145" s="1303">
        <v>1.9138E-3</v>
      </c>
      <c r="D145" s="1303">
        <v>1.8722999999999999E-3</v>
      </c>
      <c r="E145" s="1007">
        <v>6838823</v>
      </c>
      <c r="F145" s="1270"/>
      <c r="G145" s="1200">
        <v>863623</v>
      </c>
      <c r="H145" s="1200">
        <v>962381</v>
      </c>
      <c r="I145" s="1200">
        <v>508943</v>
      </c>
      <c r="J145" s="1007">
        <v>69528</v>
      </c>
      <c r="K145" s="1007">
        <v>2404475</v>
      </c>
      <c r="L145" s="1270"/>
      <c r="M145" s="1198">
        <v>0</v>
      </c>
      <c r="N145" s="1198">
        <v>0</v>
      </c>
      <c r="O145" s="1007">
        <v>29239</v>
      </c>
      <c r="P145" s="1007">
        <v>29239</v>
      </c>
      <c r="Q145" s="1270"/>
      <c r="R145" s="1200">
        <v>2351821</v>
      </c>
      <c r="S145" s="1007">
        <v>-13615</v>
      </c>
      <c r="T145" s="1306">
        <v>2338206</v>
      </c>
    </row>
    <row r="146" spans="1:20" x14ac:dyDescent="0.25">
      <c r="A146" s="1203">
        <v>91233</v>
      </c>
      <c r="B146" s="1204" t="s">
        <v>2784</v>
      </c>
      <c r="C146" s="1303">
        <v>6.7899999999999997E-5</v>
      </c>
      <c r="D146" s="1303">
        <v>6.1699999999999995E-5</v>
      </c>
      <c r="E146" s="1007">
        <v>242636</v>
      </c>
      <c r="F146" s="1270"/>
      <c r="G146" s="1200">
        <v>30641</v>
      </c>
      <c r="H146" s="1200">
        <v>34144</v>
      </c>
      <c r="I146" s="1200">
        <v>18057</v>
      </c>
      <c r="J146" s="1007">
        <v>8146</v>
      </c>
      <c r="K146" s="1007">
        <v>90988</v>
      </c>
      <c r="L146" s="1270"/>
      <c r="M146" s="1198">
        <v>0</v>
      </c>
      <c r="N146" s="1198">
        <v>0</v>
      </c>
      <c r="O146" s="1007">
        <v>3165</v>
      </c>
      <c r="P146" s="1007">
        <v>3165</v>
      </c>
      <c r="Q146" s="1270"/>
      <c r="R146" s="1200">
        <v>83441</v>
      </c>
      <c r="S146" s="1007">
        <v>1849</v>
      </c>
      <c r="T146" s="1306">
        <v>85290</v>
      </c>
    </row>
    <row r="147" spans="1:20" x14ac:dyDescent="0.25">
      <c r="A147" s="1203">
        <v>91241</v>
      </c>
      <c r="B147" s="1204" t="s">
        <v>2785</v>
      </c>
      <c r="C147" s="1303">
        <v>3.18E-5</v>
      </c>
      <c r="D147" s="1303">
        <v>5.3499999999999999E-5</v>
      </c>
      <c r="E147" s="1007">
        <v>113635</v>
      </c>
      <c r="F147" s="1270"/>
      <c r="G147" s="1200">
        <v>14350</v>
      </c>
      <c r="H147" s="1200">
        <v>15991</v>
      </c>
      <c r="I147" s="1200">
        <v>8457</v>
      </c>
      <c r="J147" s="1007">
        <v>7319</v>
      </c>
      <c r="K147" s="1007">
        <v>46117</v>
      </c>
      <c r="L147" s="1270"/>
      <c r="M147" s="1198">
        <v>0</v>
      </c>
      <c r="N147" s="1198">
        <v>0</v>
      </c>
      <c r="O147" s="1007">
        <v>26513</v>
      </c>
      <c r="P147" s="1007">
        <v>26513</v>
      </c>
      <c r="Q147" s="1270"/>
      <c r="R147" s="1200">
        <v>39078</v>
      </c>
      <c r="S147" s="1007">
        <v>-6128</v>
      </c>
      <c r="T147" s="1306">
        <v>32950</v>
      </c>
    </row>
    <row r="148" spans="1:20" x14ac:dyDescent="0.25">
      <c r="A148" s="1203">
        <v>91251</v>
      </c>
      <c r="B148" s="1204" t="s">
        <v>2786</v>
      </c>
      <c r="C148" s="1303">
        <v>2.6599999999999999E-5</v>
      </c>
      <c r="D148" s="1303">
        <v>2.0000000000000002E-5</v>
      </c>
      <c r="E148" s="1007">
        <v>95053</v>
      </c>
      <c r="F148" s="1270"/>
      <c r="G148" s="1200">
        <v>12004</v>
      </c>
      <c r="H148" s="1200">
        <v>13376</v>
      </c>
      <c r="I148" s="1200">
        <v>7074</v>
      </c>
      <c r="J148" s="1007">
        <v>10898</v>
      </c>
      <c r="K148" s="1007">
        <v>43352</v>
      </c>
      <c r="L148" s="1270"/>
      <c r="M148" s="1198">
        <v>0</v>
      </c>
      <c r="N148" s="1198">
        <v>0</v>
      </c>
      <c r="O148" s="1007">
        <v>6089</v>
      </c>
      <c r="P148" s="1007">
        <v>6089</v>
      </c>
      <c r="Q148" s="1270"/>
      <c r="R148" s="1200">
        <v>32688</v>
      </c>
      <c r="S148" s="1007">
        <v>1730</v>
      </c>
      <c r="T148" s="1306">
        <v>34418</v>
      </c>
    </row>
    <row r="149" spans="1:20" x14ac:dyDescent="0.25">
      <c r="A149" s="1203">
        <v>91261</v>
      </c>
      <c r="B149" s="1204" t="s">
        <v>2787</v>
      </c>
      <c r="C149" s="1303">
        <v>9.7999999999999993E-6</v>
      </c>
      <c r="D149" s="1303">
        <v>9.7000000000000003E-6</v>
      </c>
      <c r="E149" s="1007">
        <v>35020</v>
      </c>
      <c r="F149" s="1270"/>
      <c r="G149" s="1200">
        <v>4422</v>
      </c>
      <c r="H149" s="1200">
        <v>4928</v>
      </c>
      <c r="I149" s="1200">
        <v>2606</v>
      </c>
      <c r="J149" s="1007">
        <v>123</v>
      </c>
      <c r="K149" s="1007">
        <v>12079</v>
      </c>
      <c r="L149" s="1270"/>
      <c r="M149" s="1198">
        <v>0</v>
      </c>
      <c r="N149" s="1198">
        <v>0</v>
      </c>
      <c r="O149" s="1007">
        <v>2210</v>
      </c>
      <c r="P149" s="1007">
        <v>2210</v>
      </c>
      <c r="Q149" s="1270"/>
      <c r="R149" s="1200">
        <v>12043</v>
      </c>
      <c r="S149" s="1007">
        <v>-490</v>
      </c>
      <c r="T149" s="1306">
        <v>11553</v>
      </c>
    </row>
    <row r="150" spans="1:20" x14ac:dyDescent="0.25">
      <c r="A150" s="1203">
        <v>91301</v>
      </c>
      <c r="B150" s="1204" t="s">
        <v>2788</v>
      </c>
      <c r="C150" s="1303">
        <v>8.2746E-3</v>
      </c>
      <c r="D150" s="1303">
        <v>7.9497999999999999E-3</v>
      </c>
      <c r="E150" s="1007">
        <v>29568671</v>
      </c>
      <c r="F150" s="1270"/>
      <c r="G150" s="1200">
        <v>3734004</v>
      </c>
      <c r="H150" s="1200">
        <v>4160998</v>
      </c>
      <c r="I150" s="1200">
        <v>2200489</v>
      </c>
      <c r="J150" s="1007">
        <v>353398</v>
      </c>
      <c r="K150" s="1007">
        <v>10448889</v>
      </c>
      <c r="L150" s="1270"/>
      <c r="M150" s="1198">
        <v>0</v>
      </c>
      <c r="N150" s="1198">
        <v>0</v>
      </c>
      <c r="O150" s="1007">
        <v>74105</v>
      </c>
      <c r="P150" s="1007">
        <v>74105</v>
      </c>
      <c r="Q150" s="1270"/>
      <c r="R150" s="1200">
        <v>10168449</v>
      </c>
      <c r="S150" s="1007">
        <v>69635</v>
      </c>
      <c r="T150" s="1306">
        <v>10238084</v>
      </c>
    </row>
    <row r="151" spans="1:20" x14ac:dyDescent="0.25">
      <c r="A151" s="1203">
        <v>91302</v>
      </c>
      <c r="B151" s="1204" t="s">
        <v>2789</v>
      </c>
      <c r="C151" s="1303">
        <v>5.0199999999999995E-4</v>
      </c>
      <c r="D151" s="1303">
        <v>5.354E-4</v>
      </c>
      <c r="E151" s="1007">
        <v>1793860</v>
      </c>
      <c r="F151" s="1270"/>
      <c r="G151" s="1200">
        <v>226533</v>
      </c>
      <c r="H151" s="1200">
        <v>252438</v>
      </c>
      <c r="I151" s="1200">
        <v>133498</v>
      </c>
      <c r="J151" s="1007">
        <v>0</v>
      </c>
      <c r="K151" s="1007">
        <v>612469</v>
      </c>
      <c r="L151" s="1270"/>
      <c r="M151" s="1198">
        <v>0</v>
      </c>
      <c r="N151" s="1198">
        <v>0</v>
      </c>
      <c r="O151" s="1007">
        <v>70796</v>
      </c>
      <c r="P151" s="1007">
        <v>70796</v>
      </c>
      <c r="Q151" s="1270"/>
      <c r="R151" s="1200">
        <v>616895</v>
      </c>
      <c r="S151" s="1007">
        <v>-27902</v>
      </c>
      <c r="T151" s="1306">
        <v>588993</v>
      </c>
    </row>
    <row r="152" spans="1:20" x14ac:dyDescent="0.25">
      <c r="A152" s="1203">
        <v>91306</v>
      </c>
      <c r="B152" s="1204" t="s">
        <v>2790</v>
      </c>
      <c r="C152" s="1303">
        <v>1.82E-3</v>
      </c>
      <c r="D152" s="1303">
        <v>1.8244999999999999E-3</v>
      </c>
      <c r="E152" s="1007">
        <v>6503635</v>
      </c>
      <c r="F152" s="1270"/>
      <c r="G152" s="1200">
        <v>821295</v>
      </c>
      <c r="H152" s="1200">
        <v>915213</v>
      </c>
      <c r="I152" s="1200">
        <v>483998</v>
      </c>
      <c r="J152" s="1007">
        <v>75623</v>
      </c>
      <c r="K152" s="1007">
        <v>2296129</v>
      </c>
      <c r="L152" s="1270"/>
      <c r="M152" s="1198">
        <v>0</v>
      </c>
      <c r="N152" s="1198">
        <v>0</v>
      </c>
      <c r="O152" s="1007">
        <v>22085</v>
      </c>
      <c r="P152" s="1007">
        <v>22085</v>
      </c>
      <c r="Q152" s="1270"/>
      <c r="R152" s="1200">
        <v>2236553</v>
      </c>
      <c r="S152" s="1007">
        <v>44313</v>
      </c>
      <c r="T152" s="1306">
        <v>2280866</v>
      </c>
    </row>
    <row r="153" spans="1:20" x14ac:dyDescent="0.25">
      <c r="A153" s="1203">
        <v>91308</v>
      </c>
      <c r="B153" s="1204" t="s">
        <v>2791</v>
      </c>
      <c r="C153" s="1303">
        <v>1.6229999999999999E-4</v>
      </c>
      <c r="D153" s="1303">
        <v>1.7009999999999999E-4</v>
      </c>
      <c r="E153" s="1007">
        <v>579967</v>
      </c>
      <c r="F153" s="1270"/>
      <c r="G153" s="1200">
        <v>73240</v>
      </c>
      <c r="H153" s="1200">
        <v>81615</v>
      </c>
      <c r="I153" s="1200">
        <v>43161</v>
      </c>
      <c r="J153" s="1007">
        <v>0</v>
      </c>
      <c r="K153" s="1007">
        <v>198016</v>
      </c>
      <c r="L153" s="1270"/>
      <c r="M153" s="1198">
        <v>0</v>
      </c>
      <c r="N153" s="1198">
        <v>0</v>
      </c>
      <c r="O153" s="1007">
        <v>26663</v>
      </c>
      <c r="P153" s="1007">
        <v>26663</v>
      </c>
      <c r="Q153" s="1270"/>
      <c r="R153" s="1200">
        <v>199446</v>
      </c>
      <c r="S153" s="1007">
        <v>-12593</v>
      </c>
      <c r="T153" s="1306">
        <v>186853</v>
      </c>
    </row>
    <row r="154" spans="1:20" x14ac:dyDescent="0.25">
      <c r="A154" s="1203">
        <v>91311</v>
      </c>
      <c r="B154" s="1204" t="s">
        <v>2792</v>
      </c>
      <c r="C154" s="1303">
        <v>8.4355999999999997E-3</v>
      </c>
      <c r="D154" s="1303">
        <v>7.9030000000000003E-3</v>
      </c>
      <c r="E154" s="1007">
        <v>30143992</v>
      </c>
      <c r="F154" s="1270"/>
      <c r="G154" s="1200">
        <v>3806657</v>
      </c>
      <c r="H154" s="1200">
        <v>4241960</v>
      </c>
      <c r="I154" s="1200">
        <v>2243304</v>
      </c>
      <c r="J154" s="1007">
        <v>625963</v>
      </c>
      <c r="K154" s="1007">
        <v>10917884</v>
      </c>
      <c r="L154" s="1270"/>
      <c r="M154" s="1198">
        <v>0</v>
      </c>
      <c r="N154" s="1198">
        <v>0</v>
      </c>
      <c r="O154" s="1007">
        <v>80965</v>
      </c>
      <c r="P154" s="1007">
        <v>80965</v>
      </c>
      <c r="Q154" s="1270"/>
      <c r="R154" s="1200">
        <v>10366298</v>
      </c>
      <c r="S154" s="1007">
        <v>72958</v>
      </c>
      <c r="T154" s="1306">
        <v>10439256</v>
      </c>
    </row>
    <row r="155" spans="1:20" x14ac:dyDescent="0.25">
      <c r="A155" s="1203">
        <v>91317</v>
      </c>
      <c r="B155" s="1204" t="s">
        <v>2793</v>
      </c>
      <c r="C155" s="1303">
        <v>1.27E-4</v>
      </c>
      <c r="D155" s="1303">
        <v>1.015E-4</v>
      </c>
      <c r="E155" s="1007">
        <v>453825</v>
      </c>
      <c r="F155" s="1270"/>
      <c r="G155" s="1200">
        <v>57310</v>
      </c>
      <c r="H155" s="1200">
        <v>63864</v>
      </c>
      <c r="I155" s="1200">
        <v>33773</v>
      </c>
      <c r="J155" s="1007">
        <v>55718</v>
      </c>
      <c r="K155" s="1007">
        <v>210665</v>
      </c>
      <c r="L155" s="1270"/>
      <c r="M155" s="1198">
        <v>0</v>
      </c>
      <c r="N155" s="1198">
        <v>0</v>
      </c>
      <c r="O155" s="1007">
        <v>0</v>
      </c>
      <c r="P155" s="1007">
        <v>0</v>
      </c>
      <c r="Q155" s="1270"/>
      <c r="R155" s="1200">
        <v>156067</v>
      </c>
      <c r="S155" s="1007">
        <v>20433</v>
      </c>
      <c r="T155" s="1306">
        <v>176500</v>
      </c>
    </row>
    <row r="156" spans="1:20" x14ac:dyDescent="0.25">
      <c r="A156" s="1203">
        <v>91321</v>
      </c>
      <c r="B156" s="1204" t="s">
        <v>2794</v>
      </c>
      <c r="C156" s="1303">
        <v>6.9300000000000004E-5</v>
      </c>
      <c r="D156" s="1303">
        <v>5.3600000000000002E-5</v>
      </c>
      <c r="E156" s="1007">
        <v>247638</v>
      </c>
      <c r="F156" s="1270"/>
      <c r="G156" s="1200">
        <v>31272</v>
      </c>
      <c r="H156" s="1200">
        <v>34848</v>
      </c>
      <c r="I156" s="1200">
        <v>18429</v>
      </c>
      <c r="J156" s="1007">
        <v>49027</v>
      </c>
      <c r="K156" s="1007">
        <v>133576</v>
      </c>
      <c r="L156" s="1270"/>
      <c r="M156" s="1198">
        <v>0</v>
      </c>
      <c r="N156" s="1198">
        <v>0</v>
      </c>
      <c r="O156" s="1007">
        <v>0</v>
      </c>
      <c r="P156" s="1007">
        <v>0</v>
      </c>
      <c r="Q156" s="1270"/>
      <c r="R156" s="1200">
        <v>85161</v>
      </c>
      <c r="S156" s="1007">
        <v>21739</v>
      </c>
      <c r="T156" s="1306">
        <v>106900</v>
      </c>
    </row>
    <row r="157" spans="1:20" x14ac:dyDescent="0.25">
      <c r="A157" s="1203">
        <v>91327</v>
      </c>
      <c r="B157" s="1204" t="s">
        <v>2795</v>
      </c>
      <c r="C157" s="1303">
        <v>0</v>
      </c>
      <c r="D157" s="1303">
        <v>1.0900000000000001E-5</v>
      </c>
      <c r="E157" s="1007">
        <v>0</v>
      </c>
      <c r="F157" s="1270"/>
      <c r="G157" s="1200">
        <v>0</v>
      </c>
      <c r="H157" s="1200">
        <v>0</v>
      </c>
      <c r="I157" s="1200">
        <v>0</v>
      </c>
      <c r="J157" s="1007">
        <v>2337</v>
      </c>
      <c r="K157" s="1007">
        <v>2337</v>
      </c>
      <c r="L157" s="1270"/>
      <c r="M157" s="1198">
        <v>0</v>
      </c>
      <c r="N157" s="1198">
        <v>0</v>
      </c>
      <c r="O157" s="1007">
        <v>13003</v>
      </c>
      <c r="P157" s="1007">
        <v>13003</v>
      </c>
      <c r="Q157" s="1270"/>
      <c r="R157" s="1200">
        <v>0</v>
      </c>
      <c r="S157" s="1007">
        <v>-3791</v>
      </c>
      <c r="T157" s="1306">
        <v>-3791</v>
      </c>
    </row>
    <row r="158" spans="1:20" x14ac:dyDescent="0.25">
      <c r="A158" s="1203">
        <v>91331</v>
      </c>
      <c r="B158" s="1204" t="s">
        <v>2796</v>
      </c>
      <c r="C158" s="1303">
        <v>3.0620999999999999E-3</v>
      </c>
      <c r="D158" s="1303">
        <v>2.9286E-3</v>
      </c>
      <c r="E158" s="1007">
        <v>10942188</v>
      </c>
      <c r="F158" s="1270"/>
      <c r="G158" s="1200">
        <v>1381806</v>
      </c>
      <c r="H158" s="1200">
        <v>1539820</v>
      </c>
      <c r="I158" s="1200">
        <v>814313</v>
      </c>
      <c r="J158" s="1007">
        <v>62641</v>
      </c>
      <c r="K158" s="1007">
        <v>3798580</v>
      </c>
      <c r="L158" s="1270"/>
      <c r="M158" s="1198">
        <v>0</v>
      </c>
      <c r="N158" s="1198">
        <v>0</v>
      </c>
      <c r="O158" s="1007">
        <v>204368</v>
      </c>
      <c r="P158" s="1007">
        <v>204368</v>
      </c>
      <c r="Q158" s="1270"/>
      <c r="R158" s="1200">
        <v>3762938</v>
      </c>
      <c r="S158" s="1007">
        <v>-112225</v>
      </c>
      <c r="T158" s="1306">
        <v>3650713</v>
      </c>
    </row>
    <row r="159" spans="1:20" x14ac:dyDescent="0.25">
      <c r="A159" s="1203">
        <v>91341</v>
      </c>
      <c r="B159" s="1204" t="s">
        <v>2797</v>
      </c>
      <c r="C159" s="1303">
        <v>3.6900000000000002E-5</v>
      </c>
      <c r="D159" s="1303">
        <v>3.79E-5</v>
      </c>
      <c r="E159" s="1007">
        <v>131859</v>
      </c>
      <c r="F159" s="1270"/>
      <c r="G159" s="1200">
        <v>16652</v>
      </c>
      <c r="H159" s="1200">
        <v>18555</v>
      </c>
      <c r="I159" s="1200">
        <v>9813</v>
      </c>
      <c r="J159" s="1007">
        <v>8900</v>
      </c>
      <c r="K159" s="1007">
        <v>53920</v>
      </c>
      <c r="L159" s="1270"/>
      <c r="M159" s="1198">
        <v>0</v>
      </c>
      <c r="N159" s="1198">
        <v>0</v>
      </c>
      <c r="O159" s="1007">
        <v>3973</v>
      </c>
      <c r="P159" s="1007">
        <v>3973</v>
      </c>
      <c r="Q159" s="1270"/>
      <c r="R159" s="1200">
        <v>45345</v>
      </c>
      <c r="S159" s="1007">
        <v>2117</v>
      </c>
      <c r="T159" s="1306">
        <v>47462</v>
      </c>
    </row>
    <row r="160" spans="1:20" x14ac:dyDescent="0.25">
      <c r="A160" s="1203">
        <v>91401</v>
      </c>
      <c r="B160" s="1204" t="s">
        <v>2798</v>
      </c>
      <c r="C160" s="1303">
        <v>3.7696000000000001E-3</v>
      </c>
      <c r="D160" s="1303">
        <v>3.3915999999999998E-3</v>
      </c>
      <c r="E160" s="1007">
        <v>13470387</v>
      </c>
      <c r="F160" s="1270"/>
      <c r="G160" s="1200">
        <v>1701073</v>
      </c>
      <c r="H160" s="1200">
        <v>1895596</v>
      </c>
      <c r="I160" s="1200">
        <v>1002461</v>
      </c>
      <c r="J160" s="1007">
        <v>457432</v>
      </c>
      <c r="K160" s="1007">
        <v>5056562</v>
      </c>
      <c r="L160" s="1270"/>
      <c r="M160" s="1198">
        <v>0</v>
      </c>
      <c r="N160" s="1198">
        <v>0</v>
      </c>
      <c r="O160" s="1007">
        <v>144506</v>
      </c>
      <c r="P160" s="1007">
        <v>144506</v>
      </c>
      <c r="Q160" s="1270"/>
      <c r="R160" s="1200">
        <v>4632367</v>
      </c>
      <c r="S160" s="1007">
        <v>72281</v>
      </c>
      <c r="T160" s="1306">
        <v>4704648</v>
      </c>
    </row>
    <row r="161" spans="1:20" x14ac:dyDescent="0.25">
      <c r="A161" s="1203">
        <v>91411</v>
      </c>
      <c r="B161" s="1204" t="s">
        <v>2799</v>
      </c>
      <c r="C161" s="1303">
        <v>4.0089999999999999E-4</v>
      </c>
      <c r="D161" s="1303">
        <v>3.9639999999999999E-4</v>
      </c>
      <c r="E161" s="1007">
        <v>1432586</v>
      </c>
      <c r="F161" s="1270"/>
      <c r="G161" s="1200">
        <v>180911</v>
      </c>
      <c r="H161" s="1200">
        <v>201599</v>
      </c>
      <c r="I161" s="1200">
        <v>106613</v>
      </c>
      <c r="J161" s="1007">
        <v>8558</v>
      </c>
      <c r="K161" s="1007">
        <v>497681</v>
      </c>
      <c r="L161" s="1270"/>
      <c r="M161" s="1198">
        <v>0</v>
      </c>
      <c r="N161" s="1198">
        <v>0</v>
      </c>
      <c r="O161" s="1007">
        <v>0</v>
      </c>
      <c r="P161" s="1007">
        <v>0</v>
      </c>
      <c r="Q161" s="1270"/>
      <c r="R161" s="1200">
        <v>492656</v>
      </c>
      <c r="S161" s="1007">
        <v>9337</v>
      </c>
      <c r="T161" s="1306">
        <v>501993</v>
      </c>
    </row>
    <row r="162" spans="1:20" x14ac:dyDescent="0.25">
      <c r="A162" s="1203">
        <v>91414</v>
      </c>
      <c r="B162" s="1204" t="s">
        <v>4145</v>
      </c>
      <c r="C162" s="1303">
        <v>2.4499999999999999E-5</v>
      </c>
      <c r="D162" s="1303">
        <v>2.2200000000000001E-5</v>
      </c>
      <c r="E162" s="1007">
        <v>87549</v>
      </c>
      <c r="F162" s="1270"/>
      <c r="G162" s="1200">
        <v>11056</v>
      </c>
      <c r="H162" s="1200">
        <v>12320</v>
      </c>
      <c r="I162" s="1200">
        <v>6515</v>
      </c>
      <c r="J162" s="1007">
        <v>18555</v>
      </c>
      <c r="K162" s="1007">
        <v>48446</v>
      </c>
      <c r="L162" s="1270"/>
      <c r="M162" s="1198">
        <v>0</v>
      </c>
      <c r="N162" s="1198">
        <v>0</v>
      </c>
      <c r="O162" s="1007">
        <v>0</v>
      </c>
      <c r="P162" s="1007">
        <v>0</v>
      </c>
      <c r="Q162" s="1270"/>
      <c r="R162" s="1200">
        <v>30107</v>
      </c>
      <c r="S162" s="1007">
        <v>6185</v>
      </c>
      <c r="T162" s="1306">
        <v>36292</v>
      </c>
    </row>
    <row r="163" spans="1:20" x14ac:dyDescent="0.25">
      <c r="A163" s="1203">
        <v>91417</v>
      </c>
      <c r="B163" s="1204" t="s">
        <v>2800</v>
      </c>
      <c r="C163" s="1303">
        <v>6.1E-6</v>
      </c>
      <c r="D163" s="1303">
        <v>7.3000000000000004E-6</v>
      </c>
      <c r="E163" s="1007">
        <v>21798</v>
      </c>
      <c r="F163" s="1270"/>
      <c r="G163" s="1200">
        <v>2753</v>
      </c>
      <c r="H163" s="1200">
        <v>3068</v>
      </c>
      <c r="I163" s="1200">
        <v>1622</v>
      </c>
      <c r="J163" s="1007">
        <v>1901</v>
      </c>
      <c r="K163" s="1007">
        <v>9344</v>
      </c>
      <c r="L163" s="1270"/>
      <c r="M163" s="1198">
        <v>0</v>
      </c>
      <c r="N163" s="1198">
        <v>0</v>
      </c>
      <c r="O163" s="1007">
        <v>0</v>
      </c>
      <c r="P163" s="1007">
        <v>0</v>
      </c>
      <c r="Q163" s="1270"/>
      <c r="R163" s="1200">
        <v>7496</v>
      </c>
      <c r="S163" s="1007">
        <v>810</v>
      </c>
      <c r="T163" s="1306">
        <v>8306</v>
      </c>
    </row>
    <row r="164" spans="1:20" x14ac:dyDescent="0.25">
      <c r="A164" s="1203">
        <v>91421</v>
      </c>
      <c r="B164" s="1204" t="s">
        <v>2801</v>
      </c>
      <c r="C164" s="1303">
        <v>6.8300000000000007E-5</v>
      </c>
      <c r="D164" s="1303">
        <v>6.69E-5</v>
      </c>
      <c r="E164" s="1007">
        <v>244065</v>
      </c>
      <c r="F164" s="1270"/>
      <c r="G164" s="1200">
        <v>30821</v>
      </c>
      <c r="H164" s="1200">
        <v>34346</v>
      </c>
      <c r="I164" s="1200">
        <v>18163</v>
      </c>
      <c r="J164" s="1007">
        <v>8442</v>
      </c>
      <c r="K164" s="1007">
        <v>91772</v>
      </c>
      <c r="L164" s="1270"/>
      <c r="M164" s="1198">
        <v>0</v>
      </c>
      <c r="N164" s="1198">
        <v>0</v>
      </c>
      <c r="O164" s="1007">
        <v>442</v>
      </c>
      <c r="P164" s="1007">
        <v>442</v>
      </c>
      <c r="Q164" s="1270"/>
      <c r="R164" s="1200">
        <v>83932</v>
      </c>
      <c r="S164" s="1007">
        <v>3522</v>
      </c>
      <c r="T164" s="1306">
        <v>87454</v>
      </c>
    </row>
    <row r="165" spans="1:20" x14ac:dyDescent="0.25">
      <c r="A165" s="1203">
        <v>91423</v>
      </c>
      <c r="B165" s="1204" t="s">
        <v>2802</v>
      </c>
      <c r="C165" s="1303">
        <v>5.6199999999999997E-5</v>
      </c>
      <c r="D165" s="1303">
        <v>5.2899999999999998E-5</v>
      </c>
      <c r="E165" s="1007">
        <v>200827</v>
      </c>
      <c r="F165" s="1270"/>
      <c r="G165" s="1200">
        <v>25361</v>
      </c>
      <c r="H165" s="1200">
        <v>28261</v>
      </c>
      <c r="I165" s="1200">
        <v>14945</v>
      </c>
      <c r="J165" s="1007">
        <v>4480</v>
      </c>
      <c r="K165" s="1007">
        <v>73047</v>
      </c>
      <c r="L165" s="1270"/>
      <c r="M165" s="1198">
        <v>0</v>
      </c>
      <c r="N165" s="1198">
        <v>0</v>
      </c>
      <c r="O165" s="1007">
        <v>3425</v>
      </c>
      <c r="P165" s="1007">
        <v>3425</v>
      </c>
      <c r="Q165" s="1270"/>
      <c r="R165" s="1200">
        <v>69063</v>
      </c>
      <c r="S165" s="1007">
        <v>1051</v>
      </c>
      <c r="T165" s="1306">
        <v>70114</v>
      </c>
    </row>
    <row r="166" spans="1:20" x14ac:dyDescent="0.25">
      <c r="A166" s="1203">
        <v>91431</v>
      </c>
      <c r="B166" s="1204" t="s">
        <v>2803</v>
      </c>
      <c r="C166" s="1303">
        <v>1.7760000000000001E-4</v>
      </c>
      <c r="D166" s="1303">
        <v>1.819E-4</v>
      </c>
      <c r="E166" s="1007">
        <v>634640</v>
      </c>
      <c r="F166" s="1270"/>
      <c r="G166" s="1200">
        <v>80144</v>
      </c>
      <c r="H166" s="1200">
        <v>89309</v>
      </c>
      <c r="I166" s="1200">
        <v>47230</v>
      </c>
      <c r="J166" s="1007">
        <v>23536</v>
      </c>
      <c r="K166" s="1007">
        <v>240219</v>
      </c>
      <c r="L166" s="1270"/>
      <c r="M166" s="1198">
        <v>0</v>
      </c>
      <c r="N166" s="1198">
        <v>0</v>
      </c>
      <c r="O166" s="1007">
        <v>2225</v>
      </c>
      <c r="P166" s="1007">
        <v>2225</v>
      </c>
      <c r="Q166" s="1270"/>
      <c r="R166" s="1200">
        <v>218248</v>
      </c>
      <c r="S166" s="1007">
        <v>10372</v>
      </c>
      <c r="T166" s="1306">
        <v>228620</v>
      </c>
    </row>
    <row r="167" spans="1:20" x14ac:dyDescent="0.25">
      <c r="A167" s="1203">
        <v>91441</v>
      </c>
      <c r="B167" s="1204" t="s">
        <v>2804</v>
      </c>
      <c r="C167" s="1303">
        <v>9.5500000000000001E-4</v>
      </c>
      <c r="D167" s="1303">
        <v>9.8020000000000008E-4</v>
      </c>
      <c r="E167" s="1007">
        <v>3412622</v>
      </c>
      <c r="F167" s="1270"/>
      <c r="G167" s="1200">
        <v>430954</v>
      </c>
      <c r="H167" s="1200">
        <v>480235</v>
      </c>
      <c r="I167" s="1200">
        <v>253966</v>
      </c>
      <c r="J167" s="1007">
        <v>11737</v>
      </c>
      <c r="K167" s="1007">
        <v>1176892</v>
      </c>
      <c r="L167" s="1270"/>
      <c r="M167" s="1198">
        <v>0</v>
      </c>
      <c r="N167" s="1198">
        <v>0</v>
      </c>
      <c r="O167" s="1007">
        <v>213184</v>
      </c>
      <c r="P167" s="1007">
        <v>213184</v>
      </c>
      <c r="Q167" s="1270"/>
      <c r="R167" s="1200">
        <v>1173576</v>
      </c>
      <c r="S167" s="1007">
        <v>-85519</v>
      </c>
      <c r="T167" s="1306">
        <v>1088057</v>
      </c>
    </row>
    <row r="168" spans="1:20" x14ac:dyDescent="0.25">
      <c r="A168" s="1203">
        <v>91451</v>
      </c>
      <c r="B168" s="1204" t="s">
        <v>2805</v>
      </c>
      <c r="C168" s="1303">
        <v>1.5448E-3</v>
      </c>
      <c r="D168" s="1303">
        <v>1.5533999999999999E-3</v>
      </c>
      <c r="E168" s="1007">
        <v>5520228</v>
      </c>
      <c r="F168" s="1270"/>
      <c r="G168" s="1200">
        <v>697108</v>
      </c>
      <c r="H168" s="1200">
        <v>776824</v>
      </c>
      <c r="I168" s="1200">
        <v>410813</v>
      </c>
      <c r="J168" s="1007">
        <v>24806</v>
      </c>
      <c r="K168" s="1007">
        <v>1909551</v>
      </c>
      <c r="L168" s="1270"/>
      <c r="M168" s="1198">
        <v>0</v>
      </c>
      <c r="N168" s="1198">
        <v>0</v>
      </c>
      <c r="O168" s="1007">
        <v>33045</v>
      </c>
      <c r="P168" s="1007">
        <v>33045</v>
      </c>
      <c r="Q168" s="1270"/>
      <c r="R168" s="1200">
        <v>1898366</v>
      </c>
      <c r="S168" s="1007">
        <v>-38491</v>
      </c>
      <c r="T168" s="1306">
        <v>1859875</v>
      </c>
    </row>
    <row r="169" spans="1:20" x14ac:dyDescent="0.25">
      <c r="A169" s="1203">
        <v>91457</v>
      </c>
      <c r="B169" s="1204" t="s">
        <v>2806</v>
      </c>
      <c r="C169" s="1303">
        <v>1.4100000000000001E-5</v>
      </c>
      <c r="D169" s="1303">
        <v>1.5500000000000001E-5</v>
      </c>
      <c r="E169" s="1007">
        <v>50385</v>
      </c>
      <c r="F169" s="1270"/>
      <c r="G169" s="1200">
        <v>6363</v>
      </c>
      <c r="H169" s="1200">
        <v>7090</v>
      </c>
      <c r="I169" s="1200">
        <v>3750</v>
      </c>
      <c r="J169" s="1007">
        <v>25115</v>
      </c>
      <c r="K169" s="1007">
        <v>42318</v>
      </c>
      <c r="L169" s="1270"/>
      <c r="M169" s="1198">
        <v>0</v>
      </c>
      <c r="N169" s="1198">
        <v>0</v>
      </c>
      <c r="O169" s="1007">
        <v>0</v>
      </c>
      <c r="P169" s="1007">
        <v>0</v>
      </c>
      <c r="Q169" s="1270"/>
      <c r="R169" s="1200">
        <v>17327</v>
      </c>
      <c r="S169" s="1007">
        <v>14908</v>
      </c>
      <c r="T169" s="1306">
        <v>32235</v>
      </c>
    </row>
    <row r="170" spans="1:20" x14ac:dyDescent="0.25">
      <c r="A170" s="1203">
        <v>91461</v>
      </c>
      <c r="B170" s="1204" t="s">
        <v>2807</v>
      </c>
      <c r="C170" s="1303">
        <v>0</v>
      </c>
      <c r="D170" s="1303">
        <v>9.5000000000000005E-6</v>
      </c>
      <c r="E170" s="1007">
        <v>0</v>
      </c>
      <c r="F170" s="1270"/>
      <c r="G170" s="1200">
        <v>0</v>
      </c>
      <c r="H170" s="1200">
        <v>0</v>
      </c>
      <c r="I170" s="1200">
        <v>0</v>
      </c>
      <c r="J170" s="1007">
        <v>0</v>
      </c>
      <c r="K170" s="1007">
        <v>0</v>
      </c>
      <c r="L170" s="1270"/>
      <c r="M170" s="1198">
        <v>0</v>
      </c>
      <c r="N170" s="1198">
        <v>0</v>
      </c>
      <c r="O170" s="1007">
        <v>14146</v>
      </c>
      <c r="P170" s="1007">
        <v>14146</v>
      </c>
      <c r="Q170" s="1270"/>
      <c r="R170" s="1200">
        <v>0</v>
      </c>
      <c r="S170" s="1007">
        <v>-4791</v>
      </c>
      <c r="T170" s="1306">
        <v>-4791</v>
      </c>
    </row>
    <row r="171" spans="1:20" x14ac:dyDescent="0.25">
      <c r="A171" s="1203">
        <v>91501</v>
      </c>
      <c r="B171" s="1204" t="s">
        <v>2808</v>
      </c>
      <c r="C171" s="1303">
        <v>4.9739999999999995E-4</v>
      </c>
      <c r="D171" s="1303">
        <v>5.1179999999999997E-4</v>
      </c>
      <c r="E171" s="1007">
        <v>1777422</v>
      </c>
      <c r="F171" s="1270"/>
      <c r="G171" s="1200">
        <v>224457</v>
      </c>
      <c r="H171" s="1200">
        <v>250124</v>
      </c>
      <c r="I171" s="1200">
        <v>132275</v>
      </c>
      <c r="J171" s="1007">
        <v>22270</v>
      </c>
      <c r="K171" s="1007">
        <v>629126</v>
      </c>
      <c r="L171" s="1270"/>
      <c r="M171" s="1198">
        <v>0</v>
      </c>
      <c r="N171" s="1198">
        <v>0</v>
      </c>
      <c r="O171" s="1007">
        <v>26734</v>
      </c>
      <c r="P171" s="1007">
        <v>26734</v>
      </c>
      <c r="Q171" s="1270"/>
      <c r="R171" s="1200">
        <v>611242</v>
      </c>
      <c r="S171" s="1007">
        <v>-1475</v>
      </c>
      <c r="T171" s="1306">
        <v>609767</v>
      </c>
    </row>
    <row r="172" spans="1:20" x14ac:dyDescent="0.25">
      <c r="A172" s="1203">
        <v>91504</v>
      </c>
      <c r="B172" s="1204" t="s">
        <v>2809</v>
      </c>
      <c r="C172" s="1303">
        <v>8.1000000000000004E-6</v>
      </c>
      <c r="D172" s="1303">
        <v>8.3999999999999992E-6</v>
      </c>
      <c r="E172" s="1007">
        <v>28945</v>
      </c>
      <c r="F172" s="1270"/>
      <c r="G172" s="1200">
        <v>3655</v>
      </c>
      <c r="H172" s="1200">
        <v>4074</v>
      </c>
      <c r="I172" s="1200">
        <v>2154</v>
      </c>
      <c r="J172" s="1007">
        <v>4287</v>
      </c>
      <c r="K172" s="1007">
        <v>14170</v>
      </c>
      <c r="L172" s="1270"/>
      <c r="M172" s="1198">
        <v>0</v>
      </c>
      <c r="N172" s="1198">
        <v>0</v>
      </c>
      <c r="O172" s="1007">
        <v>0</v>
      </c>
      <c r="P172" s="1007">
        <v>0</v>
      </c>
      <c r="Q172" s="1270"/>
      <c r="R172" s="1200">
        <v>9954</v>
      </c>
      <c r="S172" s="1007">
        <v>2157</v>
      </c>
      <c r="T172" s="1306">
        <v>12111</v>
      </c>
    </row>
    <row r="173" spans="1:20" x14ac:dyDescent="0.25">
      <c r="A173" s="1203">
        <v>91601</v>
      </c>
      <c r="B173" s="1204" t="s">
        <v>2810</v>
      </c>
      <c r="C173" s="1303">
        <v>2.8121999999999999E-3</v>
      </c>
      <c r="D173" s="1303">
        <v>3.0071E-3</v>
      </c>
      <c r="E173" s="1007">
        <v>10049189</v>
      </c>
      <c r="F173" s="1270"/>
      <c r="G173" s="1200">
        <v>1269036</v>
      </c>
      <c r="H173" s="1200">
        <v>1414154</v>
      </c>
      <c r="I173" s="1200">
        <v>747857</v>
      </c>
      <c r="J173" s="1007">
        <v>171115</v>
      </c>
      <c r="K173" s="1007">
        <v>3602162</v>
      </c>
      <c r="L173" s="1270"/>
      <c r="M173" s="1198">
        <v>0</v>
      </c>
      <c r="N173" s="1198">
        <v>0</v>
      </c>
      <c r="O173" s="1007">
        <v>170176</v>
      </c>
      <c r="P173" s="1007">
        <v>170176</v>
      </c>
      <c r="Q173" s="1270"/>
      <c r="R173" s="1200">
        <v>3455842</v>
      </c>
      <c r="S173" s="1007">
        <v>24611</v>
      </c>
      <c r="T173" s="1306">
        <v>3480453</v>
      </c>
    </row>
    <row r="174" spans="1:20" x14ac:dyDescent="0.25">
      <c r="A174" s="1203">
        <v>91604</v>
      </c>
      <c r="B174" s="1204" t="s">
        <v>2811</v>
      </c>
      <c r="C174" s="1303">
        <v>8.1600000000000005E-5</v>
      </c>
      <c r="D174" s="1303">
        <v>8.5599999999999994E-5</v>
      </c>
      <c r="E174" s="1007">
        <v>291592</v>
      </c>
      <c r="F174" s="1270"/>
      <c r="G174" s="1200">
        <v>36823</v>
      </c>
      <c r="H174" s="1200">
        <v>41033</v>
      </c>
      <c r="I174" s="1200">
        <v>21700</v>
      </c>
      <c r="J174" s="1007">
        <v>26940</v>
      </c>
      <c r="K174" s="1007">
        <v>126496</v>
      </c>
      <c r="L174" s="1270"/>
      <c r="M174" s="1198">
        <v>0</v>
      </c>
      <c r="N174" s="1198">
        <v>0</v>
      </c>
      <c r="O174" s="1007">
        <v>0</v>
      </c>
      <c r="P174" s="1007">
        <v>0</v>
      </c>
      <c r="Q174" s="1270"/>
      <c r="R174" s="1200">
        <v>100276</v>
      </c>
      <c r="S174" s="1007">
        <v>13475</v>
      </c>
      <c r="T174" s="1306">
        <v>113751</v>
      </c>
    </row>
    <row r="175" spans="1:20" x14ac:dyDescent="0.25">
      <c r="A175" s="1203">
        <v>91608</v>
      </c>
      <c r="B175" s="1204" t="s">
        <v>2812</v>
      </c>
      <c r="C175" s="1303">
        <v>1.7579999999999999E-4</v>
      </c>
      <c r="D175" s="1303">
        <v>1.5420000000000001E-4</v>
      </c>
      <c r="E175" s="1007">
        <v>628208</v>
      </c>
      <c r="F175" s="1270"/>
      <c r="G175" s="1200">
        <v>79332</v>
      </c>
      <c r="H175" s="1200">
        <v>88404</v>
      </c>
      <c r="I175" s="1200">
        <v>46751</v>
      </c>
      <c r="J175" s="1007">
        <v>3971</v>
      </c>
      <c r="K175" s="1007">
        <v>218458</v>
      </c>
      <c r="L175" s="1270"/>
      <c r="M175" s="1198">
        <v>0</v>
      </c>
      <c r="N175" s="1198">
        <v>0</v>
      </c>
      <c r="O175" s="1007">
        <v>25203</v>
      </c>
      <c r="P175" s="1007">
        <v>25203</v>
      </c>
      <c r="Q175" s="1270"/>
      <c r="R175" s="1200">
        <v>216036</v>
      </c>
      <c r="S175" s="1007">
        <v>-10660</v>
      </c>
      <c r="T175" s="1306">
        <v>205376</v>
      </c>
    </row>
    <row r="176" spans="1:20" x14ac:dyDescent="0.25">
      <c r="A176" s="1203">
        <v>91611</v>
      </c>
      <c r="B176" s="1204" t="s">
        <v>2813</v>
      </c>
      <c r="C176" s="1303">
        <v>1.4962E-3</v>
      </c>
      <c r="D176" s="1303">
        <v>1.4658E-3</v>
      </c>
      <c r="E176" s="1007">
        <v>5346560</v>
      </c>
      <c r="F176" s="1270"/>
      <c r="G176" s="1200">
        <v>675177</v>
      </c>
      <c r="H176" s="1200">
        <v>752385</v>
      </c>
      <c r="I176" s="1200">
        <v>397889</v>
      </c>
      <c r="J176" s="1007">
        <v>0</v>
      </c>
      <c r="K176" s="1007">
        <v>1825451</v>
      </c>
      <c r="L176" s="1270"/>
      <c r="M176" s="1198">
        <v>0</v>
      </c>
      <c r="N176" s="1198">
        <v>0</v>
      </c>
      <c r="O176" s="1007">
        <v>135172</v>
      </c>
      <c r="P176" s="1007">
        <v>135172</v>
      </c>
      <c r="Q176" s="1270"/>
      <c r="R176" s="1200">
        <v>1838643</v>
      </c>
      <c r="S176" s="1007">
        <v>-63036</v>
      </c>
      <c r="T176" s="1306">
        <v>1775607</v>
      </c>
    </row>
    <row r="177" spans="1:20" x14ac:dyDescent="0.25">
      <c r="A177" s="1203">
        <v>91621</v>
      </c>
      <c r="B177" s="1204" t="s">
        <v>2814</v>
      </c>
      <c r="C177" s="1303">
        <v>2.7169999999999999E-4</v>
      </c>
      <c r="D177" s="1303">
        <v>2.418E-4</v>
      </c>
      <c r="E177" s="1007">
        <v>970900</v>
      </c>
      <c r="F177" s="1270"/>
      <c r="G177" s="1200">
        <v>122608</v>
      </c>
      <c r="H177" s="1200">
        <v>136629</v>
      </c>
      <c r="I177" s="1200">
        <v>72254</v>
      </c>
      <c r="J177" s="1007">
        <v>35127</v>
      </c>
      <c r="K177" s="1007">
        <v>366618</v>
      </c>
      <c r="L177" s="1270"/>
      <c r="M177" s="1198">
        <v>0</v>
      </c>
      <c r="N177" s="1198">
        <v>0</v>
      </c>
      <c r="O177" s="1007">
        <v>16509</v>
      </c>
      <c r="P177" s="1007">
        <v>16509</v>
      </c>
      <c r="Q177" s="1270"/>
      <c r="R177" s="1200">
        <v>333885</v>
      </c>
      <c r="S177" s="1007">
        <v>4168</v>
      </c>
      <c r="T177" s="1306">
        <v>338053</v>
      </c>
    </row>
    <row r="178" spans="1:20" x14ac:dyDescent="0.25">
      <c r="A178" s="1203">
        <v>91631</v>
      </c>
      <c r="B178" s="1204" t="s">
        <v>2815</v>
      </c>
      <c r="C178" s="1303">
        <v>6.4579999999999998E-4</v>
      </c>
      <c r="D178" s="1303">
        <v>5.9349999999999995E-4</v>
      </c>
      <c r="E178" s="1007">
        <v>2307719</v>
      </c>
      <c r="F178" s="1270"/>
      <c r="G178" s="1200">
        <v>291424</v>
      </c>
      <c r="H178" s="1200">
        <v>324750</v>
      </c>
      <c r="I178" s="1200">
        <v>171740</v>
      </c>
      <c r="J178" s="1007">
        <v>61915</v>
      </c>
      <c r="K178" s="1007">
        <v>849829</v>
      </c>
      <c r="L178" s="1270"/>
      <c r="M178" s="1198">
        <v>0</v>
      </c>
      <c r="N178" s="1198">
        <v>0</v>
      </c>
      <c r="O178" s="1007">
        <v>8657</v>
      </c>
      <c r="P178" s="1007">
        <v>8657</v>
      </c>
      <c r="Q178" s="1270"/>
      <c r="R178" s="1200">
        <v>793607</v>
      </c>
      <c r="S178" s="1007">
        <v>6121</v>
      </c>
      <c r="T178" s="1306">
        <v>799728</v>
      </c>
    </row>
    <row r="179" spans="1:20" x14ac:dyDescent="0.25">
      <c r="A179" s="1203">
        <v>91633</v>
      </c>
      <c r="B179" s="1204" t="s">
        <v>2816</v>
      </c>
      <c r="C179" s="1303">
        <v>3.0499999999999999E-5</v>
      </c>
      <c r="D179" s="1303">
        <v>3.15E-5</v>
      </c>
      <c r="E179" s="1007">
        <v>108989</v>
      </c>
      <c r="F179" s="1270"/>
      <c r="G179" s="1200">
        <v>13763</v>
      </c>
      <c r="H179" s="1200">
        <v>15338</v>
      </c>
      <c r="I179" s="1200">
        <v>8111</v>
      </c>
      <c r="J179" s="1007">
        <v>6572</v>
      </c>
      <c r="K179" s="1007">
        <v>43784</v>
      </c>
      <c r="L179" s="1270"/>
      <c r="M179" s="1198">
        <v>0</v>
      </c>
      <c r="N179" s="1198">
        <v>0</v>
      </c>
      <c r="O179" s="1007">
        <v>4611</v>
      </c>
      <c r="P179" s="1007">
        <v>4611</v>
      </c>
      <c r="Q179" s="1270"/>
      <c r="R179" s="1200">
        <v>37481</v>
      </c>
      <c r="S179" s="1007">
        <v>732</v>
      </c>
      <c r="T179" s="1306">
        <v>38213</v>
      </c>
    </row>
    <row r="180" spans="1:20" x14ac:dyDescent="0.25">
      <c r="A180" s="1203">
        <v>91641</v>
      </c>
      <c r="B180" s="1204" t="s">
        <v>2817</v>
      </c>
      <c r="C180" s="1303">
        <v>3.0420000000000002E-4</v>
      </c>
      <c r="D180" s="1303">
        <v>2.8519999999999999E-4</v>
      </c>
      <c r="E180" s="1007">
        <v>1087036</v>
      </c>
      <c r="F180" s="1270"/>
      <c r="G180" s="1200">
        <v>137274</v>
      </c>
      <c r="H180" s="1200">
        <v>152971</v>
      </c>
      <c r="I180" s="1200">
        <v>80897</v>
      </c>
      <c r="J180" s="1007">
        <v>5474</v>
      </c>
      <c r="K180" s="1007">
        <v>376616</v>
      </c>
      <c r="L180" s="1270"/>
      <c r="M180" s="1198">
        <v>0</v>
      </c>
      <c r="N180" s="1198">
        <v>0</v>
      </c>
      <c r="O180" s="1007">
        <v>23886</v>
      </c>
      <c r="P180" s="1007">
        <v>23886</v>
      </c>
      <c r="Q180" s="1270"/>
      <c r="R180" s="1200">
        <v>373824</v>
      </c>
      <c r="S180" s="1007">
        <v>-19247</v>
      </c>
      <c r="T180" s="1306">
        <v>354577</v>
      </c>
    </row>
    <row r="181" spans="1:20" x14ac:dyDescent="0.25">
      <c r="A181" s="1203">
        <v>91651</v>
      </c>
      <c r="B181" s="1204" t="s">
        <v>2818</v>
      </c>
      <c r="C181" s="1303">
        <v>5.3629999999999997E-4</v>
      </c>
      <c r="D181" s="1303">
        <v>5.4049999999999996E-4</v>
      </c>
      <c r="E181" s="1007">
        <v>1916428</v>
      </c>
      <c r="F181" s="1270"/>
      <c r="G181" s="1200">
        <v>242011</v>
      </c>
      <c r="H181" s="1200">
        <v>269686</v>
      </c>
      <c r="I181" s="1200">
        <v>142620</v>
      </c>
      <c r="J181" s="1007">
        <v>52407</v>
      </c>
      <c r="K181" s="1007">
        <v>706724</v>
      </c>
      <c r="L181" s="1270"/>
      <c r="M181" s="1198">
        <v>0</v>
      </c>
      <c r="N181" s="1198">
        <v>0</v>
      </c>
      <c r="O181" s="1007">
        <v>9654</v>
      </c>
      <c r="P181" s="1007">
        <v>9654</v>
      </c>
      <c r="Q181" s="1270"/>
      <c r="R181" s="1200">
        <v>659046</v>
      </c>
      <c r="S181" s="1007">
        <v>11130</v>
      </c>
      <c r="T181" s="1306">
        <v>670176</v>
      </c>
    </row>
    <row r="182" spans="1:20" x14ac:dyDescent="0.25">
      <c r="A182" s="1203">
        <v>91661</v>
      </c>
      <c r="B182" s="1204" t="s">
        <v>2819</v>
      </c>
      <c r="C182" s="1303">
        <v>1.985E-4</v>
      </c>
      <c r="D182" s="1303">
        <v>1.8760000000000001E-4</v>
      </c>
      <c r="E182" s="1007">
        <v>709325</v>
      </c>
      <c r="F182" s="1270"/>
      <c r="G182" s="1200">
        <v>89575</v>
      </c>
      <c r="H182" s="1200">
        <v>99818</v>
      </c>
      <c r="I182" s="1200">
        <v>52788</v>
      </c>
      <c r="J182" s="1007">
        <v>0</v>
      </c>
      <c r="K182" s="1007">
        <v>242181</v>
      </c>
      <c r="L182" s="1270"/>
      <c r="M182" s="1198">
        <v>0</v>
      </c>
      <c r="N182" s="1198">
        <v>0</v>
      </c>
      <c r="O182" s="1007">
        <v>26417</v>
      </c>
      <c r="P182" s="1007">
        <v>26417</v>
      </c>
      <c r="Q182" s="1270"/>
      <c r="R182" s="1200">
        <v>243932</v>
      </c>
      <c r="S182" s="1007">
        <v>-18226</v>
      </c>
      <c r="T182" s="1306">
        <v>225706</v>
      </c>
    </row>
    <row r="183" spans="1:20" x14ac:dyDescent="0.25">
      <c r="A183" s="1203">
        <v>91671</v>
      </c>
      <c r="B183" s="1204" t="s">
        <v>2820</v>
      </c>
      <c r="C183" s="1303">
        <v>9.3700000000000001E-5</v>
      </c>
      <c r="D183" s="1303">
        <v>1.076E-4</v>
      </c>
      <c r="E183" s="1007">
        <v>334830</v>
      </c>
      <c r="F183" s="1270"/>
      <c r="G183" s="1200">
        <v>42283</v>
      </c>
      <c r="H183" s="1200">
        <v>47118</v>
      </c>
      <c r="I183" s="1200">
        <v>24918</v>
      </c>
      <c r="J183" s="1007">
        <v>2639</v>
      </c>
      <c r="K183" s="1007">
        <v>116958</v>
      </c>
      <c r="L183" s="1270"/>
      <c r="M183" s="1198">
        <v>0</v>
      </c>
      <c r="N183" s="1198">
        <v>0</v>
      </c>
      <c r="O183" s="1007">
        <v>32011</v>
      </c>
      <c r="P183" s="1007">
        <v>32011</v>
      </c>
      <c r="Q183" s="1270"/>
      <c r="R183" s="1200">
        <v>115146</v>
      </c>
      <c r="S183" s="1007">
        <v>-8552</v>
      </c>
      <c r="T183" s="1306">
        <v>106594</v>
      </c>
    </row>
    <row r="184" spans="1:20" x14ac:dyDescent="0.25">
      <c r="A184" s="1203">
        <v>91681</v>
      </c>
      <c r="B184" s="1204" t="s">
        <v>2821</v>
      </c>
      <c r="C184" s="1303">
        <v>4.6890000000000001E-4</v>
      </c>
      <c r="D184" s="1303">
        <v>4.5909999999999999E-4</v>
      </c>
      <c r="E184" s="1007">
        <v>1675579</v>
      </c>
      <c r="F184" s="1270"/>
      <c r="G184" s="1200">
        <v>211596</v>
      </c>
      <c r="H184" s="1200">
        <v>235793</v>
      </c>
      <c r="I184" s="1200">
        <v>124696</v>
      </c>
      <c r="J184" s="1007">
        <v>203898</v>
      </c>
      <c r="K184" s="1007">
        <v>775983</v>
      </c>
      <c r="L184" s="1270"/>
      <c r="M184" s="1198">
        <v>0</v>
      </c>
      <c r="N184" s="1198">
        <v>0</v>
      </c>
      <c r="O184" s="1007">
        <v>4157</v>
      </c>
      <c r="P184" s="1007">
        <v>4157</v>
      </c>
      <c r="Q184" s="1270"/>
      <c r="R184" s="1200">
        <v>576219</v>
      </c>
      <c r="S184" s="1007">
        <v>123553</v>
      </c>
      <c r="T184" s="1306">
        <v>699772</v>
      </c>
    </row>
    <row r="185" spans="1:20" x14ac:dyDescent="0.25">
      <c r="A185" s="1203">
        <v>91691</v>
      </c>
      <c r="B185" s="1204" t="s">
        <v>2822</v>
      </c>
      <c r="C185" s="1303">
        <v>1.42E-5</v>
      </c>
      <c r="D185" s="1303">
        <v>2.2900000000000001E-5</v>
      </c>
      <c r="E185" s="1007">
        <v>50743</v>
      </c>
      <c r="F185" s="1270"/>
      <c r="G185" s="1200">
        <v>6408</v>
      </c>
      <c r="H185" s="1200">
        <v>7140</v>
      </c>
      <c r="I185" s="1200">
        <v>3776</v>
      </c>
      <c r="J185" s="1007">
        <v>1532</v>
      </c>
      <c r="K185" s="1007">
        <v>18856</v>
      </c>
      <c r="L185" s="1270"/>
      <c r="M185" s="1198">
        <v>0</v>
      </c>
      <c r="N185" s="1198">
        <v>0</v>
      </c>
      <c r="O185" s="1007">
        <v>5065</v>
      </c>
      <c r="P185" s="1007">
        <v>5065</v>
      </c>
      <c r="Q185" s="1270"/>
      <c r="R185" s="1200">
        <v>17450</v>
      </c>
      <c r="S185" s="1007">
        <v>-865</v>
      </c>
      <c r="T185" s="1306">
        <v>16585</v>
      </c>
    </row>
    <row r="186" spans="1:20" x14ac:dyDescent="0.25">
      <c r="A186" s="1203">
        <v>91701</v>
      </c>
      <c r="B186" s="1204" t="s">
        <v>2823</v>
      </c>
      <c r="C186" s="1303">
        <v>1.1245999999999999E-3</v>
      </c>
      <c r="D186" s="1303">
        <v>1.1343E-3</v>
      </c>
      <c r="E186" s="1007">
        <v>4018675</v>
      </c>
      <c r="F186" s="1270"/>
      <c r="G186" s="1200">
        <v>507488</v>
      </c>
      <c r="H186" s="1200">
        <v>565521</v>
      </c>
      <c r="I186" s="1200">
        <v>299068</v>
      </c>
      <c r="J186" s="1007">
        <v>20317</v>
      </c>
      <c r="K186" s="1007">
        <v>1392394</v>
      </c>
      <c r="L186" s="1270"/>
      <c r="M186" s="1198">
        <v>0</v>
      </c>
      <c r="N186" s="1198">
        <v>0</v>
      </c>
      <c r="O186" s="1007">
        <v>98356</v>
      </c>
      <c r="P186" s="1007">
        <v>98356</v>
      </c>
      <c r="Q186" s="1270"/>
      <c r="R186" s="1200">
        <v>1381993</v>
      </c>
      <c r="S186" s="1007">
        <v>-11757</v>
      </c>
      <c r="T186" s="1306">
        <v>1370236</v>
      </c>
    </row>
    <row r="187" spans="1:20" x14ac:dyDescent="0.25">
      <c r="A187" s="1203">
        <v>91704</v>
      </c>
      <c r="B187" s="1204" t="s">
        <v>2824</v>
      </c>
      <c r="C187" s="1303">
        <v>1.66E-5</v>
      </c>
      <c r="D187" s="1303">
        <v>1.7600000000000001E-5</v>
      </c>
      <c r="E187" s="1007">
        <v>59319</v>
      </c>
      <c r="F187" s="1270"/>
      <c r="G187" s="1200">
        <v>7491</v>
      </c>
      <c r="H187" s="1200">
        <v>8348</v>
      </c>
      <c r="I187" s="1200">
        <v>4414</v>
      </c>
      <c r="J187" s="1007">
        <v>506</v>
      </c>
      <c r="K187" s="1007">
        <v>20759</v>
      </c>
      <c r="L187" s="1270"/>
      <c r="M187" s="1198">
        <v>0</v>
      </c>
      <c r="N187" s="1198">
        <v>0</v>
      </c>
      <c r="O187" s="1007">
        <v>22</v>
      </c>
      <c r="P187" s="1007">
        <v>22</v>
      </c>
      <c r="Q187" s="1270"/>
      <c r="R187" s="1200">
        <v>20399</v>
      </c>
      <c r="S187" s="1007">
        <v>201</v>
      </c>
      <c r="T187" s="1306">
        <v>20600</v>
      </c>
    </row>
    <row r="188" spans="1:20" x14ac:dyDescent="0.25">
      <c r="A188" s="1203">
        <v>91706</v>
      </c>
      <c r="B188" s="1204" t="s">
        <v>2825</v>
      </c>
      <c r="C188" s="1303">
        <v>2.231E-4</v>
      </c>
      <c r="D188" s="1303">
        <v>2.543E-4</v>
      </c>
      <c r="E188" s="1007">
        <v>797231</v>
      </c>
      <c r="F188" s="1270"/>
      <c r="G188" s="1200">
        <v>100676</v>
      </c>
      <c r="H188" s="1200">
        <v>112189</v>
      </c>
      <c r="I188" s="1200">
        <v>59330</v>
      </c>
      <c r="J188" s="1007">
        <v>40310</v>
      </c>
      <c r="K188" s="1007">
        <v>312505</v>
      </c>
      <c r="L188" s="1270"/>
      <c r="M188" s="1198">
        <v>0</v>
      </c>
      <c r="N188" s="1198">
        <v>0</v>
      </c>
      <c r="O188" s="1007">
        <v>25754</v>
      </c>
      <c r="P188" s="1007">
        <v>25754</v>
      </c>
      <c r="Q188" s="1270"/>
      <c r="R188" s="1200">
        <v>274162</v>
      </c>
      <c r="S188" s="1007">
        <v>7994</v>
      </c>
      <c r="T188" s="1306">
        <v>282156</v>
      </c>
    </row>
    <row r="189" spans="1:20" x14ac:dyDescent="0.25">
      <c r="A189" s="1203">
        <v>91719</v>
      </c>
      <c r="B189" s="1204" t="s">
        <v>2826</v>
      </c>
      <c r="C189" s="1303">
        <v>5.5999999999999999E-5</v>
      </c>
      <c r="D189" s="1303">
        <v>5.6700000000000003E-5</v>
      </c>
      <c r="E189" s="1007">
        <v>200112</v>
      </c>
      <c r="F189" s="1270"/>
      <c r="G189" s="1200">
        <v>25271</v>
      </c>
      <c r="H189" s="1200">
        <v>28160</v>
      </c>
      <c r="I189" s="1200">
        <v>14892</v>
      </c>
      <c r="J189" s="1007">
        <v>267</v>
      </c>
      <c r="K189" s="1007">
        <v>68590</v>
      </c>
      <c r="L189" s="1270"/>
      <c r="M189" s="1198">
        <v>0</v>
      </c>
      <c r="N189" s="1198">
        <v>0</v>
      </c>
      <c r="O189" s="1007">
        <v>10068</v>
      </c>
      <c r="P189" s="1007">
        <v>10068</v>
      </c>
      <c r="Q189" s="1270"/>
      <c r="R189" s="1200">
        <v>68817</v>
      </c>
      <c r="S189" s="1007">
        <v>-3768</v>
      </c>
      <c r="T189" s="1306">
        <v>65049</v>
      </c>
    </row>
    <row r="190" spans="1:20" x14ac:dyDescent="0.25">
      <c r="A190" s="1203">
        <v>91801</v>
      </c>
      <c r="B190" s="1204" t="s">
        <v>2827</v>
      </c>
      <c r="C190" s="1303">
        <v>7.6594000000000002E-3</v>
      </c>
      <c r="D190" s="1303">
        <v>7.5972000000000001E-3</v>
      </c>
      <c r="E190" s="1007">
        <v>27370299</v>
      </c>
      <c r="F190" s="1270"/>
      <c r="G190" s="1200">
        <v>3456389</v>
      </c>
      <c r="H190" s="1200">
        <v>3851636</v>
      </c>
      <c r="I190" s="1200">
        <v>2036887</v>
      </c>
      <c r="J190" s="1007">
        <v>127625</v>
      </c>
      <c r="K190" s="1007">
        <v>9472537</v>
      </c>
      <c r="L190" s="1270"/>
      <c r="M190" s="1198">
        <v>0</v>
      </c>
      <c r="N190" s="1198">
        <v>0</v>
      </c>
      <c r="O190" s="1007">
        <v>311886</v>
      </c>
      <c r="P190" s="1007">
        <v>311886</v>
      </c>
      <c r="Q190" s="1270"/>
      <c r="R190" s="1200">
        <v>9412445</v>
      </c>
      <c r="S190" s="1007">
        <v>-114152</v>
      </c>
      <c r="T190" s="1306">
        <v>9298293</v>
      </c>
    </row>
    <row r="191" spans="1:20" x14ac:dyDescent="0.25">
      <c r="A191" s="1203">
        <v>91804</v>
      </c>
      <c r="B191" s="1204" t="s">
        <v>2828</v>
      </c>
      <c r="C191" s="1303">
        <v>1.382E-4</v>
      </c>
      <c r="D191" s="1303">
        <v>1.2459999999999999E-4</v>
      </c>
      <c r="E191" s="1007">
        <v>493847</v>
      </c>
      <c r="F191" s="1270"/>
      <c r="G191" s="1200">
        <v>62364</v>
      </c>
      <c r="H191" s="1200">
        <v>69496</v>
      </c>
      <c r="I191" s="1200">
        <v>36752</v>
      </c>
      <c r="J191" s="1007">
        <v>87131</v>
      </c>
      <c r="K191" s="1007">
        <v>255743</v>
      </c>
      <c r="L191" s="1270"/>
      <c r="M191" s="1198">
        <v>0</v>
      </c>
      <c r="N191" s="1198">
        <v>0</v>
      </c>
      <c r="O191" s="1007">
        <v>0</v>
      </c>
      <c r="P191" s="1007">
        <v>0</v>
      </c>
      <c r="Q191" s="1270"/>
      <c r="R191" s="1200">
        <v>169831</v>
      </c>
      <c r="S191" s="1007">
        <v>40975</v>
      </c>
      <c r="T191" s="1306">
        <v>210806</v>
      </c>
    </row>
    <row r="192" spans="1:20" x14ac:dyDescent="0.25">
      <c r="A192" s="1203">
        <v>91811</v>
      </c>
      <c r="B192" s="1204" t="s">
        <v>2829</v>
      </c>
      <c r="C192" s="1303">
        <v>4.3679000000000001E-3</v>
      </c>
      <c r="D192" s="1303">
        <v>4.2429E-3</v>
      </c>
      <c r="E192" s="1007">
        <v>15608367</v>
      </c>
      <c r="F192" s="1270"/>
      <c r="G192" s="1200">
        <v>1971063</v>
      </c>
      <c r="H192" s="1200">
        <v>2196459</v>
      </c>
      <c r="I192" s="1200">
        <v>1161569</v>
      </c>
      <c r="J192" s="1007">
        <v>112065</v>
      </c>
      <c r="K192" s="1007">
        <v>5441156</v>
      </c>
      <c r="L192" s="1270"/>
      <c r="M192" s="1198">
        <v>0</v>
      </c>
      <c r="N192" s="1198">
        <v>0</v>
      </c>
      <c r="O192" s="1007">
        <v>272288</v>
      </c>
      <c r="P192" s="1007">
        <v>272288</v>
      </c>
      <c r="Q192" s="1270"/>
      <c r="R192" s="1200">
        <v>5367603</v>
      </c>
      <c r="S192" s="1007">
        <v>-167068</v>
      </c>
      <c r="T192" s="1306">
        <v>5200535</v>
      </c>
    </row>
    <row r="193" spans="1:20" x14ac:dyDescent="0.25">
      <c r="A193" s="1203">
        <v>91812</v>
      </c>
      <c r="B193" s="1204" t="s">
        <v>2830</v>
      </c>
      <c r="C193" s="1303">
        <v>5.7299999999999997E-5</v>
      </c>
      <c r="D193" s="1303">
        <v>4.5599999999999997E-5</v>
      </c>
      <c r="E193" s="1007">
        <v>204757</v>
      </c>
      <c r="F193" s="1270"/>
      <c r="G193" s="1200">
        <v>25857</v>
      </c>
      <c r="H193" s="1200">
        <v>28814</v>
      </c>
      <c r="I193" s="1200">
        <v>15238</v>
      </c>
      <c r="J193" s="1007">
        <v>21600</v>
      </c>
      <c r="K193" s="1007">
        <v>91509</v>
      </c>
      <c r="L193" s="1270"/>
      <c r="M193" s="1198">
        <v>0</v>
      </c>
      <c r="N193" s="1198">
        <v>0</v>
      </c>
      <c r="O193" s="1007">
        <v>2547</v>
      </c>
      <c r="P193" s="1007">
        <v>2547</v>
      </c>
      <c r="Q193" s="1270"/>
      <c r="R193" s="1200">
        <v>70415</v>
      </c>
      <c r="S193" s="1007">
        <v>8363</v>
      </c>
      <c r="T193" s="1306">
        <v>78778</v>
      </c>
    </row>
    <row r="194" spans="1:20" x14ac:dyDescent="0.25">
      <c r="A194" s="1203">
        <v>91813</v>
      </c>
      <c r="B194" s="1204" t="s">
        <v>2831</v>
      </c>
      <c r="C194" s="1303">
        <v>7.7299999999999995E-5</v>
      </c>
      <c r="D194" s="1303">
        <v>7.1500000000000003E-5</v>
      </c>
      <c r="E194" s="1007">
        <v>276226</v>
      </c>
      <c r="F194" s="1270"/>
      <c r="G194" s="1200">
        <v>34882</v>
      </c>
      <c r="H194" s="1200">
        <v>38872</v>
      </c>
      <c r="I194" s="1200">
        <v>20557</v>
      </c>
      <c r="J194" s="1007">
        <v>12814</v>
      </c>
      <c r="K194" s="1007">
        <v>107125</v>
      </c>
      <c r="L194" s="1270"/>
      <c r="M194" s="1198">
        <v>0</v>
      </c>
      <c r="N194" s="1198">
        <v>0</v>
      </c>
      <c r="O194" s="1007">
        <v>8483</v>
      </c>
      <c r="P194" s="1007">
        <v>8483</v>
      </c>
      <c r="Q194" s="1270"/>
      <c r="R194" s="1200">
        <v>94992</v>
      </c>
      <c r="S194" s="1007">
        <v>676</v>
      </c>
      <c r="T194" s="1306">
        <v>95668</v>
      </c>
    </row>
    <row r="195" spans="1:20" x14ac:dyDescent="0.25">
      <c r="A195" s="1203">
        <v>91818</v>
      </c>
      <c r="B195" s="1204" t="s">
        <v>2832</v>
      </c>
      <c r="C195" s="1303">
        <v>4.2240000000000002E-4</v>
      </c>
      <c r="D195" s="1303">
        <v>4.0620000000000001E-4</v>
      </c>
      <c r="E195" s="1007">
        <v>1509415</v>
      </c>
      <c r="F195" s="1270"/>
      <c r="G195" s="1200">
        <v>190613</v>
      </c>
      <c r="H195" s="1200">
        <v>212410</v>
      </c>
      <c r="I195" s="1200">
        <v>112330</v>
      </c>
      <c r="J195" s="1007">
        <v>215812</v>
      </c>
      <c r="K195" s="1007">
        <v>731165</v>
      </c>
      <c r="L195" s="1270"/>
      <c r="M195" s="1198">
        <v>0</v>
      </c>
      <c r="N195" s="1198">
        <v>0</v>
      </c>
      <c r="O195" s="1007">
        <v>0</v>
      </c>
      <c r="P195" s="1007">
        <v>0</v>
      </c>
      <c r="Q195" s="1270"/>
      <c r="R195" s="1200">
        <v>519077</v>
      </c>
      <c r="S195" s="1007">
        <v>172749</v>
      </c>
      <c r="T195" s="1306">
        <v>691826</v>
      </c>
    </row>
    <row r="196" spans="1:20" x14ac:dyDescent="0.25">
      <c r="A196" s="1203">
        <v>91819</v>
      </c>
      <c r="B196" s="1204" t="s">
        <v>2833</v>
      </c>
      <c r="C196" s="1303">
        <v>2.8850000000000002E-4</v>
      </c>
      <c r="D196" s="1303">
        <v>3.1260000000000001E-4</v>
      </c>
      <c r="E196" s="1007">
        <v>1030933</v>
      </c>
      <c r="F196" s="1270"/>
      <c r="G196" s="1200">
        <v>130189</v>
      </c>
      <c r="H196" s="1200">
        <v>145076</v>
      </c>
      <c r="I196" s="1200">
        <v>76722</v>
      </c>
      <c r="J196" s="1007">
        <v>26998</v>
      </c>
      <c r="K196" s="1007">
        <v>378985</v>
      </c>
      <c r="L196" s="1270"/>
      <c r="M196" s="1198">
        <v>0</v>
      </c>
      <c r="N196" s="1198">
        <v>0</v>
      </c>
      <c r="O196" s="1007">
        <v>25921</v>
      </c>
      <c r="P196" s="1007">
        <v>25921</v>
      </c>
      <c r="Q196" s="1270"/>
      <c r="R196" s="1200">
        <v>354530</v>
      </c>
      <c r="S196" s="1007">
        <v>2141</v>
      </c>
      <c r="T196" s="1306">
        <v>356671</v>
      </c>
    </row>
    <row r="197" spans="1:20" x14ac:dyDescent="0.25">
      <c r="A197" s="1203">
        <v>91821</v>
      </c>
      <c r="B197" s="1204" t="s">
        <v>2834</v>
      </c>
      <c r="C197" s="1303">
        <v>1.4750000000000001E-4</v>
      </c>
      <c r="D197" s="1303">
        <v>1.6750000000000001E-4</v>
      </c>
      <c r="E197" s="1007">
        <v>527080</v>
      </c>
      <c r="F197" s="1270"/>
      <c r="G197" s="1200">
        <v>66561</v>
      </c>
      <c r="H197" s="1200">
        <v>74173</v>
      </c>
      <c r="I197" s="1200">
        <v>39225</v>
      </c>
      <c r="J197" s="1007">
        <v>39</v>
      </c>
      <c r="K197" s="1007">
        <v>179998</v>
      </c>
      <c r="L197" s="1270"/>
      <c r="M197" s="1198">
        <v>0</v>
      </c>
      <c r="N197" s="1198">
        <v>0</v>
      </c>
      <c r="O197" s="1007">
        <v>29573</v>
      </c>
      <c r="P197" s="1007">
        <v>29573</v>
      </c>
      <c r="Q197" s="1270"/>
      <c r="R197" s="1200">
        <v>181259</v>
      </c>
      <c r="S197" s="1007">
        <v>-10919</v>
      </c>
      <c r="T197" s="1306">
        <v>170340</v>
      </c>
    </row>
    <row r="198" spans="1:20" x14ac:dyDescent="0.25">
      <c r="A198" s="1203">
        <v>91831</v>
      </c>
      <c r="B198" s="1204" t="s">
        <v>2835</v>
      </c>
      <c r="C198" s="1303">
        <v>4.3399999999999998E-4</v>
      </c>
      <c r="D198" s="1303">
        <v>3.7990000000000002E-4</v>
      </c>
      <c r="E198" s="1007">
        <v>1550867</v>
      </c>
      <c r="F198" s="1270"/>
      <c r="G198" s="1200">
        <v>195847</v>
      </c>
      <c r="H198" s="1200">
        <v>218243</v>
      </c>
      <c r="I198" s="1200">
        <v>115415</v>
      </c>
      <c r="J198" s="1007">
        <v>63630</v>
      </c>
      <c r="K198" s="1007">
        <v>593135</v>
      </c>
      <c r="L198" s="1270"/>
      <c r="M198" s="1198">
        <v>0</v>
      </c>
      <c r="N198" s="1198">
        <v>0</v>
      </c>
      <c r="O198" s="1007">
        <v>3162</v>
      </c>
      <c r="P198" s="1007">
        <v>3162</v>
      </c>
      <c r="Q198" s="1270"/>
      <c r="R198" s="1200">
        <v>533332</v>
      </c>
      <c r="S198" s="1007">
        <v>18152</v>
      </c>
      <c r="T198" s="1306">
        <v>551484</v>
      </c>
    </row>
    <row r="199" spans="1:20" x14ac:dyDescent="0.25">
      <c r="A199" s="1203">
        <v>91841</v>
      </c>
      <c r="B199" s="1204" t="s">
        <v>2836</v>
      </c>
      <c r="C199" s="1303">
        <v>2.7809999999999998E-4</v>
      </c>
      <c r="D199" s="1303">
        <v>2.5090000000000003E-4</v>
      </c>
      <c r="E199" s="1007">
        <v>993770</v>
      </c>
      <c r="F199" s="1270"/>
      <c r="G199" s="1200">
        <v>125496</v>
      </c>
      <c r="H199" s="1200">
        <v>139846</v>
      </c>
      <c r="I199" s="1200">
        <v>73956</v>
      </c>
      <c r="J199" s="1007">
        <v>35331</v>
      </c>
      <c r="K199" s="1007">
        <v>374629</v>
      </c>
      <c r="L199" s="1270"/>
      <c r="M199" s="1198">
        <v>0</v>
      </c>
      <c r="N199" s="1198">
        <v>0</v>
      </c>
      <c r="O199" s="1007">
        <v>5578</v>
      </c>
      <c r="P199" s="1007">
        <v>5578</v>
      </c>
      <c r="Q199" s="1270"/>
      <c r="R199" s="1200">
        <v>341750</v>
      </c>
      <c r="S199" s="1007">
        <v>10109</v>
      </c>
      <c r="T199" s="1306">
        <v>351859</v>
      </c>
    </row>
    <row r="200" spans="1:20" x14ac:dyDescent="0.25">
      <c r="A200" s="1203">
        <v>91851</v>
      </c>
      <c r="B200" s="1204" t="s">
        <v>2837</v>
      </c>
      <c r="C200" s="1303">
        <v>6.7429999999999996E-4</v>
      </c>
      <c r="D200" s="1303">
        <v>7.004E-4</v>
      </c>
      <c r="E200" s="1007">
        <v>2409561</v>
      </c>
      <c r="F200" s="1270"/>
      <c r="G200" s="1200">
        <v>304285</v>
      </c>
      <c r="H200" s="1200">
        <v>339081</v>
      </c>
      <c r="I200" s="1200">
        <v>179319</v>
      </c>
      <c r="J200" s="1007">
        <v>1365</v>
      </c>
      <c r="K200" s="1007">
        <v>824050</v>
      </c>
      <c r="L200" s="1270"/>
      <c r="M200" s="1198">
        <v>0</v>
      </c>
      <c r="N200" s="1198">
        <v>0</v>
      </c>
      <c r="O200" s="1007">
        <v>25878</v>
      </c>
      <c r="P200" s="1007">
        <v>25878</v>
      </c>
      <c r="Q200" s="1270"/>
      <c r="R200" s="1200">
        <v>828630</v>
      </c>
      <c r="S200" s="1007">
        <v>-16992</v>
      </c>
      <c r="T200" s="1306">
        <v>811638</v>
      </c>
    </row>
    <row r="201" spans="1:20" x14ac:dyDescent="0.25">
      <c r="A201" s="1203">
        <v>91861</v>
      </c>
      <c r="B201" s="1204" t="s">
        <v>2838</v>
      </c>
      <c r="C201" s="1303">
        <v>6.9999999999999999E-6</v>
      </c>
      <c r="D201" s="1303">
        <v>7.7000000000000008E-6</v>
      </c>
      <c r="E201" s="1007">
        <v>25014</v>
      </c>
      <c r="F201" s="1270"/>
      <c r="G201" s="1200">
        <v>3159</v>
      </c>
      <c r="H201" s="1200">
        <v>3520</v>
      </c>
      <c r="I201" s="1200">
        <v>1862</v>
      </c>
      <c r="J201" s="1007">
        <v>0</v>
      </c>
      <c r="K201" s="1007">
        <v>8541</v>
      </c>
      <c r="L201" s="1270"/>
      <c r="M201" s="1198">
        <v>0</v>
      </c>
      <c r="N201" s="1198">
        <v>0</v>
      </c>
      <c r="O201" s="1007">
        <v>6191</v>
      </c>
      <c r="P201" s="1007">
        <v>6191</v>
      </c>
      <c r="Q201" s="1270"/>
      <c r="R201" s="1200">
        <v>8602</v>
      </c>
      <c r="S201" s="1007">
        <v>-2462</v>
      </c>
      <c r="T201" s="1306">
        <v>6140</v>
      </c>
    </row>
    <row r="202" spans="1:20" x14ac:dyDescent="0.25">
      <c r="A202" s="1203">
        <v>91871</v>
      </c>
      <c r="B202" s="1204" t="s">
        <v>2839</v>
      </c>
      <c r="C202" s="1303">
        <v>1.3648E-3</v>
      </c>
      <c r="D202" s="1303">
        <v>1.3121000000000001E-3</v>
      </c>
      <c r="E202" s="1007">
        <v>4877012</v>
      </c>
      <c r="F202" s="1270"/>
      <c r="G202" s="1200">
        <v>615881</v>
      </c>
      <c r="H202" s="1200">
        <v>686309</v>
      </c>
      <c r="I202" s="1200">
        <v>362945</v>
      </c>
      <c r="J202" s="1007">
        <v>51048</v>
      </c>
      <c r="K202" s="1007">
        <v>1716183</v>
      </c>
      <c r="L202" s="1270"/>
      <c r="M202" s="1198">
        <v>0</v>
      </c>
      <c r="N202" s="1198">
        <v>0</v>
      </c>
      <c r="O202" s="1007">
        <v>28530</v>
      </c>
      <c r="P202" s="1007">
        <v>28530</v>
      </c>
      <c r="Q202" s="1270"/>
      <c r="R202" s="1200">
        <v>1677169</v>
      </c>
      <c r="S202" s="1007">
        <v>-3719</v>
      </c>
      <c r="T202" s="1306">
        <v>1673450</v>
      </c>
    </row>
    <row r="203" spans="1:20" x14ac:dyDescent="0.25">
      <c r="A203" s="1203">
        <v>91881</v>
      </c>
      <c r="B203" s="1204" t="s">
        <v>2840</v>
      </c>
      <c r="C203" s="1303">
        <v>1.5E-5</v>
      </c>
      <c r="D203" s="1303">
        <v>2.1399999999999998E-5</v>
      </c>
      <c r="E203" s="1007">
        <v>53601</v>
      </c>
      <c r="F203" s="1270"/>
      <c r="G203" s="1200">
        <v>6769</v>
      </c>
      <c r="H203" s="1200">
        <v>7543</v>
      </c>
      <c r="I203" s="1200">
        <v>3989</v>
      </c>
      <c r="J203" s="1007">
        <v>7148</v>
      </c>
      <c r="K203" s="1007">
        <v>25449</v>
      </c>
      <c r="L203" s="1270"/>
      <c r="M203" s="1198">
        <v>0</v>
      </c>
      <c r="N203" s="1198">
        <v>0</v>
      </c>
      <c r="O203" s="1007">
        <v>7117</v>
      </c>
      <c r="P203" s="1007">
        <v>7117</v>
      </c>
      <c r="Q203" s="1270"/>
      <c r="R203" s="1200">
        <v>18433</v>
      </c>
      <c r="S203" s="1007">
        <v>-854</v>
      </c>
      <c r="T203" s="1306">
        <v>17579</v>
      </c>
    </row>
    <row r="204" spans="1:20" x14ac:dyDescent="0.25">
      <c r="A204" s="1203">
        <v>91901</v>
      </c>
      <c r="B204" s="1204" t="s">
        <v>2841</v>
      </c>
      <c r="C204" s="1303">
        <v>3.7631000000000001E-3</v>
      </c>
      <c r="D204" s="1303">
        <v>3.6947999999999998E-3</v>
      </c>
      <c r="E204" s="1007">
        <v>13447159</v>
      </c>
      <c r="F204" s="1270"/>
      <c r="G204" s="1200">
        <v>1698140</v>
      </c>
      <c r="H204" s="1200">
        <v>1892328</v>
      </c>
      <c r="I204" s="1200">
        <v>1000732</v>
      </c>
      <c r="J204" s="1007">
        <v>27921</v>
      </c>
      <c r="K204" s="1007">
        <v>4619121</v>
      </c>
      <c r="L204" s="1270"/>
      <c r="M204" s="1198">
        <v>0</v>
      </c>
      <c r="N204" s="1198">
        <v>0</v>
      </c>
      <c r="O204" s="1007">
        <v>55790</v>
      </c>
      <c r="P204" s="1007">
        <v>55790</v>
      </c>
      <c r="Q204" s="1270"/>
      <c r="R204" s="1200">
        <v>4624380</v>
      </c>
      <c r="S204" s="1007">
        <v>-6807</v>
      </c>
      <c r="T204" s="1306">
        <v>4617573</v>
      </c>
    </row>
    <row r="205" spans="1:20" x14ac:dyDescent="0.25">
      <c r="A205" s="1203">
        <v>91903</v>
      </c>
      <c r="B205" s="1204" t="s">
        <v>2842</v>
      </c>
      <c r="C205" s="1303">
        <v>6.1999999999999999E-6</v>
      </c>
      <c r="D205" s="1303">
        <v>7.1999999999999997E-6</v>
      </c>
      <c r="E205" s="1007">
        <v>22155</v>
      </c>
      <c r="F205" s="1270"/>
      <c r="G205" s="1200">
        <v>2798</v>
      </c>
      <c r="H205" s="1200">
        <v>3118</v>
      </c>
      <c r="I205" s="1200">
        <v>1649</v>
      </c>
      <c r="J205" s="1007">
        <v>3699</v>
      </c>
      <c r="K205" s="1007">
        <v>11264</v>
      </c>
      <c r="L205" s="1270"/>
      <c r="M205" s="1198">
        <v>0</v>
      </c>
      <c r="N205" s="1198">
        <v>0</v>
      </c>
      <c r="O205" s="1007">
        <v>0</v>
      </c>
      <c r="P205" s="1007">
        <v>0</v>
      </c>
      <c r="Q205" s="1270"/>
      <c r="R205" s="1200">
        <v>7619</v>
      </c>
      <c r="S205" s="1007">
        <v>1692</v>
      </c>
      <c r="T205" s="1306">
        <v>9311</v>
      </c>
    </row>
    <row r="206" spans="1:20" x14ac:dyDescent="0.25">
      <c r="A206" s="1203">
        <v>91904</v>
      </c>
      <c r="B206" s="1204" t="s">
        <v>2843</v>
      </c>
      <c r="C206" s="1303">
        <v>4.1699999999999997E-5</v>
      </c>
      <c r="D206" s="1303">
        <v>3.26E-5</v>
      </c>
      <c r="E206" s="1007">
        <v>149012</v>
      </c>
      <c r="F206" s="1270"/>
      <c r="G206" s="1200">
        <v>18818</v>
      </c>
      <c r="H206" s="1200">
        <v>20969</v>
      </c>
      <c r="I206" s="1200">
        <v>11089</v>
      </c>
      <c r="J206" s="1007">
        <v>16489</v>
      </c>
      <c r="K206" s="1007">
        <v>67365</v>
      </c>
      <c r="L206" s="1270"/>
      <c r="M206" s="1198">
        <v>0</v>
      </c>
      <c r="N206" s="1198">
        <v>0</v>
      </c>
      <c r="O206" s="1007">
        <v>218</v>
      </c>
      <c r="P206" s="1007">
        <v>218</v>
      </c>
      <c r="Q206" s="1270"/>
      <c r="R206" s="1200">
        <v>51244</v>
      </c>
      <c r="S206" s="1007">
        <v>7584</v>
      </c>
      <c r="T206" s="1306">
        <v>58828</v>
      </c>
    </row>
    <row r="207" spans="1:20" x14ac:dyDescent="0.25">
      <c r="A207" s="1203">
        <v>91908</v>
      </c>
      <c r="B207" s="1204" t="s">
        <v>2844</v>
      </c>
      <c r="C207" s="1303">
        <v>1.56E-5</v>
      </c>
      <c r="D207" s="1303">
        <v>1.59E-5</v>
      </c>
      <c r="E207" s="1007">
        <v>55745</v>
      </c>
      <c r="F207" s="1270"/>
      <c r="G207" s="1200">
        <v>7040</v>
      </c>
      <c r="H207" s="1200">
        <v>7845</v>
      </c>
      <c r="I207" s="1200">
        <v>4149</v>
      </c>
      <c r="J207" s="1007">
        <v>26</v>
      </c>
      <c r="K207" s="1007">
        <v>19060</v>
      </c>
      <c r="L207" s="1270"/>
      <c r="M207" s="1198">
        <v>0</v>
      </c>
      <c r="N207" s="1198">
        <v>0</v>
      </c>
      <c r="O207" s="1007">
        <v>5853</v>
      </c>
      <c r="P207" s="1007">
        <v>5853</v>
      </c>
      <c r="Q207" s="1270"/>
      <c r="R207" s="1200">
        <v>19170</v>
      </c>
      <c r="S207" s="1007">
        <v>-2941</v>
      </c>
      <c r="T207" s="1306">
        <v>16229</v>
      </c>
    </row>
    <row r="208" spans="1:20" x14ac:dyDescent="0.25">
      <c r="A208" s="1203">
        <v>91911</v>
      </c>
      <c r="B208" s="1204" t="s">
        <v>2845</v>
      </c>
      <c r="C208" s="1303">
        <v>5.4620000000000005E-4</v>
      </c>
      <c r="D208" s="1303">
        <v>4.46E-4</v>
      </c>
      <c r="E208" s="1007">
        <v>1951805</v>
      </c>
      <c r="F208" s="1270"/>
      <c r="G208" s="1200">
        <v>246479</v>
      </c>
      <c r="H208" s="1200">
        <v>274665</v>
      </c>
      <c r="I208" s="1200">
        <v>145253</v>
      </c>
      <c r="J208" s="1007">
        <v>132877</v>
      </c>
      <c r="K208" s="1007">
        <v>799274</v>
      </c>
      <c r="L208" s="1270"/>
      <c r="M208" s="1198">
        <v>0</v>
      </c>
      <c r="N208" s="1198">
        <v>0</v>
      </c>
      <c r="O208" s="1007">
        <v>23228</v>
      </c>
      <c r="P208" s="1007">
        <v>23228</v>
      </c>
      <c r="Q208" s="1270"/>
      <c r="R208" s="1200">
        <v>671212</v>
      </c>
      <c r="S208" s="1007">
        <v>41097</v>
      </c>
      <c r="T208" s="1306">
        <v>712309</v>
      </c>
    </row>
    <row r="209" spans="1:20" x14ac:dyDescent="0.25">
      <c r="A209" s="1203">
        <v>91917</v>
      </c>
      <c r="B209" s="1204" t="s">
        <v>2846</v>
      </c>
      <c r="C209" s="1303">
        <v>1.22E-5</v>
      </c>
      <c r="D209" s="1303">
        <v>1.31E-5</v>
      </c>
      <c r="E209" s="1007">
        <v>43596</v>
      </c>
      <c r="F209" s="1270"/>
      <c r="G209" s="1200">
        <v>5505</v>
      </c>
      <c r="H209" s="1200">
        <v>6135</v>
      </c>
      <c r="I209" s="1200">
        <v>3244</v>
      </c>
      <c r="J209" s="1007">
        <v>3052</v>
      </c>
      <c r="K209" s="1007">
        <v>17936</v>
      </c>
      <c r="L209" s="1270"/>
      <c r="M209" s="1198">
        <v>0</v>
      </c>
      <c r="N209" s="1198">
        <v>0</v>
      </c>
      <c r="O209" s="1007">
        <v>79</v>
      </c>
      <c r="P209" s="1007">
        <v>79</v>
      </c>
      <c r="Q209" s="1270"/>
      <c r="R209" s="1200">
        <v>14992</v>
      </c>
      <c r="S209" s="1007">
        <v>1089</v>
      </c>
      <c r="T209" s="1306">
        <v>16081</v>
      </c>
    </row>
    <row r="210" spans="1:20" x14ac:dyDescent="0.25">
      <c r="A210" s="1203">
        <v>91921</v>
      </c>
      <c r="B210" s="1204" t="s">
        <v>2847</v>
      </c>
      <c r="C210" s="1303">
        <v>3.9310000000000001E-4</v>
      </c>
      <c r="D210" s="1303">
        <v>3.8479999999999997E-4</v>
      </c>
      <c r="E210" s="1007">
        <v>1404714</v>
      </c>
      <c r="F210" s="1270"/>
      <c r="G210" s="1200">
        <v>177391</v>
      </c>
      <c r="H210" s="1200">
        <v>197676</v>
      </c>
      <c r="I210" s="1200">
        <v>104538</v>
      </c>
      <c r="J210" s="1007">
        <v>11406</v>
      </c>
      <c r="K210" s="1007">
        <v>491011</v>
      </c>
      <c r="L210" s="1270"/>
      <c r="M210" s="1198">
        <v>0</v>
      </c>
      <c r="N210" s="1198">
        <v>0</v>
      </c>
      <c r="O210" s="1007">
        <v>11391</v>
      </c>
      <c r="P210" s="1007">
        <v>11391</v>
      </c>
      <c r="Q210" s="1270"/>
      <c r="R210" s="1200">
        <v>483071</v>
      </c>
      <c r="S210" s="1007">
        <v>-2503</v>
      </c>
      <c r="T210" s="1306">
        <v>480568</v>
      </c>
    </row>
    <row r="211" spans="1:20" ht="14.25" customHeight="1" x14ac:dyDescent="0.25">
      <c r="A211" s="1203">
        <v>92001</v>
      </c>
      <c r="B211" s="1204" t="s">
        <v>2848</v>
      </c>
      <c r="C211" s="1303">
        <v>1.8089E-3</v>
      </c>
      <c r="D211" s="1303">
        <v>1.7757000000000001E-3</v>
      </c>
      <c r="E211" s="1007">
        <v>6463970</v>
      </c>
      <c r="F211" s="1270"/>
      <c r="G211" s="1200">
        <v>816286</v>
      </c>
      <c r="H211" s="1200">
        <v>909631</v>
      </c>
      <c r="I211" s="1200">
        <v>481046</v>
      </c>
      <c r="J211" s="1007">
        <v>24368</v>
      </c>
      <c r="K211" s="1007">
        <v>2231331</v>
      </c>
      <c r="L211" s="1270"/>
      <c r="M211" s="1198">
        <v>0</v>
      </c>
      <c r="N211" s="1198">
        <v>0</v>
      </c>
      <c r="O211" s="1007">
        <v>80784</v>
      </c>
      <c r="P211" s="1007">
        <v>80784</v>
      </c>
      <c r="Q211" s="1270"/>
      <c r="R211" s="1200">
        <v>2222912</v>
      </c>
      <c r="S211" s="1007">
        <v>-28068</v>
      </c>
      <c r="T211" s="1306">
        <v>2194844</v>
      </c>
    </row>
    <row r="212" spans="1:20" x14ac:dyDescent="0.25">
      <c r="A212" s="1203">
        <v>92005</v>
      </c>
      <c r="B212" s="1204" t="s">
        <v>2849</v>
      </c>
      <c r="C212" s="1303">
        <v>3.43E-5</v>
      </c>
      <c r="D212" s="1303">
        <v>3.5299999999999997E-5</v>
      </c>
      <c r="E212" s="1007">
        <v>122569</v>
      </c>
      <c r="F212" s="1270"/>
      <c r="G212" s="1200">
        <v>15478</v>
      </c>
      <c r="H212" s="1200">
        <v>17248</v>
      </c>
      <c r="I212" s="1200">
        <v>9122</v>
      </c>
      <c r="J212" s="1007">
        <v>3517</v>
      </c>
      <c r="K212" s="1007">
        <v>45365</v>
      </c>
      <c r="L212" s="1270"/>
      <c r="M212" s="1198">
        <v>0</v>
      </c>
      <c r="N212" s="1198">
        <v>0</v>
      </c>
      <c r="O212" s="1007">
        <v>2461</v>
      </c>
      <c r="P212" s="1007">
        <v>2461</v>
      </c>
      <c r="Q212" s="1270"/>
      <c r="R212" s="1200">
        <v>42150</v>
      </c>
      <c r="S212" s="1007">
        <v>708</v>
      </c>
      <c r="T212" s="1306">
        <v>42858</v>
      </c>
    </row>
    <row r="213" spans="1:20" x14ac:dyDescent="0.25">
      <c r="A213" s="1203">
        <v>92011</v>
      </c>
      <c r="B213" s="1204" t="s">
        <v>2850</v>
      </c>
      <c r="C213" s="1303">
        <v>2.0900000000000001E-4</v>
      </c>
      <c r="D213" s="1303">
        <v>1.9100000000000001E-4</v>
      </c>
      <c r="E213" s="1007">
        <v>746846</v>
      </c>
      <c r="F213" s="1270"/>
      <c r="G213" s="1200">
        <v>94314</v>
      </c>
      <c r="H213" s="1200">
        <v>105098</v>
      </c>
      <c r="I213" s="1200">
        <v>55580</v>
      </c>
      <c r="J213" s="1007">
        <v>16911</v>
      </c>
      <c r="K213" s="1007">
        <v>271903</v>
      </c>
      <c r="L213" s="1270"/>
      <c r="M213" s="1198">
        <v>0</v>
      </c>
      <c r="N213" s="1198">
        <v>0</v>
      </c>
      <c r="O213" s="1007">
        <v>6789</v>
      </c>
      <c r="P213" s="1007">
        <v>6789</v>
      </c>
      <c r="Q213" s="1270"/>
      <c r="R213" s="1200">
        <v>256835</v>
      </c>
      <c r="S213" s="1007">
        <v>4916</v>
      </c>
      <c r="T213" s="1306">
        <v>261751</v>
      </c>
    </row>
    <row r="214" spans="1:20" x14ac:dyDescent="0.25">
      <c r="A214" s="1203">
        <v>92017</v>
      </c>
      <c r="B214" s="1204" t="s">
        <v>2851</v>
      </c>
      <c r="C214" s="1303">
        <v>3.0000000000000001E-5</v>
      </c>
      <c r="D214" s="1303">
        <v>3.1900000000000003E-5</v>
      </c>
      <c r="E214" s="1007">
        <v>107203</v>
      </c>
      <c r="F214" s="1270"/>
      <c r="G214" s="1200">
        <v>13538</v>
      </c>
      <c r="H214" s="1200">
        <v>15086</v>
      </c>
      <c r="I214" s="1200">
        <v>7978</v>
      </c>
      <c r="J214" s="1007">
        <v>3180</v>
      </c>
      <c r="K214" s="1007">
        <v>39782</v>
      </c>
      <c r="L214" s="1270"/>
      <c r="M214" s="1198">
        <v>0</v>
      </c>
      <c r="N214" s="1198">
        <v>0</v>
      </c>
      <c r="O214" s="1007">
        <v>0</v>
      </c>
      <c r="P214" s="1007">
        <v>0</v>
      </c>
      <c r="Q214" s="1270"/>
      <c r="R214" s="1200">
        <v>36866</v>
      </c>
      <c r="S214" s="1007">
        <v>1039</v>
      </c>
      <c r="T214" s="1306">
        <v>37905</v>
      </c>
    </row>
    <row r="215" spans="1:20" x14ac:dyDescent="0.25">
      <c r="A215" s="1203">
        <v>92021</v>
      </c>
      <c r="B215" s="1204" t="s">
        <v>2852</v>
      </c>
      <c r="C215" s="1303">
        <v>1.1519999999999999E-4</v>
      </c>
      <c r="D215" s="1303">
        <v>1.054E-4</v>
      </c>
      <c r="E215" s="1007">
        <v>411659</v>
      </c>
      <c r="F215" s="1270"/>
      <c r="G215" s="1200">
        <v>51985</v>
      </c>
      <c r="H215" s="1200">
        <v>57930</v>
      </c>
      <c r="I215" s="1200">
        <v>30635</v>
      </c>
      <c r="J215" s="1007">
        <v>10430</v>
      </c>
      <c r="K215" s="1007">
        <v>150980</v>
      </c>
      <c r="L215" s="1270"/>
      <c r="M215" s="1198">
        <v>0</v>
      </c>
      <c r="N215" s="1198">
        <v>0</v>
      </c>
      <c r="O215" s="1007">
        <v>36994</v>
      </c>
      <c r="P215" s="1007">
        <v>36994</v>
      </c>
      <c r="Q215" s="1270"/>
      <c r="R215" s="1200">
        <v>141566</v>
      </c>
      <c r="S215" s="1007">
        <v>-2781</v>
      </c>
      <c r="T215" s="1306">
        <v>138785</v>
      </c>
    </row>
    <row r="216" spans="1:20" x14ac:dyDescent="0.25">
      <c r="A216" s="1203">
        <v>92101</v>
      </c>
      <c r="B216" s="1204" t="s">
        <v>2853</v>
      </c>
      <c r="C216" s="1303">
        <v>7.6869999999999998E-4</v>
      </c>
      <c r="D216" s="1303">
        <v>7.8700000000000005E-4</v>
      </c>
      <c r="E216" s="1007">
        <v>2746893</v>
      </c>
      <c r="F216" s="1270"/>
      <c r="G216" s="1200">
        <v>346884</v>
      </c>
      <c r="H216" s="1200">
        <v>386552</v>
      </c>
      <c r="I216" s="1200">
        <v>204423</v>
      </c>
      <c r="J216" s="1007">
        <v>0</v>
      </c>
      <c r="K216" s="1007">
        <v>937859</v>
      </c>
      <c r="L216" s="1270"/>
      <c r="M216" s="1198">
        <v>0</v>
      </c>
      <c r="N216" s="1198">
        <v>0</v>
      </c>
      <c r="O216" s="1007">
        <v>69431</v>
      </c>
      <c r="P216" s="1007">
        <v>69431</v>
      </c>
      <c r="Q216" s="1270"/>
      <c r="R216" s="1200">
        <v>944636</v>
      </c>
      <c r="S216" s="1007">
        <v>-41240</v>
      </c>
      <c r="T216" s="1306">
        <v>903396</v>
      </c>
    </row>
    <row r="217" spans="1:20" x14ac:dyDescent="0.25">
      <c r="A217" s="1203">
        <v>92104</v>
      </c>
      <c r="B217" s="1204" t="s">
        <v>2854</v>
      </c>
      <c r="C217" s="1303">
        <v>7.1999999999999997E-6</v>
      </c>
      <c r="D217" s="1303">
        <v>7.0999999999999998E-6</v>
      </c>
      <c r="E217" s="1007">
        <v>25729</v>
      </c>
      <c r="F217" s="1270"/>
      <c r="G217" s="1200">
        <v>3249</v>
      </c>
      <c r="H217" s="1200">
        <v>3620</v>
      </c>
      <c r="I217" s="1200">
        <v>1915</v>
      </c>
      <c r="J217" s="1007">
        <v>2910</v>
      </c>
      <c r="K217" s="1007">
        <v>11694</v>
      </c>
      <c r="L217" s="1270"/>
      <c r="M217" s="1198">
        <v>0</v>
      </c>
      <c r="N217" s="1198">
        <v>0</v>
      </c>
      <c r="O217" s="1007">
        <v>0</v>
      </c>
      <c r="P217" s="1007">
        <v>0</v>
      </c>
      <c r="Q217" s="1270"/>
      <c r="R217" s="1200">
        <v>8848</v>
      </c>
      <c r="S217" s="1007">
        <v>1444</v>
      </c>
      <c r="T217" s="1306">
        <v>10292</v>
      </c>
    </row>
    <row r="218" spans="1:20" x14ac:dyDescent="0.25">
      <c r="A218" s="1203">
        <v>92109</v>
      </c>
      <c r="B218" s="1204" t="s">
        <v>2855</v>
      </c>
      <c r="C218" s="1303">
        <v>1.8359999999999999E-4</v>
      </c>
      <c r="D218" s="1303">
        <v>1.6799999999999999E-4</v>
      </c>
      <c r="E218" s="1007">
        <v>656081</v>
      </c>
      <c r="F218" s="1270"/>
      <c r="G218" s="1200">
        <v>82852</v>
      </c>
      <c r="H218" s="1200">
        <v>92325</v>
      </c>
      <c r="I218" s="1200">
        <v>48825</v>
      </c>
      <c r="J218" s="1007">
        <v>18659</v>
      </c>
      <c r="K218" s="1007">
        <v>242661</v>
      </c>
      <c r="L218" s="1270"/>
      <c r="M218" s="1198">
        <v>0</v>
      </c>
      <c r="N218" s="1198">
        <v>0</v>
      </c>
      <c r="O218" s="1007">
        <v>10399</v>
      </c>
      <c r="P218" s="1007">
        <v>10399</v>
      </c>
      <c r="Q218" s="1270"/>
      <c r="R218" s="1200">
        <v>225621</v>
      </c>
      <c r="S218" s="1007">
        <v>1832</v>
      </c>
      <c r="T218" s="1306">
        <v>227453</v>
      </c>
    </row>
    <row r="219" spans="1:20" x14ac:dyDescent="0.25">
      <c r="A219" s="1203">
        <v>92111</v>
      </c>
      <c r="B219" s="1204" t="s">
        <v>2856</v>
      </c>
      <c r="C219" s="1303">
        <v>5.4140000000000004E-4</v>
      </c>
      <c r="D219" s="1303">
        <v>4.9209999999999998E-4</v>
      </c>
      <c r="E219" s="1007">
        <v>1934653</v>
      </c>
      <c r="F219" s="1270"/>
      <c r="G219" s="1200">
        <v>244313</v>
      </c>
      <c r="H219" s="1200">
        <v>272251</v>
      </c>
      <c r="I219" s="1200">
        <v>143976</v>
      </c>
      <c r="J219" s="1007">
        <v>51343</v>
      </c>
      <c r="K219" s="1007">
        <v>711883</v>
      </c>
      <c r="L219" s="1270"/>
      <c r="M219" s="1198">
        <v>0</v>
      </c>
      <c r="N219" s="1198">
        <v>0</v>
      </c>
      <c r="O219" s="1007">
        <v>21320</v>
      </c>
      <c r="P219" s="1007">
        <v>21320</v>
      </c>
      <c r="Q219" s="1270"/>
      <c r="R219" s="1200">
        <v>665313</v>
      </c>
      <c r="S219" s="1007">
        <v>6550</v>
      </c>
      <c r="T219" s="1306">
        <v>671863</v>
      </c>
    </row>
    <row r="220" spans="1:20" x14ac:dyDescent="0.25">
      <c r="A220" s="1203">
        <v>92113</v>
      </c>
      <c r="B220" s="1204" t="s">
        <v>2857</v>
      </c>
      <c r="C220" s="1303">
        <v>1.73E-5</v>
      </c>
      <c r="D220" s="1303">
        <v>1.7099999999999999E-5</v>
      </c>
      <c r="E220" s="1007">
        <v>61820</v>
      </c>
      <c r="F220" s="1270"/>
      <c r="G220" s="1200">
        <v>7807</v>
      </c>
      <c r="H220" s="1200">
        <v>8700</v>
      </c>
      <c r="I220" s="1200">
        <v>4601</v>
      </c>
      <c r="J220" s="1007">
        <v>10788</v>
      </c>
      <c r="K220" s="1007">
        <v>31896</v>
      </c>
      <c r="L220" s="1270"/>
      <c r="M220" s="1198">
        <v>0</v>
      </c>
      <c r="N220" s="1198">
        <v>0</v>
      </c>
      <c r="O220" s="1007">
        <v>543</v>
      </c>
      <c r="P220" s="1007">
        <v>543</v>
      </c>
      <c r="Q220" s="1270"/>
      <c r="R220" s="1200">
        <v>21260</v>
      </c>
      <c r="S220" s="1007">
        <v>6659</v>
      </c>
      <c r="T220" s="1306">
        <v>27919</v>
      </c>
    </row>
    <row r="221" spans="1:20" x14ac:dyDescent="0.25">
      <c r="A221" s="1203">
        <v>92201</v>
      </c>
      <c r="B221" s="1204" t="s">
        <v>2858</v>
      </c>
      <c r="C221" s="1303">
        <v>9.3099999999999997E-4</v>
      </c>
      <c r="D221" s="1303">
        <v>8.3589999999999999E-4</v>
      </c>
      <c r="E221" s="1007">
        <v>3326860</v>
      </c>
      <c r="F221" s="1270"/>
      <c r="G221" s="1200">
        <v>420124</v>
      </c>
      <c r="H221" s="1200">
        <v>468166</v>
      </c>
      <c r="I221" s="1200">
        <v>247584</v>
      </c>
      <c r="J221" s="1007">
        <v>137468</v>
      </c>
      <c r="K221" s="1007">
        <v>1273342</v>
      </c>
      <c r="L221" s="1270"/>
      <c r="M221" s="1198">
        <v>0</v>
      </c>
      <c r="N221" s="1198">
        <v>0</v>
      </c>
      <c r="O221" s="1007">
        <v>40355</v>
      </c>
      <c r="P221" s="1007">
        <v>40355</v>
      </c>
      <c r="Q221" s="1270"/>
      <c r="R221" s="1200">
        <v>1144083</v>
      </c>
      <c r="S221" s="1007">
        <v>27788</v>
      </c>
      <c r="T221" s="1306">
        <v>1171871</v>
      </c>
    </row>
    <row r="222" spans="1:20" x14ac:dyDescent="0.25">
      <c r="A222" s="1203">
        <v>92214</v>
      </c>
      <c r="B222" s="1284" t="s">
        <v>4154</v>
      </c>
      <c r="C222" s="1303">
        <v>1.9000000000000001E-5</v>
      </c>
      <c r="D222" s="1303">
        <v>2.02E-5</v>
      </c>
      <c r="E222" s="1007">
        <v>67895</v>
      </c>
      <c r="F222" s="1270"/>
      <c r="G222" s="1200">
        <v>8574</v>
      </c>
      <c r="H222" s="1200">
        <v>9554</v>
      </c>
      <c r="I222" s="1200">
        <v>5053</v>
      </c>
      <c r="J222" s="1007">
        <v>7538</v>
      </c>
      <c r="K222" s="1007">
        <v>30719</v>
      </c>
      <c r="L222" s="1270"/>
      <c r="M222" s="1198">
        <v>0</v>
      </c>
      <c r="N222" s="1198">
        <v>0</v>
      </c>
      <c r="O222" s="1007">
        <v>1513</v>
      </c>
      <c r="P222" s="1007">
        <v>1513</v>
      </c>
      <c r="Q222" s="1270"/>
      <c r="R222" s="1200">
        <v>23349</v>
      </c>
      <c r="S222" s="1007">
        <v>3177</v>
      </c>
      <c r="T222" s="1306">
        <v>26526</v>
      </c>
    </row>
    <row r="223" spans="1:20" x14ac:dyDescent="0.25">
      <c r="A223" s="1203">
        <v>92301</v>
      </c>
      <c r="B223" s="1204" t="s">
        <v>2859</v>
      </c>
      <c r="C223" s="1303">
        <v>5.2855000000000003E-3</v>
      </c>
      <c r="D223" s="1303">
        <v>5.6146E-3</v>
      </c>
      <c r="E223" s="1007">
        <v>18887343</v>
      </c>
      <c r="F223" s="1270"/>
      <c r="G223" s="1200">
        <v>2385140</v>
      </c>
      <c r="H223" s="1200">
        <v>2657888</v>
      </c>
      <c r="I223" s="1200">
        <v>1405589</v>
      </c>
      <c r="J223" s="1007">
        <v>102219</v>
      </c>
      <c r="K223" s="1007">
        <v>6550836</v>
      </c>
      <c r="L223" s="1270"/>
      <c r="M223" s="1198">
        <v>0</v>
      </c>
      <c r="N223" s="1198">
        <v>0</v>
      </c>
      <c r="O223" s="1007">
        <v>440219</v>
      </c>
      <c r="P223" s="1007">
        <v>440219</v>
      </c>
      <c r="Q223" s="1270"/>
      <c r="R223" s="1200">
        <v>6495219</v>
      </c>
      <c r="S223" s="1007">
        <v>-106402</v>
      </c>
      <c r="T223" s="1306">
        <v>6388817</v>
      </c>
    </row>
    <row r="224" spans="1:20" x14ac:dyDescent="0.25">
      <c r="A224" s="1203">
        <v>92302</v>
      </c>
      <c r="B224" s="1204" t="s">
        <v>2860</v>
      </c>
      <c r="C224" s="1303">
        <v>2.9990000000000003E-4</v>
      </c>
      <c r="D224" s="1303">
        <v>3.0249999999999998E-4</v>
      </c>
      <c r="E224" s="1007">
        <v>1071670</v>
      </c>
      <c r="F224" s="1270"/>
      <c r="G224" s="1200">
        <v>135333</v>
      </c>
      <c r="H224" s="1200">
        <v>150809</v>
      </c>
      <c r="I224" s="1200">
        <v>79753</v>
      </c>
      <c r="J224" s="1007">
        <v>3231</v>
      </c>
      <c r="K224" s="1007">
        <v>369126</v>
      </c>
      <c r="L224" s="1270"/>
      <c r="M224" s="1198">
        <v>0</v>
      </c>
      <c r="N224" s="1198">
        <v>0</v>
      </c>
      <c r="O224" s="1007">
        <v>27853</v>
      </c>
      <c r="P224" s="1007">
        <v>27853</v>
      </c>
      <c r="Q224" s="1270"/>
      <c r="R224" s="1200">
        <v>368540</v>
      </c>
      <c r="S224" s="1007">
        <v>-11776</v>
      </c>
      <c r="T224" s="1306">
        <v>356764</v>
      </c>
    </row>
    <row r="225" spans="1:20" x14ac:dyDescent="0.25">
      <c r="A225" s="1203">
        <v>92311</v>
      </c>
      <c r="B225" s="1204" t="s">
        <v>2861</v>
      </c>
      <c r="C225" s="1303">
        <v>2.3205999999999999E-3</v>
      </c>
      <c r="D225" s="1303">
        <v>2.2645999999999999E-3</v>
      </c>
      <c r="E225" s="1007">
        <v>8292492</v>
      </c>
      <c r="F225" s="1270"/>
      <c r="G225" s="1200">
        <v>1047196</v>
      </c>
      <c r="H225" s="1200">
        <v>1166946</v>
      </c>
      <c r="I225" s="1200">
        <v>617124</v>
      </c>
      <c r="J225" s="1007">
        <v>44290</v>
      </c>
      <c r="K225" s="1007">
        <v>2875556</v>
      </c>
      <c r="L225" s="1270"/>
      <c r="M225" s="1198">
        <v>0</v>
      </c>
      <c r="N225" s="1198">
        <v>0</v>
      </c>
      <c r="O225" s="1007">
        <v>30864</v>
      </c>
      <c r="P225" s="1007">
        <v>30864</v>
      </c>
      <c r="Q225" s="1270"/>
      <c r="R225" s="1200">
        <v>2851727</v>
      </c>
      <c r="S225" s="1007">
        <v>-2982</v>
      </c>
      <c r="T225" s="1306">
        <v>2848745</v>
      </c>
    </row>
    <row r="226" spans="1:20" x14ac:dyDescent="0.25">
      <c r="A226" s="1203">
        <v>92317</v>
      </c>
      <c r="B226" s="1204" t="s">
        <v>2862</v>
      </c>
      <c r="C226" s="1303">
        <v>3.3800000000000002E-5</v>
      </c>
      <c r="D226" s="1303">
        <v>2.97E-5</v>
      </c>
      <c r="E226" s="1007">
        <v>120782</v>
      </c>
      <c r="F226" s="1270"/>
      <c r="G226" s="1200">
        <v>15253</v>
      </c>
      <c r="H226" s="1200">
        <v>16997</v>
      </c>
      <c r="I226" s="1200">
        <v>8989</v>
      </c>
      <c r="J226" s="1007">
        <v>26597</v>
      </c>
      <c r="K226" s="1007">
        <v>67836</v>
      </c>
      <c r="L226" s="1270"/>
      <c r="M226" s="1198">
        <v>0</v>
      </c>
      <c r="N226" s="1198">
        <v>0</v>
      </c>
      <c r="O226" s="1007">
        <v>0</v>
      </c>
      <c r="P226" s="1007">
        <v>0</v>
      </c>
      <c r="Q226" s="1270"/>
      <c r="R226" s="1200">
        <v>41536</v>
      </c>
      <c r="S226" s="1007">
        <v>11468</v>
      </c>
      <c r="T226" s="1306">
        <v>53004</v>
      </c>
    </row>
    <row r="227" spans="1:20" x14ac:dyDescent="0.25">
      <c r="A227" s="1203">
        <v>92321</v>
      </c>
      <c r="B227" s="1204" t="s">
        <v>2863</v>
      </c>
      <c r="C227" s="1303">
        <v>1.3334E-3</v>
      </c>
      <c r="D227" s="1303">
        <v>1.2122999999999999E-3</v>
      </c>
      <c r="E227" s="1007">
        <v>4764806</v>
      </c>
      <c r="F227" s="1270"/>
      <c r="G227" s="1200">
        <v>601711</v>
      </c>
      <c r="H227" s="1200">
        <v>670518</v>
      </c>
      <c r="I227" s="1200">
        <v>354595</v>
      </c>
      <c r="J227" s="1007">
        <v>179522</v>
      </c>
      <c r="K227" s="1007">
        <v>1806346</v>
      </c>
      <c r="L227" s="1270"/>
      <c r="M227" s="1198">
        <v>0</v>
      </c>
      <c r="N227" s="1198">
        <v>0</v>
      </c>
      <c r="O227" s="1007">
        <v>12154</v>
      </c>
      <c r="P227" s="1007">
        <v>12154</v>
      </c>
      <c r="Q227" s="1270"/>
      <c r="R227" s="1200">
        <v>1638582</v>
      </c>
      <c r="S227" s="1007">
        <v>55638</v>
      </c>
      <c r="T227" s="1306">
        <v>1694220</v>
      </c>
    </row>
    <row r="228" spans="1:20" x14ac:dyDescent="0.25">
      <c r="A228" s="1203">
        <v>92327</v>
      </c>
      <c r="B228" s="1204" t="s">
        <v>2864</v>
      </c>
      <c r="C228" s="1303">
        <v>6.2999999999999998E-6</v>
      </c>
      <c r="D228" s="1303">
        <v>6.4999999999999996E-6</v>
      </c>
      <c r="E228" s="1007">
        <v>22513</v>
      </c>
      <c r="F228" s="1270"/>
      <c r="G228" s="1200">
        <v>2843</v>
      </c>
      <c r="H228" s="1200">
        <v>3168</v>
      </c>
      <c r="I228" s="1200">
        <v>1675</v>
      </c>
      <c r="J228" s="1007">
        <v>8163</v>
      </c>
      <c r="K228" s="1007">
        <v>15849</v>
      </c>
      <c r="L228" s="1270"/>
      <c r="M228" s="1198">
        <v>0</v>
      </c>
      <c r="N228" s="1198">
        <v>0</v>
      </c>
      <c r="O228" s="1007">
        <v>0</v>
      </c>
      <c r="P228" s="1007">
        <v>0</v>
      </c>
      <c r="Q228" s="1270"/>
      <c r="R228" s="1200">
        <v>7742</v>
      </c>
      <c r="S228" s="1007">
        <v>3534</v>
      </c>
      <c r="T228" s="1306">
        <v>11276</v>
      </c>
    </row>
    <row r="229" spans="1:20" x14ac:dyDescent="0.25">
      <c r="A229" s="1203">
        <v>92331</v>
      </c>
      <c r="B229" s="1204" t="s">
        <v>2865</v>
      </c>
      <c r="C229" s="1303">
        <v>1.381E-4</v>
      </c>
      <c r="D229" s="1303">
        <v>1.351E-4</v>
      </c>
      <c r="E229" s="1007">
        <v>493490</v>
      </c>
      <c r="F229" s="1270"/>
      <c r="G229" s="1200">
        <v>62319</v>
      </c>
      <c r="H229" s="1200">
        <v>69445</v>
      </c>
      <c r="I229" s="1200">
        <v>36725</v>
      </c>
      <c r="J229" s="1007">
        <v>24351</v>
      </c>
      <c r="K229" s="1007">
        <v>192840</v>
      </c>
      <c r="L229" s="1270"/>
      <c r="M229" s="1198">
        <v>0</v>
      </c>
      <c r="N229" s="1198">
        <v>0</v>
      </c>
      <c r="O229" s="1007">
        <v>2766</v>
      </c>
      <c r="P229" s="1007">
        <v>2766</v>
      </c>
      <c r="Q229" s="1270"/>
      <c r="R229" s="1200">
        <v>169708</v>
      </c>
      <c r="S229" s="1007">
        <v>4875</v>
      </c>
      <c r="T229" s="1306">
        <v>174583</v>
      </c>
    </row>
    <row r="230" spans="1:20" x14ac:dyDescent="0.25">
      <c r="A230" s="1203">
        <v>92341</v>
      </c>
      <c r="B230" s="1204" t="s">
        <v>2866</v>
      </c>
      <c r="C230" s="1303">
        <v>7.7999999999999999E-6</v>
      </c>
      <c r="D230" s="1303">
        <v>8.4999999999999999E-6</v>
      </c>
      <c r="E230" s="1007">
        <v>27873</v>
      </c>
      <c r="F230" s="1270"/>
      <c r="G230" s="1200">
        <v>3520</v>
      </c>
      <c r="H230" s="1200">
        <v>3923</v>
      </c>
      <c r="I230" s="1200">
        <v>2074</v>
      </c>
      <c r="J230" s="1007">
        <v>56</v>
      </c>
      <c r="K230" s="1007">
        <v>9573</v>
      </c>
      <c r="L230" s="1270"/>
      <c r="M230" s="1198">
        <v>0</v>
      </c>
      <c r="N230" s="1198">
        <v>0</v>
      </c>
      <c r="O230" s="1007">
        <v>3416</v>
      </c>
      <c r="P230" s="1007">
        <v>3416</v>
      </c>
      <c r="Q230" s="1270"/>
      <c r="R230" s="1200">
        <v>9585</v>
      </c>
      <c r="S230" s="1007">
        <v>-1141</v>
      </c>
      <c r="T230" s="1306">
        <v>8444</v>
      </c>
    </row>
    <row r="231" spans="1:20" x14ac:dyDescent="0.25">
      <c r="A231" s="1203">
        <v>92351</v>
      </c>
      <c r="B231" s="1204" t="s">
        <v>2867</v>
      </c>
      <c r="C231" s="1303">
        <v>2.48E-5</v>
      </c>
      <c r="D231" s="1303">
        <v>1.7499999999999998E-5</v>
      </c>
      <c r="E231" s="1007">
        <v>88621</v>
      </c>
      <c r="F231" s="1270"/>
      <c r="G231" s="1200">
        <v>11191</v>
      </c>
      <c r="H231" s="1200">
        <v>12471</v>
      </c>
      <c r="I231" s="1200">
        <v>6595</v>
      </c>
      <c r="J231" s="1007">
        <v>11937</v>
      </c>
      <c r="K231" s="1007">
        <v>42194</v>
      </c>
      <c r="L231" s="1270"/>
      <c r="M231" s="1198">
        <v>0</v>
      </c>
      <c r="N231" s="1198">
        <v>0</v>
      </c>
      <c r="O231" s="1007">
        <v>543</v>
      </c>
      <c r="P231" s="1007">
        <v>543</v>
      </c>
      <c r="Q231" s="1270"/>
      <c r="R231" s="1200">
        <v>30476</v>
      </c>
      <c r="S231" s="1007">
        <v>3107</v>
      </c>
      <c r="T231" s="1306">
        <v>33583</v>
      </c>
    </row>
    <row r="232" spans="1:20" x14ac:dyDescent="0.25">
      <c r="A232" s="1203">
        <v>92401</v>
      </c>
      <c r="B232" s="1204" t="s">
        <v>2868</v>
      </c>
      <c r="C232" s="1303">
        <v>2.5820999999999999E-3</v>
      </c>
      <c r="D232" s="1303">
        <v>2.6340000000000001E-3</v>
      </c>
      <c r="E232" s="1007">
        <v>9226943</v>
      </c>
      <c r="F232" s="1270"/>
      <c r="G232" s="1200">
        <v>1165201</v>
      </c>
      <c r="H232" s="1200">
        <v>1298446</v>
      </c>
      <c r="I232" s="1200">
        <v>686666</v>
      </c>
      <c r="J232" s="1007">
        <v>167677</v>
      </c>
      <c r="K232" s="1007">
        <v>3317990</v>
      </c>
      <c r="L232" s="1270"/>
      <c r="M232" s="1198">
        <v>0</v>
      </c>
      <c r="N232" s="1198">
        <v>0</v>
      </c>
      <c r="O232" s="1007">
        <v>94544</v>
      </c>
      <c r="P232" s="1007">
        <v>94544</v>
      </c>
      <c r="Q232" s="1270"/>
      <c r="R232" s="1200">
        <v>3173078</v>
      </c>
      <c r="S232" s="1007">
        <v>23158</v>
      </c>
      <c r="T232" s="1306">
        <v>3196236</v>
      </c>
    </row>
    <row r="233" spans="1:20" x14ac:dyDescent="0.25">
      <c r="A233" s="1203">
        <v>92403</v>
      </c>
      <c r="B233" s="1204" t="s">
        <v>2869</v>
      </c>
      <c r="C233" s="1303">
        <v>8.3000000000000002E-6</v>
      </c>
      <c r="D233" s="1303">
        <v>9.0999999999999993E-6</v>
      </c>
      <c r="E233" s="1007">
        <v>29659</v>
      </c>
      <c r="F233" s="1270"/>
      <c r="G233" s="1200">
        <v>3745</v>
      </c>
      <c r="H233" s="1200">
        <v>4174</v>
      </c>
      <c r="I233" s="1200">
        <v>2207</v>
      </c>
      <c r="J233" s="1007">
        <v>3235</v>
      </c>
      <c r="K233" s="1007">
        <v>13361</v>
      </c>
      <c r="L233" s="1270"/>
      <c r="M233" s="1198">
        <v>0</v>
      </c>
      <c r="N233" s="1198">
        <v>0</v>
      </c>
      <c r="O233" s="1007">
        <v>0</v>
      </c>
      <c r="P233" s="1007">
        <v>0</v>
      </c>
      <c r="Q233" s="1270"/>
      <c r="R233" s="1200">
        <v>10200</v>
      </c>
      <c r="S233" s="1007">
        <v>965</v>
      </c>
      <c r="T233" s="1306">
        <v>11165</v>
      </c>
    </row>
    <row r="234" spans="1:20" x14ac:dyDescent="0.25">
      <c r="A234" s="1203">
        <v>92411</v>
      </c>
      <c r="B234" s="1204" t="s">
        <v>2870</v>
      </c>
      <c r="C234" s="1303">
        <v>4.8109999999999998E-4</v>
      </c>
      <c r="D234" s="1303">
        <v>4.5199999999999998E-4</v>
      </c>
      <c r="E234" s="1007">
        <v>1719175</v>
      </c>
      <c r="F234" s="1270"/>
      <c r="G234" s="1200">
        <v>217102</v>
      </c>
      <c r="H234" s="1200">
        <v>241928</v>
      </c>
      <c r="I234" s="1200">
        <v>127940</v>
      </c>
      <c r="J234" s="1007">
        <v>26242</v>
      </c>
      <c r="K234" s="1007">
        <v>613212</v>
      </c>
      <c r="L234" s="1270"/>
      <c r="M234" s="1198">
        <v>0</v>
      </c>
      <c r="N234" s="1198">
        <v>0</v>
      </c>
      <c r="O234" s="1007">
        <v>24736</v>
      </c>
      <c r="P234" s="1007">
        <v>24736</v>
      </c>
      <c r="Q234" s="1270"/>
      <c r="R234" s="1200">
        <v>591212</v>
      </c>
      <c r="S234" s="1007">
        <v>-14362</v>
      </c>
      <c r="T234" s="1306">
        <v>576850</v>
      </c>
    </row>
    <row r="235" spans="1:20" x14ac:dyDescent="0.25">
      <c r="A235" s="1203">
        <v>92414</v>
      </c>
      <c r="B235" s="1204" t="s">
        <v>1397</v>
      </c>
      <c r="C235" s="1303">
        <v>0</v>
      </c>
      <c r="D235" s="1303">
        <v>0</v>
      </c>
      <c r="E235" s="1007">
        <v>0</v>
      </c>
      <c r="F235" s="1270"/>
      <c r="G235" s="1200">
        <v>0</v>
      </c>
      <c r="H235" s="1200">
        <v>0</v>
      </c>
      <c r="I235" s="1200">
        <v>0</v>
      </c>
      <c r="J235" s="1007">
        <v>0</v>
      </c>
      <c r="K235" s="1007">
        <v>0</v>
      </c>
      <c r="L235" s="1270"/>
      <c r="M235" s="1198">
        <v>0</v>
      </c>
      <c r="N235" s="1198">
        <v>0</v>
      </c>
      <c r="O235" s="1007">
        <v>0</v>
      </c>
      <c r="P235" s="1007">
        <v>0</v>
      </c>
      <c r="Q235" s="1270"/>
      <c r="R235" s="1200">
        <v>0</v>
      </c>
      <c r="S235" s="1007">
        <v>-1184</v>
      </c>
      <c r="T235" s="1306">
        <v>-1184</v>
      </c>
    </row>
    <row r="236" spans="1:20" x14ac:dyDescent="0.25">
      <c r="A236" s="1203">
        <v>92417</v>
      </c>
      <c r="B236" s="1204" t="s">
        <v>2871</v>
      </c>
      <c r="C236" s="1303">
        <v>1.15E-5</v>
      </c>
      <c r="D236" s="1303">
        <v>1.73E-5</v>
      </c>
      <c r="E236" s="1007">
        <v>41094</v>
      </c>
      <c r="F236" s="1270"/>
      <c r="G236" s="1200">
        <v>5190</v>
      </c>
      <c r="H236" s="1200">
        <v>5783</v>
      </c>
      <c r="I236" s="1200">
        <v>3058</v>
      </c>
      <c r="J236" s="1007">
        <v>0</v>
      </c>
      <c r="K236" s="1007">
        <v>14031</v>
      </c>
      <c r="L236" s="1270"/>
      <c r="M236" s="1198">
        <v>0</v>
      </c>
      <c r="N236" s="1198">
        <v>0</v>
      </c>
      <c r="O236" s="1007">
        <v>12171</v>
      </c>
      <c r="P236" s="1007">
        <v>12171</v>
      </c>
      <c r="Q236" s="1270"/>
      <c r="R236" s="1200">
        <v>14132</v>
      </c>
      <c r="S236" s="1007">
        <v>-4688</v>
      </c>
      <c r="T236" s="1306">
        <v>9444</v>
      </c>
    </row>
    <row r="237" spans="1:20" x14ac:dyDescent="0.25">
      <c r="A237" s="1203">
        <v>92421</v>
      </c>
      <c r="B237" s="1204" t="s">
        <v>2872</v>
      </c>
      <c r="C237" s="1303">
        <v>1.7900000000000001E-5</v>
      </c>
      <c r="D237" s="1303">
        <v>1.6399999999999999E-5</v>
      </c>
      <c r="E237" s="1007">
        <v>63964</v>
      </c>
      <c r="F237" s="1270"/>
      <c r="G237" s="1200">
        <v>8078</v>
      </c>
      <c r="H237" s="1200">
        <v>9001</v>
      </c>
      <c r="I237" s="1200">
        <v>4760</v>
      </c>
      <c r="J237" s="1007">
        <v>8685</v>
      </c>
      <c r="K237" s="1007">
        <v>30524</v>
      </c>
      <c r="L237" s="1270"/>
      <c r="M237" s="1198">
        <v>0</v>
      </c>
      <c r="N237" s="1198">
        <v>0</v>
      </c>
      <c r="O237" s="1007">
        <v>0</v>
      </c>
      <c r="P237" s="1007">
        <v>0</v>
      </c>
      <c r="Q237" s="1270"/>
      <c r="R237" s="1200">
        <v>21997</v>
      </c>
      <c r="S237" s="1007">
        <v>3332</v>
      </c>
      <c r="T237" s="1306">
        <v>25329</v>
      </c>
    </row>
    <row r="238" spans="1:20" x14ac:dyDescent="0.25">
      <c r="A238" s="1203">
        <v>92427</v>
      </c>
      <c r="B238" s="1204" t="s">
        <v>2873</v>
      </c>
      <c r="C238" s="1303">
        <v>1.7E-6</v>
      </c>
      <c r="D238" s="1303">
        <v>1.9E-6</v>
      </c>
      <c r="E238" s="1007">
        <v>6075</v>
      </c>
      <c r="F238" s="1270"/>
      <c r="G238" s="1200">
        <v>767</v>
      </c>
      <c r="H238" s="1200">
        <v>855</v>
      </c>
      <c r="I238" s="1200">
        <v>452</v>
      </c>
      <c r="J238" s="1007">
        <v>1966</v>
      </c>
      <c r="K238" s="1007">
        <v>4040</v>
      </c>
      <c r="L238" s="1270"/>
      <c r="M238" s="1198">
        <v>0</v>
      </c>
      <c r="N238" s="1198">
        <v>0</v>
      </c>
      <c r="O238" s="1007">
        <v>0</v>
      </c>
      <c r="P238" s="1007">
        <v>0</v>
      </c>
      <c r="Q238" s="1270"/>
      <c r="R238" s="1200">
        <v>2089</v>
      </c>
      <c r="S238" s="1007">
        <v>1115</v>
      </c>
      <c r="T238" s="1306">
        <v>3204</v>
      </c>
    </row>
    <row r="239" spans="1:20" ht="14.25" customHeight="1" x14ac:dyDescent="0.25">
      <c r="A239" s="1203">
        <v>92431</v>
      </c>
      <c r="B239" s="1204" t="s">
        <v>2874</v>
      </c>
      <c r="C239" s="1303">
        <v>2.34E-5</v>
      </c>
      <c r="D239" s="1303">
        <v>2.6999999999999999E-5</v>
      </c>
      <c r="E239" s="1007">
        <v>83618</v>
      </c>
      <c r="F239" s="1270"/>
      <c r="G239" s="1200">
        <v>10560</v>
      </c>
      <c r="H239" s="1200">
        <v>11767</v>
      </c>
      <c r="I239" s="1200">
        <v>6223</v>
      </c>
      <c r="J239" s="1007">
        <v>9831</v>
      </c>
      <c r="K239" s="1007">
        <v>38381</v>
      </c>
      <c r="L239" s="1270"/>
      <c r="M239" s="1198">
        <v>0</v>
      </c>
      <c r="N239" s="1198">
        <v>0</v>
      </c>
      <c r="O239" s="1007">
        <v>839</v>
      </c>
      <c r="P239" s="1007">
        <v>839</v>
      </c>
      <c r="Q239" s="1270"/>
      <c r="R239" s="1200">
        <v>28756</v>
      </c>
      <c r="S239" s="1007">
        <v>4402</v>
      </c>
      <c r="T239" s="1306">
        <v>33158</v>
      </c>
    </row>
    <row r="240" spans="1:20" x14ac:dyDescent="0.25">
      <c r="A240" s="1203">
        <v>92441</v>
      </c>
      <c r="B240" s="1204" t="s">
        <v>2875</v>
      </c>
      <c r="C240" s="1303">
        <v>1.054E-4</v>
      </c>
      <c r="D240" s="1303">
        <v>8.6500000000000002E-5</v>
      </c>
      <c r="E240" s="1007">
        <v>376639</v>
      </c>
      <c r="F240" s="1270"/>
      <c r="G240" s="1200">
        <v>47563</v>
      </c>
      <c r="H240" s="1200">
        <v>53002</v>
      </c>
      <c r="I240" s="1200">
        <v>28029</v>
      </c>
      <c r="J240" s="1007">
        <v>28335</v>
      </c>
      <c r="K240" s="1007">
        <v>156929</v>
      </c>
      <c r="L240" s="1270"/>
      <c r="M240" s="1198">
        <v>0</v>
      </c>
      <c r="N240" s="1198">
        <v>0</v>
      </c>
      <c r="O240" s="1007">
        <v>11534</v>
      </c>
      <c r="P240" s="1007">
        <v>11534</v>
      </c>
      <c r="Q240" s="1270"/>
      <c r="R240" s="1200">
        <v>129523</v>
      </c>
      <c r="S240" s="1007">
        <v>4490</v>
      </c>
      <c r="T240" s="1306">
        <v>134013</v>
      </c>
    </row>
    <row r="241" spans="1:20" x14ac:dyDescent="0.25">
      <c r="A241" s="1203">
        <v>92444</v>
      </c>
      <c r="B241" s="1204" t="s">
        <v>2876</v>
      </c>
      <c r="C241" s="1303">
        <v>5.2000000000000002E-6</v>
      </c>
      <c r="D241" s="1303">
        <v>5.1000000000000003E-6</v>
      </c>
      <c r="E241" s="1007">
        <v>18582</v>
      </c>
      <c r="F241" s="1270"/>
      <c r="G241" s="1200">
        <v>2347</v>
      </c>
      <c r="H241" s="1200">
        <v>2615</v>
      </c>
      <c r="I241" s="1200">
        <v>1383</v>
      </c>
      <c r="J241" s="1007">
        <v>5925</v>
      </c>
      <c r="K241" s="1007">
        <v>12270</v>
      </c>
      <c r="L241" s="1270"/>
      <c r="M241" s="1198">
        <v>0</v>
      </c>
      <c r="N241" s="1198">
        <v>0</v>
      </c>
      <c r="O241" s="1007">
        <v>0</v>
      </c>
      <c r="P241" s="1007">
        <v>0</v>
      </c>
      <c r="Q241" s="1270"/>
      <c r="R241" s="1200">
        <v>6390</v>
      </c>
      <c r="S241" s="1007">
        <v>2502</v>
      </c>
      <c r="T241" s="1306">
        <v>8892</v>
      </c>
    </row>
    <row r="242" spans="1:20" x14ac:dyDescent="0.25">
      <c r="A242" s="1203">
        <v>92451</v>
      </c>
      <c r="B242" s="1204" t="s">
        <v>2877</v>
      </c>
      <c r="C242" s="1303">
        <v>1.049E-4</v>
      </c>
      <c r="D242" s="1303">
        <v>1.143E-4</v>
      </c>
      <c r="E242" s="1007">
        <v>374852</v>
      </c>
      <c r="F242" s="1270"/>
      <c r="G242" s="1200">
        <v>47337</v>
      </c>
      <c r="H242" s="1200">
        <v>52751</v>
      </c>
      <c r="I242" s="1200">
        <v>27896</v>
      </c>
      <c r="J242" s="1007">
        <v>23225</v>
      </c>
      <c r="K242" s="1007">
        <v>151209</v>
      </c>
      <c r="L242" s="1270"/>
      <c r="M242" s="1198">
        <v>0</v>
      </c>
      <c r="N242" s="1198">
        <v>0</v>
      </c>
      <c r="O242" s="1007">
        <v>0</v>
      </c>
      <c r="P242" s="1007">
        <v>0</v>
      </c>
      <c r="Q242" s="1270"/>
      <c r="R242" s="1200">
        <v>128909</v>
      </c>
      <c r="S242" s="1007">
        <v>14635</v>
      </c>
      <c r="T242" s="1306">
        <v>143544</v>
      </c>
    </row>
    <row r="243" spans="1:20" x14ac:dyDescent="0.25">
      <c r="A243" s="1203">
        <v>92461</v>
      </c>
      <c r="B243" s="1204" t="s">
        <v>2878</v>
      </c>
      <c r="C243" s="1303">
        <v>5.3300000000000001E-5</v>
      </c>
      <c r="D243" s="1303">
        <v>5.8400000000000003E-5</v>
      </c>
      <c r="E243" s="1007">
        <v>190464</v>
      </c>
      <c r="F243" s="1270"/>
      <c r="G243" s="1200">
        <v>24052</v>
      </c>
      <c r="H243" s="1200">
        <v>26803</v>
      </c>
      <c r="I243" s="1200">
        <v>14174</v>
      </c>
      <c r="J243" s="1007">
        <v>10453</v>
      </c>
      <c r="K243" s="1007">
        <v>75482</v>
      </c>
      <c r="L243" s="1270"/>
      <c r="M243" s="1198">
        <v>0</v>
      </c>
      <c r="N243" s="1198">
        <v>0</v>
      </c>
      <c r="O243" s="1007">
        <v>0</v>
      </c>
      <c r="P243" s="1007">
        <v>0</v>
      </c>
      <c r="Q243" s="1270"/>
      <c r="R243" s="1200">
        <v>65499</v>
      </c>
      <c r="S243" s="1007">
        <v>7132</v>
      </c>
      <c r="T243" s="1306">
        <v>72631</v>
      </c>
    </row>
    <row r="244" spans="1:20" x14ac:dyDescent="0.25">
      <c r="A244" s="1203">
        <v>92501</v>
      </c>
      <c r="B244" s="1204" t="s">
        <v>2879</v>
      </c>
      <c r="C244" s="1303">
        <v>4.0159999999999996E-3</v>
      </c>
      <c r="D244" s="1303">
        <v>3.7055999999999999E-3</v>
      </c>
      <c r="E244" s="1007">
        <v>14350879</v>
      </c>
      <c r="F244" s="1270"/>
      <c r="G244" s="1200">
        <v>1812264</v>
      </c>
      <c r="H244" s="1200">
        <v>2019502</v>
      </c>
      <c r="I244" s="1200">
        <v>1067987</v>
      </c>
      <c r="J244" s="1007">
        <v>680627</v>
      </c>
      <c r="K244" s="1007">
        <v>5580380</v>
      </c>
      <c r="L244" s="1270"/>
      <c r="M244" s="1198">
        <v>0</v>
      </c>
      <c r="N244" s="1198">
        <v>0</v>
      </c>
      <c r="O244" s="1007">
        <v>0</v>
      </c>
      <c r="P244" s="1007">
        <v>0</v>
      </c>
      <c r="Q244" s="1270"/>
      <c r="R244" s="1200">
        <v>4935162</v>
      </c>
      <c r="S244" s="1007">
        <v>257178</v>
      </c>
      <c r="T244" s="1306">
        <v>5192340</v>
      </c>
    </row>
    <row r="245" spans="1:20" x14ac:dyDescent="0.25">
      <c r="A245" s="1203">
        <v>92502</v>
      </c>
      <c r="B245" s="1204" t="s">
        <v>2880</v>
      </c>
      <c r="C245" s="1303">
        <v>2.1299999999999999E-5</v>
      </c>
      <c r="D245" s="1303">
        <v>2.3600000000000001E-5</v>
      </c>
      <c r="E245" s="1007">
        <v>76114</v>
      </c>
      <c r="F245" s="1270"/>
      <c r="G245" s="1200">
        <v>9612</v>
      </c>
      <c r="H245" s="1200">
        <v>10711</v>
      </c>
      <c r="I245" s="1200">
        <v>5664</v>
      </c>
      <c r="J245" s="1007">
        <v>1968</v>
      </c>
      <c r="K245" s="1007">
        <v>27955</v>
      </c>
      <c r="L245" s="1270"/>
      <c r="M245" s="1198">
        <v>0</v>
      </c>
      <c r="N245" s="1198">
        <v>0</v>
      </c>
      <c r="O245" s="1007">
        <v>0</v>
      </c>
      <c r="P245" s="1007">
        <v>0</v>
      </c>
      <c r="Q245" s="1270"/>
      <c r="R245" s="1200">
        <v>26175</v>
      </c>
      <c r="S245" s="1007">
        <v>1864</v>
      </c>
      <c r="T245" s="1306">
        <v>28039</v>
      </c>
    </row>
    <row r="246" spans="1:20" x14ac:dyDescent="0.25">
      <c r="A246" s="1203">
        <v>92504</v>
      </c>
      <c r="B246" s="1204" t="s">
        <v>2881</v>
      </c>
      <c r="C246" s="1303">
        <v>9.0799999999999998E-5</v>
      </c>
      <c r="D246" s="1303">
        <v>7.6299999999999998E-5</v>
      </c>
      <c r="E246" s="1007">
        <v>324467</v>
      </c>
      <c r="F246" s="1270"/>
      <c r="G246" s="1200">
        <v>40974</v>
      </c>
      <c r="H246" s="1200">
        <v>45660</v>
      </c>
      <c r="I246" s="1200">
        <v>24147</v>
      </c>
      <c r="J246" s="1007">
        <v>41238</v>
      </c>
      <c r="K246" s="1007">
        <v>152019</v>
      </c>
      <c r="L246" s="1270"/>
      <c r="M246" s="1198">
        <v>0</v>
      </c>
      <c r="N246" s="1198">
        <v>0</v>
      </c>
      <c r="O246" s="1007">
        <v>0</v>
      </c>
      <c r="P246" s="1007">
        <v>0</v>
      </c>
      <c r="Q246" s="1270"/>
      <c r="R246" s="1200">
        <v>111582</v>
      </c>
      <c r="S246" s="1007">
        <v>18430</v>
      </c>
      <c r="T246" s="1306">
        <v>130012</v>
      </c>
    </row>
    <row r="247" spans="1:20" x14ac:dyDescent="0.25">
      <c r="A247" s="1203">
        <v>92505</v>
      </c>
      <c r="B247" s="1204" t="s">
        <v>2882</v>
      </c>
      <c r="C247" s="1303">
        <v>1.674E-4</v>
      </c>
      <c r="D247" s="1303">
        <v>1.7090000000000001E-4</v>
      </c>
      <c r="E247" s="1007">
        <v>598192</v>
      </c>
      <c r="F247" s="1270"/>
      <c r="G247" s="1200">
        <v>75541</v>
      </c>
      <c r="H247" s="1200">
        <v>84179</v>
      </c>
      <c r="I247" s="1200">
        <v>44517</v>
      </c>
      <c r="J247" s="1007">
        <v>76409</v>
      </c>
      <c r="K247" s="1007">
        <v>280646</v>
      </c>
      <c r="L247" s="1270"/>
      <c r="M247" s="1198">
        <v>0</v>
      </c>
      <c r="N247" s="1198">
        <v>0</v>
      </c>
      <c r="O247" s="1007">
        <v>0</v>
      </c>
      <c r="P247" s="1007">
        <v>0</v>
      </c>
      <c r="Q247" s="1270"/>
      <c r="R247" s="1200">
        <v>205714</v>
      </c>
      <c r="S247" s="1007">
        <v>36249</v>
      </c>
      <c r="T247" s="1306">
        <v>241963</v>
      </c>
    </row>
    <row r="248" spans="1:20" x14ac:dyDescent="0.25">
      <c r="A248" s="1203">
        <v>92506</v>
      </c>
      <c r="B248" s="1204" t="s">
        <v>2883</v>
      </c>
      <c r="C248" s="1303">
        <v>6.0600000000000003E-5</v>
      </c>
      <c r="D248" s="1303">
        <v>5.38E-5</v>
      </c>
      <c r="E248" s="1007">
        <v>216550</v>
      </c>
      <c r="F248" s="1270"/>
      <c r="G248" s="1200">
        <v>27346</v>
      </c>
      <c r="H248" s="1200">
        <v>30473</v>
      </c>
      <c r="I248" s="1200">
        <v>16116</v>
      </c>
      <c r="J248" s="1007">
        <v>24783</v>
      </c>
      <c r="K248" s="1007">
        <v>98718</v>
      </c>
      <c r="L248" s="1270"/>
      <c r="M248" s="1198">
        <v>0</v>
      </c>
      <c r="N248" s="1198">
        <v>0</v>
      </c>
      <c r="O248" s="1007">
        <v>1000</v>
      </c>
      <c r="P248" s="1007">
        <v>1000</v>
      </c>
      <c r="Q248" s="1270"/>
      <c r="R248" s="1200">
        <v>74470</v>
      </c>
      <c r="S248" s="1007">
        <v>11666</v>
      </c>
      <c r="T248" s="1306">
        <v>86136</v>
      </c>
    </row>
    <row r="249" spans="1:20" x14ac:dyDescent="0.25">
      <c r="A249" s="1203">
        <v>92507</v>
      </c>
      <c r="B249" s="1204" t="s">
        <v>2884</v>
      </c>
      <c r="C249" s="1303">
        <v>9.0799999999999998E-5</v>
      </c>
      <c r="D249" s="1303">
        <v>1.01E-4</v>
      </c>
      <c r="E249" s="1007">
        <v>324467</v>
      </c>
      <c r="F249" s="1270"/>
      <c r="G249" s="1200">
        <v>40974</v>
      </c>
      <c r="H249" s="1200">
        <v>45660</v>
      </c>
      <c r="I249" s="1200">
        <v>24147</v>
      </c>
      <c r="J249" s="1007">
        <v>3900</v>
      </c>
      <c r="K249" s="1007">
        <v>114681</v>
      </c>
      <c r="L249" s="1270"/>
      <c r="M249" s="1198">
        <v>0</v>
      </c>
      <c r="N249" s="1198">
        <v>0</v>
      </c>
      <c r="O249" s="1007">
        <v>14362</v>
      </c>
      <c r="P249" s="1007">
        <v>14362</v>
      </c>
      <c r="Q249" s="1270"/>
      <c r="R249" s="1200">
        <v>111582</v>
      </c>
      <c r="S249" s="1007">
        <v>-5272</v>
      </c>
      <c r="T249" s="1306">
        <v>106310</v>
      </c>
    </row>
    <row r="250" spans="1:20" x14ac:dyDescent="0.25">
      <c r="A250" s="1203">
        <v>92508</v>
      </c>
      <c r="B250" s="1204" t="s">
        <v>2885</v>
      </c>
      <c r="C250" s="1303">
        <v>3.057E-4</v>
      </c>
      <c r="D250" s="1303">
        <v>3.102E-4</v>
      </c>
      <c r="E250" s="1007">
        <v>1092396</v>
      </c>
      <c r="F250" s="1270"/>
      <c r="G250" s="1200">
        <v>137950</v>
      </c>
      <c r="H250" s="1200">
        <v>153725</v>
      </c>
      <c r="I250" s="1200">
        <v>81296</v>
      </c>
      <c r="J250" s="1007">
        <v>43078</v>
      </c>
      <c r="K250" s="1007">
        <v>416049</v>
      </c>
      <c r="L250" s="1270"/>
      <c r="M250" s="1198">
        <v>0</v>
      </c>
      <c r="N250" s="1198">
        <v>0</v>
      </c>
      <c r="O250" s="1007">
        <v>0</v>
      </c>
      <c r="P250" s="1007">
        <v>0</v>
      </c>
      <c r="Q250" s="1270"/>
      <c r="R250" s="1200">
        <v>375667</v>
      </c>
      <c r="S250" s="1007">
        <v>14666</v>
      </c>
      <c r="T250" s="1306">
        <v>390333</v>
      </c>
    </row>
    <row r="251" spans="1:20" x14ac:dyDescent="0.25">
      <c r="A251" s="1203">
        <v>92509</v>
      </c>
      <c r="B251" s="1204" t="s">
        <v>2886</v>
      </c>
      <c r="C251" s="1303">
        <v>0</v>
      </c>
      <c r="D251" s="1303">
        <v>0</v>
      </c>
      <c r="E251" s="1007">
        <v>0</v>
      </c>
      <c r="F251" s="1270"/>
      <c r="G251" s="1200">
        <v>0</v>
      </c>
      <c r="H251" s="1200">
        <v>0</v>
      </c>
      <c r="I251" s="1200">
        <v>0</v>
      </c>
      <c r="J251" s="1007">
        <v>0</v>
      </c>
      <c r="K251" s="1007">
        <v>0</v>
      </c>
      <c r="L251" s="1270"/>
      <c r="M251" s="1198">
        <v>0</v>
      </c>
      <c r="N251" s="1198">
        <v>0</v>
      </c>
      <c r="O251" s="1007">
        <v>0</v>
      </c>
      <c r="P251" s="1007">
        <v>0</v>
      </c>
      <c r="Q251" s="1270"/>
      <c r="R251" s="1200">
        <v>0</v>
      </c>
      <c r="S251" s="1007">
        <v>-260868</v>
      </c>
      <c r="T251" s="1306">
        <v>-260868</v>
      </c>
    </row>
    <row r="252" spans="1:20" x14ac:dyDescent="0.25">
      <c r="A252" s="1203">
        <v>92511</v>
      </c>
      <c r="B252" s="1204" t="s">
        <v>2887</v>
      </c>
      <c r="C252" s="1303">
        <v>3.3302000000000002E-3</v>
      </c>
      <c r="D252" s="1303">
        <v>3.5699999999999998E-3</v>
      </c>
      <c r="E252" s="1007">
        <v>11900223</v>
      </c>
      <c r="F252" s="1270"/>
      <c r="G252" s="1200">
        <v>1502789</v>
      </c>
      <c r="H252" s="1200">
        <v>1674638</v>
      </c>
      <c r="I252" s="1200">
        <v>885610</v>
      </c>
      <c r="J252" s="1007">
        <v>136186</v>
      </c>
      <c r="K252" s="1007">
        <v>4199223</v>
      </c>
      <c r="L252" s="1270"/>
      <c r="M252" s="1198">
        <v>0</v>
      </c>
      <c r="N252" s="1198">
        <v>0</v>
      </c>
      <c r="O252" s="1007">
        <v>322516</v>
      </c>
      <c r="P252" s="1007">
        <v>322516</v>
      </c>
      <c r="Q252" s="1270"/>
      <c r="R252" s="1200">
        <v>4092400</v>
      </c>
      <c r="S252" s="1007">
        <v>-111612</v>
      </c>
      <c r="T252" s="1306">
        <v>3980788</v>
      </c>
    </row>
    <row r="253" spans="1:20" x14ac:dyDescent="0.25">
      <c r="A253" s="1203">
        <v>92513</v>
      </c>
      <c r="B253" s="1204" t="s">
        <v>2888</v>
      </c>
      <c r="C253" s="1303">
        <v>3.8999999999999998E-3</v>
      </c>
      <c r="D253" s="1303">
        <v>3.9484999999999998E-3</v>
      </c>
      <c r="E253" s="1007">
        <v>13936361</v>
      </c>
      <c r="F253" s="1270"/>
      <c r="G253" s="1200">
        <v>1759918</v>
      </c>
      <c r="H253" s="1200">
        <v>1961170</v>
      </c>
      <c r="I253" s="1200">
        <v>1037139</v>
      </c>
      <c r="J253" s="1007">
        <v>0</v>
      </c>
      <c r="K253" s="1007">
        <v>4758227</v>
      </c>
      <c r="L253" s="1270"/>
      <c r="M253" s="1198">
        <v>0</v>
      </c>
      <c r="N253" s="1198">
        <v>0</v>
      </c>
      <c r="O253" s="1007">
        <v>347111</v>
      </c>
      <c r="P253" s="1007">
        <v>347111</v>
      </c>
      <c r="Q253" s="1270"/>
      <c r="R253" s="1200">
        <v>4792613</v>
      </c>
      <c r="S253" s="1007">
        <v>294667</v>
      </c>
      <c r="T253" s="1306">
        <v>5087280</v>
      </c>
    </row>
    <row r="254" spans="1:20" x14ac:dyDescent="0.25">
      <c r="A254" s="1203">
        <v>92521</v>
      </c>
      <c r="B254" s="1204" t="s">
        <v>2889</v>
      </c>
      <c r="C254" s="1303">
        <v>6.7100000000000005E-5</v>
      </c>
      <c r="D254" s="1303">
        <v>7.7399999999999998E-5</v>
      </c>
      <c r="E254" s="1007">
        <v>239777</v>
      </c>
      <c r="F254" s="1270"/>
      <c r="G254" s="1200">
        <v>30280</v>
      </c>
      <c r="H254" s="1200">
        <v>33742</v>
      </c>
      <c r="I254" s="1200">
        <v>17844</v>
      </c>
      <c r="J254" s="1007">
        <v>0</v>
      </c>
      <c r="K254" s="1007">
        <v>81866</v>
      </c>
      <c r="L254" s="1270"/>
      <c r="M254" s="1198">
        <v>0</v>
      </c>
      <c r="N254" s="1198">
        <v>0</v>
      </c>
      <c r="O254" s="1007">
        <v>15265</v>
      </c>
      <c r="P254" s="1007">
        <v>15265</v>
      </c>
      <c r="Q254" s="1270"/>
      <c r="R254" s="1200">
        <v>82458</v>
      </c>
      <c r="S254" s="1007">
        <v>-7451</v>
      </c>
      <c r="T254" s="1306">
        <v>75007</v>
      </c>
    </row>
    <row r="255" spans="1:20" x14ac:dyDescent="0.25">
      <c r="A255" s="1203">
        <v>92531</v>
      </c>
      <c r="B255" s="1204" t="s">
        <v>2890</v>
      </c>
      <c r="C255" s="1303">
        <v>8.4690000000000004E-4</v>
      </c>
      <c r="D255" s="1303">
        <v>8.2580000000000001E-4</v>
      </c>
      <c r="E255" s="1007">
        <v>3026334</v>
      </c>
      <c r="F255" s="1270"/>
      <c r="G255" s="1200">
        <v>382173</v>
      </c>
      <c r="H255" s="1200">
        <v>425875</v>
      </c>
      <c r="I255" s="1200">
        <v>225219</v>
      </c>
      <c r="J255" s="1007">
        <v>0</v>
      </c>
      <c r="K255" s="1007">
        <v>1033267</v>
      </c>
      <c r="L255" s="1270"/>
      <c r="M255" s="1198">
        <v>0</v>
      </c>
      <c r="N255" s="1198">
        <v>0</v>
      </c>
      <c r="O255" s="1007">
        <v>58560</v>
      </c>
      <c r="P255" s="1007">
        <v>58560</v>
      </c>
      <c r="Q255" s="1270"/>
      <c r="R255" s="1200">
        <v>1040734</v>
      </c>
      <c r="S255" s="1007">
        <v>-43632</v>
      </c>
      <c r="T255" s="1306">
        <v>997102</v>
      </c>
    </row>
    <row r="256" spans="1:20" x14ac:dyDescent="0.25">
      <c r="A256" s="1203">
        <v>92541</v>
      </c>
      <c r="B256" s="1204" t="s">
        <v>2891</v>
      </c>
      <c r="C256" s="1303">
        <v>1.462E-4</v>
      </c>
      <c r="D256" s="1303">
        <v>1.3740000000000001E-4</v>
      </c>
      <c r="E256" s="1007">
        <v>522435</v>
      </c>
      <c r="F256" s="1270"/>
      <c r="G256" s="1200">
        <v>65974</v>
      </c>
      <c r="H256" s="1200">
        <v>73519</v>
      </c>
      <c r="I256" s="1200">
        <v>38879</v>
      </c>
      <c r="J256" s="1007">
        <v>17458</v>
      </c>
      <c r="K256" s="1007">
        <v>195830</v>
      </c>
      <c r="L256" s="1270"/>
      <c r="M256" s="1198">
        <v>0</v>
      </c>
      <c r="N256" s="1198">
        <v>0</v>
      </c>
      <c r="O256" s="1007">
        <v>8726</v>
      </c>
      <c r="P256" s="1007">
        <v>8726</v>
      </c>
      <c r="Q256" s="1270"/>
      <c r="R256" s="1200">
        <v>179662</v>
      </c>
      <c r="S256" s="1007">
        <v>2120</v>
      </c>
      <c r="T256" s="1306">
        <v>181782</v>
      </c>
    </row>
    <row r="257" spans="1:20" x14ac:dyDescent="0.25">
      <c r="A257" s="1203">
        <v>92551</v>
      </c>
      <c r="B257" s="1204" t="s">
        <v>2892</v>
      </c>
      <c r="C257" s="1303">
        <v>5.49E-5</v>
      </c>
      <c r="D257" s="1303">
        <v>5.7099999999999999E-5</v>
      </c>
      <c r="E257" s="1007">
        <v>196181</v>
      </c>
      <c r="F257" s="1270"/>
      <c r="G257" s="1200">
        <v>24774</v>
      </c>
      <c r="H257" s="1200">
        <v>27607</v>
      </c>
      <c r="I257" s="1200">
        <v>14600</v>
      </c>
      <c r="J257" s="1007">
        <v>6440</v>
      </c>
      <c r="K257" s="1007">
        <v>73421</v>
      </c>
      <c r="L257" s="1270"/>
      <c r="M257" s="1198">
        <v>0</v>
      </c>
      <c r="N257" s="1198">
        <v>0</v>
      </c>
      <c r="O257" s="1007">
        <v>10167</v>
      </c>
      <c r="P257" s="1007">
        <v>10167</v>
      </c>
      <c r="Q257" s="1270"/>
      <c r="R257" s="1200">
        <v>67465</v>
      </c>
      <c r="S257" s="1007">
        <v>-2781</v>
      </c>
      <c r="T257" s="1306">
        <v>64684</v>
      </c>
    </row>
    <row r="258" spans="1:20" x14ac:dyDescent="0.25">
      <c r="A258" s="1203">
        <v>92561</v>
      </c>
      <c r="B258" s="1204" t="s">
        <v>2893</v>
      </c>
      <c r="C258" s="1303">
        <v>1.2999999999999999E-5</v>
      </c>
      <c r="D258" s="1303">
        <v>1.7900000000000001E-5</v>
      </c>
      <c r="E258" s="1007">
        <v>46455</v>
      </c>
      <c r="F258" s="1270"/>
      <c r="G258" s="1200">
        <v>5866</v>
      </c>
      <c r="H258" s="1200">
        <v>6538</v>
      </c>
      <c r="I258" s="1200">
        <v>3457</v>
      </c>
      <c r="J258" s="1007">
        <v>189</v>
      </c>
      <c r="K258" s="1007">
        <v>16050</v>
      </c>
      <c r="L258" s="1270"/>
      <c r="M258" s="1198">
        <v>0</v>
      </c>
      <c r="N258" s="1198">
        <v>0</v>
      </c>
      <c r="O258" s="1007">
        <v>6708</v>
      </c>
      <c r="P258" s="1007">
        <v>6708</v>
      </c>
      <c r="Q258" s="1270"/>
      <c r="R258" s="1200">
        <v>15975</v>
      </c>
      <c r="S258" s="1007">
        <v>-1318</v>
      </c>
      <c r="T258" s="1306">
        <v>14657</v>
      </c>
    </row>
    <row r="259" spans="1:20" x14ac:dyDescent="0.25">
      <c r="A259" s="1203">
        <v>92571</v>
      </c>
      <c r="B259" s="1204" t="s">
        <v>2894</v>
      </c>
      <c r="C259" s="1303">
        <v>4.4000000000000002E-6</v>
      </c>
      <c r="D259" s="1303">
        <v>8.1999999999999994E-6</v>
      </c>
      <c r="E259" s="1007">
        <v>15723</v>
      </c>
      <c r="F259" s="1270"/>
      <c r="G259" s="1200">
        <v>1986</v>
      </c>
      <c r="H259" s="1200">
        <v>2213</v>
      </c>
      <c r="I259" s="1200">
        <v>1170</v>
      </c>
      <c r="J259" s="1007">
        <v>2233</v>
      </c>
      <c r="K259" s="1007">
        <v>7602</v>
      </c>
      <c r="L259" s="1270"/>
      <c r="M259" s="1198">
        <v>0</v>
      </c>
      <c r="N259" s="1198">
        <v>0</v>
      </c>
      <c r="O259" s="1007">
        <v>3283</v>
      </c>
      <c r="P259" s="1007">
        <v>3283</v>
      </c>
      <c r="Q259" s="1270"/>
      <c r="R259" s="1200">
        <v>5407</v>
      </c>
      <c r="S259" s="1007">
        <v>1537</v>
      </c>
      <c r="T259" s="1306">
        <v>6944</v>
      </c>
    </row>
    <row r="260" spans="1:20" x14ac:dyDescent="0.25">
      <c r="A260" s="1203">
        <v>92601</v>
      </c>
      <c r="B260" s="1204" t="s">
        <v>2895</v>
      </c>
      <c r="C260" s="1303">
        <v>1.27283E-2</v>
      </c>
      <c r="D260" s="1303">
        <v>1.32598E-2</v>
      </c>
      <c r="E260" s="1007">
        <v>45483638</v>
      </c>
      <c r="F260" s="1270"/>
      <c r="G260" s="1200">
        <v>5743785</v>
      </c>
      <c r="H260" s="1200">
        <v>6400603</v>
      </c>
      <c r="I260" s="1200">
        <v>3384875</v>
      </c>
      <c r="J260" s="1007">
        <v>0</v>
      </c>
      <c r="K260" s="1007">
        <v>15529263</v>
      </c>
      <c r="L260" s="1270"/>
      <c r="M260" s="1198">
        <v>0</v>
      </c>
      <c r="N260" s="1198">
        <v>0</v>
      </c>
      <c r="O260" s="1007">
        <v>1015294</v>
      </c>
      <c r="P260" s="1007">
        <v>1015294</v>
      </c>
      <c r="Q260" s="1270"/>
      <c r="R260" s="1200">
        <v>15641490</v>
      </c>
      <c r="S260" s="1007">
        <v>-438195</v>
      </c>
      <c r="T260" s="1306">
        <v>15203295</v>
      </c>
    </row>
    <row r="261" spans="1:20" x14ac:dyDescent="0.25">
      <c r="A261" s="1203">
        <v>92602</v>
      </c>
      <c r="B261" s="1204" t="s">
        <v>2896</v>
      </c>
      <c r="C261" s="1303">
        <v>4.5000000000000001E-6</v>
      </c>
      <c r="D261" s="1303">
        <v>4.8999999999999997E-6</v>
      </c>
      <c r="E261" s="1007">
        <v>16080</v>
      </c>
      <c r="F261" s="1270"/>
      <c r="G261" s="1200">
        <v>2031</v>
      </c>
      <c r="H261" s="1200">
        <v>2263</v>
      </c>
      <c r="I261" s="1200">
        <v>1197</v>
      </c>
      <c r="J261" s="1007">
        <v>0</v>
      </c>
      <c r="K261" s="1007">
        <v>5491</v>
      </c>
      <c r="L261" s="1270"/>
      <c r="M261" s="1198">
        <v>0</v>
      </c>
      <c r="N261" s="1198">
        <v>0</v>
      </c>
      <c r="O261" s="1007">
        <v>2836</v>
      </c>
      <c r="P261" s="1007">
        <v>2836</v>
      </c>
      <c r="Q261" s="1270"/>
      <c r="R261" s="1200">
        <v>5530</v>
      </c>
      <c r="S261" s="1007">
        <v>-1157</v>
      </c>
      <c r="T261" s="1306">
        <v>4373</v>
      </c>
    </row>
    <row r="262" spans="1:20" x14ac:dyDescent="0.25">
      <c r="A262" s="1203">
        <v>92604</v>
      </c>
      <c r="B262" s="1204" t="s">
        <v>2897</v>
      </c>
      <c r="C262" s="1303">
        <v>3.6390000000000001E-4</v>
      </c>
      <c r="D262" s="1303">
        <v>3.501E-4</v>
      </c>
      <c r="E262" s="1007">
        <v>1300370</v>
      </c>
      <c r="F262" s="1270"/>
      <c r="G262" s="1200">
        <v>164214</v>
      </c>
      <c r="H262" s="1200">
        <v>182992</v>
      </c>
      <c r="I262" s="1200">
        <v>96773</v>
      </c>
      <c r="J262" s="1007">
        <v>69742</v>
      </c>
      <c r="K262" s="1007">
        <v>513721</v>
      </c>
      <c r="L262" s="1270"/>
      <c r="M262" s="1198">
        <v>0</v>
      </c>
      <c r="N262" s="1198">
        <v>0</v>
      </c>
      <c r="O262" s="1007">
        <v>0</v>
      </c>
      <c r="P262" s="1007">
        <v>0</v>
      </c>
      <c r="Q262" s="1270"/>
      <c r="R262" s="1200">
        <v>447188</v>
      </c>
      <c r="S262" s="1007">
        <v>34414</v>
      </c>
      <c r="T262" s="1306">
        <v>481602</v>
      </c>
    </row>
    <row r="263" spans="1:20" x14ac:dyDescent="0.25">
      <c r="A263" s="1203">
        <v>92607</v>
      </c>
      <c r="B263" s="1204" t="s">
        <v>2898</v>
      </c>
      <c r="C263" s="1303">
        <v>7.08E-5</v>
      </c>
      <c r="D263" s="1303">
        <v>5.6700000000000003E-5</v>
      </c>
      <c r="E263" s="1007">
        <v>252999</v>
      </c>
      <c r="F263" s="1270"/>
      <c r="G263" s="1200">
        <v>31949</v>
      </c>
      <c r="H263" s="1200">
        <v>35603</v>
      </c>
      <c r="I263" s="1200">
        <v>18828</v>
      </c>
      <c r="J263" s="1007">
        <v>24697</v>
      </c>
      <c r="K263" s="1007">
        <v>111077</v>
      </c>
      <c r="L263" s="1270"/>
      <c r="M263" s="1198">
        <v>0</v>
      </c>
      <c r="N263" s="1198">
        <v>0</v>
      </c>
      <c r="O263" s="1007">
        <v>569</v>
      </c>
      <c r="P263" s="1007">
        <v>569</v>
      </c>
      <c r="Q263" s="1270"/>
      <c r="R263" s="1200">
        <v>87004</v>
      </c>
      <c r="S263" s="1007">
        <v>9576</v>
      </c>
      <c r="T263" s="1306">
        <v>96580</v>
      </c>
    </row>
    <row r="264" spans="1:20" x14ac:dyDescent="0.25">
      <c r="A264" s="1203">
        <v>92608</v>
      </c>
      <c r="B264" s="1204" t="s">
        <v>2899</v>
      </c>
      <c r="C264" s="1303">
        <v>0</v>
      </c>
      <c r="D264" s="1303">
        <v>0</v>
      </c>
      <c r="E264" s="1007">
        <v>0</v>
      </c>
      <c r="F264" s="1270"/>
      <c r="G264" s="1200">
        <v>0</v>
      </c>
      <c r="H264" s="1200">
        <v>0</v>
      </c>
      <c r="I264" s="1200">
        <v>0</v>
      </c>
      <c r="J264" s="1007">
        <v>0</v>
      </c>
      <c r="K264" s="1007">
        <v>0</v>
      </c>
      <c r="L264" s="1270"/>
      <c r="M264" s="1198">
        <v>0</v>
      </c>
      <c r="N264" s="1198">
        <v>0</v>
      </c>
      <c r="O264" s="1007">
        <v>0</v>
      </c>
      <c r="P264" s="1007">
        <v>0</v>
      </c>
      <c r="Q264" s="1270"/>
      <c r="R264" s="1200">
        <v>0</v>
      </c>
      <c r="S264" s="1007">
        <v>0</v>
      </c>
      <c r="T264" s="1306">
        <v>0</v>
      </c>
    </row>
    <row r="265" spans="1:20" x14ac:dyDescent="0.25">
      <c r="A265" s="1203">
        <v>92611</v>
      </c>
      <c r="B265" s="1204" t="s">
        <v>2900</v>
      </c>
      <c r="C265" s="1303">
        <v>1.13896E-2</v>
      </c>
      <c r="D265" s="1303">
        <v>1.22078E-2</v>
      </c>
      <c r="E265" s="1007">
        <v>40699893</v>
      </c>
      <c r="F265" s="1270"/>
      <c r="G265" s="1200">
        <v>5139682</v>
      </c>
      <c r="H265" s="1200">
        <v>5727420</v>
      </c>
      <c r="I265" s="1200">
        <v>3028870</v>
      </c>
      <c r="J265" s="1007">
        <v>0</v>
      </c>
      <c r="K265" s="1007">
        <v>13895972</v>
      </c>
      <c r="L265" s="1270"/>
      <c r="M265" s="1198">
        <v>0</v>
      </c>
      <c r="N265" s="1198">
        <v>0</v>
      </c>
      <c r="O265" s="1007">
        <v>1991116</v>
      </c>
      <c r="P265" s="1007">
        <v>1991116</v>
      </c>
      <c r="Q265" s="1270"/>
      <c r="R265" s="1200">
        <v>13996395</v>
      </c>
      <c r="S265" s="1007">
        <v>-896272</v>
      </c>
      <c r="T265" s="1306">
        <v>13100123</v>
      </c>
    </row>
    <row r="266" spans="1:20" x14ac:dyDescent="0.25">
      <c r="A266" s="1203">
        <v>92613</v>
      </c>
      <c r="B266" s="1204" t="s">
        <v>2901</v>
      </c>
      <c r="C266" s="1303">
        <v>2.2249999999999999E-4</v>
      </c>
      <c r="D266" s="1303">
        <v>2.23E-4</v>
      </c>
      <c r="E266" s="1007">
        <v>795087</v>
      </c>
      <c r="F266" s="1270"/>
      <c r="G266" s="1200">
        <v>100406</v>
      </c>
      <c r="H266" s="1200">
        <v>111887</v>
      </c>
      <c r="I266" s="1200">
        <v>59170</v>
      </c>
      <c r="J266" s="1007">
        <v>34481</v>
      </c>
      <c r="K266" s="1007">
        <v>305944</v>
      </c>
      <c r="L266" s="1270"/>
      <c r="M266" s="1198">
        <v>0</v>
      </c>
      <c r="N266" s="1198">
        <v>0</v>
      </c>
      <c r="O266" s="1007">
        <v>544</v>
      </c>
      <c r="P266" s="1007">
        <v>544</v>
      </c>
      <c r="Q266" s="1270"/>
      <c r="R266" s="1200">
        <v>273425</v>
      </c>
      <c r="S266" s="1007">
        <v>15410</v>
      </c>
      <c r="T266" s="1306">
        <v>288835</v>
      </c>
    </row>
    <row r="267" spans="1:20" x14ac:dyDescent="0.25">
      <c r="A267" s="1203">
        <v>92614</v>
      </c>
      <c r="B267" s="1204" t="s">
        <v>2902</v>
      </c>
      <c r="C267" s="1303">
        <v>5.7264000000000004E-3</v>
      </c>
      <c r="D267" s="1303">
        <v>5.7201999999999999E-3</v>
      </c>
      <c r="E267" s="1007">
        <v>20462867</v>
      </c>
      <c r="F267" s="1270"/>
      <c r="G267" s="1200">
        <v>2584101</v>
      </c>
      <c r="H267" s="1200">
        <v>2879600</v>
      </c>
      <c r="I267" s="1200">
        <v>1522839</v>
      </c>
      <c r="J267" s="1007">
        <v>3113326</v>
      </c>
      <c r="K267" s="1007">
        <v>10099866</v>
      </c>
      <c r="L267" s="1270"/>
      <c r="M267" s="1198">
        <v>0</v>
      </c>
      <c r="N267" s="1198">
        <v>0</v>
      </c>
      <c r="O267" s="1007">
        <v>0</v>
      </c>
      <c r="P267" s="1007">
        <v>0</v>
      </c>
      <c r="Q267" s="1270"/>
      <c r="R267" s="1200">
        <v>7037030</v>
      </c>
      <c r="S267" s="1007">
        <v>1838850</v>
      </c>
      <c r="T267" s="1306">
        <v>8875880</v>
      </c>
    </row>
    <row r="268" spans="1:20" x14ac:dyDescent="0.25">
      <c r="A268" s="1203">
        <v>92621</v>
      </c>
      <c r="B268" s="1204" t="s">
        <v>2903</v>
      </c>
      <c r="C268" s="1303">
        <v>2.6999999999999999E-5</v>
      </c>
      <c r="D268" s="1303">
        <v>2.8900000000000001E-5</v>
      </c>
      <c r="E268" s="1007">
        <v>96483</v>
      </c>
      <c r="F268" s="1270"/>
      <c r="G268" s="1200">
        <v>12184</v>
      </c>
      <c r="H268" s="1200">
        <v>13578</v>
      </c>
      <c r="I268" s="1200">
        <v>7180</v>
      </c>
      <c r="J268" s="1007">
        <v>2525</v>
      </c>
      <c r="K268" s="1007">
        <v>35467</v>
      </c>
      <c r="L268" s="1270"/>
      <c r="M268" s="1198">
        <v>0</v>
      </c>
      <c r="N268" s="1198">
        <v>0</v>
      </c>
      <c r="O268" s="1007">
        <v>2405</v>
      </c>
      <c r="P268" s="1007">
        <v>2405</v>
      </c>
      <c r="Q268" s="1270"/>
      <c r="R268" s="1200">
        <v>33180</v>
      </c>
      <c r="S268" s="1007">
        <v>-1037</v>
      </c>
      <c r="T268" s="1306">
        <v>32143</v>
      </c>
    </row>
    <row r="269" spans="1:20" x14ac:dyDescent="0.25">
      <c r="A269" s="1203">
        <v>92631</v>
      </c>
      <c r="B269" s="1204" t="s">
        <v>2904</v>
      </c>
      <c r="C269" s="1303">
        <v>9.0229999999999998E-4</v>
      </c>
      <c r="D269" s="1303">
        <v>9.3329999999999997E-4</v>
      </c>
      <c r="E269" s="1007">
        <v>3224302</v>
      </c>
      <c r="F269" s="1270"/>
      <c r="G269" s="1200">
        <v>407173</v>
      </c>
      <c r="H269" s="1200">
        <v>453734</v>
      </c>
      <c r="I269" s="1200">
        <v>239951</v>
      </c>
      <c r="J269" s="1007">
        <v>0</v>
      </c>
      <c r="K269" s="1007">
        <v>1100858</v>
      </c>
      <c r="L269" s="1270"/>
      <c r="M269" s="1198">
        <v>0</v>
      </c>
      <c r="N269" s="1198">
        <v>0</v>
      </c>
      <c r="O269" s="1007">
        <v>106259</v>
      </c>
      <c r="P269" s="1007">
        <v>106259</v>
      </c>
      <c r="Q269" s="1270"/>
      <c r="R269" s="1200">
        <v>1108814</v>
      </c>
      <c r="S269" s="1007">
        <v>-65950</v>
      </c>
      <c r="T269" s="1306">
        <v>1042864</v>
      </c>
    </row>
    <row r="270" spans="1:20" x14ac:dyDescent="0.25">
      <c r="A270" s="1203">
        <v>92641</v>
      </c>
      <c r="B270" s="1204" t="s">
        <v>2905</v>
      </c>
      <c r="C270" s="1303">
        <v>9.9000000000000001E-6</v>
      </c>
      <c r="D270" s="1303">
        <v>1.11E-5</v>
      </c>
      <c r="E270" s="1007">
        <v>35377</v>
      </c>
      <c r="F270" s="1270"/>
      <c r="G270" s="1200">
        <v>4467</v>
      </c>
      <c r="H270" s="1200">
        <v>4979</v>
      </c>
      <c r="I270" s="1200">
        <v>2633</v>
      </c>
      <c r="J270" s="1007">
        <v>4198</v>
      </c>
      <c r="K270" s="1007">
        <v>16277</v>
      </c>
      <c r="L270" s="1270"/>
      <c r="M270" s="1198">
        <v>0</v>
      </c>
      <c r="N270" s="1198">
        <v>0</v>
      </c>
      <c r="O270" s="1007">
        <v>0</v>
      </c>
      <c r="P270" s="1007">
        <v>0</v>
      </c>
      <c r="Q270" s="1270"/>
      <c r="R270" s="1200">
        <v>12166</v>
      </c>
      <c r="S270" s="1007">
        <v>1720</v>
      </c>
      <c r="T270" s="1306">
        <v>13886</v>
      </c>
    </row>
    <row r="271" spans="1:20" x14ac:dyDescent="0.25">
      <c r="A271" s="1203">
        <v>92651</v>
      </c>
      <c r="B271" s="1204" t="s">
        <v>2906</v>
      </c>
      <c r="C271" s="1303">
        <v>4.3000000000000003E-6</v>
      </c>
      <c r="D271" s="1303">
        <v>4.3000000000000003E-6</v>
      </c>
      <c r="E271" s="1007">
        <v>15366</v>
      </c>
      <c r="F271" s="1270"/>
      <c r="G271" s="1200">
        <v>1940</v>
      </c>
      <c r="H271" s="1200">
        <v>2162</v>
      </c>
      <c r="I271" s="1200">
        <v>1144</v>
      </c>
      <c r="J271" s="1007">
        <v>1712</v>
      </c>
      <c r="K271" s="1007">
        <v>6958</v>
      </c>
      <c r="L271" s="1270"/>
      <c r="M271" s="1198">
        <v>0</v>
      </c>
      <c r="N271" s="1198">
        <v>0</v>
      </c>
      <c r="O271" s="1007">
        <v>0</v>
      </c>
      <c r="P271" s="1007">
        <v>0</v>
      </c>
      <c r="Q271" s="1270"/>
      <c r="R271" s="1200">
        <v>5284</v>
      </c>
      <c r="S271" s="1007">
        <v>1278</v>
      </c>
      <c r="T271" s="1306">
        <v>6562</v>
      </c>
    </row>
    <row r="272" spans="1:20" ht="14.25" customHeight="1" x14ac:dyDescent="0.25">
      <c r="A272" s="1203">
        <v>92661</v>
      </c>
      <c r="B272" s="1204" t="s">
        <v>2907</v>
      </c>
      <c r="C272" s="1303">
        <v>6.4720000000000001E-4</v>
      </c>
      <c r="D272" s="1303">
        <v>6.2509999999999996E-4</v>
      </c>
      <c r="E272" s="1007">
        <v>2312721</v>
      </c>
      <c r="F272" s="1270"/>
      <c r="G272" s="1200">
        <v>292056</v>
      </c>
      <c r="H272" s="1200">
        <v>325453</v>
      </c>
      <c r="I272" s="1200">
        <v>172112</v>
      </c>
      <c r="J272" s="1007">
        <v>290649</v>
      </c>
      <c r="K272" s="1007">
        <v>1080270</v>
      </c>
      <c r="L272" s="1270"/>
      <c r="M272" s="1198">
        <v>0</v>
      </c>
      <c r="N272" s="1198">
        <v>0</v>
      </c>
      <c r="O272" s="1007">
        <v>0</v>
      </c>
      <c r="P272" s="1007">
        <v>0</v>
      </c>
      <c r="Q272" s="1270"/>
      <c r="R272" s="1200">
        <v>795328</v>
      </c>
      <c r="S272" s="1007">
        <v>188102</v>
      </c>
      <c r="T272" s="1306">
        <v>983430</v>
      </c>
    </row>
    <row r="273" spans="1:20" s="1272" customFormat="1" ht="14.25" customHeight="1" x14ac:dyDescent="0.25">
      <c r="A273" s="1203">
        <v>92671</v>
      </c>
      <c r="B273" s="1204" t="s">
        <v>2908</v>
      </c>
      <c r="C273" s="1303">
        <v>1.9E-6</v>
      </c>
      <c r="D273" s="1303">
        <v>2.0999999999999998E-6</v>
      </c>
      <c r="E273" s="1007">
        <v>6790</v>
      </c>
      <c r="F273" s="1270"/>
      <c r="G273" s="1200">
        <v>857</v>
      </c>
      <c r="H273" s="1200">
        <v>955</v>
      </c>
      <c r="I273" s="1200">
        <v>505</v>
      </c>
      <c r="J273" s="1007">
        <v>6511</v>
      </c>
      <c r="K273" s="1007">
        <v>8828</v>
      </c>
      <c r="L273" s="1270"/>
      <c r="M273" s="1198">
        <v>0</v>
      </c>
      <c r="N273" s="1198">
        <v>0</v>
      </c>
      <c r="O273" s="1007">
        <v>0</v>
      </c>
      <c r="P273" s="1007">
        <v>0</v>
      </c>
      <c r="Q273" s="1270"/>
      <c r="R273" s="1200">
        <v>2335</v>
      </c>
      <c r="S273" s="1007">
        <v>3514</v>
      </c>
      <c r="T273" s="1306">
        <v>5849</v>
      </c>
    </row>
    <row r="274" spans="1:20" s="1272" customFormat="1" ht="14.25" customHeight="1" x14ac:dyDescent="0.25">
      <c r="A274" s="1203">
        <v>92681</v>
      </c>
      <c r="B274" s="1204" t="s">
        <v>2909</v>
      </c>
      <c r="C274" s="1303">
        <v>8.8000000000000004E-6</v>
      </c>
      <c r="D274" s="1303">
        <v>1.1800000000000001E-5</v>
      </c>
      <c r="E274" s="1007">
        <v>31446</v>
      </c>
      <c r="F274" s="1270"/>
      <c r="G274" s="1200">
        <v>3971</v>
      </c>
      <c r="H274" s="1200">
        <v>4425</v>
      </c>
      <c r="I274" s="1200">
        <v>2340</v>
      </c>
      <c r="J274" s="1007">
        <v>5787</v>
      </c>
      <c r="K274" s="1007">
        <v>16523</v>
      </c>
      <c r="L274" s="1270"/>
      <c r="M274" s="1198">
        <v>0</v>
      </c>
      <c r="N274" s="1198">
        <v>0</v>
      </c>
      <c r="O274" s="1007">
        <v>3817</v>
      </c>
      <c r="P274" s="1007">
        <v>3817</v>
      </c>
      <c r="Q274" s="1270"/>
      <c r="R274" s="1200">
        <v>10814</v>
      </c>
      <c r="S274" s="1007">
        <v>3628</v>
      </c>
      <c r="T274" s="1306">
        <v>14442</v>
      </c>
    </row>
    <row r="275" spans="1:20" x14ac:dyDescent="0.25">
      <c r="A275" s="1203">
        <v>92701</v>
      </c>
      <c r="B275" s="1204" t="s">
        <v>2910</v>
      </c>
      <c r="C275" s="1303">
        <v>3.0401E-3</v>
      </c>
      <c r="D275" s="1303">
        <v>3.0688999999999998E-3</v>
      </c>
      <c r="E275" s="1007">
        <v>10863572</v>
      </c>
      <c r="F275" s="1270"/>
      <c r="G275" s="1200">
        <v>1371879</v>
      </c>
      <c r="H275" s="1200">
        <v>1528757</v>
      </c>
      <c r="I275" s="1200">
        <v>808463</v>
      </c>
      <c r="J275" s="1007">
        <v>84874</v>
      </c>
      <c r="K275" s="1007">
        <v>3793973</v>
      </c>
      <c r="L275" s="1270"/>
      <c r="M275" s="1198">
        <v>0</v>
      </c>
      <c r="N275" s="1198">
        <v>0</v>
      </c>
      <c r="O275" s="1007">
        <v>213062</v>
      </c>
      <c r="P275" s="1007">
        <v>213062</v>
      </c>
      <c r="Q275" s="1270"/>
      <c r="R275" s="1200">
        <v>3735903</v>
      </c>
      <c r="S275" s="1007">
        <v>-45416</v>
      </c>
      <c r="T275" s="1306">
        <v>3690487</v>
      </c>
    </row>
    <row r="276" spans="1:20" x14ac:dyDescent="0.25">
      <c r="A276" s="1203">
        <v>92704</v>
      </c>
      <c r="B276" s="1204" t="s">
        <v>2911</v>
      </c>
      <c r="C276" s="1303">
        <v>3.6199999999999999E-5</v>
      </c>
      <c r="D276" s="1303">
        <v>3.6900000000000002E-5</v>
      </c>
      <c r="E276" s="1007">
        <v>129358</v>
      </c>
      <c r="F276" s="1270"/>
      <c r="G276" s="1200">
        <v>16336</v>
      </c>
      <c r="H276" s="1200">
        <v>18204</v>
      </c>
      <c r="I276" s="1200">
        <v>9627</v>
      </c>
      <c r="J276" s="1007">
        <v>476</v>
      </c>
      <c r="K276" s="1007">
        <v>44643</v>
      </c>
      <c r="L276" s="1270"/>
      <c r="M276" s="1198">
        <v>0</v>
      </c>
      <c r="N276" s="1198">
        <v>0</v>
      </c>
      <c r="O276" s="1007">
        <v>2874</v>
      </c>
      <c r="P276" s="1007">
        <v>2874</v>
      </c>
      <c r="Q276" s="1270"/>
      <c r="R276" s="1200">
        <v>44485</v>
      </c>
      <c r="S276" s="1007">
        <v>-2042</v>
      </c>
      <c r="T276" s="1306">
        <v>42443</v>
      </c>
    </row>
    <row r="277" spans="1:20" x14ac:dyDescent="0.25">
      <c r="A277" s="1203">
        <v>92801</v>
      </c>
      <c r="B277" s="1204" t="s">
        <v>2912</v>
      </c>
      <c r="C277" s="1303">
        <v>5.4752000000000004E-3</v>
      </c>
      <c r="D277" s="1303">
        <v>5.4352999999999997E-3</v>
      </c>
      <c r="E277" s="1007">
        <v>19565222</v>
      </c>
      <c r="F277" s="1270"/>
      <c r="G277" s="1200">
        <v>2470744</v>
      </c>
      <c r="H277" s="1200">
        <v>2753281</v>
      </c>
      <c r="I277" s="1200">
        <v>1456036</v>
      </c>
      <c r="J277" s="1007">
        <v>358918</v>
      </c>
      <c r="K277" s="1007">
        <v>7038979</v>
      </c>
      <c r="L277" s="1270"/>
      <c r="M277" s="1198">
        <v>0</v>
      </c>
      <c r="N277" s="1198">
        <v>0</v>
      </c>
      <c r="O277" s="1007">
        <v>0</v>
      </c>
      <c r="P277" s="1007">
        <v>0</v>
      </c>
      <c r="Q277" s="1270"/>
      <c r="R277" s="1200">
        <v>6728336</v>
      </c>
      <c r="S277" s="1007">
        <v>144605</v>
      </c>
      <c r="T277" s="1306">
        <v>6872941</v>
      </c>
    </row>
    <row r="278" spans="1:20" x14ac:dyDescent="0.25">
      <c r="A278" s="1203">
        <v>92802</v>
      </c>
      <c r="B278" s="1204" t="s">
        <v>2913</v>
      </c>
      <c r="C278" s="1303">
        <v>1.133E-4</v>
      </c>
      <c r="D278" s="1303">
        <v>1.198E-4</v>
      </c>
      <c r="E278" s="1007">
        <v>404869</v>
      </c>
      <c r="F278" s="1270"/>
      <c r="G278" s="1200">
        <v>51128</v>
      </c>
      <c r="H278" s="1200">
        <v>56975</v>
      </c>
      <c r="I278" s="1200">
        <v>30130</v>
      </c>
      <c r="J278" s="1007">
        <v>0</v>
      </c>
      <c r="K278" s="1007">
        <v>138233</v>
      </c>
      <c r="L278" s="1270"/>
      <c r="M278" s="1198">
        <v>0</v>
      </c>
      <c r="N278" s="1198">
        <v>0</v>
      </c>
      <c r="O278" s="1007">
        <v>20020</v>
      </c>
      <c r="P278" s="1007">
        <v>20020</v>
      </c>
      <c r="Q278" s="1270"/>
      <c r="R278" s="1200">
        <v>139232</v>
      </c>
      <c r="S278" s="1007">
        <v>-10286</v>
      </c>
      <c r="T278" s="1306">
        <v>128946</v>
      </c>
    </row>
    <row r="279" spans="1:20" x14ac:dyDescent="0.25">
      <c r="A279" s="1203">
        <v>92804</v>
      </c>
      <c r="B279" s="1204" t="s">
        <v>2914</v>
      </c>
      <c r="C279" s="1303">
        <v>1.493E-4</v>
      </c>
      <c r="D279" s="1303">
        <v>1.427E-4</v>
      </c>
      <c r="E279" s="1007">
        <v>533513</v>
      </c>
      <c r="F279" s="1270"/>
      <c r="G279" s="1200">
        <v>67373</v>
      </c>
      <c r="H279" s="1200">
        <v>75078</v>
      </c>
      <c r="I279" s="1200">
        <v>39704</v>
      </c>
      <c r="J279" s="1007">
        <v>6669</v>
      </c>
      <c r="K279" s="1007">
        <v>188824</v>
      </c>
      <c r="L279" s="1270"/>
      <c r="M279" s="1198">
        <v>0</v>
      </c>
      <c r="N279" s="1198">
        <v>0</v>
      </c>
      <c r="O279" s="1007">
        <v>10042</v>
      </c>
      <c r="P279" s="1007">
        <v>10042</v>
      </c>
      <c r="Q279" s="1270"/>
      <c r="R279" s="1200">
        <v>183471</v>
      </c>
      <c r="S279" s="1007">
        <v>-1312</v>
      </c>
      <c r="T279" s="1306">
        <v>182159</v>
      </c>
    </row>
    <row r="280" spans="1:20" x14ac:dyDescent="0.25">
      <c r="A280" s="1203">
        <v>92811</v>
      </c>
      <c r="B280" s="1204" t="s">
        <v>2915</v>
      </c>
      <c r="C280" s="1303">
        <v>9.6020000000000003E-4</v>
      </c>
      <c r="D280" s="1303">
        <v>9.1160000000000004E-4</v>
      </c>
      <c r="E280" s="1007">
        <v>3431204</v>
      </c>
      <c r="F280" s="1270"/>
      <c r="G280" s="1200">
        <v>433301</v>
      </c>
      <c r="H280" s="1200">
        <v>482850</v>
      </c>
      <c r="I280" s="1200">
        <v>255349</v>
      </c>
      <c r="J280" s="1007">
        <v>66576</v>
      </c>
      <c r="K280" s="1007">
        <v>1238076</v>
      </c>
      <c r="L280" s="1270"/>
      <c r="M280" s="1198">
        <v>0</v>
      </c>
      <c r="N280" s="1198">
        <v>0</v>
      </c>
      <c r="O280" s="1007">
        <v>35243</v>
      </c>
      <c r="P280" s="1007">
        <v>35243</v>
      </c>
      <c r="Q280" s="1270"/>
      <c r="R280" s="1200">
        <v>1179966</v>
      </c>
      <c r="S280" s="1007">
        <v>-12898</v>
      </c>
      <c r="T280" s="1306">
        <v>1167068</v>
      </c>
    </row>
    <row r="281" spans="1:20" x14ac:dyDescent="0.25">
      <c r="A281" s="1203">
        <v>92821</v>
      </c>
      <c r="B281" s="1204" t="s">
        <v>2916</v>
      </c>
      <c r="C281" s="1303">
        <v>9.9109999999999997E-4</v>
      </c>
      <c r="D281" s="1303">
        <v>9.8409999999999991E-4</v>
      </c>
      <c r="E281" s="1007">
        <v>3541623</v>
      </c>
      <c r="F281" s="1270"/>
      <c r="G281" s="1200">
        <v>447245</v>
      </c>
      <c r="H281" s="1200">
        <v>498389</v>
      </c>
      <c r="I281" s="1200">
        <v>263566</v>
      </c>
      <c r="J281" s="1007">
        <v>52928</v>
      </c>
      <c r="K281" s="1007">
        <v>1262128</v>
      </c>
      <c r="L281" s="1270"/>
      <c r="M281" s="1198">
        <v>0</v>
      </c>
      <c r="N281" s="1198">
        <v>0</v>
      </c>
      <c r="O281" s="1007">
        <v>0</v>
      </c>
      <c r="P281" s="1007">
        <v>0</v>
      </c>
      <c r="Q281" s="1270"/>
      <c r="R281" s="1200">
        <v>1217938</v>
      </c>
      <c r="S281" s="1007">
        <v>23085</v>
      </c>
      <c r="T281" s="1306">
        <v>1241023</v>
      </c>
    </row>
    <row r="282" spans="1:20" x14ac:dyDescent="0.25">
      <c r="A282" s="1203">
        <v>92831</v>
      </c>
      <c r="B282" s="1204" t="s">
        <v>2917</v>
      </c>
      <c r="C282" s="1303">
        <v>2.6449999999999998E-4</v>
      </c>
      <c r="D282" s="1303">
        <v>2.5230000000000001E-4</v>
      </c>
      <c r="E282" s="1007">
        <v>945171</v>
      </c>
      <c r="F282" s="1270"/>
      <c r="G282" s="1200">
        <v>119359</v>
      </c>
      <c r="H282" s="1200">
        <v>133007</v>
      </c>
      <c r="I282" s="1200">
        <v>70339</v>
      </c>
      <c r="J282" s="1007">
        <v>65067</v>
      </c>
      <c r="K282" s="1007">
        <v>387772</v>
      </c>
      <c r="L282" s="1270"/>
      <c r="M282" s="1198">
        <v>0</v>
      </c>
      <c r="N282" s="1198">
        <v>0</v>
      </c>
      <c r="O282" s="1007">
        <v>538</v>
      </c>
      <c r="P282" s="1007">
        <v>538</v>
      </c>
      <c r="Q282" s="1270"/>
      <c r="R282" s="1200">
        <v>325037</v>
      </c>
      <c r="S282" s="1007">
        <v>26994</v>
      </c>
      <c r="T282" s="1306">
        <v>352031</v>
      </c>
    </row>
    <row r="283" spans="1:20" x14ac:dyDescent="0.25">
      <c r="A283" s="1203">
        <v>92841</v>
      </c>
      <c r="B283" s="1204" t="s">
        <v>2918</v>
      </c>
      <c r="C283" s="1303">
        <v>2.2110000000000001E-4</v>
      </c>
      <c r="D283" s="1303">
        <v>2.4340000000000001E-4</v>
      </c>
      <c r="E283" s="1007">
        <v>790084</v>
      </c>
      <c r="F283" s="1270"/>
      <c r="G283" s="1200">
        <v>99774</v>
      </c>
      <c r="H283" s="1200">
        <v>111183</v>
      </c>
      <c r="I283" s="1200">
        <v>58798</v>
      </c>
      <c r="J283" s="1007">
        <v>0</v>
      </c>
      <c r="K283" s="1007">
        <v>269755</v>
      </c>
      <c r="L283" s="1270"/>
      <c r="M283" s="1198">
        <v>0</v>
      </c>
      <c r="N283" s="1198">
        <v>0</v>
      </c>
      <c r="O283" s="1007">
        <v>41710</v>
      </c>
      <c r="P283" s="1007">
        <v>41710</v>
      </c>
      <c r="Q283" s="1270"/>
      <c r="R283" s="1200">
        <v>271704</v>
      </c>
      <c r="S283" s="1007">
        <v>-17562</v>
      </c>
      <c r="T283" s="1306">
        <v>254142</v>
      </c>
    </row>
    <row r="284" spans="1:20" x14ac:dyDescent="0.25">
      <c r="A284" s="1203">
        <v>92851</v>
      </c>
      <c r="B284" s="1204" t="s">
        <v>2919</v>
      </c>
      <c r="C284" s="1303">
        <v>3.9360000000000003E-4</v>
      </c>
      <c r="D284" s="1303">
        <v>4.2850000000000001E-4</v>
      </c>
      <c r="E284" s="1007">
        <v>1406500</v>
      </c>
      <c r="F284" s="1270"/>
      <c r="G284" s="1200">
        <v>177616</v>
      </c>
      <c r="H284" s="1200">
        <v>197927</v>
      </c>
      <c r="I284" s="1200">
        <v>104671</v>
      </c>
      <c r="J284" s="1007">
        <v>0</v>
      </c>
      <c r="K284" s="1007">
        <v>480214</v>
      </c>
      <c r="L284" s="1270"/>
      <c r="M284" s="1198">
        <v>0</v>
      </c>
      <c r="N284" s="1198">
        <v>0</v>
      </c>
      <c r="O284" s="1007">
        <v>95346</v>
      </c>
      <c r="P284" s="1007">
        <v>95346</v>
      </c>
      <c r="Q284" s="1270"/>
      <c r="R284" s="1200">
        <v>483685</v>
      </c>
      <c r="S284" s="1007">
        <v>-42844</v>
      </c>
      <c r="T284" s="1306">
        <v>440841</v>
      </c>
    </row>
    <row r="285" spans="1:20" x14ac:dyDescent="0.25">
      <c r="A285" s="1203">
        <v>92861</v>
      </c>
      <c r="B285" s="1204" t="s">
        <v>2920</v>
      </c>
      <c r="C285" s="1303">
        <v>3.7579999999999997E-4</v>
      </c>
      <c r="D285" s="1303">
        <v>3.6309999999999999E-4</v>
      </c>
      <c r="E285" s="1007">
        <v>1342893</v>
      </c>
      <c r="F285" s="1270"/>
      <c r="G285" s="1200">
        <v>169584</v>
      </c>
      <c r="H285" s="1200">
        <v>188976</v>
      </c>
      <c r="I285" s="1200">
        <v>99938</v>
      </c>
      <c r="J285" s="1007">
        <v>0</v>
      </c>
      <c r="K285" s="1007">
        <v>458498</v>
      </c>
      <c r="L285" s="1270"/>
      <c r="M285" s="1198">
        <v>0</v>
      </c>
      <c r="N285" s="1198">
        <v>0</v>
      </c>
      <c r="O285" s="1007">
        <v>51771</v>
      </c>
      <c r="P285" s="1007">
        <v>51771</v>
      </c>
      <c r="Q285" s="1270"/>
      <c r="R285" s="1200">
        <v>461811</v>
      </c>
      <c r="S285" s="1007">
        <v>-34090</v>
      </c>
      <c r="T285" s="1306">
        <v>427721</v>
      </c>
    </row>
    <row r="286" spans="1:20" x14ac:dyDescent="0.25">
      <c r="A286" s="1203">
        <v>92901</v>
      </c>
      <c r="B286" s="1204" t="s">
        <v>2921</v>
      </c>
      <c r="C286" s="1303">
        <v>5.4431999999999996E-3</v>
      </c>
      <c r="D286" s="1303">
        <v>5.4326000000000001E-3</v>
      </c>
      <c r="E286" s="1007">
        <v>19450872</v>
      </c>
      <c r="F286" s="1270"/>
      <c r="G286" s="1200">
        <v>2456304</v>
      </c>
      <c r="H286" s="1200">
        <v>2737189</v>
      </c>
      <c r="I286" s="1200">
        <v>1447527</v>
      </c>
      <c r="J286" s="1007">
        <v>123965</v>
      </c>
      <c r="K286" s="1007">
        <v>6764985</v>
      </c>
      <c r="L286" s="1270"/>
      <c r="M286" s="1198">
        <v>0</v>
      </c>
      <c r="N286" s="1198">
        <v>0</v>
      </c>
      <c r="O286" s="1007">
        <v>19927</v>
      </c>
      <c r="P286" s="1007">
        <v>19927</v>
      </c>
      <c r="Q286" s="1270"/>
      <c r="R286" s="1200">
        <v>6689012</v>
      </c>
      <c r="S286" s="1007">
        <v>6743</v>
      </c>
      <c r="T286" s="1306">
        <v>6695755</v>
      </c>
    </row>
    <row r="287" spans="1:20" x14ac:dyDescent="0.25">
      <c r="A287" s="1203">
        <v>92911</v>
      </c>
      <c r="B287" s="1204" t="s">
        <v>2922</v>
      </c>
      <c r="C287" s="1303">
        <v>1.8653000000000001E-3</v>
      </c>
      <c r="D287" s="1303">
        <v>1.9161E-3</v>
      </c>
      <c r="E287" s="1007">
        <v>6665512</v>
      </c>
      <c r="F287" s="1270"/>
      <c r="G287" s="1200">
        <v>841737</v>
      </c>
      <c r="H287" s="1200">
        <v>937992</v>
      </c>
      <c r="I287" s="1200">
        <v>496045</v>
      </c>
      <c r="J287" s="1007">
        <v>47997</v>
      </c>
      <c r="K287" s="1007">
        <v>2323771</v>
      </c>
      <c r="L287" s="1270"/>
      <c r="M287" s="1198">
        <v>0</v>
      </c>
      <c r="N287" s="1198">
        <v>0</v>
      </c>
      <c r="O287" s="1007">
        <v>0</v>
      </c>
      <c r="P287" s="1007">
        <v>0</v>
      </c>
      <c r="Q287" s="1270"/>
      <c r="R287" s="1200">
        <v>2292221</v>
      </c>
      <c r="S287" s="1007">
        <v>9621</v>
      </c>
      <c r="T287" s="1306">
        <v>2301842</v>
      </c>
    </row>
    <row r="288" spans="1:20" x14ac:dyDescent="0.25">
      <c r="A288" s="1203">
        <v>92913</v>
      </c>
      <c r="B288" s="1204" t="s">
        <v>2923</v>
      </c>
      <c r="C288" s="1303">
        <v>1.88E-5</v>
      </c>
      <c r="D288" s="1303">
        <v>2.0400000000000001E-5</v>
      </c>
      <c r="E288" s="1007">
        <v>67180</v>
      </c>
      <c r="F288" s="1270"/>
      <c r="G288" s="1200">
        <v>8484</v>
      </c>
      <c r="H288" s="1200">
        <v>9454</v>
      </c>
      <c r="I288" s="1200">
        <v>5000</v>
      </c>
      <c r="J288" s="1007">
        <v>64862</v>
      </c>
      <c r="K288" s="1007">
        <v>87800</v>
      </c>
      <c r="L288" s="1270"/>
      <c r="M288" s="1198">
        <v>0</v>
      </c>
      <c r="N288" s="1198">
        <v>0</v>
      </c>
      <c r="O288" s="1007">
        <v>0</v>
      </c>
      <c r="P288" s="1007">
        <v>0</v>
      </c>
      <c r="Q288" s="1270"/>
      <c r="R288" s="1200">
        <v>23103</v>
      </c>
      <c r="S288" s="1007">
        <v>38366</v>
      </c>
      <c r="T288" s="1306">
        <v>61469</v>
      </c>
    </row>
    <row r="289" spans="1:20" x14ac:dyDescent="0.25">
      <c r="A289" s="1203">
        <v>92914</v>
      </c>
      <c r="B289" s="1302" t="s">
        <v>3686</v>
      </c>
      <c r="C289" s="1303">
        <v>2.6999999999999999E-5</v>
      </c>
      <c r="D289" s="1303">
        <v>2.55E-5</v>
      </c>
      <c r="E289" s="1007">
        <v>96483</v>
      </c>
      <c r="F289" s="1270"/>
      <c r="G289" s="1200">
        <v>12184</v>
      </c>
      <c r="H289" s="1200">
        <v>13578</v>
      </c>
      <c r="I289" s="1200">
        <v>7180</v>
      </c>
      <c r="J289" s="1007">
        <v>11399</v>
      </c>
      <c r="K289" s="1007">
        <v>44341</v>
      </c>
      <c r="L289" s="1270"/>
      <c r="M289" s="1198">
        <v>0</v>
      </c>
      <c r="N289" s="1198">
        <v>0</v>
      </c>
      <c r="O289" s="1007">
        <v>622</v>
      </c>
      <c r="P289" s="1007">
        <v>622</v>
      </c>
      <c r="Q289" s="1270"/>
      <c r="R289" s="1200">
        <v>33180</v>
      </c>
      <c r="S289" s="1007">
        <v>6349</v>
      </c>
      <c r="T289" s="1306">
        <v>39529</v>
      </c>
    </row>
    <row r="290" spans="1:20" x14ac:dyDescent="0.25">
      <c r="A290" s="1203">
        <v>92917</v>
      </c>
      <c r="B290" s="1204" t="s">
        <v>2924</v>
      </c>
      <c r="C290" s="1303">
        <v>1.2999999999999999E-5</v>
      </c>
      <c r="D290" s="1303">
        <v>1.9199999999999999E-5</v>
      </c>
      <c r="E290" s="1007">
        <v>46455</v>
      </c>
      <c r="F290" s="1270"/>
      <c r="G290" s="1200">
        <v>5866</v>
      </c>
      <c r="H290" s="1200">
        <v>6538</v>
      </c>
      <c r="I290" s="1200">
        <v>3457</v>
      </c>
      <c r="J290" s="1007">
        <v>10422</v>
      </c>
      <c r="K290" s="1007">
        <v>26283</v>
      </c>
      <c r="L290" s="1270"/>
      <c r="M290" s="1198">
        <v>0</v>
      </c>
      <c r="N290" s="1198">
        <v>0</v>
      </c>
      <c r="O290" s="1007">
        <v>0</v>
      </c>
      <c r="P290" s="1007">
        <v>0</v>
      </c>
      <c r="Q290" s="1270"/>
      <c r="R290" s="1200">
        <v>15975</v>
      </c>
      <c r="S290" s="1007">
        <v>6134</v>
      </c>
      <c r="T290" s="1306">
        <v>22109</v>
      </c>
    </row>
    <row r="291" spans="1:20" x14ac:dyDescent="0.25">
      <c r="A291" s="1203">
        <v>92921</v>
      </c>
      <c r="B291" s="1204" t="s">
        <v>2925</v>
      </c>
      <c r="C291" s="1303">
        <v>9.31E-5</v>
      </c>
      <c r="D291" s="1303">
        <v>9.6600000000000003E-5</v>
      </c>
      <c r="E291" s="1007">
        <v>332686</v>
      </c>
      <c r="F291" s="1270"/>
      <c r="G291" s="1200">
        <v>42012</v>
      </c>
      <c r="H291" s="1200">
        <v>46817</v>
      </c>
      <c r="I291" s="1200">
        <v>24758</v>
      </c>
      <c r="J291" s="1007">
        <v>20229</v>
      </c>
      <c r="K291" s="1007">
        <v>133816</v>
      </c>
      <c r="L291" s="1270"/>
      <c r="M291" s="1198">
        <v>0</v>
      </c>
      <c r="N291" s="1198">
        <v>0</v>
      </c>
      <c r="O291" s="1007">
        <v>0</v>
      </c>
      <c r="P291" s="1007">
        <v>0</v>
      </c>
      <c r="Q291" s="1270"/>
      <c r="R291" s="1200">
        <v>114408</v>
      </c>
      <c r="S291" s="1007">
        <v>9411</v>
      </c>
      <c r="T291" s="1306">
        <v>123819</v>
      </c>
    </row>
    <row r="292" spans="1:20" ht="14.25" customHeight="1" x14ac:dyDescent="0.25">
      <c r="A292" s="1203">
        <v>92931</v>
      </c>
      <c r="B292" s="1204" t="s">
        <v>2926</v>
      </c>
      <c r="C292" s="1303">
        <v>2.33E-3</v>
      </c>
      <c r="D292" s="1303">
        <v>2.2504999999999999E-3</v>
      </c>
      <c r="E292" s="1007">
        <v>8326083</v>
      </c>
      <c r="F292" s="1270"/>
      <c r="G292" s="1200">
        <v>1051438</v>
      </c>
      <c r="H292" s="1200">
        <v>1171673</v>
      </c>
      <c r="I292" s="1200">
        <v>619624</v>
      </c>
      <c r="J292" s="1007">
        <v>89840</v>
      </c>
      <c r="K292" s="1007">
        <v>2932575</v>
      </c>
      <c r="L292" s="1270"/>
      <c r="M292" s="1198">
        <v>0</v>
      </c>
      <c r="N292" s="1198">
        <v>0</v>
      </c>
      <c r="O292" s="1007">
        <v>159421</v>
      </c>
      <c r="P292" s="1007">
        <v>159421</v>
      </c>
      <c r="Q292" s="1270"/>
      <c r="R292" s="1200">
        <v>2863279</v>
      </c>
      <c r="S292" s="1007">
        <v>-50970</v>
      </c>
      <c r="T292" s="1306">
        <v>2812309</v>
      </c>
    </row>
    <row r="293" spans="1:20" x14ac:dyDescent="0.25">
      <c r="A293" s="1203">
        <v>92941</v>
      </c>
      <c r="B293" s="1204" t="s">
        <v>1450</v>
      </c>
      <c r="C293" s="1303">
        <v>4.3000000000000003E-6</v>
      </c>
      <c r="D293" s="1303">
        <v>4.1999999999999996E-6</v>
      </c>
      <c r="E293" s="1007">
        <v>15366</v>
      </c>
      <c r="F293" s="1270"/>
      <c r="G293" s="1200">
        <v>1940</v>
      </c>
      <c r="H293" s="1200">
        <v>2162</v>
      </c>
      <c r="I293" s="1200">
        <v>1144</v>
      </c>
      <c r="J293" s="1007">
        <v>1450</v>
      </c>
      <c r="K293" s="1007">
        <v>6696</v>
      </c>
      <c r="L293" s="1270"/>
      <c r="M293" s="1198">
        <v>0</v>
      </c>
      <c r="N293" s="1198">
        <v>0</v>
      </c>
      <c r="O293" s="1007">
        <v>1826</v>
      </c>
      <c r="P293" s="1007">
        <v>1826</v>
      </c>
      <c r="Q293" s="1270"/>
      <c r="R293" s="1200">
        <v>5284</v>
      </c>
      <c r="S293" s="1007">
        <v>-425</v>
      </c>
      <c r="T293" s="1306">
        <v>4859</v>
      </c>
    </row>
    <row r="294" spans="1:20" x14ac:dyDescent="0.25">
      <c r="A294" s="1203">
        <v>93001</v>
      </c>
      <c r="B294" s="1204" t="s">
        <v>2927</v>
      </c>
      <c r="C294" s="1303">
        <v>2.1771E-3</v>
      </c>
      <c r="D294" s="1303">
        <v>2.2536000000000001E-3</v>
      </c>
      <c r="E294" s="1007">
        <v>7779706</v>
      </c>
      <c r="F294" s="1270"/>
      <c r="G294" s="1200">
        <v>982440</v>
      </c>
      <c r="H294" s="1200">
        <v>1094785</v>
      </c>
      <c r="I294" s="1200">
        <v>578963</v>
      </c>
      <c r="J294" s="1007">
        <v>5379</v>
      </c>
      <c r="K294" s="1007">
        <v>2661567</v>
      </c>
      <c r="L294" s="1270"/>
      <c r="M294" s="1198">
        <v>0</v>
      </c>
      <c r="N294" s="1198">
        <v>0</v>
      </c>
      <c r="O294" s="1007">
        <v>117083</v>
      </c>
      <c r="P294" s="1007">
        <v>117083</v>
      </c>
      <c r="Q294" s="1270"/>
      <c r="R294" s="1200">
        <v>2675384</v>
      </c>
      <c r="S294" s="1007">
        <v>-53138</v>
      </c>
      <c r="T294" s="1306">
        <v>2622246</v>
      </c>
    </row>
    <row r="295" spans="1:20" x14ac:dyDescent="0.25">
      <c r="A295" s="1203">
        <v>93009</v>
      </c>
      <c r="B295" s="1204" t="s">
        <v>2928</v>
      </c>
      <c r="C295" s="1303">
        <v>1.19E-5</v>
      </c>
      <c r="D295" s="1303">
        <v>1.2799999999999999E-5</v>
      </c>
      <c r="E295" s="1007">
        <v>42524</v>
      </c>
      <c r="F295" s="1270"/>
      <c r="G295" s="1200">
        <v>5370</v>
      </c>
      <c r="H295" s="1200">
        <v>5984</v>
      </c>
      <c r="I295" s="1200">
        <v>3165</v>
      </c>
      <c r="J295" s="1007">
        <v>0</v>
      </c>
      <c r="K295" s="1007">
        <v>14519</v>
      </c>
      <c r="L295" s="1270"/>
      <c r="M295" s="1198">
        <v>0</v>
      </c>
      <c r="N295" s="1198">
        <v>0</v>
      </c>
      <c r="O295" s="1007">
        <v>4303</v>
      </c>
      <c r="P295" s="1007">
        <v>4303</v>
      </c>
      <c r="Q295" s="1270"/>
      <c r="R295" s="1200">
        <v>14624</v>
      </c>
      <c r="S295" s="1007">
        <v>-2201</v>
      </c>
      <c r="T295" s="1306">
        <v>12423</v>
      </c>
    </row>
    <row r="296" spans="1:20" x14ac:dyDescent="0.25">
      <c r="A296" s="1203">
        <v>93011</v>
      </c>
      <c r="B296" s="1204" t="s">
        <v>2929</v>
      </c>
      <c r="C296" s="1303">
        <v>3.121E-4</v>
      </c>
      <c r="D296" s="1303">
        <v>3.0909999999999998E-4</v>
      </c>
      <c r="E296" s="1007">
        <v>1115266</v>
      </c>
      <c r="F296" s="1270"/>
      <c r="G296" s="1200">
        <v>140839</v>
      </c>
      <c r="H296" s="1200">
        <v>156944</v>
      </c>
      <c r="I296" s="1200">
        <v>82998</v>
      </c>
      <c r="J296" s="1007">
        <v>45445</v>
      </c>
      <c r="K296" s="1007">
        <v>426226</v>
      </c>
      <c r="L296" s="1270"/>
      <c r="M296" s="1198">
        <v>0</v>
      </c>
      <c r="N296" s="1198">
        <v>0</v>
      </c>
      <c r="O296" s="1007">
        <v>7251</v>
      </c>
      <c r="P296" s="1007">
        <v>7251</v>
      </c>
      <c r="Q296" s="1270"/>
      <c r="R296" s="1200">
        <v>383532</v>
      </c>
      <c r="S296" s="1007">
        <v>14324</v>
      </c>
      <c r="T296" s="1306">
        <v>397856</v>
      </c>
    </row>
    <row r="297" spans="1:20" x14ac:dyDescent="0.25">
      <c r="A297" s="1203">
        <v>93021</v>
      </c>
      <c r="B297" s="1204" t="s">
        <v>2930</v>
      </c>
      <c r="C297" s="1303">
        <v>3.0300000000000001E-5</v>
      </c>
      <c r="D297" s="1303">
        <v>3.0499999999999999E-5</v>
      </c>
      <c r="E297" s="1007">
        <v>108275</v>
      </c>
      <c r="F297" s="1270"/>
      <c r="G297" s="1200">
        <v>13673</v>
      </c>
      <c r="H297" s="1200">
        <v>15237</v>
      </c>
      <c r="I297" s="1200">
        <v>8058</v>
      </c>
      <c r="J297" s="1007">
        <v>347</v>
      </c>
      <c r="K297" s="1007">
        <v>37315</v>
      </c>
      <c r="L297" s="1270"/>
      <c r="M297" s="1198">
        <v>0</v>
      </c>
      <c r="N297" s="1198">
        <v>0</v>
      </c>
      <c r="O297" s="1007">
        <v>4820</v>
      </c>
      <c r="P297" s="1007">
        <v>4820</v>
      </c>
      <c r="Q297" s="1270"/>
      <c r="R297" s="1200">
        <v>37235</v>
      </c>
      <c r="S297" s="1007">
        <v>-2961</v>
      </c>
      <c r="T297" s="1306">
        <v>34274</v>
      </c>
    </row>
    <row r="298" spans="1:20" x14ac:dyDescent="0.25">
      <c r="A298" s="1203">
        <v>93027</v>
      </c>
      <c r="B298" s="1204" t="s">
        <v>2931</v>
      </c>
      <c r="C298" s="1303">
        <v>0</v>
      </c>
      <c r="D298" s="1303">
        <v>0</v>
      </c>
      <c r="E298" s="1007">
        <v>0</v>
      </c>
      <c r="F298" s="1270"/>
      <c r="G298" s="1200">
        <v>0</v>
      </c>
      <c r="H298" s="1200">
        <v>0</v>
      </c>
      <c r="I298" s="1200">
        <v>0</v>
      </c>
      <c r="J298" s="1007">
        <v>119</v>
      </c>
      <c r="K298" s="1007">
        <v>119</v>
      </c>
      <c r="L298" s="1270"/>
      <c r="M298" s="1198">
        <v>0</v>
      </c>
      <c r="N298" s="1198">
        <v>0</v>
      </c>
      <c r="O298" s="1007">
        <v>10632</v>
      </c>
      <c r="P298" s="1007">
        <v>10632</v>
      </c>
      <c r="Q298" s="1270"/>
      <c r="R298" s="1200">
        <v>0</v>
      </c>
      <c r="S298" s="1007">
        <v>-3398</v>
      </c>
      <c r="T298" s="1306">
        <v>-3398</v>
      </c>
    </row>
    <row r="299" spans="1:20" x14ac:dyDescent="0.25">
      <c r="A299" s="1203">
        <v>93028</v>
      </c>
      <c r="B299" s="1204" t="s">
        <v>4164</v>
      </c>
      <c r="C299" s="1303">
        <v>2.16E-5</v>
      </c>
      <c r="D299" s="1303">
        <v>0</v>
      </c>
      <c r="E299" s="1007">
        <v>77186</v>
      </c>
      <c r="F299" s="1270"/>
      <c r="G299" s="1200">
        <v>9747</v>
      </c>
      <c r="H299" s="1200">
        <v>10862</v>
      </c>
      <c r="I299" s="1200">
        <v>5744</v>
      </c>
      <c r="J299" s="1007">
        <v>29463</v>
      </c>
      <c r="K299" s="1007">
        <v>55816</v>
      </c>
      <c r="L299" s="1270"/>
      <c r="M299" s="1198">
        <v>0</v>
      </c>
      <c r="N299" s="1198">
        <v>0</v>
      </c>
      <c r="O299" s="1007">
        <v>0</v>
      </c>
      <c r="P299" s="1007">
        <v>0</v>
      </c>
      <c r="Q299" s="1270"/>
      <c r="R299" s="1200">
        <v>26544</v>
      </c>
      <c r="S299" s="1007">
        <v>9821</v>
      </c>
      <c r="T299" s="1306">
        <v>36365</v>
      </c>
    </row>
    <row r="300" spans="1:20" x14ac:dyDescent="0.25">
      <c r="A300" s="1203">
        <v>93031</v>
      </c>
      <c r="B300" s="1204" t="s">
        <v>2932</v>
      </c>
      <c r="C300" s="1303">
        <v>4.6E-6</v>
      </c>
      <c r="D300" s="1303">
        <v>7.7000000000000008E-6</v>
      </c>
      <c r="E300" s="1007">
        <v>16438</v>
      </c>
      <c r="F300" s="1270"/>
      <c r="G300" s="1200">
        <v>2076</v>
      </c>
      <c r="H300" s="1200">
        <v>2314</v>
      </c>
      <c r="I300" s="1200">
        <v>1223</v>
      </c>
      <c r="J300" s="1007">
        <v>6752</v>
      </c>
      <c r="K300" s="1007">
        <v>12365</v>
      </c>
      <c r="L300" s="1270"/>
      <c r="M300" s="1198">
        <v>0</v>
      </c>
      <c r="N300" s="1198">
        <v>0</v>
      </c>
      <c r="O300" s="1007">
        <v>3637</v>
      </c>
      <c r="P300" s="1007">
        <v>3637</v>
      </c>
      <c r="Q300" s="1270"/>
      <c r="R300" s="1200">
        <v>5653</v>
      </c>
      <c r="S300" s="1007">
        <v>5881</v>
      </c>
      <c r="T300" s="1306">
        <v>11534</v>
      </c>
    </row>
    <row r="301" spans="1:20" x14ac:dyDescent="0.25">
      <c r="A301" s="1203">
        <v>93101</v>
      </c>
      <c r="B301" s="1204" t="s">
        <v>2933</v>
      </c>
      <c r="C301" s="1303">
        <v>2.9229999999999998E-3</v>
      </c>
      <c r="D301" s="1303">
        <v>3.1914999999999999E-3</v>
      </c>
      <c r="E301" s="1007">
        <v>10445124</v>
      </c>
      <c r="F301" s="1270"/>
      <c r="G301" s="1200">
        <v>1319036</v>
      </c>
      <c r="H301" s="1200">
        <v>1469871</v>
      </c>
      <c r="I301" s="1200">
        <v>777322</v>
      </c>
      <c r="J301" s="1007">
        <v>0</v>
      </c>
      <c r="K301" s="1007">
        <v>3566229</v>
      </c>
      <c r="L301" s="1270"/>
      <c r="M301" s="1198">
        <v>0</v>
      </c>
      <c r="N301" s="1198">
        <v>0</v>
      </c>
      <c r="O301" s="1007">
        <v>556518</v>
      </c>
      <c r="P301" s="1007">
        <v>556518</v>
      </c>
      <c r="Q301" s="1270"/>
      <c r="R301" s="1200">
        <v>3592002</v>
      </c>
      <c r="S301" s="1007">
        <v>-213734</v>
      </c>
      <c r="T301" s="1306">
        <v>3378268</v>
      </c>
    </row>
    <row r="302" spans="1:20" x14ac:dyDescent="0.25">
      <c r="A302" s="1203">
        <v>93103</v>
      </c>
      <c r="B302" s="1204" t="s">
        <v>2126</v>
      </c>
      <c r="C302" s="1303">
        <v>1.6200000000000001E-5</v>
      </c>
      <c r="D302" s="1303">
        <v>1.56E-5</v>
      </c>
      <c r="E302" s="1007">
        <v>57890</v>
      </c>
      <c r="F302" s="1270"/>
      <c r="G302" s="1200">
        <v>7310</v>
      </c>
      <c r="H302" s="1200">
        <v>8146</v>
      </c>
      <c r="I302" s="1200">
        <v>4308</v>
      </c>
      <c r="J302" s="1007">
        <v>0</v>
      </c>
      <c r="K302" s="1007">
        <v>19764</v>
      </c>
      <c r="L302" s="1270"/>
      <c r="M302" s="1198">
        <v>0</v>
      </c>
      <c r="N302" s="1198">
        <v>0</v>
      </c>
      <c r="O302" s="1007">
        <v>6853</v>
      </c>
      <c r="P302" s="1007">
        <v>6853</v>
      </c>
      <c r="Q302" s="1270"/>
      <c r="R302" s="1200">
        <v>19908</v>
      </c>
      <c r="S302" s="1007">
        <v>-1013</v>
      </c>
      <c r="T302" s="1306">
        <v>18895</v>
      </c>
    </row>
    <row r="303" spans="1:20" x14ac:dyDescent="0.25">
      <c r="A303" s="1203">
        <v>93108</v>
      </c>
      <c r="B303" s="1204" t="s">
        <v>2934</v>
      </c>
      <c r="C303" s="1303">
        <v>2.1960999999999999E-3</v>
      </c>
      <c r="D303" s="1303">
        <v>2.2694E-3</v>
      </c>
      <c r="E303" s="1007">
        <v>7847601</v>
      </c>
      <c r="F303" s="1270"/>
      <c r="G303" s="1200">
        <v>991014</v>
      </c>
      <c r="H303" s="1200">
        <v>1104340</v>
      </c>
      <c r="I303" s="1200">
        <v>584015</v>
      </c>
      <c r="J303" s="1007">
        <v>9518</v>
      </c>
      <c r="K303" s="1007">
        <v>2688887</v>
      </c>
      <c r="L303" s="1270"/>
      <c r="M303" s="1198">
        <v>0</v>
      </c>
      <c r="N303" s="1198">
        <v>0</v>
      </c>
      <c r="O303" s="1007">
        <v>207651</v>
      </c>
      <c r="P303" s="1007">
        <v>207651</v>
      </c>
      <c r="Q303" s="1270"/>
      <c r="R303" s="1200">
        <v>2698732</v>
      </c>
      <c r="S303" s="1007">
        <v>-60374</v>
      </c>
      <c r="T303" s="1306">
        <v>2638358</v>
      </c>
    </row>
    <row r="304" spans="1:20" x14ac:dyDescent="0.25">
      <c r="A304" s="1203">
        <v>93111</v>
      </c>
      <c r="B304" s="1204" t="s">
        <v>2935</v>
      </c>
      <c r="C304" s="1303">
        <v>5.4400000000000001E-5</v>
      </c>
      <c r="D304" s="1303">
        <v>5.8199999999999998E-5</v>
      </c>
      <c r="E304" s="1007">
        <v>194394</v>
      </c>
      <c r="F304" s="1270"/>
      <c r="G304" s="1200">
        <v>24549</v>
      </c>
      <c r="H304" s="1200">
        <v>27356</v>
      </c>
      <c r="I304" s="1200">
        <v>14467</v>
      </c>
      <c r="J304" s="1007">
        <v>305</v>
      </c>
      <c r="K304" s="1007">
        <v>66677</v>
      </c>
      <c r="L304" s="1270"/>
      <c r="M304" s="1198">
        <v>0</v>
      </c>
      <c r="N304" s="1198">
        <v>0</v>
      </c>
      <c r="O304" s="1007">
        <v>9055</v>
      </c>
      <c r="P304" s="1007">
        <v>9055</v>
      </c>
      <c r="Q304" s="1270"/>
      <c r="R304" s="1200">
        <v>66851</v>
      </c>
      <c r="S304" s="1007">
        <v>-5338</v>
      </c>
      <c r="T304" s="1306">
        <v>61513</v>
      </c>
    </row>
    <row r="305" spans="1:20" x14ac:dyDescent="0.25">
      <c r="A305" s="1203">
        <v>93121</v>
      </c>
      <c r="B305" s="1204" t="s">
        <v>2936</v>
      </c>
      <c r="C305" s="1303">
        <v>5.38E-5</v>
      </c>
      <c r="D305" s="1303">
        <v>6.2199999999999994E-5</v>
      </c>
      <c r="E305" s="1007">
        <v>192250</v>
      </c>
      <c r="F305" s="1270"/>
      <c r="G305" s="1200">
        <v>24278</v>
      </c>
      <c r="H305" s="1200">
        <v>27054</v>
      </c>
      <c r="I305" s="1200">
        <v>14307</v>
      </c>
      <c r="J305" s="1007">
        <v>7097</v>
      </c>
      <c r="K305" s="1007">
        <v>72736</v>
      </c>
      <c r="L305" s="1270"/>
      <c r="M305" s="1198">
        <v>0</v>
      </c>
      <c r="N305" s="1198">
        <v>0</v>
      </c>
      <c r="O305" s="1007">
        <v>7593</v>
      </c>
      <c r="P305" s="1007">
        <v>7593</v>
      </c>
      <c r="Q305" s="1270"/>
      <c r="R305" s="1200">
        <v>66113</v>
      </c>
      <c r="S305" s="1007">
        <v>-2335</v>
      </c>
      <c r="T305" s="1306">
        <v>63778</v>
      </c>
    </row>
    <row r="306" spans="1:20" x14ac:dyDescent="0.25">
      <c r="A306" s="1203">
        <v>93127</v>
      </c>
      <c r="B306" s="1204" t="s">
        <v>2937</v>
      </c>
      <c r="C306" s="1303">
        <v>5.8000000000000004E-6</v>
      </c>
      <c r="D306" s="1303">
        <v>5.9000000000000003E-6</v>
      </c>
      <c r="E306" s="1007">
        <v>20726</v>
      </c>
      <c r="F306" s="1270"/>
      <c r="G306" s="1200">
        <v>2617</v>
      </c>
      <c r="H306" s="1200">
        <v>2916</v>
      </c>
      <c r="I306" s="1200">
        <v>1542</v>
      </c>
      <c r="J306" s="1007">
        <v>296</v>
      </c>
      <c r="K306" s="1007">
        <v>7371</v>
      </c>
      <c r="L306" s="1270"/>
      <c r="M306" s="1198">
        <v>0</v>
      </c>
      <c r="N306" s="1198">
        <v>0</v>
      </c>
      <c r="O306" s="1007">
        <v>682</v>
      </c>
      <c r="P306" s="1007">
        <v>682</v>
      </c>
      <c r="Q306" s="1270"/>
      <c r="R306" s="1200">
        <v>7127</v>
      </c>
      <c r="S306" s="1007">
        <v>-235</v>
      </c>
      <c r="T306" s="1306">
        <v>6892</v>
      </c>
    </row>
    <row r="307" spans="1:20" x14ac:dyDescent="0.25">
      <c r="A307" s="1203">
        <v>93131</v>
      </c>
      <c r="B307" s="1204" t="s">
        <v>2938</v>
      </c>
      <c r="C307" s="1303">
        <v>1.727E-4</v>
      </c>
      <c r="D307" s="1303">
        <v>1.7799999999999999E-4</v>
      </c>
      <c r="E307" s="1007">
        <v>617131</v>
      </c>
      <c r="F307" s="1270"/>
      <c r="G307" s="1200">
        <v>77933</v>
      </c>
      <c r="H307" s="1200">
        <v>86844</v>
      </c>
      <c r="I307" s="1200">
        <v>45927</v>
      </c>
      <c r="J307" s="1007">
        <v>993</v>
      </c>
      <c r="K307" s="1007">
        <v>211697</v>
      </c>
      <c r="L307" s="1270"/>
      <c r="M307" s="1198">
        <v>0</v>
      </c>
      <c r="N307" s="1198">
        <v>0</v>
      </c>
      <c r="O307" s="1007">
        <v>25184</v>
      </c>
      <c r="P307" s="1007">
        <v>25184</v>
      </c>
      <c r="Q307" s="1270"/>
      <c r="R307" s="1200">
        <v>212227</v>
      </c>
      <c r="S307" s="1007">
        <v>-13881</v>
      </c>
      <c r="T307" s="1306">
        <v>198346</v>
      </c>
    </row>
    <row r="308" spans="1:20" x14ac:dyDescent="0.25">
      <c r="A308" s="1203">
        <v>93137</v>
      </c>
      <c r="B308" s="1204" t="s">
        <v>2939</v>
      </c>
      <c r="C308" s="1303">
        <v>5.0000000000000004E-6</v>
      </c>
      <c r="D308" s="1303">
        <v>4.7999999999999998E-6</v>
      </c>
      <c r="E308" s="1007">
        <v>17867</v>
      </c>
      <c r="F308" s="1270"/>
      <c r="G308" s="1200">
        <v>2256</v>
      </c>
      <c r="H308" s="1200">
        <v>2514</v>
      </c>
      <c r="I308" s="1200">
        <v>1330</v>
      </c>
      <c r="J308" s="1007">
        <v>2339</v>
      </c>
      <c r="K308" s="1007">
        <v>8439</v>
      </c>
      <c r="L308" s="1270"/>
      <c r="M308" s="1198">
        <v>0</v>
      </c>
      <c r="N308" s="1198">
        <v>0</v>
      </c>
      <c r="O308" s="1007">
        <v>0</v>
      </c>
      <c r="P308" s="1007">
        <v>0</v>
      </c>
      <c r="Q308" s="1270"/>
      <c r="R308" s="1200">
        <v>6144</v>
      </c>
      <c r="S308" s="1007">
        <v>1393</v>
      </c>
      <c r="T308" s="1306">
        <v>7537</v>
      </c>
    </row>
    <row r="309" spans="1:20" x14ac:dyDescent="0.25">
      <c r="A309" s="1203">
        <v>93141</v>
      </c>
      <c r="B309" s="1204" t="s">
        <v>2940</v>
      </c>
      <c r="C309" s="1303">
        <v>3.6900000000000002E-5</v>
      </c>
      <c r="D309" s="1303">
        <v>3.2499999999999997E-5</v>
      </c>
      <c r="E309" s="1007">
        <v>131859</v>
      </c>
      <c r="F309" s="1270"/>
      <c r="G309" s="1200">
        <v>16652</v>
      </c>
      <c r="H309" s="1200">
        <v>18555</v>
      </c>
      <c r="I309" s="1200">
        <v>9813</v>
      </c>
      <c r="J309" s="1007">
        <v>5804</v>
      </c>
      <c r="K309" s="1007">
        <v>50824</v>
      </c>
      <c r="L309" s="1270"/>
      <c r="M309" s="1198">
        <v>0</v>
      </c>
      <c r="N309" s="1198">
        <v>0</v>
      </c>
      <c r="O309" s="1007">
        <v>4307</v>
      </c>
      <c r="P309" s="1007">
        <v>4307</v>
      </c>
      <c r="Q309" s="1270"/>
      <c r="R309" s="1200">
        <v>45345</v>
      </c>
      <c r="S309" s="1007">
        <v>-990</v>
      </c>
      <c r="T309" s="1306">
        <v>44355</v>
      </c>
    </row>
    <row r="310" spans="1:20" x14ac:dyDescent="0.25">
      <c r="A310" s="1203">
        <v>93151</v>
      </c>
      <c r="B310" s="1204" t="s">
        <v>2941</v>
      </c>
      <c r="C310" s="1303">
        <v>3.5359999999999998E-4</v>
      </c>
      <c r="D310" s="1303">
        <v>3.7100000000000002E-4</v>
      </c>
      <c r="E310" s="1007">
        <v>1263563</v>
      </c>
      <c r="F310" s="1270"/>
      <c r="G310" s="1200">
        <v>159566</v>
      </c>
      <c r="H310" s="1200">
        <v>177813</v>
      </c>
      <c r="I310" s="1200">
        <v>94034</v>
      </c>
      <c r="J310" s="1007">
        <v>13517</v>
      </c>
      <c r="K310" s="1007">
        <v>444930</v>
      </c>
      <c r="L310" s="1270"/>
      <c r="M310" s="1198">
        <v>0</v>
      </c>
      <c r="N310" s="1198">
        <v>0</v>
      </c>
      <c r="O310" s="1007">
        <v>48925</v>
      </c>
      <c r="P310" s="1007">
        <v>48925</v>
      </c>
      <c r="Q310" s="1270"/>
      <c r="R310" s="1200">
        <v>434530</v>
      </c>
      <c r="S310" s="1007">
        <v>-16145</v>
      </c>
      <c r="T310" s="1306">
        <v>418385</v>
      </c>
    </row>
    <row r="311" spans="1:20" x14ac:dyDescent="0.25">
      <c r="A311" s="1203">
        <v>93157</v>
      </c>
      <c r="B311" s="1204" t="s">
        <v>2942</v>
      </c>
      <c r="C311" s="1303">
        <v>1.2799999999999999E-5</v>
      </c>
      <c r="D311" s="1303">
        <v>7.9000000000000006E-6</v>
      </c>
      <c r="E311" s="1007">
        <v>45740</v>
      </c>
      <c r="F311" s="1270"/>
      <c r="G311" s="1200">
        <v>5776</v>
      </c>
      <c r="H311" s="1200">
        <v>6436</v>
      </c>
      <c r="I311" s="1200">
        <v>3404</v>
      </c>
      <c r="J311" s="1007">
        <v>13073</v>
      </c>
      <c r="K311" s="1007">
        <v>28689</v>
      </c>
      <c r="L311" s="1270"/>
      <c r="M311" s="1198">
        <v>0</v>
      </c>
      <c r="N311" s="1198">
        <v>0</v>
      </c>
      <c r="O311" s="1007">
        <v>0</v>
      </c>
      <c r="P311" s="1007">
        <v>0</v>
      </c>
      <c r="Q311" s="1270"/>
      <c r="R311" s="1200">
        <v>15730</v>
      </c>
      <c r="S311" s="1007">
        <v>5920</v>
      </c>
      <c r="T311" s="1306">
        <v>21650</v>
      </c>
    </row>
    <row r="312" spans="1:20" x14ac:dyDescent="0.25">
      <c r="A312" s="1203">
        <v>93161</v>
      </c>
      <c r="B312" s="1204" t="s">
        <v>2943</v>
      </c>
      <c r="C312" s="1303">
        <v>1.037E-4</v>
      </c>
      <c r="D312" s="1303">
        <v>1.2180000000000001E-4</v>
      </c>
      <c r="E312" s="1007">
        <v>370564</v>
      </c>
      <c r="F312" s="1270"/>
      <c r="G312" s="1200">
        <v>46796</v>
      </c>
      <c r="H312" s="1200">
        <v>52147</v>
      </c>
      <c r="I312" s="1200">
        <v>27577</v>
      </c>
      <c r="J312" s="1007">
        <v>11486</v>
      </c>
      <c r="K312" s="1007">
        <v>138006</v>
      </c>
      <c r="L312" s="1270"/>
      <c r="M312" s="1198">
        <v>0</v>
      </c>
      <c r="N312" s="1198">
        <v>0</v>
      </c>
      <c r="O312" s="1007">
        <v>24541</v>
      </c>
      <c r="P312" s="1007">
        <v>24541</v>
      </c>
      <c r="Q312" s="1270"/>
      <c r="R312" s="1200">
        <v>127434</v>
      </c>
      <c r="S312" s="1007">
        <v>1260</v>
      </c>
      <c r="T312" s="1306">
        <v>128694</v>
      </c>
    </row>
    <row r="313" spans="1:20" ht="14.25" customHeight="1" x14ac:dyDescent="0.25">
      <c r="A313" s="1203">
        <v>93171</v>
      </c>
      <c r="B313" s="1204" t="s">
        <v>2944</v>
      </c>
      <c r="C313" s="1303">
        <v>9.0999999999999993E-6</v>
      </c>
      <c r="D313" s="1303">
        <v>5.3000000000000001E-6</v>
      </c>
      <c r="E313" s="1007">
        <v>32518</v>
      </c>
      <c r="F313" s="1270"/>
      <c r="G313" s="1200">
        <v>4106</v>
      </c>
      <c r="H313" s="1200">
        <v>4576</v>
      </c>
      <c r="I313" s="1200">
        <v>2420</v>
      </c>
      <c r="J313" s="1007">
        <v>9188</v>
      </c>
      <c r="K313" s="1007">
        <v>20290</v>
      </c>
      <c r="L313" s="1270"/>
      <c r="M313" s="1198">
        <v>0</v>
      </c>
      <c r="N313" s="1198">
        <v>0</v>
      </c>
      <c r="O313" s="1007">
        <v>493</v>
      </c>
      <c r="P313" s="1007">
        <v>493</v>
      </c>
      <c r="Q313" s="1270"/>
      <c r="R313" s="1200">
        <v>11183</v>
      </c>
      <c r="S313" s="1007">
        <v>3155</v>
      </c>
      <c r="T313" s="1306">
        <v>14338</v>
      </c>
    </row>
    <row r="314" spans="1:20" x14ac:dyDescent="0.25">
      <c r="A314" s="1203">
        <v>93181</v>
      </c>
      <c r="B314" s="1204" t="s">
        <v>2945</v>
      </c>
      <c r="C314" s="1303">
        <v>1.0000000000000001E-5</v>
      </c>
      <c r="D314" s="1303">
        <v>1.04E-5</v>
      </c>
      <c r="E314" s="1007">
        <v>35734</v>
      </c>
      <c r="F314" s="1270"/>
      <c r="G314" s="1200">
        <v>4513</v>
      </c>
      <c r="H314" s="1200">
        <v>5029</v>
      </c>
      <c r="I314" s="1200">
        <v>2659</v>
      </c>
      <c r="J314" s="1007">
        <v>716</v>
      </c>
      <c r="K314" s="1007">
        <v>12917</v>
      </c>
      <c r="L314" s="1270"/>
      <c r="M314" s="1198">
        <v>0</v>
      </c>
      <c r="N314" s="1198">
        <v>0</v>
      </c>
      <c r="O314" s="1007">
        <v>0</v>
      </c>
      <c r="P314" s="1007">
        <v>0</v>
      </c>
      <c r="Q314" s="1270"/>
      <c r="R314" s="1200">
        <v>12289</v>
      </c>
      <c r="S314" s="1007">
        <v>342</v>
      </c>
      <c r="T314" s="1306">
        <v>12631</v>
      </c>
    </row>
    <row r="315" spans="1:20" x14ac:dyDescent="0.25">
      <c r="A315" s="1203">
        <v>93191</v>
      </c>
      <c r="B315" s="1204" t="s">
        <v>2946</v>
      </c>
      <c r="C315" s="1303">
        <v>2.8900000000000001E-5</v>
      </c>
      <c r="D315" s="1303">
        <v>2.34E-5</v>
      </c>
      <c r="E315" s="1007">
        <v>103272</v>
      </c>
      <c r="F315" s="1270"/>
      <c r="G315" s="1200">
        <v>13041</v>
      </c>
      <c r="H315" s="1200">
        <v>14533</v>
      </c>
      <c r="I315" s="1200">
        <v>7685</v>
      </c>
      <c r="J315" s="1007">
        <v>16437</v>
      </c>
      <c r="K315" s="1007">
        <v>51696</v>
      </c>
      <c r="L315" s="1270"/>
      <c r="M315" s="1198">
        <v>0</v>
      </c>
      <c r="N315" s="1198">
        <v>0</v>
      </c>
      <c r="O315" s="1007">
        <v>448</v>
      </c>
      <c r="P315" s="1007">
        <v>448</v>
      </c>
      <c r="Q315" s="1270"/>
      <c r="R315" s="1200">
        <v>35514</v>
      </c>
      <c r="S315" s="1007">
        <v>5285</v>
      </c>
      <c r="T315" s="1306">
        <v>40799</v>
      </c>
    </row>
    <row r="316" spans="1:20" x14ac:dyDescent="0.25">
      <c r="A316" s="1203">
        <v>93201</v>
      </c>
      <c r="B316" s="1204" t="s">
        <v>2947</v>
      </c>
      <c r="C316" s="1303">
        <v>1.5223E-2</v>
      </c>
      <c r="D316" s="1303">
        <v>1.5197799999999999E-2</v>
      </c>
      <c r="E316" s="1007">
        <v>54398264</v>
      </c>
      <c r="F316" s="1270"/>
      <c r="G316" s="1200">
        <v>6869546</v>
      </c>
      <c r="H316" s="1200">
        <v>7655098</v>
      </c>
      <c r="I316" s="1200">
        <v>4048298</v>
      </c>
      <c r="J316" s="1007">
        <v>117867</v>
      </c>
      <c r="K316" s="1007">
        <v>18690809</v>
      </c>
      <c r="L316" s="1270"/>
      <c r="M316" s="1198">
        <v>0</v>
      </c>
      <c r="N316" s="1198">
        <v>0</v>
      </c>
      <c r="O316" s="1007">
        <v>563917</v>
      </c>
      <c r="P316" s="1007">
        <v>563917</v>
      </c>
      <c r="Q316" s="1270"/>
      <c r="R316" s="1200">
        <v>18707164</v>
      </c>
      <c r="S316" s="1007">
        <v>-65397</v>
      </c>
      <c r="T316" s="1306">
        <v>18641767</v>
      </c>
    </row>
    <row r="317" spans="1:20" x14ac:dyDescent="0.25">
      <c r="A317" s="1203">
        <v>93202</v>
      </c>
      <c r="B317" s="1204" t="s">
        <v>2948</v>
      </c>
      <c r="C317" s="1303">
        <v>0</v>
      </c>
      <c r="D317" s="1303">
        <v>0</v>
      </c>
      <c r="E317" s="1007">
        <v>0</v>
      </c>
      <c r="F317" s="1270"/>
      <c r="G317" s="1200">
        <v>0</v>
      </c>
      <c r="H317" s="1200">
        <v>0</v>
      </c>
      <c r="I317" s="1200">
        <v>0</v>
      </c>
      <c r="J317" s="1007">
        <v>0</v>
      </c>
      <c r="K317" s="1007">
        <v>0</v>
      </c>
      <c r="L317" s="1270"/>
      <c r="M317" s="1198">
        <v>0</v>
      </c>
      <c r="N317" s="1198">
        <v>0</v>
      </c>
      <c r="O317" s="1007">
        <v>0</v>
      </c>
      <c r="P317" s="1007">
        <v>0</v>
      </c>
      <c r="Q317" s="1270"/>
      <c r="R317" s="1200">
        <v>0</v>
      </c>
      <c r="S317" s="1007">
        <v>-25055</v>
      </c>
      <c r="T317" s="1306">
        <v>-25055</v>
      </c>
    </row>
    <row r="318" spans="1:20" x14ac:dyDescent="0.25">
      <c r="A318" s="1203">
        <v>93204</v>
      </c>
      <c r="B318" s="1204" t="s">
        <v>2949</v>
      </c>
      <c r="C318" s="1303">
        <v>2.6400000000000002E-4</v>
      </c>
      <c r="D318" s="1303">
        <v>2.9710000000000001E-4</v>
      </c>
      <c r="E318" s="1007">
        <v>943384</v>
      </c>
      <c r="F318" s="1270"/>
      <c r="G318" s="1200">
        <v>119133</v>
      </c>
      <c r="H318" s="1200">
        <v>132756</v>
      </c>
      <c r="I318" s="1200">
        <v>70206</v>
      </c>
      <c r="J318" s="1007">
        <v>17775</v>
      </c>
      <c r="K318" s="1007">
        <v>339870</v>
      </c>
      <c r="L318" s="1270"/>
      <c r="M318" s="1198">
        <v>0</v>
      </c>
      <c r="N318" s="1198">
        <v>0</v>
      </c>
      <c r="O318" s="1007">
        <v>29785</v>
      </c>
      <c r="P318" s="1007">
        <v>29785</v>
      </c>
      <c r="Q318" s="1270"/>
      <c r="R318" s="1200">
        <v>324423</v>
      </c>
      <c r="S318" s="1007">
        <v>72</v>
      </c>
      <c r="T318" s="1306">
        <v>324495</v>
      </c>
    </row>
    <row r="319" spans="1:20" x14ac:dyDescent="0.25">
      <c r="A319" s="1203">
        <v>93209</v>
      </c>
      <c r="B319" s="1204" t="s">
        <v>2950</v>
      </c>
      <c r="C319" s="1303">
        <v>5.2969000000000002E-3</v>
      </c>
      <c r="D319" s="1303">
        <v>5.5938000000000003E-3</v>
      </c>
      <c r="E319" s="1007">
        <v>18928080</v>
      </c>
      <c r="F319" s="1270"/>
      <c r="G319" s="1200">
        <v>2390284</v>
      </c>
      <c r="H319" s="1200">
        <v>2663620</v>
      </c>
      <c r="I319" s="1200">
        <v>1408621</v>
      </c>
      <c r="J319" s="1007">
        <v>185469</v>
      </c>
      <c r="K319" s="1007">
        <v>6647994</v>
      </c>
      <c r="L319" s="1270"/>
      <c r="M319" s="1198">
        <v>0</v>
      </c>
      <c r="N319" s="1198">
        <v>0</v>
      </c>
      <c r="O319" s="1007">
        <v>520470</v>
      </c>
      <c r="P319" s="1007">
        <v>520470</v>
      </c>
      <c r="Q319" s="1270"/>
      <c r="R319" s="1200">
        <v>6509228</v>
      </c>
      <c r="S319" s="1007">
        <v>1970</v>
      </c>
      <c r="T319" s="1306">
        <v>6511198</v>
      </c>
    </row>
    <row r="320" spans="1:20" x14ac:dyDescent="0.25">
      <c r="A320" s="1203">
        <v>93211</v>
      </c>
      <c r="B320" s="1204" t="s">
        <v>2951</v>
      </c>
      <c r="C320" s="1303">
        <v>2.2128599999999998E-2</v>
      </c>
      <c r="D320" s="1303">
        <v>2.16165E-2</v>
      </c>
      <c r="E320" s="1007">
        <v>79074915</v>
      </c>
      <c r="F320" s="1270"/>
      <c r="G320" s="1200">
        <v>9985774</v>
      </c>
      <c r="H320" s="1200">
        <v>11127677</v>
      </c>
      <c r="I320" s="1200">
        <v>5884725</v>
      </c>
      <c r="J320" s="1007">
        <v>1381536</v>
      </c>
      <c r="K320" s="1007">
        <v>28379712</v>
      </c>
      <c r="L320" s="1270"/>
      <c r="M320" s="1198">
        <v>0</v>
      </c>
      <c r="N320" s="1198">
        <v>0</v>
      </c>
      <c r="O320" s="1007">
        <v>18530</v>
      </c>
      <c r="P320" s="1007">
        <v>18530</v>
      </c>
      <c r="Q320" s="1270"/>
      <c r="R320" s="1200">
        <v>27193283</v>
      </c>
      <c r="S320" s="1007">
        <v>320365</v>
      </c>
      <c r="T320" s="1306">
        <v>27513648</v>
      </c>
    </row>
    <row r="321" spans="1:20" x14ac:dyDescent="0.25">
      <c r="A321" s="1203">
        <v>93212</v>
      </c>
      <c r="B321" s="1204" t="s">
        <v>2952</v>
      </c>
      <c r="C321" s="1303">
        <v>2.8699999999999998E-4</v>
      </c>
      <c r="D321" s="1303">
        <v>2.3910000000000001E-4</v>
      </c>
      <c r="E321" s="1007">
        <v>1025573</v>
      </c>
      <c r="F321" s="1270"/>
      <c r="G321" s="1200">
        <v>129512</v>
      </c>
      <c r="H321" s="1200">
        <v>144322</v>
      </c>
      <c r="I321" s="1200">
        <v>76323</v>
      </c>
      <c r="J321" s="1007">
        <v>182915</v>
      </c>
      <c r="K321" s="1007">
        <v>533072</v>
      </c>
      <c r="L321" s="1270"/>
      <c r="M321" s="1198">
        <v>0</v>
      </c>
      <c r="N321" s="1198">
        <v>0</v>
      </c>
      <c r="O321" s="1007">
        <v>0</v>
      </c>
      <c r="P321" s="1007">
        <v>0</v>
      </c>
      <c r="Q321" s="1270"/>
      <c r="R321" s="1200">
        <v>352687</v>
      </c>
      <c r="S321" s="1007">
        <v>99689</v>
      </c>
      <c r="T321" s="1306">
        <v>452376</v>
      </c>
    </row>
    <row r="322" spans="1:20" x14ac:dyDescent="0.25">
      <c r="A322" s="1203">
        <v>93219</v>
      </c>
      <c r="B322" s="1204" t="s">
        <v>2953</v>
      </c>
      <c r="C322" s="1303">
        <v>2.5789999999999998E-4</v>
      </c>
      <c r="D322" s="1303">
        <v>2.6229999999999998E-4</v>
      </c>
      <c r="E322" s="1007">
        <v>921587</v>
      </c>
      <c r="F322" s="1270"/>
      <c r="G322" s="1200">
        <v>116380</v>
      </c>
      <c r="H322" s="1200">
        <v>129689</v>
      </c>
      <c r="I322" s="1200">
        <v>68584</v>
      </c>
      <c r="J322" s="1007">
        <v>23084</v>
      </c>
      <c r="K322" s="1007">
        <v>337737</v>
      </c>
      <c r="L322" s="1270"/>
      <c r="M322" s="1198">
        <v>0</v>
      </c>
      <c r="N322" s="1198">
        <v>0</v>
      </c>
      <c r="O322" s="1007">
        <v>1228</v>
      </c>
      <c r="P322" s="1007">
        <v>1228</v>
      </c>
      <c r="Q322" s="1270"/>
      <c r="R322" s="1200">
        <v>316927</v>
      </c>
      <c r="S322" s="1007">
        <v>9816</v>
      </c>
      <c r="T322" s="1306">
        <v>326743</v>
      </c>
    </row>
    <row r="323" spans="1:20" x14ac:dyDescent="0.25">
      <c r="A323" s="1203">
        <v>93301</v>
      </c>
      <c r="B323" s="1204" t="s">
        <v>2954</v>
      </c>
      <c r="C323" s="1303">
        <v>2.1819999999999999E-3</v>
      </c>
      <c r="D323" s="1303">
        <v>2.2057999999999999E-3</v>
      </c>
      <c r="E323" s="1007">
        <v>7797216</v>
      </c>
      <c r="F323" s="1270"/>
      <c r="G323" s="1200">
        <v>984652</v>
      </c>
      <c r="H323" s="1200">
        <v>1097250</v>
      </c>
      <c r="I323" s="1200">
        <v>580266</v>
      </c>
      <c r="J323" s="1007">
        <v>12466</v>
      </c>
      <c r="K323" s="1007">
        <v>2674634</v>
      </c>
      <c r="L323" s="1270"/>
      <c r="M323" s="1198">
        <v>0</v>
      </c>
      <c r="N323" s="1198">
        <v>0</v>
      </c>
      <c r="O323" s="1007">
        <v>136768</v>
      </c>
      <c r="P323" s="1007">
        <v>136768</v>
      </c>
      <c r="Q323" s="1270"/>
      <c r="R323" s="1200">
        <v>2681405</v>
      </c>
      <c r="S323" s="1007">
        <v>-43282</v>
      </c>
      <c r="T323" s="1306">
        <v>2638123</v>
      </c>
    </row>
    <row r="324" spans="1:20" x14ac:dyDescent="0.25">
      <c r="A324" s="1203">
        <v>93304</v>
      </c>
      <c r="B324" s="1204" t="s">
        <v>2955</v>
      </c>
      <c r="C324" s="1303">
        <v>3.8099999999999998E-5</v>
      </c>
      <c r="D324" s="1303">
        <v>3.9400000000000002E-5</v>
      </c>
      <c r="E324" s="1007">
        <v>136148</v>
      </c>
      <c r="F324" s="1270"/>
      <c r="G324" s="1200">
        <v>17193</v>
      </c>
      <c r="H324" s="1200">
        <v>19159</v>
      </c>
      <c r="I324" s="1200">
        <v>10132</v>
      </c>
      <c r="J324" s="1007">
        <v>14259</v>
      </c>
      <c r="K324" s="1007">
        <v>60743</v>
      </c>
      <c r="L324" s="1270"/>
      <c r="M324" s="1198">
        <v>0</v>
      </c>
      <c r="N324" s="1198">
        <v>0</v>
      </c>
      <c r="O324" s="1007">
        <v>0</v>
      </c>
      <c r="P324" s="1007">
        <v>0</v>
      </c>
      <c r="Q324" s="1270"/>
      <c r="R324" s="1200">
        <v>46820</v>
      </c>
      <c r="S324" s="1007">
        <v>5876</v>
      </c>
      <c r="T324" s="1306">
        <v>52696</v>
      </c>
    </row>
    <row r="325" spans="1:20" x14ac:dyDescent="0.25">
      <c r="A325" s="1203">
        <v>93305</v>
      </c>
      <c r="B325" s="1204" t="s">
        <v>2956</v>
      </c>
      <c r="C325" s="1303">
        <v>3.43E-5</v>
      </c>
      <c r="D325" s="1303">
        <v>4.0299999999999997E-5</v>
      </c>
      <c r="E325" s="1007">
        <v>122569</v>
      </c>
      <c r="F325" s="1270"/>
      <c r="G325" s="1200">
        <v>15478</v>
      </c>
      <c r="H325" s="1200">
        <v>17248</v>
      </c>
      <c r="I325" s="1200">
        <v>9122</v>
      </c>
      <c r="J325" s="1007">
        <v>0</v>
      </c>
      <c r="K325" s="1007">
        <v>41848</v>
      </c>
      <c r="L325" s="1270"/>
      <c r="M325" s="1198">
        <v>0</v>
      </c>
      <c r="N325" s="1198">
        <v>0</v>
      </c>
      <c r="O325" s="1007">
        <v>11550</v>
      </c>
      <c r="P325" s="1007">
        <v>11550</v>
      </c>
      <c r="Q325" s="1270"/>
      <c r="R325" s="1200">
        <v>42150</v>
      </c>
      <c r="S325" s="1007">
        <v>-5136</v>
      </c>
      <c r="T325" s="1306">
        <v>37014</v>
      </c>
    </row>
    <row r="326" spans="1:20" x14ac:dyDescent="0.25">
      <c r="A326" s="1203">
        <v>93309</v>
      </c>
      <c r="B326" s="1204" t="s">
        <v>2957</v>
      </c>
      <c r="C326" s="1303">
        <v>1.6670000000000001E-4</v>
      </c>
      <c r="D326" s="1303">
        <v>1.6239999999999999E-4</v>
      </c>
      <c r="E326" s="1007">
        <v>595690</v>
      </c>
      <c r="F326" s="1270"/>
      <c r="G326" s="1200">
        <v>75225</v>
      </c>
      <c r="H326" s="1200">
        <v>83828</v>
      </c>
      <c r="I326" s="1200">
        <v>44331</v>
      </c>
      <c r="J326" s="1007">
        <v>32881</v>
      </c>
      <c r="K326" s="1007">
        <v>236265</v>
      </c>
      <c r="L326" s="1270"/>
      <c r="M326" s="1198">
        <v>0</v>
      </c>
      <c r="N326" s="1198">
        <v>0</v>
      </c>
      <c r="O326" s="1007">
        <v>0</v>
      </c>
      <c r="P326" s="1007">
        <v>0</v>
      </c>
      <c r="Q326" s="1270"/>
      <c r="R326" s="1200">
        <v>204853</v>
      </c>
      <c r="S326" s="1007">
        <v>17042</v>
      </c>
      <c r="T326" s="1306">
        <v>221895</v>
      </c>
    </row>
    <row r="327" spans="1:20" x14ac:dyDescent="0.25">
      <c r="A327" s="1203">
        <v>93311</v>
      </c>
      <c r="B327" s="1204" t="s">
        <v>2958</v>
      </c>
      <c r="C327" s="1303">
        <v>1.3213000000000001E-3</v>
      </c>
      <c r="D327" s="1303">
        <v>1.2413999999999999E-3</v>
      </c>
      <c r="E327" s="1007">
        <v>4721568</v>
      </c>
      <c r="F327" s="1270"/>
      <c r="G327" s="1200">
        <v>596251</v>
      </c>
      <c r="H327" s="1200">
        <v>664434</v>
      </c>
      <c r="I327" s="1200">
        <v>351377</v>
      </c>
      <c r="J327" s="1007">
        <v>62657</v>
      </c>
      <c r="K327" s="1007">
        <v>1674719</v>
      </c>
      <c r="L327" s="1270"/>
      <c r="M327" s="1198">
        <v>0</v>
      </c>
      <c r="N327" s="1198">
        <v>0</v>
      </c>
      <c r="O327" s="1007">
        <v>42915</v>
      </c>
      <c r="P327" s="1007">
        <v>42915</v>
      </c>
      <c r="Q327" s="1270"/>
      <c r="R327" s="1200">
        <v>1623713</v>
      </c>
      <c r="S327" s="1007">
        <v>-9384</v>
      </c>
      <c r="T327" s="1306">
        <v>1614329</v>
      </c>
    </row>
    <row r="328" spans="1:20" x14ac:dyDescent="0.25">
      <c r="A328" s="1203">
        <v>93317</v>
      </c>
      <c r="B328" s="1204" t="s">
        <v>2959</v>
      </c>
      <c r="C328" s="1303">
        <v>4.5300000000000003E-5</v>
      </c>
      <c r="D328" s="1303">
        <v>4.1199999999999999E-5</v>
      </c>
      <c r="E328" s="1007">
        <v>161876</v>
      </c>
      <c r="F328" s="1270"/>
      <c r="G328" s="1200">
        <v>20442</v>
      </c>
      <c r="H328" s="1200">
        <v>22779</v>
      </c>
      <c r="I328" s="1200">
        <v>12047</v>
      </c>
      <c r="J328" s="1007">
        <v>7274</v>
      </c>
      <c r="K328" s="1007">
        <v>62542</v>
      </c>
      <c r="L328" s="1270"/>
      <c r="M328" s="1198">
        <v>0</v>
      </c>
      <c r="N328" s="1198">
        <v>0</v>
      </c>
      <c r="O328" s="1007">
        <v>4477</v>
      </c>
      <c r="P328" s="1007">
        <v>4477</v>
      </c>
      <c r="Q328" s="1270"/>
      <c r="R328" s="1200">
        <v>55668</v>
      </c>
      <c r="S328" s="1007">
        <v>878</v>
      </c>
      <c r="T328" s="1306">
        <v>56546</v>
      </c>
    </row>
    <row r="329" spans="1:20" x14ac:dyDescent="0.25">
      <c r="A329" s="1203">
        <v>93321</v>
      </c>
      <c r="B329" s="1204" t="s">
        <v>2960</v>
      </c>
      <c r="C329" s="1303">
        <v>6.6553999999999997E-3</v>
      </c>
      <c r="D329" s="1303">
        <v>6.7971999999999998E-3</v>
      </c>
      <c r="E329" s="1007">
        <v>23782579</v>
      </c>
      <c r="F329" s="1270"/>
      <c r="G329" s="1200">
        <v>3003322</v>
      </c>
      <c r="H329" s="1200">
        <v>3346761</v>
      </c>
      <c r="I329" s="1200">
        <v>1769890</v>
      </c>
      <c r="J329" s="1007">
        <v>0</v>
      </c>
      <c r="K329" s="1007">
        <v>8119973</v>
      </c>
      <c r="L329" s="1270"/>
      <c r="M329" s="1198">
        <v>0</v>
      </c>
      <c r="N329" s="1198">
        <v>0</v>
      </c>
      <c r="O329" s="1007">
        <v>561671</v>
      </c>
      <c r="P329" s="1007">
        <v>561671</v>
      </c>
      <c r="Q329" s="1270"/>
      <c r="R329" s="1200">
        <v>8178655</v>
      </c>
      <c r="S329" s="1007">
        <v>-314812</v>
      </c>
      <c r="T329" s="1306">
        <v>7863843</v>
      </c>
    </row>
    <row r="330" spans="1:20" x14ac:dyDescent="0.25">
      <c r="A330" s="1203">
        <v>93323</v>
      </c>
      <c r="B330" s="1204" t="s">
        <v>2961</v>
      </c>
      <c r="C330" s="1303">
        <v>3.2199999999999997E-5</v>
      </c>
      <c r="D330" s="1303">
        <v>2.0100000000000001E-5</v>
      </c>
      <c r="E330" s="1007">
        <v>115064</v>
      </c>
      <c r="F330" s="1270"/>
      <c r="G330" s="1200">
        <v>14531</v>
      </c>
      <c r="H330" s="1200">
        <v>16193</v>
      </c>
      <c r="I330" s="1200">
        <v>8563</v>
      </c>
      <c r="J330" s="1007">
        <v>18586</v>
      </c>
      <c r="K330" s="1007">
        <v>57873</v>
      </c>
      <c r="L330" s="1270"/>
      <c r="M330" s="1198">
        <v>0</v>
      </c>
      <c r="N330" s="1198">
        <v>0</v>
      </c>
      <c r="O330" s="1007">
        <v>1430</v>
      </c>
      <c r="P330" s="1007">
        <v>1430</v>
      </c>
      <c r="Q330" s="1270"/>
      <c r="R330" s="1200">
        <v>39570</v>
      </c>
      <c r="S330" s="1007">
        <v>6388</v>
      </c>
      <c r="T330" s="1306">
        <v>45958</v>
      </c>
    </row>
    <row r="331" spans="1:20" x14ac:dyDescent="0.25">
      <c r="A331" s="1203">
        <v>93331</v>
      </c>
      <c r="B331" s="1204" t="s">
        <v>2962</v>
      </c>
      <c r="C331" s="1303">
        <v>1.3310000000000001E-4</v>
      </c>
      <c r="D331" s="1303">
        <v>1.161E-4</v>
      </c>
      <c r="E331" s="1007">
        <v>475623</v>
      </c>
      <c r="F331" s="1270"/>
      <c r="G331" s="1200">
        <v>60063</v>
      </c>
      <c r="H331" s="1200">
        <v>66931</v>
      </c>
      <c r="I331" s="1200">
        <v>35396</v>
      </c>
      <c r="J331" s="1007">
        <v>26416</v>
      </c>
      <c r="K331" s="1007">
        <v>188806</v>
      </c>
      <c r="L331" s="1270"/>
      <c r="M331" s="1198">
        <v>0</v>
      </c>
      <c r="N331" s="1198">
        <v>0</v>
      </c>
      <c r="O331" s="1007">
        <v>6272</v>
      </c>
      <c r="P331" s="1007">
        <v>6272</v>
      </c>
      <c r="Q331" s="1270"/>
      <c r="R331" s="1200">
        <v>163563</v>
      </c>
      <c r="S331" s="1007">
        <v>6397</v>
      </c>
      <c r="T331" s="1306">
        <v>169960</v>
      </c>
    </row>
    <row r="332" spans="1:20" x14ac:dyDescent="0.25">
      <c r="A332" s="1203">
        <v>93333</v>
      </c>
      <c r="B332" s="1204" t="s">
        <v>2963</v>
      </c>
      <c r="C332" s="1303">
        <v>1.7919999999999999E-4</v>
      </c>
      <c r="D332" s="1303">
        <v>1.6660000000000001E-4</v>
      </c>
      <c r="E332" s="1007">
        <v>640358</v>
      </c>
      <c r="F332" s="1270"/>
      <c r="G332" s="1200">
        <v>80866</v>
      </c>
      <c r="H332" s="1200">
        <v>90113</v>
      </c>
      <c r="I332" s="1200">
        <v>47655</v>
      </c>
      <c r="J332" s="1007">
        <v>93393</v>
      </c>
      <c r="K332" s="1007">
        <v>312027</v>
      </c>
      <c r="L332" s="1270"/>
      <c r="M332" s="1198">
        <v>0</v>
      </c>
      <c r="N332" s="1198">
        <v>0</v>
      </c>
      <c r="O332" s="1007">
        <v>0</v>
      </c>
      <c r="P332" s="1007">
        <v>0</v>
      </c>
      <c r="Q332" s="1270"/>
      <c r="R332" s="1200">
        <v>220214</v>
      </c>
      <c r="S332" s="1007">
        <v>63246</v>
      </c>
      <c r="T332" s="1306">
        <v>283460</v>
      </c>
    </row>
    <row r="333" spans="1:20" x14ac:dyDescent="0.25">
      <c r="A333" s="1203">
        <v>93341</v>
      </c>
      <c r="B333" s="1204" t="s">
        <v>2964</v>
      </c>
      <c r="C333" s="1303">
        <v>2.6100000000000001E-5</v>
      </c>
      <c r="D333" s="1303">
        <v>2.9300000000000001E-5</v>
      </c>
      <c r="E333" s="1007">
        <v>93266</v>
      </c>
      <c r="F333" s="1270"/>
      <c r="G333" s="1200">
        <v>11778</v>
      </c>
      <c r="H333" s="1200">
        <v>13125</v>
      </c>
      <c r="I333" s="1200">
        <v>6941</v>
      </c>
      <c r="J333" s="1007">
        <v>3286</v>
      </c>
      <c r="K333" s="1007">
        <v>35130</v>
      </c>
      <c r="L333" s="1270"/>
      <c r="M333" s="1198">
        <v>0</v>
      </c>
      <c r="N333" s="1198">
        <v>0</v>
      </c>
      <c r="O333" s="1007">
        <v>3323</v>
      </c>
      <c r="P333" s="1007">
        <v>3323</v>
      </c>
      <c r="Q333" s="1270"/>
      <c r="R333" s="1200">
        <v>32074</v>
      </c>
      <c r="S333" s="1007">
        <v>505</v>
      </c>
      <c r="T333" s="1306">
        <v>32579</v>
      </c>
    </row>
    <row r="334" spans="1:20" x14ac:dyDescent="0.25">
      <c r="A334" s="1203">
        <v>93351</v>
      </c>
      <c r="B334" s="1204" t="s">
        <v>2965</v>
      </c>
      <c r="C334" s="1303">
        <v>3.1000000000000001E-5</v>
      </c>
      <c r="D334" s="1303">
        <v>3.1600000000000002E-5</v>
      </c>
      <c r="E334" s="1007">
        <v>110776</v>
      </c>
      <c r="F334" s="1270"/>
      <c r="G334" s="1200">
        <v>13989</v>
      </c>
      <c r="H334" s="1200">
        <v>15589</v>
      </c>
      <c r="I334" s="1200">
        <v>8244</v>
      </c>
      <c r="J334" s="1007">
        <v>7987</v>
      </c>
      <c r="K334" s="1007">
        <v>45809</v>
      </c>
      <c r="L334" s="1270"/>
      <c r="M334" s="1198">
        <v>0</v>
      </c>
      <c r="N334" s="1198">
        <v>0</v>
      </c>
      <c r="O334" s="1007">
        <v>6978</v>
      </c>
      <c r="P334" s="1007">
        <v>6978</v>
      </c>
      <c r="Q334" s="1270"/>
      <c r="R334" s="1200">
        <v>38095</v>
      </c>
      <c r="S334" s="1007">
        <v>3423</v>
      </c>
      <c r="T334" s="1306">
        <v>41518</v>
      </c>
    </row>
    <row r="335" spans="1:20" x14ac:dyDescent="0.25">
      <c r="A335" s="1203">
        <v>93401</v>
      </c>
      <c r="B335" s="1204" t="s">
        <v>2966</v>
      </c>
      <c r="C335" s="1303">
        <v>1.37587E-2</v>
      </c>
      <c r="D335" s="1303">
        <v>1.3690799999999999E-2</v>
      </c>
      <c r="E335" s="1007">
        <v>49165696</v>
      </c>
      <c r="F335" s="1270"/>
      <c r="G335" s="1200">
        <v>6208765</v>
      </c>
      <c r="H335" s="1200">
        <v>6918755</v>
      </c>
      <c r="I335" s="1200">
        <v>3658892</v>
      </c>
      <c r="J335" s="1007">
        <v>264129</v>
      </c>
      <c r="K335" s="1007">
        <v>17050541</v>
      </c>
      <c r="L335" s="1270"/>
      <c r="M335" s="1198">
        <v>0</v>
      </c>
      <c r="N335" s="1198">
        <v>0</v>
      </c>
      <c r="O335" s="1007">
        <v>203390</v>
      </c>
      <c r="P335" s="1007">
        <v>203390</v>
      </c>
      <c r="Q335" s="1270"/>
      <c r="R335" s="1200">
        <v>16907722</v>
      </c>
      <c r="S335" s="1007">
        <v>5930</v>
      </c>
      <c r="T335" s="1306">
        <v>16913652</v>
      </c>
    </row>
    <row r="336" spans="1:20" x14ac:dyDescent="0.25">
      <c r="A336" s="1203">
        <v>93402</v>
      </c>
      <c r="B336" s="1204" t="s">
        <v>2967</v>
      </c>
      <c r="C336" s="1303">
        <v>0</v>
      </c>
      <c r="D336" s="1303">
        <v>0</v>
      </c>
      <c r="E336" s="1007">
        <v>0</v>
      </c>
      <c r="F336" s="1270"/>
      <c r="G336" s="1200">
        <v>0</v>
      </c>
      <c r="H336" s="1200">
        <v>0</v>
      </c>
      <c r="I336" s="1200">
        <v>0</v>
      </c>
      <c r="J336" s="1007">
        <v>0</v>
      </c>
      <c r="K336" s="1007">
        <v>0</v>
      </c>
      <c r="L336" s="1270"/>
      <c r="M336" s="1198">
        <v>0</v>
      </c>
      <c r="N336" s="1198">
        <v>0</v>
      </c>
      <c r="O336" s="1007">
        <v>52928</v>
      </c>
      <c r="P336" s="1007">
        <v>52928</v>
      </c>
      <c r="Q336" s="1270"/>
      <c r="R336" s="1200">
        <v>0</v>
      </c>
      <c r="S336" s="1007">
        <v>-19132</v>
      </c>
      <c r="T336" s="1306">
        <v>-19132</v>
      </c>
    </row>
    <row r="337" spans="1:20" x14ac:dyDescent="0.25">
      <c r="A337" s="1203">
        <v>93406</v>
      </c>
      <c r="B337" s="1204" t="s">
        <v>2968</v>
      </c>
      <c r="C337" s="1303">
        <v>4.996E-4</v>
      </c>
      <c r="D337" s="1303">
        <v>4.9350000000000002E-4</v>
      </c>
      <c r="E337" s="1007">
        <v>1785284</v>
      </c>
      <c r="F337" s="1270"/>
      <c r="G337" s="1200">
        <v>225450</v>
      </c>
      <c r="H337" s="1200">
        <v>251231</v>
      </c>
      <c r="I337" s="1200">
        <v>132860</v>
      </c>
      <c r="J337" s="1007">
        <v>39822</v>
      </c>
      <c r="K337" s="1007">
        <v>649363</v>
      </c>
      <c r="L337" s="1270"/>
      <c r="M337" s="1198">
        <v>0</v>
      </c>
      <c r="N337" s="1198">
        <v>0</v>
      </c>
      <c r="O337" s="1007">
        <v>58901</v>
      </c>
      <c r="P337" s="1007">
        <v>58901</v>
      </c>
      <c r="Q337" s="1270"/>
      <c r="R337" s="1200">
        <v>613946</v>
      </c>
      <c r="S337" s="1007">
        <v>-20702</v>
      </c>
      <c r="T337" s="1306">
        <v>593244</v>
      </c>
    </row>
    <row r="338" spans="1:20" x14ac:dyDescent="0.25">
      <c r="A338" s="1203">
        <v>93408</v>
      </c>
      <c r="B338" s="1204" t="s">
        <v>2969</v>
      </c>
      <c r="C338" s="1303">
        <v>0</v>
      </c>
      <c r="D338" s="1303">
        <v>0</v>
      </c>
      <c r="E338" s="1007">
        <v>0</v>
      </c>
      <c r="F338" s="1270"/>
      <c r="G338" s="1200">
        <v>0</v>
      </c>
      <c r="H338" s="1200">
        <v>0</v>
      </c>
      <c r="I338" s="1200">
        <v>0</v>
      </c>
      <c r="J338" s="1007">
        <v>0</v>
      </c>
      <c r="K338" s="1007">
        <v>0</v>
      </c>
      <c r="L338" s="1270"/>
      <c r="M338" s="1198">
        <v>0</v>
      </c>
      <c r="N338" s="1198">
        <v>0</v>
      </c>
      <c r="O338" s="1007">
        <v>303143</v>
      </c>
      <c r="P338" s="1007">
        <v>303143</v>
      </c>
      <c r="Q338" s="1270"/>
      <c r="R338" s="1200">
        <v>0</v>
      </c>
      <c r="S338" s="1007">
        <v>-421153</v>
      </c>
      <c r="T338" s="1306">
        <v>-421153</v>
      </c>
    </row>
    <row r="339" spans="1:20" x14ac:dyDescent="0.25">
      <c r="A339" s="1203">
        <v>93411</v>
      </c>
      <c r="B339" s="1204" t="s">
        <v>2970</v>
      </c>
      <c r="C339" s="1303">
        <v>1.78316E-2</v>
      </c>
      <c r="D339" s="1303">
        <v>1.77345E-2</v>
      </c>
      <c r="E339" s="1007">
        <v>63719903</v>
      </c>
      <c r="F339" s="1270"/>
      <c r="G339" s="1200">
        <v>8046706</v>
      </c>
      <c r="H339" s="1200">
        <v>8966869</v>
      </c>
      <c r="I339" s="1200">
        <v>4742011</v>
      </c>
      <c r="J339" s="1007">
        <v>632663</v>
      </c>
      <c r="K339" s="1007">
        <v>22388249</v>
      </c>
      <c r="L339" s="1270"/>
      <c r="M339" s="1198">
        <v>0</v>
      </c>
      <c r="N339" s="1198">
        <v>0</v>
      </c>
      <c r="O339" s="1007">
        <v>196858</v>
      </c>
      <c r="P339" s="1007">
        <v>196858</v>
      </c>
      <c r="Q339" s="1270"/>
      <c r="R339" s="1200">
        <v>21912807</v>
      </c>
      <c r="S339" s="1007">
        <v>141173</v>
      </c>
      <c r="T339" s="1306">
        <v>22053980</v>
      </c>
    </row>
    <row r="340" spans="1:20" x14ac:dyDescent="0.25">
      <c r="A340" s="1203">
        <v>93413</v>
      </c>
      <c r="B340" s="1204" t="s">
        <v>2971</v>
      </c>
      <c r="C340" s="1303">
        <v>6.7969999999999999E-4</v>
      </c>
      <c r="D340" s="1303">
        <v>6.9559999999999999E-4</v>
      </c>
      <c r="E340" s="1007">
        <v>2428858</v>
      </c>
      <c r="F340" s="1270"/>
      <c r="G340" s="1200">
        <v>306722</v>
      </c>
      <c r="H340" s="1200">
        <v>341796</v>
      </c>
      <c r="I340" s="1200">
        <v>180755</v>
      </c>
      <c r="J340" s="1007">
        <v>1186</v>
      </c>
      <c r="K340" s="1007">
        <v>830459</v>
      </c>
      <c r="L340" s="1270"/>
      <c r="M340" s="1198">
        <v>0</v>
      </c>
      <c r="N340" s="1198">
        <v>0</v>
      </c>
      <c r="O340" s="1007">
        <v>16630</v>
      </c>
      <c r="P340" s="1007">
        <v>16630</v>
      </c>
      <c r="Q340" s="1270"/>
      <c r="R340" s="1200">
        <v>835266</v>
      </c>
      <c r="S340" s="1007">
        <v>-10991</v>
      </c>
      <c r="T340" s="1306">
        <v>824275</v>
      </c>
    </row>
    <row r="341" spans="1:20" x14ac:dyDescent="0.25">
      <c r="A341" s="1203">
        <v>93417</v>
      </c>
      <c r="B341" s="1204" t="s">
        <v>2972</v>
      </c>
      <c r="C341" s="1303">
        <v>2.876E-4</v>
      </c>
      <c r="D341" s="1303">
        <v>2.8659999999999997E-4</v>
      </c>
      <c r="E341" s="1007">
        <v>1027717</v>
      </c>
      <c r="F341" s="1270"/>
      <c r="G341" s="1200">
        <v>129783</v>
      </c>
      <c r="H341" s="1200">
        <v>144624</v>
      </c>
      <c r="I341" s="1200">
        <v>76482</v>
      </c>
      <c r="J341" s="1007">
        <v>44190</v>
      </c>
      <c r="K341" s="1007">
        <v>395079</v>
      </c>
      <c r="L341" s="1270"/>
      <c r="M341" s="1198">
        <v>0</v>
      </c>
      <c r="N341" s="1198">
        <v>0</v>
      </c>
      <c r="O341" s="1007">
        <v>10564</v>
      </c>
      <c r="P341" s="1007">
        <v>10564</v>
      </c>
      <c r="Q341" s="1270"/>
      <c r="R341" s="1200">
        <v>353424</v>
      </c>
      <c r="S341" s="1007">
        <v>6916</v>
      </c>
      <c r="T341" s="1306">
        <v>360340</v>
      </c>
    </row>
    <row r="342" spans="1:20" x14ac:dyDescent="0.25">
      <c r="A342" s="1203">
        <v>93421</v>
      </c>
      <c r="B342" s="1204" t="s">
        <v>2973</v>
      </c>
      <c r="C342" s="1303">
        <v>2.0282999999999998E-3</v>
      </c>
      <c r="D342" s="1303">
        <v>2.0569E-3</v>
      </c>
      <c r="E342" s="1007">
        <v>7247980</v>
      </c>
      <c r="F342" s="1270"/>
      <c r="G342" s="1200">
        <v>915293</v>
      </c>
      <c r="H342" s="1200">
        <v>1019959</v>
      </c>
      <c r="I342" s="1200">
        <v>539392</v>
      </c>
      <c r="J342" s="1007">
        <v>0</v>
      </c>
      <c r="K342" s="1007">
        <v>2474644</v>
      </c>
      <c r="L342" s="1270"/>
      <c r="M342" s="1198">
        <v>0</v>
      </c>
      <c r="N342" s="1198">
        <v>0</v>
      </c>
      <c r="O342" s="1007">
        <v>241204</v>
      </c>
      <c r="P342" s="1007">
        <v>241204</v>
      </c>
      <c r="Q342" s="1270"/>
      <c r="R342" s="1200">
        <v>2492527</v>
      </c>
      <c r="S342" s="1007">
        <v>-127919</v>
      </c>
      <c r="T342" s="1306">
        <v>2364608</v>
      </c>
    </row>
    <row r="343" spans="1:20" x14ac:dyDescent="0.25">
      <c r="A343" s="1203">
        <v>93431</v>
      </c>
      <c r="B343" s="1204" t="s">
        <v>2974</v>
      </c>
      <c r="C343" s="1303">
        <v>1.349E-4</v>
      </c>
      <c r="D343" s="1303">
        <v>1.381E-4</v>
      </c>
      <c r="E343" s="1007">
        <v>482055</v>
      </c>
      <c r="F343" s="1270"/>
      <c r="G343" s="1200">
        <v>60875</v>
      </c>
      <c r="H343" s="1200">
        <v>67836</v>
      </c>
      <c r="I343" s="1200">
        <v>35874</v>
      </c>
      <c r="J343" s="1007">
        <v>7353</v>
      </c>
      <c r="K343" s="1007">
        <v>171938</v>
      </c>
      <c r="L343" s="1270"/>
      <c r="M343" s="1198">
        <v>0</v>
      </c>
      <c r="N343" s="1198">
        <v>0</v>
      </c>
      <c r="O343" s="1007">
        <v>4110</v>
      </c>
      <c r="P343" s="1007">
        <v>4110</v>
      </c>
      <c r="Q343" s="1270"/>
      <c r="R343" s="1200">
        <v>165775</v>
      </c>
      <c r="S343" s="1007">
        <v>2407</v>
      </c>
      <c r="T343" s="1306">
        <v>168182</v>
      </c>
    </row>
    <row r="344" spans="1:20" x14ac:dyDescent="0.25">
      <c r="A344" s="1203">
        <v>93441</v>
      </c>
      <c r="B344" s="1204" t="s">
        <v>2975</v>
      </c>
      <c r="C344" s="1303">
        <v>1.6789999999999999E-4</v>
      </c>
      <c r="D344" s="1303">
        <v>1.6559999999999999E-4</v>
      </c>
      <c r="E344" s="1007">
        <v>599978</v>
      </c>
      <c r="F344" s="1270"/>
      <c r="G344" s="1200">
        <v>75767</v>
      </c>
      <c r="H344" s="1200">
        <v>84430</v>
      </c>
      <c r="I344" s="1200">
        <v>44650</v>
      </c>
      <c r="J344" s="1007">
        <v>5647</v>
      </c>
      <c r="K344" s="1007">
        <v>210494</v>
      </c>
      <c r="L344" s="1270"/>
      <c r="M344" s="1198">
        <v>0</v>
      </c>
      <c r="N344" s="1198">
        <v>0</v>
      </c>
      <c r="O344" s="1007">
        <v>3064</v>
      </c>
      <c r="P344" s="1007">
        <v>3064</v>
      </c>
      <c r="Q344" s="1270"/>
      <c r="R344" s="1200">
        <v>206328</v>
      </c>
      <c r="S344" s="1007">
        <v>6676</v>
      </c>
      <c r="T344" s="1306">
        <v>213004</v>
      </c>
    </row>
    <row r="345" spans="1:20" x14ac:dyDescent="0.25">
      <c r="A345" s="1203">
        <v>93442</v>
      </c>
      <c r="B345" s="1204" t="s">
        <v>2976</v>
      </c>
      <c r="C345" s="1303">
        <v>1.507E-4</v>
      </c>
      <c r="D345" s="1303">
        <v>1.561E-4</v>
      </c>
      <c r="E345" s="1007">
        <v>538515</v>
      </c>
      <c r="F345" s="1270"/>
      <c r="G345" s="1200">
        <v>68005</v>
      </c>
      <c r="H345" s="1200">
        <v>75781</v>
      </c>
      <c r="I345" s="1200">
        <v>40076</v>
      </c>
      <c r="J345" s="1007">
        <v>214</v>
      </c>
      <c r="K345" s="1007">
        <v>184076</v>
      </c>
      <c r="L345" s="1270"/>
      <c r="M345" s="1198">
        <v>0</v>
      </c>
      <c r="N345" s="1198">
        <v>0</v>
      </c>
      <c r="O345" s="1007">
        <v>25381</v>
      </c>
      <c r="P345" s="1007">
        <v>25381</v>
      </c>
      <c r="Q345" s="1270"/>
      <c r="R345" s="1200">
        <v>185191</v>
      </c>
      <c r="S345" s="1007">
        <v>-14334</v>
      </c>
      <c r="T345" s="1306">
        <v>170857</v>
      </c>
    </row>
    <row r="346" spans="1:20" x14ac:dyDescent="0.25">
      <c r="A346" s="1203">
        <v>93451</v>
      </c>
      <c r="B346" s="1204" t="s">
        <v>2977</v>
      </c>
      <c r="C346" s="1303">
        <v>6.6299999999999999E-5</v>
      </c>
      <c r="D346" s="1303">
        <v>6.6600000000000006E-5</v>
      </c>
      <c r="E346" s="1007">
        <v>236918</v>
      </c>
      <c r="F346" s="1270"/>
      <c r="G346" s="1200">
        <v>29919</v>
      </c>
      <c r="H346" s="1200">
        <v>33339</v>
      </c>
      <c r="I346" s="1200">
        <v>17631</v>
      </c>
      <c r="J346" s="1007">
        <v>16959</v>
      </c>
      <c r="K346" s="1007">
        <v>97848</v>
      </c>
      <c r="L346" s="1270"/>
      <c r="M346" s="1198">
        <v>0</v>
      </c>
      <c r="N346" s="1198">
        <v>0</v>
      </c>
      <c r="O346" s="1007">
        <v>744</v>
      </c>
      <c r="P346" s="1007">
        <v>744</v>
      </c>
      <c r="Q346" s="1270"/>
      <c r="R346" s="1200">
        <v>81474</v>
      </c>
      <c r="S346" s="1007">
        <v>8785</v>
      </c>
      <c r="T346" s="1306">
        <v>90259</v>
      </c>
    </row>
    <row r="347" spans="1:20" x14ac:dyDescent="0.25">
      <c r="A347" s="1203">
        <v>93461</v>
      </c>
      <c r="B347" s="1204" t="s">
        <v>2978</v>
      </c>
      <c r="C347" s="1303">
        <v>1.49E-5</v>
      </c>
      <c r="D347" s="1303">
        <v>1.5500000000000001E-5</v>
      </c>
      <c r="E347" s="1007">
        <v>53244</v>
      </c>
      <c r="F347" s="1270"/>
      <c r="G347" s="1200">
        <v>6724</v>
      </c>
      <c r="H347" s="1200">
        <v>7493</v>
      </c>
      <c r="I347" s="1200">
        <v>3962</v>
      </c>
      <c r="J347" s="1007">
        <v>218</v>
      </c>
      <c r="K347" s="1007">
        <v>18397</v>
      </c>
      <c r="L347" s="1270"/>
      <c r="M347" s="1198">
        <v>0</v>
      </c>
      <c r="N347" s="1198">
        <v>0</v>
      </c>
      <c r="O347" s="1007">
        <v>782</v>
      </c>
      <c r="P347" s="1007">
        <v>782</v>
      </c>
      <c r="Q347" s="1270"/>
      <c r="R347" s="1200">
        <v>18310</v>
      </c>
      <c r="S347" s="1007">
        <v>-66</v>
      </c>
      <c r="T347" s="1306">
        <v>18244</v>
      </c>
    </row>
    <row r="348" spans="1:20" x14ac:dyDescent="0.25">
      <c r="A348" s="1203">
        <v>93471</v>
      </c>
      <c r="B348" s="1204" t="s">
        <v>2979</v>
      </c>
      <c r="C348" s="1303">
        <v>1.24E-5</v>
      </c>
      <c r="D348" s="1303">
        <v>1.1399999999999999E-5</v>
      </c>
      <c r="E348" s="1007">
        <v>44310</v>
      </c>
      <c r="F348" s="1270"/>
      <c r="G348" s="1200">
        <v>5596</v>
      </c>
      <c r="H348" s="1200">
        <v>6235</v>
      </c>
      <c r="I348" s="1200">
        <v>3298</v>
      </c>
      <c r="J348" s="1007">
        <v>8346</v>
      </c>
      <c r="K348" s="1007">
        <v>23475</v>
      </c>
      <c r="L348" s="1270"/>
      <c r="M348" s="1198">
        <v>0</v>
      </c>
      <c r="N348" s="1198">
        <v>0</v>
      </c>
      <c r="O348" s="1007">
        <v>0</v>
      </c>
      <c r="P348" s="1007">
        <v>0</v>
      </c>
      <c r="Q348" s="1270"/>
      <c r="R348" s="1200">
        <v>15238</v>
      </c>
      <c r="S348" s="1007">
        <v>3707</v>
      </c>
      <c r="T348" s="1306">
        <v>18945</v>
      </c>
    </row>
    <row r="349" spans="1:20" x14ac:dyDescent="0.25">
      <c r="A349" s="1203">
        <v>93501</v>
      </c>
      <c r="B349" s="1204" t="s">
        <v>2980</v>
      </c>
      <c r="C349" s="1303">
        <v>3.7423999999999999E-3</v>
      </c>
      <c r="D349" s="1303">
        <v>3.8463999999999998E-3</v>
      </c>
      <c r="E349" s="1007">
        <v>13373189</v>
      </c>
      <c r="F349" s="1270"/>
      <c r="G349" s="1200">
        <v>1688799</v>
      </c>
      <c r="H349" s="1200">
        <v>1881919</v>
      </c>
      <c r="I349" s="1200">
        <v>995228</v>
      </c>
      <c r="J349" s="1007">
        <v>125076</v>
      </c>
      <c r="K349" s="1007">
        <v>4691022</v>
      </c>
      <c r="L349" s="1270"/>
      <c r="M349" s="1198">
        <v>0</v>
      </c>
      <c r="N349" s="1198">
        <v>0</v>
      </c>
      <c r="O349" s="1007">
        <v>156931</v>
      </c>
      <c r="P349" s="1007">
        <v>156931</v>
      </c>
      <c r="Q349" s="1270"/>
      <c r="R349" s="1200">
        <v>4598942</v>
      </c>
      <c r="S349" s="1007">
        <v>-25</v>
      </c>
      <c r="T349" s="1306">
        <v>4598917</v>
      </c>
    </row>
    <row r="350" spans="1:20" x14ac:dyDescent="0.25">
      <c r="A350" s="1203">
        <v>93511</v>
      </c>
      <c r="B350" s="1204" t="s">
        <v>2981</v>
      </c>
      <c r="C350" s="1303">
        <v>8.6100000000000006E-5</v>
      </c>
      <c r="D350" s="1303">
        <v>8.7899999999999995E-5</v>
      </c>
      <c r="E350" s="1007">
        <v>307672</v>
      </c>
      <c r="F350" s="1270"/>
      <c r="G350" s="1200">
        <v>38854</v>
      </c>
      <c r="H350" s="1200">
        <v>43297</v>
      </c>
      <c r="I350" s="1200">
        <v>22897</v>
      </c>
      <c r="J350" s="1007">
        <v>7200</v>
      </c>
      <c r="K350" s="1007">
        <v>112248</v>
      </c>
      <c r="L350" s="1270"/>
      <c r="M350" s="1198">
        <v>0</v>
      </c>
      <c r="N350" s="1198">
        <v>0</v>
      </c>
      <c r="O350" s="1007">
        <v>2713</v>
      </c>
      <c r="P350" s="1007">
        <v>2713</v>
      </c>
      <c r="Q350" s="1270"/>
      <c r="R350" s="1200">
        <v>105806</v>
      </c>
      <c r="S350" s="1007">
        <v>-464</v>
      </c>
      <c r="T350" s="1306">
        <v>105342</v>
      </c>
    </row>
    <row r="351" spans="1:20" x14ac:dyDescent="0.25">
      <c r="A351" s="1203">
        <v>93517</v>
      </c>
      <c r="B351" s="1204" t="s">
        <v>2982</v>
      </c>
      <c r="C351" s="1303">
        <v>3.7000000000000002E-6</v>
      </c>
      <c r="D351" s="1303">
        <v>4.3000000000000003E-6</v>
      </c>
      <c r="E351" s="1007">
        <v>13222</v>
      </c>
      <c r="F351" s="1270"/>
      <c r="G351" s="1200">
        <v>1670</v>
      </c>
      <c r="H351" s="1200">
        <v>1860</v>
      </c>
      <c r="I351" s="1200">
        <v>984</v>
      </c>
      <c r="J351" s="1007">
        <v>3602</v>
      </c>
      <c r="K351" s="1007">
        <v>8116</v>
      </c>
      <c r="L351" s="1270"/>
      <c r="M351" s="1198">
        <v>0</v>
      </c>
      <c r="N351" s="1198">
        <v>0</v>
      </c>
      <c r="O351" s="1007">
        <v>0</v>
      </c>
      <c r="P351" s="1007">
        <v>0</v>
      </c>
      <c r="Q351" s="1270"/>
      <c r="R351" s="1200">
        <v>4547</v>
      </c>
      <c r="S351" s="1007">
        <v>1672</v>
      </c>
      <c r="T351" s="1306">
        <v>6219</v>
      </c>
    </row>
    <row r="352" spans="1:20" x14ac:dyDescent="0.25">
      <c r="A352" s="1203">
        <v>93521</v>
      </c>
      <c r="B352" s="1204" t="s">
        <v>2983</v>
      </c>
      <c r="C352" s="1303">
        <v>4.7459999999999999E-4</v>
      </c>
      <c r="D352" s="1303">
        <v>4.7340000000000001E-4</v>
      </c>
      <c r="E352" s="1007">
        <v>1695948</v>
      </c>
      <c r="F352" s="1270"/>
      <c r="G352" s="1200">
        <v>214168</v>
      </c>
      <c r="H352" s="1200">
        <v>238659</v>
      </c>
      <c r="I352" s="1200">
        <v>126212</v>
      </c>
      <c r="J352" s="1007">
        <v>10066</v>
      </c>
      <c r="K352" s="1007">
        <v>589105</v>
      </c>
      <c r="L352" s="1270"/>
      <c r="M352" s="1198">
        <v>0</v>
      </c>
      <c r="N352" s="1198">
        <v>0</v>
      </c>
      <c r="O352" s="1007">
        <v>29834</v>
      </c>
      <c r="P352" s="1007">
        <v>29834</v>
      </c>
      <c r="Q352" s="1270"/>
      <c r="R352" s="1200">
        <v>583224</v>
      </c>
      <c r="S352" s="1007">
        <v>-15750</v>
      </c>
      <c r="T352" s="1306">
        <v>567474</v>
      </c>
    </row>
    <row r="353" spans="1:20" x14ac:dyDescent="0.25">
      <c r="A353" s="1203">
        <v>93527</v>
      </c>
      <c r="B353" s="1204" t="s">
        <v>2984</v>
      </c>
      <c r="C353" s="1303">
        <v>8.8999999999999995E-6</v>
      </c>
      <c r="D353" s="1303">
        <v>9.5999999999999996E-6</v>
      </c>
      <c r="E353" s="1007">
        <v>31803</v>
      </c>
      <c r="F353" s="1270"/>
      <c r="G353" s="1200">
        <v>4016</v>
      </c>
      <c r="H353" s="1200">
        <v>4475</v>
      </c>
      <c r="I353" s="1200">
        <v>2367</v>
      </c>
      <c r="J353" s="1007">
        <v>8724</v>
      </c>
      <c r="K353" s="1007">
        <v>19582</v>
      </c>
      <c r="L353" s="1270"/>
      <c r="M353" s="1198">
        <v>0</v>
      </c>
      <c r="N353" s="1198">
        <v>0</v>
      </c>
      <c r="O353" s="1007">
        <v>0</v>
      </c>
      <c r="P353" s="1007">
        <v>0</v>
      </c>
      <c r="Q353" s="1270"/>
      <c r="R353" s="1200">
        <v>10937</v>
      </c>
      <c r="S353" s="1007">
        <v>5631</v>
      </c>
      <c r="T353" s="1306">
        <v>16568</v>
      </c>
    </row>
    <row r="354" spans="1:20" x14ac:dyDescent="0.25">
      <c r="A354" s="1203">
        <v>93531</v>
      </c>
      <c r="B354" s="1204" t="s">
        <v>2985</v>
      </c>
      <c r="C354" s="1303">
        <v>2.4899999999999999E-5</v>
      </c>
      <c r="D354" s="1303">
        <v>2.23E-5</v>
      </c>
      <c r="E354" s="1007">
        <v>88978</v>
      </c>
      <c r="F354" s="1270"/>
      <c r="G354" s="1200">
        <v>11236</v>
      </c>
      <c r="H354" s="1200">
        <v>12521</v>
      </c>
      <c r="I354" s="1200">
        <v>6622</v>
      </c>
      <c r="J354" s="1007">
        <v>8784</v>
      </c>
      <c r="K354" s="1007">
        <v>39163</v>
      </c>
      <c r="L354" s="1270"/>
      <c r="M354" s="1198">
        <v>0</v>
      </c>
      <c r="N354" s="1198">
        <v>0</v>
      </c>
      <c r="O354" s="1007">
        <v>4997</v>
      </c>
      <c r="P354" s="1007">
        <v>4997</v>
      </c>
      <c r="Q354" s="1270"/>
      <c r="R354" s="1200">
        <v>30599</v>
      </c>
      <c r="S354" s="1007">
        <v>1827</v>
      </c>
      <c r="T354" s="1306">
        <v>32426</v>
      </c>
    </row>
    <row r="355" spans="1:20" x14ac:dyDescent="0.25">
      <c r="A355" s="1203">
        <v>93537</v>
      </c>
      <c r="B355" s="1204" t="s">
        <v>2986</v>
      </c>
      <c r="C355" s="1303">
        <v>1.04E-5</v>
      </c>
      <c r="D355" s="1303">
        <v>1.08E-5</v>
      </c>
      <c r="E355" s="1007">
        <v>37164</v>
      </c>
      <c r="F355" s="1270"/>
      <c r="G355" s="1200">
        <v>4693</v>
      </c>
      <c r="H355" s="1200">
        <v>5230</v>
      </c>
      <c r="I355" s="1200">
        <v>2766</v>
      </c>
      <c r="J355" s="1007">
        <v>0</v>
      </c>
      <c r="K355" s="1007">
        <v>12689</v>
      </c>
      <c r="L355" s="1270"/>
      <c r="M355" s="1198">
        <v>0</v>
      </c>
      <c r="N355" s="1198">
        <v>0</v>
      </c>
      <c r="O355" s="1007">
        <v>3352</v>
      </c>
      <c r="P355" s="1007">
        <v>3352</v>
      </c>
      <c r="Q355" s="1270"/>
      <c r="R355" s="1200">
        <v>12780</v>
      </c>
      <c r="S355" s="1007">
        <v>-1580</v>
      </c>
      <c r="T355" s="1306">
        <v>11200</v>
      </c>
    </row>
    <row r="356" spans="1:20" x14ac:dyDescent="0.25">
      <c r="A356" s="1203">
        <v>93541</v>
      </c>
      <c r="B356" s="1204" t="s">
        <v>2987</v>
      </c>
      <c r="C356" s="1303">
        <v>1.6339999999999999E-4</v>
      </c>
      <c r="D356" s="1303">
        <v>9.9699999999999998E-5</v>
      </c>
      <c r="E356" s="1007">
        <v>583898</v>
      </c>
      <c r="F356" s="1270"/>
      <c r="G356" s="1200">
        <v>73736</v>
      </c>
      <c r="H356" s="1200">
        <v>82168</v>
      </c>
      <c r="I356" s="1200">
        <v>43453</v>
      </c>
      <c r="J356" s="1007">
        <v>80047</v>
      </c>
      <c r="K356" s="1007">
        <v>279404</v>
      </c>
      <c r="L356" s="1270"/>
      <c r="M356" s="1198">
        <v>0</v>
      </c>
      <c r="N356" s="1198">
        <v>0</v>
      </c>
      <c r="O356" s="1007">
        <v>2370</v>
      </c>
      <c r="P356" s="1007">
        <v>2370</v>
      </c>
      <c r="Q356" s="1270"/>
      <c r="R356" s="1200">
        <v>200798</v>
      </c>
      <c r="S356" s="1007">
        <v>25465</v>
      </c>
      <c r="T356" s="1306">
        <v>226263</v>
      </c>
    </row>
    <row r="357" spans="1:20" x14ac:dyDescent="0.25">
      <c r="A357" s="1203">
        <v>93601</v>
      </c>
      <c r="B357" s="1204" t="s">
        <v>2988</v>
      </c>
      <c r="C357" s="1303">
        <v>1.0955299999999999E-2</v>
      </c>
      <c r="D357" s="1303">
        <v>1.1220300000000001E-2</v>
      </c>
      <c r="E357" s="1007">
        <v>39147954</v>
      </c>
      <c r="F357" s="1270"/>
      <c r="G357" s="1200">
        <v>4943700</v>
      </c>
      <c r="H357" s="1200">
        <v>5509026</v>
      </c>
      <c r="I357" s="1200">
        <v>2913376</v>
      </c>
      <c r="J357" s="1007">
        <v>277884</v>
      </c>
      <c r="K357" s="1007">
        <v>13643986</v>
      </c>
      <c r="L357" s="1270"/>
      <c r="M357" s="1198">
        <v>0</v>
      </c>
      <c r="N357" s="1198">
        <v>0</v>
      </c>
      <c r="O357" s="1007">
        <v>217790</v>
      </c>
      <c r="P357" s="1007">
        <v>217790</v>
      </c>
      <c r="Q357" s="1270"/>
      <c r="R357" s="1200">
        <v>13462694</v>
      </c>
      <c r="S357" s="1007">
        <v>40850</v>
      </c>
      <c r="T357" s="1306">
        <v>13503544</v>
      </c>
    </row>
    <row r="358" spans="1:20" x14ac:dyDescent="0.25">
      <c r="A358" s="1203">
        <v>93602</v>
      </c>
      <c r="B358" s="1204" t="s">
        <v>2989</v>
      </c>
      <c r="C358" s="1303">
        <v>1.5779999999999999E-4</v>
      </c>
      <c r="D358" s="1303">
        <v>1.918E-4</v>
      </c>
      <c r="E358" s="1007">
        <v>563887</v>
      </c>
      <c r="F358" s="1270"/>
      <c r="G358" s="1200">
        <v>71209</v>
      </c>
      <c r="H358" s="1200">
        <v>79352</v>
      </c>
      <c r="I358" s="1200">
        <v>41964</v>
      </c>
      <c r="J358" s="1007">
        <v>14285</v>
      </c>
      <c r="K358" s="1007">
        <v>206810</v>
      </c>
      <c r="L358" s="1270"/>
      <c r="M358" s="1198">
        <v>0</v>
      </c>
      <c r="N358" s="1198">
        <v>0</v>
      </c>
      <c r="O358" s="1007">
        <v>25124</v>
      </c>
      <c r="P358" s="1007">
        <v>25124</v>
      </c>
      <c r="Q358" s="1270"/>
      <c r="R358" s="1200">
        <v>193916</v>
      </c>
      <c r="S358" s="1007">
        <v>-5230</v>
      </c>
      <c r="T358" s="1306">
        <v>188686</v>
      </c>
    </row>
    <row r="359" spans="1:20" x14ac:dyDescent="0.25">
      <c r="A359" s="1203">
        <v>93604</v>
      </c>
      <c r="B359" s="1284" t="s">
        <v>4168</v>
      </c>
      <c r="C359" s="1303">
        <v>1.31E-5</v>
      </c>
      <c r="D359" s="1303">
        <v>2.6400000000000001E-5</v>
      </c>
      <c r="E359" s="1007">
        <v>46812</v>
      </c>
      <c r="F359" s="1270"/>
      <c r="G359" s="1200">
        <v>5912</v>
      </c>
      <c r="H359" s="1200">
        <v>6588</v>
      </c>
      <c r="I359" s="1200">
        <v>3484</v>
      </c>
      <c r="J359" s="1007">
        <v>15257</v>
      </c>
      <c r="K359" s="1007">
        <v>31241</v>
      </c>
      <c r="L359" s="1270"/>
      <c r="M359" s="1198">
        <v>0</v>
      </c>
      <c r="N359" s="1198">
        <v>0</v>
      </c>
      <c r="O359" s="1007">
        <v>13649</v>
      </c>
      <c r="P359" s="1007">
        <v>13649</v>
      </c>
      <c r="Q359" s="1270"/>
      <c r="R359" s="1200">
        <v>16098</v>
      </c>
      <c r="S359" s="1007">
        <v>2168</v>
      </c>
      <c r="T359" s="1306">
        <v>18266</v>
      </c>
    </row>
    <row r="360" spans="1:20" x14ac:dyDescent="0.25">
      <c r="A360" s="1203">
        <v>93609</v>
      </c>
      <c r="B360" s="1204" t="s">
        <v>2990</v>
      </c>
      <c r="C360" s="1303">
        <v>3.6703E-3</v>
      </c>
      <c r="D360" s="1303">
        <v>3.7919E-3</v>
      </c>
      <c r="E360" s="1007">
        <v>13115545</v>
      </c>
      <c r="F360" s="1270"/>
      <c r="G360" s="1200">
        <v>1656263</v>
      </c>
      <c r="H360" s="1200">
        <v>1845662</v>
      </c>
      <c r="I360" s="1200">
        <v>976054</v>
      </c>
      <c r="J360" s="1007">
        <v>140239</v>
      </c>
      <c r="K360" s="1007">
        <v>4618218</v>
      </c>
      <c r="L360" s="1270"/>
      <c r="M360" s="1198">
        <v>0</v>
      </c>
      <c r="N360" s="1198">
        <v>0</v>
      </c>
      <c r="O360" s="1007">
        <v>250116</v>
      </c>
      <c r="P360" s="1007">
        <v>250116</v>
      </c>
      <c r="Q360" s="1270"/>
      <c r="R360" s="1200">
        <v>4510340</v>
      </c>
      <c r="S360" s="1007">
        <v>80218</v>
      </c>
      <c r="T360" s="1306">
        <v>4590558</v>
      </c>
    </row>
    <row r="361" spans="1:20" x14ac:dyDescent="0.25">
      <c r="A361" s="1203">
        <v>93610</v>
      </c>
      <c r="B361" s="1204" t="s">
        <v>2991</v>
      </c>
      <c r="C361" s="1303">
        <v>1.63E-5</v>
      </c>
      <c r="D361" s="1303">
        <v>1.63E-5</v>
      </c>
      <c r="E361" s="1007">
        <v>58247</v>
      </c>
      <c r="F361" s="1270"/>
      <c r="G361" s="1200">
        <v>7356</v>
      </c>
      <c r="H361" s="1200">
        <v>8196</v>
      </c>
      <c r="I361" s="1200">
        <v>4335</v>
      </c>
      <c r="J361" s="1007">
        <v>1423</v>
      </c>
      <c r="K361" s="1007">
        <v>21310</v>
      </c>
      <c r="L361" s="1270"/>
      <c r="M361" s="1198">
        <v>0</v>
      </c>
      <c r="N361" s="1198">
        <v>0</v>
      </c>
      <c r="O361" s="1007">
        <v>1476</v>
      </c>
      <c r="P361" s="1007">
        <v>1476</v>
      </c>
      <c r="Q361" s="1270"/>
      <c r="R361" s="1200">
        <v>20031</v>
      </c>
      <c r="S361" s="1007">
        <v>-249</v>
      </c>
      <c r="T361" s="1306">
        <v>19782</v>
      </c>
    </row>
    <row r="362" spans="1:20" x14ac:dyDescent="0.25">
      <c r="A362" s="1203">
        <v>93611</v>
      </c>
      <c r="B362" s="1204" t="s">
        <v>2992</v>
      </c>
      <c r="C362" s="1303">
        <v>6.7793000000000003E-3</v>
      </c>
      <c r="D362" s="1303">
        <v>6.9186999999999999E-3</v>
      </c>
      <c r="E362" s="1007">
        <v>24225327</v>
      </c>
      <c r="F362" s="1270"/>
      <c r="G362" s="1200">
        <v>3059234</v>
      </c>
      <c r="H362" s="1200">
        <v>3409066</v>
      </c>
      <c r="I362" s="1200">
        <v>1802840</v>
      </c>
      <c r="J362" s="1007">
        <v>15287</v>
      </c>
      <c r="K362" s="1007">
        <v>8286427</v>
      </c>
      <c r="L362" s="1270"/>
      <c r="M362" s="1198">
        <v>0</v>
      </c>
      <c r="N362" s="1198">
        <v>0</v>
      </c>
      <c r="O362" s="1007">
        <v>152616</v>
      </c>
      <c r="P362" s="1007">
        <v>152616</v>
      </c>
      <c r="Q362" s="1270"/>
      <c r="R362" s="1200">
        <v>8330912</v>
      </c>
      <c r="S362" s="1007">
        <v>-44753</v>
      </c>
      <c r="T362" s="1306">
        <v>8286159</v>
      </c>
    </row>
    <row r="363" spans="1:20" x14ac:dyDescent="0.25">
      <c r="A363" s="1203">
        <v>93617</v>
      </c>
      <c r="B363" s="1204" t="s">
        <v>2993</v>
      </c>
      <c r="C363" s="1303">
        <v>7.64E-5</v>
      </c>
      <c r="D363" s="1303">
        <v>7.8899999999999993E-5</v>
      </c>
      <c r="E363" s="1007">
        <v>273010</v>
      </c>
      <c r="F363" s="1270"/>
      <c r="G363" s="1200">
        <v>34476</v>
      </c>
      <c r="H363" s="1200">
        <v>38418</v>
      </c>
      <c r="I363" s="1200">
        <v>20317</v>
      </c>
      <c r="J363" s="1007">
        <v>23595</v>
      </c>
      <c r="K363" s="1007">
        <v>116806</v>
      </c>
      <c r="L363" s="1270"/>
      <c r="M363" s="1198">
        <v>0</v>
      </c>
      <c r="N363" s="1198">
        <v>0</v>
      </c>
      <c r="O363" s="1007">
        <v>0</v>
      </c>
      <c r="P363" s="1007">
        <v>0</v>
      </c>
      <c r="Q363" s="1270"/>
      <c r="R363" s="1200">
        <v>93886</v>
      </c>
      <c r="S363" s="1007">
        <v>12147</v>
      </c>
      <c r="T363" s="1306">
        <v>106033</v>
      </c>
    </row>
    <row r="364" spans="1:20" x14ac:dyDescent="0.25">
      <c r="A364" s="1203">
        <v>93618</v>
      </c>
      <c r="B364" s="1204" t="s">
        <v>2994</v>
      </c>
      <c r="C364" s="1303">
        <v>8.3000000000000002E-6</v>
      </c>
      <c r="D364" s="1303">
        <v>9.5000000000000005E-6</v>
      </c>
      <c r="E364" s="1007">
        <v>29659</v>
      </c>
      <c r="F364" s="1270"/>
      <c r="G364" s="1200">
        <v>3745</v>
      </c>
      <c r="H364" s="1200">
        <v>4174</v>
      </c>
      <c r="I364" s="1200">
        <v>2207</v>
      </c>
      <c r="J364" s="1007">
        <v>28364</v>
      </c>
      <c r="K364" s="1007">
        <v>38490</v>
      </c>
      <c r="L364" s="1270"/>
      <c r="M364" s="1198">
        <v>0</v>
      </c>
      <c r="N364" s="1198">
        <v>0</v>
      </c>
      <c r="O364" s="1007">
        <v>0</v>
      </c>
      <c r="P364" s="1007">
        <v>0</v>
      </c>
      <c r="Q364" s="1270"/>
      <c r="R364" s="1200">
        <v>10200</v>
      </c>
      <c r="S364" s="1007">
        <v>16526</v>
      </c>
      <c r="T364" s="1306">
        <v>26726</v>
      </c>
    </row>
    <row r="365" spans="1:20" x14ac:dyDescent="0.25">
      <c r="A365" s="1203">
        <v>93621</v>
      </c>
      <c r="B365" s="1204" t="s">
        <v>2995</v>
      </c>
      <c r="C365" s="1303">
        <v>1.1447E-3</v>
      </c>
      <c r="D365" s="1303">
        <v>1.0563E-3</v>
      </c>
      <c r="E365" s="1007">
        <v>4090501</v>
      </c>
      <c r="F365" s="1270"/>
      <c r="G365" s="1200">
        <v>516558</v>
      </c>
      <c r="H365" s="1200">
        <v>575628</v>
      </c>
      <c r="I365" s="1200">
        <v>304414</v>
      </c>
      <c r="J365" s="1007">
        <v>96446</v>
      </c>
      <c r="K365" s="1007">
        <v>1493046</v>
      </c>
      <c r="L365" s="1270"/>
      <c r="M365" s="1198">
        <v>0</v>
      </c>
      <c r="N365" s="1198">
        <v>0</v>
      </c>
      <c r="O365" s="1007">
        <v>5024</v>
      </c>
      <c r="P365" s="1007">
        <v>5024</v>
      </c>
      <c r="Q365" s="1270"/>
      <c r="R365" s="1200">
        <v>1406693</v>
      </c>
      <c r="S365" s="1007">
        <v>23276</v>
      </c>
      <c r="T365" s="1306">
        <v>1429969</v>
      </c>
    </row>
    <row r="366" spans="1:20" x14ac:dyDescent="0.25">
      <c r="A366" s="1203">
        <v>93623</v>
      </c>
      <c r="B366" s="1204" t="s">
        <v>2996</v>
      </c>
      <c r="C366" s="1303">
        <v>1.17E-5</v>
      </c>
      <c r="D366" s="1303">
        <v>1.1E-5</v>
      </c>
      <c r="E366" s="1007">
        <v>41809</v>
      </c>
      <c r="F366" s="1270"/>
      <c r="G366" s="1200">
        <v>5280</v>
      </c>
      <c r="H366" s="1200">
        <v>5884</v>
      </c>
      <c r="I366" s="1200">
        <v>3111</v>
      </c>
      <c r="J366" s="1007">
        <v>3077</v>
      </c>
      <c r="K366" s="1007">
        <v>17352</v>
      </c>
      <c r="L366" s="1270"/>
      <c r="M366" s="1198">
        <v>0</v>
      </c>
      <c r="N366" s="1198">
        <v>0</v>
      </c>
      <c r="O366" s="1007">
        <v>0</v>
      </c>
      <c r="P366" s="1007">
        <v>0</v>
      </c>
      <c r="Q366" s="1270"/>
      <c r="R366" s="1200">
        <v>14378</v>
      </c>
      <c r="S366" s="1007">
        <v>2118</v>
      </c>
      <c r="T366" s="1306">
        <v>16496</v>
      </c>
    </row>
    <row r="367" spans="1:20" x14ac:dyDescent="0.25">
      <c r="A367" s="1203">
        <v>93631</v>
      </c>
      <c r="B367" s="1204" t="s">
        <v>2997</v>
      </c>
      <c r="C367" s="1303">
        <v>2.8699999999999998E-4</v>
      </c>
      <c r="D367" s="1303">
        <v>2.4130000000000001E-4</v>
      </c>
      <c r="E367" s="1007">
        <v>1025573</v>
      </c>
      <c r="F367" s="1270"/>
      <c r="G367" s="1200">
        <v>129512</v>
      </c>
      <c r="H367" s="1200">
        <v>144322</v>
      </c>
      <c r="I367" s="1200">
        <v>76323</v>
      </c>
      <c r="J367" s="1007">
        <v>41179</v>
      </c>
      <c r="K367" s="1007">
        <v>391336</v>
      </c>
      <c r="L367" s="1270"/>
      <c r="M367" s="1198">
        <v>0</v>
      </c>
      <c r="N367" s="1198">
        <v>0</v>
      </c>
      <c r="O367" s="1007">
        <v>4221</v>
      </c>
      <c r="P367" s="1007">
        <v>4221</v>
      </c>
      <c r="Q367" s="1270"/>
      <c r="R367" s="1200">
        <v>352687</v>
      </c>
      <c r="S367" s="1007">
        <v>8653</v>
      </c>
      <c r="T367" s="1306">
        <v>361340</v>
      </c>
    </row>
    <row r="368" spans="1:20" x14ac:dyDescent="0.25">
      <c r="A368" s="1203">
        <v>93641</v>
      </c>
      <c r="B368" s="1204" t="s">
        <v>2998</v>
      </c>
      <c r="C368" s="1303">
        <v>3.724E-4</v>
      </c>
      <c r="D368" s="1303">
        <v>3.7300000000000001E-4</v>
      </c>
      <c r="E368" s="1007">
        <v>1330744</v>
      </c>
      <c r="F368" s="1270"/>
      <c r="G368" s="1200">
        <v>168050</v>
      </c>
      <c r="H368" s="1200">
        <v>187267</v>
      </c>
      <c r="I368" s="1200">
        <v>99033</v>
      </c>
      <c r="J368" s="1007">
        <v>45042</v>
      </c>
      <c r="K368" s="1007">
        <v>499392</v>
      </c>
      <c r="L368" s="1270"/>
      <c r="M368" s="1198">
        <v>0</v>
      </c>
      <c r="N368" s="1198">
        <v>0</v>
      </c>
      <c r="O368" s="1007">
        <v>3852</v>
      </c>
      <c r="P368" s="1007">
        <v>3852</v>
      </c>
      <c r="Q368" s="1270"/>
      <c r="R368" s="1200">
        <v>457633</v>
      </c>
      <c r="S368" s="1007">
        <v>12919</v>
      </c>
      <c r="T368" s="1306">
        <v>470552</v>
      </c>
    </row>
    <row r="369" spans="1:20" x14ac:dyDescent="0.25">
      <c r="A369" s="1203">
        <v>93647</v>
      </c>
      <c r="B369" s="1204" t="s">
        <v>2999</v>
      </c>
      <c r="C369" s="1303">
        <v>4.6E-6</v>
      </c>
      <c r="D369" s="1303">
        <v>5.2000000000000002E-6</v>
      </c>
      <c r="E369" s="1007">
        <v>16438</v>
      </c>
      <c r="F369" s="1270"/>
      <c r="G369" s="1200">
        <v>2076</v>
      </c>
      <c r="H369" s="1200">
        <v>2314</v>
      </c>
      <c r="I369" s="1200">
        <v>1223</v>
      </c>
      <c r="J369" s="1007">
        <v>8527</v>
      </c>
      <c r="K369" s="1007">
        <v>14140</v>
      </c>
      <c r="L369" s="1270"/>
      <c r="M369" s="1198">
        <v>0</v>
      </c>
      <c r="N369" s="1198">
        <v>0</v>
      </c>
      <c r="O369" s="1007">
        <v>0</v>
      </c>
      <c r="P369" s="1007">
        <v>0</v>
      </c>
      <c r="Q369" s="1270"/>
      <c r="R369" s="1200">
        <v>5653</v>
      </c>
      <c r="S369" s="1007">
        <v>5081</v>
      </c>
      <c r="T369" s="1306">
        <v>10734</v>
      </c>
    </row>
    <row r="370" spans="1:20" x14ac:dyDescent="0.25">
      <c r="A370" s="1203">
        <v>93651</v>
      </c>
      <c r="B370" s="1204" t="s">
        <v>3000</v>
      </c>
      <c r="C370" s="1303">
        <v>4.4680000000000002E-4</v>
      </c>
      <c r="D370" s="1303">
        <v>4.3790000000000002E-4</v>
      </c>
      <c r="E370" s="1007">
        <v>1596607</v>
      </c>
      <c r="F370" s="1270"/>
      <c r="G370" s="1200">
        <v>201623</v>
      </c>
      <c r="H370" s="1200">
        <v>224679</v>
      </c>
      <c r="I370" s="1200">
        <v>118819</v>
      </c>
      <c r="J370" s="1007">
        <v>2584</v>
      </c>
      <c r="K370" s="1007">
        <v>547705</v>
      </c>
      <c r="L370" s="1270"/>
      <c r="M370" s="1198">
        <v>0</v>
      </c>
      <c r="N370" s="1198">
        <v>0</v>
      </c>
      <c r="O370" s="1007">
        <v>20301</v>
      </c>
      <c r="P370" s="1007">
        <v>20301</v>
      </c>
      <c r="Q370" s="1270"/>
      <c r="R370" s="1200">
        <v>549061</v>
      </c>
      <c r="S370" s="1007">
        <v>-9508</v>
      </c>
      <c r="T370" s="1306">
        <v>539553</v>
      </c>
    </row>
    <row r="371" spans="1:20" x14ac:dyDescent="0.25">
      <c r="A371" s="1203">
        <v>93661</v>
      </c>
      <c r="B371" s="1204" t="s">
        <v>3001</v>
      </c>
      <c r="C371" s="1303">
        <v>1.4679999999999999E-4</v>
      </c>
      <c r="D371" s="1303">
        <v>1.2850000000000001E-4</v>
      </c>
      <c r="E371" s="1007">
        <v>524579</v>
      </c>
      <c r="F371" s="1270"/>
      <c r="G371" s="1200">
        <v>66245</v>
      </c>
      <c r="H371" s="1200">
        <v>73820</v>
      </c>
      <c r="I371" s="1200">
        <v>39039</v>
      </c>
      <c r="J371" s="1007">
        <v>29910</v>
      </c>
      <c r="K371" s="1007">
        <v>209014</v>
      </c>
      <c r="L371" s="1270"/>
      <c r="M371" s="1198">
        <v>0</v>
      </c>
      <c r="N371" s="1198">
        <v>0</v>
      </c>
      <c r="O371" s="1007">
        <v>7104</v>
      </c>
      <c r="P371" s="1007">
        <v>7104</v>
      </c>
      <c r="Q371" s="1270"/>
      <c r="R371" s="1200">
        <v>180399</v>
      </c>
      <c r="S371" s="1007">
        <v>10271</v>
      </c>
      <c r="T371" s="1306">
        <v>190670</v>
      </c>
    </row>
    <row r="372" spans="1:20" x14ac:dyDescent="0.25">
      <c r="A372" s="1203">
        <v>93671</v>
      </c>
      <c r="B372" s="1204" t="s">
        <v>3002</v>
      </c>
      <c r="C372" s="1303">
        <v>3.5520000000000001E-4</v>
      </c>
      <c r="D372" s="1303">
        <v>3.4840000000000001E-4</v>
      </c>
      <c r="E372" s="1007">
        <v>1269281</v>
      </c>
      <c r="F372" s="1270"/>
      <c r="G372" s="1200">
        <v>160288</v>
      </c>
      <c r="H372" s="1200">
        <v>178617</v>
      </c>
      <c r="I372" s="1200">
        <v>94459</v>
      </c>
      <c r="J372" s="1007">
        <v>49907</v>
      </c>
      <c r="K372" s="1007">
        <v>483271</v>
      </c>
      <c r="L372" s="1270"/>
      <c r="M372" s="1198">
        <v>0</v>
      </c>
      <c r="N372" s="1198">
        <v>0</v>
      </c>
      <c r="O372" s="1007">
        <v>383</v>
      </c>
      <c r="P372" s="1007">
        <v>383</v>
      </c>
      <c r="Q372" s="1270"/>
      <c r="R372" s="1200">
        <v>436496</v>
      </c>
      <c r="S372" s="1007">
        <v>16347</v>
      </c>
      <c r="T372" s="1306">
        <v>452843</v>
      </c>
    </row>
    <row r="373" spans="1:20" x14ac:dyDescent="0.25">
      <c r="A373" s="1203">
        <v>93677</v>
      </c>
      <c r="B373" s="1204" t="s">
        <v>1522</v>
      </c>
      <c r="C373" s="1303">
        <v>0</v>
      </c>
      <c r="D373" s="1303">
        <v>0</v>
      </c>
      <c r="E373" s="1007">
        <v>0</v>
      </c>
      <c r="F373" s="1270"/>
      <c r="G373" s="1200">
        <v>0</v>
      </c>
      <c r="H373" s="1200">
        <v>0</v>
      </c>
      <c r="I373" s="1200">
        <v>0</v>
      </c>
      <c r="J373" s="1007">
        <v>0</v>
      </c>
      <c r="K373" s="1007">
        <v>0</v>
      </c>
      <c r="L373" s="1270"/>
      <c r="M373" s="1198">
        <v>0</v>
      </c>
      <c r="N373" s="1198">
        <v>0</v>
      </c>
      <c r="O373" s="1007">
        <v>0</v>
      </c>
      <c r="P373" s="1007">
        <v>0</v>
      </c>
      <c r="Q373" s="1270"/>
      <c r="R373" s="1200">
        <v>0</v>
      </c>
      <c r="S373" s="1007">
        <v>0</v>
      </c>
      <c r="T373" s="1306">
        <v>0</v>
      </c>
    </row>
    <row r="374" spans="1:20" x14ac:dyDescent="0.25">
      <c r="A374" s="1203">
        <v>93681</v>
      </c>
      <c r="B374" s="1204" t="s">
        <v>3003</v>
      </c>
      <c r="C374" s="1303">
        <v>1.5789999999999999E-4</v>
      </c>
      <c r="D374" s="1303">
        <v>1.284E-4</v>
      </c>
      <c r="E374" s="1007">
        <v>564244</v>
      </c>
      <c r="F374" s="1270"/>
      <c r="G374" s="1200">
        <v>71254</v>
      </c>
      <c r="H374" s="1200">
        <v>79403</v>
      </c>
      <c r="I374" s="1200">
        <v>41991</v>
      </c>
      <c r="J374" s="1007">
        <v>40914</v>
      </c>
      <c r="K374" s="1007">
        <v>233562</v>
      </c>
      <c r="L374" s="1270"/>
      <c r="M374" s="1198">
        <v>0</v>
      </c>
      <c r="N374" s="1198">
        <v>0</v>
      </c>
      <c r="O374" s="1007">
        <v>358</v>
      </c>
      <c r="P374" s="1007">
        <v>358</v>
      </c>
      <c r="Q374" s="1270"/>
      <c r="R374" s="1200">
        <v>194039</v>
      </c>
      <c r="S374" s="1007">
        <v>11530</v>
      </c>
      <c r="T374" s="1306">
        <v>205569</v>
      </c>
    </row>
    <row r="375" spans="1:20" x14ac:dyDescent="0.25">
      <c r="A375" s="1203">
        <v>93691</v>
      </c>
      <c r="B375" s="1204" t="s">
        <v>3004</v>
      </c>
      <c r="C375" s="1303">
        <v>1.0933E-3</v>
      </c>
      <c r="D375" s="1303">
        <v>1.0889999999999999E-3</v>
      </c>
      <c r="E375" s="1007">
        <v>3906827</v>
      </c>
      <c r="F375" s="1270"/>
      <c r="G375" s="1200">
        <v>493364</v>
      </c>
      <c r="H375" s="1200">
        <v>549781</v>
      </c>
      <c r="I375" s="1200">
        <v>290745</v>
      </c>
      <c r="J375" s="1007">
        <v>16957</v>
      </c>
      <c r="K375" s="1007">
        <v>1350847</v>
      </c>
      <c r="L375" s="1270"/>
      <c r="M375" s="1198">
        <v>0</v>
      </c>
      <c r="N375" s="1198">
        <v>0</v>
      </c>
      <c r="O375" s="1007">
        <v>59898</v>
      </c>
      <c r="P375" s="1007">
        <v>59898</v>
      </c>
      <c r="Q375" s="1270"/>
      <c r="R375" s="1200">
        <v>1343529</v>
      </c>
      <c r="S375" s="1007">
        <v>-37398</v>
      </c>
      <c r="T375" s="1306">
        <v>1306131</v>
      </c>
    </row>
    <row r="376" spans="1:20" x14ac:dyDescent="0.25">
      <c r="A376" s="1203">
        <v>93701</v>
      </c>
      <c r="B376" s="1204" t="s">
        <v>3005</v>
      </c>
      <c r="C376" s="1303">
        <v>4.2969999999999998E-4</v>
      </c>
      <c r="D376" s="1303">
        <v>4.3600000000000003E-4</v>
      </c>
      <c r="E376" s="1007">
        <v>1535501</v>
      </c>
      <c r="F376" s="1270"/>
      <c r="G376" s="1200">
        <v>193907</v>
      </c>
      <c r="H376" s="1200">
        <v>216080</v>
      </c>
      <c r="I376" s="1200">
        <v>114271</v>
      </c>
      <c r="J376" s="1007">
        <v>0</v>
      </c>
      <c r="K376" s="1007">
        <v>524258</v>
      </c>
      <c r="L376" s="1270"/>
      <c r="M376" s="1198">
        <v>0</v>
      </c>
      <c r="N376" s="1198">
        <v>0</v>
      </c>
      <c r="O376" s="1007">
        <v>28454</v>
      </c>
      <c r="P376" s="1007">
        <v>28454</v>
      </c>
      <c r="Q376" s="1270"/>
      <c r="R376" s="1200">
        <v>528048</v>
      </c>
      <c r="S376" s="1007">
        <v>-13597</v>
      </c>
      <c r="T376" s="1306">
        <v>514451</v>
      </c>
    </row>
    <row r="377" spans="1:20" x14ac:dyDescent="0.25">
      <c r="A377" s="1203">
        <v>93704</v>
      </c>
      <c r="B377" s="1204" t="s">
        <v>3006</v>
      </c>
      <c r="C377" s="1303">
        <v>1.9999999999999999E-6</v>
      </c>
      <c r="D377" s="1303">
        <v>2.2000000000000001E-6</v>
      </c>
      <c r="E377" s="1007">
        <v>7147</v>
      </c>
      <c r="F377" s="1270"/>
      <c r="G377" s="1200">
        <v>903</v>
      </c>
      <c r="H377" s="1200">
        <v>1006</v>
      </c>
      <c r="I377" s="1200">
        <v>532</v>
      </c>
      <c r="J377" s="1007">
        <v>1300</v>
      </c>
      <c r="K377" s="1007">
        <v>3741</v>
      </c>
      <c r="L377" s="1270"/>
      <c r="M377" s="1198">
        <v>0</v>
      </c>
      <c r="N377" s="1198">
        <v>0</v>
      </c>
      <c r="O377" s="1007">
        <v>0</v>
      </c>
      <c r="P377" s="1007">
        <v>0</v>
      </c>
      <c r="Q377" s="1270"/>
      <c r="R377" s="1200">
        <v>2458</v>
      </c>
      <c r="S377" s="1007">
        <v>588</v>
      </c>
      <c r="T377" s="1306">
        <v>3046</v>
      </c>
    </row>
    <row r="378" spans="1:20" x14ac:dyDescent="0.25">
      <c r="A378" s="1203">
        <v>93801</v>
      </c>
      <c r="B378" s="1204" t="s">
        <v>3007</v>
      </c>
      <c r="C378" s="1303">
        <v>4.3399999999999998E-4</v>
      </c>
      <c r="D378" s="1303">
        <v>4.191E-4</v>
      </c>
      <c r="E378" s="1007">
        <v>1550867</v>
      </c>
      <c r="F378" s="1270"/>
      <c r="G378" s="1200">
        <v>195847</v>
      </c>
      <c r="H378" s="1200">
        <v>218243</v>
      </c>
      <c r="I378" s="1200">
        <v>115415</v>
      </c>
      <c r="J378" s="1007">
        <v>17375</v>
      </c>
      <c r="K378" s="1007">
        <v>546880</v>
      </c>
      <c r="L378" s="1270"/>
      <c r="M378" s="1198">
        <v>0</v>
      </c>
      <c r="N378" s="1198">
        <v>0</v>
      </c>
      <c r="O378" s="1007">
        <v>36797</v>
      </c>
      <c r="P378" s="1007">
        <v>36797</v>
      </c>
      <c r="Q378" s="1270"/>
      <c r="R378" s="1200">
        <v>533332</v>
      </c>
      <c r="S378" s="1007">
        <v>11049</v>
      </c>
      <c r="T378" s="1306">
        <v>544381</v>
      </c>
    </row>
    <row r="379" spans="1:20" x14ac:dyDescent="0.25">
      <c r="A379" s="1203">
        <v>93803</v>
      </c>
      <c r="B379" s="1204" t="s">
        <v>3008</v>
      </c>
      <c r="C379" s="1303">
        <v>1.039E-4</v>
      </c>
      <c r="D379" s="1303">
        <v>9.0799999999999998E-5</v>
      </c>
      <c r="E379" s="1007">
        <v>371279</v>
      </c>
      <c r="F379" s="1270"/>
      <c r="G379" s="1200">
        <v>46886</v>
      </c>
      <c r="H379" s="1200">
        <v>52247</v>
      </c>
      <c r="I379" s="1200">
        <v>27630</v>
      </c>
      <c r="J379" s="1007">
        <v>15945</v>
      </c>
      <c r="K379" s="1007">
        <v>142708</v>
      </c>
      <c r="L379" s="1270"/>
      <c r="M379" s="1198">
        <v>0</v>
      </c>
      <c r="N379" s="1198">
        <v>0</v>
      </c>
      <c r="O379" s="1007">
        <v>23554</v>
      </c>
      <c r="P379" s="1007">
        <v>23554</v>
      </c>
      <c r="Q379" s="1270"/>
      <c r="R379" s="1200">
        <v>127680</v>
      </c>
      <c r="S379" s="1007">
        <v>-10137</v>
      </c>
      <c r="T379" s="1306">
        <v>117543</v>
      </c>
    </row>
    <row r="380" spans="1:20" x14ac:dyDescent="0.25">
      <c r="A380" s="1203">
        <v>93806</v>
      </c>
      <c r="B380" s="1204" t="s">
        <v>3009</v>
      </c>
      <c r="C380" s="1303">
        <v>7.0599999999999995E-5</v>
      </c>
      <c r="D380" s="1303">
        <v>7.9599999999999997E-5</v>
      </c>
      <c r="E380" s="1007">
        <v>252284</v>
      </c>
      <c r="F380" s="1270"/>
      <c r="G380" s="1200">
        <v>31859</v>
      </c>
      <c r="H380" s="1200">
        <v>35502</v>
      </c>
      <c r="I380" s="1200">
        <v>18775</v>
      </c>
      <c r="J380" s="1007">
        <v>4282</v>
      </c>
      <c r="K380" s="1007">
        <v>90418</v>
      </c>
      <c r="L380" s="1270"/>
      <c r="M380" s="1198">
        <v>0</v>
      </c>
      <c r="N380" s="1198">
        <v>0</v>
      </c>
      <c r="O380" s="1007">
        <v>19739</v>
      </c>
      <c r="P380" s="1007">
        <v>19739</v>
      </c>
      <c r="Q380" s="1270"/>
      <c r="R380" s="1200">
        <v>86759</v>
      </c>
      <c r="S380" s="1007">
        <v>-4004</v>
      </c>
      <c r="T380" s="1306">
        <v>82755</v>
      </c>
    </row>
    <row r="381" spans="1:20" x14ac:dyDescent="0.25">
      <c r="A381" s="1203">
        <v>93821</v>
      </c>
      <c r="B381" s="1204" t="s">
        <v>3010</v>
      </c>
      <c r="C381" s="1303">
        <v>6.2199999999999994E-5</v>
      </c>
      <c r="D381" s="1303">
        <v>6.9200000000000002E-5</v>
      </c>
      <c r="E381" s="1007">
        <v>222267</v>
      </c>
      <c r="F381" s="1270"/>
      <c r="G381" s="1200">
        <v>28068</v>
      </c>
      <c r="H381" s="1200">
        <v>31278</v>
      </c>
      <c r="I381" s="1200">
        <v>16541</v>
      </c>
      <c r="J381" s="1007">
        <v>26908</v>
      </c>
      <c r="K381" s="1007">
        <v>102795</v>
      </c>
      <c r="L381" s="1270"/>
      <c r="M381" s="1198">
        <v>0</v>
      </c>
      <c r="N381" s="1198">
        <v>0</v>
      </c>
      <c r="O381" s="1007">
        <v>9700</v>
      </c>
      <c r="P381" s="1007">
        <v>9700</v>
      </c>
      <c r="Q381" s="1270"/>
      <c r="R381" s="1200">
        <v>76436</v>
      </c>
      <c r="S381" s="1007">
        <v>13456</v>
      </c>
      <c r="T381" s="1306">
        <v>89892</v>
      </c>
    </row>
    <row r="382" spans="1:20" x14ac:dyDescent="0.25">
      <c r="A382" s="1203">
        <v>93901</v>
      </c>
      <c r="B382" s="1204" t="s">
        <v>3011</v>
      </c>
      <c r="C382" s="1303">
        <v>1.8209999999999999E-3</v>
      </c>
      <c r="D382" s="1303">
        <v>1.7884999999999999E-3</v>
      </c>
      <c r="E382" s="1007">
        <v>6507209</v>
      </c>
      <c r="F382" s="1270"/>
      <c r="G382" s="1200">
        <v>821746</v>
      </c>
      <c r="H382" s="1200">
        <v>915715</v>
      </c>
      <c r="I382" s="1200">
        <v>484264</v>
      </c>
      <c r="J382" s="1007">
        <v>243235</v>
      </c>
      <c r="K382" s="1007">
        <v>2464960</v>
      </c>
      <c r="L382" s="1270"/>
      <c r="M382" s="1198">
        <v>0</v>
      </c>
      <c r="N382" s="1198">
        <v>0</v>
      </c>
      <c r="O382" s="1007">
        <v>0</v>
      </c>
      <c r="P382" s="1007">
        <v>0</v>
      </c>
      <c r="Q382" s="1270"/>
      <c r="R382" s="1200">
        <v>2237781</v>
      </c>
      <c r="S382" s="1007">
        <v>100671</v>
      </c>
      <c r="T382" s="1306">
        <v>2338452</v>
      </c>
    </row>
    <row r="383" spans="1:20" x14ac:dyDescent="0.25">
      <c r="A383" s="1203">
        <v>93904</v>
      </c>
      <c r="B383" s="1204" t="s">
        <v>3012</v>
      </c>
      <c r="C383" s="1303">
        <v>3.1900000000000003E-5</v>
      </c>
      <c r="D383" s="1303">
        <v>3.18E-5</v>
      </c>
      <c r="E383" s="1007">
        <v>113992</v>
      </c>
      <c r="F383" s="1270"/>
      <c r="G383" s="1200">
        <v>14395</v>
      </c>
      <c r="H383" s="1200">
        <v>16042</v>
      </c>
      <c r="I383" s="1200">
        <v>8483</v>
      </c>
      <c r="J383" s="1007">
        <v>15074</v>
      </c>
      <c r="K383" s="1007">
        <v>53994</v>
      </c>
      <c r="L383" s="1270"/>
      <c r="M383" s="1198">
        <v>0</v>
      </c>
      <c r="N383" s="1198">
        <v>0</v>
      </c>
      <c r="O383" s="1007">
        <v>0</v>
      </c>
      <c r="P383" s="1007">
        <v>0</v>
      </c>
      <c r="Q383" s="1270"/>
      <c r="R383" s="1200">
        <v>39201</v>
      </c>
      <c r="S383" s="1007">
        <v>6949</v>
      </c>
      <c r="T383" s="1306">
        <v>46150</v>
      </c>
    </row>
    <row r="384" spans="1:20" x14ac:dyDescent="0.25">
      <c r="A384" s="1203">
        <v>93906</v>
      </c>
      <c r="B384" s="1204" t="s">
        <v>3013</v>
      </c>
      <c r="C384" s="1303">
        <v>3.0739999999999999E-3</v>
      </c>
      <c r="D384" s="1303">
        <v>3.1308E-3</v>
      </c>
      <c r="E384" s="1007">
        <v>10984712</v>
      </c>
      <c r="F384" s="1270"/>
      <c r="G384" s="1200">
        <v>1387176</v>
      </c>
      <c r="H384" s="1200">
        <v>1545804</v>
      </c>
      <c r="I384" s="1200">
        <v>817478</v>
      </c>
      <c r="J384" s="1007">
        <v>0</v>
      </c>
      <c r="K384" s="1007">
        <v>3750458</v>
      </c>
      <c r="L384" s="1270"/>
      <c r="M384" s="1198">
        <v>0</v>
      </c>
      <c r="N384" s="1198">
        <v>0</v>
      </c>
      <c r="O384" s="1007">
        <v>226841</v>
      </c>
      <c r="P384" s="1007">
        <v>226841</v>
      </c>
      <c r="Q384" s="1270"/>
      <c r="R384" s="1200">
        <v>3777562</v>
      </c>
      <c r="S384" s="1007">
        <v>-117130</v>
      </c>
      <c r="T384" s="1306">
        <v>3660432</v>
      </c>
    </row>
    <row r="385" spans="1:20" x14ac:dyDescent="0.25">
      <c r="A385" s="1203">
        <v>93908</v>
      </c>
      <c r="B385" s="1204" t="s">
        <v>3014</v>
      </c>
      <c r="C385" s="1303">
        <v>5.1579999999999996E-4</v>
      </c>
      <c r="D385" s="1303">
        <v>4.9540000000000001E-4</v>
      </c>
      <c r="E385" s="1007">
        <v>1843173</v>
      </c>
      <c r="F385" s="1270"/>
      <c r="G385" s="1200">
        <v>232760</v>
      </c>
      <c r="H385" s="1200">
        <v>259377</v>
      </c>
      <c r="I385" s="1200">
        <v>137168</v>
      </c>
      <c r="J385" s="1007">
        <v>40671</v>
      </c>
      <c r="K385" s="1007">
        <v>669976</v>
      </c>
      <c r="L385" s="1270"/>
      <c r="M385" s="1198">
        <v>0</v>
      </c>
      <c r="N385" s="1198">
        <v>0</v>
      </c>
      <c r="O385" s="1007">
        <v>9745</v>
      </c>
      <c r="P385" s="1007">
        <v>9745</v>
      </c>
      <c r="Q385" s="1270"/>
      <c r="R385" s="1200">
        <v>633854</v>
      </c>
      <c r="S385" s="1007">
        <v>9319</v>
      </c>
      <c r="T385" s="1306">
        <v>643173</v>
      </c>
    </row>
    <row r="386" spans="1:20" x14ac:dyDescent="0.25">
      <c r="A386" s="1203">
        <v>93910</v>
      </c>
      <c r="B386" s="1204" t="s">
        <v>3015</v>
      </c>
      <c r="C386" s="1303">
        <v>2.6459999999999998E-4</v>
      </c>
      <c r="D386" s="1303">
        <v>2.285E-4</v>
      </c>
      <c r="E386" s="1007">
        <v>945529</v>
      </c>
      <c r="F386" s="1270"/>
      <c r="G386" s="1200">
        <v>119404</v>
      </c>
      <c r="H386" s="1200">
        <v>133057</v>
      </c>
      <c r="I386" s="1200">
        <v>70366</v>
      </c>
      <c r="J386" s="1007">
        <v>56878</v>
      </c>
      <c r="K386" s="1007">
        <v>379705</v>
      </c>
      <c r="L386" s="1270"/>
      <c r="M386" s="1198">
        <v>0</v>
      </c>
      <c r="N386" s="1198">
        <v>0</v>
      </c>
      <c r="O386" s="1007">
        <v>25946</v>
      </c>
      <c r="P386" s="1007">
        <v>25946</v>
      </c>
      <c r="Q386" s="1270"/>
      <c r="R386" s="1200">
        <v>325160</v>
      </c>
      <c r="S386" s="1007">
        <v>3937</v>
      </c>
      <c r="T386" s="1306">
        <v>329097</v>
      </c>
    </row>
    <row r="387" spans="1:20" x14ac:dyDescent="0.25">
      <c r="A387" s="1203">
        <v>93911</v>
      </c>
      <c r="B387" s="1204" t="s">
        <v>3016</v>
      </c>
      <c r="C387" s="1303">
        <v>6.1660000000000003E-4</v>
      </c>
      <c r="D387" s="1303">
        <v>6.4320000000000002E-4</v>
      </c>
      <c r="E387" s="1007">
        <v>2203374</v>
      </c>
      <c r="F387" s="1270"/>
      <c r="G387" s="1200">
        <v>278248</v>
      </c>
      <c r="H387" s="1200">
        <v>310066</v>
      </c>
      <c r="I387" s="1200">
        <v>163974</v>
      </c>
      <c r="J387" s="1007">
        <v>7136</v>
      </c>
      <c r="K387" s="1007">
        <v>759424</v>
      </c>
      <c r="L387" s="1270"/>
      <c r="M387" s="1198">
        <v>0</v>
      </c>
      <c r="N387" s="1198">
        <v>0</v>
      </c>
      <c r="O387" s="1007">
        <v>37682</v>
      </c>
      <c r="P387" s="1007">
        <v>37682</v>
      </c>
      <c r="Q387" s="1270"/>
      <c r="R387" s="1200">
        <v>757724</v>
      </c>
      <c r="S387" s="1007">
        <v>-20692</v>
      </c>
      <c r="T387" s="1306">
        <v>737032</v>
      </c>
    </row>
    <row r="388" spans="1:20" x14ac:dyDescent="0.25">
      <c r="A388" s="1203">
        <v>93913</v>
      </c>
      <c r="B388" s="1204" t="s">
        <v>3017</v>
      </c>
      <c r="C388" s="1303">
        <v>4.6699999999999997E-5</v>
      </c>
      <c r="D388" s="1303">
        <v>4.9799999999999998E-5</v>
      </c>
      <c r="E388" s="1007">
        <v>166879</v>
      </c>
      <c r="F388" s="1270"/>
      <c r="G388" s="1200">
        <v>21074</v>
      </c>
      <c r="H388" s="1200">
        <v>23484</v>
      </c>
      <c r="I388" s="1200">
        <v>12419</v>
      </c>
      <c r="J388" s="1007">
        <v>4898</v>
      </c>
      <c r="K388" s="1007">
        <v>61875</v>
      </c>
      <c r="L388" s="1270"/>
      <c r="M388" s="1198">
        <v>0</v>
      </c>
      <c r="N388" s="1198">
        <v>0</v>
      </c>
      <c r="O388" s="1007">
        <v>1656</v>
      </c>
      <c r="P388" s="1007">
        <v>1656</v>
      </c>
      <c r="Q388" s="1270"/>
      <c r="R388" s="1200">
        <v>57388</v>
      </c>
      <c r="S388" s="1007">
        <v>2161</v>
      </c>
      <c r="T388" s="1306">
        <v>59549</v>
      </c>
    </row>
    <row r="389" spans="1:20" x14ac:dyDescent="0.25">
      <c r="A389" s="1203">
        <v>93914</v>
      </c>
      <c r="B389" s="1204" t="s">
        <v>3018</v>
      </c>
      <c r="C389" s="1303">
        <v>5.2000000000000002E-6</v>
      </c>
      <c r="D389" s="1303">
        <v>6.1E-6</v>
      </c>
      <c r="E389" s="1007">
        <v>18582</v>
      </c>
      <c r="F389" s="1270"/>
      <c r="G389" s="1200">
        <v>2347</v>
      </c>
      <c r="H389" s="1200">
        <v>2615</v>
      </c>
      <c r="I389" s="1200">
        <v>1383</v>
      </c>
      <c r="J389" s="1007">
        <v>4326</v>
      </c>
      <c r="K389" s="1007">
        <v>10671</v>
      </c>
      <c r="L389" s="1270"/>
      <c r="M389" s="1198">
        <v>0</v>
      </c>
      <c r="N389" s="1198">
        <v>0</v>
      </c>
      <c r="O389" s="1007">
        <v>0</v>
      </c>
      <c r="P389" s="1007">
        <v>0</v>
      </c>
      <c r="Q389" s="1270"/>
      <c r="R389" s="1200">
        <v>6390</v>
      </c>
      <c r="S389" s="1007">
        <v>2131</v>
      </c>
      <c r="T389" s="1306">
        <v>8521</v>
      </c>
    </row>
    <row r="390" spans="1:20" x14ac:dyDescent="0.25">
      <c r="A390" s="1203">
        <v>93921</v>
      </c>
      <c r="B390" s="1204" t="s">
        <v>3019</v>
      </c>
      <c r="C390" s="1303">
        <v>2.7060000000000002E-4</v>
      </c>
      <c r="D390" s="1303">
        <v>2.251E-4</v>
      </c>
      <c r="E390" s="1007">
        <v>966969</v>
      </c>
      <c r="F390" s="1270"/>
      <c r="G390" s="1200">
        <v>122111</v>
      </c>
      <c r="H390" s="1200">
        <v>136075</v>
      </c>
      <c r="I390" s="1200">
        <v>71961</v>
      </c>
      <c r="J390" s="1007">
        <v>53869</v>
      </c>
      <c r="K390" s="1007">
        <v>384016</v>
      </c>
      <c r="L390" s="1270"/>
      <c r="M390" s="1198">
        <v>0</v>
      </c>
      <c r="N390" s="1198">
        <v>0</v>
      </c>
      <c r="O390" s="1007">
        <v>30660</v>
      </c>
      <c r="P390" s="1007">
        <v>30660</v>
      </c>
      <c r="Q390" s="1270"/>
      <c r="R390" s="1200">
        <v>332534</v>
      </c>
      <c r="S390" s="1007">
        <v>6976</v>
      </c>
      <c r="T390" s="1306">
        <v>339510</v>
      </c>
    </row>
    <row r="391" spans="1:20" x14ac:dyDescent="0.25">
      <c r="A391" s="1203">
        <v>93931</v>
      </c>
      <c r="B391" s="1204" t="s">
        <v>3020</v>
      </c>
      <c r="C391" s="1303">
        <v>5.3470000000000004E-4</v>
      </c>
      <c r="D391" s="1303">
        <v>5.1590000000000002E-4</v>
      </c>
      <c r="E391" s="1007">
        <v>1910711</v>
      </c>
      <c r="F391" s="1270"/>
      <c r="G391" s="1200">
        <v>241289</v>
      </c>
      <c r="H391" s="1200">
        <v>268881</v>
      </c>
      <c r="I391" s="1200">
        <v>142194</v>
      </c>
      <c r="J391" s="1007">
        <v>6019</v>
      </c>
      <c r="K391" s="1007">
        <v>658383</v>
      </c>
      <c r="L391" s="1270"/>
      <c r="M391" s="1198">
        <v>0</v>
      </c>
      <c r="N391" s="1198">
        <v>0</v>
      </c>
      <c r="O391" s="1007">
        <v>37896</v>
      </c>
      <c r="P391" s="1007">
        <v>37896</v>
      </c>
      <c r="Q391" s="1270"/>
      <c r="R391" s="1200">
        <v>657079</v>
      </c>
      <c r="S391" s="1007">
        <v>-17752</v>
      </c>
      <c r="T391" s="1306">
        <v>639327</v>
      </c>
    </row>
    <row r="392" spans="1:20" x14ac:dyDescent="0.25">
      <c r="A392" s="1203">
        <v>94001</v>
      </c>
      <c r="B392" s="1204" t="s">
        <v>3021</v>
      </c>
      <c r="C392" s="1303">
        <v>1.0497E-3</v>
      </c>
      <c r="D392" s="1303">
        <v>9.3720000000000001E-4</v>
      </c>
      <c r="E392" s="1007">
        <v>3751025</v>
      </c>
      <c r="F392" s="1270"/>
      <c r="G392" s="1200">
        <v>473689</v>
      </c>
      <c r="H392" s="1200">
        <v>527857</v>
      </c>
      <c r="I392" s="1200">
        <v>279150</v>
      </c>
      <c r="J392" s="1007">
        <v>165057</v>
      </c>
      <c r="K392" s="1007">
        <v>1445753</v>
      </c>
      <c r="L392" s="1270"/>
      <c r="M392" s="1198">
        <v>0</v>
      </c>
      <c r="N392" s="1198">
        <v>0</v>
      </c>
      <c r="O392" s="1007">
        <v>0</v>
      </c>
      <c r="P392" s="1007">
        <v>0</v>
      </c>
      <c r="Q392" s="1270"/>
      <c r="R392" s="1200">
        <v>1289950</v>
      </c>
      <c r="S392" s="1007">
        <v>67354</v>
      </c>
      <c r="T392" s="1306">
        <v>1357304</v>
      </c>
    </row>
    <row r="393" spans="1:20" x14ac:dyDescent="0.25">
      <c r="A393" s="1203">
        <v>94002</v>
      </c>
      <c r="B393" s="1204" t="s">
        <v>3022</v>
      </c>
      <c r="C393" s="1303">
        <v>4.5000000000000001E-6</v>
      </c>
      <c r="D393" s="1303">
        <v>5.2000000000000002E-6</v>
      </c>
      <c r="E393" s="1007">
        <v>16080</v>
      </c>
      <c r="F393" s="1270"/>
      <c r="G393" s="1200">
        <v>2031</v>
      </c>
      <c r="H393" s="1200">
        <v>2263</v>
      </c>
      <c r="I393" s="1200">
        <v>1197</v>
      </c>
      <c r="J393" s="1007">
        <v>2386</v>
      </c>
      <c r="K393" s="1007">
        <v>7877</v>
      </c>
      <c r="L393" s="1270"/>
      <c r="M393" s="1198">
        <v>0</v>
      </c>
      <c r="N393" s="1198">
        <v>0</v>
      </c>
      <c r="O393" s="1007">
        <v>0</v>
      </c>
      <c r="P393" s="1007">
        <v>0</v>
      </c>
      <c r="Q393" s="1270"/>
      <c r="R393" s="1200">
        <v>5530</v>
      </c>
      <c r="S393" s="1007">
        <v>1119</v>
      </c>
      <c r="T393" s="1306">
        <v>6649</v>
      </c>
    </row>
    <row r="394" spans="1:20" x14ac:dyDescent="0.25">
      <c r="A394" s="1203">
        <v>94004</v>
      </c>
      <c r="B394" s="1204" t="s">
        <v>3023</v>
      </c>
      <c r="C394" s="1303">
        <v>6.8000000000000001E-6</v>
      </c>
      <c r="D394" s="1303">
        <v>7.4000000000000003E-6</v>
      </c>
      <c r="E394" s="1007">
        <v>24299</v>
      </c>
      <c r="F394" s="1270"/>
      <c r="G394" s="1200">
        <v>3069</v>
      </c>
      <c r="H394" s="1200">
        <v>3420</v>
      </c>
      <c r="I394" s="1200">
        <v>1808</v>
      </c>
      <c r="J394" s="1007">
        <v>3010</v>
      </c>
      <c r="K394" s="1007">
        <v>11307</v>
      </c>
      <c r="L394" s="1270"/>
      <c r="M394" s="1198">
        <v>0</v>
      </c>
      <c r="N394" s="1198">
        <v>0</v>
      </c>
      <c r="O394" s="1007">
        <v>0</v>
      </c>
      <c r="P394" s="1007">
        <v>0</v>
      </c>
      <c r="Q394" s="1270"/>
      <c r="R394" s="1200">
        <v>8356</v>
      </c>
      <c r="S394" s="1007">
        <v>2019</v>
      </c>
      <c r="T394" s="1306">
        <v>10375</v>
      </c>
    </row>
    <row r="395" spans="1:20" x14ac:dyDescent="0.25">
      <c r="A395" s="1203">
        <v>94005</v>
      </c>
      <c r="B395" s="1204" t="s">
        <v>3024</v>
      </c>
      <c r="C395" s="1303">
        <v>1.9E-6</v>
      </c>
      <c r="D395" s="1303">
        <v>1.9E-6</v>
      </c>
      <c r="E395" s="1007">
        <v>6790</v>
      </c>
      <c r="F395" s="1270"/>
      <c r="G395" s="1200">
        <v>857</v>
      </c>
      <c r="H395" s="1200">
        <v>955</v>
      </c>
      <c r="I395" s="1200">
        <v>505</v>
      </c>
      <c r="J395" s="1007">
        <v>3030</v>
      </c>
      <c r="K395" s="1007">
        <v>5347</v>
      </c>
      <c r="L395" s="1270"/>
      <c r="M395" s="1198">
        <v>0</v>
      </c>
      <c r="N395" s="1198">
        <v>0</v>
      </c>
      <c r="O395" s="1007">
        <v>1834</v>
      </c>
      <c r="P395" s="1007">
        <v>1834</v>
      </c>
      <c r="Q395" s="1270"/>
      <c r="R395" s="1200">
        <v>2335</v>
      </c>
      <c r="S395" s="1007">
        <v>-348</v>
      </c>
      <c r="T395" s="1306">
        <v>1987</v>
      </c>
    </row>
    <row r="396" spans="1:20" x14ac:dyDescent="0.25">
      <c r="A396" s="1203">
        <v>94011</v>
      </c>
      <c r="B396" s="1204" t="s">
        <v>3025</v>
      </c>
      <c r="C396" s="1303">
        <v>2.7900000000000001E-5</v>
      </c>
      <c r="D396" s="1303">
        <v>2.6699999999999998E-5</v>
      </c>
      <c r="E396" s="1007">
        <v>99699</v>
      </c>
      <c r="F396" s="1270"/>
      <c r="G396" s="1200">
        <v>12590</v>
      </c>
      <c r="H396" s="1200">
        <v>14030</v>
      </c>
      <c r="I396" s="1200">
        <v>7420</v>
      </c>
      <c r="J396" s="1007">
        <v>900</v>
      </c>
      <c r="K396" s="1007">
        <v>34940</v>
      </c>
      <c r="L396" s="1270"/>
      <c r="M396" s="1198">
        <v>0</v>
      </c>
      <c r="N396" s="1198">
        <v>0</v>
      </c>
      <c r="O396" s="1007">
        <v>3488</v>
      </c>
      <c r="P396" s="1007">
        <v>3488</v>
      </c>
      <c r="Q396" s="1270"/>
      <c r="R396" s="1200">
        <v>34286</v>
      </c>
      <c r="S396" s="1007">
        <v>-182</v>
      </c>
      <c r="T396" s="1306">
        <v>34104</v>
      </c>
    </row>
    <row r="397" spans="1:20" x14ac:dyDescent="0.25">
      <c r="A397" s="1203">
        <v>94021</v>
      </c>
      <c r="B397" s="1204" t="s">
        <v>3026</v>
      </c>
      <c r="C397" s="1303">
        <v>1.031E-4</v>
      </c>
      <c r="D397" s="1303">
        <v>8.3300000000000005E-5</v>
      </c>
      <c r="E397" s="1007">
        <v>368420</v>
      </c>
      <c r="F397" s="1270"/>
      <c r="G397" s="1200">
        <v>46525</v>
      </c>
      <c r="H397" s="1200">
        <v>51845</v>
      </c>
      <c r="I397" s="1200">
        <v>27418</v>
      </c>
      <c r="J397" s="1007">
        <v>30922</v>
      </c>
      <c r="K397" s="1007">
        <v>156710</v>
      </c>
      <c r="L397" s="1270"/>
      <c r="M397" s="1198">
        <v>0</v>
      </c>
      <c r="N397" s="1198">
        <v>0</v>
      </c>
      <c r="O397" s="1007">
        <v>0</v>
      </c>
      <c r="P397" s="1007">
        <v>0</v>
      </c>
      <c r="Q397" s="1270"/>
      <c r="R397" s="1200">
        <v>126697</v>
      </c>
      <c r="S397" s="1007">
        <v>13054</v>
      </c>
      <c r="T397" s="1306">
        <v>139751</v>
      </c>
    </row>
    <row r="398" spans="1:20" x14ac:dyDescent="0.25">
      <c r="A398" s="1203">
        <v>94031</v>
      </c>
      <c r="B398" s="1204" t="s">
        <v>3027</v>
      </c>
      <c r="C398" s="1303">
        <v>4.4000000000000002E-6</v>
      </c>
      <c r="D398" s="1303">
        <v>4.6E-6</v>
      </c>
      <c r="E398" s="1007">
        <v>15723</v>
      </c>
      <c r="F398" s="1270"/>
      <c r="G398" s="1200">
        <v>1986</v>
      </c>
      <c r="H398" s="1200">
        <v>2213</v>
      </c>
      <c r="I398" s="1200">
        <v>1170</v>
      </c>
      <c r="J398" s="1007">
        <v>6367</v>
      </c>
      <c r="K398" s="1007">
        <v>11736</v>
      </c>
      <c r="L398" s="1270"/>
      <c r="M398" s="1198">
        <v>0</v>
      </c>
      <c r="N398" s="1198">
        <v>0</v>
      </c>
      <c r="O398" s="1007">
        <v>0</v>
      </c>
      <c r="P398" s="1007">
        <v>0</v>
      </c>
      <c r="Q398" s="1270"/>
      <c r="R398" s="1200">
        <v>5407</v>
      </c>
      <c r="S398" s="1007">
        <v>3598</v>
      </c>
      <c r="T398" s="1306">
        <v>9005</v>
      </c>
    </row>
    <row r="399" spans="1:20" x14ac:dyDescent="0.25">
      <c r="A399" s="1203">
        <v>94101</v>
      </c>
      <c r="B399" s="1204" t="s">
        <v>3028</v>
      </c>
      <c r="C399" s="1303">
        <v>1.7262900000000001E-2</v>
      </c>
      <c r="D399" s="1303">
        <v>1.7750700000000001E-2</v>
      </c>
      <c r="E399" s="1007">
        <v>61687696</v>
      </c>
      <c r="F399" s="1270"/>
      <c r="G399" s="1200">
        <v>7790074</v>
      </c>
      <c r="H399" s="1200">
        <v>8680890</v>
      </c>
      <c r="I399" s="1200">
        <v>4590775</v>
      </c>
      <c r="J399" s="1007">
        <v>16828</v>
      </c>
      <c r="K399" s="1007">
        <v>21078567</v>
      </c>
      <c r="L399" s="1270"/>
      <c r="M399" s="1198">
        <v>0</v>
      </c>
      <c r="N399" s="1198">
        <v>0</v>
      </c>
      <c r="O399" s="1007">
        <v>314435</v>
      </c>
      <c r="P399" s="1007">
        <v>314435</v>
      </c>
      <c r="Q399" s="1270"/>
      <c r="R399" s="1200">
        <v>21213946</v>
      </c>
      <c r="S399" s="1007">
        <v>-230495</v>
      </c>
      <c r="T399" s="1306">
        <v>20983451</v>
      </c>
    </row>
    <row r="400" spans="1:20" x14ac:dyDescent="0.25">
      <c r="A400" s="1203">
        <v>94102</v>
      </c>
      <c r="B400" s="1204" t="s">
        <v>3029</v>
      </c>
      <c r="C400" s="1303">
        <v>3.8249999999999997E-4</v>
      </c>
      <c r="D400" s="1303">
        <v>3.3849999999999999E-4</v>
      </c>
      <c r="E400" s="1007">
        <v>1366835</v>
      </c>
      <c r="F400" s="1270"/>
      <c r="G400" s="1200">
        <v>172607</v>
      </c>
      <c r="H400" s="1200">
        <v>192346</v>
      </c>
      <c r="I400" s="1200">
        <v>101719</v>
      </c>
      <c r="J400" s="1007">
        <v>18850</v>
      </c>
      <c r="K400" s="1007">
        <v>485522</v>
      </c>
      <c r="L400" s="1270"/>
      <c r="M400" s="1198">
        <v>0</v>
      </c>
      <c r="N400" s="1198">
        <v>0</v>
      </c>
      <c r="O400" s="1007">
        <v>18129</v>
      </c>
      <c r="P400" s="1007">
        <v>18129</v>
      </c>
      <c r="Q400" s="1270"/>
      <c r="R400" s="1200">
        <v>470045</v>
      </c>
      <c r="S400" s="1007">
        <v>-8650</v>
      </c>
      <c r="T400" s="1306">
        <v>461395</v>
      </c>
    </row>
    <row r="401" spans="1:20" x14ac:dyDescent="0.25">
      <c r="A401" s="1203">
        <v>94108</v>
      </c>
      <c r="B401" s="1204" t="s">
        <v>3030</v>
      </c>
      <c r="C401" s="1303">
        <v>4.2030000000000002E-4</v>
      </c>
      <c r="D401" s="1303">
        <v>3.8289999999999998E-4</v>
      </c>
      <c r="E401" s="1007">
        <v>1501911</v>
      </c>
      <c r="F401" s="1270"/>
      <c r="G401" s="1200">
        <v>189665</v>
      </c>
      <c r="H401" s="1200">
        <v>211354</v>
      </c>
      <c r="I401" s="1200">
        <v>111772</v>
      </c>
      <c r="J401" s="1007">
        <v>6794</v>
      </c>
      <c r="K401" s="1007">
        <v>519585</v>
      </c>
      <c r="L401" s="1270"/>
      <c r="M401" s="1198">
        <v>0</v>
      </c>
      <c r="N401" s="1198">
        <v>0</v>
      </c>
      <c r="O401" s="1007">
        <v>43759</v>
      </c>
      <c r="P401" s="1007">
        <v>43759</v>
      </c>
      <c r="Q401" s="1270"/>
      <c r="R401" s="1200">
        <v>516496</v>
      </c>
      <c r="S401" s="1007">
        <v>-30879</v>
      </c>
      <c r="T401" s="1306">
        <v>485617</v>
      </c>
    </row>
    <row r="402" spans="1:20" x14ac:dyDescent="0.25">
      <c r="A402" s="1203">
        <v>94109</v>
      </c>
      <c r="B402" s="1204" t="s">
        <v>3031</v>
      </c>
      <c r="C402" s="1303">
        <v>1.059E-4</v>
      </c>
      <c r="D402" s="1303">
        <v>1.048E-4</v>
      </c>
      <c r="E402" s="1007">
        <v>378426</v>
      </c>
      <c r="F402" s="1270"/>
      <c r="G402" s="1200">
        <v>47789</v>
      </c>
      <c r="H402" s="1200">
        <v>53253</v>
      </c>
      <c r="I402" s="1200">
        <v>28162</v>
      </c>
      <c r="J402" s="1007">
        <v>0</v>
      </c>
      <c r="K402" s="1007">
        <v>129204</v>
      </c>
      <c r="L402" s="1270"/>
      <c r="M402" s="1198">
        <v>0</v>
      </c>
      <c r="N402" s="1198">
        <v>0</v>
      </c>
      <c r="O402" s="1007">
        <v>22135</v>
      </c>
      <c r="P402" s="1007">
        <v>22135</v>
      </c>
      <c r="Q402" s="1270"/>
      <c r="R402" s="1200">
        <v>130138</v>
      </c>
      <c r="S402" s="1007">
        <v>-16626</v>
      </c>
      <c r="T402" s="1306">
        <v>113512</v>
      </c>
    </row>
    <row r="403" spans="1:20" x14ac:dyDescent="0.25">
      <c r="A403" s="1203">
        <v>94111</v>
      </c>
      <c r="B403" s="1204" t="s">
        <v>3032</v>
      </c>
      <c r="C403" s="1303">
        <v>2.4351600000000001E-2</v>
      </c>
      <c r="D403" s="1303">
        <v>2.50095E-2</v>
      </c>
      <c r="E403" s="1007">
        <v>87018641</v>
      </c>
      <c r="F403" s="1270"/>
      <c r="G403" s="1200">
        <v>10988927</v>
      </c>
      <c r="H403" s="1200">
        <v>12245543</v>
      </c>
      <c r="I403" s="1200">
        <v>6475894</v>
      </c>
      <c r="J403" s="1007">
        <v>0</v>
      </c>
      <c r="K403" s="1007">
        <v>29710364</v>
      </c>
      <c r="L403" s="1270"/>
      <c r="M403" s="1198">
        <v>0</v>
      </c>
      <c r="N403" s="1198">
        <v>0</v>
      </c>
      <c r="O403" s="1007">
        <v>1367598</v>
      </c>
      <c r="P403" s="1007">
        <v>1367598</v>
      </c>
      <c r="Q403" s="1270"/>
      <c r="R403" s="1200">
        <v>29925072</v>
      </c>
      <c r="S403" s="1007">
        <v>-837153</v>
      </c>
      <c r="T403" s="1306">
        <v>29087919</v>
      </c>
    </row>
    <row r="404" spans="1:20" x14ac:dyDescent="0.25">
      <c r="A404" s="1203">
        <v>94112</v>
      </c>
      <c r="B404" s="1204" t="s">
        <v>3033</v>
      </c>
      <c r="C404" s="1303">
        <v>1.4980000000000001E-4</v>
      </c>
      <c r="D404" s="1303">
        <v>1.6870000000000001E-4</v>
      </c>
      <c r="E404" s="1007">
        <v>535299</v>
      </c>
      <c r="F404" s="1270"/>
      <c r="G404" s="1200">
        <v>67599</v>
      </c>
      <c r="H404" s="1200">
        <v>75329</v>
      </c>
      <c r="I404" s="1200">
        <v>39837</v>
      </c>
      <c r="J404" s="1007">
        <v>0</v>
      </c>
      <c r="K404" s="1007">
        <v>182765</v>
      </c>
      <c r="L404" s="1270"/>
      <c r="M404" s="1198">
        <v>0</v>
      </c>
      <c r="N404" s="1198">
        <v>0</v>
      </c>
      <c r="O404" s="1007">
        <v>30471</v>
      </c>
      <c r="P404" s="1007">
        <v>30471</v>
      </c>
      <c r="Q404" s="1270"/>
      <c r="R404" s="1200">
        <v>184085</v>
      </c>
      <c r="S404" s="1007">
        <v>-13436</v>
      </c>
      <c r="T404" s="1306">
        <v>170649</v>
      </c>
    </row>
    <row r="405" spans="1:20" x14ac:dyDescent="0.25">
      <c r="A405" s="1203">
        <v>94117</v>
      </c>
      <c r="B405" s="1204" t="s">
        <v>3034</v>
      </c>
      <c r="C405" s="1303">
        <v>3.1700000000000001E-4</v>
      </c>
      <c r="D405" s="1303">
        <v>3.232E-4</v>
      </c>
      <c r="E405" s="1007">
        <v>1132776</v>
      </c>
      <c r="F405" s="1270"/>
      <c r="G405" s="1200">
        <v>143050</v>
      </c>
      <c r="H405" s="1200">
        <v>159408</v>
      </c>
      <c r="I405" s="1200">
        <v>84301</v>
      </c>
      <c r="J405" s="1007">
        <v>29421</v>
      </c>
      <c r="K405" s="1007">
        <v>416180</v>
      </c>
      <c r="L405" s="1270"/>
      <c r="M405" s="1198">
        <v>0</v>
      </c>
      <c r="N405" s="1198">
        <v>0</v>
      </c>
      <c r="O405" s="1007">
        <v>19691</v>
      </c>
      <c r="P405" s="1007">
        <v>19691</v>
      </c>
      <c r="Q405" s="1270"/>
      <c r="R405" s="1200">
        <v>389553</v>
      </c>
      <c r="S405" s="1007">
        <v>-2295</v>
      </c>
      <c r="T405" s="1306">
        <v>387258</v>
      </c>
    </row>
    <row r="406" spans="1:20" x14ac:dyDescent="0.25">
      <c r="A406" s="1203">
        <v>94118</v>
      </c>
      <c r="B406" s="1204" t="s">
        <v>3035</v>
      </c>
      <c r="C406" s="1303">
        <v>1.5530000000000001E-4</v>
      </c>
      <c r="D406" s="1303">
        <v>1.6009999999999999E-4</v>
      </c>
      <c r="E406" s="1007">
        <v>554953</v>
      </c>
      <c r="F406" s="1270"/>
      <c r="G406" s="1200">
        <v>70081</v>
      </c>
      <c r="H406" s="1200">
        <v>78095</v>
      </c>
      <c r="I406" s="1200">
        <v>41299</v>
      </c>
      <c r="J406" s="1007">
        <v>0</v>
      </c>
      <c r="K406" s="1007">
        <v>189475</v>
      </c>
      <c r="L406" s="1270"/>
      <c r="M406" s="1198">
        <v>0</v>
      </c>
      <c r="N406" s="1198">
        <v>0</v>
      </c>
      <c r="O406" s="1007">
        <v>33300</v>
      </c>
      <c r="P406" s="1007">
        <v>33300</v>
      </c>
      <c r="Q406" s="1270"/>
      <c r="R406" s="1200">
        <v>190844</v>
      </c>
      <c r="S406" s="1007">
        <v>-20362</v>
      </c>
      <c r="T406" s="1306">
        <v>170482</v>
      </c>
    </row>
    <row r="407" spans="1:20" x14ac:dyDescent="0.25">
      <c r="A407" s="1203">
        <v>94121</v>
      </c>
      <c r="B407" s="1204" t="s">
        <v>3036</v>
      </c>
      <c r="C407" s="1303">
        <v>1.1174099999999999E-2</v>
      </c>
      <c r="D407" s="1303">
        <v>1.1113E-2</v>
      </c>
      <c r="E407" s="1007">
        <v>39929819</v>
      </c>
      <c r="F407" s="1270"/>
      <c r="G407" s="1200">
        <v>5042436</v>
      </c>
      <c r="H407" s="1200">
        <v>5619053</v>
      </c>
      <c r="I407" s="1200">
        <v>2971562</v>
      </c>
      <c r="J407" s="1007">
        <v>373849</v>
      </c>
      <c r="K407" s="1007">
        <v>14006900</v>
      </c>
      <c r="L407" s="1270"/>
      <c r="M407" s="1198">
        <v>0</v>
      </c>
      <c r="N407" s="1198">
        <v>0</v>
      </c>
      <c r="O407" s="1007">
        <v>0</v>
      </c>
      <c r="P407" s="1007">
        <v>0</v>
      </c>
      <c r="Q407" s="1270"/>
      <c r="R407" s="1200">
        <v>13731572</v>
      </c>
      <c r="S407" s="1007">
        <v>84663</v>
      </c>
      <c r="T407" s="1306">
        <v>13816235</v>
      </c>
    </row>
    <row r="408" spans="1:20" x14ac:dyDescent="0.25">
      <c r="A408" s="1203">
        <v>94127</v>
      </c>
      <c r="B408" s="1204" t="s">
        <v>3037</v>
      </c>
      <c r="C408" s="1303">
        <v>1.46E-4</v>
      </c>
      <c r="D408" s="1303">
        <v>1.4310000000000001E-4</v>
      </c>
      <c r="E408" s="1007">
        <v>521720</v>
      </c>
      <c r="F408" s="1270"/>
      <c r="G408" s="1200">
        <v>65884</v>
      </c>
      <c r="H408" s="1200">
        <v>73418</v>
      </c>
      <c r="I408" s="1200">
        <v>38826</v>
      </c>
      <c r="J408" s="1007">
        <v>14485</v>
      </c>
      <c r="K408" s="1007">
        <v>192613</v>
      </c>
      <c r="L408" s="1270"/>
      <c r="M408" s="1198">
        <v>0</v>
      </c>
      <c r="N408" s="1198">
        <v>0</v>
      </c>
      <c r="O408" s="1007">
        <v>10683</v>
      </c>
      <c r="P408" s="1007">
        <v>10683</v>
      </c>
      <c r="Q408" s="1270"/>
      <c r="R408" s="1200">
        <v>179416</v>
      </c>
      <c r="S408" s="1007">
        <v>1845</v>
      </c>
      <c r="T408" s="1306">
        <v>181261</v>
      </c>
    </row>
    <row r="409" spans="1:20" x14ac:dyDescent="0.25">
      <c r="A409" s="1203">
        <v>94131</v>
      </c>
      <c r="B409" s="1204" t="s">
        <v>3038</v>
      </c>
      <c r="C409" s="1303">
        <v>2.1269999999999999E-4</v>
      </c>
      <c r="D409" s="1303">
        <v>2.1029999999999999E-4</v>
      </c>
      <c r="E409" s="1007">
        <v>760068</v>
      </c>
      <c r="F409" s="1270"/>
      <c r="G409" s="1200">
        <v>95983</v>
      </c>
      <c r="H409" s="1200">
        <v>106959</v>
      </c>
      <c r="I409" s="1200">
        <v>56564</v>
      </c>
      <c r="J409" s="1007">
        <v>20562</v>
      </c>
      <c r="K409" s="1007">
        <v>280068</v>
      </c>
      <c r="L409" s="1270"/>
      <c r="M409" s="1198">
        <v>0</v>
      </c>
      <c r="N409" s="1198">
        <v>0</v>
      </c>
      <c r="O409" s="1007">
        <v>2127</v>
      </c>
      <c r="P409" s="1007">
        <v>2127</v>
      </c>
      <c r="Q409" s="1270"/>
      <c r="R409" s="1200">
        <v>261382</v>
      </c>
      <c r="S409" s="1007">
        <v>6949</v>
      </c>
      <c r="T409" s="1306">
        <v>268331</v>
      </c>
    </row>
    <row r="410" spans="1:20" ht="14.25" customHeight="1" x14ac:dyDescent="0.25">
      <c r="A410" s="1203">
        <v>94151</v>
      </c>
      <c r="B410" s="1204" t="s">
        <v>3039</v>
      </c>
      <c r="C410" s="1303">
        <v>4.3360000000000002E-4</v>
      </c>
      <c r="D410" s="1303">
        <v>4.6660000000000001E-4</v>
      </c>
      <c r="E410" s="1007">
        <v>1549438</v>
      </c>
      <c r="F410" s="1270"/>
      <c r="G410" s="1200">
        <v>195667</v>
      </c>
      <c r="H410" s="1200">
        <v>218041</v>
      </c>
      <c r="I410" s="1200">
        <v>115309</v>
      </c>
      <c r="J410" s="1007">
        <v>6070</v>
      </c>
      <c r="K410" s="1007">
        <v>535087</v>
      </c>
      <c r="L410" s="1270"/>
      <c r="M410" s="1198">
        <v>0</v>
      </c>
      <c r="N410" s="1198">
        <v>0</v>
      </c>
      <c r="O410" s="1007">
        <v>70239</v>
      </c>
      <c r="P410" s="1007">
        <v>70239</v>
      </c>
      <c r="Q410" s="1270"/>
      <c r="R410" s="1200">
        <v>532840</v>
      </c>
      <c r="S410" s="1007">
        <v>-26202</v>
      </c>
      <c r="T410" s="1306">
        <v>506638</v>
      </c>
    </row>
    <row r="411" spans="1:20" x14ac:dyDescent="0.25">
      <c r="A411" s="1203">
        <v>94157</v>
      </c>
      <c r="B411" s="1204" t="s">
        <v>3040</v>
      </c>
      <c r="C411" s="1303">
        <v>9.7000000000000003E-6</v>
      </c>
      <c r="D411" s="1303">
        <v>8.6000000000000007E-6</v>
      </c>
      <c r="E411" s="1007">
        <v>34662</v>
      </c>
      <c r="F411" s="1270"/>
      <c r="G411" s="1200">
        <v>4377</v>
      </c>
      <c r="H411" s="1200">
        <v>4878</v>
      </c>
      <c r="I411" s="1200">
        <v>2580</v>
      </c>
      <c r="J411" s="1007">
        <v>3551</v>
      </c>
      <c r="K411" s="1007">
        <v>15386</v>
      </c>
      <c r="L411" s="1270"/>
      <c r="M411" s="1198">
        <v>0</v>
      </c>
      <c r="N411" s="1198">
        <v>0</v>
      </c>
      <c r="O411" s="1007">
        <v>0</v>
      </c>
      <c r="P411" s="1007">
        <v>0</v>
      </c>
      <c r="Q411" s="1270"/>
      <c r="R411" s="1200">
        <v>11920</v>
      </c>
      <c r="S411" s="1007">
        <v>1658</v>
      </c>
      <c r="T411" s="1306">
        <v>13578</v>
      </c>
    </row>
    <row r="412" spans="1:20" x14ac:dyDescent="0.25">
      <c r="A412" s="1203">
        <v>94161</v>
      </c>
      <c r="B412" s="1204" t="s">
        <v>3041</v>
      </c>
      <c r="C412" s="1303">
        <v>4.9200000000000003E-5</v>
      </c>
      <c r="D412" s="1303">
        <v>4.8600000000000002E-5</v>
      </c>
      <c r="E412" s="1007">
        <v>175813</v>
      </c>
      <c r="F412" s="1270"/>
      <c r="G412" s="1200">
        <v>22202</v>
      </c>
      <c r="H412" s="1200">
        <v>24741</v>
      </c>
      <c r="I412" s="1200">
        <v>13084</v>
      </c>
      <c r="J412" s="1007">
        <v>13128</v>
      </c>
      <c r="K412" s="1007">
        <v>73155</v>
      </c>
      <c r="L412" s="1270"/>
      <c r="M412" s="1198">
        <v>0</v>
      </c>
      <c r="N412" s="1198">
        <v>0</v>
      </c>
      <c r="O412" s="1007">
        <v>4515</v>
      </c>
      <c r="P412" s="1007">
        <v>4515</v>
      </c>
      <c r="Q412" s="1270"/>
      <c r="R412" s="1200">
        <v>60461</v>
      </c>
      <c r="S412" s="1007">
        <v>1978</v>
      </c>
      <c r="T412" s="1306">
        <v>62439</v>
      </c>
    </row>
    <row r="413" spans="1:20" x14ac:dyDescent="0.25">
      <c r="A413" s="1203">
        <v>94168</v>
      </c>
      <c r="B413" s="1204" t="s">
        <v>3042</v>
      </c>
      <c r="C413" s="1303">
        <v>6.6600000000000006E-5</v>
      </c>
      <c r="D413" s="1303">
        <v>5.5099999999999998E-5</v>
      </c>
      <c r="E413" s="1007">
        <v>237990</v>
      </c>
      <c r="F413" s="1270"/>
      <c r="G413" s="1200">
        <v>30054</v>
      </c>
      <c r="H413" s="1200">
        <v>33491</v>
      </c>
      <c r="I413" s="1200">
        <v>17711</v>
      </c>
      <c r="J413" s="1007">
        <v>21043</v>
      </c>
      <c r="K413" s="1007">
        <v>102299</v>
      </c>
      <c r="L413" s="1270"/>
      <c r="M413" s="1198">
        <v>0</v>
      </c>
      <c r="N413" s="1198">
        <v>0</v>
      </c>
      <c r="O413" s="1007">
        <v>800</v>
      </c>
      <c r="P413" s="1007">
        <v>800</v>
      </c>
      <c r="Q413" s="1270"/>
      <c r="R413" s="1200">
        <v>81843</v>
      </c>
      <c r="S413" s="1007">
        <v>6275</v>
      </c>
      <c r="T413" s="1306">
        <v>88118</v>
      </c>
    </row>
    <row r="414" spans="1:20" x14ac:dyDescent="0.25">
      <c r="A414" s="1203">
        <v>94171</v>
      </c>
      <c r="B414" s="1204" t="s">
        <v>3043</v>
      </c>
      <c r="C414" s="1303">
        <v>6.9999999999999994E-5</v>
      </c>
      <c r="D414" s="1303">
        <v>6.1799999999999998E-5</v>
      </c>
      <c r="E414" s="1007">
        <v>250140</v>
      </c>
      <c r="F414" s="1270"/>
      <c r="G414" s="1200">
        <v>31588</v>
      </c>
      <c r="H414" s="1200">
        <v>35201</v>
      </c>
      <c r="I414" s="1200">
        <v>18615</v>
      </c>
      <c r="J414" s="1007">
        <v>8508</v>
      </c>
      <c r="K414" s="1007">
        <v>93912</v>
      </c>
      <c r="L414" s="1270"/>
      <c r="M414" s="1198">
        <v>0</v>
      </c>
      <c r="N414" s="1198">
        <v>0</v>
      </c>
      <c r="O414" s="1007">
        <v>12440</v>
      </c>
      <c r="P414" s="1007">
        <v>12440</v>
      </c>
      <c r="Q414" s="1270"/>
      <c r="R414" s="1200">
        <v>86021</v>
      </c>
      <c r="S414" s="1007">
        <v>3</v>
      </c>
      <c r="T414" s="1306">
        <v>86024</v>
      </c>
    </row>
    <row r="415" spans="1:20" x14ac:dyDescent="0.25">
      <c r="A415" s="1203">
        <v>94172</v>
      </c>
      <c r="B415" s="1204" t="s">
        <v>3044</v>
      </c>
      <c r="C415" s="1303">
        <v>2.7050000000000002E-4</v>
      </c>
      <c r="D415" s="1303">
        <v>2.8210000000000003E-4</v>
      </c>
      <c r="E415" s="1007">
        <v>966612</v>
      </c>
      <c r="F415" s="1270"/>
      <c r="G415" s="1200">
        <v>122066</v>
      </c>
      <c r="H415" s="1200">
        <v>136025</v>
      </c>
      <c r="I415" s="1200">
        <v>71935</v>
      </c>
      <c r="J415" s="1007">
        <v>0</v>
      </c>
      <c r="K415" s="1007">
        <v>330026</v>
      </c>
      <c r="L415" s="1270"/>
      <c r="M415" s="1198">
        <v>0</v>
      </c>
      <c r="N415" s="1198">
        <v>0</v>
      </c>
      <c r="O415" s="1007">
        <v>74610</v>
      </c>
      <c r="P415" s="1007">
        <v>74610</v>
      </c>
      <c r="Q415" s="1270"/>
      <c r="R415" s="1200">
        <v>332411</v>
      </c>
      <c r="S415" s="1007">
        <v>-41040</v>
      </c>
      <c r="T415" s="1306">
        <v>291371</v>
      </c>
    </row>
    <row r="416" spans="1:20" x14ac:dyDescent="0.25">
      <c r="A416" s="1203">
        <v>94201</v>
      </c>
      <c r="B416" s="1204" t="s">
        <v>3045</v>
      </c>
      <c r="C416" s="1303">
        <v>3.0286000000000002E-3</v>
      </c>
      <c r="D416" s="1303">
        <v>3.2504999999999999E-3</v>
      </c>
      <c r="E416" s="1007">
        <v>10822478</v>
      </c>
      <c r="F416" s="1270"/>
      <c r="G416" s="1200">
        <v>1366689</v>
      </c>
      <c r="H416" s="1200">
        <v>1522974</v>
      </c>
      <c r="I416" s="1200">
        <v>805405</v>
      </c>
      <c r="J416" s="1007">
        <v>7846</v>
      </c>
      <c r="K416" s="1007">
        <v>3702914</v>
      </c>
      <c r="L416" s="1270"/>
      <c r="M416" s="1198">
        <v>0</v>
      </c>
      <c r="N416" s="1198">
        <v>0</v>
      </c>
      <c r="O416" s="1007">
        <v>259660</v>
      </c>
      <c r="P416" s="1007">
        <v>259660</v>
      </c>
      <c r="Q416" s="1270"/>
      <c r="R416" s="1200">
        <v>3721771</v>
      </c>
      <c r="S416" s="1007">
        <v>-94008</v>
      </c>
      <c r="T416" s="1306">
        <v>3627763</v>
      </c>
    </row>
    <row r="417" spans="1:20" x14ac:dyDescent="0.25">
      <c r="A417" s="1203">
        <v>94204</v>
      </c>
      <c r="B417" s="1204" t="s">
        <v>3046</v>
      </c>
      <c r="C417" s="1303">
        <v>3.3500000000000001E-5</v>
      </c>
      <c r="D417" s="1303">
        <v>2.97E-5</v>
      </c>
      <c r="E417" s="1007">
        <v>119710</v>
      </c>
      <c r="F417" s="1270"/>
      <c r="G417" s="1200">
        <v>15117</v>
      </c>
      <c r="H417" s="1200">
        <v>16846</v>
      </c>
      <c r="I417" s="1200">
        <v>8909</v>
      </c>
      <c r="J417" s="1007">
        <v>15995</v>
      </c>
      <c r="K417" s="1007">
        <v>56867</v>
      </c>
      <c r="L417" s="1270"/>
      <c r="M417" s="1198">
        <v>0</v>
      </c>
      <c r="N417" s="1198">
        <v>0</v>
      </c>
      <c r="O417" s="1007">
        <v>0</v>
      </c>
      <c r="P417" s="1007">
        <v>0</v>
      </c>
      <c r="Q417" s="1270"/>
      <c r="R417" s="1200">
        <v>41167</v>
      </c>
      <c r="S417" s="1007">
        <v>7622</v>
      </c>
      <c r="T417" s="1306">
        <v>48789</v>
      </c>
    </row>
    <row r="418" spans="1:20" x14ac:dyDescent="0.25">
      <c r="A418" s="1203">
        <v>94205</v>
      </c>
      <c r="B418" s="1204" t="s">
        <v>3047</v>
      </c>
      <c r="C418" s="1303">
        <v>1.49E-5</v>
      </c>
      <c r="D418" s="1303">
        <v>1.6200000000000001E-5</v>
      </c>
      <c r="E418" s="1007">
        <v>53244</v>
      </c>
      <c r="F418" s="1270"/>
      <c r="G418" s="1200">
        <v>6724</v>
      </c>
      <c r="H418" s="1200">
        <v>7493</v>
      </c>
      <c r="I418" s="1200">
        <v>3962</v>
      </c>
      <c r="J418" s="1007">
        <v>3026</v>
      </c>
      <c r="K418" s="1007">
        <v>21205</v>
      </c>
      <c r="L418" s="1270"/>
      <c r="M418" s="1198">
        <v>0</v>
      </c>
      <c r="N418" s="1198">
        <v>0</v>
      </c>
      <c r="O418" s="1007">
        <v>427</v>
      </c>
      <c r="P418" s="1007">
        <v>427</v>
      </c>
      <c r="Q418" s="1270"/>
      <c r="R418" s="1200">
        <v>18310</v>
      </c>
      <c r="S418" s="1007">
        <v>821</v>
      </c>
      <c r="T418" s="1306">
        <v>19131</v>
      </c>
    </row>
    <row r="419" spans="1:20" x14ac:dyDescent="0.25">
      <c r="A419" s="1203">
        <v>94209</v>
      </c>
      <c r="B419" s="1204" t="s">
        <v>3048</v>
      </c>
      <c r="C419" s="1303">
        <v>3.1399999999999999E-4</v>
      </c>
      <c r="D419" s="1303">
        <v>3.2519999999999999E-4</v>
      </c>
      <c r="E419" s="1007">
        <v>1122056</v>
      </c>
      <c r="F419" s="1270"/>
      <c r="G419" s="1200">
        <v>141696</v>
      </c>
      <c r="H419" s="1200">
        <v>157899</v>
      </c>
      <c r="I419" s="1200">
        <v>83503</v>
      </c>
      <c r="J419" s="1007">
        <v>7494</v>
      </c>
      <c r="K419" s="1007">
        <v>390592</v>
      </c>
      <c r="L419" s="1270"/>
      <c r="M419" s="1198">
        <v>0</v>
      </c>
      <c r="N419" s="1198">
        <v>0</v>
      </c>
      <c r="O419" s="1007">
        <v>18322</v>
      </c>
      <c r="P419" s="1007">
        <v>18322</v>
      </c>
      <c r="Q419" s="1270"/>
      <c r="R419" s="1200">
        <v>385867</v>
      </c>
      <c r="S419" s="1007">
        <v>-5759</v>
      </c>
      <c r="T419" s="1306">
        <v>380108</v>
      </c>
    </row>
    <row r="420" spans="1:20" x14ac:dyDescent="0.25">
      <c r="A420" s="1203">
        <v>94211</v>
      </c>
      <c r="B420" s="1204" t="s">
        <v>3049</v>
      </c>
      <c r="C420" s="1303">
        <v>1.4660000000000001E-4</v>
      </c>
      <c r="D420" s="1303">
        <v>1.5359999999999999E-4</v>
      </c>
      <c r="E420" s="1007">
        <v>523864</v>
      </c>
      <c r="F420" s="1270"/>
      <c r="G420" s="1200">
        <v>66155</v>
      </c>
      <c r="H420" s="1200">
        <v>73720</v>
      </c>
      <c r="I420" s="1200">
        <v>38986</v>
      </c>
      <c r="J420" s="1007">
        <v>4770</v>
      </c>
      <c r="K420" s="1007">
        <v>183631</v>
      </c>
      <c r="L420" s="1270"/>
      <c r="M420" s="1198">
        <v>0</v>
      </c>
      <c r="N420" s="1198">
        <v>0</v>
      </c>
      <c r="O420" s="1007">
        <v>11561</v>
      </c>
      <c r="P420" s="1007">
        <v>11561</v>
      </c>
      <c r="Q420" s="1270"/>
      <c r="R420" s="1200">
        <v>180153</v>
      </c>
      <c r="S420" s="1007">
        <v>-443</v>
      </c>
      <c r="T420" s="1306">
        <v>179710</v>
      </c>
    </row>
    <row r="421" spans="1:20" x14ac:dyDescent="0.25">
      <c r="A421" s="1203">
        <v>94221</v>
      </c>
      <c r="B421" s="1204" t="s">
        <v>3050</v>
      </c>
      <c r="C421" s="1303">
        <v>9.7799999999999992E-4</v>
      </c>
      <c r="D421" s="1303">
        <v>9.8189999999999996E-4</v>
      </c>
      <c r="E421" s="1007">
        <v>3494811</v>
      </c>
      <c r="F421" s="1270"/>
      <c r="G421" s="1200">
        <v>441333</v>
      </c>
      <c r="H421" s="1200">
        <v>491801</v>
      </c>
      <c r="I421" s="1200">
        <v>260082</v>
      </c>
      <c r="J421" s="1007">
        <v>0</v>
      </c>
      <c r="K421" s="1007">
        <v>1193216</v>
      </c>
      <c r="L421" s="1270"/>
      <c r="M421" s="1198">
        <v>0</v>
      </c>
      <c r="N421" s="1198">
        <v>0</v>
      </c>
      <c r="O421" s="1007">
        <v>94933</v>
      </c>
      <c r="P421" s="1007">
        <v>94933</v>
      </c>
      <c r="Q421" s="1270"/>
      <c r="R421" s="1200">
        <v>1201840</v>
      </c>
      <c r="S421" s="1007">
        <v>-55930</v>
      </c>
      <c r="T421" s="1306">
        <v>1145910</v>
      </c>
    </row>
    <row r="422" spans="1:20" ht="14.25" customHeight="1" x14ac:dyDescent="0.25">
      <c r="A422" s="1203">
        <v>94231</v>
      </c>
      <c r="B422" s="1204" t="s">
        <v>3051</v>
      </c>
      <c r="C422" s="1303">
        <v>1.2640000000000001E-4</v>
      </c>
      <c r="D422" s="1303">
        <v>1.485E-4</v>
      </c>
      <c r="E422" s="1007">
        <v>451681</v>
      </c>
      <c r="F422" s="1270"/>
      <c r="G422" s="1200">
        <v>57039</v>
      </c>
      <c r="H422" s="1200">
        <v>63562</v>
      </c>
      <c r="I422" s="1200">
        <v>33614</v>
      </c>
      <c r="J422" s="1007">
        <v>1722</v>
      </c>
      <c r="K422" s="1007">
        <v>155937</v>
      </c>
      <c r="L422" s="1270"/>
      <c r="M422" s="1198">
        <v>0</v>
      </c>
      <c r="N422" s="1198">
        <v>0</v>
      </c>
      <c r="O422" s="1007">
        <v>59411</v>
      </c>
      <c r="P422" s="1007">
        <v>59411</v>
      </c>
      <c r="Q422" s="1270"/>
      <c r="R422" s="1200">
        <v>155330</v>
      </c>
      <c r="S422" s="1007">
        <v>-19704</v>
      </c>
      <c r="T422" s="1306">
        <v>135626</v>
      </c>
    </row>
    <row r="423" spans="1:20" x14ac:dyDescent="0.25">
      <c r="A423" s="1203">
        <v>94241</v>
      </c>
      <c r="B423" s="1204" t="s">
        <v>3052</v>
      </c>
      <c r="C423" s="1303">
        <v>1.3630000000000001E-4</v>
      </c>
      <c r="D423" s="1303">
        <v>1.106E-4</v>
      </c>
      <c r="E423" s="1007">
        <v>487058</v>
      </c>
      <c r="F423" s="1270"/>
      <c r="G423" s="1200">
        <v>61507</v>
      </c>
      <c r="H423" s="1200">
        <v>68540</v>
      </c>
      <c r="I423" s="1200">
        <v>36247</v>
      </c>
      <c r="J423" s="1007">
        <v>50685</v>
      </c>
      <c r="K423" s="1007">
        <v>216979</v>
      </c>
      <c r="L423" s="1270"/>
      <c r="M423" s="1198">
        <v>0</v>
      </c>
      <c r="N423" s="1198">
        <v>0</v>
      </c>
      <c r="O423" s="1007">
        <v>10204</v>
      </c>
      <c r="P423" s="1007">
        <v>10204</v>
      </c>
      <c r="Q423" s="1270"/>
      <c r="R423" s="1200">
        <v>167496</v>
      </c>
      <c r="S423" s="1007">
        <v>17456</v>
      </c>
      <c r="T423" s="1306">
        <v>184952</v>
      </c>
    </row>
    <row r="424" spans="1:20" x14ac:dyDescent="0.25">
      <c r="A424" s="1203">
        <v>94251</v>
      </c>
      <c r="B424" s="1204" t="s">
        <v>3053</v>
      </c>
      <c r="C424" s="1303">
        <v>1.7799999999999999E-5</v>
      </c>
      <c r="D424" s="1303">
        <v>1.7799999999999999E-5</v>
      </c>
      <c r="E424" s="1007">
        <v>63607</v>
      </c>
      <c r="F424" s="1270"/>
      <c r="G424" s="1200">
        <v>8032</v>
      </c>
      <c r="H424" s="1200">
        <v>8951</v>
      </c>
      <c r="I424" s="1200">
        <v>4734</v>
      </c>
      <c r="J424" s="1007">
        <v>2495</v>
      </c>
      <c r="K424" s="1007">
        <v>24212</v>
      </c>
      <c r="L424" s="1270"/>
      <c r="M424" s="1198">
        <v>0</v>
      </c>
      <c r="N424" s="1198">
        <v>0</v>
      </c>
      <c r="O424" s="1007">
        <v>529</v>
      </c>
      <c r="P424" s="1007">
        <v>529</v>
      </c>
      <c r="Q424" s="1270"/>
      <c r="R424" s="1200">
        <v>21874</v>
      </c>
      <c r="S424" s="1007">
        <v>183</v>
      </c>
      <c r="T424" s="1306">
        <v>22057</v>
      </c>
    </row>
    <row r="425" spans="1:20" x14ac:dyDescent="0.25">
      <c r="A425" s="1203">
        <v>94261</v>
      </c>
      <c r="B425" s="1204" t="s">
        <v>3054</v>
      </c>
      <c r="C425" s="1303">
        <v>3.7100000000000001E-5</v>
      </c>
      <c r="D425" s="1303">
        <v>4.6600000000000001E-5</v>
      </c>
      <c r="E425" s="1007">
        <v>132574</v>
      </c>
      <c r="F425" s="1270"/>
      <c r="G425" s="1200">
        <v>16742</v>
      </c>
      <c r="H425" s="1200">
        <v>18657</v>
      </c>
      <c r="I425" s="1200">
        <v>9866</v>
      </c>
      <c r="J425" s="1007">
        <v>6856</v>
      </c>
      <c r="K425" s="1007">
        <v>52121</v>
      </c>
      <c r="L425" s="1270"/>
      <c r="M425" s="1198">
        <v>0</v>
      </c>
      <c r="N425" s="1198">
        <v>0</v>
      </c>
      <c r="O425" s="1007">
        <v>11994</v>
      </c>
      <c r="P425" s="1007">
        <v>11994</v>
      </c>
      <c r="Q425" s="1270"/>
      <c r="R425" s="1200">
        <v>45591</v>
      </c>
      <c r="S425" s="1007">
        <v>1205</v>
      </c>
      <c r="T425" s="1306">
        <v>46796</v>
      </c>
    </row>
    <row r="426" spans="1:20" x14ac:dyDescent="0.25">
      <c r="A426" s="1203">
        <v>94301</v>
      </c>
      <c r="B426" s="1204" t="s">
        <v>3055</v>
      </c>
      <c r="C426" s="1303">
        <v>6.1066999999999996E-3</v>
      </c>
      <c r="D426" s="1303">
        <v>6.3099000000000002E-3</v>
      </c>
      <c r="E426" s="1007">
        <v>21821841</v>
      </c>
      <c r="F426" s="1270"/>
      <c r="G426" s="1200">
        <v>2755716</v>
      </c>
      <c r="H426" s="1200">
        <v>3070840</v>
      </c>
      <c r="I426" s="1200">
        <v>1623973</v>
      </c>
      <c r="J426" s="1007">
        <v>21528</v>
      </c>
      <c r="K426" s="1007">
        <v>7472057</v>
      </c>
      <c r="L426" s="1270"/>
      <c r="M426" s="1198">
        <v>0</v>
      </c>
      <c r="N426" s="1198">
        <v>0</v>
      </c>
      <c r="O426" s="1007">
        <v>364201</v>
      </c>
      <c r="P426" s="1007">
        <v>364201</v>
      </c>
      <c r="Q426" s="1270"/>
      <c r="R426" s="1200">
        <v>7504371</v>
      </c>
      <c r="S426" s="1007">
        <v>-121348</v>
      </c>
      <c r="T426" s="1306">
        <v>7383023</v>
      </c>
    </row>
    <row r="427" spans="1:20" x14ac:dyDescent="0.25">
      <c r="A427" s="1203">
        <v>94311</v>
      </c>
      <c r="B427" s="1204" t="s">
        <v>3056</v>
      </c>
      <c r="C427" s="1303">
        <v>7.85E-4</v>
      </c>
      <c r="D427" s="1303">
        <v>7.7700000000000002E-4</v>
      </c>
      <c r="E427" s="1007">
        <v>2805139</v>
      </c>
      <c r="F427" s="1270"/>
      <c r="G427" s="1200">
        <v>354240</v>
      </c>
      <c r="H427" s="1200">
        <v>394748</v>
      </c>
      <c r="I427" s="1200">
        <v>208757</v>
      </c>
      <c r="J427" s="1007">
        <v>51143</v>
      </c>
      <c r="K427" s="1007">
        <v>1008888</v>
      </c>
      <c r="L427" s="1270"/>
      <c r="M427" s="1198">
        <v>0</v>
      </c>
      <c r="N427" s="1198">
        <v>0</v>
      </c>
      <c r="O427" s="1007">
        <v>11878</v>
      </c>
      <c r="P427" s="1007">
        <v>11878</v>
      </c>
      <c r="Q427" s="1270"/>
      <c r="R427" s="1200">
        <v>964667</v>
      </c>
      <c r="S427" s="1007">
        <v>5041</v>
      </c>
      <c r="T427" s="1306">
        <v>969708</v>
      </c>
    </row>
    <row r="428" spans="1:20" x14ac:dyDescent="0.25">
      <c r="A428" s="1203">
        <v>94313</v>
      </c>
      <c r="B428" s="1204" t="s">
        <v>3057</v>
      </c>
      <c r="C428" s="1303">
        <v>1.7099999999999999E-5</v>
      </c>
      <c r="D428" s="1303">
        <v>1.4399999999999999E-5</v>
      </c>
      <c r="E428" s="1007">
        <v>61106</v>
      </c>
      <c r="F428" s="1270"/>
      <c r="G428" s="1200">
        <v>7717</v>
      </c>
      <c r="H428" s="1200">
        <v>8599</v>
      </c>
      <c r="I428" s="1200">
        <v>4547</v>
      </c>
      <c r="J428" s="1007">
        <v>10241</v>
      </c>
      <c r="K428" s="1007">
        <v>31104</v>
      </c>
      <c r="L428" s="1270"/>
      <c r="M428" s="1198">
        <v>0</v>
      </c>
      <c r="N428" s="1198">
        <v>0</v>
      </c>
      <c r="O428" s="1007">
        <v>305</v>
      </c>
      <c r="P428" s="1007">
        <v>305</v>
      </c>
      <c r="Q428" s="1270"/>
      <c r="R428" s="1200">
        <v>21014</v>
      </c>
      <c r="S428" s="1007">
        <v>5054</v>
      </c>
      <c r="T428" s="1306">
        <v>26068</v>
      </c>
    </row>
    <row r="429" spans="1:20" x14ac:dyDescent="0.25">
      <c r="A429" s="1203">
        <v>94317</v>
      </c>
      <c r="B429" s="1204" t="s">
        <v>3058</v>
      </c>
      <c r="C429" s="1303">
        <v>4.7999999999999998E-6</v>
      </c>
      <c r="D429" s="1303">
        <v>1.0699999999999999E-5</v>
      </c>
      <c r="E429" s="1007">
        <v>17152</v>
      </c>
      <c r="F429" s="1270"/>
      <c r="G429" s="1200">
        <v>2166</v>
      </c>
      <c r="H429" s="1200">
        <v>2414</v>
      </c>
      <c r="I429" s="1200">
        <v>1276</v>
      </c>
      <c r="J429" s="1007">
        <v>5445</v>
      </c>
      <c r="K429" s="1007">
        <v>11301</v>
      </c>
      <c r="L429" s="1270"/>
      <c r="M429" s="1198">
        <v>0</v>
      </c>
      <c r="N429" s="1198">
        <v>0</v>
      </c>
      <c r="O429" s="1007">
        <v>1452</v>
      </c>
      <c r="P429" s="1007">
        <v>1452</v>
      </c>
      <c r="Q429" s="1270"/>
      <c r="R429" s="1200">
        <v>5899</v>
      </c>
      <c r="S429" s="1007">
        <v>2851</v>
      </c>
      <c r="T429" s="1306">
        <v>8750</v>
      </c>
    </row>
    <row r="430" spans="1:20" x14ac:dyDescent="0.25">
      <c r="A430" s="1203">
        <v>94321</v>
      </c>
      <c r="B430" s="1204" t="s">
        <v>3059</v>
      </c>
      <c r="C430" s="1303">
        <v>3.1559999999999997E-4</v>
      </c>
      <c r="D430" s="1303">
        <v>2.8079999999999999E-4</v>
      </c>
      <c r="E430" s="1007">
        <v>1127773</v>
      </c>
      <c r="F430" s="1270"/>
      <c r="G430" s="1200">
        <v>142418</v>
      </c>
      <c r="H430" s="1200">
        <v>158704</v>
      </c>
      <c r="I430" s="1200">
        <v>83928</v>
      </c>
      <c r="J430" s="1007">
        <v>37930</v>
      </c>
      <c r="K430" s="1007">
        <v>422980</v>
      </c>
      <c r="L430" s="1270"/>
      <c r="M430" s="1198">
        <v>0</v>
      </c>
      <c r="N430" s="1198">
        <v>0</v>
      </c>
      <c r="O430" s="1007">
        <v>8982</v>
      </c>
      <c r="P430" s="1007">
        <v>8982</v>
      </c>
      <c r="Q430" s="1270"/>
      <c r="R430" s="1200">
        <v>387833</v>
      </c>
      <c r="S430" s="1007">
        <v>4761</v>
      </c>
      <c r="T430" s="1306">
        <v>392594</v>
      </c>
    </row>
    <row r="431" spans="1:20" x14ac:dyDescent="0.25">
      <c r="A431" s="1203">
        <v>94331</v>
      </c>
      <c r="B431" s="1204" t="s">
        <v>3060</v>
      </c>
      <c r="C431" s="1303">
        <v>1.5080000000000001E-4</v>
      </c>
      <c r="D431" s="1303">
        <v>1.5190000000000001E-4</v>
      </c>
      <c r="E431" s="1007">
        <v>538873</v>
      </c>
      <c r="F431" s="1270"/>
      <c r="G431" s="1200">
        <v>68050</v>
      </c>
      <c r="H431" s="1200">
        <v>75831</v>
      </c>
      <c r="I431" s="1200">
        <v>40103</v>
      </c>
      <c r="J431" s="1007">
        <v>11088</v>
      </c>
      <c r="K431" s="1007">
        <v>195072</v>
      </c>
      <c r="L431" s="1270"/>
      <c r="M431" s="1198">
        <v>0</v>
      </c>
      <c r="N431" s="1198">
        <v>0</v>
      </c>
      <c r="O431" s="1007">
        <v>6972</v>
      </c>
      <c r="P431" s="1007">
        <v>6972</v>
      </c>
      <c r="Q431" s="1270"/>
      <c r="R431" s="1200">
        <v>185314</v>
      </c>
      <c r="S431" s="1007">
        <v>523</v>
      </c>
      <c r="T431" s="1306">
        <v>185837</v>
      </c>
    </row>
    <row r="432" spans="1:20" x14ac:dyDescent="0.25">
      <c r="A432" s="1203">
        <v>94341</v>
      </c>
      <c r="B432" s="1204" t="s">
        <v>3061</v>
      </c>
      <c r="C432" s="1303">
        <v>9.2700000000000004E-5</v>
      </c>
      <c r="D432" s="1303">
        <v>9.8800000000000003E-5</v>
      </c>
      <c r="E432" s="1007">
        <v>331257</v>
      </c>
      <c r="F432" s="1270"/>
      <c r="G432" s="1200">
        <v>41832</v>
      </c>
      <c r="H432" s="1200">
        <v>46616</v>
      </c>
      <c r="I432" s="1200">
        <v>24652</v>
      </c>
      <c r="J432" s="1007">
        <v>6258</v>
      </c>
      <c r="K432" s="1007">
        <v>119358</v>
      </c>
      <c r="L432" s="1270"/>
      <c r="M432" s="1198">
        <v>0</v>
      </c>
      <c r="N432" s="1198">
        <v>0</v>
      </c>
      <c r="O432" s="1007">
        <v>15302</v>
      </c>
      <c r="P432" s="1007">
        <v>15302</v>
      </c>
      <c r="Q432" s="1270"/>
      <c r="R432" s="1200">
        <v>113917</v>
      </c>
      <c r="S432" s="1007">
        <v>-4103</v>
      </c>
      <c r="T432" s="1306">
        <v>109814</v>
      </c>
    </row>
    <row r="433" spans="1:20" x14ac:dyDescent="0.25">
      <c r="A433" s="1203">
        <v>94347</v>
      </c>
      <c r="B433" s="1204" t="s">
        <v>3062</v>
      </c>
      <c r="C433" s="1303">
        <v>1.5E-5</v>
      </c>
      <c r="D433" s="1303">
        <v>1.17E-5</v>
      </c>
      <c r="E433" s="1007">
        <v>53601</v>
      </c>
      <c r="F433" s="1270"/>
      <c r="G433" s="1200">
        <v>6769</v>
      </c>
      <c r="H433" s="1200">
        <v>7543</v>
      </c>
      <c r="I433" s="1200">
        <v>3989</v>
      </c>
      <c r="J433" s="1007">
        <v>13812</v>
      </c>
      <c r="K433" s="1007">
        <v>32113</v>
      </c>
      <c r="L433" s="1270"/>
      <c r="M433" s="1198">
        <v>0</v>
      </c>
      <c r="N433" s="1198">
        <v>0</v>
      </c>
      <c r="O433" s="1007">
        <v>474</v>
      </c>
      <c r="P433" s="1007">
        <v>474</v>
      </c>
      <c r="Q433" s="1270"/>
      <c r="R433" s="1200">
        <v>18433</v>
      </c>
      <c r="S433" s="1007">
        <v>5011</v>
      </c>
      <c r="T433" s="1306">
        <v>23444</v>
      </c>
    </row>
    <row r="434" spans="1:20" x14ac:dyDescent="0.25">
      <c r="A434" s="1203">
        <v>94351</v>
      </c>
      <c r="B434" s="1204" t="s">
        <v>3063</v>
      </c>
      <c r="C434" s="1303">
        <v>2.9090000000000002E-4</v>
      </c>
      <c r="D434" s="1303">
        <v>2.2680000000000001E-4</v>
      </c>
      <c r="E434" s="1007">
        <v>1039510</v>
      </c>
      <c r="F434" s="1270"/>
      <c r="G434" s="1200">
        <v>131272</v>
      </c>
      <c r="H434" s="1200">
        <v>146283</v>
      </c>
      <c r="I434" s="1200">
        <v>77360</v>
      </c>
      <c r="J434" s="1007">
        <v>79101</v>
      </c>
      <c r="K434" s="1007">
        <v>434016</v>
      </c>
      <c r="L434" s="1270"/>
      <c r="M434" s="1198">
        <v>0</v>
      </c>
      <c r="N434" s="1198">
        <v>0</v>
      </c>
      <c r="O434" s="1007">
        <v>15165</v>
      </c>
      <c r="P434" s="1007">
        <v>15165</v>
      </c>
      <c r="Q434" s="1270"/>
      <c r="R434" s="1200">
        <v>357480</v>
      </c>
      <c r="S434" s="1007">
        <v>20276</v>
      </c>
      <c r="T434" s="1306">
        <v>377756</v>
      </c>
    </row>
    <row r="435" spans="1:20" x14ac:dyDescent="0.25">
      <c r="A435" s="1203">
        <v>94401</v>
      </c>
      <c r="B435" s="1204" t="s">
        <v>2582</v>
      </c>
      <c r="C435" s="1303">
        <v>3.5389000000000002E-3</v>
      </c>
      <c r="D435" s="1303">
        <v>3.4440999999999999E-3</v>
      </c>
      <c r="E435" s="1007">
        <v>12645997</v>
      </c>
      <c r="F435" s="1270"/>
      <c r="G435" s="1200">
        <v>1596968</v>
      </c>
      <c r="H435" s="1200">
        <v>1779586</v>
      </c>
      <c r="I435" s="1200">
        <v>941110</v>
      </c>
      <c r="J435" s="1007">
        <v>109634</v>
      </c>
      <c r="K435" s="1007">
        <v>4427298</v>
      </c>
      <c r="L435" s="1270"/>
      <c r="M435" s="1198">
        <v>0</v>
      </c>
      <c r="N435" s="1198">
        <v>0</v>
      </c>
      <c r="O435" s="1007">
        <v>20864</v>
      </c>
      <c r="P435" s="1007">
        <v>20864</v>
      </c>
      <c r="Q435" s="1270"/>
      <c r="R435" s="1200">
        <v>4348866</v>
      </c>
      <c r="S435" s="1007">
        <v>18730</v>
      </c>
      <c r="T435" s="1306">
        <v>4367596</v>
      </c>
    </row>
    <row r="436" spans="1:20" x14ac:dyDescent="0.25">
      <c r="A436" s="1203">
        <v>94402</v>
      </c>
      <c r="B436" s="1204" t="s">
        <v>3064</v>
      </c>
      <c r="C436" s="1303">
        <v>0</v>
      </c>
      <c r="D436" s="1303">
        <v>0</v>
      </c>
      <c r="E436" s="1007">
        <v>0</v>
      </c>
      <c r="F436" s="1270"/>
      <c r="G436" s="1200">
        <v>0</v>
      </c>
      <c r="H436" s="1200">
        <v>0</v>
      </c>
      <c r="I436" s="1200">
        <v>0</v>
      </c>
      <c r="J436" s="1007">
        <v>0</v>
      </c>
      <c r="K436" s="1007">
        <v>0</v>
      </c>
      <c r="L436" s="1270"/>
      <c r="M436" s="1198">
        <v>0</v>
      </c>
      <c r="N436" s="1198">
        <v>0</v>
      </c>
      <c r="O436" s="1007">
        <v>0</v>
      </c>
      <c r="P436" s="1007">
        <v>0</v>
      </c>
      <c r="Q436" s="1270"/>
      <c r="R436" s="1200">
        <v>0</v>
      </c>
      <c r="S436" s="1007">
        <v>0</v>
      </c>
      <c r="T436" s="1306">
        <v>0</v>
      </c>
    </row>
    <row r="437" spans="1:20" x14ac:dyDescent="0.25">
      <c r="A437" s="1202">
        <v>94403</v>
      </c>
      <c r="B437" s="1301" t="s">
        <v>3690</v>
      </c>
      <c r="C437" s="1303">
        <v>3.9199999999999997E-5</v>
      </c>
      <c r="D437" s="1303">
        <v>3.7400000000000001E-5</v>
      </c>
      <c r="E437" s="1007">
        <v>140078</v>
      </c>
      <c r="F437" s="1270"/>
      <c r="G437" s="1200">
        <v>17689</v>
      </c>
      <c r="H437" s="1200">
        <v>19713</v>
      </c>
      <c r="I437" s="1200">
        <v>10425</v>
      </c>
      <c r="J437" s="1007">
        <v>17875</v>
      </c>
      <c r="K437" s="1007">
        <v>65702</v>
      </c>
      <c r="L437" s="1270"/>
      <c r="M437" s="1198">
        <v>0</v>
      </c>
      <c r="N437" s="1198">
        <v>0</v>
      </c>
      <c r="O437" s="1007">
        <v>0</v>
      </c>
      <c r="P437" s="1007">
        <v>0</v>
      </c>
      <c r="Q437" s="1270"/>
      <c r="R437" s="1200">
        <v>48172</v>
      </c>
      <c r="S437" s="1007">
        <v>9051</v>
      </c>
      <c r="T437" s="1306">
        <v>57223</v>
      </c>
    </row>
    <row r="438" spans="1:20" x14ac:dyDescent="0.25">
      <c r="A438" s="1203">
        <v>94408</v>
      </c>
      <c r="B438" s="1204" t="s">
        <v>3065</v>
      </c>
      <c r="C438" s="1303">
        <v>5.4400000000000001E-5</v>
      </c>
      <c r="D438" s="1303">
        <v>6.2000000000000003E-5</v>
      </c>
      <c r="E438" s="1007">
        <v>194394</v>
      </c>
      <c r="F438" s="1270"/>
      <c r="G438" s="1200">
        <v>24549</v>
      </c>
      <c r="H438" s="1200">
        <v>27356</v>
      </c>
      <c r="I438" s="1200">
        <v>14467</v>
      </c>
      <c r="J438" s="1007">
        <v>6738</v>
      </c>
      <c r="K438" s="1007">
        <v>73110</v>
      </c>
      <c r="L438" s="1270"/>
      <c r="M438" s="1198">
        <v>0</v>
      </c>
      <c r="N438" s="1198">
        <v>0</v>
      </c>
      <c r="O438" s="1007">
        <v>13861</v>
      </c>
      <c r="P438" s="1007">
        <v>13861</v>
      </c>
      <c r="Q438" s="1270"/>
      <c r="R438" s="1200">
        <v>66851</v>
      </c>
      <c r="S438" s="1007">
        <v>-772</v>
      </c>
      <c r="T438" s="1306">
        <v>66079</v>
      </c>
    </row>
    <row r="439" spans="1:20" x14ac:dyDescent="0.25">
      <c r="A439" s="1203">
        <v>94411</v>
      </c>
      <c r="B439" s="1204" t="s">
        <v>3066</v>
      </c>
      <c r="C439" s="1303">
        <v>1.1728999999999999E-3</v>
      </c>
      <c r="D439" s="1303">
        <v>1.2472E-3</v>
      </c>
      <c r="E439" s="1007">
        <v>4191271</v>
      </c>
      <c r="F439" s="1270"/>
      <c r="G439" s="1200">
        <v>529284</v>
      </c>
      <c r="H439" s="1200">
        <v>589809</v>
      </c>
      <c r="I439" s="1200">
        <v>311913</v>
      </c>
      <c r="J439" s="1007">
        <v>12772</v>
      </c>
      <c r="K439" s="1007">
        <v>1443778</v>
      </c>
      <c r="L439" s="1270"/>
      <c r="M439" s="1198">
        <v>0</v>
      </c>
      <c r="N439" s="1198">
        <v>0</v>
      </c>
      <c r="O439" s="1007">
        <v>160475</v>
      </c>
      <c r="P439" s="1007">
        <v>160475</v>
      </c>
      <c r="Q439" s="1270"/>
      <c r="R439" s="1200">
        <v>1441347</v>
      </c>
      <c r="S439" s="1007">
        <v>-44356</v>
      </c>
      <c r="T439" s="1306">
        <v>1396991</v>
      </c>
    </row>
    <row r="440" spans="1:20" x14ac:dyDescent="0.25">
      <c r="A440" s="1203">
        <v>94412</v>
      </c>
      <c r="B440" s="1204" t="s">
        <v>3067</v>
      </c>
      <c r="C440" s="1303">
        <v>1.6399999999999999E-5</v>
      </c>
      <c r="D440" s="1303">
        <v>1.7E-5</v>
      </c>
      <c r="E440" s="1007">
        <v>58604</v>
      </c>
      <c r="F440" s="1270"/>
      <c r="G440" s="1200">
        <v>7401</v>
      </c>
      <c r="H440" s="1200">
        <v>8247</v>
      </c>
      <c r="I440" s="1200">
        <v>4361</v>
      </c>
      <c r="J440" s="1007">
        <v>13813</v>
      </c>
      <c r="K440" s="1007">
        <v>33822</v>
      </c>
      <c r="L440" s="1270"/>
      <c r="M440" s="1198">
        <v>0</v>
      </c>
      <c r="N440" s="1198">
        <v>0</v>
      </c>
      <c r="O440" s="1007">
        <v>0</v>
      </c>
      <c r="P440" s="1007">
        <v>0</v>
      </c>
      <c r="Q440" s="1270"/>
      <c r="R440" s="1200">
        <v>20154</v>
      </c>
      <c r="S440" s="1007">
        <v>6879</v>
      </c>
      <c r="T440" s="1306">
        <v>27033</v>
      </c>
    </row>
    <row r="441" spans="1:20" x14ac:dyDescent="0.25">
      <c r="A441" s="1203">
        <v>94421</v>
      </c>
      <c r="B441" s="1204" t="s">
        <v>3068</v>
      </c>
      <c r="C441" s="1303">
        <v>1.172E-4</v>
      </c>
      <c r="D441" s="1303">
        <v>1.4880000000000001E-4</v>
      </c>
      <c r="E441" s="1007">
        <v>418806</v>
      </c>
      <c r="F441" s="1270"/>
      <c r="G441" s="1200">
        <v>52888</v>
      </c>
      <c r="H441" s="1200">
        <v>58936</v>
      </c>
      <c r="I441" s="1200">
        <v>31167</v>
      </c>
      <c r="J441" s="1007">
        <v>469</v>
      </c>
      <c r="K441" s="1007">
        <v>143460</v>
      </c>
      <c r="L441" s="1270"/>
      <c r="M441" s="1198">
        <v>0</v>
      </c>
      <c r="N441" s="1198">
        <v>0</v>
      </c>
      <c r="O441" s="1007">
        <v>24401</v>
      </c>
      <c r="P441" s="1007">
        <v>24401</v>
      </c>
      <c r="Q441" s="1270"/>
      <c r="R441" s="1200">
        <v>144024</v>
      </c>
      <c r="S441" s="1007">
        <v>-8651</v>
      </c>
      <c r="T441" s="1306">
        <v>135373</v>
      </c>
    </row>
    <row r="442" spans="1:20" x14ac:dyDescent="0.25">
      <c r="A442" s="1203">
        <v>94427</v>
      </c>
      <c r="B442" s="1204" t="s">
        <v>3069</v>
      </c>
      <c r="C442" s="1303">
        <v>2.5999999999999998E-5</v>
      </c>
      <c r="D442" s="1303">
        <v>2.7500000000000001E-5</v>
      </c>
      <c r="E442" s="1007">
        <v>92909</v>
      </c>
      <c r="F442" s="1270"/>
      <c r="G442" s="1200">
        <v>11733</v>
      </c>
      <c r="H442" s="1200">
        <v>13074</v>
      </c>
      <c r="I442" s="1200">
        <v>6914</v>
      </c>
      <c r="J442" s="1007">
        <v>12149</v>
      </c>
      <c r="K442" s="1007">
        <v>43870</v>
      </c>
      <c r="L442" s="1270"/>
      <c r="M442" s="1198">
        <v>0</v>
      </c>
      <c r="N442" s="1198">
        <v>0</v>
      </c>
      <c r="O442" s="1007">
        <v>0</v>
      </c>
      <c r="P442" s="1007">
        <v>0</v>
      </c>
      <c r="Q442" s="1270"/>
      <c r="R442" s="1200">
        <v>31951</v>
      </c>
      <c r="S442" s="1007">
        <v>4755</v>
      </c>
      <c r="T442" s="1306">
        <v>36706</v>
      </c>
    </row>
    <row r="443" spans="1:20" x14ac:dyDescent="0.25">
      <c r="A443" s="1203">
        <v>94428</v>
      </c>
      <c r="B443" s="1204" t="s">
        <v>3070</v>
      </c>
      <c r="C443" s="1303">
        <v>7.2299999999999996E-5</v>
      </c>
      <c r="D443" s="1303">
        <v>7.1400000000000001E-5</v>
      </c>
      <c r="E443" s="1007">
        <v>258359</v>
      </c>
      <c r="F443" s="1270"/>
      <c r="G443" s="1200">
        <v>32626</v>
      </c>
      <c r="H443" s="1200">
        <v>36357</v>
      </c>
      <c r="I443" s="1200">
        <v>19227</v>
      </c>
      <c r="J443" s="1007">
        <v>8443</v>
      </c>
      <c r="K443" s="1007">
        <v>96653</v>
      </c>
      <c r="L443" s="1270"/>
      <c r="M443" s="1198">
        <v>0</v>
      </c>
      <c r="N443" s="1198">
        <v>0</v>
      </c>
      <c r="O443" s="1007">
        <v>838</v>
      </c>
      <c r="P443" s="1007">
        <v>838</v>
      </c>
      <c r="Q443" s="1270"/>
      <c r="R443" s="1200">
        <v>88848</v>
      </c>
      <c r="S443" s="1007">
        <v>2669</v>
      </c>
      <c r="T443" s="1306">
        <v>91517</v>
      </c>
    </row>
    <row r="444" spans="1:20" x14ac:dyDescent="0.25">
      <c r="A444" s="1203">
        <v>94431</v>
      </c>
      <c r="B444" s="1204" t="s">
        <v>3071</v>
      </c>
      <c r="C444" s="1303">
        <v>3.8200000000000002E-4</v>
      </c>
      <c r="D444" s="1303">
        <v>4.1829999999999998E-4</v>
      </c>
      <c r="E444" s="1007">
        <v>1365049</v>
      </c>
      <c r="F444" s="1270"/>
      <c r="G444" s="1200">
        <v>172382</v>
      </c>
      <c r="H444" s="1200">
        <v>192094</v>
      </c>
      <c r="I444" s="1200">
        <v>101586</v>
      </c>
      <c r="J444" s="1007">
        <v>142654</v>
      </c>
      <c r="K444" s="1007">
        <v>608716</v>
      </c>
      <c r="L444" s="1270"/>
      <c r="M444" s="1198">
        <v>0</v>
      </c>
      <c r="N444" s="1198">
        <v>0</v>
      </c>
      <c r="O444" s="1007">
        <v>51370</v>
      </c>
      <c r="P444" s="1007">
        <v>51370</v>
      </c>
      <c r="Q444" s="1270"/>
      <c r="R444" s="1200">
        <v>469430</v>
      </c>
      <c r="S444" s="1007">
        <v>74832</v>
      </c>
      <c r="T444" s="1306">
        <v>544262</v>
      </c>
    </row>
    <row r="445" spans="1:20" x14ac:dyDescent="0.25">
      <c r="A445" s="1203">
        <v>94437</v>
      </c>
      <c r="B445" s="1204" t="s">
        <v>3072</v>
      </c>
      <c r="C445" s="1303">
        <v>1.4E-5</v>
      </c>
      <c r="D445" s="1303">
        <v>1.49E-5</v>
      </c>
      <c r="E445" s="1007">
        <v>50028</v>
      </c>
      <c r="F445" s="1270"/>
      <c r="G445" s="1200">
        <v>6318</v>
      </c>
      <c r="H445" s="1200">
        <v>7040</v>
      </c>
      <c r="I445" s="1200">
        <v>3723</v>
      </c>
      <c r="J445" s="1007">
        <v>6756</v>
      </c>
      <c r="K445" s="1007">
        <v>23837</v>
      </c>
      <c r="L445" s="1270"/>
      <c r="M445" s="1198">
        <v>0</v>
      </c>
      <c r="N445" s="1198">
        <v>0</v>
      </c>
      <c r="O445" s="1007">
        <v>0</v>
      </c>
      <c r="P445" s="1007">
        <v>0</v>
      </c>
      <c r="Q445" s="1270"/>
      <c r="R445" s="1200">
        <v>17204</v>
      </c>
      <c r="S445" s="1007">
        <v>4898</v>
      </c>
      <c r="T445" s="1306">
        <v>22102</v>
      </c>
    </row>
    <row r="446" spans="1:20" x14ac:dyDescent="0.25">
      <c r="A446" s="1203">
        <v>94501</v>
      </c>
      <c r="B446" s="1204" t="s">
        <v>3073</v>
      </c>
      <c r="C446" s="1303">
        <v>5.9300000000000004E-3</v>
      </c>
      <c r="D446" s="1303">
        <v>5.9772999999999996E-3</v>
      </c>
      <c r="E446" s="1007">
        <v>21190416</v>
      </c>
      <c r="F446" s="1270"/>
      <c r="G446" s="1200">
        <v>2675978</v>
      </c>
      <c r="H446" s="1200">
        <v>2981983</v>
      </c>
      <c r="I446" s="1200">
        <v>1576983</v>
      </c>
      <c r="J446" s="1007">
        <v>105782</v>
      </c>
      <c r="K446" s="1007">
        <v>7340726</v>
      </c>
      <c r="L446" s="1270"/>
      <c r="M446" s="1198">
        <v>0</v>
      </c>
      <c r="N446" s="1198">
        <v>0</v>
      </c>
      <c r="O446" s="1007">
        <v>10680</v>
      </c>
      <c r="P446" s="1007">
        <v>10680</v>
      </c>
      <c r="Q446" s="1270"/>
      <c r="R446" s="1200">
        <v>7287229</v>
      </c>
      <c r="S446" s="1007">
        <v>43925</v>
      </c>
      <c r="T446" s="1306">
        <v>7331154</v>
      </c>
    </row>
    <row r="447" spans="1:20" x14ac:dyDescent="0.25">
      <c r="A447" s="1203">
        <v>94511</v>
      </c>
      <c r="B447" s="1204" t="s">
        <v>3074</v>
      </c>
      <c r="C447" s="1303">
        <v>2.0052E-3</v>
      </c>
      <c r="D447" s="1303">
        <v>2.0183000000000002E-3</v>
      </c>
      <c r="E447" s="1007">
        <v>7165434</v>
      </c>
      <c r="F447" s="1270"/>
      <c r="G447" s="1200">
        <v>904869</v>
      </c>
      <c r="H447" s="1200">
        <v>1008343</v>
      </c>
      <c r="I447" s="1200">
        <v>533249</v>
      </c>
      <c r="J447" s="1007">
        <v>12516</v>
      </c>
      <c r="K447" s="1007">
        <v>2458977</v>
      </c>
      <c r="L447" s="1270"/>
      <c r="M447" s="1198">
        <v>0</v>
      </c>
      <c r="N447" s="1198">
        <v>0</v>
      </c>
      <c r="O447" s="1007">
        <v>230033</v>
      </c>
      <c r="P447" s="1007">
        <v>230033</v>
      </c>
      <c r="Q447" s="1270"/>
      <c r="R447" s="1200">
        <v>2464140</v>
      </c>
      <c r="S447" s="1007">
        <v>-78460</v>
      </c>
      <c r="T447" s="1306">
        <v>2385680</v>
      </c>
    </row>
    <row r="448" spans="1:20" x14ac:dyDescent="0.25">
      <c r="A448" s="1203">
        <v>94512</v>
      </c>
      <c r="B448" s="1204" t="s">
        <v>3075</v>
      </c>
      <c r="C448" s="1303">
        <v>0</v>
      </c>
      <c r="D448" s="1303">
        <v>0</v>
      </c>
      <c r="E448" s="1007">
        <v>0</v>
      </c>
      <c r="F448" s="1270"/>
      <c r="G448" s="1200">
        <v>0</v>
      </c>
      <c r="H448" s="1200">
        <v>0</v>
      </c>
      <c r="I448" s="1200">
        <v>0</v>
      </c>
      <c r="J448" s="1007">
        <v>0</v>
      </c>
      <c r="K448" s="1007">
        <v>0</v>
      </c>
      <c r="L448" s="1270"/>
      <c r="M448" s="1198">
        <v>0</v>
      </c>
      <c r="N448" s="1198">
        <v>0</v>
      </c>
      <c r="O448" s="1007">
        <v>0</v>
      </c>
      <c r="P448" s="1007">
        <v>0</v>
      </c>
      <c r="Q448" s="1270"/>
      <c r="R448" s="1200">
        <v>0</v>
      </c>
      <c r="S448" s="1007">
        <v>0</v>
      </c>
      <c r="T448" s="1306">
        <v>0</v>
      </c>
    </row>
    <row r="449" spans="1:20" x14ac:dyDescent="0.25">
      <c r="A449" s="1203">
        <v>94517</v>
      </c>
      <c r="B449" s="1204" t="s">
        <v>3076</v>
      </c>
      <c r="C449" s="1303">
        <v>5.8100000000000003E-5</v>
      </c>
      <c r="D449" s="1303">
        <v>5.4799999999999997E-5</v>
      </c>
      <c r="E449" s="1007">
        <v>207616</v>
      </c>
      <c r="F449" s="1270"/>
      <c r="G449" s="1200">
        <v>26218</v>
      </c>
      <c r="H449" s="1200">
        <v>29217</v>
      </c>
      <c r="I449" s="1200">
        <v>15451</v>
      </c>
      <c r="J449" s="1007">
        <v>33550</v>
      </c>
      <c r="K449" s="1007">
        <v>104436</v>
      </c>
      <c r="L449" s="1270"/>
      <c r="M449" s="1198">
        <v>0</v>
      </c>
      <c r="N449" s="1198">
        <v>0</v>
      </c>
      <c r="O449" s="1007">
        <v>0</v>
      </c>
      <c r="P449" s="1007">
        <v>0</v>
      </c>
      <c r="Q449" s="1270"/>
      <c r="R449" s="1200">
        <v>71398</v>
      </c>
      <c r="S449" s="1007">
        <v>13990</v>
      </c>
      <c r="T449" s="1306">
        <v>85388</v>
      </c>
    </row>
    <row r="450" spans="1:20" x14ac:dyDescent="0.25">
      <c r="A450" s="1203">
        <v>94521</v>
      </c>
      <c r="B450" s="1204" t="s">
        <v>3077</v>
      </c>
      <c r="C450" s="1303">
        <v>1.484E-4</v>
      </c>
      <c r="D450" s="1303">
        <v>1.4990000000000001E-4</v>
      </c>
      <c r="E450" s="1007">
        <v>530296</v>
      </c>
      <c r="F450" s="1270"/>
      <c r="G450" s="1200">
        <v>66967</v>
      </c>
      <c r="H450" s="1200">
        <v>74625</v>
      </c>
      <c r="I450" s="1200">
        <v>39464</v>
      </c>
      <c r="J450" s="1007">
        <v>2957</v>
      </c>
      <c r="K450" s="1007">
        <v>184013</v>
      </c>
      <c r="L450" s="1270"/>
      <c r="M450" s="1198">
        <v>0</v>
      </c>
      <c r="N450" s="1198">
        <v>0</v>
      </c>
      <c r="O450" s="1007">
        <v>27533</v>
      </c>
      <c r="P450" s="1007">
        <v>27533</v>
      </c>
      <c r="Q450" s="1270"/>
      <c r="R450" s="1200">
        <v>182365</v>
      </c>
      <c r="S450" s="1007">
        <v>-10831</v>
      </c>
      <c r="T450" s="1306">
        <v>171534</v>
      </c>
    </row>
    <row r="451" spans="1:20" x14ac:dyDescent="0.25">
      <c r="A451" s="1203">
        <v>94527</v>
      </c>
      <c r="B451" s="1204" t="s">
        <v>3078</v>
      </c>
      <c r="C451" s="1303">
        <v>6.9E-6</v>
      </c>
      <c r="D451" s="1303">
        <v>6.8000000000000001E-6</v>
      </c>
      <c r="E451" s="1007">
        <v>24657</v>
      </c>
      <c r="F451" s="1270"/>
      <c r="G451" s="1200">
        <v>3114</v>
      </c>
      <c r="H451" s="1200">
        <v>3470</v>
      </c>
      <c r="I451" s="1200">
        <v>1835</v>
      </c>
      <c r="J451" s="1007">
        <v>572</v>
      </c>
      <c r="K451" s="1007">
        <v>8991</v>
      </c>
      <c r="L451" s="1270"/>
      <c r="M451" s="1198">
        <v>0</v>
      </c>
      <c r="N451" s="1198">
        <v>0</v>
      </c>
      <c r="O451" s="1007">
        <v>187</v>
      </c>
      <c r="P451" s="1007">
        <v>187</v>
      </c>
      <c r="Q451" s="1270"/>
      <c r="R451" s="1200">
        <v>8479</v>
      </c>
      <c r="S451" s="1007">
        <v>-721</v>
      </c>
      <c r="T451" s="1306">
        <v>7758</v>
      </c>
    </row>
    <row r="452" spans="1:20" x14ac:dyDescent="0.25">
      <c r="A452" s="1203">
        <v>94531</v>
      </c>
      <c r="B452" s="1204" t="s">
        <v>3079</v>
      </c>
      <c r="C452" s="1303">
        <v>2.0999999999999999E-5</v>
      </c>
      <c r="D452" s="1303">
        <v>2.3099999999999999E-5</v>
      </c>
      <c r="E452" s="1007">
        <v>75042</v>
      </c>
      <c r="F452" s="1270"/>
      <c r="G452" s="1200">
        <v>9476</v>
      </c>
      <c r="H452" s="1200">
        <v>10560</v>
      </c>
      <c r="I452" s="1200">
        <v>5585</v>
      </c>
      <c r="J452" s="1007">
        <v>12440</v>
      </c>
      <c r="K452" s="1007">
        <v>38061</v>
      </c>
      <c r="L452" s="1270"/>
      <c r="M452" s="1198">
        <v>0</v>
      </c>
      <c r="N452" s="1198">
        <v>0</v>
      </c>
      <c r="O452" s="1007">
        <v>0</v>
      </c>
      <c r="P452" s="1007">
        <v>0</v>
      </c>
      <c r="Q452" s="1270"/>
      <c r="R452" s="1200">
        <v>25806</v>
      </c>
      <c r="S452" s="1007">
        <v>5530</v>
      </c>
      <c r="T452" s="1306">
        <v>31336</v>
      </c>
    </row>
    <row r="453" spans="1:20" x14ac:dyDescent="0.25">
      <c r="A453" s="1203">
        <v>94532</v>
      </c>
      <c r="B453" s="1204" t="s">
        <v>3080</v>
      </c>
      <c r="C453" s="1303">
        <v>1.339E-4</v>
      </c>
      <c r="D453" s="1303">
        <v>1.0060000000000001E-4</v>
      </c>
      <c r="E453" s="1007">
        <v>478482</v>
      </c>
      <c r="F453" s="1270"/>
      <c r="G453" s="1200">
        <v>60424</v>
      </c>
      <c r="H453" s="1200">
        <v>67334</v>
      </c>
      <c r="I453" s="1200">
        <v>35608</v>
      </c>
      <c r="J453" s="1007">
        <v>42431</v>
      </c>
      <c r="K453" s="1007">
        <v>205797</v>
      </c>
      <c r="L453" s="1270"/>
      <c r="M453" s="1198">
        <v>0</v>
      </c>
      <c r="N453" s="1198">
        <v>0</v>
      </c>
      <c r="O453" s="1007">
        <v>114</v>
      </c>
      <c r="P453" s="1007">
        <v>114</v>
      </c>
      <c r="Q453" s="1270"/>
      <c r="R453" s="1200">
        <v>164546</v>
      </c>
      <c r="S453" s="1007">
        <v>12790</v>
      </c>
      <c r="T453" s="1306">
        <v>177336</v>
      </c>
    </row>
    <row r="454" spans="1:20" x14ac:dyDescent="0.25">
      <c r="A454" s="1203">
        <v>94541</v>
      </c>
      <c r="B454" s="1204" t="s">
        <v>3081</v>
      </c>
      <c r="C454" s="1303">
        <v>2.7849999999999999E-4</v>
      </c>
      <c r="D454" s="1303">
        <v>2.7750000000000002E-4</v>
      </c>
      <c r="E454" s="1007">
        <v>995199</v>
      </c>
      <c r="F454" s="1270"/>
      <c r="G454" s="1200">
        <v>125676</v>
      </c>
      <c r="H454" s="1200">
        <v>140048</v>
      </c>
      <c r="I454" s="1200">
        <v>74062</v>
      </c>
      <c r="J454" s="1007">
        <v>1920</v>
      </c>
      <c r="K454" s="1007">
        <v>341706</v>
      </c>
      <c r="L454" s="1270"/>
      <c r="M454" s="1198">
        <v>0</v>
      </c>
      <c r="N454" s="1198">
        <v>0</v>
      </c>
      <c r="O454" s="1007">
        <v>17432</v>
      </c>
      <c r="P454" s="1007">
        <v>17432</v>
      </c>
      <c r="Q454" s="1270"/>
      <c r="R454" s="1200">
        <v>342242</v>
      </c>
      <c r="S454" s="1007">
        <v>-10158</v>
      </c>
      <c r="T454" s="1306">
        <v>332084</v>
      </c>
    </row>
    <row r="455" spans="1:20" x14ac:dyDescent="0.25">
      <c r="A455" s="1203">
        <v>94547</v>
      </c>
      <c r="B455" s="1204" t="s">
        <v>3082</v>
      </c>
      <c r="C455" s="1303">
        <v>1.2500000000000001E-5</v>
      </c>
      <c r="D455" s="1303">
        <v>1.1E-5</v>
      </c>
      <c r="E455" s="1007">
        <v>44668</v>
      </c>
      <c r="F455" s="1270"/>
      <c r="G455" s="1200">
        <v>5641</v>
      </c>
      <c r="H455" s="1200">
        <v>6286</v>
      </c>
      <c r="I455" s="1200">
        <v>3324</v>
      </c>
      <c r="J455" s="1007">
        <v>12168</v>
      </c>
      <c r="K455" s="1007">
        <v>27419</v>
      </c>
      <c r="L455" s="1270"/>
      <c r="M455" s="1198">
        <v>0</v>
      </c>
      <c r="N455" s="1198">
        <v>0</v>
      </c>
      <c r="O455" s="1007">
        <v>0</v>
      </c>
      <c r="P455" s="1007">
        <v>0</v>
      </c>
      <c r="Q455" s="1270"/>
      <c r="R455" s="1200">
        <v>15361</v>
      </c>
      <c r="S455" s="1007">
        <v>4789</v>
      </c>
      <c r="T455" s="1306">
        <v>20150</v>
      </c>
    </row>
    <row r="456" spans="1:20" x14ac:dyDescent="0.25">
      <c r="A456" s="1203">
        <v>94551</v>
      </c>
      <c r="B456" s="1204" t="s">
        <v>3083</v>
      </c>
      <c r="C456" s="1303">
        <v>5.8199999999999998E-5</v>
      </c>
      <c r="D456" s="1303">
        <v>5.3000000000000001E-5</v>
      </c>
      <c r="E456" s="1007">
        <v>207973</v>
      </c>
      <c r="F456" s="1270"/>
      <c r="G456" s="1200">
        <v>26263</v>
      </c>
      <c r="H456" s="1200">
        <v>29267</v>
      </c>
      <c r="I456" s="1200">
        <v>15477</v>
      </c>
      <c r="J456" s="1007">
        <v>12664</v>
      </c>
      <c r="K456" s="1007">
        <v>83671</v>
      </c>
      <c r="L456" s="1270"/>
      <c r="M456" s="1198">
        <v>0</v>
      </c>
      <c r="N456" s="1198">
        <v>0</v>
      </c>
      <c r="O456" s="1007">
        <v>0</v>
      </c>
      <c r="P456" s="1007">
        <v>0</v>
      </c>
      <c r="Q456" s="1270"/>
      <c r="R456" s="1200">
        <v>71521</v>
      </c>
      <c r="S456" s="1007">
        <v>7496</v>
      </c>
      <c r="T456" s="1306">
        <v>79017</v>
      </c>
    </row>
    <row r="457" spans="1:20" x14ac:dyDescent="0.25">
      <c r="A457" s="1203">
        <v>94601</v>
      </c>
      <c r="B457" s="1204" t="s">
        <v>3084</v>
      </c>
      <c r="C457" s="1303">
        <v>9.234E-4</v>
      </c>
      <c r="D457" s="1303">
        <v>9.1859999999999999E-4</v>
      </c>
      <c r="E457" s="1007">
        <v>3299702</v>
      </c>
      <c r="F457" s="1270"/>
      <c r="G457" s="1200">
        <v>416694</v>
      </c>
      <c r="H457" s="1200">
        <v>464345</v>
      </c>
      <c r="I457" s="1200">
        <v>245563</v>
      </c>
      <c r="J457" s="1007">
        <v>55546</v>
      </c>
      <c r="K457" s="1007">
        <v>1182148</v>
      </c>
      <c r="L457" s="1270"/>
      <c r="M457" s="1198">
        <v>0</v>
      </c>
      <c r="N457" s="1198">
        <v>0</v>
      </c>
      <c r="O457" s="1007">
        <v>77980</v>
      </c>
      <c r="P457" s="1007">
        <v>77980</v>
      </c>
      <c r="Q457" s="1270"/>
      <c r="R457" s="1200">
        <v>1134743</v>
      </c>
      <c r="S457" s="1007">
        <v>10032</v>
      </c>
      <c r="T457" s="1306">
        <v>1144775</v>
      </c>
    </row>
    <row r="458" spans="1:20" x14ac:dyDescent="0.25">
      <c r="A458" s="1203">
        <v>94604</v>
      </c>
      <c r="B458" s="1204" t="s">
        <v>3085</v>
      </c>
      <c r="C458" s="1303">
        <v>2.0299999999999999E-5</v>
      </c>
      <c r="D458" s="1303">
        <v>2.6100000000000001E-5</v>
      </c>
      <c r="E458" s="1007">
        <v>72541</v>
      </c>
      <c r="F458" s="1270"/>
      <c r="G458" s="1200">
        <v>9161</v>
      </c>
      <c r="H458" s="1200">
        <v>10208</v>
      </c>
      <c r="I458" s="1200">
        <v>5398</v>
      </c>
      <c r="J458" s="1007">
        <v>1351</v>
      </c>
      <c r="K458" s="1007">
        <v>26118</v>
      </c>
      <c r="L458" s="1270"/>
      <c r="M458" s="1198">
        <v>0</v>
      </c>
      <c r="N458" s="1198">
        <v>0</v>
      </c>
      <c r="O458" s="1007">
        <v>2758</v>
      </c>
      <c r="P458" s="1007">
        <v>2758</v>
      </c>
      <c r="Q458" s="1270"/>
      <c r="R458" s="1200">
        <v>24946</v>
      </c>
      <c r="S458" s="1007">
        <v>154</v>
      </c>
      <c r="T458" s="1306">
        <v>25100</v>
      </c>
    </row>
    <row r="459" spans="1:20" x14ac:dyDescent="0.25">
      <c r="A459" s="1203">
        <v>94606</v>
      </c>
      <c r="B459" s="1204" t="s">
        <v>3086</v>
      </c>
      <c r="C459" s="1303">
        <v>0</v>
      </c>
      <c r="D459" s="1303">
        <v>0</v>
      </c>
      <c r="E459" s="1007">
        <v>0</v>
      </c>
      <c r="F459" s="1270"/>
      <c r="G459" s="1200">
        <v>0</v>
      </c>
      <c r="H459" s="1200">
        <v>0</v>
      </c>
      <c r="I459" s="1200">
        <v>0</v>
      </c>
      <c r="J459" s="1007">
        <v>0</v>
      </c>
      <c r="K459" s="1007">
        <v>0</v>
      </c>
      <c r="L459" s="1270"/>
      <c r="M459" s="1198">
        <v>0</v>
      </c>
      <c r="N459" s="1198">
        <v>0</v>
      </c>
      <c r="O459" s="1007">
        <v>138705</v>
      </c>
      <c r="P459" s="1007">
        <v>138705</v>
      </c>
      <c r="Q459" s="1270"/>
      <c r="R459" s="1200">
        <v>0</v>
      </c>
      <c r="S459" s="1007">
        <v>-55480</v>
      </c>
      <c r="T459" s="1306">
        <v>-55480</v>
      </c>
    </row>
    <row r="460" spans="1:20" x14ac:dyDescent="0.25">
      <c r="A460" s="1203">
        <v>94611</v>
      </c>
      <c r="B460" s="1204" t="s">
        <v>3087</v>
      </c>
      <c r="C460" s="1303">
        <v>3.0679999999999998E-4</v>
      </c>
      <c r="D460" s="1303">
        <v>3.4459999999999997E-4</v>
      </c>
      <c r="E460" s="1007">
        <v>1096327</v>
      </c>
      <c r="F460" s="1270"/>
      <c r="G460" s="1200">
        <v>138447</v>
      </c>
      <c r="H460" s="1200">
        <v>154279</v>
      </c>
      <c r="I460" s="1200">
        <v>81588</v>
      </c>
      <c r="J460" s="1007">
        <v>0</v>
      </c>
      <c r="K460" s="1007">
        <v>374314</v>
      </c>
      <c r="L460" s="1270"/>
      <c r="M460" s="1198">
        <v>0</v>
      </c>
      <c r="N460" s="1198">
        <v>0</v>
      </c>
      <c r="O460" s="1007">
        <v>44309</v>
      </c>
      <c r="P460" s="1007">
        <v>44309</v>
      </c>
      <c r="Q460" s="1270"/>
      <c r="R460" s="1200">
        <v>377019</v>
      </c>
      <c r="S460" s="1007">
        <v>-20246</v>
      </c>
      <c r="T460" s="1306">
        <v>356773</v>
      </c>
    </row>
    <row r="461" spans="1:20" x14ac:dyDescent="0.25">
      <c r="A461" s="1203">
        <v>94621</v>
      </c>
      <c r="B461" s="1204" t="s">
        <v>3088</v>
      </c>
      <c r="C461" s="1303">
        <v>1.104E-4</v>
      </c>
      <c r="D461" s="1303">
        <v>1.3320000000000001E-4</v>
      </c>
      <c r="E461" s="1007">
        <v>394506</v>
      </c>
      <c r="F461" s="1270"/>
      <c r="G461" s="1200">
        <v>49819</v>
      </c>
      <c r="H461" s="1200">
        <v>55516</v>
      </c>
      <c r="I461" s="1200">
        <v>29359</v>
      </c>
      <c r="J461" s="1007">
        <v>29423</v>
      </c>
      <c r="K461" s="1007">
        <v>164117</v>
      </c>
      <c r="L461" s="1270"/>
      <c r="M461" s="1198">
        <v>0</v>
      </c>
      <c r="N461" s="1198">
        <v>0</v>
      </c>
      <c r="O461" s="1007">
        <v>26693</v>
      </c>
      <c r="P461" s="1007">
        <v>26693</v>
      </c>
      <c r="Q461" s="1270"/>
      <c r="R461" s="1200">
        <v>135668</v>
      </c>
      <c r="S461" s="1007">
        <v>1035</v>
      </c>
      <c r="T461" s="1306">
        <v>136703</v>
      </c>
    </row>
    <row r="462" spans="1:20" x14ac:dyDescent="0.25">
      <c r="A462" s="1203">
        <v>94631</v>
      </c>
      <c r="B462" s="1204" t="s">
        <v>3089</v>
      </c>
      <c r="C462" s="1303">
        <v>4.2899999999999999E-5</v>
      </c>
      <c r="D462" s="1303">
        <v>4.2599999999999999E-5</v>
      </c>
      <c r="E462" s="1007">
        <v>153300</v>
      </c>
      <c r="F462" s="1270"/>
      <c r="G462" s="1200">
        <v>19359</v>
      </c>
      <c r="H462" s="1200">
        <v>21573</v>
      </c>
      <c r="I462" s="1200">
        <v>11409</v>
      </c>
      <c r="J462" s="1007">
        <v>2273</v>
      </c>
      <c r="K462" s="1007">
        <v>54614</v>
      </c>
      <c r="L462" s="1270"/>
      <c r="M462" s="1198">
        <v>0</v>
      </c>
      <c r="N462" s="1198">
        <v>0</v>
      </c>
      <c r="O462" s="1007">
        <v>1575</v>
      </c>
      <c r="P462" s="1007">
        <v>1575</v>
      </c>
      <c r="Q462" s="1270"/>
      <c r="R462" s="1200">
        <v>52719</v>
      </c>
      <c r="S462" s="1007">
        <v>1564</v>
      </c>
      <c r="T462" s="1306">
        <v>54283</v>
      </c>
    </row>
    <row r="463" spans="1:20" x14ac:dyDescent="0.25">
      <c r="A463" s="1203">
        <v>94641</v>
      </c>
      <c r="B463" s="1204" t="s">
        <v>3090</v>
      </c>
      <c r="C463" s="1303">
        <v>1.4399999999999999E-5</v>
      </c>
      <c r="D463" s="1303">
        <v>1.04E-5</v>
      </c>
      <c r="E463" s="1007">
        <v>51457</v>
      </c>
      <c r="F463" s="1270"/>
      <c r="G463" s="1200">
        <v>6498</v>
      </c>
      <c r="H463" s="1200">
        <v>7241</v>
      </c>
      <c r="I463" s="1200">
        <v>3829</v>
      </c>
      <c r="J463" s="1007">
        <v>13750</v>
      </c>
      <c r="K463" s="1007">
        <v>31318</v>
      </c>
      <c r="L463" s="1270"/>
      <c r="M463" s="1198">
        <v>0</v>
      </c>
      <c r="N463" s="1198">
        <v>0</v>
      </c>
      <c r="O463" s="1007">
        <v>0</v>
      </c>
      <c r="P463" s="1007">
        <v>0</v>
      </c>
      <c r="Q463" s="1270"/>
      <c r="R463" s="1200">
        <v>17696</v>
      </c>
      <c r="S463" s="1007">
        <v>5565</v>
      </c>
      <c r="T463" s="1306">
        <v>23261</v>
      </c>
    </row>
    <row r="464" spans="1:20" x14ac:dyDescent="0.25">
      <c r="A464" s="1203">
        <v>94701</v>
      </c>
      <c r="B464" s="1204" t="s">
        <v>3091</v>
      </c>
      <c r="C464" s="1303">
        <v>2.4697999999999999E-3</v>
      </c>
      <c r="D464" s="1303">
        <v>2.4202999999999998E-3</v>
      </c>
      <c r="E464" s="1007">
        <v>8825648</v>
      </c>
      <c r="F464" s="1270"/>
      <c r="G464" s="1200">
        <v>1114524</v>
      </c>
      <c r="H464" s="1200">
        <v>1241973</v>
      </c>
      <c r="I464" s="1200">
        <v>656801</v>
      </c>
      <c r="J464" s="1007">
        <v>136213</v>
      </c>
      <c r="K464" s="1007">
        <v>3149511</v>
      </c>
      <c r="L464" s="1270"/>
      <c r="M464" s="1198">
        <v>0</v>
      </c>
      <c r="N464" s="1198">
        <v>0</v>
      </c>
      <c r="O464" s="1007">
        <v>66334</v>
      </c>
      <c r="P464" s="1007">
        <v>66334</v>
      </c>
      <c r="Q464" s="1270"/>
      <c r="R464" s="1200">
        <v>3035075</v>
      </c>
      <c r="S464" s="1007">
        <v>-13800</v>
      </c>
      <c r="T464" s="1306">
        <v>3021275</v>
      </c>
    </row>
    <row r="465" spans="1:20" x14ac:dyDescent="0.25">
      <c r="A465" s="1203">
        <v>94704</v>
      </c>
      <c r="B465" s="1204" t="s">
        <v>3092</v>
      </c>
      <c r="C465" s="1303">
        <v>1.5500000000000001E-5</v>
      </c>
      <c r="D465" s="1303">
        <v>1.5299999999999999E-5</v>
      </c>
      <c r="E465" s="1007">
        <v>55388</v>
      </c>
      <c r="F465" s="1270"/>
      <c r="G465" s="1200">
        <v>6995</v>
      </c>
      <c r="H465" s="1200">
        <v>7794</v>
      </c>
      <c r="I465" s="1200">
        <v>4122</v>
      </c>
      <c r="J465" s="1007">
        <v>4513</v>
      </c>
      <c r="K465" s="1007">
        <v>23424</v>
      </c>
      <c r="L465" s="1270"/>
      <c r="M465" s="1198">
        <v>0</v>
      </c>
      <c r="N465" s="1198">
        <v>0</v>
      </c>
      <c r="O465" s="1007">
        <v>40</v>
      </c>
      <c r="P465" s="1007">
        <v>40</v>
      </c>
      <c r="Q465" s="1270"/>
      <c r="R465" s="1200">
        <v>19048</v>
      </c>
      <c r="S465" s="1007">
        <v>1876</v>
      </c>
      <c r="T465" s="1306">
        <v>20924</v>
      </c>
    </row>
    <row r="466" spans="1:20" x14ac:dyDescent="0.25">
      <c r="A466" s="1203">
        <v>94711</v>
      </c>
      <c r="B466" s="1204" t="s">
        <v>3093</v>
      </c>
      <c r="C466" s="1303">
        <v>3.1080000000000002E-4</v>
      </c>
      <c r="D466" s="1303">
        <v>3.3819999999999998E-4</v>
      </c>
      <c r="E466" s="1007">
        <v>1110621</v>
      </c>
      <c r="F466" s="1270"/>
      <c r="G466" s="1200">
        <v>140252</v>
      </c>
      <c r="H466" s="1200">
        <v>156290</v>
      </c>
      <c r="I466" s="1200">
        <v>82652</v>
      </c>
      <c r="J466" s="1007">
        <v>8044</v>
      </c>
      <c r="K466" s="1007">
        <v>387238</v>
      </c>
      <c r="L466" s="1270"/>
      <c r="M466" s="1198">
        <v>0</v>
      </c>
      <c r="N466" s="1198">
        <v>0</v>
      </c>
      <c r="O466" s="1007">
        <v>19076</v>
      </c>
      <c r="P466" s="1007">
        <v>19076</v>
      </c>
      <c r="Q466" s="1270"/>
      <c r="R466" s="1200">
        <v>381934</v>
      </c>
      <c r="S466" s="1007">
        <v>-4542</v>
      </c>
      <c r="T466" s="1306">
        <v>377392</v>
      </c>
    </row>
    <row r="467" spans="1:20" x14ac:dyDescent="0.25">
      <c r="A467" s="1203">
        <v>94801</v>
      </c>
      <c r="B467" s="1204" t="s">
        <v>3094</v>
      </c>
      <c r="C467" s="1303">
        <v>6.8409999999999999E-4</v>
      </c>
      <c r="D467" s="1303">
        <v>6.8429999999999999E-4</v>
      </c>
      <c r="E467" s="1007">
        <v>2444581</v>
      </c>
      <c r="F467" s="1270"/>
      <c r="G467" s="1200">
        <v>308708</v>
      </c>
      <c r="H467" s="1200">
        <v>344009</v>
      </c>
      <c r="I467" s="1200">
        <v>181925</v>
      </c>
      <c r="J467" s="1007">
        <v>23075</v>
      </c>
      <c r="K467" s="1007">
        <v>857717</v>
      </c>
      <c r="L467" s="1270"/>
      <c r="M467" s="1198">
        <v>0</v>
      </c>
      <c r="N467" s="1198">
        <v>0</v>
      </c>
      <c r="O467" s="1007">
        <v>16032</v>
      </c>
      <c r="P467" s="1007">
        <v>16032</v>
      </c>
      <c r="Q467" s="1270"/>
      <c r="R467" s="1200">
        <v>840673</v>
      </c>
      <c r="S467" s="1007">
        <v>165</v>
      </c>
      <c r="T467" s="1306">
        <v>840838</v>
      </c>
    </row>
    <row r="468" spans="1:20" x14ac:dyDescent="0.25">
      <c r="A468" s="1203">
        <v>94804</v>
      </c>
      <c r="B468" s="1204" t="s">
        <v>3095</v>
      </c>
      <c r="C468" s="1303">
        <v>3.4000000000000001E-6</v>
      </c>
      <c r="D468" s="1303">
        <v>2.7999999999999999E-6</v>
      </c>
      <c r="E468" s="1007">
        <v>12150</v>
      </c>
      <c r="F468" s="1270"/>
      <c r="G468" s="1200">
        <v>1534</v>
      </c>
      <c r="H468" s="1200">
        <v>1710</v>
      </c>
      <c r="I468" s="1200">
        <v>904</v>
      </c>
      <c r="J468" s="1007">
        <v>3096</v>
      </c>
      <c r="K468" s="1007">
        <v>7244</v>
      </c>
      <c r="L468" s="1270"/>
      <c r="M468" s="1198">
        <v>0</v>
      </c>
      <c r="N468" s="1198">
        <v>0</v>
      </c>
      <c r="O468" s="1007">
        <v>0</v>
      </c>
      <c r="P468" s="1007">
        <v>0</v>
      </c>
      <c r="Q468" s="1270"/>
      <c r="R468" s="1200">
        <v>4178</v>
      </c>
      <c r="S468" s="1007">
        <v>1144</v>
      </c>
      <c r="T468" s="1306">
        <v>5322</v>
      </c>
    </row>
    <row r="469" spans="1:20" x14ac:dyDescent="0.25">
      <c r="A469" s="1203">
        <v>94812</v>
      </c>
      <c r="B469" s="1204" t="s">
        <v>3096</v>
      </c>
      <c r="C469" s="1303">
        <v>2.8399999999999999E-5</v>
      </c>
      <c r="D469" s="1303">
        <v>3.0000000000000001E-5</v>
      </c>
      <c r="E469" s="1007">
        <v>101485</v>
      </c>
      <c r="F469" s="1270"/>
      <c r="G469" s="1200">
        <v>12816</v>
      </c>
      <c r="H469" s="1200">
        <v>14281</v>
      </c>
      <c r="I469" s="1200">
        <v>7552</v>
      </c>
      <c r="J469" s="1007">
        <v>8748</v>
      </c>
      <c r="K469" s="1007">
        <v>43397</v>
      </c>
      <c r="L469" s="1270"/>
      <c r="M469" s="1198">
        <v>0</v>
      </c>
      <c r="N469" s="1198">
        <v>0</v>
      </c>
      <c r="O469" s="1007">
        <v>0</v>
      </c>
      <c r="P469" s="1007">
        <v>0</v>
      </c>
      <c r="Q469" s="1270"/>
      <c r="R469" s="1200">
        <v>34900</v>
      </c>
      <c r="S469" s="1007">
        <v>5068</v>
      </c>
      <c r="T469" s="1306">
        <v>39968</v>
      </c>
    </row>
    <row r="470" spans="1:20" x14ac:dyDescent="0.25">
      <c r="A470" s="1203">
        <v>94901</v>
      </c>
      <c r="B470" s="1204" t="s">
        <v>3097</v>
      </c>
      <c r="C470" s="1303">
        <v>7.2741999999999998E-3</v>
      </c>
      <c r="D470" s="1303">
        <v>7.2372000000000001E-3</v>
      </c>
      <c r="E470" s="1007">
        <v>25993815</v>
      </c>
      <c r="F470" s="1270"/>
      <c r="G470" s="1200">
        <v>3282563</v>
      </c>
      <c r="H470" s="1200">
        <v>3657933</v>
      </c>
      <c r="I470" s="1200">
        <v>1934450</v>
      </c>
      <c r="J470" s="1007">
        <v>262914</v>
      </c>
      <c r="K470" s="1007">
        <v>9137860</v>
      </c>
      <c r="L470" s="1270"/>
      <c r="M470" s="1198">
        <v>0</v>
      </c>
      <c r="N470" s="1198">
        <v>0</v>
      </c>
      <c r="O470" s="1007">
        <v>19106</v>
      </c>
      <c r="P470" s="1007">
        <v>19106</v>
      </c>
      <c r="Q470" s="1270"/>
      <c r="R470" s="1200">
        <v>8939083</v>
      </c>
      <c r="S470" s="1007">
        <v>89158</v>
      </c>
      <c r="T470" s="1306">
        <v>9028241</v>
      </c>
    </row>
    <row r="471" spans="1:20" x14ac:dyDescent="0.25">
      <c r="A471" s="1203">
        <v>94908</v>
      </c>
      <c r="B471" s="1204" t="s">
        <v>3098</v>
      </c>
      <c r="C471" s="1303">
        <v>6.5400000000000004E-5</v>
      </c>
      <c r="D471" s="1303">
        <v>5.9000000000000003E-6</v>
      </c>
      <c r="E471" s="1007">
        <v>233702</v>
      </c>
      <c r="F471" s="1270"/>
      <c r="G471" s="1200">
        <v>29512</v>
      </c>
      <c r="H471" s="1200">
        <v>32887</v>
      </c>
      <c r="I471" s="1200">
        <v>17392</v>
      </c>
      <c r="J471" s="1007">
        <v>82898</v>
      </c>
      <c r="K471" s="1007">
        <v>162689</v>
      </c>
      <c r="L471" s="1270"/>
      <c r="M471" s="1198">
        <v>0</v>
      </c>
      <c r="N471" s="1198">
        <v>0</v>
      </c>
      <c r="O471" s="1007">
        <v>4717</v>
      </c>
      <c r="P471" s="1007">
        <v>4717</v>
      </c>
      <c r="Q471" s="1270"/>
      <c r="R471" s="1200">
        <v>80368</v>
      </c>
      <c r="S471" s="1007">
        <v>22657</v>
      </c>
      <c r="T471" s="1306">
        <v>103025</v>
      </c>
    </row>
    <row r="472" spans="1:20" x14ac:dyDescent="0.25">
      <c r="A472" s="1203">
        <v>94911</v>
      </c>
      <c r="B472" s="1204" t="s">
        <v>3099</v>
      </c>
      <c r="C472" s="1303">
        <v>2.9137999999999998E-3</v>
      </c>
      <c r="D472" s="1303">
        <v>2.8782E-3</v>
      </c>
      <c r="E472" s="1007">
        <v>10412249</v>
      </c>
      <c r="F472" s="1270"/>
      <c r="G472" s="1200">
        <v>1314884</v>
      </c>
      <c r="H472" s="1200">
        <v>1465245</v>
      </c>
      <c r="I472" s="1200">
        <v>774876</v>
      </c>
      <c r="J472" s="1007">
        <v>116602</v>
      </c>
      <c r="K472" s="1007">
        <v>3671607</v>
      </c>
      <c r="L472" s="1270"/>
      <c r="M472" s="1198">
        <v>0</v>
      </c>
      <c r="N472" s="1198">
        <v>0</v>
      </c>
      <c r="O472" s="1007">
        <v>64798</v>
      </c>
      <c r="P472" s="1007">
        <v>64798</v>
      </c>
      <c r="Q472" s="1270"/>
      <c r="R472" s="1200">
        <v>3580696</v>
      </c>
      <c r="S472" s="1007">
        <v>20799</v>
      </c>
      <c r="T472" s="1306">
        <v>3601495</v>
      </c>
    </row>
    <row r="473" spans="1:20" x14ac:dyDescent="0.25">
      <c r="A473" s="1203">
        <v>94917</v>
      </c>
      <c r="B473" s="1204" t="s">
        <v>3100</v>
      </c>
      <c r="C473" s="1303">
        <v>3.1099999999999997E-5</v>
      </c>
      <c r="D473" s="1303">
        <v>3.0700000000000001E-5</v>
      </c>
      <c r="E473" s="1007">
        <v>111134</v>
      </c>
      <c r="F473" s="1270"/>
      <c r="G473" s="1200">
        <v>14034</v>
      </c>
      <c r="H473" s="1200">
        <v>15639</v>
      </c>
      <c r="I473" s="1200">
        <v>8271</v>
      </c>
      <c r="J473" s="1007">
        <v>25847</v>
      </c>
      <c r="K473" s="1007">
        <v>63791</v>
      </c>
      <c r="L473" s="1270"/>
      <c r="M473" s="1198">
        <v>0</v>
      </c>
      <c r="N473" s="1198">
        <v>0</v>
      </c>
      <c r="O473" s="1007">
        <v>0</v>
      </c>
      <c r="P473" s="1007">
        <v>0</v>
      </c>
      <c r="Q473" s="1270"/>
      <c r="R473" s="1200">
        <v>38218</v>
      </c>
      <c r="S473" s="1007">
        <v>11607</v>
      </c>
      <c r="T473" s="1306">
        <v>49825</v>
      </c>
    </row>
    <row r="474" spans="1:20" x14ac:dyDescent="0.25">
      <c r="A474" s="1203">
        <v>94921</v>
      </c>
      <c r="B474" s="1204" t="s">
        <v>3101</v>
      </c>
      <c r="C474" s="1303">
        <v>3.7566000000000001E-3</v>
      </c>
      <c r="D474" s="1303">
        <v>3.8489000000000002E-3</v>
      </c>
      <c r="E474" s="1007">
        <v>13423932</v>
      </c>
      <c r="F474" s="1270"/>
      <c r="G474" s="1200">
        <v>1695207</v>
      </c>
      <c r="H474" s="1200">
        <v>1889059</v>
      </c>
      <c r="I474" s="1200">
        <v>999004</v>
      </c>
      <c r="J474" s="1007">
        <v>4801</v>
      </c>
      <c r="K474" s="1007">
        <v>4588071</v>
      </c>
      <c r="L474" s="1270"/>
      <c r="M474" s="1198">
        <v>0</v>
      </c>
      <c r="N474" s="1198">
        <v>0</v>
      </c>
      <c r="O474" s="1007">
        <v>347480</v>
      </c>
      <c r="P474" s="1007">
        <v>347480</v>
      </c>
      <c r="Q474" s="1270"/>
      <c r="R474" s="1200">
        <v>4616392</v>
      </c>
      <c r="S474" s="1007">
        <v>-193690</v>
      </c>
      <c r="T474" s="1306">
        <v>4422702</v>
      </c>
    </row>
    <row r="475" spans="1:20" x14ac:dyDescent="0.25">
      <c r="A475" s="1203">
        <v>94923</v>
      </c>
      <c r="B475" s="1204" t="s">
        <v>3102</v>
      </c>
      <c r="C475" s="1303">
        <v>2.6299999999999999E-5</v>
      </c>
      <c r="D475" s="1303">
        <v>2.7800000000000001E-5</v>
      </c>
      <c r="E475" s="1007">
        <v>93981</v>
      </c>
      <c r="F475" s="1270"/>
      <c r="G475" s="1200">
        <v>11868</v>
      </c>
      <c r="H475" s="1200">
        <v>13225</v>
      </c>
      <c r="I475" s="1200">
        <v>6994</v>
      </c>
      <c r="J475" s="1007">
        <v>3329</v>
      </c>
      <c r="K475" s="1007">
        <v>35416</v>
      </c>
      <c r="L475" s="1270"/>
      <c r="M475" s="1198">
        <v>0</v>
      </c>
      <c r="N475" s="1198">
        <v>0</v>
      </c>
      <c r="O475" s="1007">
        <v>0</v>
      </c>
      <c r="P475" s="1007">
        <v>0</v>
      </c>
      <c r="Q475" s="1270"/>
      <c r="R475" s="1200">
        <v>32319</v>
      </c>
      <c r="S475" s="1007">
        <v>2050</v>
      </c>
      <c r="T475" s="1306">
        <v>34369</v>
      </c>
    </row>
    <row r="476" spans="1:20" x14ac:dyDescent="0.25">
      <c r="A476" s="1203">
        <v>94927</v>
      </c>
      <c r="B476" s="1204" t="s">
        <v>3103</v>
      </c>
      <c r="C476" s="1303">
        <v>2.26E-5</v>
      </c>
      <c r="D476" s="1303">
        <v>2.5299999999999998E-5</v>
      </c>
      <c r="E476" s="1007">
        <v>80759</v>
      </c>
      <c r="F476" s="1270"/>
      <c r="G476" s="1200">
        <v>10198</v>
      </c>
      <c r="H476" s="1200">
        <v>11365</v>
      </c>
      <c r="I476" s="1200">
        <v>6010</v>
      </c>
      <c r="J476" s="1007">
        <v>11450</v>
      </c>
      <c r="K476" s="1007">
        <v>39023</v>
      </c>
      <c r="L476" s="1270"/>
      <c r="M476" s="1198">
        <v>0</v>
      </c>
      <c r="N476" s="1198">
        <v>0</v>
      </c>
      <c r="O476" s="1007">
        <v>0</v>
      </c>
      <c r="P476" s="1007">
        <v>0</v>
      </c>
      <c r="Q476" s="1270"/>
      <c r="R476" s="1200">
        <v>27773</v>
      </c>
      <c r="S476" s="1007">
        <v>4760</v>
      </c>
      <c r="T476" s="1306">
        <v>32533</v>
      </c>
    </row>
    <row r="477" spans="1:20" x14ac:dyDescent="0.25">
      <c r="A477" s="1203">
        <v>94931</v>
      </c>
      <c r="B477" s="1204" t="s">
        <v>3104</v>
      </c>
      <c r="C477" s="1303">
        <v>1.9909999999999999E-4</v>
      </c>
      <c r="D477" s="1303">
        <v>2.142E-4</v>
      </c>
      <c r="E477" s="1007">
        <v>711469</v>
      </c>
      <c r="F477" s="1270"/>
      <c r="G477" s="1200">
        <v>89846</v>
      </c>
      <c r="H477" s="1200">
        <v>100120</v>
      </c>
      <c r="I477" s="1200">
        <v>52947</v>
      </c>
      <c r="J477" s="1007">
        <v>7612</v>
      </c>
      <c r="K477" s="1007">
        <v>250525</v>
      </c>
      <c r="L477" s="1270"/>
      <c r="M477" s="1198">
        <v>0</v>
      </c>
      <c r="N477" s="1198">
        <v>0</v>
      </c>
      <c r="O477" s="1007">
        <v>19368</v>
      </c>
      <c r="P477" s="1007">
        <v>19368</v>
      </c>
      <c r="Q477" s="1270"/>
      <c r="R477" s="1200">
        <v>244669</v>
      </c>
      <c r="S477" s="1007">
        <v>-7685</v>
      </c>
      <c r="T477" s="1306">
        <v>236984</v>
      </c>
    </row>
    <row r="478" spans="1:20" x14ac:dyDescent="0.25">
      <c r="A478" s="1203">
        <v>94937</v>
      </c>
      <c r="B478" s="1284" t="s">
        <v>4182</v>
      </c>
      <c r="C478" s="1303">
        <v>7.5000000000000002E-6</v>
      </c>
      <c r="D478" s="1303">
        <v>6.9E-6</v>
      </c>
      <c r="E478" s="1007">
        <v>26801</v>
      </c>
      <c r="F478" s="1270"/>
      <c r="G478" s="1200">
        <v>3384</v>
      </c>
      <c r="H478" s="1200">
        <v>3771</v>
      </c>
      <c r="I478" s="1200">
        <v>1994</v>
      </c>
      <c r="J478" s="1007">
        <v>5253</v>
      </c>
      <c r="K478" s="1007">
        <v>14402</v>
      </c>
      <c r="L478" s="1270"/>
      <c r="M478" s="1198">
        <v>0</v>
      </c>
      <c r="N478" s="1198">
        <v>0</v>
      </c>
      <c r="O478" s="1007">
        <v>0</v>
      </c>
      <c r="P478" s="1007">
        <v>0</v>
      </c>
      <c r="Q478" s="1270"/>
      <c r="R478" s="1200">
        <v>9217</v>
      </c>
      <c r="S478" s="1007">
        <v>1751</v>
      </c>
      <c r="T478" s="1306">
        <v>10968</v>
      </c>
    </row>
    <row r="479" spans="1:20" x14ac:dyDescent="0.25">
      <c r="A479" s="1203">
        <v>94941</v>
      </c>
      <c r="B479" s="1204" t="s">
        <v>3105</v>
      </c>
      <c r="C479" s="1303">
        <v>5.5029999999999999E-4</v>
      </c>
      <c r="D479" s="1303">
        <v>5.865E-4</v>
      </c>
      <c r="E479" s="1007">
        <v>1966456</v>
      </c>
      <c r="F479" s="1270"/>
      <c r="G479" s="1200">
        <v>248329</v>
      </c>
      <c r="H479" s="1200">
        <v>276726</v>
      </c>
      <c r="I479" s="1200">
        <v>146343</v>
      </c>
      <c r="J479" s="1007">
        <v>14793</v>
      </c>
      <c r="K479" s="1007">
        <v>686191</v>
      </c>
      <c r="L479" s="1270"/>
      <c r="M479" s="1198">
        <v>0</v>
      </c>
      <c r="N479" s="1198">
        <v>0</v>
      </c>
      <c r="O479" s="1007">
        <v>182333</v>
      </c>
      <c r="P479" s="1007">
        <v>182333</v>
      </c>
      <c r="Q479" s="1270"/>
      <c r="R479" s="1200">
        <v>676250</v>
      </c>
      <c r="S479" s="1007">
        <v>-56548</v>
      </c>
      <c r="T479" s="1306">
        <v>619702</v>
      </c>
    </row>
    <row r="480" spans="1:20" x14ac:dyDescent="0.25">
      <c r="A480" s="1203">
        <v>94947</v>
      </c>
      <c r="B480" s="1284" t="s">
        <v>4183</v>
      </c>
      <c r="C480" s="1303">
        <v>5.4E-6</v>
      </c>
      <c r="D480" s="1303">
        <v>5.9000000000000003E-6</v>
      </c>
      <c r="E480" s="1007">
        <v>19297</v>
      </c>
      <c r="F480" s="1270"/>
      <c r="G480" s="1200">
        <v>2437</v>
      </c>
      <c r="H480" s="1200">
        <v>2715</v>
      </c>
      <c r="I480" s="1200">
        <v>1436</v>
      </c>
      <c r="J480" s="1007">
        <v>5748</v>
      </c>
      <c r="K480" s="1007">
        <v>12336</v>
      </c>
      <c r="L480" s="1270"/>
      <c r="M480" s="1198">
        <v>0</v>
      </c>
      <c r="N480" s="1198">
        <v>0</v>
      </c>
      <c r="O480" s="1007">
        <v>0</v>
      </c>
      <c r="P480" s="1007">
        <v>0</v>
      </c>
      <c r="Q480" s="1270"/>
      <c r="R480" s="1200">
        <v>6636</v>
      </c>
      <c r="S480" s="1007">
        <v>1916</v>
      </c>
      <c r="T480" s="1306">
        <v>8552</v>
      </c>
    </row>
    <row r="481" spans="1:20" x14ac:dyDescent="0.25">
      <c r="A481" s="1203">
        <v>95001</v>
      </c>
      <c r="B481" s="1204" t="s">
        <v>3106</v>
      </c>
      <c r="C481" s="1303">
        <v>2.2097000000000002E-3</v>
      </c>
      <c r="D481" s="1303">
        <v>2.2818999999999999E-3</v>
      </c>
      <c r="E481" s="1007">
        <v>7896199</v>
      </c>
      <c r="F481" s="1270"/>
      <c r="G481" s="1200">
        <v>997151</v>
      </c>
      <c r="H481" s="1200">
        <v>1111179</v>
      </c>
      <c r="I481" s="1200">
        <v>587632</v>
      </c>
      <c r="J481" s="1007">
        <v>126823</v>
      </c>
      <c r="K481" s="1007">
        <v>2822785</v>
      </c>
      <c r="L481" s="1270"/>
      <c r="M481" s="1198">
        <v>0</v>
      </c>
      <c r="N481" s="1198">
        <v>0</v>
      </c>
      <c r="O481" s="1007">
        <v>24732</v>
      </c>
      <c r="P481" s="1007">
        <v>24732</v>
      </c>
      <c r="Q481" s="1270"/>
      <c r="R481" s="1200">
        <v>2715445</v>
      </c>
      <c r="S481" s="1007">
        <v>59272</v>
      </c>
      <c r="T481" s="1306">
        <v>2774717</v>
      </c>
    </row>
    <row r="482" spans="1:20" x14ac:dyDescent="0.25">
      <c r="A482" s="1203">
        <v>95002</v>
      </c>
      <c r="B482" s="1204" t="s">
        <v>3107</v>
      </c>
      <c r="C482" s="1303">
        <v>1.6760000000000001E-4</v>
      </c>
      <c r="D482" s="1303">
        <v>1.805E-4</v>
      </c>
      <c r="E482" s="1007">
        <v>598906</v>
      </c>
      <c r="F482" s="1270"/>
      <c r="G482" s="1200">
        <v>75631</v>
      </c>
      <c r="H482" s="1200">
        <v>84280</v>
      </c>
      <c r="I482" s="1200">
        <v>44570</v>
      </c>
      <c r="J482" s="1007">
        <v>23435</v>
      </c>
      <c r="K482" s="1007">
        <v>227916</v>
      </c>
      <c r="L482" s="1270"/>
      <c r="M482" s="1198">
        <v>0</v>
      </c>
      <c r="N482" s="1198">
        <v>0</v>
      </c>
      <c r="O482" s="1007">
        <v>0</v>
      </c>
      <c r="P482" s="1007">
        <v>0</v>
      </c>
      <c r="Q482" s="1270"/>
      <c r="R482" s="1200">
        <v>205959</v>
      </c>
      <c r="S482" s="1007">
        <v>11908</v>
      </c>
      <c r="T482" s="1306">
        <v>217867</v>
      </c>
    </row>
    <row r="483" spans="1:20" x14ac:dyDescent="0.25">
      <c r="A483" s="1203">
        <v>95005</v>
      </c>
      <c r="B483" s="1204" t="s">
        <v>3108</v>
      </c>
      <c r="C483" s="1303">
        <v>1.6770000000000001E-4</v>
      </c>
      <c r="D483" s="1303">
        <v>1.8819999999999999E-4</v>
      </c>
      <c r="E483" s="1007">
        <v>599264</v>
      </c>
      <c r="F483" s="1270"/>
      <c r="G483" s="1200">
        <v>75676</v>
      </c>
      <c r="H483" s="1200">
        <v>84330</v>
      </c>
      <c r="I483" s="1200">
        <v>44597</v>
      </c>
      <c r="J483" s="1007">
        <v>0</v>
      </c>
      <c r="K483" s="1007">
        <v>204603</v>
      </c>
      <c r="L483" s="1270"/>
      <c r="M483" s="1198">
        <v>0</v>
      </c>
      <c r="N483" s="1198">
        <v>0</v>
      </c>
      <c r="O483" s="1007">
        <v>18819</v>
      </c>
      <c r="P483" s="1007">
        <v>18819</v>
      </c>
      <c r="Q483" s="1270"/>
      <c r="R483" s="1200">
        <v>206082</v>
      </c>
      <c r="S483" s="1007">
        <v>-6822</v>
      </c>
      <c r="T483" s="1306">
        <v>199260</v>
      </c>
    </row>
    <row r="484" spans="1:20" x14ac:dyDescent="0.25">
      <c r="A484" s="1203">
        <v>95008</v>
      </c>
      <c r="B484" s="1204" t="s">
        <v>3109</v>
      </c>
      <c r="C484" s="1303">
        <v>1.225E-4</v>
      </c>
      <c r="D484" s="1303">
        <v>1.193E-4</v>
      </c>
      <c r="E484" s="1007">
        <v>437745</v>
      </c>
      <c r="F484" s="1270"/>
      <c r="G484" s="1200">
        <v>55279</v>
      </c>
      <c r="H484" s="1200">
        <v>61601</v>
      </c>
      <c r="I484" s="1200">
        <v>32577</v>
      </c>
      <c r="J484" s="1007">
        <v>26039</v>
      </c>
      <c r="K484" s="1007">
        <v>175496</v>
      </c>
      <c r="L484" s="1270"/>
      <c r="M484" s="1198">
        <v>0</v>
      </c>
      <c r="N484" s="1198">
        <v>0</v>
      </c>
      <c r="O484" s="1007">
        <v>0</v>
      </c>
      <c r="P484" s="1007">
        <v>0</v>
      </c>
      <c r="Q484" s="1270"/>
      <c r="R484" s="1200">
        <v>150537</v>
      </c>
      <c r="S484" s="1007">
        <v>8818</v>
      </c>
      <c r="T484" s="1306">
        <v>159355</v>
      </c>
    </row>
    <row r="485" spans="1:20" x14ac:dyDescent="0.25">
      <c r="A485" s="1203">
        <v>95009</v>
      </c>
      <c r="B485" s="1204" t="s">
        <v>3691</v>
      </c>
      <c r="C485" s="1303">
        <v>3.8095E-3</v>
      </c>
      <c r="D485" s="1303">
        <v>4.0723000000000001E-3</v>
      </c>
      <c r="E485" s="1007">
        <v>13612966</v>
      </c>
      <c r="F485" s="1270"/>
      <c r="G485" s="1200">
        <v>1719079</v>
      </c>
      <c r="H485" s="1200">
        <v>1915661</v>
      </c>
      <c r="I485" s="1200">
        <v>1013072</v>
      </c>
      <c r="J485" s="1007">
        <v>34692</v>
      </c>
      <c r="K485" s="1007">
        <v>4682504</v>
      </c>
      <c r="L485" s="1270"/>
      <c r="M485" s="1198">
        <v>0</v>
      </c>
      <c r="N485" s="1198">
        <v>0</v>
      </c>
      <c r="O485" s="1007">
        <v>592611</v>
      </c>
      <c r="P485" s="1007">
        <v>592611</v>
      </c>
      <c r="Q485" s="1270"/>
      <c r="R485" s="1200">
        <v>4681399</v>
      </c>
      <c r="S485" s="1007">
        <v>-124964</v>
      </c>
      <c r="T485" s="1306">
        <v>4556435</v>
      </c>
    </row>
    <row r="486" spans="1:20" x14ac:dyDescent="0.25">
      <c r="A486" s="1203">
        <v>95010</v>
      </c>
      <c r="B486" s="1204" t="s">
        <v>4799</v>
      </c>
      <c r="C486" s="1303">
        <v>2.1299999999999999E-5</v>
      </c>
      <c r="D486" s="1303">
        <v>0</v>
      </c>
      <c r="E486" s="1007">
        <v>76114</v>
      </c>
      <c r="F486" s="1270"/>
      <c r="G486" s="1200">
        <v>9612</v>
      </c>
      <c r="H486" s="1200">
        <v>10711</v>
      </c>
      <c r="I486" s="1200">
        <v>5664</v>
      </c>
      <c r="J486" s="1007">
        <v>23685</v>
      </c>
      <c r="K486" s="1007">
        <v>49672</v>
      </c>
      <c r="L486" s="1270"/>
      <c r="M486" s="1198">
        <v>0</v>
      </c>
      <c r="N486" s="1198">
        <v>0</v>
      </c>
      <c r="O486" s="1007">
        <v>0</v>
      </c>
      <c r="P486" s="1007">
        <v>0</v>
      </c>
      <c r="Q486" s="1270"/>
      <c r="R486" s="1200">
        <v>26175</v>
      </c>
      <c r="S486" s="1007">
        <v>7895</v>
      </c>
      <c r="T486" s="1306">
        <v>34070</v>
      </c>
    </row>
    <row r="487" spans="1:20" x14ac:dyDescent="0.25">
      <c r="A487" s="1203">
        <v>95011</v>
      </c>
      <c r="B487" s="1204" t="s">
        <v>3111</v>
      </c>
      <c r="C487" s="1303">
        <v>1.7430000000000001E-4</v>
      </c>
      <c r="D487" s="1303">
        <v>1.9230000000000001E-4</v>
      </c>
      <c r="E487" s="1007">
        <v>622848</v>
      </c>
      <c r="F487" s="1270"/>
      <c r="G487" s="1200">
        <v>78655</v>
      </c>
      <c r="H487" s="1200">
        <v>87649</v>
      </c>
      <c r="I487" s="1200">
        <v>46352</v>
      </c>
      <c r="J487" s="1007">
        <v>3237</v>
      </c>
      <c r="K487" s="1007">
        <v>215893</v>
      </c>
      <c r="L487" s="1270"/>
      <c r="M487" s="1198">
        <v>0</v>
      </c>
      <c r="N487" s="1198">
        <v>0</v>
      </c>
      <c r="O487" s="1007">
        <v>24130</v>
      </c>
      <c r="P487" s="1007">
        <v>24130</v>
      </c>
      <c r="Q487" s="1270"/>
      <c r="R487" s="1200">
        <v>214193</v>
      </c>
      <c r="S487" s="1007">
        <v>-7876</v>
      </c>
      <c r="T487" s="1306">
        <v>206317</v>
      </c>
    </row>
    <row r="488" spans="1:20" x14ac:dyDescent="0.25">
      <c r="A488" s="1203">
        <v>95017</v>
      </c>
      <c r="B488" s="1204" t="s">
        <v>3112</v>
      </c>
      <c r="C488" s="1303">
        <v>4.2599999999999999E-5</v>
      </c>
      <c r="D488" s="1303">
        <v>5.1E-5</v>
      </c>
      <c r="E488" s="1007">
        <v>152228</v>
      </c>
      <c r="F488" s="1270"/>
      <c r="G488" s="1200">
        <v>19224</v>
      </c>
      <c r="H488" s="1200">
        <v>21422</v>
      </c>
      <c r="I488" s="1200">
        <v>11329</v>
      </c>
      <c r="J488" s="1007">
        <v>568</v>
      </c>
      <c r="K488" s="1007">
        <v>52543</v>
      </c>
      <c r="L488" s="1270"/>
      <c r="M488" s="1198">
        <v>0</v>
      </c>
      <c r="N488" s="1198">
        <v>0</v>
      </c>
      <c r="O488" s="1007">
        <v>13201</v>
      </c>
      <c r="P488" s="1007">
        <v>13201</v>
      </c>
      <c r="Q488" s="1270"/>
      <c r="R488" s="1200">
        <v>52350</v>
      </c>
      <c r="S488" s="1007">
        <v>-3369</v>
      </c>
      <c r="T488" s="1306">
        <v>48981</v>
      </c>
    </row>
    <row r="489" spans="1:20" x14ac:dyDescent="0.25">
      <c r="A489" s="1203">
        <v>95101</v>
      </c>
      <c r="B489" s="1204" t="s">
        <v>3113</v>
      </c>
      <c r="C489" s="1303">
        <v>8.9332000000000005E-3</v>
      </c>
      <c r="D489" s="1303">
        <v>8.8515E-3</v>
      </c>
      <c r="E489" s="1007">
        <v>31922129</v>
      </c>
      <c r="F489" s="1270"/>
      <c r="G489" s="1200">
        <v>4031205</v>
      </c>
      <c r="H489" s="1200">
        <v>4492184</v>
      </c>
      <c r="I489" s="1200">
        <v>2375633</v>
      </c>
      <c r="J489" s="1007">
        <v>32041</v>
      </c>
      <c r="K489" s="1007">
        <v>10931063</v>
      </c>
      <c r="L489" s="1270"/>
      <c r="M489" s="1198">
        <v>0</v>
      </c>
      <c r="N489" s="1198">
        <v>0</v>
      </c>
      <c r="O489" s="1007">
        <v>69198</v>
      </c>
      <c r="P489" s="1007">
        <v>69198</v>
      </c>
      <c r="Q489" s="1270"/>
      <c r="R489" s="1200">
        <v>10977786</v>
      </c>
      <c r="S489" s="1007">
        <v>-46932</v>
      </c>
      <c r="T489" s="1306">
        <v>10930854</v>
      </c>
    </row>
    <row r="490" spans="1:20" x14ac:dyDescent="0.25">
      <c r="A490" s="1203">
        <v>95103</v>
      </c>
      <c r="B490" s="1204" t="s">
        <v>3114</v>
      </c>
      <c r="C490" s="1303">
        <v>5.0000000000000002E-5</v>
      </c>
      <c r="D490" s="1303">
        <v>5.0599999999999997E-5</v>
      </c>
      <c r="E490" s="1007">
        <v>178671</v>
      </c>
      <c r="F490" s="1270"/>
      <c r="G490" s="1200">
        <v>22563</v>
      </c>
      <c r="H490" s="1200">
        <v>25143</v>
      </c>
      <c r="I490" s="1200">
        <v>13297</v>
      </c>
      <c r="J490" s="1007">
        <v>11232</v>
      </c>
      <c r="K490" s="1007">
        <v>72235</v>
      </c>
      <c r="L490" s="1270"/>
      <c r="M490" s="1198">
        <v>0</v>
      </c>
      <c r="N490" s="1198">
        <v>0</v>
      </c>
      <c r="O490" s="1007">
        <v>3518</v>
      </c>
      <c r="P490" s="1007">
        <v>3518</v>
      </c>
      <c r="Q490" s="1270"/>
      <c r="R490" s="1200">
        <v>61444</v>
      </c>
      <c r="S490" s="1007">
        <v>4795</v>
      </c>
      <c r="T490" s="1306">
        <v>66239</v>
      </c>
    </row>
    <row r="491" spans="1:20" x14ac:dyDescent="0.25">
      <c r="A491" s="1203">
        <v>95104</v>
      </c>
      <c r="B491" s="1204" t="s">
        <v>3115</v>
      </c>
      <c r="C491" s="1303">
        <v>1.1400000000000001E-4</v>
      </c>
      <c r="D491" s="1303">
        <v>1.149E-4</v>
      </c>
      <c r="E491" s="1007">
        <v>407371</v>
      </c>
      <c r="F491" s="1270"/>
      <c r="G491" s="1200">
        <v>51444</v>
      </c>
      <c r="H491" s="1200">
        <v>57326</v>
      </c>
      <c r="I491" s="1200">
        <v>30316</v>
      </c>
      <c r="J491" s="1007">
        <v>48502</v>
      </c>
      <c r="K491" s="1007">
        <v>187588</v>
      </c>
      <c r="L491" s="1270"/>
      <c r="M491" s="1198">
        <v>0</v>
      </c>
      <c r="N491" s="1198">
        <v>0</v>
      </c>
      <c r="O491" s="1007">
        <v>0</v>
      </c>
      <c r="P491" s="1007">
        <v>0</v>
      </c>
      <c r="Q491" s="1270"/>
      <c r="R491" s="1200">
        <v>140092</v>
      </c>
      <c r="S491" s="1007">
        <v>19221</v>
      </c>
      <c r="T491" s="1306">
        <v>159313</v>
      </c>
    </row>
    <row r="492" spans="1:20" ht="14.25" customHeight="1" x14ac:dyDescent="0.25">
      <c r="A492" s="1203">
        <v>95105</v>
      </c>
      <c r="B492" s="1204" t="s">
        <v>3116</v>
      </c>
      <c r="C492" s="1303">
        <v>8.0900000000000001E-5</v>
      </c>
      <c r="D492" s="1303">
        <v>7.1500000000000003E-5</v>
      </c>
      <c r="E492" s="1007">
        <v>289090</v>
      </c>
      <c r="F492" s="1270"/>
      <c r="G492" s="1200">
        <v>36507</v>
      </c>
      <c r="H492" s="1200">
        <v>40682</v>
      </c>
      <c r="I492" s="1200">
        <v>21514</v>
      </c>
      <c r="J492" s="1007">
        <v>17729</v>
      </c>
      <c r="K492" s="1007">
        <v>116432</v>
      </c>
      <c r="L492" s="1270"/>
      <c r="M492" s="1198">
        <v>0</v>
      </c>
      <c r="N492" s="1198">
        <v>0</v>
      </c>
      <c r="O492" s="1007">
        <v>0</v>
      </c>
      <c r="P492" s="1007">
        <v>0</v>
      </c>
      <c r="Q492" s="1270"/>
      <c r="R492" s="1200">
        <v>99416</v>
      </c>
      <c r="S492" s="1007">
        <v>7475</v>
      </c>
      <c r="T492" s="1306">
        <v>106891</v>
      </c>
    </row>
    <row r="493" spans="1:20" ht="14.25" customHeight="1" x14ac:dyDescent="0.25">
      <c r="A493" s="1203">
        <v>95106</v>
      </c>
      <c r="B493" s="1204" t="s">
        <v>3117</v>
      </c>
      <c r="C493" s="1303">
        <v>1.1800000000000001E-5</v>
      </c>
      <c r="D493" s="1303">
        <v>1.29E-5</v>
      </c>
      <c r="E493" s="1007">
        <v>42166</v>
      </c>
      <c r="F493" s="1270"/>
      <c r="G493" s="1200">
        <v>5325</v>
      </c>
      <c r="H493" s="1200">
        <v>5934</v>
      </c>
      <c r="I493" s="1200">
        <v>3138</v>
      </c>
      <c r="J493" s="1007">
        <v>2688</v>
      </c>
      <c r="K493" s="1007">
        <v>17085</v>
      </c>
      <c r="L493" s="1270"/>
      <c r="M493" s="1198">
        <v>0</v>
      </c>
      <c r="N493" s="1198">
        <v>0</v>
      </c>
      <c r="O493" s="1007">
        <v>360</v>
      </c>
      <c r="P493" s="1007">
        <v>360</v>
      </c>
      <c r="Q493" s="1270"/>
      <c r="R493" s="1200">
        <v>14501</v>
      </c>
      <c r="S493" s="1007">
        <v>1428</v>
      </c>
      <c r="T493" s="1306">
        <v>15929</v>
      </c>
    </row>
    <row r="494" spans="1:20" x14ac:dyDescent="0.25">
      <c r="A494" s="1203">
        <v>95110</v>
      </c>
      <c r="B494" s="1204" t="s">
        <v>3118</v>
      </c>
      <c r="C494" s="1303">
        <v>2.7829999999999999E-3</v>
      </c>
      <c r="D494" s="1303">
        <v>3.1538E-3</v>
      </c>
      <c r="E494" s="1007">
        <v>9944845</v>
      </c>
      <c r="F494" s="1270"/>
      <c r="G494" s="1200">
        <v>1255859</v>
      </c>
      <c r="H494" s="1200">
        <v>1399470</v>
      </c>
      <c r="I494" s="1200">
        <v>740092</v>
      </c>
      <c r="J494" s="1007">
        <v>0</v>
      </c>
      <c r="K494" s="1007">
        <v>3395421</v>
      </c>
      <c r="L494" s="1270"/>
      <c r="M494" s="1198">
        <v>0</v>
      </c>
      <c r="N494" s="1198">
        <v>0</v>
      </c>
      <c r="O494" s="1007">
        <v>631014</v>
      </c>
      <c r="P494" s="1007">
        <v>631014</v>
      </c>
      <c r="Q494" s="1270"/>
      <c r="R494" s="1200">
        <v>3419959</v>
      </c>
      <c r="S494" s="1007">
        <v>-380482</v>
      </c>
      <c r="T494" s="1306">
        <v>3039477</v>
      </c>
    </row>
    <row r="495" spans="1:20" x14ac:dyDescent="0.25">
      <c r="A495" s="1203">
        <v>95111</v>
      </c>
      <c r="B495" s="1204" t="s">
        <v>3119</v>
      </c>
      <c r="C495" s="1303">
        <v>9.9339999999999997E-4</v>
      </c>
      <c r="D495" s="1303">
        <v>1.0529000000000001E-3</v>
      </c>
      <c r="E495" s="1007">
        <v>3549841</v>
      </c>
      <c r="F495" s="1270"/>
      <c r="G495" s="1200">
        <v>448283</v>
      </c>
      <c r="H495" s="1200">
        <v>499545</v>
      </c>
      <c r="I495" s="1200">
        <v>264178</v>
      </c>
      <c r="J495" s="1007">
        <v>0</v>
      </c>
      <c r="K495" s="1007">
        <v>1212006</v>
      </c>
      <c r="L495" s="1270"/>
      <c r="M495" s="1198">
        <v>0</v>
      </c>
      <c r="N495" s="1198">
        <v>0</v>
      </c>
      <c r="O495" s="1007">
        <v>134679</v>
      </c>
      <c r="P495" s="1007">
        <v>134679</v>
      </c>
      <c r="Q495" s="1270"/>
      <c r="R495" s="1200">
        <v>1220764</v>
      </c>
      <c r="S495" s="1007">
        <v>-65461</v>
      </c>
      <c r="T495" s="1306">
        <v>1155303</v>
      </c>
    </row>
    <row r="496" spans="1:20" x14ac:dyDescent="0.25">
      <c r="A496" s="1203">
        <v>95113</v>
      </c>
      <c r="B496" s="1204" t="s">
        <v>3120</v>
      </c>
      <c r="C496" s="1303">
        <v>4.4799999999999998E-5</v>
      </c>
      <c r="D496" s="1303">
        <v>4.5300000000000003E-5</v>
      </c>
      <c r="E496" s="1007">
        <v>160089</v>
      </c>
      <c r="F496" s="1270"/>
      <c r="G496" s="1200">
        <v>20216</v>
      </c>
      <c r="H496" s="1200">
        <v>22528</v>
      </c>
      <c r="I496" s="1200">
        <v>11914</v>
      </c>
      <c r="J496" s="1007">
        <v>69038</v>
      </c>
      <c r="K496" s="1007">
        <v>123696</v>
      </c>
      <c r="L496" s="1270"/>
      <c r="M496" s="1198">
        <v>0</v>
      </c>
      <c r="N496" s="1198">
        <v>0</v>
      </c>
      <c r="O496" s="1007">
        <v>0</v>
      </c>
      <c r="P496" s="1007">
        <v>0</v>
      </c>
      <c r="Q496" s="1270"/>
      <c r="R496" s="1200">
        <v>55054</v>
      </c>
      <c r="S496" s="1007">
        <v>40243</v>
      </c>
      <c r="T496" s="1306">
        <v>95297</v>
      </c>
    </row>
    <row r="497" spans="1:20" x14ac:dyDescent="0.25">
      <c r="A497" s="1203">
        <v>95121</v>
      </c>
      <c r="B497" s="1204" t="s">
        <v>3121</v>
      </c>
      <c r="C497" s="1303">
        <v>5.107E-4</v>
      </c>
      <c r="D497" s="1303">
        <v>4.6769999999999998E-4</v>
      </c>
      <c r="E497" s="1007">
        <v>1824949</v>
      </c>
      <c r="F497" s="1270"/>
      <c r="G497" s="1200">
        <v>230459</v>
      </c>
      <c r="H497" s="1200">
        <v>256812</v>
      </c>
      <c r="I497" s="1200">
        <v>135812</v>
      </c>
      <c r="J497" s="1007">
        <v>46752</v>
      </c>
      <c r="K497" s="1007">
        <v>669835</v>
      </c>
      <c r="L497" s="1270"/>
      <c r="M497" s="1198">
        <v>0</v>
      </c>
      <c r="N497" s="1198">
        <v>0</v>
      </c>
      <c r="O497" s="1007">
        <v>31339</v>
      </c>
      <c r="P497" s="1007">
        <v>31339</v>
      </c>
      <c r="Q497" s="1270"/>
      <c r="R497" s="1200">
        <v>627586</v>
      </c>
      <c r="S497" s="1007">
        <v>7431</v>
      </c>
      <c r="T497" s="1306">
        <v>635017</v>
      </c>
    </row>
    <row r="498" spans="1:20" x14ac:dyDescent="0.25">
      <c r="A498" s="1203">
        <v>95122</v>
      </c>
      <c r="B498" s="1204" t="s">
        <v>3122</v>
      </c>
      <c r="C498" s="1303">
        <v>1.73E-5</v>
      </c>
      <c r="D498" s="1303">
        <v>1.5400000000000002E-5</v>
      </c>
      <c r="E498" s="1007">
        <v>61820</v>
      </c>
      <c r="F498" s="1270"/>
      <c r="G498" s="1200">
        <v>7807</v>
      </c>
      <c r="H498" s="1200">
        <v>8700</v>
      </c>
      <c r="I498" s="1200">
        <v>4601</v>
      </c>
      <c r="J498" s="1007">
        <v>13394</v>
      </c>
      <c r="K498" s="1007">
        <v>34502</v>
      </c>
      <c r="L498" s="1270"/>
      <c r="M498" s="1198">
        <v>0</v>
      </c>
      <c r="N498" s="1198">
        <v>0</v>
      </c>
      <c r="O498" s="1007">
        <v>0</v>
      </c>
      <c r="P498" s="1007">
        <v>0</v>
      </c>
      <c r="Q498" s="1270"/>
      <c r="R498" s="1200">
        <v>21260</v>
      </c>
      <c r="S498" s="1007">
        <v>5211</v>
      </c>
      <c r="T498" s="1306">
        <v>26471</v>
      </c>
    </row>
    <row r="499" spans="1:20" x14ac:dyDescent="0.25">
      <c r="A499" s="1203">
        <v>95123</v>
      </c>
      <c r="B499" s="1204" t="s">
        <v>3123</v>
      </c>
      <c r="C499" s="1303">
        <v>5.3399999999999997E-5</v>
      </c>
      <c r="D499" s="1303">
        <v>4.8999999999999998E-5</v>
      </c>
      <c r="E499" s="1007">
        <v>190821</v>
      </c>
      <c r="F499" s="1270"/>
      <c r="G499" s="1200">
        <v>24097</v>
      </c>
      <c r="H499" s="1200">
        <v>26853</v>
      </c>
      <c r="I499" s="1200">
        <v>14201</v>
      </c>
      <c r="J499" s="1007">
        <v>4109</v>
      </c>
      <c r="K499" s="1007">
        <v>69260</v>
      </c>
      <c r="L499" s="1270"/>
      <c r="M499" s="1198">
        <v>0</v>
      </c>
      <c r="N499" s="1198">
        <v>0</v>
      </c>
      <c r="O499" s="1007">
        <v>1238</v>
      </c>
      <c r="P499" s="1007">
        <v>1238</v>
      </c>
      <c r="Q499" s="1270"/>
      <c r="R499" s="1200">
        <v>65622</v>
      </c>
      <c r="S499" s="1007">
        <v>2505</v>
      </c>
      <c r="T499" s="1306">
        <v>68127</v>
      </c>
    </row>
    <row r="500" spans="1:20" x14ac:dyDescent="0.25">
      <c r="A500" s="1203">
        <v>95131</v>
      </c>
      <c r="B500" s="1204" t="s">
        <v>3124</v>
      </c>
      <c r="C500" s="1303">
        <v>1.8569999999999999E-3</v>
      </c>
      <c r="D500" s="1303">
        <v>1.7905E-3</v>
      </c>
      <c r="E500" s="1007">
        <v>6635852</v>
      </c>
      <c r="F500" s="1270"/>
      <c r="G500" s="1200">
        <v>837992</v>
      </c>
      <c r="H500" s="1200">
        <v>933818</v>
      </c>
      <c r="I500" s="1200">
        <v>493838</v>
      </c>
      <c r="J500" s="1007">
        <v>123165</v>
      </c>
      <c r="K500" s="1007">
        <v>2388813</v>
      </c>
      <c r="L500" s="1270"/>
      <c r="M500" s="1198">
        <v>0</v>
      </c>
      <c r="N500" s="1198">
        <v>0</v>
      </c>
      <c r="O500" s="1007">
        <v>0</v>
      </c>
      <c r="P500" s="1007">
        <v>0</v>
      </c>
      <c r="Q500" s="1270"/>
      <c r="R500" s="1200">
        <v>2282021</v>
      </c>
      <c r="S500" s="1007">
        <v>58724</v>
      </c>
      <c r="T500" s="1306">
        <v>2340745</v>
      </c>
    </row>
    <row r="501" spans="1:20" x14ac:dyDescent="0.25">
      <c r="A501" s="1203">
        <v>95141</v>
      </c>
      <c r="B501" s="1204" t="s">
        <v>3125</v>
      </c>
      <c r="C501" s="1303">
        <v>3.8630000000000001E-4</v>
      </c>
      <c r="D501" s="1303">
        <v>3.6099999999999999E-4</v>
      </c>
      <c r="E501" s="1007">
        <v>1380414</v>
      </c>
      <c r="F501" s="1270"/>
      <c r="G501" s="1200">
        <v>174322</v>
      </c>
      <c r="H501" s="1200">
        <v>194256</v>
      </c>
      <c r="I501" s="1200">
        <v>102730</v>
      </c>
      <c r="J501" s="1007">
        <v>32602</v>
      </c>
      <c r="K501" s="1007">
        <v>503910</v>
      </c>
      <c r="L501" s="1270"/>
      <c r="M501" s="1198">
        <v>0</v>
      </c>
      <c r="N501" s="1198">
        <v>0</v>
      </c>
      <c r="O501" s="1007">
        <v>6140</v>
      </c>
      <c r="P501" s="1007">
        <v>6140</v>
      </c>
      <c r="Q501" s="1270"/>
      <c r="R501" s="1200">
        <v>474714</v>
      </c>
      <c r="S501" s="1007">
        <v>6041</v>
      </c>
      <c r="T501" s="1306">
        <v>480755</v>
      </c>
    </row>
    <row r="502" spans="1:20" x14ac:dyDescent="0.25">
      <c r="A502" s="1203">
        <v>95151</v>
      </c>
      <c r="B502" s="1204" t="s">
        <v>3126</v>
      </c>
      <c r="C502" s="1303">
        <v>1.197E-4</v>
      </c>
      <c r="D502" s="1303">
        <v>1.1010000000000001E-4</v>
      </c>
      <c r="E502" s="1007">
        <v>427739</v>
      </c>
      <c r="F502" s="1270"/>
      <c r="G502" s="1200">
        <v>54016</v>
      </c>
      <c r="H502" s="1200">
        <v>60192</v>
      </c>
      <c r="I502" s="1200">
        <v>31832</v>
      </c>
      <c r="J502" s="1007">
        <v>7509</v>
      </c>
      <c r="K502" s="1007">
        <v>153549</v>
      </c>
      <c r="L502" s="1270"/>
      <c r="M502" s="1198">
        <v>0</v>
      </c>
      <c r="N502" s="1198">
        <v>0</v>
      </c>
      <c r="O502" s="1007">
        <v>6683</v>
      </c>
      <c r="P502" s="1007">
        <v>6683</v>
      </c>
      <c r="Q502" s="1270"/>
      <c r="R502" s="1200">
        <v>147096</v>
      </c>
      <c r="S502" s="1007">
        <v>-1023</v>
      </c>
      <c r="T502" s="1306">
        <v>146073</v>
      </c>
    </row>
    <row r="503" spans="1:20" x14ac:dyDescent="0.25">
      <c r="A503" s="1203">
        <v>95161</v>
      </c>
      <c r="B503" s="1204" t="s">
        <v>3127</v>
      </c>
      <c r="C503" s="1303">
        <v>7.36E-5</v>
      </c>
      <c r="D503" s="1303">
        <v>7.1199999999999996E-5</v>
      </c>
      <c r="E503" s="1007">
        <v>263004</v>
      </c>
      <c r="F503" s="1270"/>
      <c r="G503" s="1200">
        <v>33213</v>
      </c>
      <c r="H503" s="1200">
        <v>37011</v>
      </c>
      <c r="I503" s="1200">
        <v>19573</v>
      </c>
      <c r="J503" s="1007">
        <v>12424</v>
      </c>
      <c r="K503" s="1007">
        <v>102221</v>
      </c>
      <c r="L503" s="1270"/>
      <c r="M503" s="1198">
        <v>0</v>
      </c>
      <c r="N503" s="1198">
        <v>0</v>
      </c>
      <c r="O503" s="1007">
        <v>0</v>
      </c>
      <c r="P503" s="1007">
        <v>0</v>
      </c>
      <c r="Q503" s="1270"/>
      <c r="R503" s="1200">
        <v>90445</v>
      </c>
      <c r="S503" s="1007">
        <v>6111</v>
      </c>
      <c r="T503" s="1306">
        <v>96556</v>
      </c>
    </row>
    <row r="504" spans="1:20" x14ac:dyDescent="0.25">
      <c r="A504" s="1203">
        <v>95171</v>
      </c>
      <c r="B504" s="1204" t="s">
        <v>3128</v>
      </c>
      <c r="C504" s="1303">
        <v>1.2229999999999999E-4</v>
      </c>
      <c r="D504" s="1303">
        <v>1.089E-4</v>
      </c>
      <c r="E504" s="1007">
        <v>437030</v>
      </c>
      <c r="F504" s="1270"/>
      <c r="G504" s="1200">
        <v>55189</v>
      </c>
      <c r="H504" s="1200">
        <v>61500</v>
      </c>
      <c r="I504" s="1200">
        <v>32524</v>
      </c>
      <c r="J504" s="1007">
        <v>32133</v>
      </c>
      <c r="K504" s="1007">
        <v>181346</v>
      </c>
      <c r="L504" s="1270"/>
      <c r="M504" s="1198">
        <v>0</v>
      </c>
      <c r="N504" s="1198">
        <v>0</v>
      </c>
      <c r="O504" s="1007">
        <v>6028</v>
      </c>
      <c r="P504" s="1007">
        <v>6028</v>
      </c>
      <c r="Q504" s="1270"/>
      <c r="R504" s="1200">
        <v>150291</v>
      </c>
      <c r="S504" s="1007">
        <v>5826</v>
      </c>
      <c r="T504" s="1306">
        <v>156117</v>
      </c>
    </row>
    <row r="505" spans="1:20" x14ac:dyDescent="0.25">
      <c r="A505" s="1203">
        <v>95181</v>
      </c>
      <c r="B505" s="1204" t="s">
        <v>3129</v>
      </c>
      <c r="C505" s="1303">
        <v>7.2100000000000004E-5</v>
      </c>
      <c r="D505" s="1303">
        <v>5.9700000000000001E-5</v>
      </c>
      <c r="E505" s="1007">
        <v>257644</v>
      </c>
      <c r="F505" s="1270"/>
      <c r="G505" s="1200">
        <v>32536</v>
      </c>
      <c r="H505" s="1200">
        <v>36257</v>
      </c>
      <c r="I505" s="1200">
        <v>19174</v>
      </c>
      <c r="J505" s="1007">
        <v>15439</v>
      </c>
      <c r="K505" s="1007">
        <v>103406</v>
      </c>
      <c r="L505" s="1270"/>
      <c r="M505" s="1198">
        <v>0</v>
      </c>
      <c r="N505" s="1198">
        <v>0</v>
      </c>
      <c r="O505" s="1007">
        <v>12327</v>
      </c>
      <c r="P505" s="1007">
        <v>12327</v>
      </c>
      <c r="Q505" s="1270"/>
      <c r="R505" s="1200">
        <v>88602</v>
      </c>
      <c r="S505" s="1007">
        <v>-1394</v>
      </c>
      <c r="T505" s="1306">
        <v>87208</v>
      </c>
    </row>
    <row r="506" spans="1:20" x14ac:dyDescent="0.25">
      <c r="A506" s="1203">
        <v>95191</v>
      </c>
      <c r="B506" s="1204" t="s">
        <v>3130</v>
      </c>
      <c r="C506" s="1303">
        <v>7.36E-5</v>
      </c>
      <c r="D506" s="1303">
        <v>7.3800000000000005E-5</v>
      </c>
      <c r="E506" s="1007">
        <v>263004</v>
      </c>
      <c r="F506" s="1270"/>
      <c r="G506" s="1200">
        <v>33213</v>
      </c>
      <c r="H506" s="1200">
        <v>37011</v>
      </c>
      <c r="I506" s="1200">
        <v>19573</v>
      </c>
      <c r="J506" s="1007">
        <v>28475</v>
      </c>
      <c r="K506" s="1007">
        <v>118272</v>
      </c>
      <c r="L506" s="1270"/>
      <c r="M506" s="1198">
        <v>0</v>
      </c>
      <c r="N506" s="1198">
        <v>0</v>
      </c>
      <c r="O506" s="1007">
        <v>0</v>
      </c>
      <c r="P506" s="1007">
        <v>0</v>
      </c>
      <c r="Q506" s="1270"/>
      <c r="R506" s="1200">
        <v>90445</v>
      </c>
      <c r="S506" s="1007">
        <v>9043</v>
      </c>
      <c r="T506" s="1306">
        <v>99488</v>
      </c>
    </row>
    <row r="507" spans="1:20" x14ac:dyDescent="0.25">
      <c r="A507" s="1203">
        <v>95201</v>
      </c>
      <c r="B507" s="1204" t="s">
        <v>3131</v>
      </c>
      <c r="C507" s="1303">
        <v>7.048E-4</v>
      </c>
      <c r="D507" s="1303">
        <v>6.5070000000000004E-4</v>
      </c>
      <c r="E507" s="1007">
        <v>2518551</v>
      </c>
      <c r="F507" s="1270"/>
      <c r="G507" s="1200">
        <v>318049</v>
      </c>
      <c r="H507" s="1200">
        <v>354419</v>
      </c>
      <c r="I507" s="1200">
        <v>187430</v>
      </c>
      <c r="J507" s="1007">
        <v>43305</v>
      </c>
      <c r="K507" s="1007">
        <v>903203</v>
      </c>
      <c r="L507" s="1270"/>
      <c r="M507" s="1198">
        <v>0</v>
      </c>
      <c r="N507" s="1198">
        <v>0</v>
      </c>
      <c r="O507" s="1007">
        <v>41541</v>
      </c>
      <c r="P507" s="1007">
        <v>41541</v>
      </c>
      <c r="Q507" s="1270"/>
      <c r="R507" s="1200">
        <v>866111</v>
      </c>
      <c r="S507" s="1007">
        <v>787</v>
      </c>
      <c r="T507" s="1306">
        <v>866898</v>
      </c>
    </row>
    <row r="508" spans="1:20" x14ac:dyDescent="0.25">
      <c r="A508" s="1203">
        <v>95204</v>
      </c>
      <c r="B508" s="1204" t="s">
        <v>3132</v>
      </c>
      <c r="C508" s="1303">
        <v>8.6000000000000007E-6</v>
      </c>
      <c r="D508" s="1303">
        <v>5.6999999999999996E-6</v>
      </c>
      <c r="E508" s="1007">
        <v>30731</v>
      </c>
      <c r="F508" s="1270"/>
      <c r="G508" s="1200">
        <v>3881</v>
      </c>
      <c r="H508" s="1200">
        <v>4325</v>
      </c>
      <c r="I508" s="1200">
        <v>2287</v>
      </c>
      <c r="J508" s="1007">
        <v>5383</v>
      </c>
      <c r="K508" s="1007">
        <v>15876</v>
      </c>
      <c r="L508" s="1270"/>
      <c r="M508" s="1198">
        <v>0</v>
      </c>
      <c r="N508" s="1198">
        <v>0</v>
      </c>
      <c r="O508" s="1007">
        <v>1540</v>
      </c>
      <c r="P508" s="1007">
        <v>1540</v>
      </c>
      <c r="Q508" s="1270"/>
      <c r="R508" s="1200">
        <v>10568</v>
      </c>
      <c r="S508" s="1007">
        <v>1383</v>
      </c>
      <c r="T508" s="1306">
        <v>11951</v>
      </c>
    </row>
    <row r="509" spans="1:20" x14ac:dyDescent="0.25">
      <c r="A509" s="1203">
        <v>95205</v>
      </c>
      <c r="B509" s="1204" t="s">
        <v>3133</v>
      </c>
      <c r="C509" s="1303">
        <v>2.6000000000000001E-6</v>
      </c>
      <c r="D509" s="1303">
        <v>2.7E-6</v>
      </c>
      <c r="E509" s="1007">
        <v>9291</v>
      </c>
      <c r="F509" s="1270"/>
      <c r="G509" s="1200">
        <v>1173</v>
      </c>
      <c r="H509" s="1200">
        <v>1308</v>
      </c>
      <c r="I509" s="1200">
        <v>691</v>
      </c>
      <c r="J509" s="1007">
        <v>2652</v>
      </c>
      <c r="K509" s="1007">
        <v>5824</v>
      </c>
      <c r="L509" s="1270"/>
      <c r="M509" s="1198">
        <v>0</v>
      </c>
      <c r="N509" s="1198">
        <v>0</v>
      </c>
      <c r="O509" s="1007">
        <v>475</v>
      </c>
      <c r="P509" s="1007">
        <v>475</v>
      </c>
      <c r="Q509" s="1270"/>
      <c r="R509" s="1200">
        <v>3195</v>
      </c>
      <c r="S509" s="1007">
        <v>725</v>
      </c>
      <c r="T509" s="1306">
        <v>3920</v>
      </c>
    </row>
    <row r="510" spans="1:20" x14ac:dyDescent="0.25">
      <c r="A510" s="1203">
        <v>95211</v>
      </c>
      <c r="B510" s="1204" t="s">
        <v>3134</v>
      </c>
      <c r="C510" s="1303">
        <v>1.7E-6</v>
      </c>
      <c r="D510" s="1303">
        <v>5.1000000000000003E-6</v>
      </c>
      <c r="E510" s="1007">
        <v>6075</v>
      </c>
      <c r="F510" s="1270"/>
      <c r="G510" s="1200">
        <v>767</v>
      </c>
      <c r="H510" s="1200">
        <v>855</v>
      </c>
      <c r="I510" s="1200">
        <v>452</v>
      </c>
      <c r="J510" s="1007">
        <v>52</v>
      </c>
      <c r="K510" s="1007">
        <v>2126</v>
      </c>
      <c r="L510" s="1270"/>
      <c r="M510" s="1198">
        <v>0</v>
      </c>
      <c r="N510" s="1198">
        <v>0</v>
      </c>
      <c r="O510" s="1007">
        <v>4294</v>
      </c>
      <c r="P510" s="1007">
        <v>4294</v>
      </c>
      <c r="Q510" s="1270"/>
      <c r="R510" s="1200">
        <v>2089</v>
      </c>
      <c r="S510" s="1007">
        <v>-1148</v>
      </c>
      <c r="T510" s="1306">
        <v>941</v>
      </c>
    </row>
    <row r="511" spans="1:20" x14ac:dyDescent="0.25">
      <c r="A511" s="1203">
        <v>95221</v>
      </c>
      <c r="B511" s="1204" t="s">
        <v>3135</v>
      </c>
      <c r="C511" s="1303">
        <v>4.2599999999999999E-5</v>
      </c>
      <c r="D511" s="1303">
        <v>5.4400000000000001E-5</v>
      </c>
      <c r="E511" s="1007">
        <v>152228</v>
      </c>
      <c r="F511" s="1270"/>
      <c r="G511" s="1200">
        <v>19224</v>
      </c>
      <c r="H511" s="1200">
        <v>21422</v>
      </c>
      <c r="I511" s="1200">
        <v>11329</v>
      </c>
      <c r="J511" s="1007">
        <v>7812</v>
      </c>
      <c r="K511" s="1007">
        <v>59787</v>
      </c>
      <c r="L511" s="1270"/>
      <c r="M511" s="1198">
        <v>0</v>
      </c>
      <c r="N511" s="1198">
        <v>0</v>
      </c>
      <c r="O511" s="1007">
        <v>21549</v>
      </c>
      <c r="P511" s="1007">
        <v>21549</v>
      </c>
      <c r="Q511" s="1270"/>
      <c r="R511" s="1200">
        <v>52350</v>
      </c>
      <c r="S511" s="1007">
        <v>-3133</v>
      </c>
      <c r="T511" s="1306">
        <v>49217</v>
      </c>
    </row>
    <row r="512" spans="1:20" x14ac:dyDescent="0.25">
      <c r="A512" s="1203">
        <v>95301</v>
      </c>
      <c r="B512" s="1204" t="s">
        <v>3136</v>
      </c>
      <c r="C512" s="1303">
        <v>2.2263999999999999E-3</v>
      </c>
      <c r="D512" s="1303">
        <v>2.1561000000000002E-3</v>
      </c>
      <c r="E512" s="1007">
        <v>7955876</v>
      </c>
      <c r="F512" s="1270"/>
      <c r="G512" s="1200">
        <v>1004687</v>
      </c>
      <c r="H512" s="1200">
        <v>1119576</v>
      </c>
      <c r="I512" s="1200">
        <v>592073</v>
      </c>
      <c r="J512" s="1007">
        <v>156010</v>
      </c>
      <c r="K512" s="1007">
        <v>2872346</v>
      </c>
      <c r="L512" s="1270"/>
      <c r="M512" s="1198">
        <v>0</v>
      </c>
      <c r="N512" s="1198">
        <v>0</v>
      </c>
      <c r="O512" s="1007">
        <v>76654</v>
      </c>
      <c r="P512" s="1007">
        <v>76654</v>
      </c>
      <c r="Q512" s="1270"/>
      <c r="R512" s="1200">
        <v>2735967</v>
      </c>
      <c r="S512" s="1007">
        <v>31768</v>
      </c>
      <c r="T512" s="1306">
        <v>2767735</v>
      </c>
    </row>
    <row r="513" spans="1:20" x14ac:dyDescent="0.25">
      <c r="A513" s="1203">
        <v>95311</v>
      </c>
      <c r="B513" s="1204" t="s">
        <v>3137</v>
      </c>
      <c r="C513" s="1303">
        <v>2.4442000000000001E-3</v>
      </c>
      <c r="D513" s="1303">
        <v>2.578E-3</v>
      </c>
      <c r="E513" s="1007">
        <v>8734168</v>
      </c>
      <c r="F513" s="1270"/>
      <c r="G513" s="1200">
        <v>1102972</v>
      </c>
      <c r="H513" s="1200">
        <v>1229101</v>
      </c>
      <c r="I513" s="1200">
        <v>649993</v>
      </c>
      <c r="J513" s="1007">
        <v>15125</v>
      </c>
      <c r="K513" s="1007">
        <v>2997191</v>
      </c>
      <c r="L513" s="1270"/>
      <c r="M513" s="1198">
        <v>0</v>
      </c>
      <c r="N513" s="1198">
        <v>0</v>
      </c>
      <c r="O513" s="1007">
        <v>90478</v>
      </c>
      <c r="P513" s="1007">
        <v>90478</v>
      </c>
      <c r="Q513" s="1270"/>
      <c r="R513" s="1200">
        <v>3003616</v>
      </c>
      <c r="S513" s="1007">
        <v>-45353</v>
      </c>
      <c r="T513" s="1306">
        <v>2958263</v>
      </c>
    </row>
    <row r="514" spans="1:20" x14ac:dyDescent="0.25">
      <c r="A514" s="1203">
        <v>95317</v>
      </c>
      <c r="B514" s="1204" t="s">
        <v>3138</v>
      </c>
      <c r="C514" s="1303">
        <v>4.1699999999999997E-5</v>
      </c>
      <c r="D514" s="1303">
        <v>4.1999999999999998E-5</v>
      </c>
      <c r="E514" s="1007">
        <v>149012</v>
      </c>
      <c r="F514" s="1270"/>
      <c r="G514" s="1200">
        <v>18818</v>
      </c>
      <c r="H514" s="1200">
        <v>20969</v>
      </c>
      <c r="I514" s="1200">
        <v>11089</v>
      </c>
      <c r="J514" s="1007">
        <v>13135</v>
      </c>
      <c r="K514" s="1007">
        <v>64011</v>
      </c>
      <c r="L514" s="1270"/>
      <c r="M514" s="1198">
        <v>0</v>
      </c>
      <c r="N514" s="1198">
        <v>0</v>
      </c>
      <c r="O514" s="1007">
        <v>0</v>
      </c>
      <c r="P514" s="1007">
        <v>0</v>
      </c>
      <c r="Q514" s="1270"/>
      <c r="R514" s="1200">
        <v>51244</v>
      </c>
      <c r="S514" s="1007">
        <v>5239</v>
      </c>
      <c r="T514" s="1306">
        <v>56483</v>
      </c>
    </row>
    <row r="515" spans="1:20" x14ac:dyDescent="0.25">
      <c r="A515" s="1203">
        <v>95321</v>
      </c>
      <c r="B515" s="1204" t="s">
        <v>3139</v>
      </c>
      <c r="C515" s="1303">
        <v>4.4199999999999997E-5</v>
      </c>
      <c r="D515" s="1303">
        <v>4.85E-5</v>
      </c>
      <c r="E515" s="1007">
        <v>157945</v>
      </c>
      <c r="F515" s="1270"/>
      <c r="G515" s="1200">
        <v>19946</v>
      </c>
      <c r="H515" s="1200">
        <v>22227</v>
      </c>
      <c r="I515" s="1200">
        <v>11754</v>
      </c>
      <c r="J515" s="1007">
        <v>3491</v>
      </c>
      <c r="K515" s="1007">
        <v>57418</v>
      </c>
      <c r="L515" s="1270"/>
      <c r="M515" s="1198">
        <v>0</v>
      </c>
      <c r="N515" s="1198">
        <v>0</v>
      </c>
      <c r="O515" s="1007">
        <v>538</v>
      </c>
      <c r="P515" s="1007">
        <v>538</v>
      </c>
      <c r="Q515" s="1270"/>
      <c r="R515" s="1200">
        <v>54316</v>
      </c>
      <c r="S515" s="1007">
        <v>1262</v>
      </c>
      <c r="T515" s="1306">
        <v>55578</v>
      </c>
    </row>
    <row r="516" spans="1:20" x14ac:dyDescent="0.25">
      <c r="A516" s="1203">
        <v>95401</v>
      </c>
      <c r="B516" s="1204" t="s">
        <v>3140</v>
      </c>
      <c r="C516" s="1303">
        <v>2.6316999999999998E-3</v>
      </c>
      <c r="D516" s="1303">
        <v>2.9023E-3</v>
      </c>
      <c r="E516" s="1007">
        <v>9404185</v>
      </c>
      <c r="F516" s="1270"/>
      <c r="G516" s="1200">
        <v>1187584</v>
      </c>
      <c r="H516" s="1200">
        <v>1323387</v>
      </c>
      <c r="I516" s="1200">
        <v>699856</v>
      </c>
      <c r="J516" s="1007">
        <v>0</v>
      </c>
      <c r="K516" s="1007">
        <v>3210827</v>
      </c>
      <c r="L516" s="1270"/>
      <c r="M516" s="1198">
        <v>0</v>
      </c>
      <c r="N516" s="1198">
        <v>0</v>
      </c>
      <c r="O516" s="1007">
        <v>413310</v>
      </c>
      <c r="P516" s="1007">
        <v>413310</v>
      </c>
      <c r="Q516" s="1270"/>
      <c r="R516" s="1200">
        <v>3234030</v>
      </c>
      <c r="S516" s="1007">
        <v>-146118</v>
      </c>
      <c r="T516" s="1306">
        <v>3087912</v>
      </c>
    </row>
    <row r="517" spans="1:20" x14ac:dyDescent="0.25">
      <c r="A517" s="1203">
        <v>95404</v>
      </c>
      <c r="B517" s="1204" t="s">
        <v>3141</v>
      </c>
      <c r="C517" s="1303">
        <v>4.8699999999999998E-5</v>
      </c>
      <c r="D517" s="1303">
        <v>4.4799999999999998E-5</v>
      </c>
      <c r="E517" s="1007">
        <v>174026</v>
      </c>
      <c r="F517" s="1270"/>
      <c r="G517" s="1200">
        <v>21976</v>
      </c>
      <c r="H517" s="1200">
        <v>24489</v>
      </c>
      <c r="I517" s="1200">
        <v>12951</v>
      </c>
      <c r="J517" s="1007">
        <v>5232</v>
      </c>
      <c r="K517" s="1007">
        <v>64648</v>
      </c>
      <c r="L517" s="1270"/>
      <c r="M517" s="1198">
        <v>0</v>
      </c>
      <c r="N517" s="1198">
        <v>0</v>
      </c>
      <c r="O517" s="1007">
        <v>4673</v>
      </c>
      <c r="P517" s="1007">
        <v>4673</v>
      </c>
      <c r="Q517" s="1270"/>
      <c r="R517" s="1200">
        <v>59846</v>
      </c>
      <c r="S517" s="1007">
        <v>1248</v>
      </c>
      <c r="T517" s="1306">
        <v>61094</v>
      </c>
    </row>
    <row r="518" spans="1:20" x14ac:dyDescent="0.25">
      <c r="A518" s="1203">
        <v>95405</v>
      </c>
      <c r="B518" s="1204" t="s">
        <v>3142</v>
      </c>
      <c r="C518" s="1303">
        <v>4.5500000000000001E-5</v>
      </c>
      <c r="D518" s="1303">
        <v>3.3399999999999999E-5</v>
      </c>
      <c r="E518" s="1007">
        <v>162591</v>
      </c>
      <c r="F518" s="1270"/>
      <c r="G518" s="1200">
        <v>20532</v>
      </c>
      <c r="H518" s="1200">
        <v>22880</v>
      </c>
      <c r="I518" s="1200">
        <v>12100</v>
      </c>
      <c r="J518" s="1007">
        <v>27603</v>
      </c>
      <c r="K518" s="1007">
        <v>83115</v>
      </c>
      <c r="L518" s="1270"/>
      <c r="M518" s="1198">
        <v>0</v>
      </c>
      <c r="N518" s="1198">
        <v>0</v>
      </c>
      <c r="O518" s="1007">
        <v>0</v>
      </c>
      <c r="P518" s="1007">
        <v>0</v>
      </c>
      <c r="Q518" s="1270"/>
      <c r="R518" s="1200">
        <v>55914</v>
      </c>
      <c r="S518" s="1007">
        <v>12560</v>
      </c>
      <c r="T518" s="1306">
        <v>68474</v>
      </c>
    </row>
    <row r="519" spans="1:20" x14ac:dyDescent="0.25">
      <c r="A519" s="1203">
        <v>95411</v>
      </c>
      <c r="B519" s="1204" t="s">
        <v>3143</v>
      </c>
      <c r="C519" s="1303">
        <v>2.0525999999999999E-3</v>
      </c>
      <c r="D519" s="1303">
        <v>2.0365000000000001E-3</v>
      </c>
      <c r="E519" s="1007">
        <v>7334814</v>
      </c>
      <c r="F519" s="1270"/>
      <c r="G519" s="1200">
        <v>926258</v>
      </c>
      <c r="H519" s="1200">
        <v>1032179</v>
      </c>
      <c r="I519" s="1200">
        <v>545854</v>
      </c>
      <c r="J519" s="1007">
        <v>0</v>
      </c>
      <c r="K519" s="1007">
        <v>2504291</v>
      </c>
      <c r="L519" s="1270"/>
      <c r="M519" s="1198">
        <v>0</v>
      </c>
      <c r="N519" s="1198">
        <v>0</v>
      </c>
      <c r="O519" s="1007">
        <v>57965</v>
      </c>
      <c r="P519" s="1007">
        <v>57965</v>
      </c>
      <c r="Q519" s="1270"/>
      <c r="R519" s="1200">
        <v>2522389</v>
      </c>
      <c r="S519" s="1007">
        <v>-23202</v>
      </c>
      <c r="T519" s="1306">
        <v>2499187</v>
      </c>
    </row>
    <row r="520" spans="1:20" x14ac:dyDescent="0.25">
      <c r="A520" s="1203">
        <v>95412</v>
      </c>
      <c r="B520" s="1204" t="s">
        <v>3144</v>
      </c>
      <c r="C520" s="1303">
        <v>0</v>
      </c>
      <c r="D520" s="1303">
        <v>0</v>
      </c>
      <c r="E520" s="1007">
        <v>0</v>
      </c>
      <c r="F520" s="1270"/>
      <c r="G520" s="1200">
        <v>0</v>
      </c>
      <c r="H520" s="1200">
        <v>0</v>
      </c>
      <c r="I520" s="1200">
        <v>0</v>
      </c>
      <c r="J520" s="1007">
        <v>0</v>
      </c>
      <c r="K520" s="1007">
        <v>0</v>
      </c>
      <c r="L520" s="1270"/>
      <c r="M520" s="1198">
        <v>0</v>
      </c>
      <c r="N520" s="1198">
        <v>0</v>
      </c>
      <c r="O520" s="1007">
        <v>0</v>
      </c>
      <c r="P520" s="1007">
        <v>0</v>
      </c>
      <c r="Q520" s="1270"/>
      <c r="R520" s="1200">
        <v>0</v>
      </c>
      <c r="S520" s="1007">
        <v>0</v>
      </c>
      <c r="T520" s="1306">
        <v>0</v>
      </c>
    </row>
    <row r="521" spans="1:20" x14ac:dyDescent="0.25">
      <c r="A521" s="1203">
        <v>95413</v>
      </c>
      <c r="B521" s="1204" t="s">
        <v>3145</v>
      </c>
      <c r="C521" s="1303">
        <v>2.5369999999999999E-4</v>
      </c>
      <c r="D521" s="1303">
        <v>2.4610000000000002E-4</v>
      </c>
      <c r="E521" s="1007">
        <v>906578</v>
      </c>
      <c r="F521" s="1270"/>
      <c r="G521" s="1200">
        <v>114485</v>
      </c>
      <c r="H521" s="1200">
        <v>127576</v>
      </c>
      <c r="I521" s="1200">
        <v>67467</v>
      </c>
      <c r="J521" s="1007">
        <v>45243</v>
      </c>
      <c r="K521" s="1007">
        <v>354771</v>
      </c>
      <c r="L521" s="1270"/>
      <c r="M521" s="1198">
        <v>0</v>
      </c>
      <c r="N521" s="1198">
        <v>0</v>
      </c>
      <c r="O521" s="1007">
        <v>10285</v>
      </c>
      <c r="P521" s="1007">
        <v>10285</v>
      </c>
      <c r="Q521" s="1270"/>
      <c r="R521" s="1200">
        <v>311766</v>
      </c>
      <c r="S521" s="1007">
        <v>55369</v>
      </c>
      <c r="T521" s="1306">
        <v>367135</v>
      </c>
    </row>
    <row r="522" spans="1:20" x14ac:dyDescent="0.25">
      <c r="A522" s="1203">
        <v>95415</v>
      </c>
      <c r="B522" s="1204" t="s">
        <v>3146</v>
      </c>
      <c r="C522" s="1303">
        <v>6.2700000000000006E-5</v>
      </c>
      <c r="D522" s="1303">
        <v>5.7599999999999997E-5</v>
      </c>
      <c r="E522" s="1007">
        <v>224054</v>
      </c>
      <c r="F522" s="1270"/>
      <c r="G522" s="1200">
        <v>28294</v>
      </c>
      <c r="H522" s="1200">
        <v>31529</v>
      </c>
      <c r="I522" s="1200">
        <v>16674</v>
      </c>
      <c r="J522" s="1007">
        <v>8224</v>
      </c>
      <c r="K522" s="1007">
        <v>84721</v>
      </c>
      <c r="L522" s="1270"/>
      <c r="M522" s="1198">
        <v>0</v>
      </c>
      <c r="N522" s="1198">
        <v>0</v>
      </c>
      <c r="O522" s="1007">
        <v>10410</v>
      </c>
      <c r="P522" s="1007">
        <v>10410</v>
      </c>
      <c r="Q522" s="1270"/>
      <c r="R522" s="1200">
        <v>77050</v>
      </c>
      <c r="S522" s="1007">
        <v>-2790</v>
      </c>
      <c r="T522" s="1306">
        <v>74260</v>
      </c>
    </row>
    <row r="523" spans="1:20" x14ac:dyDescent="0.25">
      <c r="A523" s="1203">
        <v>95421</v>
      </c>
      <c r="B523" s="1204" t="s">
        <v>3147</v>
      </c>
      <c r="C523" s="1303">
        <v>2.5199999999999999E-5</v>
      </c>
      <c r="D523" s="1303">
        <v>3.6699999999999998E-5</v>
      </c>
      <c r="E523" s="1007">
        <v>90050</v>
      </c>
      <c r="F523" s="1270"/>
      <c r="G523" s="1200">
        <v>11372</v>
      </c>
      <c r="H523" s="1200">
        <v>12673</v>
      </c>
      <c r="I523" s="1200">
        <v>6702</v>
      </c>
      <c r="J523" s="1007">
        <v>537</v>
      </c>
      <c r="K523" s="1007">
        <v>31284</v>
      </c>
      <c r="L523" s="1270"/>
      <c r="M523" s="1198">
        <v>0</v>
      </c>
      <c r="N523" s="1198">
        <v>0</v>
      </c>
      <c r="O523" s="1007">
        <v>13684</v>
      </c>
      <c r="P523" s="1007">
        <v>13684</v>
      </c>
      <c r="Q523" s="1270"/>
      <c r="R523" s="1200">
        <v>30968</v>
      </c>
      <c r="S523" s="1007">
        <v>-5822</v>
      </c>
      <c r="T523" s="1306">
        <v>25146</v>
      </c>
    </row>
    <row r="524" spans="1:20" x14ac:dyDescent="0.25">
      <c r="A524" s="1203">
        <v>95431</v>
      </c>
      <c r="B524" s="1204" t="s">
        <v>3148</v>
      </c>
      <c r="C524" s="1303">
        <v>1.2349999999999999E-4</v>
      </c>
      <c r="D524" s="1303">
        <v>1.3689999999999999E-4</v>
      </c>
      <c r="E524" s="1007">
        <v>441318</v>
      </c>
      <c r="F524" s="1270"/>
      <c r="G524" s="1200">
        <v>55731</v>
      </c>
      <c r="H524" s="1200">
        <v>62104</v>
      </c>
      <c r="I524" s="1200">
        <v>32843</v>
      </c>
      <c r="J524" s="1007">
        <v>0</v>
      </c>
      <c r="K524" s="1007">
        <v>150678</v>
      </c>
      <c r="L524" s="1270"/>
      <c r="M524" s="1198">
        <v>0</v>
      </c>
      <c r="N524" s="1198">
        <v>0</v>
      </c>
      <c r="O524" s="1007">
        <v>33953</v>
      </c>
      <c r="P524" s="1007">
        <v>33953</v>
      </c>
      <c r="Q524" s="1270"/>
      <c r="R524" s="1200">
        <v>151766</v>
      </c>
      <c r="S524" s="1007">
        <v>-17872</v>
      </c>
      <c r="T524" s="1306">
        <v>133894</v>
      </c>
    </row>
    <row r="525" spans="1:20" x14ac:dyDescent="0.25">
      <c r="A525" s="1203">
        <v>95501</v>
      </c>
      <c r="B525" s="1204" t="s">
        <v>3149</v>
      </c>
      <c r="C525" s="1303">
        <v>5.3182000000000004E-3</v>
      </c>
      <c r="D525" s="1303">
        <v>5.0283999999999997E-3</v>
      </c>
      <c r="E525" s="1007">
        <v>19004194</v>
      </c>
      <c r="F525" s="1270"/>
      <c r="G525" s="1200">
        <v>2399896</v>
      </c>
      <c r="H525" s="1200">
        <v>2674332</v>
      </c>
      <c r="I525" s="1200">
        <v>1414285</v>
      </c>
      <c r="J525" s="1007">
        <v>417821</v>
      </c>
      <c r="K525" s="1007">
        <v>6906334</v>
      </c>
      <c r="L525" s="1270"/>
      <c r="M525" s="1198">
        <v>0</v>
      </c>
      <c r="N525" s="1198">
        <v>0</v>
      </c>
      <c r="O525" s="1007">
        <v>41247</v>
      </c>
      <c r="P525" s="1007">
        <v>41247</v>
      </c>
      <c r="Q525" s="1270"/>
      <c r="R525" s="1200">
        <v>6535403</v>
      </c>
      <c r="S525" s="1007">
        <v>93194</v>
      </c>
      <c r="T525" s="1306">
        <v>6628597</v>
      </c>
    </row>
    <row r="526" spans="1:20" x14ac:dyDescent="0.25">
      <c r="A526" s="1203">
        <v>95504</v>
      </c>
      <c r="B526" s="1204" t="s">
        <v>3150</v>
      </c>
      <c r="C526" s="1303">
        <v>1.7399999999999999E-5</v>
      </c>
      <c r="D526" s="1303">
        <v>1.49E-5</v>
      </c>
      <c r="E526" s="1007">
        <v>62178</v>
      </c>
      <c r="F526" s="1270"/>
      <c r="G526" s="1200">
        <v>7852</v>
      </c>
      <c r="H526" s="1200">
        <v>8750</v>
      </c>
      <c r="I526" s="1200">
        <v>4627</v>
      </c>
      <c r="J526" s="1007">
        <v>21065</v>
      </c>
      <c r="K526" s="1007">
        <v>42294</v>
      </c>
      <c r="L526" s="1270"/>
      <c r="M526" s="1198">
        <v>0</v>
      </c>
      <c r="N526" s="1198">
        <v>0</v>
      </c>
      <c r="O526" s="1007">
        <v>0</v>
      </c>
      <c r="P526" s="1007">
        <v>0</v>
      </c>
      <c r="Q526" s="1270"/>
      <c r="R526" s="1200">
        <v>21382</v>
      </c>
      <c r="S526" s="1007">
        <v>8341</v>
      </c>
      <c r="T526" s="1306">
        <v>29723</v>
      </c>
    </row>
    <row r="527" spans="1:20" x14ac:dyDescent="0.25">
      <c r="A527" s="1203">
        <v>95511</v>
      </c>
      <c r="B527" s="1204" t="s">
        <v>3151</v>
      </c>
      <c r="C527" s="1303">
        <v>1.0361000000000001E-3</v>
      </c>
      <c r="D527" s="1303">
        <v>9.4910000000000003E-4</v>
      </c>
      <c r="E527" s="1007">
        <v>3702427</v>
      </c>
      <c r="F527" s="1270"/>
      <c r="G527" s="1200">
        <v>467552</v>
      </c>
      <c r="H527" s="1200">
        <v>521017</v>
      </c>
      <c r="I527" s="1200">
        <v>275533</v>
      </c>
      <c r="J527" s="1007">
        <v>184553</v>
      </c>
      <c r="K527" s="1007">
        <v>1448655</v>
      </c>
      <c r="L527" s="1270"/>
      <c r="M527" s="1198">
        <v>0</v>
      </c>
      <c r="N527" s="1198">
        <v>0</v>
      </c>
      <c r="O527" s="1007">
        <v>0</v>
      </c>
      <c r="P527" s="1007">
        <v>0</v>
      </c>
      <c r="Q527" s="1270"/>
      <c r="R527" s="1200">
        <v>1273237</v>
      </c>
      <c r="S527" s="1007">
        <v>56185</v>
      </c>
      <c r="T527" s="1306">
        <v>1329422</v>
      </c>
    </row>
    <row r="528" spans="1:20" x14ac:dyDescent="0.25">
      <c r="A528" s="1203">
        <v>95513</v>
      </c>
      <c r="B528" s="1204" t="s">
        <v>3152</v>
      </c>
      <c r="C528" s="1303">
        <v>4.6900000000000002E-5</v>
      </c>
      <c r="D528" s="1303">
        <v>3.9700000000000003E-5</v>
      </c>
      <c r="E528" s="1007">
        <v>167594</v>
      </c>
      <c r="F528" s="1270"/>
      <c r="G528" s="1200">
        <v>21164</v>
      </c>
      <c r="H528" s="1200">
        <v>23584</v>
      </c>
      <c r="I528" s="1200">
        <v>12472</v>
      </c>
      <c r="J528" s="1007">
        <v>32950</v>
      </c>
      <c r="K528" s="1007">
        <v>90170</v>
      </c>
      <c r="L528" s="1270"/>
      <c r="M528" s="1198">
        <v>0</v>
      </c>
      <c r="N528" s="1198">
        <v>0</v>
      </c>
      <c r="O528" s="1007">
        <v>0</v>
      </c>
      <c r="P528" s="1007">
        <v>0</v>
      </c>
      <c r="Q528" s="1270"/>
      <c r="R528" s="1200">
        <v>57634</v>
      </c>
      <c r="S528" s="1007">
        <v>15043</v>
      </c>
      <c r="T528" s="1306">
        <v>72677</v>
      </c>
    </row>
    <row r="529" spans="1:20" x14ac:dyDescent="0.25">
      <c r="A529" s="1203">
        <v>95517</v>
      </c>
      <c r="B529" s="1204" t="s">
        <v>3153</v>
      </c>
      <c r="C529" s="1303">
        <v>1.84E-5</v>
      </c>
      <c r="D529" s="1303">
        <v>1.84E-5</v>
      </c>
      <c r="E529" s="1007">
        <v>65751</v>
      </c>
      <c r="F529" s="1270"/>
      <c r="G529" s="1200">
        <v>8303</v>
      </c>
      <c r="H529" s="1200">
        <v>9253</v>
      </c>
      <c r="I529" s="1200">
        <v>4893</v>
      </c>
      <c r="J529" s="1007">
        <v>3184</v>
      </c>
      <c r="K529" s="1007">
        <v>25633</v>
      </c>
      <c r="L529" s="1270"/>
      <c r="M529" s="1198">
        <v>0</v>
      </c>
      <c r="N529" s="1198">
        <v>0</v>
      </c>
      <c r="O529" s="1007">
        <v>1289</v>
      </c>
      <c r="P529" s="1007">
        <v>1289</v>
      </c>
      <c r="Q529" s="1270"/>
      <c r="R529" s="1200">
        <v>22611</v>
      </c>
      <c r="S529" s="1007">
        <v>3647</v>
      </c>
      <c r="T529" s="1306">
        <v>26258</v>
      </c>
    </row>
    <row r="530" spans="1:20" x14ac:dyDescent="0.25">
      <c r="A530" s="1203">
        <v>95601</v>
      </c>
      <c r="B530" s="1204" t="s">
        <v>3154</v>
      </c>
      <c r="C530" s="1303">
        <v>2.3888999999999998E-3</v>
      </c>
      <c r="D530" s="1303">
        <v>2.4459999999999998E-3</v>
      </c>
      <c r="E530" s="1007">
        <v>8536557</v>
      </c>
      <c r="F530" s="1270"/>
      <c r="G530" s="1200">
        <v>1078017</v>
      </c>
      <c r="H530" s="1200">
        <v>1201292</v>
      </c>
      <c r="I530" s="1200">
        <v>635287</v>
      </c>
      <c r="J530" s="1007">
        <v>0</v>
      </c>
      <c r="K530" s="1007">
        <v>2914596</v>
      </c>
      <c r="L530" s="1270"/>
      <c r="M530" s="1198">
        <v>0</v>
      </c>
      <c r="N530" s="1198">
        <v>0</v>
      </c>
      <c r="O530" s="1007">
        <v>174362</v>
      </c>
      <c r="P530" s="1007">
        <v>174362</v>
      </c>
      <c r="Q530" s="1270"/>
      <c r="R530" s="1200">
        <v>2935659</v>
      </c>
      <c r="S530" s="1007">
        <v>-52749</v>
      </c>
      <c r="T530" s="1306">
        <v>2882910</v>
      </c>
    </row>
    <row r="531" spans="1:20" x14ac:dyDescent="0.25">
      <c r="A531" s="1203">
        <v>95611</v>
      </c>
      <c r="B531" s="1204" t="s">
        <v>3155</v>
      </c>
      <c r="C531" s="1303">
        <v>3.3310000000000002E-4</v>
      </c>
      <c r="D531" s="1303">
        <v>3.7889999999999999E-4</v>
      </c>
      <c r="E531" s="1007">
        <v>1190308</v>
      </c>
      <c r="F531" s="1270"/>
      <c r="G531" s="1200">
        <v>150315</v>
      </c>
      <c r="H531" s="1200">
        <v>167504</v>
      </c>
      <c r="I531" s="1200">
        <v>88582</v>
      </c>
      <c r="J531" s="1007">
        <v>4326</v>
      </c>
      <c r="K531" s="1007">
        <v>410727</v>
      </c>
      <c r="L531" s="1270"/>
      <c r="M531" s="1198">
        <v>0</v>
      </c>
      <c r="N531" s="1198">
        <v>0</v>
      </c>
      <c r="O531" s="1007">
        <v>44139</v>
      </c>
      <c r="P531" s="1007">
        <v>44139</v>
      </c>
      <c r="Q531" s="1270"/>
      <c r="R531" s="1200">
        <v>409338</v>
      </c>
      <c r="S531" s="1007">
        <v>-12300</v>
      </c>
      <c r="T531" s="1306">
        <v>397038</v>
      </c>
    </row>
    <row r="532" spans="1:20" x14ac:dyDescent="0.25">
      <c r="A532" s="1203">
        <v>95617</v>
      </c>
      <c r="B532" s="1204" t="s">
        <v>3156</v>
      </c>
      <c r="C532" s="1303">
        <v>1.3900000000000001E-5</v>
      </c>
      <c r="D532" s="1303">
        <v>1.49E-5</v>
      </c>
      <c r="E532" s="1007">
        <v>49671</v>
      </c>
      <c r="F532" s="1270"/>
      <c r="G532" s="1200">
        <v>6273</v>
      </c>
      <c r="H532" s="1200">
        <v>6990</v>
      </c>
      <c r="I532" s="1200">
        <v>3696</v>
      </c>
      <c r="J532" s="1007">
        <v>1264</v>
      </c>
      <c r="K532" s="1007">
        <v>18223</v>
      </c>
      <c r="L532" s="1270"/>
      <c r="M532" s="1198">
        <v>0</v>
      </c>
      <c r="N532" s="1198">
        <v>0</v>
      </c>
      <c r="O532" s="1007">
        <v>0</v>
      </c>
      <c r="P532" s="1007">
        <v>0</v>
      </c>
      <c r="Q532" s="1270"/>
      <c r="R532" s="1200">
        <v>17081</v>
      </c>
      <c r="S532" s="1007">
        <v>608</v>
      </c>
      <c r="T532" s="1306">
        <v>17689</v>
      </c>
    </row>
    <row r="533" spans="1:20" x14ac:dyDescent="0.25">
      <c r="A533" s="1203">
        <v>95621</v>
      </c>
      <c r="B533" s="1204" t="s">
        <v>3157</v>
      </c>
      <c r="C533" s="1303">
        <v>4.6490000000000002E-4</v>
      </c>
      <c r="D533" s="1303">
        <v>4.5750000000000001E-4</v>
      </c>
      <c r="E533" s="1007">
        <v>1661286</v>
      </c>
      <c r="F533" s="1270"/>
      <c r="G533" s="1200">
        <v>209791</v>
      </c>
      <c r="H533" s="1200">
        <v>233782</v>
      </c>
      <c r="I533" s="1200">
        <v>123632</v>
      </c>
      <c r="J533" s="1007">
        <v>54081</v>
      </c>
      <c r="K533" s="1007">
        <v>621286</v>
      </c>
      <c r="L533" s="1270"/>
      <c r="M533" s="1198">
        <v>0</v>
      </c>
      <c r="N533" s="1198">
        <v>0</v>
      </c>
      <c r="O533" s="1007">
        <v>16928</v>
      </c>
      <c r="P533" s="1007">
        <v>16928</v>
      </c>
      <c r="Q533" s="1270"/>
      <c r="R533" s="1200">
        <v>571304</v>
      </c>
      <c r="S533" s="1007">
        <v>15456</v>
      </c>
      <c r="T533" s="1306">
        <v>586760</v>
      </c>
    </row>
    <row r="534" spans="1:20" x14ac:dyDescent="0.25">
      <c r="A534" s="1203">
        <v>95701</v>
      </c>
      <c r="B534" s="1204" t="s">
        <v>3158</v>
      </c>
      <c r="C534" s="1303">
        <v>1.2185E-3</v>
      </c>
      <c r="D534" s="1303">
        <v>1.2156000000000001E-3</v>
      </c>
      <c r="E534" s="1007">
        <v>4354220</v>
      </c>
      <c r="F534" s="1270"/>
      <c r="G534" s="1200">
        <v>549862</v>
      </c>
      <c r="H534" s="1200">
        <v>612740</v>
      </c>
      <c r="I534" s="1200">
        <v>324039</v>
      </c>
      <c r="J534" s="1007">
        <v>7932</v>
      </c>
      <c r="K534" s="1007">
        <v>1494573</v>
      </c>
      <c r="L534" s="1270"/>
      <c r="M534" s="1198">
        <v>0</v>
      </c>
      <c r="N534" s="1198">
        <v>0</v>
      </c>
      <c r="O534" s="1007">
        <v>144644</v>
      </c>
      <c r="P534" s="1007">
        <v>144644</v>
      </c>
      <c r="Q534" s="1270"/>
      <c r="R534" s="1200">
        <v>1497384</v>
      </c>
      <c r="S534" s="1007">
        <v>-43386</v>
      </c>
      <c r="T534" s="1306">
        <v>1453998</v>
      </c>
    </row>
    <row r="535" spans="1:20" x14ac:dyDescent="0.25">
      <c r="A535" s="1203">
        <v>95711</v>
      </c>
      <c r="B535" s="1204" t="s">
        <v>3159</v>
      </c>
      <c r="C535" s="1303">
        <v>1.4889999999999999E-4</v>
      </c>
      <c r="D535" s="1303">
        <v>1.4320000000000001E-4</v>
      </c>
      <c r="E535" s="1007">
        <v>532083</v>
      </c>
      <c r="F535" s="1270"/>
      <c r="G535" s="1200">
        <v>67193</v>
      </c>
      <c r="H535" s="1200">
        <v>74876</v>
      </c>
      <c r="I535" s="1200">
        <v>39597</v>
      </c>
      <c r="J535" s="1007">
        <v>0</v>
      </c>
      <c r="K535" s="1007">
        <v>181666</v>
      </c>
      <c r="L535" s="1270"/>
      <c r="M535" s="1198">
        <v>0</v>
      </c>
      <c r="N535" s="1198">
        <v>0</v>
      </c>
      <c r="O535" s="1007">
        <v>9764</v>
      </c>
      <c r="P535" s="1007">
        <v>9764</v>
      </c>
      <c r="Q535" s="1270"/>
      <c r="R535" s="1200">
        <v>182979</v>
      </c>
      <c r="S535" s="1007">
        <v>-4388</v>
      </c>
      <c r="T535" s="1306">
        <v>178591</v>
      </c>
    </row>
    <row r="536" spans="1:20" x14ac:dyDescent="0.25">
      <c r="A536" s="1203">
        <v>95721</v>
      </c>
      <c r="B536" s="1204" t="s">
        <v>3160</v>
      </c>
      <c r="C536" s="1303">
        <v>5.1400000000000003E-5</v>
      </c>
      <c r="D536" s="1303">
        <v>6.58E-5</v>
      </c>
      <c r="E536" s="1007">
        <v>183674</v>
      </c>
      <c r="F536" s="1270"/>
      <c r="G536" s="1200">
        <v>23195</v>
      </c>
      <c r="H536" s="1200">
        <v>25847</v>
      </c>
      <c r="I536" s="1200">
        <v>13669</v>
      </c>
      <c r="J536" s="1007">
        <v>0</v>
      </c>
      <c r="K536" s="1007">
        <v>62711</v>
      </c>
      <c r="L536" s="1270"/>
      <c r="M536" s="1198">
        <v>0</v>
      </c>
      <c r="N536" s="1198">
        <v>0</v>
      </c>
      <c r="O536" s="1007">
        <v>18623</v>
      </c>
      <c r="P536" s="1007">
        <v>18623</v>
      </c>
      <c r="Q536" s="1270"/>
      <c r="R536" s="1200">
        <v>63164</v>
      </c>
      <c r="S536" s="1007">
        <v>-7931</v>
      </c>
      <c r="T536" s="1306">
        <v>55233</v>
      </c>
    </row>
    <row r="537" spans="1:20" x14ac:dyDescent="0.25">
      <c r="A537" s="1203">
        <v>95733</v>
      </c>
      <c r="B537" s="1204" t="s">
        <v>3161</v>
      </c>
      <c r="C537" s="1303">
        <v>1.33E-5</v>
      </c>
      <c r="D537" s="1303">
        <v>1.43E-5</v>
      </c>
      <c r="E537" s="1007">
        <v>47527</v>
      </c>
      <c r="F537" s="1270"/>
      <c r="G537" s="1200">
        <v>6002</v>
      </c>
      <c r="H537" s="1200">
        <v>6688</v>
      </c>
      <c r="I537" s="1200">
        <v>3537</v>
      </c>
      <c r="J537" s="1007">
        <v>27</v>
      </c>
      <c r="K537" s="1007">
        <v>16254</v>
      </c>
      <c r="L537" s="1270"/>
      <c r="M537" s="1198">
        <v>0</v>
      </c>
      <c r="N537" s="1198">
        <v>0</v>
      </c>
      <c r="O537" s="1007">
        <v>1101</v>
      </c>
      <c r="P537" s="1007">
        <v>1101</v>
      </c>
      <c r="Q537" s="1270"/>
      <c r="R537" s="1200">
        <v>16344</v>
      </c>
      <c r="S537" s="1007">
        <v>-457</v>
      </c>
      <c r="T537" s="1306">
        <v>15887</v>
      </c>
    </row>
    <row r="538" spans="1:20" x14ac:dyDescent="0.25">
      <c r="A538" s="1203">
        <v>95801</v>
      </c>
      <c r="B538" s="1204" t="s">
        <v>3162</v>
      </c>
      <c r="C538" s="1303">
        <v>9.2270000000000004E-4</v>
      </c>
      <c r="D538" s="1303">
        <v>9.5739999999999996E-4</v>
      </c>
      <c r="E538" s="1007">
        <v>3297200</v>
      </c>
      <c r="F538" s="1270"/>
      <c r="G538" s="1200">
        <v>416379</v>
      </c>
      <c r="H538" s="1200">
        <v>463992</v>
      </c>
      <c r="I538" s="1200">
        <v>245376</v>
      </c>
      <c r="J538" s="1007">
        <v>24461</v>
      </c>
      <c r="K538" s="1007">
        <v>1150208</v>
      </c>
      <c r="L538" s="1270"/>
      <c r="M538" s="1198">
        <v>0</v>
      </c>
      <c r="N538" s="1198">
        <v>0</v>
      </c>
      <c r="O538" s="1007">
        <v>3258</v>
      </c>
      <c r="P538" s="1007">
        <v>3258</v>
      </c>
      <c r="Q538" s="1270"/>
      <c r="R538" s="1200">
        <v>1133883</v>
      </c>
      <c r="S538" s="1007">
        <v>17662</v>
      </c>
      <c r="T538" s="1306">
        <v>1151545</v>
      </c>
    </row>
    <row r="539" spans="1:20" x14ac:dyDescent="0.25">
      <c r="A539" s="1203">
        <v>95802</v>
      </c>
      <c r="B539" s="1204" t="s">
        <v>3163</v>
      </c>
      <c r="C539" s="1303">
        <v>4.6999999999999999E-6</v>
      </c>
      <c r="D539" s="1303">
        <v>4.5000000000000001E-6</v>
      </c>
      <c r="E539" s="1007">
        <v>16795</v>
      </c>
      <c r="F539" s="1270"/>
      <c r="G539" s="1200">
        <v>2121</v>
      </c>
      <c r="H539" s="1200">
        <v>2364</v>
      </c>
      <c r="I539" s="1200">
        <v>1250</v>
      </c>
      <c r="J539" s="1007">
        <v>6444</v>
      </c>
      <c r="K539" s="1007">
        <v>12179</v>
      </c>
      <c r="L539" s="1270"/>
      <c r="M539" s="1198">
        <v>0</v>
      </c>
      <c r="N539" s="1198">
        <v>0</v>
      </c>
      <c r="O539" s="1007">
        <v>0</v>
      </c>
      <c r="P539" s="1007">
        <v>0</v>
      </c>
      <c r="Q539" s="1270"/>
      <c r="R539" s="1200">
        <v>5776</v>
      </c>
      <c r="S539" s="1007">
        <v>2870</v>
      </c>
      <c r="T539" s="1306">
        <v>8646</v>
      </c>
    </row>
    <row r="540" spans="1:20" x14ac:dyDescent="0.25">
      <c r="A540" s="1203">
        <v>95804</v>
      </c>
      <c r="B540" s="1204" t="s">
        <v>3164</v>
      </c>
      <c r="C540" s="1303">
        <v>2.6100000000000001E-5</v>
      </c>
      <c r="D540" s="1303">
        <v>2.5999999999999998E-5</v>
      </c>
      <c r="E540" s="1007">
        <v>93266</v>
      </c>
      <c r="F540" s="1270"/>
      <c r="G540" s="1200">
        <v>11778</v>
      </c>
      <c r="H540" s="1200">
        <v>13125</v>
      </c>
      <c r="I540" s="1200">
        <v>6941</v>
      </c>
      <c r="J540" s="1007">
        <v>1079</v>
      </c>
      <c r="K540" s="1007">
        <v>32923</v>
      </c>
      <c r="L540" s="1270"/>
      <c r="M540" s="1198">
        <v>0</v>
      </c>
      <c r="N540" s="1198">
        <v>0</v>
      </c>
      <c r="O540" s="1007">
        <v>3381</v>
      </c>
      <c r="P540" s="1007">
        <v>3381</v>
      </c>
      <c r="Q540" s="1270"/>
      <c r="R540" s="1200">
        <v>32074</v>
      </c>
      <c r="S540" s="1007">
        <v>-561</v>
      </c>
      <c r="T540" s="1306">
        <v>31513</v>
      </c>
    </row>
    <row r="541" spans="1:20" x14ac:dyDescent="0.25">
      <c r="A541" s="1203">
        <v>95811</v>
      </c>
      <c r="B541" s="1204" t="s">
        <v>3165</v>
      </c>
      <c r="C541" s="1303">
        <v>5.5400000000000002E-4</v>
      </c>
      <c r="D541" s="1303">
        <v>5.287E-4</v>
      </c>
      <c r="E541" s="1007">
        <v>1979678</v>
      </c>
      <c r="F541" s="1270"/>
      <c r="G541" s="1200">
        <v>249999</v>
      </c>
      <c r="H541" s="1200">
        <v>278586</v>
      </c>
      <c r="I541" s="1200">
        <v>147327</v>
      </c>
      <c r="J541" s="1007">
        <v>21463</v>
      </c>
      <c r="K541" s="1007">
        <v>697375</v>
      </c>
      <c r="L541" s="1270"/>
      <c r="M541" s="1198">
        <v>0</v>
      </c>
      <c r="N541" s="1198">
        <v>0</v>
      </c>
      <c r="O541" s="1007">
        <v>469</v>
      </c>
      <c r="P541" s="1007">
        <v>469</v>
      </c>
      <c r="Q541" s="1270"/>
      <c r="R541" s="1200">
        <v>680797</v>
      </c>
      <c r="S541" s="1007">
        <v>7128</v>
      </c>
      <c r="T541" s="1306">
        <v>687925</v>
      </c>
    </row>
    <row r="542" spans="1:20" x14ac:dyDescent="0.25">
      <c r="A542" s="1203">
        <v>95813</v>
      </c>
      <c r="B542" s="1204" t="s">
        <v>3166</v>
      </c>
      <c r="C542" s="1303">
        <v>4.21E-5</v>
      </c>
      <c r="D542" s="1303">
        <v>4.4100000000000001E-5</v>
      </c>
      <c r="E542" s="1007">
        <v>150441</v>
      </c>
      <c r="F542" s="1270"/>
      <c r="G542" s="1200">
        <v>18998</v>
      </c>
      <c r="H542" s="1200">
        <v>21170</v>
      </c>
      <c r="I542" s="1200">
        <v>11196</v>
      </c>
      <c r="J542" s="1007">
        <v>51588</v>
      </c>
      <c r="K542" s="1007">
        <v>102952</v>
      </c>
      <c r="L542" s="1270"/>
      <c r="M542" s="1198">
        <v>0</v>
      </c>
      <c r="N542" s="1198">
        <v>0</v>
      </c>
      <c r="O542" s="1007">
        <v>0</v>
      </c>
      <c r="P542" s="1007">
        <v>0</v>
      </c>
      <c r="Q542" s="1270"/>
      <c r="R542" s="1200">
        <v>51736</v>
      </c>
      <c r="S542" s="1007">
        <v>33260</v>
      </c>
      <c r="T542" s="1306">
        <v>84996</v>
      </c>
    </row>
    <row r="543" spans="1:20" x14ac:dyDescent="0.25">
      <c r="A543" s="1203">
        <v>95821</v>
      </c>
      <c r="B543" s="1204" t="s">
        <v>3167</v>
      </c>
      <c r="C543" s="1303">
        <v>5.9000000000000003E-6</v>
      </c>
      <c r="D543" s="1303">
        <v>6.3999999999999997E-6</v>
      </c>
      <c r="E543" s="1007">
        <v>21083</v>
      </c>
      <c r="F543" s="1270"/>
      <c r="G543" s="1200">
        <v>2662</v>
      </c>
      <c r="H543" s="1200">
        <v>2966</v>
      </c>
      <c r="I543" s="1200">
        <v>1569</v>
      </c>
      <c r="J543" s="1007">
        <v>4459</v>
      </c>
      <c r="K543" s="1007">
        <v>11656</v>
      </c>
      <c r="L543" s="1270"/>
      <c r="M543" s="1198">
        <v>0</v>
      </c>
      <c r="N543" s="1198">
        <v>0</v>
      </c>
      <c r="O543" s="1007">
        <v>854</v>
      </c>
      <c r="P543" s="1007">
        <v>854</v>
      </c>
      <c r="Q543" s="1270"/>
      <c r="R543" s="1200">
        <v>7250</v>
      </c>
      <c r="S543" s="1007">
        <v>1454</v>
      </c>
      <c r="T543" s="1306">
        <v>8704</v>
      </c>
    </row>
    <row r="544" spans="1:20" x14ac:dyDescent="0.25">
      <c r="A544" s="1203">
        <v>95831</v>
      </c>
      <c r="B544" s="1204" t="s">
        <v>3168</v>
      </c>
      <c r="C544" s="1303">
        <v>1.3699999999999999E-5</v>
      </c>
      <c r="D544" s="1303">
        <v>1.9899999999999999E-5</v>
      </c>
      <c r="E544" s="1007">
        <v>48956</v>
      </c>
      <c r="F544" s="1270"/>
      <c r="G544" s="1200">
        <v>6182</v>
      </c>
      <c r="H544" s="1200">
        <v>6889</v>
      </c>
      <c r="I544" s="1200">
        <v>3643</v>
      </c>
      <c r="J544" s="1007">
        <v>14138</v>
      </c>
      <c r="K544" s="1007">
        <v>30852</v>
      </c>
      <c r="L544" s="1270"/>
      <c r="M544" s="1198">
        <v>0</v>
      </c>
      <c r="N544" s="1198">
        <v>0</v>
      </c>
      <c r="O544" s="1007">
        <v>0</v>
      </c>
      <c r="P544" s="1007">
        <v>0</v>
      </c>
      <c r="Q544" s="1270"/>
      <c r="R544" s="1200">
        <v>16836</v>
      </c>
      <c r="S544" s="1007">
        <v>9526</v>
      </c>
      <c r="T544" s="1306">
        <v>26362</v>
      </c>
    </row>
    <row r="545" spans="1:20" x14ac:dyDescent="0.25">
      <c r="A545" s="1203">
        <v>95841</v>
      </c>
      <c r="B545" s="1204" t="s">
        <v>3169</v>
      </c>
      <c r="C545" s="1303">
        <v>2.6400000000000001E-5</v>
      </c>
      <c r="D545" s="1303">
        <v>2.58E-5</v>
      </c>
      <c r="E545" s="1007">
        <v>94338</v>
      </c>
      <c r="F545" s="1270"/>
      <c r="G545" s="1200">
        <v>11913</v>
      </c>
      <c r="H545" s="1200">
        <v>13275</v>
      </c>
      <c r="I545" s="1200">
        <v>7021</v>
      </c>
      <c r="J545" s="1007">
        <v>4078</v>
      </c>
      <c r="K545" s="1007">
        <v>36287</v>
      </c>
      <c r="L545" s="1270"/>
      <c r="M545" s="1198">
        <v>0</v>
      </c>
      <c r="N545" s="1198">
        <v>0</v>
      </c>
      <c r="O545" s="1007">
        <v>870</v>
      </c>
      <c r="P545" s="1007">
        <v>870</v>
      </c>
      <c r="Q545" s="1270"/>
      <c r="R545" s="1200">
        <v>32442</v>
      </c>
      <c r="S545" s="1007">
        <v>1574</v>
      </c>
      <c r="T545" s="1306">
        <v>34016</v>
      </c>
    </row>
    <row r="546" spans="1:20" x14ac:dyDescent="0.25">
      <c r="A546" s="1203">
        <v>95851</v>
      </c>
      <c r="B546" s="1204" t="s">
        <v>3170</v>
      </c>
      <c r="C546" s="1303">
        <v>1.261E-4</v>
      </c>
      <c r="D546" s="1303">
        <v>1.26E-4</v>
      </c>
      <c r="E546" s="1007">
        <v>450609</v>
      </c>
      <c r="F546" s="1270"/>
      <c r="G546" s="1200">
        <v>56904</v>
      </c>
      <c r="H546" s="1200">
        <v>63411</v>
      </c>
      <c r="I546" s="1200">
        <v>33534</v>
      </c>
      <c r="J546" s="1007">
        <v>84717</v>
      </c>
      <c r="K546" s="1007">
        <v>238566</v>
      </c>
      <c r="L546" s="1270"/>
      <c r="M546" s="1198">
        <v>0</v>
      </c>
      <c r="N546" s="1198">
        <v>0</v>
      </c>
      <c r="O546" s="1007">
        <v>1420</v>
      </c>
      <c r="P546" s="1007">
        <v>1420</v>
      </c>
      <c r="Q546" s="1270"/>
      <c r="R546" s="1200">
        <v>154961</v>
      </c>
      <c r="S546" s="1007">
        <v>55880</v>
      </c>
      <c r="T546" s="1306">
        <v>210841</v>
      </c>
    </row>
    <row r="547" spans="1:20" x14ac:dyDescent="0.25">
      <c r="A547" s="1203">
        <v>95853</v>
      </c>
      <c r="B547" s="1204" t="s">
        <v>3171</v>
      </c>
      <c r="C547" s="1303">
        <v>2.97E-5</v>
      </c>
      <c r="D547" s="1303">
        <v>3.0300000000000001E-5</v>
      </c>
      <c r="E547" s="1007">
        <v>106131</v>
      </c>
      <c r="F547" s="1270"/>
      <c r="G547" s="1200">
        <v>13402</v>
      </c>
      <c r="H547" s="1200">
        <v>14935</v>
      </c>
      <c r="I547" s="1200">
        <v>7898</v>
      </c>
      <c r="J547" s="1007">
        <v>2713</v>
      </c>
      <c r="K547" s="1007">
        <v>38948</v>
      </c>
      <c r="L547" s="1270"/>
      <c r="M547" s="1198">
        <v>0</v>
      </c>
      <c r="N547" s="1198">
        <v>0</v>
      </c>
      <c r="O547" s="1007">
        <v>596</v>
      </c>
      <c r="P547" s="1007">
        <v>596</v>
      </c>
      <c r="Q547" s="1270"/>
      <c r="R547" s="1200">
        <v>36498</v>
      </c>
      <c r="S547" s="1007">
        <v>2448</v>
      </c>
      <c r="T547" s="1306">
        <v>38946</v>
      </c>
    </row>
    <row r="548" spans="1:20" x14ac:dyDescent="0.25">
      <c r="A548" s="1203">
        <v>95901</v>
      </c>
      <c r="B548" s="1204" t="s">
        <v>3172</v>
      </c>
      <c r="C548" s="1303">
        <v>1.9843999999999999E-3</v>
      </c>
      <c r="D548" s="1303">
        <v>1.9935E-3</v>
      </c>
      <c r="E548" s="1007">
        <v>7091107</v>
      </c>
      <c r="F548" s="1270"/>
      <c r="G548" s="1200">
        <v>895482</v>
      </c>
      <c r="H548" s="1200">
        <v>997883</v>
      </c>
      <c r="I548" s="1200">
        <v>527717</v>
      </c>
      <c r="J548" s="1007">
        <v>0</v>
      </c>
      <c r="K548" s="1007">
        <v>2421082</v>
      </c>
      <c r="L548" s="1270"/>
      <c r="M548" s="1198">
        <v>0</v>
      </c>
      <c r="N548" s="1198">
        <v>0</v>
      </c>
      <c r="O548" s="1007">
        <v>33996</v>
      </c>
      <c r="P548" s="1007">
        <v>33996</v>
      </c>
      <c r="Q548" s="1270"/>
      <c r="R548" s="1200">
        <v>2438580</v>
      </c>
      <c r="S548" s="1007">
        <v>-14874</v>
      </c>
      <c r="T548" s="1306">
        <v>2423706</v>
      </c>
    </row>
    <row r="549" spans="1:20" x14ac:dyDescent="0.25">
      <c r="A549" s="1203">
        <v>95908</v>
      </c>
      <c r="B549" s="1204" t="s">
        <v>3173</v>
      </c>
      <c r="C549" s="1303">
        <v>5.7399999999999999E-5</v>
      </c>
      <c r="D549" s="1303">
        <v>7.1500000000000003E-5</v>
      </c>
      <c r="E549" s="1007">
        <v>205115</v>
      </c>
      <c r="F549" s="1270"/>
      <c r="G549" s="1200">
        <v>25902</v>
      </c>
      <c r="H549" s="1200">
        <v>28864</v>
      </c>
      <c r="I549" s="1200">
        <v>15265</v>
      </c>
      <c r="J549" s="1007">
        <v>1598</v>
      </c>
      <c r="K549" s="1007">
        <v>71629</v>
      </c>
      <c r="L549" s="1270"/>
      <c r="M549" s="1198">
        <v>0</v>
      </c>
      <c r="N549" s="1198">
        <v>0</v>
      </c>
      <c r="O549" s="1007">
        <v>27109</v>
      </c>
      <c r="P549" s="1007">
        <v>27109</v>
      </c>
      <c r="Q549" s="1270"/>
      <c r="R549" s="1200">
        <v>70537</v>
      </c>
      <c r="S549" s="1007">
        <v>-11351</v>
      </c>
      <c r="T549" s="1306">
        <v>59186</v>
      </c>
    </row>
    <row r="550" spans="1:20" x14ac:dyDescent="0.25">
      <c r="A550" s="1203">
        <v>95911</v>
      </c>
      <c r="B550" s="1204" t="s">
        <v>3174</v>
      </c>
      <c r="C550" s="1303">
        <v>5.5429999999999998E-4</v>
      </c>
      <c r="D550" s="1303">
        <v>5.6829999999999999E-4</v>
      </c>
      <c r="E550" s="1007">
        <v>1980750</v>
      </c>
      <c r="F550" s="1270"/>
      <c r="G550" s="1200">
        <v>250134</v>
      </c>
      <c r="H550" s="1200">
        <v>278737</v>
      </c>
      <c r="I550" s="1200">
        <v>147407</v>
      </c>
      <c r="J550" s="1007">
        <v>0</v>
      </c>
      <c r="K550" s="1007">
        <v>676278</v>
      </c>
      <c r="L550" s="1270"/>
      <c r="M550" s="1198">
        <v>0</v>
      </c>
      <c r="N550" s="1198">
        <v>0</v>
      </c>
      <c r="O550" s="1007">
        <v>47824</v>
      </c>
      <c r="P550" s="1007">
        <v>47824</v>
      </c>
      <c r="Q550" s="1270"/>
      <c r="R550" s="1200">
        <v>681165</v>
      </c>
      <c r="S550" s="1007">
        <v>-27580</v>
      </c>
      <c r="T550" s="1306">
        <v>653585</v>
      </c>
    </row>
    <row r="551" spans="1:20" x14ac:dyDescent="0.25">
      <c r="A551" s="1203">
        <v>95917</v>
      </c>
      <c r="B551" s="1204" t="s">
        <v>3175</v>
      </c>
      <c r="C551" s="1303">
        <v>2.2099999999999998E-5</v>
      </c>
      <c r="D551" s="1303">
        <v>1.8600000000000001E-5</v>
      </c>
      <c r="E551" s="1007">
        <v>78973</v>
      </c>
      <c r="F551" s="1270"/>
      <c r="G551" s="1200">
        <v>9973</v>
      </c>
      <c r="H551" s="1200">
        <v>11113</v>
      </c>
      <c r="I551" s="1200">
        <v>5877</v>
      </c>
      <c r="J551" s="1007">
        <v>7363</v>
      </c>
      <c r="K551" s="1007">
        <v>34326</v>
      </c>
      <c r="L551" s="1270"/>
      <c r="M551" s="1198">
        <v>0</v>
      </c>
      <c r="N551" s="1198">
        <v>0</v>
      </c>
      <c r="O551" s="1007">
        <v>1592</v>
      </c>
      <c r="P551" s="1007">
        <v>1592</v>
      </c>
      <c r="Q551" s="1270"/>
      <c r="R551" s="1200">
        <v>27158</v>
      </c>
      <c r="S551" s="1007">
        <v>1818</v>
      </c>
      <c r="T551" s="1306">
        <v>28976</v>
      </c>
    </row>
    <row r="552" spans="1:20" x14ac:dyDescent="0.25">
      <c r="A552" s="1203">
        <v>95921</v>
      </c>
      <c r="B552" s="1204" t="s">
        <v>3176</v>
      </c>
      <c r="C552" s="1303">
        <v>5.0099999999999998E-5</v>
      </c>
      <c r="D552" s="1303">
        <v>5.4200000000000003E-5</v>
      </c>
      <c r="E552" s="1007">
        <v>179029</v>
      </c>
      <c r="F552" s="1270"/>
      <c r="G552" s="1200">
        <v>22608</v>
      </c>
      <c r="H552" s="1200">
        <v>25193</v>
      </c>
      <c r="I552" s="1200">
        <v>13323</v>
      </c>
      <c r="J552" s="1007">
        <v>4681</v>
      </c>
      <c r="K552" s="1007">
        <v>65805</v>
      </c>
      <c r="L552" s="1270"/>
      <c r="M552" s="1198">
        <v>0</v>
      </c>
      <c r="N552" s="1198">
        <v>0</v>
      </c>
      <c r="O552" s="1007">
        <v>1802</v>
      </c>
      <c r="P552" s="1007">
        <v>1802</v>
      </c>
      <c r="Q552" s="1270"/>
      <c r="R552" s="1200">
        <v>61567</v>
      </c>
      <c r="S552" s="1007">
        <v>2081</v>
      </c>
      <c r="T552" s="1306">
        <v>63648</v>
      </c>
    </row>
    <row r="553" spans="1:20" x14ac:dyDescent="0.25">
      <c r="A553" s="1203">
        <v>96001</v>
      </c>
      <c r="B553" s="1204" t="s">
        <v>3177</v>
      </c>
      <c r="C553" s="1303">
        <v>4.6503500000000003E-2</v>
      </c>
      <c r="D553" s="1303">
        <v>4.3367500000000003E-2</v>
      </c>
      <c r="E553" s="1007">
        <v>166176816</v>
      </c>
      <c r="F553" s="1270"/>
      <c r="G553" s="1200">
        <v>20985216</v>
      </c>
      <c r="H553" s="1200">
        <v>23384936</v>
      </c>
      <c r="I553" s="1200">
        <v>12366815</v>
      </c>
      <c r="J553" s="1007">
        <v>2094382</v>
      </c>
      <c r="K553" s="1007">
        <v>58831349</v>
      </c>
      <c r="L553" s="1270"/>
      <c r="M553" s="1198">
        <v>0</v>
      </c>
      <c r="N553" s="1198">
        <v>0</v>
      </c>
      <c r="O553" s="1007">
        <v>401337</v>
      </c>
      <c r="P553" s="1007">
        <v>401337</v>
      </c>
      <c r="Q553" s="1270"/>
      <c r="R553" s="1200">
        <v>57146989</v>
      </c>
      <c r="S553" s="1007">
        <v>426740</v>
      </c>
      <c r="T553" s="1306">
        <v>57573729</v>
      </c>
    </row>
    <row r="554" spans="1:20" x14ac:dyDescent="0.25">
      <c r="A554" s="1203">
        <v>96003</v>
      </c>
      <c r="B554" s="1204" t="s">
        <v>3178</v>
      </c>
      <c r="C554" s="1303">
        <v>1.781E-3</v>
      </c>
      <c r="D554" s="1303">
        <v>1.6620000000000001E-3</v>
      </c>
      <c r="E554" s="1007">
        <v>6364272</v>
      </c>
      <c r="F554" s="1270"/>
      <c r="G554" s="1200">
        <v>803696</v>
      </c>
      <c r="H554" s="1200">
        <v>895601</v>
      </c>
      <c r="I554" s="1200">
        <v>473627</v>
      </c>
      <c r="J554" s="1007">
        <v>204555</v>
      </c>
      <c r="K554" s="1007">
        <v>2377479</v>
      </c>
      <c r="L554" s="1270"/>
      <c r="M554" s="1198">
        <v>0</v>
      </c>
      <c r="N554" s="1198">
        <v>0</v>
      </c>
      <c r="O554" s="1007">
        <v>57974</v>
      </c>
      <c r="P554" s="1007">
        <v>57974</v>
      </c>
      <c r="Q554" s="1270"/>
      <c r="R554" s="1200">
        <v>2188626</v>
      </c>
      <c r="S554" s="1007">
        <v>17277</v>
      </c>
      <c r="T554" s="1306">
        <v>2205903</v>
      </c>
    </row>
    <row r="555" spans="1:20" x14ac:dyDescent="0.25">
      <c r="A555" s="1203">
        <v>96004</v>
      </c>
      <c r="B555" s="1204" t="s">
        <v>3179</v>
      </c>
      <c r="C555" s="1303">
        <v>9.8489999999999992E-4</v>
      </c>
      <c r="D555" s="1303">
        <v>9.3959999999999996E-4</v>
      </c>
      <c r="E555" s="1007">
        <v>3519467</v>
      </c>
      <c r="F555" s="1270"/>
      <c r="G555" s="1200">
        <v>444447</v>
      </c>
      <c r="H555" s="1200">
        <v>495271</v>
      </c>
      <c r="I555" s="1200">
        <v>261917</v>
      </c>
      <c r="J555" s="1007">
        <v>219966</v>
      </c>
      <c r="K555" s="1007">
        <v>1421601</v>
      </c>
      <c r="L555" s="1270"/>
      <c r="M555" s="1198">
        <v>0</v>
      </c>
      <c r="N555" s="1198">
        <v>0</v>
      </c>
      <c r="O555" s="1007">
        <v>0</v>
      </c>
      <c r="P555" s="1007">
        <v>0</v>
      </c>
      <c r="Q555" s="1270"/>
      <c r="R555" s="1200">
        <v>1210319</v>
      </c>
      <c r="S555" s="1007">
        <v>100427</v>
      </c>
      <c r="T555" s="1306">
        <v>1310746</v>
      </c>
    </row>
    <row r="556" spans="1:20" x14ac:dyDescent="0.25">
      <c r="A556" s="1203">
        <v>96005</v>
      </c>
      <c r="B556" s="1204" t="s">
        <v>3180</v>
      </c>
      <c r="C556" s="1303">
        <v>2.4903999999999998E-3</v>
      </c>
      <c r="D556" s="1303">
        <v>2.4467E-3</v>
      </c>
      <c r="E556" s="1007">
        <v>8899260</v>
      </c>
      <c r="F556" s="1270"/>
      <c r="G556" s="1200">
        <v>1123820</v>
      </c>
      <c r="H556" s="1200">
        <v>1252332</v>
      </c>
      <c r="I556" s="1200">
        <v>662280</v>
      </c>
      <c r="J556" s="1007">
        <v>125109</v>
      </c>
      <c r="K556" s="1007">
        <v>3163541</v>
      </c>
      <c r="L556" s="1270"/>
      <c r="M556" s="1198">
        <v>0</v>
      </c>
      <c r="N556" s="1198">
        <v>0</v>
      </c>
      <c r="O556" s="1007">
        <v>76575</v>
      </c>
      <c r="P556" s="1007">
        <v>76575</v>
      </c>
      <c r="Q556" s="1270"/>
      <c r="R556" s="1200">
        <v>3060390</v>
      </c>
      <c r="S556" s="1007">
        <v>23180</v>
      </c>
      <c r="T556" s="1306">
        <v>3083570</v>
      </c>
    </row>
    <row r="557" spans="1:20" x14ac:dyDescent="0.25">
      <c r="A557" s="1203">
        <v>96008</v>
      </c>
      <c r="B557" s="1204" t="s">
        <v>3181</v>
      </c>
      <c r="C557" s="1303">
        <v>6.1444999999999998E-3</v>
      </c>
      <c r="D557" s="1303">
        <v>6.1741000000000001E-3</v>
      </c>
      <c r="E557" s="1007">
        <v>21956916</v>
      </c>
      <c r="F557" s="1270"/>
      <c r="G557" s="1200">
        <v>2772773</v>
      </c>
      <c r="H557" s="1200">
        <v>3089848</v>
      </c>
      <c r="I557" s="1200">
        <v>1634025</v>
      </c>
      <c r="J557" s="1007">
        <v>0</v>
      </c>
      <c r="K557" s="1007">
        <v>7496646</v>
      </c>
      <c r="L557" s="1270"/>
      <c r="M557" s="1198">
        <v>0</v>
      </c>
      <c r="N557" s="1198">
        <v>0</v>
      </c>
      <c r="O557" s="1007">
        <v>1493251</v>
      </c>
      <c r="P557" s="1007">
        <v>1493251</v>
      </c>
      <c r="Q557" s="1270"/>
      <c r="R557" s="1200">
        <v>7550822</v>
      </c>
      <c r="S557" s="1007">
        <v>-665377</v>
      </c>
      <c r="T557" s="1306">
        <v>6885445</v>
      </c>
    </row>
    <row r="558" spans="1:20" x14ac:dyDescent="0.25">
      <c r="A558" s="1203">
        <v>96009</v>
      </c>
      <c r="B558" s="1204" t="s">
        <v>3182</v>
      </c>
      <c r="C558" s="1303">
        <v>3.814E-4</v>
      </c>
      <c r="D558" s="1303">
        <v>3.5409999999999999E-4</v>
      </c>
      <c r="E558" s="1007">
        <v>1362905</v>
      </c>
      <c r="F558" s="1270"/>
      <c r="G558" s="1200">
        <v>172111</v>
      </c>
      <c r="H558" s="1200">
        <v>191792</v>
      </c>
      <c r="I558" s="1200">
        <v>101427</v>
      </c>
      <c r="J558" s="1007">
        <v>64590</v>
      </c>
      <c r="K558" s="1007">
        <v>529920</v>
      </c>
      <c r="L558" s="1270"/>
      <c r="M558" s="1198">
        <v>0</v>
      </c>
      <c r="N558" s="1198">
        <v>0</v>
      </c>
      <c r="O558" s="1007">
        <v>4063</v>
      </c>
      <c r="P558" s="1007">
        <v>4063</v>
      </c>
      <c r="Q558" s="1270"/>
      <c r="R558" s="1200">
        <v>468693</v>
      </c>
      <c r="S558" s="1007">
        <v>25977</v>
      </c>
      <c r="T558" s="1306">
        <v>494670</v>
      </c>
    </row>
    <row r="559" spans="1:20" x14ac:dyDescent="0.25">
      <c r="A559" s="1203">
        <v>96011</v>
      </c>
      <c r="B559" s="1204" t="s">
        <v>3183</v>
      </c>
      <c r="C559" s="1303">
        <v>6.4782000000000006E-2</v>
      </c>
      <c r="D559" s="1303">
        <v>6.3204399999999994E-2</v>
      </c>
      <c r="E559" s="1007">
        <v>231493683</v>
      </c>
      <c r="F559" s="1270"/>
      <c r="G559" s="1200">
        <v>29233590</v>
      </c>
      <c r="H559" s="1200">
        <v>32576536</v>
      </c>
      <c r="I559" s="1200">
        <v>17227672</v>
      </c>
      <c r="J559" s="1007">
        <v>4081980</v>
      </c>
      <c r="K559" s="1007">
        <v>83119778</v>
      </c>
      <c r="L559" s="1270"/>
      <c r="M559" s="1198">
        <v>0</v>
      </c>
      <c r="N559" s="1198">
        <v>0</v>
      </c>
      <c r="O559" s="1007">
        <v>0</v>
      </c>
      <c r="P559" s="1007">
        <v>0</v>
      </c>
      <c r="Q559" s="1270"/>
      <c r="R559" s="1200">
        <v>79608980</v>
      </c>
      <c r="S559" s="1007">
        <v>1535105</v>
      </c>
      <c r="T559" s="1306">
        <v>81144085</v>
      </c>
    </row>
    <row r="560" spans="1:20" x14ac:dyDescent="0.25">
      <c r="A560" s="1203">
        <v>96012</v>
      </c>
      <c r="B560" s="1204" t="s">
        <v>3184</v>
      </c>
      <c r="C560" s="1303">
        <v>2.4705999999999999E-3</v>
      </c>
      <c r="D560" s="1303">
        <v>2.5593E-3</v>
      </c>
      <c r="E560" s="1007">
        <v>8828506</v>
      </c>
      <c r="F560" s="1270"/>
      <c r="G560" s="1200">
        <v>1114885</v>
      </c>
      <c r="H560" s="1200">
        <v>1242376</v>
      </c>
      <c r="I560" s="1200">
        <v>657014</v>
      </c>
      <c r="J560" s="1007">
        <v>27290</v>
      </c>
      <c r="K560" s="1007">
        <v>3041565</v>
      </c>
      <c r="L560" s="1270"/>
      <c r="M560" s="1198">
        <v>0</v>
      </c>
      <c r="N560" s="1198">
        <v>0</v>
      </c>
      <c r="O560" s="1007">
        <v>111673</v>
      </c>
      <c r="P560" s="1007">
        <v>111673</v>
      </c>
      <c r="Q560" s="1270"/>
      <c r="R560" s="1200">
        <v>3036059</v>
      </c>
      <c r="S560" s="1007">
        <v>-8055</v>
      </c>
      <c r="T560" s="1306">
        <v>3028004</v>
      </c>
    </row>
    <row r="561" spans="1:20" x14ac:dyDescent="0.25">
      <c r="A561" s="1203">
        <v>96018</v>
      </c>
      <c r="B561" s="1204" t="s">
        <v>3185</v>
      </c>
      <c r="C561" s="1303">
        <v>3.57E-5</v>
      </c>
      <c r="D561" s="1303">
        <v>3.4199999999999998E-5</v>
      </c>
      <c r="E561" s="1007">
        <v>127571</v>
      </c>
      <c r="F561" s="1270"/>
      <c r="G561" s="1200">
        <v>16110</v>
      </c>
      <c r="H561" s="1200">
        <v>17953</v>
      </c>
      <c r="I561" s="1200">
        <v>9494</v>
      </c>
      <c r="J561" s="1007">
        <v>5638</v>
      </c>
      <c r="K561" s="1007">
        <v>49195</v>
      </c>
      <c r="L561" s="1270"/>
      <c r="M561" s="1198">
        <v>0</v>
      </c>
      <c r="N561" s="1198">
        <v>0</v>
      </c>
      <c r="O561" s="1007">
        <v>6616</v>
      </c>
      <c r="P561" s="1007">
        <v>6616</v>
      </c>
      <c r="Q561" s="1270"/>
      <c r="R561" s="1200">
        <v>43871</v>
      </c>
      <c r="S561" s="1007">
        <v>309</v>
      </c>
      <c r="T561" s="1306">
        <v>44180</v>
      </c>
    </row>
    <row r="562" spans="1:20" x14ac:dyDescent="0.25">
      <c r="A562" s="1203">
        <v>96021</v>
      </c>
      <c r="B562" s="1204" t="s">
        <v>3186</v>
      </c>
      <c r="C562" s="1303">
        <v>7.0450000000000005E-4</v>
      </c>
      <c r="D562" s="1303">
        <v>7.7490000000000002E-4</v>
      </c>
      <c r="E562" s="1007">
        <v>2517479</v>
      </c>
      <c r="F562" s="1270"/>
      <c r="G562" s="1200">
        <v>317913</v>
      </c>
      <c r="H562" s="1200">
        <v>354268</v>
      </c>
      <c r="I562" s="1200">
        <v>187350</v>
      </c>
      <c r="J562" s="1007">
        <v>6872</v>
      </c>
      <c r="K562" s="1007">
        <v>866403</v>
      </c>
      <c r="L562" s="1270"/>
      <c r="M562" s="1198">
        <v>0</v>
      </c>
      <c r="N562" s="1198">
        <v>0</v>
      </c>
      <c r="O562" s="1007">
        <v>106720</v>
      </c>
      <c r="P562" s="1007">
        <v>106720</v>
      </c>
      <c r="Q562" s="1270"/>
      <c r="R562" s="1200">
        <v>865742</v>
      </c>
      <c r="S562" s="1007">
        <v>-56327</v>
      </c>
      <c r="T562" s="1306">
        <v>809415</v>
      </c>
    </row>
    <row r="563" spans="1:20" x14ac:dyDescent="0.25">
      <c r="A563" s="1203">
        <v>96031</v>
      </c>
      <c r="B563" s="1204" t="s">
        <v>3187</v>
      </c>
      <c r="C563" s="1303">
        <v>8.2890000000000004E-4</v>
      </c>
      <c r="D563" s="1303">
        <v>8.3790000000000004E-4</v>
      </c>
      <c r="E563" s="1007">
        <v>2962013</v>
      </c>
      <c r="F563" s="1270"/>
      <c r="G563" s="1200">
        <v>374050</v>
      </c>
      <c r="H563" s="1200">
        <v>416824</v>
      </c>
      <c r="I563" s="1200">
        <v>220432</v>
      </c>
      <c r="J563" s="1007">
        <v>0</v>
      </c>
      <c r="K563" s="1007">
        <v>1011306</v>
      </c>
      <c r="L563" s="1270"/>
      <c r="M563" s="1198">
        <v>0</v>
      </c>
      <c r="N563" s="1198">
        <v>0</v>
      </c>
      <c r="O563" s="1007">
        <v>162004</v>
      </c>
      <c r="P563" s="1007">
        <v>162004</v>
      </c>
      <c r="Q563" s="1270"/>
      <c r="R563" s="1200">
        <v>1018614</v>
      </c>
      <c r="S563" s="1007">
        <v>-80171</v>
      </c>
      <c r="T563" s="1306">
        <v>938443</v>
      </c>
    </row>
    <row r="564" spans="1:20" x14ac:dyDescent="0.25">
      <c r="A564" s="1203">
        <v>96041</v>
      </c>
      <c r="B564" s="1204" t="s">
        <v>3188</v>
      </c>
      <c r="C564" s="1303">
        <v>1.7784000000000001E-3</v>
      </c>
      <c r="D564" s="1303">
        <v>1.7466000000000001E-3</v>
      </c>
      <c r="E564" s="1007">
        <v>6354981</v>
      </c>
      <c r="F564" s="1270"/>
      <c r="G564" s="1200">
        <v>802523</v>
      </c>
      <c r="H564" s="1200">
        <v>894293</v>
      </c>
      <c r="I564" s="1200">
        <v>472935</v>
      </c>
      <c r="J564" s="1007">
        <v>20639</v>
      </c>
      <c r="K564" s="1007">
        <v>2190390</v>
      </c>
      <c r="L564" s="1270"/>
      <c r="M564" s="1198">
        <v>0</v>
      </c>
      <c r="N564" s="1198">
        <v>0</v>
      </c>
      <c r="O564" s="1007">
        <v>55939</v>
      </c>
      <c r="P564" s="1007">
        <v>55939</v>
      </c>
      <c r="Q564" s="1270"/>
      <c r="R564" s="1200">
        <v>2185431</v>
      </c>
      <c r="S564" s="1007">
        <v>-38828</v>
      </c>
      <c r="T564" s="1306">
        <v>2146603</v>
      </c>
    </row>
    <row r="565" spans="1:20" x14ac:dyDescent="0.25">
      <c r="A565" s="1203">
        <v>96051</v>
      </c>
      <c r="B565" s="1204" t="s">
        <v>3189</v>
      </c>
      <c r="C565" s="1303">
        <v>1.0357000000000001E-3</v>
      </c>
      <c r="D565" s="1303">
        <v>9.6909999999999997E-4</v>
      </c>
      <c r="E565" s="1007">
        <v>3700997</v>
      </c>
      <c r="F565" s="1270"/>
      <c r="G565" s="1200">
        <v>467371</v>
      </c>
      <c r="H565" s="1200">
        <v>520817</v>
      </c>
      <c r="I565" s="1200">
        <v>275427</v>
      </c>
      <c r="J565" s="1007">
        <v>51532</v>
      </c>
      <c r="K565" s="1007">
        <v>1315147</v>
      </c>
      <c r="L565" s="1270"/>
      <c r="M565" s="1198">
        <v>0</v>
      </c>
      <c r="N565" s="1198">
        <v>0</v>
      </c>
      <c r="O565" s="1007">
        <v>94374</v>
      </c>
      <c r="P565" s="1007">
        <v>94374</v>
      </c>
      <c r="Q565" s="1270"/>
      <c r="R565" s="1200">
        <v>1272746</v>
      </c>
      <c r="S565" s="1007">
        <v>-33623</v>
      </c>
      <c r="T565" s="1306">
        <v>1239123</v>
      </c>
    </row>
    <row r="566" spans="1:20" x14ac:dyDescent="0.25">
      <c r="A566" s="1203">
        <v>96061</v>
      </c>
      <c r="B566" s="1204" t="s">
        <v>3190</v>
      </c>
      <c r="C566" s="1303">
        <v>3.2640000000000002E-4</v>
      </c>
      <c r="D566" s="1303">
        <v>3.4220000000000002E-4</v>
      </c>
      <c r="E566" s="1007">
        <v>1166366</v>
      </c>
      <c r="F566" s="1270"/>
      <c r="G566" s="1200">
        <v>147292</v>
      </c>
      <c r="H566" s="1200">
        <v>164134</v>
      </c>
      <c r="I566" s="1200">
        <v>86801</v>
      </c>
      <c r="J566" s="1007">
        <v>20016</v>
      </c>
      <c r="K566" s="1007">
        <v>418243</v>
      </c>
      <c r="L566" s="1270"/>
      <c r="M566" s="1198">
        <v>0</v>
      </c>
      <c r="N566" s="1198">
        <v>0</v>
      </c>
      <c r="O566" s="1007">
        <v>27416</v>
      </c>
      <c r="P566" s="1007">
        <v>27416</v>
      </c>
      <c r="Q566" s="1270"/>
      <c r="R566" s="1200">
        <v>401105</v>
      </c>
      <c r="S566" s="1007">
        <v>-1657</v>
      </c>
      <c r="T566" s="1306">
        <v>399448</v>
      </c>
    </row>
    <row r="567" spans="1:20" x14ac:dyDescent="0.25">
      <c r="A567" s="1203">
        <v>96071</v>
      </c>
      <c r="B567" s="1204" t="s">
        <v>3191</v>
      </c>
      <c r="C567" s="1303">
        <v>1.3179000000000001E-3</v>
      </c>
      <c r="D567" s="1303">
        <v>1.3016E-3</v>
      </c>
      <c r="E567" s="1007">
        <v>4709418</v>
      </c>
      <c r="F567" s="1270"/>
      <c r="G567" s="1200">
        <v>594717</v>
      </c>
      <c r="H567" s="1200">
        <v>662724</v>
      </c>
      <c r="I567" s="1200">
        <v>350473</v>
      </c>
      <c r="J567" s="1007">
        <v>178666</v>
      </c>
      <c r="K567" s="1007">
        <v>1786580</v>
      </c>
      <c r="L567" s="1270"/>
      <c r="M567" s="1198">
        <v>0</v>
      </c>
      <c r="N567" s="1198">
        <v>0</v>
      </c>
      <c r="O567" s="1007">
        <v>0</v>
      </c>
      <c r="P567" s="1007">
        <v>0</v>
      </c>
      <c r="Q567" s="1270"/>
      <c r="R567" s="1200">
        <v>1619534</v>
      </c>
      <c r="S567" s="1007">
        <v>50404</v>
      </c>
      <c r="T567" s="1306">
        <v>1669938</v>
      </c>
    </row>
    <row r="568" spans="1:20" x14ac:dyDescent="0.25">
      <c r="A568" s="1203">
        <v>96081</v>
      </c>
      <c r="B568" s="1204" t="s">
        <v>3192</v>
      </c>
      <c r="C568" s="1303">
        <v>5.5960000000000005E-4</v>
      </c>
      <c r="D568" s="1303">
        <v>5.419E-4</v>
      </c>
      <c r="E568" s="1007">
        <v>1999689</v>
      </c>
      <c r="F568" s="1270"/>
      <c r="G568" s="1200">
        <v>252526</v>
      </c>
      <c r="H568" s="1200">
        <v>281403</v>
      </c>
      <c r="I568" s="1200">
        <v>148816</v>
      </c>
      <c r="J568" s="1007">
        <v>17206</v>
      </c>
      <c r="K568" s="1007">
        <v>699951</v>
      </c>
      <c r="L568" s="1270"/>
      <c r="M568" s="1198">
        <v>0</v>
      </c>
      <c r="N568" s="1198">
        <v>0</v>
      </c>
      <c r="O568" s="1007">
        <v>14362</v>
      </c>
      <c r="P568" s="1007">
        <v>14362</v>
      </c>
      <c r="Q568" s="1270"/>
      <c r="R568" s="1200">
        <v>687678</v>
      </c>
      <c r="S568" s="1007">
        <v>2514</v>
      </c>
      <c r="T568" s="1306">
        <v>690192</v>
      </c>
    </row>
    <row r="569" spans="1:20" x14ac:dyDescent="0.25">
      <c r="A569" s="1203">
        <v>96101</v>
      </c>
      <c r="B569" s="1204" t="s">
        <v>3193</v>
      </c>
      <c r="C569" s="1303">
        <v>6.2960000000000002E-4</v>
      </c>
      <c r="D569" s="1303">
        <v>6.4729999999999996E-4</v>
      </c>
      <c r="E569" s="1007">
        <v>2249829</v>
      </c>
      <c r="F569" s="1270"/>
      <c r="G569" s="1200">
        <v>284114</v>
      </c>
      <c r="H569" s="1200">
        <v>316603</v>
      </c>
      <c r="I569" s="1200">
        <v>167431</v>
      </c>
      <c r="J569" s="1007">
        <v>22354</v>
      </c>
      <c r="K569" s="1007">
        <v>790502</v>
      </c>
      <c r="L569" s="1270"/>
      <c r="M569" s="1198">
        <v>0</v>
      </c>
      <c r="N569" s="1198">
        <v>0</v>
      </c>
      <c r="O569" s="1007">
        <v>76328</v>
      </c>
      <c r="P569" s="1007">
        <v>76328</v>
      </c>
      <c r="Q569" s="1270"/>
      <c r="R569" s="1200">
        <v>773700</v>
      </c>
      <c r="S569" s="1007">
        <v>-12651</v>
      </c>
      <c r="T569" s="1306">
        <v>761049</v>
      </c>
    </row>
    <row r="570" spans="1:20" x14ac:dyDescent="0.25">
      <c r="A570" s="1203">
        <v>96102</v>
      </c>
      <c r="B570" s="1204" t="s">
        <v>3194</v>
      </c>
      <c r="C570" s="1303">
        <v>1.1399999999999999E-5</v>
      </c>
      <c r="D570" s="1303">
        <v>1.1600000000000001E-5</v>
      </c>
      <c r="E570" s="1007">
        <v>40737</v>
      </c>
      <c r="F570" s="1270"/>
      <c r="G570" s="1200">
        <v>5144</v>
      </c>
      <c r="H570" s="1200">
        <v>5733</v>
      </c>
      <c r="I570" s="1200">
        <v>3032</v>
      </c>
      <c r="J570" s="1007">
        <v>0</v>
      </c>
      <c r="K570" s="1007">
        <v>13909</v>
      </c>
      <c r="L570" s="1270"/>
      <c r="M570" s="1198">
        <v>0</v>
      </c>
      <c r="N570" s="1198">
        <v>0</v>
      </c>
      <c r="O570" s="1007">
        <v>3617</v>
      </c>
      <c r="P570" s="1007">
        <v>3617</v>
      </c>
      <c r="Q570" s="1270"/>
      <c r="R570" s="1200">
        <v>14009</v>
      </c>
      <c r="S570" s="1007">
        <v>-1737</v>
      </c>
      <c r="T570" s="1306">
        <v>12272</v>
      </c>
    </row>
    <row r="571" spans="1:20" x14ac:dyDescent="0.25">
      <c r="A571" s="1203">
        <v>96111</v>
      </c>
      <c r="B571" s="1204" t="s">
        <v>3195</v>
      </c>
      <c r="C571" s="1303">
        <v>1.6689999999999999E-4</v>
      </c>
      <c r="D571" s="1303">
        <v>1.5809999999999999E-4</v>
      </c>
      <c r="E571" s="1007">
        <v>596405</v>
      </c>
      <c r="F571" s="1270"/>
      <c r="G571" s="1200">
        <v>75315</v>
      </c>
      <c r="H571" s="1200">
        <v>83928</v>
      </c>
      <c r="I571" s="1200">
        <v>44384</v>
      </c>
      <c r="J571" s="1007">
        <v>37672</v>
      </c>
      <c r="K571" s="1007">
        <v>241299</v>
      </c>
      <c r="L571" s="1270"/>
      <c r="M571" s="1198">
        <v>0</v>
      </c>
      <c r="N571" s="1198">
        <v>0</v>
      </c>
      <c r="O571" s="1007">
        <v>419</v>
      </c>
      <c r="P571" s="1007">
        <v>419</v>
      </c>
      <c r="Q571" s="1270"/>
      <c r="R571" s="1200">
        <v>205099</v>
      </c>
      <c r="S571" s="1007">
        <v>13649</v>
      </c>
      <c r="T571" s="1306">
        <v>218748</v>
      </c>
    </row>
    <row r="572" spans="1:20" x14ac:dyDescent="0.25">
      <c r="A572" s="1203">
        <v>96121</v>
      </c>
      <c r="B572" s="1204" t="s">
        <v>3196</v>
      </c>
      <c r="C572" s="1303">
        <v>1.6699999999999999E-5</v>
      </c>
      <c r="D572" s="1303">
        <v>2.4300000000000001E-5</v>
      </c>
      <c r="E572" s="1007">
        <v>59676</v>
      </c>
      <c r="F572" s="1270"/>
      <c r="G572" s="1200">
        <v>7536</v>
      </c>
      <c r="H572" s="1200">
        <v>8398</v>
      </c>
      <c r="I572" s="1200">
        <v>4441</v>
      </c>
      <c r="J572" s="1007">
        <v>277</v>
      </c>
      <c r="K572" s="1007">
        <v>20652</v>
      </c>
      <c r="L572" s="1270"/>
      <c r="M572" s="1198">
        <v>0</v>
      </c>
      <c r="N572" s="1198">
        <v>0</v>
      </c>
      <c r="O572" s="1007">
        <v>10748</v>
      </c>
      <c r="P572" s="1007">
        <v>10748</v>
      </c>
      <c r="Q572" s="1270"/>
      <c r="R572" s="1200">
        <v>20522</v>
      </c>
      <c r="S572" s="1007">
        <v>-3616</v>
      </c>
      <c r="T572" s="1306">
        <v>16906</v>
      </c>
    </row>
    <row r="573" spans="1:20" x14ac:dyDescent="0.25">
      <c r="A573" s="1203">
        <v>96201</v>
      </c>
      <c r="B573" s="1204" t="s">
        <v>3197</v>
      </c>
      <c r="C573" s="1303">
        <v>9.7280000000000001E-4</v>
      </c>
      <c r="D573" s="1303">
        <v>1.0575000000000001E-3</v>
      </c>
      <c r="E573" s="1007">
        <v>3476229</v>
      </c>
      <c r="F573" s="1270"/>
      <c r="G573" s="1200">
        <v>438987</v>
      </c>
      <c r="H573" s="1200">
        <v>489186</v>
      </c>
      <c r="I573" s="1200">
        <v>258700</v>
      </c>
      <c r="J573" s="1007">
        <v>0</v>
      </c>
      <c r="K573" s="1007">
        <v>1186873</v>
      </c>
      <c r="L573" s="1270"/>
      <c r="M573" s="1198">
        <v>0</v>
      </c>
      <c r="N573" s="1198">
        <v>0</v>
      </c>
      <c r="O573" s="1007">
        <v>126544</v>
      </c>
      <c r="P573" s="1007">
        <v>126544</v>
      </c>
      <c r="Q573" s="1270"/>
      <c r="R573" s="1200">
        <v>1195450</v>
      </c>
      <c r="S573" s="1007">
        <v>-60397</v>
      </c>
      <c r="T573" s="1306">
        <v>1135053</v>
      </c>
    </row>
    <row r="574" spans="1:20" x14ac:dyDescent="0.25">
      <c r="A574" s="1203">
        <v>96204</v>
      </c>
      <c r="B574" s="1204" t="s">
        <v>3198</v>
      </c>
      <c r="C574" s="1303">
        <v>1.3699999999999999E-5</v>
      </c>
      <c r="D574" s="1303">
        <v>1.42E-5</v>
      </c>
      <c r="E574" s="1007">
        <v>48956</v>
      </c>
      <c r="F574" s="1270"/>
      <c r="G574" s="1200">
        <v>6182</v>
      </c>
      <c r="H574" s="1200">
        <v>6889</v>
      </c>
      <c r="I574" s="1200">
        <v>3643</v>
      </c>
      <c r="J574" s="1007">
        <v>5356</v>
      </c>
      <c r="K574" s="1007">
        <v>22070</v>
      </c>
      <c r="L574" s="1270"/>
      <c r="M574" s="1198">
        <v>0</v>
      </c>
      <c r="N574" s="1198">
        <v>0</v>
      </c>
      <c r="O574" s="1007">
        <v>0</v>
      </c>
      <c r="P574" s="1007">
        <v>0</v>
      </c>
      <c r="Q574" s="1270"/>
      <c r="R574" s="1200">
        <v>16836</v>
      </c>
      <c r="S574" s="1007">
        <v>2358</v>
      </c>
      <c r="T574" s="1306">
        <v>19194</v>
      </c>
    </row>
    <row r="575" spans="1:20" x14ac:dyDescent="0.25">
      <c r="A575" s="1203">
        <v>96211</v>
      </c>
      <c r="B575" s="1204" t="s">
        <v>3199</v>
      </c>
      <c r="C575" s="1303">
        <v>2.1999999999999999E-5</v>
      </c>
      <c r="D575" s="1303">
        <v>2.4000000000000001E-5</v>
      </c>
      <c r="E575" s="1007">
        <v>78615</v>
      </c>
      <c r="F575" s="1270"/>
      <c r="G575" s="1200">
        <v>9928</v>
      </c>
      <c r="H575" s="1200">
        <v>11063</v>
      </c>
      <c r="I575" s="1200">
        <v>5851</v>
      </c>
      <c r="J575" s="1007">
        <v>6335</v>
      </c>
      <c r="K575" s="1007">
        <v>33177</v>
      </c>
      <c r="L575" s="1270"/>
      <c r="M575" s="1198">
        <v>0</v>
      </c>
      <c r="N575" s="1198">
        <v>0</v>
      </c>
      <c r="O575" s="1007">
        <v>0</v>
      </c>
      <c r="P575" s="1007">
        <v>0</v>
      </c>
      <c r="Q575" s="1270"/>
      <c r="R575" s="1200">
        <v>27035</v>
      </c>
      <c r="S575" s="1007">
        <v>3248</v>
      </c>
      <c r="T575" s="1306">
        <v>30283</v>
      </c>
    </row>
    <row r="576" spans="1:20" x14ac:dyDescent="0.25">
      <c r="A576" s="1203">
        <v>96221</v>
      </c>
      <c r="B576" s="1204" t="s">
        <v>3200</v>
      </c>
      <c r="C576" s="1303">
        <v>1.964E-4</v>
      </c>
      <c r="D576" s="1303">
        <v>2.141E-4</v>
      </c>
      <c r="E576" s="1007">
        <v>701821</v>
      </c>
      <c r="F576" s="1270"/>
      <c r="G576" s="1200">
        <v>88628</v>
      </c>
      <c r="H576" s="1200">
        <v>98763</v>
      </c>
      <c r="I576" s="1200">
        <v>52229</v>
      </c>
      <c r="J576" s="1007">
        <v>0</v>
      </c>
      <c r="K576" s="1007">
        <v>239620</v>
      </c>
      <c r="L576" s="1270"/>
      <c r="M576" s="1198">
        <v>0</v>
      </c>
      <c r="N576" s="1198">
        <v>0</v>
      </c>
      <c r="O576" s="1007">
        <v>36235</v>
      </c>
      <c r="P576" s="1007">
        <v>36235</v>
      </c>
      <c r="Q576" s="1270"/>
      <c r="R576" s="1200">
        <v>241351</v>
      </c>
      <c r="S576" s="1007">
        <v>-15373</v>
      </c>
      <c r="T576" s="1306">
        <v>225978</v>
      </c>
    </row>
    <row r="577" spans="1:20" x14ac:dyDescent="0.25">
      <c r="A577" s="1203">
        <v>96231</v>
      </c>
      <c r="B577" s="1204" t="s">
        <v>3201</v>
      </c>
      <c r="C577" s="1303">
        <v>1.058E-4</v>
      </c>
      <c r="D577" s="1303">
        <v>1.2349999999999999E-4</v>
      </c>
      <c r="E577" s="1007">
        <v>378068</v>
      </c>
      <c r="F577" s="1270"/>
      <c r="G577" s="1200">
        <v>47743</v>
      </c>
      <c r="H577" s="1200">
        <v>53203</v>
      </c>
      <c r="I577" s="1200">
        <v>28136</v>
      </c>
      <c r="J577" s="1007">
        <v>637</v>
      </c>
      <c r="K577" s="1007">
        <v>129719</v>
      </c>
      <c r="L577" s="1270"/>
      <c r="M577" s="1198">
        <v>0</v>
      </c>
      <c r="N577" s="1198">
        <v>0</v>
      </c>
      <c r="O577" s="1007">
        <v>44833</v>
      </c>
      <c r="P577" s="1007">
        <v>44833</v>
      </c>
      <c r="Q577" s="1270"/>
      <c r="R577" s="1200">
        <v>130015</v>
      </c>
      <c r="S577" s="1007">
        <v>-17896</v>
      </c>
      <c r="T577" s="1306">
        <v>112119</v>
      </c>
    </row>
    <row r="578" spans="1:20" x14ac:dyDescent="0.25">
      <c r="A578" s="1203">
        <v>96241</v>
      </c>
      <c r="B578" s="1204" t="s">
        <v>3202</v>
      </c>
      <c r="C578" s="1303">
        <v>5.9599999999999999E-5</v>
      </c>
      <c r="D578" s="1303">
        <v>6.4499999999999996E-5</v>
      </c>
      <c r="E578" s="1007">
        <v>212976</v>
      </c>
      <c r="F578" s="1270"/>
      <c r="G578" s="1200">
        <v>26895</v>
      </c>
      <c r="H578" s="1200">
        <v>29971</v>
      </c>
      <c r="I578" s="1200">
        <v>15850</v>
      </c>
      <c r="J578" s="1007">
        <v>4811</v>
      </c>
      <c r="K578" s="1007">
        <v>77527</v>
      </c>
      <c r="L578" s="1270"/>
      <c r="M578" s="1198">
        <v>0</v>
      </c>
      <c r="N578" s="1198">
        <v>0</v>
      </c>
      <c r="O578" s="1007">
        <v>11800</v>
      </c>
      <c r="P578" s="1007">
        <v>11800</v>
      </c>
      <c r="Q578" s="1270"/>
      <c r="R578" s="1200">
        <v>73241</v>
      </c>
      <c r="S578" s="1007">
        <v>-3145</v>
      </c>
      <c r="T578" s="1306">
        <v>70096</v>
      </c>
    </row>
    <row r="579" spans="1:20" x14ac:dyDescent="0.25">
      <c r="A579" s="1203">
        <v>96251</v>
      </c>
      <c r="B579" s="1204" t="s">
        <v>3203</v>
      </c>
      <c r="C579" s="1303">
        <v>8.8399999999999994E-5</v>
      </c>
      <c r="D579" s="1303">
        <v>1.004E-4</v>
      </c>
      <c r="E579" s="1007">
        <v>315891</v>
      </c>
      <c r="F579" s="1270"/>
      <c r="G579" s="1200">
        <v>39891</v>
      </c>
      <c r="H579" s="1200">
        <v>44453</v>
      </c>
      <c r="I579" s="1200">
        <v>23508</v>
      </c>
      <c r="J579" s="1007">
        <v>1551</v>
      </c>
      <c r="K579" s="1007">
        <v>109403</v>
      </c>
      <c r="L579" s="1270"/>
      <c r="M579" s="1198">
        <v>0</v>
      </c>
      <c r="N579" s="1198">
        <v>0</v>
      </c>
      <c r="O579" s="1007">
        <v>30061</v>
      </c>
      <c r="P579" s="1007">
        <v>30061</v>
      </c>
      <c r="Q579" s="1270"/>
      <c r="R579" s="1200">
        <v>108633</v>
      </c>
      <c r="S579" s="1007">
        <v>-10702</v>
      </c>
      <c r="T579" s="1306">
        <v>97931</v>
      </c>
    </row>
    <row r="580" spans="1:20" x14ac:dyDescent="0.25">
      <c r="A580" s="1203">
        <v>96301</v>
      </c>
      <c r="B580" s="1204" t="s">
        <v>3204</v>
      </c>
      <c r="C580" s="1303">
        <v>4.7971999999999997E-3</v>
      </c>
      <c r="D580" s="1303">
        <v>4.6904E-3</v>
      </c>
      <c r="E580" s="1007">
        <v>17142439</v>
      </c>
      <c r="F580" s="1270"/>
      <c r="G580" s="1200">
        <v>2164789</v>
      </c>
      <c r="H580" s="1200">
        <v>2412339</v>
      </c>
      <c r="I580" s="1200">
        <v>1275734</v>
      </c>
      <c r="J580" s="1007">
        <v>222100</v>
      </c>
      <c r="K580" s="1007">
        <v>6074962</v>
      </c>
      <c r="L580" s="1270"/>
      <c r="M580" s="1198">
        <v>0</v>
      </c>
      <c r="N580" s="1198">
        <v>0</v>
      </c>
      <c r="O580" s="1007">
        <v>28837</v>
      </c>
      <c r="P580" s="1007">
        <v>28837</v>
      </c>
      <c r="Q580" s="1270"/>
      <c r="R580" s="1200">
        <v>5895159</v>
      </c>
      <c r="S580" s="1007">
        <v>26848</v>
      </c>
      <c r="T580" s="1306">
        <v>5922007</v>
      </c>
    </row>
    <row r="581" spans="1:20" x14ac:dyDescent="0.25">
      <c r="A581" s="1203">
        <v>96302</v>
      </c>
      <c r="B581" s="1204" t="s">
        <v>3205</v>
      </c>
      <c r="C581" s="1303">
        <v>5.2200000000000002E-5</v>
      </c>
      <c r="D581" s="1303">
        <v>2.3600000000000001E-5</v>
      </c>
      <c r="E581" s="1007">
        <v>186533</v>
      </c>
      <c r="F581" s="1270"/>
      <c r="G581" s="1200">
        <v>23556</v>
      </c>
      <c r="H581" s="1200">
        <v>26249</v>
      </c>
      <c r="I581" s="1200">
        <v>13882</v>
      </c>
      <c r="J581" s="1007">
        <v>29665</v>
      </c>
      <c r="K581" s="1007">
        <v>93352</v>
      </c>
      <c r="L581" s="1270"/>
      <c r="M581" s="1198">
        <v>0</v>
      </c>
      <c r="N581" s="1198">
        <v>0</v>
      </c>
      <c r="O581" s="1007">
        <v>374</v>
      </c>
      <c r="P581" s="1007">
        <v>374</v>
      </c>
      <c r="Q581" s="1270"/>
      <c r="R581" s="1200">
        <v>64147</v>
      </c>
      <c r="S581" s="1007">
        <v>10826</v>
      </c>
      <c r="T581" s="1306">
        <v>74973</v>
      </c>
    </row>
    <row r="582" spans="1:20" x14ac:dyDescent="0.25">
      <c r="A582" s="1203">
        <v>96304</v>
      </c>
      <c r="B582" s="1204" t="s">
        <v>3206</v>
      </c>
      <c r="C582" s="1303">
        <v>4.6400000000000003E-5</v>
      </c>
      <c r="D582" s="1303">
        <v>4.3900000000000003E-5</v>
      </c>
      <c r="E582" s="1007">
        <v>165807</v>
      </c>
      <c r="F582" s="1270"/>
      <c r="G582" s="1200">
        <v>20939</v>
      </c>
      <c r="H582" s="1200">
        <v>23333</v>
      </c>
      <c r="I582" s="1200">
        <v>12339</v>
      </c>
      <c r="J582" s="1007">
        <v>12168</v>
      </c>
      <c r="K582" s="1007">
        <v>68779</v>
      </c>
      <c r="L582" s="1270"/>
      <c r="M582" s="1198">
        <v>0</v>
      </c>
      <c r="N582" s="1198">
        <v>0</v>
      </c>
      <c r="O582" s="1007">
        <v>245</v>
      </c>
      <c r="P582" s="1007">
        <v>245</v>
      </c>
      <c r="Q582" s="1270"/>
      <c r="R582" s="1200">
        <v>57020</v>
      </c>
      <c r="S582" s="1007">
        <v>5155</v>
      </c>
      <c r="T582" s="1306">
        <v>62175</v>
      </c>
    </row>
    <row r="583" spans="1:20" x14ac:dyDescent="0.25">
      <c r="A583" s="1203">
        <v>96305</v>
      </c>
      <c r="B583" s="1204" t="s">
        <v>3207</v>
      </c>
      <c r="C583" s="1303">
        <v>4.2799999999999997E-5</v>
      </c>
      <c r="D583" s="1303">
        <v>4.1199999999999999E-5</v>
      </c>
      <c r="E583" s="1007">
        <v>152943</v>
      </c>
      <c r="F583" s="1270"/>
      <c r="G583" s="1200">
        <v>19314</v>
      </c>
      <c r="H583" s="1200">
        <v>21523</v>
      </c>
      <c r="I583" s="1200">
        <v>11382</v>
      </c>
      <c r="J583" s="1007">
        <v>20920</v>
      </c>
      <c r="K583" s="1007">
        <v>73139</v>
      </c>
      <c r="L583" s="1270"/>
      <c r="M583" s="1198">
        <v>0</v>
      </c>
      <c r="N583" s="1198">
        <v>0</v>
      </c>
      <c r="O583" s="1007">
        <v>0</v>
      </c>
      <c r="P583" s="1007">
        <v>0</v>
      </c>
      <c r="Q583" s="1270"/>
      <c r="R583" s="1200">
        <v>52596</v>
      </c>
      <c r="S583" s="1007">
        <v>9846</v>
      </c>
      <c r="T583" s="1306">
        <v>62442</v>
      </c>
    </row>
    <row r="584" spans="1:20" x14ac:dyDescent="0.25">
      <c r="A584" s="1203">
        <v>96310</v>
      </c>
      <c r="B584" s="1204" t="s">
        <v>3208</v>
      </c>
      <c r="C584" s="1303">
        <v>4.5300000000000003E-5</v>
      </c>
      <c r="D584" s="1303">
        <v>4.49E-5</v>
      </c>
      <c r="E584" s="1007">
        <v>161876</v>
      </c>
      <c r="F584" s="1270"/>
      <c r="G584" s="1200">
        <v>20442</v>
      </c>
      <c r="H584" s="1200">
        <v>22779</v>
      </c>
      <c r="I584" s="1200">
        <v>12047</v>
      </c>
      <c r="J584" s="1007">
        <v>9096</v>
      </c>
      <c r="K584" s="1007">
        <v>64364</v>
      </c>
      <c r="L584" s="1270"/>
      <c r="M584" s="1198">
        <v>0</v>
      </c>
      <c r="N584" s="1198">
        <v>0</v>
      </c>
      <c r="O584" s="1007">
        <v>2457</v>
      </c>
      <c r="P584" s="1007">
        <v>2457</v>
      </c>
      <c r="Q584" s="1270"/>
      <c r="R584" s="1200">
        <v>55668</v>
      </c>
      <c r="S584" s="1007">
        <v>2168</v>
      </c>
      <c r="T584" s="1306">
        <v>57836</v>
      </c>
    </row>
    <row r="585" spans="1:20" x14ac:dyDescent="0.25">
      <c r="A585" s="1203">
        <v>96311</v>
      </c>
      <c r="B585" s="1204" t="s">
        <v>3209</v>
      </c>
      <c r="C585" s="1303">
        <v>1.3810000000000001E-3</v>
      </c>
      <c r="D585" s="1303">
        <v>1.3112E-3</v>
      </c>
      <c r="E585" s="1007">
        <v>4934901</v>
      </c>
      <c r="F585" s="1270"/>
      <c r="G585" s="1200">
        <v>623191</v>
      </c>
      <c r="H585" s="1200">
        <v>694455</v>
      </c>
      <c r="I585" s="1200">
        <v>367253</v>
      </c>
      <c r="J585" s="1007">
        <v>67931</v>
      </c>
      <c r="K585" s="1007">
        <v>1752830</v>
      </c>
      <c r="L585" s="1270"/>
      <c r="M585" s="1198">
        <v>0</v>
      </c>
      <c r="N585" s="1198">
        <v>0</v>
      </c>
      <c r="O585" s="1007">
        <v>58082</v>
      </c>
      <c r="P585" s="1007">
        <v>58082</v>
      </c>
      <c r="Q585" s="1270"/>
      <c r="R585" s="1200">
        <v>1697076</v>
      </c>
      <c r="S585" s="1007">
        <v>-25470</v>
      </c>
      <c r="T585" s="1306">
        <v>1671606</v>
      </c>
    </row>
    <row r="586" spans="1:20" x14ac:dyDescent="0.25">
      <c r="A586" s="1203">
        <v>96312</v>
      </c>
      <c r="B586" s="1204" t="s">
        <v>3210</v>
      </c>
      <c r="C586" s="1303">
        <v>1.7799999999999999E-5</v>
      </c>
      <c r="D586" s="1303">
        <v>5.8000000000000004E-6</v>
      </c>
      <c r="E586" s="1007">
        <v>63607</v>
      </c>
      <c r="F586" s="1270"/>
      <c r="G586" s="1200">
        <v>8032</v>
      </c>
      <c r="H586" s="1200">
        <v>8951</v>
      </c>
      <c r="I586" s="1200">
        <v>4734</v>
      </c>
      <c r="J586" s="1007">
        <v>13704</v>
      </c>
      <c r="K586" s="1007">
        <v>35421</v>
      </c>
      <c r="L586" s="1270"/>
      <c r="M586" s="1198">
        <v>0</v>
      </c>
      <c r="N586" s="1198">
        <v>0</v>
      </c>
      <c r="O586" s="1007">
        <v>3350</v>
      </c>
      <c r="P586" s="1007">
        <v>3350</v>
      </c>
      <c r="Q586" s="1270"/>
      <c r="R586" s="1200">
        <v>21874</v>
      </c>
      <c r="S586" s="1007">
        <v>4019</v>
      </c>
      <c r="T586" s="1306">
        <v>25893</v>
      </c>
    </row>
    <row r="587" spans="1:20" x14ac:dyDescent="0.25">
      <c r="A587" s="1203">
        <v>96318</v>
      </c>
      <c r="B587" s="1204" t="s">
        <v>3211</v>
      </c>
      <c r="C587" s="1303">
        <v>2.3511999999999999E-3</v>
      </c>
      <c r="D587" s="1303">
        <v>2.2319000000000002E-3</v>
      </c>
      <c r="E587" s="1007">
        <v>8401839</v>
      </c>
      <c r="F587" s="1270"/>
      <c r="G587" s="1200">
        <v>1061005</v>
      </c>
      <c r="H587" s="1200">
        <v>1182334</v>
      </c>
      <c r="I587" s="1200">
        <v>625262</v>
      </c>
      <c r="J587" s="1007">
        <v>476952</v>
      </c>
      <c r="K587" s="1007">
        <v>3345553</v>
      </c>
      <c r="L587" s="1270"/>
      <c r="M587" s="1198">
        <v>0</v>
      </c>
      <c r="N587" s="1198">
        <v>0</v>
      </c>
      <c r="O587" s="1007">
        <v>0</v>
      </c>
      <c r="P587" s="1007">
        <v>0</v>
      </c>
      <c r="Q587" s="1270"/>
      <c r="R587" s="1200">
        <v>2889331</v>
      </c>
      <c r="S587" s="1007">
        <v>2444445</v>
      </c>
      <c r="T587" s="1306">
        <v>5333776</v>
      </c>
    </row>
    <row r="588" spans="1:20" x14ac:dyDescent="0.25">
      <c r="A588" s="1203">
        <v>96321</v>
      </c>
      <c r="B588" s="1204" t="s">
        <v>3212</v>
      </c>
      <c r="C588" s="1303">
        <v>5.0000000000000002E-5</v>
      </c>
      <c r="D588" s="1303">
        <v>3.65E-5</v>
      </c>
      <c r="E588" s="1007">
        <v>178671</v>
      </c>
      <c r="F588" s="1270"/>
      <c r="G588" s="1200">
        <v>22563</v>
      </c>
      <c r="H588" s="1200">
        <v>25143</v>
      </c>
      <c r="I588" s="1200">
        <v>13297</v>
      </c>
      <c r="J588" s="1007">
        <v>13577</v>
      </c>
      <c r="K588" s="1007">
        <v>74580</v>
      </c>
      <c r="L588" s="1270"/>
      <c r="M588" s="1198">
        <v>0</v>
      </c>
      <c r="N588" s="1198">
        <v>0</v>
      </c>
      <c r="O588" s="1007">
        <v>0</v>
      </c>
      <c r="P588" s="1007">
        <v>0</v>
      </c>
      <c r="Q588" s="1270"/>
      <c r="R588" s="1200">
        <v>61444</v>
      </c>
      <c r="S588" s="1007">
        <v>4148</v>
      </c>
      <c r="T588" s="1306">
        <v>65592</v>
      </c>
    </row>
    <row r="589" spans="1:20" x14ac:dyDescent="0.25">
      <c r="A589" s="1203">
        <v>96331</v>
      </c>
      <c r="B589" s="1204" t="s">
        <v>3213</v>
      </c>
      <c r="C589" s="1303">
        <v>6.9510000000000004E-4</v>
      </c>
      <c r="D589" s="1303">
        <v>7.4430000000000004E-4</v>
      </c>
      <c r="E589" s="1007">
        <v>2483888</v>
      </c>
      <c r="F589" s="1270"/>
      <c r="G589" s="1200">
        <v>313672</v>
      </c>
      <c r="H589" s="1200">
        <v>349541</v>
      </c>
      <c r="I589" s="1200">
        <v>184850</v>
      </c>
      <c r="J589" s="1007">
        <v>0</v>
      </c>
      <c r="K589" s="1007">
        <v>848063</v>
      </c>
      <c r="L589" s="1270"/>
      <c r="M589" s="1198">
        <v>0</v>
      </c>
      <c r="N589" s="1198">
        <v>0</v>
      </c>
      <c r="O589" s="1007">
        <v>111531</v>
      </c>
      <c r="P589" s="1007">
        <v>111531</v>
      </c>
      <c r="Q589" s="1270"/>
      <c r="R589" s="1200">
        <v>854191</v>
      </c>
      <c r="S589" s="1007">
        <v>-52397</v>
      </c>
      <c r="T589" s="1306">
        <v>801794</v>
      </c>
    </row>
    <row r="590" spans="1:20" x14ac:dyDescent="0.25">
      <c r="A590" s="1203">
        <v>96341</v>
      </c>
      <c r="B590" s="1204" t="s">
        <v>3214</v>
      </c>
      <c r="C590" s="1303">
        <v>5.9599999999999999E-5</v>
      </c>
      <c r="D590" s="1303">
        <v>7.8200000000000003E-5</v>
      </c>
      <c r="E590" s="1007">
        <v>212976</v>
      </c>
      <c r="F590" s="1270"/>
      <c r="G590" s="1200">
        <v>26895</v>
      </c>
      <c r="H590" s="1200">
        <v>29971</v>
      </c>
      <c r="I590" s="1200">
        <v>15850</v>
      </c>
      <c r="J590" s="1007">
        <v>1588</v>
      </c>
      <c r="K590" s="1007">
        <v>74304</v>
      </c>
      <c r="L590" s="1270"/>
      <c r="M590" s="1198">
        <v>0</v>
      </c>
      <c r="N590" s="1198">
        <v>0</v>
      </c>
      <c r="O590" s="1007">
        <v>31180</v>
      </c>
      <c r="P590" s="1007">
        <v>31180</v>
      </c>
      <c r="Q590" s="1270"/>
      <c r="R590" s="1200">
        <v>73241</v>
      </c>
      <c r="S590" s="1007">
        <v>-10551</v>
      </c>
      <c r="T590" s="1306">
        <v>62690</v>
      </c>
    </row>
    <row r="591" spans="1:20" x14ac:dyDescent="0.25">
      <c r="A591" s="1203">
        <v>96351</v>
      </c>
      <c r="B591" s="1204" t="s">
        <v>3215</v>
      </c>
      <c r="C591" s="1303">
        <v>1.0456E-3</v>
      </c>
      <c r="D591" s="1303">
        <v>1.0093000000000001E-3</v>
      </c>
      <c r="E591" s="1007">
        <v>3736374</v>
      </c>
      <c r="F591" s="1270"/>
      <c r="G591" s="1200">
        <v>471839</v>
      </c>
      <c r="H591" s="1200">
        <v>525794</v>
      </c>
      <c r="I591" s="1200">
        <v>278060</v>
      </c>
      <c r="J591" s="1007">
        <v>48896</v>
      </c>
      <c r="K591" s="1007">
        <v>1324589</v>
      </c>
      <c r="L591" s="1270"/>
      <c r="M591" s="1198">
        <v>0</v>
      </c>
      <c r="N591" s="1198">
        <v>0</v>
      </c>
      <c r="O591" s="1007">
        <v>27389</v>
      </c>
      <c r="P591" s="1007">
        <v>27389</v>
      </c>
      <c r="Q591" s="1270"/>
      <c r="R591" s="1200">
        <v>1284912</v>
      </c>
      <c r="S591" s="1007">
        <v>-1766</v>
      </c>
      <c r="T591" s="1306">
        <v>1283146</v>
      </c>
    </row>
    <row r="592" spans="1:20" x14ac:dyDescent="0.25">
      <c r="A592" s="1203">
        <v>96361</v>
      </c>
      <c r="B592" s="1204" t="s">
        <v>3216</v>
      </c>
      <c r="C592" s="1303">
        <v>4.7299999999999998E-5</v>
      </c>
      <c r="D592" s="1303">
        <v>4.1100000000000003E-5</v>
      </c>
      <c r="E592" s="1007">
        <v>169023</v>
      </c>
      <c r="F592" s="1270"/>
      <c r="G592" s="1200">
        <v>21345</v>
      </c>
      <c r="H592" s="1200">
        <v>23785</v>
      </c>
      <c r="I592" s="1200">
        <v>12579</v>
      </c>
      <c r="J592" s="1007">
        <v>8705</v>
      </c>
      <c r="K592" s="1007">
        <v>66414</v>
      </c>
      <c r="L592" s="1270"/>
      <c r="M592" s="1198">
        <v>0</v>
      </c>
      <c r="N592" s="1198">
        <v>0</v>
      </c>
      <c r="O592" s="1007">
        <v>5604</v>
      </c>
      <c r="P592" s="1007">
        <v>5604</v>
      </c>
      <c r="Q592" s="1270"/>
      <c r="R592" s="1200">
        <v>58126</v>
      </c>
      <c r="S592" s="1007">
        <v>974</v>
      </c>
      <c r="T592" s="1306">
        <v>59100</v>
      </c>
    </row>
    <row r="593" spans="1:20" x14ac:dyDescent="0.25">
      <c r="A593" s="1203">
        <v>96371</v>
      </c>
      <c r="B593" s="1204" t="s">
        <v>3217</v>
      </c>
      <c r="C593" s="1303">
        <v>1.5330000000000001E-4</v>
      </c>
      <c r="D593" s="1303">
        <v>1.5100000000000001E-4</v>
      </c>
      <c r="E593" s="1007">
        <v>547806</v>
      </c>
      <c r="F593" s="1270"/>
      <c r="G593" s="1200">
        <v>69178</v>
      </c>
      <c r="H593" s="1200">
        <v>77089</v>
      </c>
      <c r="I593" s="1200">
        <v>40768</v>
      </c>
      <c r="J593" s="1007">
        <v>11551</v>
      </c>
      <c r="K593" s="1007">
        <v>198586</v>
      </c>
      <c r="L593" s="1270"/>
      <c r="M593" s="1198">
        <v>0</v>
      </c>
      <c r="N593" s="1198">
        <v>0</v>
      </c>
      <c r="O593" s="1007">
        <v>5214</v>
      </c>
      <c r="P593" s="1007">
        <v>5214</v>
      </c>
      <c r="Q593" s="1270"/>
      <c r="R593" s="1200">
        <v>188387</v>
      </c>
      <c r="S593" s="1007">
        <v>-1213</v>
      </c>
      <c r="T593" s="1306">
        <v>187174</v>
      </c>
    </row>
    <row r="594" spans="1:20" x14ac:dyDescent="0.25">
      <c r="A594" s="1203">
        <v>96381</v>
      </c>
      <c r="B594" s="1204" t="s">
        <v>3218</v>
      </c>
      <c r="C594" s="1303">
        <v>3.0700000000000001E-5</v>
      </c>
      <c r="D594" s="1303">
        <v>3.2799999999999998E-5</v>
      </c>
      <c r="E594" s="1007">
        <v>109704</v>
      </c>
      <c r="F594" s="1270"/>
      <c r="G594" s="1200">
        <v>13854</v>
      </c>
      <c r="H594" s="1200">
        <v>15438</v>
      </c>
      <c r="I594" s="1200">
        <v>8164</v>
      </c>
      <c r="J594" s="1007">
        <v>812</v>
      </c>
      <c r="K594" s="1007">
        <v>38268</v>
      </c>
      <c r="L594" s="1270"/>
      <c r="M594" s="1198">
        <v>0</v>
      </c>
      <c r="N594" s="1198">
        <v>0</v>
      </c>
      <c r="O594" s="1007">
        <v>3068</v>
      </c>
      <c r="P594" s="1007">
        <v>3068</v>
      </c>
      <c r="Q594" s="1270"/>
      <c r="R594" s="1200">
        <v>37726</v>
      </c>
      <c r="S594" s="1007">
        <v>-575</v>
      </c>
      <c r="T594" s="1306">
        <v>37151</v>
      </c>
    </row>
    <row r="595" spans="1:20" x14ac:dyDescent="0.25">
      <c r="A595" s="1203">
        <v>96391</v>
      </c>
      <c r="B595" s="1204" t="s">
        <v>3219</v>
      </c>
      <c r="C595" s="1303">
        <v>2.14E-4</v>
      </c>
      <c r="D595" s="1303">
        <v>2.0560000000000001E-4</v>
      </c>
      <c r="E595" s="1007">
        <v>764713</v>
      </c>
      <c r="F595" s="1270"/>
      <c r="G595" s="1200">
        <v>96570</v>
      </c>
      <c r="H595" s="1200">
        <v>107613</v>
      </c>
      <c r="I595" s="1200">
        <v>56910</v>
      </c>
      <c r="J595" s="1007">
        <v>0</v>
      </c>
      <c r="K595" s="1007">
        <v>261093</v>
      </c>
      <c r="L595" s="1270"/>
      <c r="M595" s="1198">
        <v>0</v>
      </c>
      <c r="N595" s="1198">
        <v>0</v>
      </c>
      <c r="O595" s="1007">
        <v>34147</v>
      </c>
      <c r="P595" s="1007">
        <v>34147</v>
      </c>
      <c r="Q595" s="1270"/>
      <c r="R595" s="1200">
        <v>262979</v>
      </c>
      <c r="S595" s="1007">
        <v>-15369</v>
      </c>
      <c r="T595" s="1306">
        <v>247610</v>
      </c>
    </row>
    <row r="596" spans="1:20" x14ac:dyDescent="0.25">
      <c r="A596" s="1203">
        <v>96401</v>
      </c>
      <c r="B596" s="1204" t="s">
        <v>3220</v>
      </c>
      <c r="C596" s="1303">
        <v>4.3227999999999999E-3</v>
      </c>
      <c r="D596" s="1303">
        <v>4.3956000000000004E-3</v>
      </c>
      <c r="E596" s="1007">
        <v>15447206</v>
      </c>
      <c r="F596" s="1270"/>
      <c r="G596" s="1200">
        <v>1950711</v>
      </c>
      <c r="H596" s="1200">
        <v>2173780</v>
      </c>
      <c r="I596" s="1200">
        <v>1149575</v>
      </c>
      <c r="J596" s="1007">
        <v>0</v>
      </c>
      <c r="K596" s="1007">
        <v>5274066</v>
      </c>
      <c r="L596" s="1270"/>
      <c r="M596" s="1198">
        <v>0</v>
      </c>
      <c r="N596" s="1198">
        <v>0</v>
      </c>
      <c r="O596" s="1007">
        <v>143857</v>
      </c>
      <c r="P596" s="1007">
        <v>143857</v>
      </c>
      <c r="Q596" s="1270"/>
      <c r="R596" s="1200">
        <v>5312181</v>
      </c>
      <c r="S596" s="1007">
        <v>-70355</v>
      </c>
      <c r="T596" s="1306">
        <v>5241826</v>
      </c>
    </row>
    <row r="597" spans="1:20" x14ac:dyDescent="0.25">
      <c r="A597" s="1203">
        <v>96404</v>
      </c>
      <c r="B597" s="1204" t="s">
        <v>3221</v>
      </c>
      <c r="C597" s="1303">
        <v>9.4300000000000002E-5</v>
      </c>
      <c r="D597" s="1303">
        <v>9.8300000000000004E-5</v>
      </c>
      <c r="E597" s="1007">
        <v>336974</v>
      </c>
      <c r="F597" s="1270"/>
      <c r="G597" s="1200">
        <v>42554</v>
      </c>
      <c r="H597" s="1200">
        <v>47420</v>
      </c>
      <c r="I597" s="1200">
        <v>25077</v>
      </c>
      <c r="J597" s="1007">
        <v>25405</v>
      </c>
      <c r="K597" s="1007">
        <v>140456</v>
      </c>
      <c r="L597" s="1270"/>
      <c r="M597" s="1198">
        <v>0</v>
      </c>
      <c r="N597" s="1198">
        <v>0</v>
      </c>
      <c r="O597" s="1007">
        <v>0</v>
      </c>
      <c r="P597" s="1007">
        <v>0</v>
      </c>
      <c r="Q597" s="1270"/>
      <c r="R597" s="1200">
        <v>115883</v>
      </c>
      <c r="S597" s="1007">
        <v>13795</v>
      </c>
      <c r="T597" s="1306">
        <v>129678</v>
      </c>
    </row>
    <row r="598" spans="1:20" x14ac:dyDescent="0.25">
      <c r="A598" s="1203">
        <v>96405</v>
      </c>
      <c r="B598" s="1204" t="s">
        <v>3222</v>
      </c>
      <c r="C598" s="1303">
        <v>1.2889999999999999E-4</v>
      </c>
      <c r="D598" s="1303">
        <v>1.4569999999999999E-4</v>
      </c>
      <c r="E598" s="1007">
        <v>460615</v>
      </c>
      <c r="F598" s="1270"/>
      <c r="G598" s="1200">
        <v>58168</v>
      </c>
      <c r="H598" s="1200">
        <v>64819</v>
      </c>
      <c r="I598" s="1200">
        <v>34279</v>
      </c>
      <c r="J598" s="1007">
        <v>18976</v>
      </c>
      <c r="K598" s="1007">
        <v>176242</v>
      </c>
      <c r="L598" s="1270"/>
      <c r="M598" s="1198">
        <v>0</v>
      </c>
      <c r="N598" s="1198">
        <v>0</v>
      </c>
      <c r="O598" s="1007">
        <v>15075</v>
      </c>
      <c r="P598" s="1007">
        <v>15075</v>
      </c>
      <c r="Q598" s="1270"/>
      <c r="R598" s="1200">
        <v>158402</v>
      </c>
      <c r="S598" s="1007">
        <v>959</v>
      </c>
      <c r="T598" s="1306">
        <v>159361</v>
      </c>
    </row>
    <row r="599" spans="1:20" x14ac:dyDescent="0.25">
      <c r="A599" s="1203">
        <v>96411</v>
      </c>
      <c r="B599" s="1204" t="s">
        <v>3223</v>
      </c>
      <c r="C599" s="1303">
        <v>6.8200000000000004E-5</v>
      </c>
      <c r="D599" s="1303">
        <v>7.0900000000000002E-5</v>
      </c>
      <c r="E599" s="1007">
        <v>243708</v>
      </c>
      <c r="F599" s="1270"/>
      <c r="G599" s="1200">
        <v>30776</v>
      </c>
      <c r="H599" s="1200">
        <v>34296</v>
      </c>
      <c r="I599" s="1200">
        <v>18137</v>
      </c>
      <c r="J599" s="1007">
        <v>1750</v>
      </c>
      <c r="K599" s="1007">
        <v>84959</v>
      </c>
      <c r="L599" s="1270"/>
      <c r="M599" s="1198">
        <v>0</v>
      </c>
      <c r="N599" s="1198">
        <v>0</v>
      </c>
      <c r="O599" s="1007">
        <v>11309</v>
      </c>
      <c r="P599" s="1007">
        <v>11309</v>
      </c>
      <c r="Q599" s="1270"/>
      <c r="R599" s="1200">
        <v>83809</v>
      </c>
      <c r="S599" s="1007">
        <v>-3213</v>
      </c>
      <c r="T599" s="1306">
        <v>80596</v>
      </c>
    </row>
    <row r="600" spans="1:20" x14ac:dyDescent="0.25">
      <c r="A600" s="1203">
        <v>96421</v>
      </c>
      <c r="B600" s="1204" t="s">
        <v>3224</v>
      </c>
      <c r="C600" s="1303">
        <v>4.2299999999999998E-4</v>
      </c>
      <c r="D600" s="1303">
        <v>3.8010000000000002E-4</v>
      </c>
      <c r="E600" s="1007">
        <v>1511559</v>
      </c>
      <c r="F600" s="1270"/>
      <c r="G600" s="1200">
        <v>190883</v>
      </c>
      <c r="H600" s="1200">
        <v>212711</v>
      </c>
      <c r="I600" s="1200">
        <v>112490</v>
      </c>
      <c r="J600" s="1007">
        <v>18256</v>
      </c>
      <c r="K600" s="1007">
        <v>534340</v>
      </c>
      <c r="L600" s="1270"/>
      <c r="M600" s="1198">
        <v>0</v>
      </c>
      <c r="N600" s="1198">
        <v>0</v>
      </c>
      <c r="O600" s="1007">
        <v>57079</v>
      </c>
      <c r="P600" s="1007">
        <v>57079</v>
      </c>
      <c r="Q600" s="1270"/>
      <c r="R600" s="1200">
        <v>519814</v>
      </c>
      <c r="S600" s="1007">
        <v>-26574</v>
      </c>
      <c r="T600" s="1306">
        <v>493240</v>
      </c>
    </row>
    <row r="601" spans="1:20" x14ac:dyDescent="0.25">
      <c r="A601" s="1203">
        <v>96431</v>
      </c>
      <c r="B601" s="1204" t="s">
        <v>3225</v>
      </c>
      <c r="C601" s="1303">
        <v>4.85E-5</v>
      </c>
      <c r="D601" s="1303">
        <v>3.3599999999999997E-5</v>
      </c>
      <c r="E601" s="1007">
        <v>173311</v>
      </c>
      <c r="F601" s="1270"/>
      <c r="G601" s="1200">
        <v>21886</v>
      </c>
      <c r="H601" s="1200">
        <v>24389</v>
      </c>
      <c r="I601" s="1200">
        <v>12898</v>
      </c>
      <c r="J601" s="1007">
        <v>28264</v>
      </c>
      <c r="K601" s="1007">
        <v>87437</v>
      </c>
      <c r="L601" s="1270"/>
      <c r="M601" s="1198">
        <v>0</v>
      </c>
      <c r="N601" s="1198">
        <v>0</v>
      </c>
      <c r="O601" s="1007">
        <v>3516</v>
      </c>
      <c r="P601" s="1007">
        <v>3516</v>
      </c>
      <c r="Q601" s="1270"/>
      <c r="R601" s="1200">
        <v>59600</v>
      </c>
      <c r="S601" s="1007">
        <v>8602</v>
      </c>
      <c r="T601" s="1306">
        <v>68202</v>
      </c>
    </row>
    <row r="602" spans="1:20" x14ac:dyDescent="0.25">
      <c r="A602" s="1203">
        <v>96441</v>
      </c>
      <c r="B602" s="1204" t="s">
        <v>3226</v>
      </c>
      <c r="C602" s="1303">
        <v>2.9300000000000001E-5</v>
      </c>
      <c r="D602" s="1303">
        <v>1.8499999999999999E-5</v>
      </c>
      <c r="E602" s="1007">
        <v>104701</v>
      </c>
      <c r="F602" s="1270"/>
      <c r="G602" s="1200">
        <v>13222</v>
      </c>
      <c r="H602" s="1200">
        <v>14734</v>
      </c>
      <c r="I602" s="1200">
        <v>7792</v>
      </c>
      <c r="J602" s="1007">
        <v>13878</v>
      </c>
      <c r="K602" s="1007">
        <v>49626</v>
      </c>
      <c r="L602" s="1270"/>
      <c r="M602" s="1198">
        <v>0</v>
      </c>
      <c r="N602" s="1198">
        <v>0</v>
      </c>
      <c r="O602" s="1007">
        <v>2999</v>
      </c>
      <c r="P602" s="1007">
        <v>2999</v>
      </c>
      <c r="Q602" s="1270"/>
      <c r="R602" s="1200">
        <v>36006</v>
      </c>
      <c r="S602" s="1007">
        <v>4118</v>
      </c>
      <c r="T602" s="1306">
        <v>40124</v>
      </c>
    </row>
    <row r="603" spans="1:20" x14ac:dyDescent="0.25">
      <c r="A603" s="1203">
        <v>96451</v>
      </c>
      <c r="B603" s="1204" t="s">
        <v>3227</v>
      </c>
      <c r="C603" s="1303">
        <v>1.31E-5</v>
      </c>
      <c r="D603" s="1303">
        <v>7.4000000000000003E-6</v>
      </c>
      <c r="E603" s="1007">
        <v>46812</v>
      </c>
      <c r="F603" s="1270"/>
      <c r="G603" s="1200">
        <v>5912</v>
      </c>
      <c r="H603" s="1200">
        <v>6588</v>
      </c>
      <c r="I603" s="1200">
        <v>3484</v>
      </c>
      <c r="J603" s="1007">
        <v>11059</v>
      </c>
      <c r="K603" s="1007">
        <v>27043</v>
      </c>
      <c r="L603" s="1270"/>
      <c r="M603" s="1198">
        <v>0</v>
      </c>
      <c r="N603" s="1198">
        <v>0</v>
      </c>
      <c r="O603" s="1007">
        <v>5521</v>
      </c>
      <c r="P603" s="1007">
        <v>5521</v>
      </c>
      <c r="Q603" s="1270"/>
      <c r="R603" s="1200">
        <v>16098</v>
      </c>
      <c r="S603" s="1007">
        <v>3142</v>
      </c>
      <c r="T603" s="1306">
        <v>19240</v>
      </c>
    </row>
    <row r="604" spans="1:20" x14ac:dyDescent="0.25">
      <c r="A604" s="1203">
        <v>96461</v>
      </c>
      <c r="B604" s="1204" t="s">
        <v>3228</v>
      </c>
      <c r="C604" s="1303">
        <v>1.294E-4</v>
      </c>
      <c r="D604" s="1303">
        <v>1.361E-4</v>
      </c>
      <c r="E604" s="1007">
        <v>462401</v>
      </c>
      <c r="F604" s="1270"/>
      <c r="G604" s="1200">
        <v>58393</v>
      </c>
      <c r="H604" s="1200">
        <v>65071</v>
      </c>
      <c r="I604" s="1200">
        <v>34412</v>
      </c>
      <c r="J604" s="1007">
        <v>5663</v>
      </c>
      <c r="K604" s="1007">
        <v>163539</v>
      </c>
      <c r="L604" s="1270"/>
      <c r="M604" s="1198">
        <v>0</v>
      </c>
      <c r="N604" s="1198">
        <v>0</v>
      </c>
      <c r="O604" s="1007">
        <v>26651</v>
      </c>
      <c r="P604" s="1007">
        <v>26651</v>
      </c>
      <c r="Q604" s="1270"/>
      <c r="R604" s="1200">
        <v>159016</v>
      </c>
      <c r="S604" s="1007">
        <v>-8070</v>
      </c>
      <c r="T604" s="1306">
        <v>150946</v>
      </c>
    </row>
    <row r="605" spans="1:20" x14ac:dyDescent="0.25">
      <c r="A605" s="1203">
        <v>96501</v>
      </c>
      <c r="B605" s="1204" t="s">
        <v>3229</v>
      </c>
      <c r="C605" s="1303">
        <v>1.4739800000000001E-2</v>
      </c>
      <c r="D605" s="1303">
        <v>1.46477E-2</v>
      </c>
      <c r="E605" s="1007">
        <v>52671585</v>
      </c>
      <c r="F605" s="1270"/>
      <c r="G605" s="1200">
        <v>6651497</v>
      </c>
      <c r="H605" s="1200">
        <v>7412115</v>
      </c>
      <c r="I605" s="1200">
        <v>3919799</v>
      </c>
      <c r="J605" s="1007">
        <v>180222</v>
      </c>
      <c r="K605" s="1007">
        <v>18163633</v>
      </c>
      <c r="L605" s="1270"/>
      <c r="M605" s="1198">
        <v>0</v>
      </c>
      <c r="N605" s="1198">
        <v>0</v>
      </c>
      <c r="O605" s="1007">
        <v>45177</v>
      </c>
      <c r="P605" s="1007">
        <v>45177</v>
      </c>
      <c r="Q605" s="1270"/>
      <c r="R605" s="1200">
        <v>18113372</v>
      </c>
      <c r="S605" s="1007">
        <v>-47875</v>
      </c>
      <c r="T605" s="1306">
        <v>18065497</v>
      </c>
    </row>
    <row r="606" spans="1:20" x14ac:dyDescent="0.25">
      <c r="A606" s="1203">
        <v>96502</v>
      </c>
      <c r="B606" s="1204" t="s">
        <v>3230</v>
      </c>
      <c r="C606" s="1303">
        <v>3.3369999999999998E-4</v>
      </c>
      <c r="D606" s="1303">
        <v>4.082E-4</v>
      </c>
      <c r="E606" s="1007">
        <v>1192452</v>
      </c>
      <c r="F606" s="1270"/>
      <c r="G606" s="1200">
        <v>150586</v>
      </c>
      <c r="H606" s="1200">
        <v>167806</v>
      </c>
      <c r="I606" s="1200">
        <v>88742</v>
      </c>
      <c r="J606" s="1007">
        <v>11179</v>
      </c>
      <c r="K606" s="1007">
        <v>418313</v>
      </c>
      <c r="L606" s="1270"/>
      <c r="M606" s="1198">
        <v>0</v>
      </c>
      <c r="N606" s="1198">
        <v>0</v>
      </c>
      <c r="O606" s="1007">
        <v>72827</v>
      </c>
      <c r="P606" s="1007">
        <v>72827</v>
      </c>
      <c r="Q606" s="1270"/>
      <c r="R606" s="1200">
        <v>410076</v>
      </c>
      <c r="S606" s="1007">
        <v>-15499</v>
      </c>
      <c r="T606" s="1306">
        <v>394577</v>
      </c>
    </row>
    <row r="607" spans="1:20" x14ac:dyDescent="0.25">
      <c r="A607" s="1203">
        <v>96503</v>
      </c>
      <c r="B607" s="1204" t="s">
        <v>3231</v>
      </c>
      <c r="C607" s="1303">
        <v>2.81E-4</v>
      </c>
      <c r="D607" s="1303">
        <v>3.1940000000000001E-4</v>
      </c>
      <c r="E607" s="1007">
        <v>1004133</v>
      </c>
      <c r="F607" s="1270"/>
      <c r="G607" s="1200">
        <v>126804</v>
      </c>
      <c r="H607" s="1200">
        <v>141305</v>
      </c>
      <c r="I607" s="1200">
        <v>74727</v>
      </c>
      <c r="J607" s="1007">
        <v>237609</v>
      </c>
      <c r="K607" s="1007">
        <v>580445</v>
      </c>
      <c r="L607" s="1270"/>
      <c r="M607" s="1198">
        <v>0</v>
      </c>
      <c r="N607" s="1198">
        <v>0</v>
      </c>
      <c r="O607" s="1007">
        <v>9517</v>
      </c>
      <c r="P607" s="1007">
        <v>9517</v>
      </c>
      <c r="Q607" s="1270"/>
      <c r="R607" s="1200">
        <v>345314</v>
      </c>
      <c r="S607" s="1007">
        <v>127481</v>
      </c>
      <c r="T607" s="1306">
        <v>472795</v>
      </c>
    </row>
    <row r="608" spans="1:20" x14ac:dyDescent="0.25">
      <c r="A608" s="1203">
        <v>96504</v>
      </c>
      <c r="B608" s="1204" t="s">
        <v>3232</v>
      </c>
      <c r="C608" s="1303">
        <v>3.8099999999999999E-4</v>
      </c>
      <c r="D608" s="1303">
        <v>4.3649999999999998E-4</v>
      </c>
      <c r="E608" s="1007">
        <v>1361475</v>
      </c>
      <c r="F608" s="1270"/>
      <c r="G608" s="1200">
        <v>171930</v>
      </c>
      <c r="H608" s="1200">
        <v>191591</v>
      </c>
      <c r="I608" s="1200">
        <v>101320</v>
      </c>
      <c r="J608" s="1007">
        <v>24572</v>
      </c>
      <c r="K608" s="1007">
        <v>489413</v>
      </c>
      <c r="L608" s="1270"/>
      <c r="M608" s="1198">
        <v>0</v>
      </c>
      <c r="N608" s="1198">
        <v>0</v>
      </c>
      <c r="O608" s="1007">
        <v>53091</v>
      </c>
      <c r="P608" s="1007">
        <v>53091</v>
      </c>
      <c r="Q608" s="1270"/>
      <c r="R608" s="1200">
        <v>468201</v>
      </c>
      <c r="S608" s="1007">
        <v>-4682</v>
      </c>
      <c r="T608" s="1306">
        <v>463519</v>
      </c>
    </row>
    <row r="609" spans="1:20" x14ac:dyDescent="0.25">
      <c r="A609" s="1203">
        <v>96507</v>
      </c>
      <c r="B609" s="1204" t="s">
        <v>3233</v>
      </c>
      <c r="C609" s="1303">
        <v>2.2848999999999999E-3</v>
      </c>
      <c r="D609" s="1303">
        <v>2.3281999999999999E-3</v>
      </c>
      <c r="E609" s="1007">
        <v>8164921</v>
      </c>
      <c r="F609" s="1270"/>
      <c r="G609" s="1200">
        <v>1031086</v>
      </c>
      <c r="H609" s="1200">
        <v>1148994</v>
      </c>
      <c r="I609" s="1200">
        <v>607630</v>
      </c>
      <c r="J609" s="1007">
        <v>124729</v>
      </c>
      <c r="K609" s="1007">
        <v>2912439</v>
      </c>
      <c r="L609" s="1270"/>
      <c r="M609" s="1198">
        <v>0</v>
      </c>
      <c r="N609" s="1198">
        <v>0</v>
      </c>
      <c r="O609" s="1007">
        <v>5697</v>
      </c>
      <c r="P609" s="1007">
        <v>5697</v>
      </c>
      <c r="Q609" s="1270"/>
      <c r="R609" s="1200">
        <v>2807856</v>
      </c>
      <c r="S609" s="1007">
        <v>54625</v>
      </c>
      <c r="T609" s="1306">
        <v>2862481</v>
      </c>
    </row>
    <row r="610" spans="1:20" x14ac:dyDescent="0.25">
      <c r="A610" s="1203">
        <v>96508</v>
      </c>
      <c r="B610" s="1204" t="s">
        <v>3234</v>
      </c>
      <c r="C610" s="1303">
        <v>2.3999999999999999E-6</v>
      </c>
      <c r="D610" s="1303">
        <v>5.9000000000000003E-6</v>
      </c>
      <c r="E610" s="1007">
        <v>8576</v>
      </c>
      <c r="F610" s="1270"/>
      <c r="G610" s="1200">
        <v>1083</v>
      </c>
      <c r="H610" s="1200">
        <v>1206</v>
      </c>
      <c r="I610" s="1200">
        <v>638</v>
      </c>
      <c r="J610" s="1007">
        <v>11919</v>
      </c>
      <c r="K610" s="1007">
        <v>14846</v>
      </c>
      <c r="L610" s="1270"/>
      <c r="M610" s="1198">
        <v>0</v>
      </c>
      <c r="N610" s="1198">
        <v>0</v>
      </c>
      <c r="O610" s="1007">
        <v>0</v>
      </c>
      <c r="P610" s="1007">
        <v>0</v>
      </c>
      <c r="Q610" s="1270"/>
      <c r="R610" s="1200">
        <v>2949</v>
      </c>
      <c r="S610" s="1007">
        <v>6244</v>
      </c>
      <c r="T610" s="1306">
        <v>9193</v>
      </c>
    </row>
    <row r="611" spans="1:20" x14ac:dyDescent="0.25">
      <c r="A611" s="1203">
        <v>96511</v>
      </c>
      <c r="B611" s="1204" t="s">
        <v>3235</v>
      </c>
      <c r="C611" s="1303">
        <v>5.5500000000000005E-4</v>
      </c>
      <c r="D611" s="1303">
        <v>6.0519999999999997E-4</v>
      </c>
      <c r="E611" s="1007">
        <v>1983251</v>
      </c>
      <c r="F611" s="1270"/>
      <c r="G611" s="1200">
        <v>250450</v>
      </c>
      <c r="H611" s="1200">
        <v>279090</v>
      </c>
      <c r="I611" s="1200">
        <v>147593</v>
      </c>
      <c r="J611" s="1007">
        <v>0</v>
      </c>
      <c r="K611" s="1007">
        <v>677133</v>
      </c>
      <c r="L611" s="1270"/>
      <c r="M611" s="1198">
        <v>0</v>
      </c>
      <c r="N611" s="1198">
        <v>0</v>
      </c>
      <c r="O611" s="1007">
        <v>76079</v>
      </c>
      <c r="P611" s="1007">
        <v>76079</v>
      </c>
      <c r="Q611" s="1270"/>
      <c r="R611" s="1200">
        <v>682026</v>
      </c>
      <c r="S611" s="1007">
        <v>-44977</v>
      </c>
      <c r="T611" s="1306">
        <v>637049</v>
      </c>
    </row>
    <row r="612" spans="1:20" x14ac:dyDescent="0.25">
      <c r="A612" s="1203">
        <v>96512</v>
      </c>
      <c r="B612" s="1204" t="s">
        <v>3236</v>
      </c>
      <c r="C612" s="1303">
        <v>1.3689999999999999E-4</v>
      </c>
      <c r="D612" s="1303">
        <v>1.528E-4</v>
      </c>
      <c r="E612" s="1007">
        <v>489202</v>
      </c>
      <c r="F612" s="1270"/>
      <c r="G612" s="1200">
        <v>61778</v>
      </c>
      <c r="H612" s="1200">
        <v>68842</v>
      </c>
      <c r="I612" s="1200">
        <v>36406</v>
      </c>
      <c r="J612" s="1007">
        <v>3556</v>
      </c>
      <c r="K612" s="1007">
        <v>170582</v>
      </c>
      <c r="L612" s="1270"/>
      <c r="M612" s="1198">
        <v>0</v>
      </c>
      <c r="N612" s="1198">
        <v>0</v>
      </c>
      <c r="O612" s="1007">
        <v>15265</v>
      </c>
      <c r="P612" s="1007">
        <v>15265</v>
      </c>
      <c r="Q612" s="1270"/>
      <c r="R612" s="1200">
        <v>168233</v>
      </c>
      <c r="S612" s="1007">
        <v>-4284</v>
      </c>
      <c r="T612" s="1306">
        <v>163949</v>
      </c>
    </row>
    <row r="613" spans="1:20" x14ac:dyDescent="0.25">
      <c r="A613" s="1203">
        <v>96519</v>
      </c>
      <c r="B613" s="1204" t="s">
        <v>3237</v>
      </c>
      <c r="C613" s="1303">
        <v>0</v>
      </c>
      <c r="D613" s="1303">
        <v>0</v>
      </c>
      <c r="E613" s="1007">
        <v>0</v>
      </c>
      <c r="F613" s="1270"/>
      <c r="G613" s="1200">
        <v>0</v>
      </c>
      <c r="H613" s="1200">
        <v>0</v>
      </c>
      <c r="I613" s="1200">
        <v>0</v>
      </c>
      <c r="J613" s="1007">
        <v>0</v>
      </c>
      <c r="K613" s="1007">
        <v>0</v>
      </c>
      <c r="L613" s="1270"/>
      <c r="M613" s="1198">
        <v>0</v>
      </c>
      <c r="N613" s="1198">
        <v>0</v>
      </c>
      <c r="O613" s="1007">
        <v>0</v>
      </c>
      <c r="P613" s="1007">
        <v>0</v>
      </c>
      <c r="Q613" s="1270"/>
      <c r="R613" s="1200">
        <v>0</v>
      </c>
      <c r="S613" s="1007">
        <v>-207555</v>
      </c>
      <c r="T613" s="1306">
        <v>-207555</v>
      </c>
    </row>
    <row r="614" spans="1:20" x14ac:dyDescent="0.25">
      <c r="A614" s="1203">
        <v>96521</v>
      </c>
      <c r="B614" s="1204" t="s">
        <v>3238</v>
      </c>
      <c r="C614" s="1303">
        <v>8.9309999999999997E-4</v>
      </c>
      <c r="D614" s="1303">
        <v>9.3479999999999995E-4</v>
      </c>
      <c r="E614" s="1007">
        <v>3191427</v>
      </c>
      <c r="F614" s="1270"/>
      <c r="G614" s="1200">
        <v>403021</v>
      </c>
      <c r="H614" s="1200">
        <v>449108</v>
      </c>
      <c r="I614" s="1200">
        <v>237505</v>
      </c>
      <c r="J614" s="1007">
        <v>0</v>
      </c>
      <c r="K614" s="1007">
        <v>1089634</v>
      </c>
      <c r="L614" s="1270"/>
      <c r="M614" s="1198">
        <v>0</v>
      </c>
      <c r="N614" s="1198">
        <v>0</v>
      </c>
      <c r="O614" s="1007">
        <v>143966</v>
      </c>
      <c r="P614" s="1007">
        <v>143966</v>
      </c>
      <c r="Q614" s="1270"/>
      <c r="R614" s="1200">
        <v>1097508</v>
      </c>
      <c r="S614" s="1007">
        <v>-58392</v>
      </c>
      <c r="T614" s="1306">
        <v>1039116</v>
      </c>
    </row>
    <row r="615" spans="1:20" x14ac:dyDescent="0.25">
      <c r="A615" s="1203">
        <v>96531</v>
      </c>
      <c r="B615" s="1204" t="s">
        <v>3239</v>
      </c>
      <c r="C615" s="1303">
        <v>8.2658999999999996E-3</v>
      </c>
      <c r="D615" s="1303">
        <v>8.6105999999999995E-3</v>
      </c>
      <c r="E615" s="1007">
        <v>29537582</v>
      </c>
      <c r="F615" s="1270"/>
      <c r="G615" s="1200">
        <v>3730078</v>
      </c>
      <c r="H615" s="1200">
        <v>4156623</v>
      </c>
      <c r="I615" s="1200">
        <v>2198176</v>
      </c>
      <c r="J615" s="1007">
        <v>0</v>
      </c>
      <c r="K615" s="1007">
        <v>10084877</v>
      </c>
      <c r="L615" s="1270"/>
      <c r="M615" s="1198">
        <v>0</v>
      </c>
      <c r="N615" s="1198">
        <v>0</v>
      </c>
      <c r="O615" s="1007">
        <v>703623</v>
      </c>
      <c r="P615" s="1007">
        <v>703623</v>
      </c>
      <c r="Q615" s="1270"/>
      <c r="R615" s="1200">
        <v>10157758</v>
      </c>
      <c r="S615" s="1007">
        <v>-342790</v>
      </c>
      <c r="T615" s="1306">
        <v>9814968</v>
      </c>
    </row>
    <row r="616" spans="1:20" x14ac:dyDescent="0.25">
      <c r="A616" s="1203">
        <v>96541</v>
      </c>
      <c r="B616" s="1204" t="s">
        <v>3240</v>
      </c>
      <c r="C616" s="1303">
        <v>4.06E-4</v>
      </c>
      <c r="D616" s="1303">
        <v>3.8709999999999998E-4</v>
      </c>
      <c r="E616" s="1007">
        <v>1450811</v>
      </c>
      <c r="F616" s="1270"/>
      <c r="G616" s="1200">
        <v>183212</v>
      </c>
      <c r="H616" s="1200">
        <v>204162</v>
      </c>
      <c r="I616" s="1200">
        <v>107969</v>
      </c>
      <c r="J616" s="1007">
        <v>19576</v>
      </c>
      <c r="K616" s="1007">
        <v>514919</v>
      </c>
      <c r="L616" s="1270"/>
      <c r="M616" s="1198">
        <v>0</v>
      </c>
      <c r="N616" s="1198">
        <v>0</v>
      </c>
      <c r="O616" s="1007">
        <v>2576</v>
      </c>
      <c r="P616" s="1007">
        <v>2576</v>
      </c>
      <c r="Q616" s="1270"/>
      <c r="R616" s="1200">
        <v>498923</v>
      </c>
      <c r="S616" s="1007">
        <v>7745</v>
      </c>
      <c r="T616" s="1306">
        <v>506668</v>
      </c>
    </row>
    <row r="617" spans="1:20" x14ac:dyDescent="0.25">
      <c r="A617" s="1203">
        <v>96601</v>
      </c>
      <c r="B617" s="1204" t="s">
        <v>3241</v>
      </c>
      <c r="C617" s="1303">
        <v>1.5973000000000001E-3</v>
      </c>
      <c r="D617" s="1303">
        <v>1.7417999999999999E-3</v>
      </c>
      <c r="E617" s="1007">
        <v>5707833</v>
      </c>
      <c r="F617" s="1270"/>
      <c r="G617" s="1200">
        <v>720799</v>
      </c>
      <c r="H617" s="1200">
        <v>803224</v>
      </c>
      <c r="I617" s="1200">
        <v>424775</v>
      </c>
      <c r="J617" s="1007">
        <v>15865</v>
      </c>
      <c r="K617" s="1007">
        <v>1964663</v>
      </c>
      <c r="L617" s="1270"/>
      <c r="M617" s="1198">
        <v>0</v>
      </c>
      <c r="N617" s="1198">
        <v>0</v>
      </c>
      <c r="O617" s="1007">
        <v>180405</v>
      </c>
      <c r="P617" s="1007">
        <v>180405</v>
      </c>
      <c r="Q617" s="1270"/>
      <c r="R617" s="1200">
        <v>1962882</v>
      </c>
      <c r="S617" s="1007">
        <v>-56343</v>
      </c>
      <c r="T617" s="1306">
        <v>1906539</v>
      </c>
    </row>
    <row r="618" spans="1:20" x14ac:dyDescent="0.25">
      <c r="A618" s="1203">
        <v>96604</v>
      </c>
      <c r="B618" s="1204" t="s">
        <v>3242</v>
      </c>
      <c r="C618" s="1303">
        <v>4.6E-6</v>
      </c>
      <c r="D618" s="1303">
        <v>5.3000000000000001E-6</v>
      </c>
      <c r="E618" s="1007">
        <v>16438</v>
      </c>
      <c r="F618" s="1270"/>
      <c r="G618" s="1200">
        <v>2076</v>
      </c>
      <c r="H618" s="1200">
        <v>2314</v>
      </c>
      <c r="I618" s="1200">
        <v>1223</v>
      </c>
      <c r="J618" s="1007">
        <v>2334</v>
      </c>
      <c r="K618" s="1007">
        <v>7947</v>
      </c>
      <c r="L618" s="1270"/>
      <c r="M618" s="1198">
        <v>0</v>
      </c>
      <c r="N618" s="1198">
        <v>0</v>
      </c>
      <c r="O618" s="1007">
        <v>0</v>
      </c>
      <c r="P618" s="1007">
        <v>0</v>
      </c>
      <c r="Q618" s="1270"/>
      <c r="R618" s="1200">
        <v>5653</v>
      </c>
      <c r="S618" s="1007">
        <v>1170</v>
      </c>
      <c r="T618" s="1306">
        <v>6823</v>
      </c>
    </row>
    <row r="619" spans="1:20" x14ac:dyDescent="0.25">
      <c r="A619" s="1203">
        <v>96611</v>
      </c>
      <c r="B619" s="1204" t="s">
        <v>3243</v>
      </c>
      <c r="C619" s="1303">
        <v>1.95E-5</v>
      </c>
      <c r="D619" s="1303">
        <v>1.3900000000000001E-5</v>
      </c>
      <c r="E619" s="1007">
        <v>69682</v>
      </c>
      <c r="F619" s="1270"/>
      <c r="G619" s="1200">
        <v>8800</v>
      </c>
      <c r="H619" s="1200">
        <v>9806</v>
      </c>
      <c r="I619" s="1200">
        <v>5186</v>
      </c>
      <c r="J619" s="1007">
        <v>8187</v>
      </c>
      <c r="K619" s="1007">
        <v>31979</v>
      </c>
      <c r="L619" s="1270"/>
      <c r="M619" s="1198">
        <v>0</v>
      </c>
      <c r="N619" s="1198">
        <v>0</v>
      </c>
      <c r="O619" s="1007">
        <v>5177</v>
      </c>
      <c r="P619" s="1007">
        <v>5177</v>
      </c>
      <c r="Q619" s="1270"/>
      <c r="R619" s="1200">
        <v>23963</v>
      </c>
      <c r="S619" s="1007">
        <v>305</v>
      </c>
      <c r="T619" s="1306">
        <v>24268</v>
      </c>
    </row>
    <row r="620" spans="1:20" x14ac:dyDescent="0.25">
      <c r="A620" s="1203">
        <v>96612</v>
      </c>
      <c r="B620" s="1204" t="s">
        <v>3244</v>
      </c>
      <c r="C620" s="1303">
        <v>4.4199999999999997E-5</v>
      </c>
      <c r="D620" s="1303">
        <v>5.5099999999999998E-5</v>
      </c>
      <c r="E620" s="1007">
        <v>157945</v>
      </c>
      <c r="F620" s="1270"/>
      <c r="G620" s="1200">
        <v>19946</v>
      </c>
      <c r="H620" s="1200">
        <v>22227</v>
      </c>
      <c r="I620" s="1200">
        <v>11754</v>
      </c>
      <c r="J620" s="1007">
        <v>6250</v>
      </c>
      <c r="K620" s="1007">
        <v>60177</v>
      </c>
      <c r="L620" s="1270"/>
      <c r="M620" s="1198">
        <v>0</v>
      </c>
      <c r="N620" s="1198">
        <v>0</v>
      </c>
      <c r="O620" s="1007">
        <v>3365</v>
      </c>
      <c r="P620" s="1007">
        <v>3365</v>
      </c>
      <c r="Q620" s="1270"/>
      <c r="R620" s="1200">
        <v>54316</v>
      </c>
      <c r="S620" s="1007">
        <v>1980</v>
      </c>
      <c r="T620" s="1306">
        <v>56296</v>
      </c>
    </row>
    <row r="621" spans="1:20" x14ac:dyDescent="0.25">
      <c r="A621" s="1203">
        <v>96621</v>
      </c>
      <c r="B621" s="1204" t="s">
        <v>3245</v>
      </c>
      <c r="C621" s="1303">
        <v>1.8600000000000001E-5</v>
      </c>
      <c r="D621" s="1303">
        <v>2.09E-5</v>
      </c>
      <c r="E621" s="1007">
        <v>66466</v>
      </c>
      <c r="F621" s="1270"/>
      <c r="G621" s="1200">
        <v>8393</v>
      </c>
      <c r="H621" s="1200">
        <v>9353</v>
      </c>
      <c r="I621" s="1200">
        <v>4946</v>
      </c>
      <c r="J621" s="1007">
        <v>2012</v>
      </c>
      <c r="K621" s="1007">
        <v>24704</v>
      </c>
      <c r="L621" s="1270"/>
      <c r="M621" s="1198">
        <v>0</v>
      </c>
      <c r="N621" s="1198">
        <v>0</v>
      </c>
      <c r="O621" s="1007">
        <v>1147</v>
      </c>
      <c r="P621" s="1007">
        <v>1147</v>
      </c>
      <c r="Q621" s="1270"/>
      <c r="R621" s="1200">
        <v>22857</v>
      </c>
      <c r="S621" s="1007">
        <v>-705</v>
      </c>
      <c r="T621" s="1306">
        <v>22152</v>
      </c>
    </row>
    <row r="622" spans="1:20" x14ac:dyDescent="0.25">
      <c r="A622" s="1203">
        <v>96631</v>
      </c>
      <c r="B622" s="1204" t="s">
        <v>3246</v>
      </c>
      <c r="C622" s="1303">
        <v>2.3099999999999999E-5</v>
      </c>
      <c r="D622" s="1303">
        <v>2.1800000000000001E-5</v>
      </c>
      <c r="E622" s="1007">
        <v>82546</v>
      </c>
      <c r="F622" s="1270"/>
      <c r="G622" s="1200">
        <v>10424</v>
      </c>
      <c r="H622" s="1200">
        <v>11616</v>
      </c>
      <c r="I622" s="1200">
        <v>6143</v>
      </c>
      <c r="J622" s="1007">
        <v>2020</v>
      </c>
      <c r="K622" s="1007">
        <v>30203</v>
      </c>
      <c r="L622" s="1270"/>
      <c r="M622" s="1198">
        <v>0</v>
      </c>
      <c r="N622" s="1198">
        <v>0</v>
      </c>
      <c r="O622" s="1007">
        <v>597</v>
      </c>
      <c r="P622" s="1007">
        <v>597</v>
      </c>
      <c r="Q622" s="1270"/>
      <c r="R622" s="1200">
        <v>28387</v>
      </c>
      <c r="S622" s="1007">
        <v>379</v>
      </c>
      <c r="T622" s="1306">
        <v>28766</v>
      </c>
    </row>
    <row r="623" spans="1:20" ht="14.25" customHeight="1" x14ac:dyDescent="0.25">
      <c r="A623" s="1203">
        <v>96641</v>
      </c>
      <c r="B623" s="1204" t="s">
        <v>3247</v>
      </c>
      <c r="C623" s="1303">
        <v>2.9499999999999999E-5</v>
      </c>
      <c r="D623" s="1303">
        <v>3.3800000000000002E-5</v>
      </c>
      <c r="E623" s="1007">
        <v>105416</v>
      </c>
      <c r="F623" s="1270"/>
      <c r="G623" s="1200">
        <v>13312</v>
      </c>
      <c r="H623" s="1200">
        <v>14834</v>
      </c>
      <c r="I623" s="1200">
        <v>7845</v>
      </c>
      <c r="J623" s="1007">
        <v>10950</v>
      </c>
      <c r="K623" s="1007">
        <v>46941</v>
      </c>
      <c r="L623" s="1270"/>
      <c r="M623" s="1198">
        <v>0</v>
      </c>
      <c r="N623" s="1198">
        <v>0</v>
      </c>
      <c r="O623" s="1007">
        <v>0</v>
      </c>
      <c r="P623" s="1007">
        <v>0</v>
      </c>
      <c r="Q623" s="1270"/>
      <c r="R623" s="1200">
        <v>36252</v>
      </c>
      <c r="S623" s="1007">
        <v>6521</v>
      </c>
      <c r="T623" s="1306">
        <v>42773</v>
      </c>
    </row>
    <row r="624" spans="1:20" ht="14.25" customHeight="1" x14ac:dyDescent="0.25">
      <c r="A624" s="1203">
        <v>96651</v>
      </c>
      <c r="B624" s="1204" t="s">
        <v>3248</v>
      </c>
      <c r="C624" s="1303">
        <v>1.5999999999999999E-5</v>
      </c>
      <c r="D624" s="1303">
        <v>1.8499999999999999E-5</v>
      </c>
      <c r="E624" s="1007">
        <v>57175</v>
      </c>
      <c r="F624" s="1270"/>
      <c r="G624" s="1200">
        <v>7220</v>
      </c>
      <c r="H624" s="1200">
        <v>8046</v>
      </c>
      <c r="I624" s="1200">
        <v>4255</v>
      </c>
      <c r="J624" s="1007">
        <v>1095</v>
      </c>
      <c r="K624" s="1007">
        <v>20616</v>
      </c>
      <c r="L624" s="1270"/>
      <c r="M624" s="1198">
        <v>0</v>
      </c>
      <c r="N624" s="1198">
        <v>0</v>
      </c>
      <c r="O624" s="1007">
        <v>4414</v>
      </c>
      <c r="P624" s="1007">
        <v>4414</v>
      </c>
      <c r="Q624" s="1270"/>
      <c r="R624" s="1200">
        <v>19662</v>
      </c>
      <c r="S624" s="1007">
        <v>-574</v>
      </c>
      <c r="T624" s="1306">
        <v>19088</v>
      </c>
    </row>
    <row r="625" spans="1:20" x14ac:dyDescent="0.25">
      <c r="A625" s="1203">
        <v>96661</v>
      </c>
      <c r="B625" s="1204" t="s">
        <v>3249</v>
      </c>
      <c r="C625" s="1303">
        <v>2.4899999999999999E-5</v>
      </c>
      <c r="D625" s="1303">
        <v>1.8099999999999999E-5</v>
      </c>
      <c r="E625" s="1007">
        <v>88978</v>
      </c>
      <c r="F625" s="1270"/>
      <c r="G625" s="1200">
        <v>11236</v>
      </c>
      <c r="H625" s="1200">
        <v>12521</v>
      </c>
      <c r="I625" s="1200">
        <v>6622</v>
      </c>
      <c r="J625" s="1007">
        <v>9146</v>
      </c>
      <c r="K625" s="1007">
        <v>39525</v>
      </c>
      <c r="L625" s="1270"/>
      <c r="M625" s="1198">
        <v>0</v>
      </c>
      <c r="N625" s="1198">
        <v>0</v>
      </c>
      <c r="O625" s="1007">
        <v>124</v>
      </c>
      <c r="P625" s="1007">
        <v>124</v>
      </c>
      <c r="Q625" s="1270"/>
      <c r="R625" s="1200">
        <v>30599</v>
      </c>
      <c r="S625" s="1007">
        <v>3809</v>
      </c>
      <c r="T625" s="1306">
        <v>34408</v>
      </c>
    </row>
    <row r="626" spans="1:20" x14ac:dyDescent="0.25">
      <c r="A626" s="1203">
        <v>96671</v>
      </c>
      <c r="B626" s="1204" t="s">
        <v>3250</v>
      </c>
      <c r="C626" s="1303">
        <v>1.4E-5</v>
      </c>
      <c r="D626" s="1303">
        <v>1.26E-5</v>
      </c>
      <c r="E626" s="1007">
        <v>50028</v>
      </c>
      <c r="F626" s="1270"/>
      <c r="G626" s="1200">
        <v>6318</v>
      </c>
      <c r="H626" s="1200">
        <v>7040</v>
      </c>
      <c r="I626" s="1200">
        <v>3723</v>
      </c>
      <c r="J626" s="1007">
        <v>6141</v>
      </c>
      <c r="K626" s="1007">
        <v>23222</v>
      </c>
      <c r="L626" s="1270"/>
      <c r="M626" s="1198">
        <v>0</v>
      </c>
      <c r="N626" s="1198">
        <v>0</v>
      </c>
      <c r="O626" s="1007">
        <v>0</v>
      </c>
      <c r="P626" s="1007">
        <v>0</v>
      </c>
      <c r="Q626" s="1270"/>
      <c r="R626" s="1200">
        <v>17204</v>
      </c>
      <c r="S626" s="1007">
        <v>3241</v>
      </c>
      <c r="T626" s="1306">
        <v>20445</v>
      </c>
    </row>
    <row r="627" spans="1:20" x14ac:dyDescent="0.25">
      <c r="A627" s="1203">
        <v>96681</v>
      </c>
      <c r="B627" s="1204" t="s">
        <v>3251</v>
      </c>
      <c r="C627" s="1303">
        <v>1.7600000000000001E-5</v>
      </c>
      <c r="D627" s="1303">
        <v>2.2399999999999999E-5</v>
      </c>
      <c r="E627" s="1007">
        <v>62892</v>
      </c>
      <c r="F627" s="1270"/>
      <c r="G627" s="1200">
        <v>7942</v>
      </c>
      <c r="H627" s="1200">
        <v>8850</v>
      </c>
      <c r="I627" s="1200">
        <v>4680</v>
      </c>
      <c r="J627" s="1007">
        <v>7559</v>
      </c>
      <c r="K627" s="1007">
        <v>29031</v>
      </c>
      <c r="L627" s="1270"/>
      <c r="M627" s="1198">
        <v>0</v>
      </c>
      <c r="N627" s="1198">
        <v>0</v>
      </c>
      <c r="O627" s="1007">
        <v>7663</v>
      </c>
      <c r="P627" s="1007">
        <v>7663</v>
      </c>
      <c r="Q627" s="1270"/>
      <c r="R627" s="1200">
        <v>21628</v>
      </c>
      <c r="S627" s="1007">
        <v>658</v>
      </c>
      <c r="T627" s="1306">
        <v>22286</v>
      </c>
    </row>
    <row r="628" spans="1:20" x14ac:dyDescent="0.25">
      <c r="A628" s="1203">
        <v>96701</v>
      </c>
      <c r="B628" s="1204" t="s">
        <v>3252</v>
      </c>
      <c r="C628" s="1303">
        <v>7.9334000000000002E-3</v>
      </c>
      <c r="D628" s="1303">
        <v>8.4864999999999993E-3</v>
      </c>
      <c r="E628" s="1007">
        <v>28349418</v>
      </c>
      <c r="F628" s="1270"/>
      <c r="G628" s="1200">
        <v>3580034</v>
      </c>
      <c r="H628" s="1200">
        <v>3989421</v>
      </c>
      <c r="I628" s="1200">
        <v>2109753</v>
      </c>
      <c r="J628" s="1007">
        <v>64826</v>
      </c>
      <c r="K628" s="1007">
        <v>9744034</v>
      </c>
      <c r="L628" s="1270"/>
      <c r="M628" s="1198">
        <v>0</v>
      </c>
      <c r="N628" s="1198">
        <v>0</v>
      </c>
      <c r="O628" s="1007">
        <v>1154296</v>
      </c>
      <c r="P628" s="1007">
        <v>1154296</v>
      </c>
      <c r="Q628" s="1270"/>
      <c r="R628" s="1200">
        <v>9749157</v>
      </c>
      <c r="S628" s="1007">
        <v>-338855</v>
      </c>
      <c r="T628" s="1306">
        <v>9410302</v>
      </c>
    </row>
    <row r="629" spans="1:20" x14ac:dyDescent="0.25">
      <c r="A629" s="1203">
        <v>96704</v>
      </c>
      <c r="B629" s="1204" t="s">
        <v>3253</v>
      </c>
      <c r="C629" s="1303">
        <v>1.9349999999999999E-4</v>
      </c>
      <c r="D629" s="1303">
        <v>1.873E-4</v>
      </c>
      <c r="E629" s="1007">
        <v>691458</v>
      </c>
      <c r="F629" s="1270"/>
      <c r="G629" s="1200">
        <v>87319</v>
      </c>
      <c r="H629" s="1200">
        <v>97304</v>
      </c>
      <c r="I629" s="1200">
        <v>51458</v>
      </c>
      <c r="J629" s="1007">
        <v>75109</v>
      </c>
      <c r="K629" s="1007">
        <v>311190</v>
      </c>
      <c r="L629" s="1270"/>
      <c r="M629" s="1198">
        <v>0</v>
      </c>
      <c r="N629" s="1198">
        <v>0</v>
      </c>
      <c r="O629" s="1007">
        <v>0</v>
      </c>
      <c r="P629" s="1007">
        <v>0</v>
      </c>
      <c r="Q629" s="1270"/>
      <c r="R629" s="1200">
        <v>237787</v>
      </c>
      <c r="S629" s="1007">
        <v>31276</v>
      </c>
      <c r="T629" s="1306">
        <v>269063</v>
      </c>
    </row>
    <row r="630" spans="1:20" x14ac:dyDescent="0.25">
      <c r="A630" s="1203">
        <v>96708</v>
      </c>
      <c r="B630" s="1204" t="s">
        <v>3254</v>
      </c>
      <c r="C630" s="1303">
        <v>8.5760000000000003E-4</v>
      </c>
      <c r="D630" s="1303">
        <v>8.7410000000000005E-4</v>
      </c>
      <c r="E630" s="1007">
        <v>3064570</v>
      </c>
      <c r="F630" s="1270"/>
      <c r="G630" s="1200">
        <v>387001</v>
      </c>
      <c r="H630" s="1200">
        <v>431256</v>
      </c>
      <c r="I630" s="1200">
        <v>228064</v>
      </c>
      <c r="J630" s="1007">
        <v>53375</v>
      </c>
      <c r="K630" s="1007">
        <v>1099696</v>
      </c>
      <c r="L630" s="1270"/>
      <c r="M630" s="1198">
        <v>0</v>
      </c>
      <c r="N630" s="1198">
        <v>0</v>
      </c>
      <c r="O630" s="1007">
        <v>35772</v>
      </c>
      <c r="P630" s="1007">
        <v>35772</v>
      </c>
      <c r="Q630" s="1270"/>
      <c r="R630" s="1200">
        <v>1053883</v>
      </c>
      <c r="S630" s="1007">
        <v>11999</v>
      </c>
      <c r="T630" s="1306">
        <v>1065882</v>
      </c>
    </row>
    <row r="631" spans="1:20" x14ac:dyDescent="0.25">
      <c r="A631" s="1203">
        <v>96711</v>
      </c>
      <c r="B631" s="1204" t="s">
        <v>3255</v>
      </c>
      <c r="C631" s="1303">
        <v>3.8658999999999998E-3</v>
      </c>
      <c r="D631" s="1303">
        <v>3.7919E-3</v>
      </c>
      <c r="E631" s="1007">
        <v>13814508</v>
      </c>
      <c r="F631" s="1270"/>
      <c r="G631" s="1200">
        <v>1744530</v>
      </c>
      <c r="H631" s="1200">
        <v>1944022</v>
      </c>
      <c r="I631" s="1200">
        <v>1028070</v>
      </c>
      <c r="J631" s="1007">
        <v>34892</v>
      </c>
      <c r="K631" s="1007">
        <v>4751514</v>
      </c>
      <c r="L631" s="1270"/>
      <c r="M631" s="1198">
        <v>0</v>
      </c>
      <c r="N631" s="1198">
        <v>0</v>
      </c>
      <c r="O631" s="1007">
        <v>177048</v>
      </c>
      <c r="P631" s="1007">
        <v>177048</v>
      </c>
      <c r="Q631" s="1270"/>
      <c r="R631" s="1200">
        <v>4750708</v>
      </c>
      <c r="S631" s="1007">
        <v>-113147</v>
      </c>
      <c r="T631" s="1306">
        <v>4637561</v>
      </c>
    </row>
    <row r="632" spans="1:20" x14ac:dyDescent="0.25">
      <c r="A632" s="1203">
        <v>96721</v>
      </c>
      <c r="B632" s="1204" t="s">
        <v>3256</v>
      </c>
      <c r="C632" s="1303">
        <v>2.3929999999999999E-4</v>
      </c>
      <c r="D632" s="1303">
        <v>2.1719999999999999E-4</v>
      </c>
      <c r="E632" s="1007">
        <v>855121</v>
      </c>
      <c r="F632" s="1270"/>
      <c r="G632" s="1200">
        <v>107987</v>
      </c>
      <c r="H632" s="1200">
        <v>120336</v>
      </c>
      <c r="I632" s="1200">
        <v>63638</v>
      </c>
      <c r="J632" s="1007">
        <v>31242</v>
      </c>
      <c r="K632" s="1007">
        <v>323203</v>
      </c>
      <c r="L632" s="1270"/>
      <c r="M632" s="1198">
        <v>0</v>
      </c>
      <c r="N632" s="1198">
        <v>0</v>
      </c>
      <c r="O632" s="1007">
        <v>2666</v>
      </c>
      <c r="P632" s="1007">
        <v>2666</v>
      </c>
      <c r="Q632" s="1270"/>
      <c r="R632" s="1200">
        <v>294070</v>
      </c>
      <c r="S632" s="1007">
        <v>3478</v>
      </c>
      <c r="T632" s="1306">
        <v>297548</v>
      </c>
    </row>
    <row r="633" spans="1:20" x14ac:dyDescent="0.25">
      <c r="A633" s="1203">
        <v>96731</v>
      </c>
      <c r="B633" s="1204" t="s">
        <v>3257</v>
      </c>
      <c r="C633" s="1303">
        <v>1.741E-4</v>
      </c>
      <c r="D633" s="1303">
        <v>1.763E-4</v>
      </c>
      <c r="E633" s="1007">
        <v>622133</v>
      </c>
      <c r="F633" s="1270"/>
      <c r="G633" s="1200">
        <v>78565</v>
      </c>
      <c r="H633" s="1200">
        <v>87549</v>
      </c>
      <c r="I633" s="1200">
        <v>46299</v>
      </c>
      <c r="J633" s="1007">
        <v>2530</v>
      </c>
      <c r="K633" s="1007">
        <v>214943</v>
      </c>
      <c r="L633" s="1270"/>
      <c r="M633" s="1198">
        <v>0</v>
      </c>
      <c r="N633" s="1198">
        <v>0</v>
      </c>
      <c r="O633" s="1007">
        <v>6281</v>
      </c>
      <c r="P633" s="1007">
        <v>6281</v>
      </c>
      <c r="Q633" s="1270"/>
      <c r="R633" s="1200">
        <v>213947</v>
      </c>
      <c r="S633" s="1007">
        <v>2614</v>
      </c>
      <c r="T633" s="1306">
        <v>216561</v>
      </c>
    </row>
    <row r="634" spans="1:20" x14ac:dyDescent="0.25">
      <c r="A634" s="1203">
        <v>96733</v>
      </c>
      <c r="B634" s="1204" t="s">
        <v>3258</v>
      </c>
      <c r="C634" s="1303">
        <v>0</v>
      </c>
      <c r="D634" s="1303">
        <v>6.4999999999999996E-6</v>
      </c>
      <c r="E634" s="1007">
        <v>0</v>
      </c>
      <c r="F634" s="1270"/>
      <c r="G634" s="1200">
        <v>0</v>
      </c>
      <c r="H634" s="1200">
        <v>0</v>
      </c>
      <c r="I634" s="1200">
        <v>0</v>
      </c>
      <c r="J634" s="1007">
        <v>1099</v>
      </c>
      <c r="K634" s="1007">
        <v>1099</v>
      </c>
      <c r="L634" s="1270"/>
      <c r="M634" s="1198">
        <v>0</v>
      </c>
      <c r="N634" s="1198">
        <v>0</v>
      </c>
      <c r="O634" s="1007">
        <v>12912</v>
      </c>
      <c r="P634" s="1007">
        <v>12912</v>
      </c>
      <c r="Q634" s="1270"/>
      <c r="R634" s="1200">
        <v>0</v>
      </c>
      <c r="S634" s="1007">
        <v>-2956</v>
      </c>
      <c r="T634" s="1306">
        <v>-2956</v>
      </c>
    </row>
    <row r="635" spans="1:20" x14ac:dyDescent="0.25">
      <c r="A635" s="1203">
        <v>96741</v>
      </c>
      <c r="B635" s="1204" t="s">
        <v>3259</v>
      </c>
      <c r="C635" s="1303">
        <v>8.6799999999999996E-5</v>
      </c>
      <c r="D635" s="1303">
        <v>9.6799999999999995E-5</v>
      </c>
      <c r="E635" s="1007">
        <v>310173</v>
      </c>
      <c r="F635" s="1270"/>
      <c r="G635" s="1200">
        <v>39169</v>
      </c>
      <c r="H635" s="1200">
        <v>43648</v>
      </c>
      <c r="I635" s="1200">
        <v>23083</v>
      </c>
      <c r="J635" s="1007">
        <v>1403</v>
      </c>
      <c r="K635" s="1007">
        <v>107303</v>
      </c>
      <c r="L635" s="1270"/>
      <c r="M635" s="1198">
        <v>0</v>
      </c>
      <c r="N635" s="1198">
        <v>0</v>
      </c>
      <c r="O635" s="1007">
        <v>17333</v>
      </c>
      <c r="P635" s="1007">
        <v>17333</v>
      </c>
      <c r="Q635" s="1270"/>
      <c r="R635" s="1200">
        <v>106666</v>
      </c>
      <c r="S635" s="1007">
        <v>-5634</v>
      </c>
      <c r="T635" s="1306">
        <v>101032</v>
      </c>
    </row>
    <row r="636" spans="1:20" x14ac:dyDescent="0.25">
      <c r="A636" s="1203">
        <v>96751</v>
      </c>
      <c r="B636" s="1204" t="s">
        <v>3260</v>
      </c>
      <c r="C636" s="1303">
        <v>2.7139999999999998E-4</v>
      </c>
      <c r="D636" s="1303">
        <v>3.054E-4</v>
      </c>
      <c r="E636" s="1007">
        <v>969828</v>
      </c>
      <c r="F636" s="1270"/>
      <c r="G636" s="1200">
        <v>122472</v>
      </c>
      <c r="H636" s="1200">
        <v>136477</v>
      </c>
      <c r="I636" s="1200">
        <v>72174</v>
      </c>
      <c r="J636" s="1007">
        <v>17624</v>
      </c>
      <c r="K636" s="1007">
        <v>348747</v>
      </c>
      <c r="L636" s="1270"/>
      <c r="M636" s="1198">
        <v>0</v>
      </c>
      <c r="N636" s="1198">
        <v>0</v>
      </c>
      <c r="O636" s="1007">
        <v>36625</v>
      </c>
      <c r="P636" s="1007">
        <v>36625</v>
      </c>
      <c r="Q636" s="1270"/>
      <c r="R636" s="1200">
        <v>333517</v>
      </c>
      <c r="S636" s="1007">
        <v>-13366</v>
      </c>
      <c r="T636" s="1306">
        <v>320151</v>
      </c>
    </row>
    <row r="637" spans="1:20" x14ac:dyDescent="0.25">
      <c r="A637" s="1203">
        <v>96801</v>
      </c>
      <c r="B637" s="1204" t="s">
        <v>3261</v>
      </c>
      <c r="C637" s="1303">
        <v>7.3815E-3</v>
      </c>
      <c r="D637" s="1303">
        <v>7.6207000000000002E-3</v>
      </c>
      <c r="E637" s="1007">
        <v>26377244</v>
      </c>
      <c r="F637" s="1270"/>
      <c r="G637" s="1200">
        <v>3330983</v>
      </c>
      <c r="H637" s="1200">
        <v>3711890</v>
      </c>
      <c r="I637" s="1200">
        <v>1962984</v>
      </c>
      <c r="J637" s="1007">
        <v>36030</v>
      </c>
      <c r="K637" s="1007">
        <v>9041887</v>
      </c>
      <c r="L637" s="1270"/>
      <c r="M637" s="1198">
        <v>0</v>
      </c>
      <c r="N637" s="1198">
        <v>0</v>
      </c>
      <c r="O637" s="1007">
        <v>208907</v>
      </c>
      <c r="P637" s="1007">
        <v>208907</v>
      </c>
      <c r="Q637" s="1270"/>
      <c r="R637" s="1200">
        <v>9070941</v>
      </c>
      <c r="S637" s="1007">
        <v>-5403</v>
      </c>
      <c r="T637" s="1306">
        <v>9065538</v>
      </c>
    </row>
    <row r="638" spans="1:20" x14ac:dyDescent="0.25">
      <c r="A638" s="1203">
        <v>96804</v>
      </c>
      <c r="B638" s="1204" t="s">
        <v>3262</v>
      </c>
      <c r="C638" s="1303">
        <v>2.3499999999999999E-4</v>
      </c>
      <c r="D638" s="1303">
        <v>2.4230000000000001E-4</v>
      </c>
      <c r="E638" s="1007">
        <v>839755</v>
      </c>
      <c r="F638" s="1270"/>
      <c r="G638" s="1200">
        <v>106046</v>
      </c>
      <c r="H638" s="1200">
        <v>118173</v>
      </c>
      <c r="I638" s="1200">
        <v>62494</v>
      </c>
      <c r="J638" s="1007">
        <v>1338</v>
      </c>
      <c r="K638" s="1007">
        <v>288051</v>
      </c>
      <c r="L638" s="1270"/>
      <c r="M638" s="1198">
        <v>0</v>
      </c>
      <c r="N638" s="1198">
        <v>0</v>
      </c>
      <c r="O638" s="1007">
        <v>38987</v>
      </c>
      <c r="P638" s="1007">
        <v>38987</v>
      </c>
      <c r="Q638" s="1270"/>
      <c r="R638" s="1200">
        <v>288786</v>
      </c>
      <c r="S638" s="1007">
        <v>-13248</v>
      </c>
      <c r="T638" s="1306">
        <v>275538</v>
      </c>
    </row>
    <row r="639" spans="1:20" x14ac:dyDescent="0.25">
      <c r="A639" s="1203">
        <v>96808</v>
      </c>
      <c r="B639" s="1204" t="s">
        <v>3263</v>
      </c>
      <c r="C639" s="1303">
        <v>1.2712999999999999E-3</v>
      </c>
      <c r="D639" s="1303">
        <v>1.2175E-3</v>
      </c>
      <c r="E639" s="1007">
        <v>4542896</v>
      </c>
      <c r="F639" s="1270"/>
      <c r="G639" s="1200">
        <v>573688</v>
      </c>
      <c r="H639" s="1200">
        <v>639291</v>
      </c>
      <c r="I639" s="1200">
        <v>338081</v>
      </c>
      <c r="J639" s="1007">
        <v>61456</v>
      </c>
      <c r="K639" s="1007">
        <v>1612516</v>
      </c>
      <c r="L639" s="1270"/>
      <c r="M639" s="1198">
        <v>0</v>
      </c>
      <c r="N639" s="1198">
        <v>0</v>
      </c>
      <c r="O639" s="1007">
        <v>28625</v>
      </c>
      <c r="P639" s="1007">
        <v>28625</v>
      </c>
      <c r="Q639" s="1270"/>
      <c r="R639" s="1200">
        <v>1562269</v>
      </c>
      <c r="S639" s="1007">
        <v>15640</v>
      </c>
      <c r="T639" s="1306">
        <v>1577909</v>
      </c>
    </row>
    <row r="640" spans="1:20" x14ac:dyDescent="0.25">
      <c r="A640" s="1203">
        <v>96811</v>
      </c>
      <c r="B640" s="1204" t="s">
        <v>3264</v>
      </c>
      <c r="C640" s="1303">
        <v>5.7375999999999998E-3</v>
      </c>
      <c r="D640" s="1303">
        <v>5.8506000000000001E-3</v>
      </c>
      <c r="E640" s="1007">
        <v>20502889</v>
      </c>
      <c r="F640" s="1270"/>
      <c r="G640" s="1200">
        <v>2589155</v>
      </c>
      <c r="H640" s="1200">
        <v>2885233</v>
      </c>
      <c r="I640" s="1200">
        <v>1525817</v>
      </c>
      <c r="J640" s="1007">
        <v>9353</v>
      </c>
      <c r="K640" s="1007">
        <v>7009558</v>
      </c>
      <c r="L640" s="1270"/>
      <c r="M640" s="1198">
        <v>0</v>
      </c>
      <c r="N640" s="1198">
        <v>0</v>
      </c>
      <c r="O640" s="1007">
        <v>202284</v>
      </c>
      <c r="P640" s="1007">
        <v>202284</v>
      </c>
      <c r="Q640" s="1270"/>
      <c r="R640" s="1200">
        <v>7050793</v>
      </c>
      <c r="S640" s="1007">
        <v>-72125</v>
      </c>
      <c r="T640" s="1306">
        <v>6978668</v>
      </c>
    </row>
    <row r="641" spans="1:20" x14ac:dyDescent="0.25">
      <c r="A641" s="1203">
        <v>96821</v>
      </c>
      <c r="B641" s="1204" t="s">
        <v>3265</v>
      </c>
      <c r="C641" s="1303">
        <v>1.2259E-3</v>
      </c>
      <c r="D641" s="1303">
        <v>1.2505999999999999E-3</v>
      </c>
      <c r="E641" s="1007">
        <v>4380663</v>
      </c>
      <c r="F641" s="1270"/>
      <c r="G641" s="1200">
        <v>553201</v>
      </c>
      <c r="H641" s="1200">
        <v>616461</v>
      </c>
      <c r="I641" s="1200">
        <v>326007</v>
      </c>
      <c r="J641" s="1007">
        <v>87417</v>
      </c>
      <c r="K641" s="1007">
        <v>1583086</v>
      </c>
      <c r="L641" s="1270"/>
      <c r="M641" s="1198">
        <v>0</v>
      </c>
      <c r="N641" s="1198">
        <v>0</v>
      </c>
      <c r="O641" s="1007">
        <v>51931</v>
      </c>
      <c r="P641" s="1007">
        <v>51931</v>
      </c>
      <c r="Q641" s="1270"/>
      <c r="R641" s="1200">
        <v>1506478</v>
      </c>
      <c r="S641" s="1007">
        <v>-22149</v>
      </c>
      <c r="T641" s="1306">
        <v>1484329</v>
      </c>
    </row>
    <row r="642" spans="1:20" x14ac:dyDescent="0.25">
      <c r="A642" s="1203">
        <v>96831</v>
      </c>
      <c r="B642" s="1204" t="s">
        <v>3266</v>
      </c>
      <c r="C642" s="1303">
        <v>9.2150000000000001E-4</v>
      </c>
      <c r="D642" s="1303">
        <v>9.0549999999999995E-4</v>
      </c>
      <c r="E642" s="1007">
        <v>3292912</v>
      </c>
      <c r="F642" s="1270"/>
      <c r="G642" s="1200">
        <v>415837</v>
      </c>
      <c r="H642" s="1200">
        <v>463389</v>
      </c>
      <c r="I642" s="1200">
        <v>245057</v>
      </c>
      <c r="J642" s="1007">
        <v>26400</v>
      </c>
      <c r="K642" s="1007">
        <v>1150683</v>
      </c>
      <c r="L642" s="1270"/>
      <c r="M642" s="1198">
        <v>0</v>
      </c>
      <c r="N642" s="1198">
        <v>0</v>
      </c>
      <c r="O642" s="1007">
        <v>23976</v>
      </c>
      <c r="P642" s="1007">
        <v>23976</v>
      </c>
      <c r="Q642" s="1270"/>
      <c r="R642" s="1200">
        <v>1132408</v>
      </c>
      <c r="S642" s="1007">
        <v>6139</v>
      </c>
      <c r="T642" s="1306">
        <v>1138547</v>
      </c>
    </row>
    <row r="643" spans="1:20" x14ac:dyDescent="0.25">
      <c r="A643" s="1203">
        <v>96901</v>
      </c>
      <c r="B643" s="1204" t="s">
        <v>3267</v>
      </c>
      <c r="C643" s="1303">
        <v>8.6399999999999997E-4</v>
      </c>
      <c r="D643" s="1303">
        <v>9.5589999999999998E-4</v>
      </c>
      <c r="E643" s="1007">
        <v>3087440</v>
      </c>
      <c r="F643" s="1270"/>
      <c r="G643" s="1200">
        <v>389890</v>
      </c>
      <c r="H643" s="1200">
        <v>434474</v>
      </c>
      <c r="I643" s="1200">
        <v>229766</v>
      </c>
      <c r="J643" s="1007">
        <v>41558</v>
      </c>
      <c r="K643" s="1007">
        <v>1095688</v>
      </c>
      <c r="L643" s="1270"/>
      <c r="M643" s="1198">
        <v>0</v>
      </c>
      <c r="N643" s="1198">
        <v>0</v>
      </c>
      <c r="O643" s="1007">
        <v>147115</v>
      </c>
      <c r="P643" s="1007">
        <v>147115</v>
      </c>
      <c r="Q643" s="1270"/>
      <c r="R643" s="1200">
        <v>1061748</v>
      </c>
      <c r="S643" s="1007">
        <v>-20641</v>
      </c>
      <c r="T643" s="1306">
        <v>1041107</v>
      </c>
    </row>
    <row r="644" spans="1:20" x14ac:dyDescent="0.25">
      <c r="A644" s="1203">
        <v>96911</v>
      </c>
      <c r="B644" s="1204" t="s">
        <v>3268</v>
      </c>
      <c r="C644" s="1303">
        <v>2.3E-6</v>
      </c>
      <c r="D644" s="1303">
        <v>2.3E-6</v>
      </c>
      <c r="E644" s="1007">
        <v>8219</v>
      </c>
      <c r="F644" s="1270"/>
      <c r="G644" s="1200">
        <v>1038</v>
      </c>
      <c r="H644" s="1200">
        <v>1156</v>
      </c>
      <c r="I644" s="1200">
        <v>612</v>
      </c>
      <c r="J644" s="1007">
        <v>3052</v>
      </c>
      <c r="K644" s="1007">
        <v>5858</v>
      </c>
      <c r="L644" s="1270"/>
      <c r="M644" s="1198">
        <v>0</v>
      </c>
      <c r="N644" s="1198">
        <v>0</v>
      </c>
      <c r="O644" s="1007">
        <v>50</v>
      </c>
      <c r="P644" s="1007">
        <v>50</v>
      </c>
      <c r="Q644" s="1270"/>
      <c r="R644" s="1200">
        <v>2826</v>
      </c>
      <c r="S644" s="1007">
        <v>222</v>
      </c>
      <c r="T644" s="1306">
        <v>3048</v>
      </c>
    </row>
    <row r="645" spans="1:20" s="1273" customFormat="1" x14ac:dyDescent="0.25">
      <c r="A645" s="1203">
        <v>96912</v>
      </c>
      <c r="B645" s="1204" t="s">
        <v>3269</v>
      </c>
      <c r="C645" s="1303">
        <v>7.5400000000000003E-5</v>
      </c>
      <c r="D645" s="1303">
        <v>7.2000000000000002E-5</v>
      </c>
      <c r="E645" s="1007">
        <v>269436</v>
      </c>
      <c r="F645" s="1270"/>
      <c r="G645" s="1200">
        <v>34025</v>
      </c>
      <c r="H645" s="1200">
        <v>37916</v>
      </c>
      <c r="I645" s="1200">
        <v>20051</v>
      </c>
      <c r="J645" s="1007">
        <v>2187</v>
      </c>
      <c r="K645" s="1007">
        <v>94179</v>
      </c>
      <c r="L645" s="1270"/>
      <c r="M645" s="1198">
        <v>0</v>
      </c>
      <c r="N645" s="1198">
        <v>0</v>
      </c>
      <c r="O645" s="1007">
        <v>1495</v>
      </c>
      <c r="P645" s="1007">
        <v>1495</v>
      </c>
      <c r="Q645" s="1270"/>
      <c r="R645" s="1200">
        <v>92657</v>
      </c>
      <c r="S645" s="1007">
        <v>-455</v>
      </c>
      <c r="T645" s="1306">
        <v>92202</v>
      </c>
    </row>
    <row r="646" spans="1:20" x14ac:dyDescent="0.25">
      <c r="A646" s="1203">
        <v>96918</v>
      </c>
      <c r="B646" s="1204" t="s">
        <v>3270</v>
      </c>
      <c r="C646" s="1303">
        <v>3.1300000000000002E-5</v>
      </c>
      <c r="D646" s="1303">
        <v>2.9799999999999999E-5</v>
      </c>
      <c r="E646" s="1007">
        <v>111848</v>
      </c>
      <c r="F646" s="1270"/>
      <c r="G646" s="1200">
        <v>14124</v>
      </c>
      <c r="H646" s="1200">
        <v>15739</v>
      </c>
      <c r="I646" s="1200">
        <v>8324</v>
      </c>
      <c r="J646" s="1007">
        <v>7969</v>
      </c>
      <c r="K646" s="1007">
        <v>46156</v>
      </c>
      <c r="L646" s="1270"/>
      <c r="M646" s="1198">
        <v>0</v>
      </c>
      <c r="N646" s="1198">
        <v>0</v>
      </c>
      <c r="O646" s="1007">
        <v>1957</v>
      </c>
      <c r="P646" s="1007">
        <v>1957</v>
      </c>
      <c r="Q646" s="1270"/>
      <c r="R646" s="1200">
        <v>38464</v>
      </c>
      <c r="S646" s="1007">
        <v>1563</v>
      </c>
      <c r="T646" s="1306">
        <v>40027</v>
      </c>
    </row>
    <row r="647" spans="1:20" x14ac:dyDescent="0.25">
      <c r="A647" s="1203">
        <v>97001</v>
      </c>
      <c r="B647" s="1204" t="s">
        <v>3271</v>
      </c>
      <c r="C647" s="1303">
        <v>1.4051999999999999E-3</v>
      </c>
      <c r="D647" s="1303">
        <v>1.3541E-3</v>
      </c>
      <c r="E647" s="1007">
        <v>5021378</v>
      </c>
      <c r="F647" s="1270"/>
      <c r="G647" s="1200">
        <v>634112</v>
      </c>
      <c r="H647" s="1200">
        <v>706624</v>
      </c>
      <c r="I647" s="1200">
        <v>373689</v>
      </c>
      <c r="J647" s="1007">
        <v>173891</v>
      </c>
      <c r="K647" s="1007">
        <v>1888316</v>
      </c>
      <c r="L647" s="1270"/>
      <c r="M647" s="1198">
        <v>0</v>
      </c>
      <c r="N647" s="1198">
        <v>0</v>
      </c>
      <c r="O647" s="1007">
        <v>0</v>
      </c>
      <c r="P647" s="1007">
        <v>0</v>
      </c>
      <c r="Q647" s="1270"/>
      <c r="R647" s="1200">
        <v>1726815</v>
      </c>
      <c r="S647" s="1007">
        <v>91810</v>
      </c>
      <c r="T647" s="1306">
        <v>1818625</v>
      </c>
    </row>
    <row r="648" spans="1:20" x14ac:dyDescent="0.25">
      <c r="A648" s="1203">
        <v>97002</v>
      </c>
      <c r="B648" s="1204" t="s">
        <v>3272</v>
      </c>
      <c r="C648" s="1303">
        <v>4.7550000000000001E-4</v>
      </c>
      <c r="D648" s="1303">
        <v>5.04E-4</v>
      </c>
      <c r="E648" s="1007">
        <v>1699164</v>
      </c>
      <c r="F648" s="1270"/>
      <c r="G648" s="1200">
        <v>214575</v>
      </c>
      <c r="H648" s="1200">
        <v>239112</v>
      </c>
      <c r="I648" s="1200">
        <v>126451</v>
      </c>
      <c r="J648" s="1007">
        <v>0</v>
      </c>
      <c r="K648" s="1007">
        <v>580138</v>
      </c>
      <c r="L648" s="1270"/>
      <c r="M648" s="1198">
        <v>0</v>
      </c>
      <c r="N648" s="1198">
        <v>0</v>
      </c>
      <c r="O648" s="1007">
        <v>147141</v>
      </c>
      <c r="P648" s="1007">
        <v>147141</v>
      </c>
      <c r="Q648" s="1270"/>
      <c r="R648" s="1200">
        <v>584330</v>
      </c>
      <c r="S648" s="1007">
        <v>-54280</v>
      </c>
      <c r="T648" s="1306">
        <v>530050</v>
      </c>
    </row>
    <row r="649" spans="1:20" x14ac:dyDescent="0.25">
      <c r="A649" s="1203">
        <v>97004</v>
      </c>
      <c r="B649" s="1204" t="s">
        <v>3273</v>
      </c>
      <c r="C649" s="1303">
        <v>1.27E-5</v>
      </c>
      <c r="D649" s="1303">
        <v>1.5400000000000002E-5</v>
      </c>
      <c r="E649" s="1007">
        <v>45383</v>
      </c>
      <c r="F649" s="1270"/>
      <c r="G649" s="1200">
        <v>5731</v>
      </c>
      <c r="H649" s="1200">
        <v>6386</v>
      </c>
      <c r="I649" s="1200">
        <v>3377</v>
      </c>
      <c r="J649" s="1007">
        <v>7716</v>
      </c>
      <c r="K649" s="1007">
        <v>23210</v>
      </c>
      <c r="L649" s="1270"/>
      <c r="M649" s="1198">
        <v>0</v>
      </c>
      <c r="N649" s="1198">
        <v>0</v>
      </c>
      <c r="O649" s="1007">
        <v>914</v>
      </c>
      <c r="P649" s="1007">
        <v>914</v>
      </c>
      <c r="Q649" s="1270"/>
      <c r="R649" s="1200">
        <v>15607</v>
      </c>
      <c r="S649" s="1007">
        <v>2929</v>
      </c>
      <c r="T649" s="1306">
        <v>18536</v>
      </c>
    </row>
    <row r="650" spans="1:20" x14ac:dyDescent="0.25">
      <c r="A650" s="1203">
        <v>97005</v>
      </c>
      <c r="B650" s="1204" t="s">
        <v>3274</v>
      </c>
      <c r="C650" s="1303">
        <v>2.2500000000000001E-5</v>
      </c>
      <c r="D650" s="1303">
        <v>2.0100000000000001E-5</v>
      </c>
      <c r="E650" s="1007">
        <v>80402</v>
      </c>
      <c r="F650" s="1270"/>
      <c r="G650" s="1200">
        <v>10153</v>
      </c>
      <c r="H650" s="1200">
        <v>11314</v>
      </c>
      <c r="I650" s="1200">
        <v>5983</v>
      </c>
      <c r="J650" s="1007">
        <v>9482</v>
      </c>
      <c r="K650" s="1007">
        <v>36932</v>
      </c>
      <c r="L650" s="1270"/>
      <c r="M650" s="1198">
        <v>0</v>
      </c>
      <c r="N650" s="1198">
        <v>0</v>
      </c>
      <c r="O650" s="1007">
        <v>1351</v>
      </c>
      <c r="P650" s="1007">
        <v>1351</v>
      </c>
      <c r="Q650" s="1270"/>
      <c r="R650" s="1200">
        <v>27650</v>
      </c>
      <c r="S650" s="1007">
        <v>4294</v>
      </c>
      <c r="T650" s="1306">
        <v>31944</v>
      </c>
    </row>
    <row r="651" spans="1:20" x14ac:dyDescent="0.25">
      <c r="A651" s="1203">
        <v>97008</v>
      </c>
      <c r="B651" s="1204" t="s">
        <v>3275</v>
      </c>
      <c r="C651" s="1303">
        <v>2.7549999999999997E-4</v>
      </c>
      <c r="D651" s="1303">
        <v>2.8699999999999998E-4</v>
      </c>
      <c r="E651" s="1007">
        <v>984479</v>
      </c>
      <c r="F651" s="1270"/>
      <c r="G651" s="1200">
        <v>124322</v>
      </c>
      <c r="H651" s="1200">
        <v>138539</v>
      </c>
      <c r="I651" s="1200">
        <v>73265</v>
      </c>
      <c r="J651" s="1007">
        <v>10011</v>
      </c>
      <c r="K651" s="1007">
        <v>346137</v>
      </c>
      <c r="L651" s="1270"/>
      <c r="M651" s="1198">
        <v>0</v>
      </c>
      <c r="N651" s="1198">
        <v>0</v>
      </c>
      <c r="O651" s="1007">
        <v>8984</v>
      </c>
      <c r="P651" s="1007">
        <v>8984</v>
      </c>
      <c r="Q651" s="1270"/>
      <c r="R651" s="1200">
        <v>338555</v>
      </c>
      <c r="S651" s="1007">
        <v>521</v>
      </c>
      <c r="T651" s="1306">
        <v>339076</v>
      </c>
    </row>
    <row r="652" spans="1:20" x14ac:dyDescent="0.25">
      <c r="A652" s="1203">
        <v>97010</v>
      </c>
      <c r="B652" s="1204" t="s">
        <v>3276</v>
      </c>
      <c r="C652" s="1303">
        <v>0</v>
      </c>
      <c r="D652" s="1303">
        <v>0</v>
      </c>
      <c r="E652" s="1007">
        <v>0</v>
      </c>
      <c r="F652" s="1270"/>
      <c r="G652" s="1200">
        <v>0</v>
      </c>
      <c r="H652" s="1200">
        <v>0</v>
      </c>
      <c r="I652" s="1200">
        <v>0</v>
      </c>
      <c r="J652" s="1007">
        <v>0</v>
      </c>
      <c r="K652" s="1007">
        <v>0</v>
      </c>
      <c r="L652" s="1270"/>
      <c r="M652" s="1198">
        <v>0</v>
      </c>
      <c r="N652" s="1198">
        <v>0</v>
      </c>
      <c r="O652" s="1007">
        <v>0</v>
      </c>
      <c r="P652" s="1007">
        <v>0</v>
      </c>
      <c r="Q652" s="1270"/>
      <c r="R652" s="1200">
        <v>0</v>
      </c>
      <c r="S652" s="1007">
        <v>0</v>
      </c>
      <c r="T652" s="1306">
        <v>0</v>
      </c>
    </row>
    <row r="653" spans="1:20" x14ac:dyDescent="0.25">
      <c r="A653" s="1203">
        <v>97011</v>
      </c>
      <c r="B653" s="1204" t="s">
        <v>3277</v>
      </c>
      <c r="C653" s="1303">
        <v>1.8404000000000001E-3</v>
      </c>
      <c r="D653" s="1303">
        <v>1.8362999999999999E-3</v>
      </c>
      <c r="E653" s="1007">
        <v>6576533</v>
      </c>
      <c r="F653" s="1270"/>
      <c r="G653" s="1200">
        <v>830501</v>
      </c>
      <c r="H653" s="1200">
        <v>925470</v>
      </c>
      <c r="I653" s="1200">
        <v>489423</v>
      </c>
      <c r="J653" s="1007">
        <v>17060</v>
      </c>
      <c r="K653" s="1007">
        <v>2262454</v>
      </c>
      <c r="L653" s="1270"/>
      <c r="M653" s="1198">
        <v>0</v>
      </c>
      <c r="N653" s="1198">
        <v>0</v>
      </c>
      <c r="O653" s="1007">
        <v>76841</v>
      </c>
      <c r="P653" s="1007">
        <v>76841</v>
      </c>
      <c r="Q653" s="1270"/>
      <c r="R653" s="1200">
        <v>2261622</v>
      </c>
      <c r="S653" s="1007">
        <v>-42371</v>
      </c>
      <c r="T653" s="1306">
        <v>2219251</v>
      </c>
    </row>
    <row r="654" spans="1:20" x14ac:dyDescent="0.25">
      <c r="A654" s="1203">
        <v>97012</v>
      </c>
      <c r="B654" s="1204" t="s">
        <v>3278</v>
      </c>
      <c r="C654" s="1303">
        <v>2.8399999999999999E-5</v>
      </c>
      <c r="D654" s="1303">
        <v>2.97E-5</v>
      </c>
      <c r="E654" s="1007">
        <v>101485</v>
      </c>
      <c r="F654" s="1270"/>
      <c r="G654" s="1200">
        <v>12816</v>
      </c>
      <c r="H654" s="1200">
        <v>14281</v>
      </c>
      <c r="I654" s="1200">
        <v>7552</v>
      </c>
      <c r="J654" s="1007">
        <v>3449</v>
      </c>
      <c r="K654" s="1007">
        <v>38098</v>
      </c>
      <c r="L654" s="1270"/>
      <c r="M654" s="1198">
        <v>0</v>
      </c>
      <c r="N654" s="1198">
        <v>0</v>
      </c>
      <c r="O654" s="1007">
        <v>3004</v>
      </c>
      <c r="P654" s="1007">
        <v>3004</v>
      </c>
      <c r="Q654" s="1270"/>
      <c r="R654" s="1200">
        <v>34900</v>
      </c>
      <c r="S654" s="1007">
        <v>1586</v>
      </c>
      <c r="T654" s="1306">
        <v>36486</v>
      </c>
    </row>
    <row r="655" spans="1:20" x14ac:dyDescent="0.25">
      <c r="A655" s="1203">
        <v>97013</v>
      </c>
      <c r="B655" s="1204" t="s">
        <v>3279</v>
      </c>
      <c r="C655" s="1303">
        <v>1.8899999999999999E-5</v>
      </c>
      <c r="D655" s="1303">
        <v>9.0000000000000002E-6</v>
      </c>
      <c r="E655" s="1007">
        <v>67538</v>
      </c>
      <c r="F655" s="1270"/>
      <c r="G655" s="1200">
        <v>8529</v>
      </c>
      <c r="H655" s="1200">
        <v>9504</v>
      </c>
      <c r="I655" s="1200">
        <v>5026</v>
      </c>
      <c r="J655" s="1007">
        <v>14731</v>
      </c>
      <c r="K655" s="1007">
        <v>37790</v>
      </c>
      <c r="L655" s="1270"/>
      <c r="M655" s="1198">
        <v>0</v>
      </c>
      <c r="N655" s="1198">
        <v>0</v>
      </c>
      <c r="O655" s="1007">
        <v>6337</v>
      </c>
      <c r="P655" s="1007">
        <v>6337</v>
      </c>
      <c r="Q655" s="1270"/>
      <c r="R655" s="1200">
        <v>23226</v>
      </c>
      <c r="S655" s="1007">
        <v>4297</v>
      </c>
      <c r="T655" s="1306">
        <v>27523</v>
      </c>
    </row>
    <row r="656" spans="1:20" x14ac:dyDescent="0.25">
      <c r="A656" s="1203">
        <v>97015</v>
      </c>
      <c r="B656" s="1204" t="s">
        <v>3280</v>
      </c>
      <c r="C656" s="1303">
        <v>4.71E-5</v>
      </c>
      <c r="D656" s="1303">
        <v>4.3900000000000003E-5</v>
      </c>
      <c r="E656" s="1007">
        <v>168308</v>
      </c>
      <c r="F656" s="1270"/>
      <c r="G656" s="1200">
        <v>21254</v>
      </c>
      <c r="H656" s="1200">
        <v>23685</v>
      </c>
      <c r="I656" s="1200">
        <v>12525</v>
      </c>
      <c r="J656" s="1007">
        <v>10970</v>
      </c>
      <c r="K656" s="1007">
        <v>68434</v>
      </c>
      <c r="L656" s="1270"/>
      <c r="M656" s="1198">
        <v>0</v>
      </c>
      <c r="N656" s="1198">
        <v>0</v>
      </c>
      <c r="O656" s="1007">
        <v>4699</v>
      </c>
      <c r="P656" s="1007">
        <v>4699</v>
      </c>
      <c r="Q656" s="1270"/>
      <c r="R656" s="1200">
        <v>57880</v>
      </c>
      <c r="S656" s="1007">
        <v>2560</v>
      </c>
      <c r="T656" s="1306">
        <v>60440</v>
      </c>
    </row>
    <row r="657" spans="1:20" x14ac:dyDescent="0.25">
      <c r="A657" s="1203">
        <v>97018</v>
      </c>
      <c r="B657" s="1204" t="s">
        <v>3281</v>
      </c>
      <c r="C657" s="1303">
        <v>1.63E-5</v>
      </c>
      <c r="D657" s="1303">
        <v>1.6399999999999999E-5</v>
      </c>
      <c r="E657" s="1007">
        <v>58247</v>
      </c>
      <c r="F657" s="1270"/>
      <c r="G657" s="1200">
        <v>7356</v>
      </c>
      <c r="H657" s="1200">
        <v>8196</v>
      </c>
      <c r="I657" s="1200">
        <v>4335</v>
      </c>
      <c r="J657" s="1007">
        <v>7657</v>
      </c>
      <c r="K657" s="1007">
        <v>27544</v>
      </c>
      <c r="L657" s="1270"/>
      <c r="M657" s="1198">
        <v>0</v>
      </c>
      <c r="N657" s="1198">
        <v>0</v>
      </c>
      <c r="O657" s="1007">
        <v>0</v>
      </c>
      <c r="P657" s="1007">
        <v>0</v>
      </c>
      <c r="Q657" s="1270"/>
      <c r="R657" s="1200">
        <v>20031</v>
      </c>
      <c r="S657" s="1007">
        <v>3882</v>
      </c>
      <c r="T657" s="1306">
        <v>23913</v>
      </c>
    </row>
    <row r="658" spans="1:20" x14ac:dyDescent="0.25">
      <c r="A658" s="1203">
        <v>97101</v>
      </c>
      <c r="B658" s="1204" t="s">
        <v>3282</v>
      </c>
      <c r="C658" s="1303">
        <v>2.7287000000000001E-3</v>
      </c>
      <c r="D658" s="1303">
        <v>2.7334E-3</v>
      </c>
      <c r="E658" s="1007">
        <v>9750808</v>
      </c>
      <c r="F658" s="1270"/>
      <c r="G658" s="1200">
        <v>1231356</v>
      </c>
      <c r="H658" s="1200">
        <v>1372165</v>
      </c>
      <c r="I658" s="1200">
        <v>725651</v>
      </c>
      <c r="J658" s="1007">
        <v>269024</v>
      </c>
      <c r="K658" s="1007">
        <v>3598196</v>
      </c>
      <c r="L658" s="1270"/>
      <c r="M658" s="1198">
        <v>0</v>
      </c>
      <c r="N658" s="1198">
        <v>0</v>
      </c>
      <c r="O658" s="1007">
        <v>0</v>
      </c>
      <c r="P658" s="1007">
        <v>0</v>
      </c>
      <c r="Q658" s="1270"/>
      <c r="R658" s="1200">
        <v>3353231</v>
      </c>
      <c r="S658" s="1007">
        <v>93356</v>
      </c>
      <c r="T658" s="1306">
        <v>3446587</v>
      </c>
    </row>
    <row r="659" spans="1:20" x14ac:dyDescent="0.25">
      <c r="A659" s="1203">
        <v>97104</v>
      </c>
      <c r="B659" s="1204" t="s">
        <v>3283</v>
      </c>
      <c r="C659" s="1303">
        <v>5.3199999999999999E-5</v>
      </c>
      <c r="D659" s="1303">
        <v>5.41E-5</v>
      </c>
      <c r="E659" s="1007">
        <v>190106</v>
      </c>
      <c r="F659" s="1270"/>
      <c r="G659" s="1200">
        <v>24007</v>
      </c>
      <c r="H659" s="1200">
        <v>26753</v>
      </c>
      <c r="I659" s="1200">
        <v>14148</v>
      </c>
      <c r="J659" s="1007">
        <v>7657</v>
      </c>
      <c r="K659" s="1007">
        <v>72565</v>
      </c>
      <c r="L659" s="1270"/>
      <c r="M659" s="1198">
        <v>0</v>
      </c>
      <c r="N659" s="1198">
        <v>0</v>
      </c>
      <c r="O659" s="1007">
        <v>0</v>
      </c>
      <c r="P659" s="1007">
        <v>0</v>
      </c>
      <c r="Q659" s="1270"/>
      <c r="R659" s="1200">
        <v>65376</v>
      </c>
      <c r="S659" s="1007">
        <v>4374</v>
      </c>
      <c r="T659" s="1306">
        <v>69750</v>
      </c>
    </row>
    <row r="660" spans="1:20" x14ac:dyDescent="0.25">
      <c r="A660" s="1203">
        <v>97111</v>
      </c>
      <c r="B660" s="1204" t="s">
        <v>3284</v>
      </c>
      <c r="C660" s="1303">
        <v>3.1780000000000003E-4</v>
      </c>
      <c r="D660" s="1303">
        <v>2.8489999999999999E-4</v>
      </c>
      <c r="E660" s="1007">
        <v>1135635</v>
      </c>
      <c r="F660" s="1270"/>
      <c r="G660" s="1200">
        <v>143411</v>
      </c>
      <c r="H660" s="1200">
        <v>159810</v>
      </c>
      <c r="I660" s="1200">
        <v>84514</v>
      </c>
      <c r="J660" s="1007">
        <v>30087</v>
      </c>
      <c r="K660" s="1007">
        <v>417822</v>
      </c>
      <c r="L660" s="1270"/>
      <c r="M660" s="1198">
        <v>0</v>
      </c>
      <c r="N660" s="1198">
        <v>0</v>
      </c>
      <c r="O660" s="1007">
        <v>17968</v>
      </c>
      <c r="P660" s="1007">
        <v>17968</v>
      </c>
      <c r="Q660" s="1270"/>
      <c r="R660" s="1200">
        <v>390536</v>
      </c>
      <c r="S660" s="1007">
        <v>2178</v>
      </c>
      <c r="T660" s="1306">
        <v>392714</v>
      </c>
    </row>
    <row r="661" spans="1:20" x14ac:dyDescent="0.25">
      <c r="A661" s="1203">
        <v>97121</v>
      </c>
      <c r="B661" s="1204" t="s">
        <v>3285</v>
      </c>
      <c r="C661" s="1303">
        <v>1.4660000000000001E-4</v>
      </c>
      <c r="D661" s="1303">
        <v>1.493E-4</v>
      </c>
      <c r="E661" s="1007">
        <v>523864</v>
      </c>
      <c r="F661" s="1270"/>
      <c r="G661" s="1200">
        <v>66155</v>
      </c>
      <c r="H661" s="1200">
        <v>73720</v>
      </c>
      <c r="I661" s="1200">
        <v>38986</v>
      </c>
      <c r="J661" s="1007">
        <v>40400</v>
      </c>
      <c r="K661" s="1007">
        <v>219261</v>
      </c>
      <c r="L661" s="1270"/>
      <c r="M661" s="1198">
        <v>0</v>
      </c>
      <c r="N661" s="1198">
        <v>0</v>
      </c>
      <c r="O661" s="1007">
        <v>0</v>
      </c>
      <c r="P661" s="1007">
        <v>0</v>
      </c>
      <c r="Q661" s="1270"/>
      <c r="R661" s="1200">
        <v>180153</v>
      </c>
      <c r="S661" s="1007">
        <v>13680</v>
      </c>
      <c r="T661" s="1306">
        <v>193833</v>
      </c>
    </row>
    <row r="662" spans="1:20" x14ac:dyDescent="0.25">
      <c r="A662" s="1203">
        <v>97131</v>
      </c>
      <c r="B662" s="1204" t="s">
        <v>3286</v>
      </c>
      <c r="C662" s="1303">
        <v>7.1219999999999996E-4</v>
      </c>
      <c r="D662" s="1303">
        <v>6.5379999999999995E-4</v>
      </c>
      <c r="E662" s="1007">
        <v>2544994</v>
      </c>
      <c r="F662" s="1270"/>
      <c r="G662" s="1200">
        <v>321388</v>
      </c>
      <c r="H662" s="1200">
        <v>358140</v>
      </c>
      <c r="I662" s="1200">
        <v>189397</v>
      </c>
      <c r="J662" s="1007">
        <v>36705</v>
      </c>
      <c r="K662" s="1007">
        <v>905630</v>
      </c>
      <c r="L662" s="1270"/>
      <c r="M662" s="1198">
        <v>0</v>
      </c>
      <c r="N662" s="1198">
        <v>0</v>
      </c>
      <c r="O662" s="1007">
        <v>58625</v>
      </c>
      <c r="P662" s="1007">
        <v>58625</v>
      </c>
      <c r="Q662" s="1270"/>
      <c r="R662" s="1200">
        <v>875205</v>
      </c>
      <c r="S662" s="1007">
        <v>-13552</v>
      </c>
      <c r="T662" s="1306">
        <v>861653</v>
      </c>
    </row>
    <row r="663" spans="1:20" x14ac:dyDescent="0.25">
      <c r="A663" s="1203">
        <v>97201</v>
      </c>
      <c r="B663" s="1204" t="s">
        <v>3287</v>
      </c>
      <c r="C663" s="1303">
        <v>5.5250000000000004E-4</v>
      </c>
      <c r="D663" s="1303">
        <v>5.8529999999999997E-4</v>
      </c>
      <c r="E663" s="1007">
        <v>1974318</v>
      </c>
      <c r="F663" s="1270"/>
      <c r="G663" s="1200">
        <v>249322</v>
      </c>
      <c r="H663" s="1200">
        <v>277832</v>
      </c>
      <c r="I663" s="1200">
        <v>146928</v>
      </c>
      <c r="J663" s="1007">
        <v>50442</v>
      </c>
      <c r="K663" s="1007">
        <v>724524</v>
      </c>
      <c r="L663" s="1270"/>
      <c r="M663" s="1198">
        <v>0</v>
      </c>
      <c r="N663" s="1198">
        <v>0</v>
      </c>
      <c r="O663" s="1007">
        <v>38296</v>
      </c>
      <c r="P663" s="1007">
        <v>38296</v>
      </c>
      <c r="Q663" s="1270"/>
      <c r="R663" s="1200">
        <v>678953</v>
      </c>
      <c r="S663" s="1007">
        <v>12978</v>
      </c>
      <c r="T663" s="1306">
        <v>691931</v>
      </c>
    </row>
    <row r="664" spans="1:20" x14ac:dyDescent="0.25">
      <c r="A664" s="1203">
        <v>97211</v>
      </c>
      <c r="B664" s="1204" t="s">
        <v>3288</v>
      </c>
      <c r="C664" s="1303">
        <v>1.403E-4</v>
      </c>
      <c r="D664" s="1303">
        <v>8.14E-5</v>
      </c>
      <c r="E664" s="1007">
        <v>501352</v>
      </c>
      <c r="F664" s="1270"/>
      <c r="G664" s="1200">
        <v>63312</v>
      </c>
      <c r="H664" s="1200">
        <v>70551</v>
      </c>
      <c r="I664" s="1200">
        <v>37310</v>
      </c>
      <c r="J664" s="1007">
        <v>87966</v>
      </c>
      <c r="K664" s="1007">
        <v>259139</v>
      </c>
      <c r="L664" s="1270"/>
      <c r="M664" s="1198">
        <v>0</v>
      </c>
      <c r="N664" s="1198">
        <v>0</v>
      </c>
      <c r="O664" s="1007">
        <v>27090</v>
      </c>
      <c r="P664" s="1007">
        <v>27090</v>
      </c>
      <c r="Q664" s="1270"/>
      <c r="R664" s="1200">
        <v>172411</v>
      </c>
      <c r="S664" s="1007">
        <v>18578</v>
      </c>
      <c r="T664" s="1306">
        <v>190989</v>
      </c>
    </row>
    <row r="665" spans="1:20" x14ac:dyDescent="0.25">
      <c r="A665" s="1203">
        <v>97213</v>
      </c>
      <c r="B665" s="1204" t="s">
        <v>3289</v>
      </c>
      <c r="C665" s="1303">
        <v>3.5299999999999997E-5</v>
      </c>
      <c r="D665" s="1303">
        <v>3.5500000000000002E-5</v>
      </c>
      <c r="E665" s="1007">
        <v>126142</v>
      </c>
      <c r="F665" s="1270"/>
      <c r="G665" s="1200">
        <v>15930</v>
      </c>
      <c r="H665" s="1200">
        <v>17751</v>
      </c>
      <c r="I665" s="1200">
        <v>9387</v>
      </c>
      <c r="J665" s="1007">
        <v>7098</v>
      </c>
      <c r="K665" s="1007">
        <v>50166</v>
      </c>
      <c r="L665" s="1270"/>
      <c r="M665" s="1198">
        <v>0</v>
      </c>
      <c r="N665" s="1198">
        <v>0</v>
      </c>
      <c r="O665" s="1007">
        <v>3715</v>
      </c>
      <c r="P665" s="1007">
        <v>3715</v>
      </c>
      <c r="Q665" s="1270"/>
      <c r="R665" s="1200">
        <v>43379</v>
      </c>
      <c r="S665" s="1007">
        <v>2308</v>
      </c>
      <c r="T665" s="1306">
        <v>45687</v>
      </c>
    </row>
    <row r="666" spans="1:20" x14ac:dyDescent="0.25">
      <c r="A666" s="1203">
        <v>97217</v>
      </c>
      <c r="B666" s="1204" t="s">
        <v>3290</v>
      </c>
      <c r="C666" s="1303">
        <v>5.3000000000000001E-6</v>
      </c>
      <c r="D666" s="1303">
        <v>5.5999999999999997E-6</v>
      </c>
      <c r="E666" s="1007">
        <v>18939</v>
      </c>
      <c r="F666" s="1270"/>
      <c r="G666" s="1200">
        <v>2392</v>
      </c>
      <c r="H666" s="1200">
        <v>2665</v>
      </c>
      <c r="I666" s="1200">
        <v>1409</v>
      </c>
      <c r="J666" s="1007">
        <v>8199</v>
      </c>
      <c r="K666" s="1007">
        <v>14665</v>
      </c>
      <c r="L666" s="1270"/>
      <c r="M666" s="1198">
        <v>0</v>
      </c>
      <c r="N666" s="1198">
        <v>0</v>
      </c>
      <c r="O666" s="1007">
        <v>0</v>
      </c>
      <c r="P666" s="1007">
        <v>0</v>
      </c>
      <c r="Q666" s="1270"/>
      <c r="R666" s="1200">
        <v>6513</v>
      </c>
      <c r="S666" s="1007">
        <v>4350</v>
      </c>
      <c r="T666" s="1306">
        <v>10863</v>
      </c>
    </row>
    <row r="667" spans="1:20" x14ac:dyDescent="0.25">
      <c r="A667" s="1203">
        <v>97221</v>
      </c>
      <c r="B667" s="1204" t="s">
        <v>3291</v>
      </c>
      <c r="C667" s="1303">
        <v>2.2000000000000001E-6</v>
      </c>
      <c r="D667" s="1303">
        <v>1.24E-5</v>
      </c>
      <c r="E667" s="1007">
        <v>7862</v>
      </c>
      <c r="F667" s="1270"/>
      <c r="G667" s="1200">
        <v>993</v>
      </c>
      <c r="H667" s="1200">
        <v>1106</v>
      </c>
      <c r="I667" s="1200">
        <v>585</v>
      </c>
      <c r="J667" s="1007">
        <v>6958</v>
      </c>
      <c r="K667" s="1007">
        <v>9642</v>
      </c>
      <c r="L667" s="1270"/>
      <c r="M667" s="1198">
        <v>0</v>
      </c>
      <c r="N667" s="1198">
        <v>0</v>
      </c>
      <c r="O667" s="1007">
        <v>7987</v>
      </c>
      <c r="P667" s="1007">
        <v>7987</v>
      </c>
      <c r="Q667" s="1270"/>
      <c r="R667" s="1200">
        <v>2704</v>
      </c>
      <c r="S667" s="1007">
        <v>1162</v>
      </c>
      <c r="T667" s="1306">
        <v>3866</v>
      </c>
    </row>
    <row r="668" spans="1:20" x14ac:dyDescent="0.25">
      <c r="A668" s="1203">
        <v>97301</v>
      </c>
      <c r="B668" s="1204" t="s">
        <v>3292</v>
      </c>
      <c r="C668" s="1303">
        <v>2.4283999999999998E-3</v>
      </c>
      <c r="D668" s="1303">
        <v>2.3942E-3</v>
      </c>
      <c r="E668" s="1007">
        <v>8677708</v>
      </c>
      <c r="F668" s="1270"/>
      <c r="G668" s="1200">
        <v>1095842</v>
      </c>
      <c r="H668" s="1200">
        <v>1221154</v>
      </c>
      <c r="I668" s="1200">
        <v>645792</v>
      </c>
      <c r="J668" s="1007">
        <v>0</v>
      </c>
      <c r="K668" s="1007">
        <v>2962788</v>
      </c>
      <c r="L668" s="1270"/>
      <c r="M668" s="1198">
        <v>0</v>
      </c>
      <c r="N668" s="1198">
        <v>0</v>
      </c>
      <c r="O668" s="1007">
        <v>151894</v>
      </c>
      <c r="P668" s="1007">
        <v>151894</v>
      </c>
      <c r="Q668" s="1270"/>
      <c r="R668" s="1200">
        <v>2984200</v>
      </c>
      <c r="S668" s="1007">
        <v>-64592</v>
      </c>
      <c r="T668" s="1306">
        <v>2919608</v>
      </c>
    </row>
    <row r="669" spans="1:20" x14ac:dyDescent="0.25">
      <c r="A669" s="1203">
        <v>97302</v>
      </c>
      <c r="B669" s="1204" t="s">
        <v>4201</v>
      </c>
      <c r="C669" s="1303">
        <v>4.1300000000000001E-5</v>
      </c>
      <c r="D669" s="1303">
        <v>0</v>
      </c>
      <c r="E669" s="1007">
        <v>147582</v>
      </c>
      <c r="F669" s="1270"/>
      <c r="G669" s="1200">
        <v>18637</v>
      </c>
      <c r="H669" s="1200">
        <v>20768</v>
      </c>
      <c r="I669" s="1200">
        <v>10983</v>
      </c>
      <c r="J669" s="1007">
        <v>69939</v>
      </c>
      <c r="K669" s="1007">
        <v>120327</v>
      </c>
      <c r="L669" s="1270"/>
      <c r="M669" s="1198">
        <v>0</v>
      </c>
      <c r="N669" s="1198">
        <v>0</v>
      </c>
      <c r="O669" s="1007">
        <v>0</v>
      </c>
      <c r="P669" s="1007">
        <v>0</v>
      </c>
      <c r="Q669" s="1270"/>
      <c r="R669" s="1200">
        <v>50753</v>
      </c>
      <c r="S669" s="1007">
        <v>23313</v>
      </c>
      <c r="T669" s="1306">
        <v>74066</v>
      </c>
    </row>
    <row r="670" spans="1:20" x14ac:dyDescent="0.25">
      <c r="A670" s="1203">
        <v>97304</v>
      </c>
      <c r="B670" s="1204" t="s">
        <v>3293</v>
      </c>
      <c r="C670" s="1303">
        <v>1.4100000000000001E-5</v>
      </c>
      <c r="D670" s="1303">
        <v>1.4399999999999999E-5</v>
      </c>
      <c r="E670" s="1007">
        <v>50385</v>
      </c>
      <c r="F670" s="1270"/>
      <c r="G670" s="1200">
        <v>6363</v>
      </c>
      <c r="H670" s="1200">
        <v>7090</v>
      </c>
      <c r="I670" s="1200">
        <v>3750</v>
      </c>
      <c r="J670" s="1007">
        <v>14312</v>
      </c>
      <c r="K670" s="1007">
        <v>31515</v>
      </c>
      <c r="L670" s="1270"/>
      <c r="M670" s="1198">
        <v>0</v>
      </c>
      <c r="N670" s="1198">
        <v>0</v>
      </c>
      <c r="O670" s="1007">
        <v>0</v>
      </c>
      <c r="P670" s="1007">
        <v>0</v>
      </c>
      <c r="Q670" s="1270"/>
      <c r="R670" s="1200">
        <v>17327</v>
      </c>
      <c r="S670" s="1007">
        <v>6486</v>
      </c>
      <c r="T670" s="1306">
        <v>23813</v>
      </c>
    </row>
    <row r="671" spans="1:20" x14ac:dyDescent="0.25">
      <c r="A671" s="1203">
        <v>97311</v>
      </c>
      <c r="B671" s="1204" t="s">
        <v>3294</v>
      </c>
      <c r="C671" s="1303">
        <v>8.4060000000000005E-4</v>
      </c>
      <c r="D671" s="1303">
        <v>9.0109999999999995E-4</v>
      </c>
      <c r="E671" s="1007">
        <v>3003822</v>
      </c>
      <c r="F671" s="1270"/>
      <c r="G671" s="1200">
        <v>379330</v>
      </c>
      <c r="H671" s="1200">
        <v>422708</v>
      </c>
      <c r="I671" s="1200">
        <v>223543</v>
      </c>
      <c r="J671" s="1007">
        <v>0</v>
      </c>
      <c r="K671" s="1007">
        <v>1025581</v>
      </c>
      <c r="L671" s="1270"/>
      <c r="M671" s="1198">
        <v>0</v>
      </c>
      <c r="N671" s="1198">
        <v>0</v>
      </c>
      <c r="O671" s="1007">
        <v>90129</v>
      </c>
      <c r="P671" s="1007">
        <v>90129</v>
      </c>
      <c r="Q671" s="1270"/>
      <c r="R671" s="1200">
        <v>1032992</v>
      </c>
      <c r="S671" s="1007">
        <v>-51778</v>
      </c>
      <c r="T671" s="1306">
        <v>981214</v>
      </c>
    </row>
    <row r="672" spans="1:20" x14ac:dyDescent="0.25">
      <c r="A672" s="1203">
        <v>97401</v>
      </c>
      <c r="B672" s="1204" t="s">
        <v>3295</v>
      </c>
      <c r="C672" s="1303">
        <v>6.9747999999999998E-3</v>
      </c>
      <c r="D672" s="1303">
        <v>7.0562999999999997E-3</v>
      </c>
      <c r="E672" s="1007">
        <v>24923932</v>
      </c>
      <c r="F672" s="1270"/>
      <c r="G672" s="1200">
        <v>3147455</v>
      </c>
      <c r="H672" s="1200">
        <v>3507375</v>
      </c>
      <c r="I672" s="1200">
        <v>1854829</v>
      </c>
      <c r="J672" s="1007">
        <v>78420</v>
      </c>
      <c r="K672" s="1007">
        <v>8588079</v>
      </c>
      <c r="L672" s="1270"/>
      <c r="M672" s="1198">
        <v>0</v>
      </c>
      <c r="N672" s="1198">
        <v>0</v>
      </c>
      <c r="O672" s="1007">
        <v>231704</v>
      </c>
      <c r="P672" s="1007">
        <v>231704</v>
      </c>
      <c r="Q672" s="1270"/>
      <c r="R672" s="1200">
        <v>8571157</v>
      </c>
      <c r="S672" s="1007">
        <v>-24249</v>
      </c>
      <c r="T672" s="1306">
        <v>8546908</v>
      </c>
    </row>
    <row r="673" spans="1:20" x14ac:dyDescent="0.25">
      <c r="A673" s="1203">
        <v>97402</v>
      </c>
      <c r="B673" s="1204" t="s">
        <v>3296</v>
      </c>
      <c r="C673" s="1303">
        <v>5.1999999999999997E-5</v>
      </c>
      <c r="D673" s="1303">
        <v>4.1999999999999998E-5</v>
      </c>
      <c r="E673" s="1007">
        <v>185818</v>
      </c>
      <c r="F673" s="1270"/>
      <c r="G673" s="1200">
        <v>23466</v>
      </c>
      <c r="H673" s="1200">
        <v>26149</v>
      </c>
      <c r="I673" s="1200">
        <v>13829</v>
      </c>
      <c r="J673" s="1007">
        <v>19085</v>
      </c>
      <c r="K673" s="1007">
        <v>82529</v>
      </c>
      <c r="L673" s="1270"/>
      <c r="M673" s="1198">
        <v>0</v>
      </c>
      <c r="N673" s="1198">
        <v>0</v>
      </c>
      <c r="O673" s="1007">
        <v>28</v>
      </c>
      <c r="P673" s="1007">
        <v>28</v>
      </c>
      <c r="Q673" s="1270"/>
      <c r="R673" s="1200">
        <v>63902</v>
      </c>
      <c r="S673" s="1007">
        <v>10349</v>
      </c>
      <c r="T673" s="1306">
        <v>74251</v>
      </c>
    </row>
    <row r="674" spans="1:20" x14ac:dyDescent="0.25">
      <c r="A674" s="1203">
        <v>97404</v>
      </c>
      <c r="B674" s="1204" t="s">
        <v>3297</v>
      </c>
      <c r="C674" s="1303">
        <v>2.128E-4</v>
      </c>
      <c r="D674" s="1303">
        <v>2.1240000000000001E-4</v>
      </c>
      <c r="E674" s="1007">
        <v>760425</v>
      </c>
      <c r="F674" s="1270"/>
      <c r="G674" s="1200">
        <v>96028</v>
      </c>
      <c r="H674" s="1200">
        <v>107009</v>
      </c>
      <c r="I674" s="1200">
        <v>56591</v>
      </c>
      <c r="J674" s="1007">
        <v>603</v>
      </c>
      <c r="K674" s="1007">
        <v>260231</v>
      </c>
      <c r="L674" s="1270"/>
      <c r="M674" s="1198">
        <v>0</v>
      </c>
      <c r="N674" s="1198">
        <v>0</v>
      </c>
      <c r="O674" s="1007">
        <v>14261</v>
      </c>
      <c r="P674" s="1007">
        <v>14261</v>
      </c>
      <c r="Q674" s="1270"/>
      <c r="R674" s="1200">
        <v>261505</v>
      </c>
      <c r="S674" s="1007">
        <v>-9648</v>
      </c>
      <c r="T674" s="1306">
        <v>251857</v>
      </c>
    </row>
    <row r="675" spans="1:20" x14ac:dyDescent="0.25">
      <c r="A675" s="1203">
        <v>97405</v>
      </c>
      <c r="B675" s="1204" t="s">
        <v>3298</v>
      </c>
      <c r="C675" s="1303">
        <v>1.014E-4</v>
      </c>
      <c r="D675" s="1303">
        <v>1.106E-4</v>
      </c>
      <c r="E675" s="1007">
        <v>362345</v>
      </c>
      <c r="F675" s="1270"/>
      <c r="G675" s="1200">
        <v>45758</v>
      </c>
      <c r="H675" s="1200">
        <v>50991</v>
      </c>
      <c r="I675" s="1200">
        <v>26966</v>
      </c>
      <c r="J675" s="1007">
        <v>20038</v>
      </c>
      <c r="K675" s="1007">
        <v>143753</v>
      </c>
      <c r="L675" s="1270"/>
      <c r="M675" s="1198">
        <v>0</v>
      </c>
      <c r="N675" s="1198">
        <v>0</v>
      </c>
      <c r="O675" s="1007">
        <v>0</v>
      </c>
      <c r="P675" s="1007">
        <v>0</v>
      </c>
      <c r="Q675" s="1270"/>
      <c r="R675" s="1200">
        <v>124608</v>
      </c>
      <c r="S675" s="1007">
        <v>12141</v>
      </c>
      <c r="T675" s="1306">
        <v>136749</v>
      </c>
    </row>
    <row r="676" spans="1:20" x14ac:dyDescent="0.25">
      <c r="A676" s="1203">
        <v>97408</v>
      </c>
      <c r="B676" s="1204" t="s">
        <v>3299</v>
      </c>
      <c r="C676" s="1303">
        <v>4.18E-5</v>
      </c>
      <c r="D676" s="1303">
        <v>3.8999999999999999E-5</v>
      </c>
      <c r="E676" s="1007">
        <v>149369</v>
      </c>
      <c r="F676" s="1270"/>
      <c r="G676" s="1200">
        <v>18863</v>
      </c>
      <c r="H676" s="1200">
        <v>21019</v>
      </c>
      <c r="I676" s="1200">
        <v>11116</v>
      </c>
      <c r="J676" s="1007">
        <v>12140</v>
      </c>
      <c r="K676" s="1007">
        <v>63138</v>
      </c>
      <c r="L676" s="1270"/>
      <c r="M676" s="1198">
        <v>0</v>
      </c>
      <c r="N676" s="1198">
        <v>0</v>
      </c>
      <c r="O676" s="1007">
        <v>0</v>
      </c>
      <c r="P676" s="1007">
        <v>0</v>
      </c>
      <c r="Q676" s="1270"/>
      <c r="R676" s="1200">
        <v>51367</v>
      </c>
      <c r="S676" s="1007">
        <v>5778</v>
      </c>
      <c r="T676" s="1306">
        <v>57145</v>
      </c>
    </row>
    <row r="677" spans="1:20" x14ac:dyDescent="0.25">
      <c r="A677" s="1203">
        <v>97411</v>
      </c>
      <c r="B677" s="1204" t="s">
        <v>3300</v>
      </c>
      <c r="C677" s="1303">
        <v>6.3677999999999998E-3</v>
      </c>
      <c r="D677" s="1303">
        <v>6.3997999999999998E-3</v>
      </c>
      <c r="E677" s="1007">
        <v>22754862</v>
      </c>
      <c r="F677" s="1270"/>
      <c r="G677" s="1200">
        <v>2873540</v>
      </c>
      <c r="H677" s="1200">
        <v>3202137</v>
      </c>
      <c r="I677" s="1200">
        <v>1693408</v>
      </c>
      <c r="J677" s="1007">
        <v>25320</v>
      </c>
      <c r="K677" s="1007">
        <v>7794405</v>
      </c>
      <c r="L677" s="1270"/>
      <c r="M677" s="1198">
        <v>0</v>
      </c>
      <c r="N677" s="1198">
        <v>0</v>
      </c>
      <c r="O677" s="1007">
        <v>366854</v>
      </c>
      <c r="P677" s="1007">
        <v>366854</v>
      </c>
      <c r="Q677" s="1270"/>
      <c r="R677" s="1200">
        <v>7825230</v>
      </c>
      <c r="S677" s="1007">
        <v>-244741</v>
      </c>
      <c r="T677" s="1306">
        <v>7580489</v>
      </c>
    </row>
    <row r="678" spans="1:20" x14ac:dyDescent="0.25">
      <c r="A678" s="1203">
        <v>97412</v>
      </c>
      <c r="B678" s="1204" t="s">
        <v>3301</v>
      </c>
      <c r="C678" s="1303">
        <v>4.3990000000000001E-3</v>
      </c>
      <c r="D678" s="1303">
        <v>4.4903E-3</v>
      </c>
      <c r="E678" s="1007">
        <v>15719501</v>
      </c>
      <c r="F678" s="1270"/>
      <c r="G678" s="1200">
        <v>1985097</v>
      </c>
      <c r="H678" s="1200">
        <v>2212098</v>
      </c>
      <c r="I678" s="1200">
        <v>1169839</v>
      </c>
      <c r="J678" s="1007">
        <v>75822</v>
      </c>
      <c r="K678" s="1007">
        <v>5442856</v>
      </c>
      <c r="L678" s="1270"/>
      <c r="M678" s="1198">
        <v>0</v>
      </c>
      <c r="N678" s="1198">
        <v>0</v>
      </c>
      <c r="O678" s="1007">
        <v>124625</v>
      </c>
      <c r="P678" s="1007">
        <v>124625</v>
      </c>
      <c r="Q678" s="1270"/>
      <c r="R678" s="1200">
        <v>5405821</v>
      </c>
      <c r="S678" s="1007">
        <v>30518</v>
      </c>
      <c r="T678" s="1306">
        <v>5436339</v>
      </c>
    </row>
    <row r="679" spans="1:20" x14ac:dyDescent="0.25">
      <c r="A679" s="1203">
        <v>97413</v>
      </c>
      <c r="B679" s="1204" t="s">
        <v>3302</v>
      </c>
      <c r="C679" s="1303">
        <v>2.6689999999999998E-4</v>
      </c>
      <c r="D679" s="1303">
        <v>2.812E-4</v>
      </c>
      <c r="E679" s="1007">
        <v>953747</v>
      </c>
      <c r="F679" s="1270"/>
      <c r="G679" s="1200">
        <v>120442</v>
      </c>
      <c r="H679" s="1200">
        <v>134215</v>
      </c>
      <c r="I679" s="1200">
        <v>70978</v>
      </c>
      <c r="J679" s="1007">
        <v>39330</v>
      </c>
      <c r="K679" s="1007">
        <v>364965</v>
      </c>
      <c r="L679" s="1270"/>
      <c r="M679" s="1198">
        <v>0</v>
      </c>
      <c r="N679" s="1198">
        <v>0</v>
      </c>
      <c r="O679" s="1007">
        <v>0</v>
      </c>
      <c r="P679" s="1007">
        <v>0</v>
      </c>
      <c r="Q679" s="1270"/>
      <c r="R679" s="1200">
        <v>327987</v>
      </c>
      <c r="S679" s="1007">
        <v>15861</v>
      </c>
      <c r="T679" s="1306">
        <v>343848</v>
      </c>
    </row>
    <row r="680" spans="1:20" x14ac:dyDescent="0.25">
      <c r="A680" s="1203">
        <v>97421</v>
      </c>
      <c r="B680" s="1204" t="s">
        <v>3303</v>
      </c>
      <c r="C680" s="1303">
        <v>4.239E-4</v>
      </c>
      <c r="D680" s="1303">
        <v>4.3120000000000002E-4</v>
      </c>
      <c r="E680" s="1007">
        <v>1514775</v>
      </c>
      <c r="F680" s="1270"/>
      <c r="G680" s="1200">
        <v>191290</v>
      </c>
      <c r="H680" s="1200">
        <v>213164</v>
      </c>
      <c r="I680" s="1200">
        <v>112729</v>
      </c>
      <c r="J680" s="1007">
        <v>5318</v>
      </c>
      <c r="K680" s="1007">
        <v>522501</v>
      </c>
      <c r="L680" s="1270"/>
      <c r="M680" s="1198">
        <v>0</v>
      </c>
      <c r="N680" s="1198">
        <v>0</v>
      </c>
      <c r="O680" s="1007">
        <v>38193</v>
      </c>
      <c r="P680" s="1007">
        <v>38193</v>
      </c>
      <c r="Q680" s="1270"/>
      <c r="R680" s="1200">
        <v>520920</v>
      </c>
      <c r="S680" s="1007">
        <v>-10285</v>
      </c>
      <c r="T680" s="1306">
        <v>510635</v>
      </c>
    </row>
    <row r="681" spans="1:20" x14ac:dyDescent="0.25">
      <c r="A681" s="1203">
        <v>97423</v>
      </c>
      <c r="B681" s="1204" t="s">
        <v>3304</v>
      </c>
      <c r="C681" s="1303">
        <v>4.0000000000000003E-5</v>
      </c>
      <c r="D681" s="1303">
        <v>4.3000000000000002E-5</v>
      </c>
      <c r="E681" s="1007">
        <v>142937</v>
      </c>
      <c r="F681" s="1270"/>
      <c r="G681" s="1200">
        <v>18050</v>
      </c>
      <c r="H681" s="1200">
        <v>20114</v>
      </c>
      <c r="I681" s="1200">
        <v>10637</v>
      </c>
      <c r="J681" s="1007">
        <v>27929</v>
      </c>
      <c r="K681" s="1007">
        <v>76730</v>
      </c>
      <c r="L681" s="1270"/>
      <c r="M681" s="1198">
        <v>0</v>
      </c>
      <c r="N681" s="1198">
        <v>0</v>
      </c>
      <c r="O681" s="1007">
        <v>4401</v>
      </c>
      <c r="P681" s="1007">
        <v>4401</v>
      </c>
      <c r="Q681" s="1270"/>
      <c r="R681" s="1200">
        <v>49155</v>
      </c>
      <c r="S681" s="1007">
        <v>15192</v>
      </c>
      <c r="T681" s="1306">
        <v>64347</v>
      </c>
    </row>
    <row r="682" spans="1:20" x14ac:dyDescent="0.25">
      <c r="A682" s="1203">
        <v>97431</v>
      </c>
      <c r="B682" s="1204" t="s">
        <v>3305</v>
      </c>
      <c r="C682" s="1303">
        <v>9.2999999999999997E-5</v>
      </c>
      <c r="D682" s="1303">
        <v>8.92E-5</v>
      </c>
      <c r="E682" s="1007">
        <v>332329</v>
      </c>
      <c r="F682" s="1270"/>
      <c r="G682" s="1200">
        <v>41967</v>
      </c>
      <c r="H682" s="1200">
        <v>46766</v>
      </c>
      <c r="I682" s="1200">
        <v>24732</v>
      </c>
      <c r="J682" s="1007">
        <v>13452</v>
      </c>
      <c r="K682" s="1007">
        <v>126917</v>
      </c>
      <c r="L682" s="1270"/>
      <c r="M682" s="1198">
        <v>0</v>
      </c>
      <c r="N682" s="1198">
        <v>0</v>
      </c>
      <c r="O682" s="1007">
        <v>5330</v>
      </c>
      <c r="P682" s="1007">
        <v>5330</v>
      </c>
      <c r="Q682" s="1270"/>
      <c r="R682" s="1200">
        <v>114285</v>
      </c>
      <c r="S682" s="1007">
        <v>4824</v>
      </c>
      <c r="T682" s="1306">
        <v>119109</v>
      </c>
    </row>
    <row r="683" spans="1:20" x14ac:dyDescent="0.25">
      <c r="A683" s="1203">
        <v>97441</v>
      </c>
      <c r="B683" s="1204" t="s">
        <v>3306</v>
      </c>
      <c r="C683" s="1303">
        <v>6.2199999999999994E-5</v>
      </c>
      <c r="D683" s="1303">
        <v>5.7899999999999998E-5</v>
      </c>
      <c r="E683" s="1007">
        <v>222267</v>
      </c>
      <c r="F683" s="1270"/>
      <c r="G683" s="1200">
        <v>28068</v>
      </c>
      <c r="H683" s="1200">
        <v>31278</v>
      </c>
      <c r="I683" s="1200">
        <v>16541</v>
      </c>
      <c r="J683" s="1007">
        <v>0</v>
      </c>
      <c r="K683" s="1007">
        <v>75887</v>
      </c>
      <c r="L683" s="1270"/>
      <c r="M683" s="1198">
        <v>0</v>
      </c>
      <c r="N683" s="1198">
        <v>0</v>
      </c>
      <c r="O683" s="1007">
        <v>15991</v>
      </c>
      <c r="P683" s="1007">
        <v>15991</v>
      </c>
      <c r="Q683" s="1270"/>
      <c r="R683" s="1200">
        <v>76436</v>
      </c>
      <c r="S683" s="1007">
        <v>-8496</v>
      </c>
      <c r="T683" s="1306">
        <v>67940</v>
      </c>
    </row>
    <row r="684" spans="1:20" x14ac:dyDescent="0.25">
      <c r="A684" s="1203">
        <v>97451</v>
      </c>
      <c r="B684" s="1204" t="s">
        <v>3307</v>
      </c>
      <c r="C684" s="1303">
        <v>7.5849999999999995E-4</v>
      </c>
      <c r="D684" s="1303">
        <v>6.6290000000000001E-4</v>
      </c>
      <c r="E684" s="1007">
        <v>2710444</v>
      </c>
      <c r="F684" s="1270"/>
      <c r="G684" s="1200">
        <v>342281</v>
      </c>
      <c r="H684" s="1200">
        <v>381422</v>
      </c>
      <c r="I684" s="1200">
        <v>201710</v>
      </c>
      <c r="J684" s="1007">
        <v>84606</v>
      </c>
      <c r="K684" s="1007">
        <v>1010019</v>
      </c>
      <c r="L684" s="1270"/>
      <c r="M684" s="1198">
        <v>0</v>
      </c>
      <c r="N684" s="1198">
        <v>0</v>
      </c>
      <c r="O684" s="1007">
        <v>12366</v>
      </c>
      <c r="P684" s="1007">
        <v>12366</v>
      </c>
      <c r="Q684" s="1270"/>
      <c r="R684" s="1200">
        <v>932102</v>
      </c>
      <c r="S684" s="1007">
        <v>22157</v>
      </c>
      <c r="T684" s="1306">
        <v>954259</v>
      </c>
    </row>
    <row r="685" spans="1:20" x14ac:dyDescent="0.25">
      <c r="A685" s="1203">
        <v>97461</v>
      </c>
      <c r="B685" s="1204" t="s">
        <v>3308</v>
      </c>
      <c r="C685" s="1303">
        <v>5.7600000000000001E-4</v>
      </c>
      <c r="D685" s="1303">
        <v>5.7600000000000001E-4</v>
      </c>
      <c r="E685" s="1007">
        <v>2058293</v>
      </c>
      <c r="F685" s="1270"/>
      <c r="G685" s="1200">
        <v>259926</v>
      </c>
      <c r="H685" s="1200">
        <v>289650</v>
      </c>
      <c r="I685" s="1200">
        <v>153177</v>
      </c>
      <c r="J685" s="1007">
        <v>10474</v>
      </c>
      <c r="K685" s="1007">
        <v>713227</v>
      </c>
      <c r="L685" s="1270"/>
      <c r="M685" s="1198">
        <v>0</v>
      </c>
      <c r="N685" s="1198">
        <v>0</v>
      </c>
      <c r="O685" s="1007">
        <v>45233</v>
      </c>
      <c r="P685" s="1007">
        <v>45233</v>
      </c>
      <c r="Q685" s="1270"/>
      <c r="R685" s="1200">
        <v>707832</v>
      </c>
      <c r="S685" s="1007">
        <v>-18574</v>
      </c>
      <c r="T685" s="1306">
        <v>689258</v>
      </c>
    </row>
    <row r="686" spans="1:20" x14ac:dyDescent="0.25">
      <c r="A686" s="1203">
        <v>97463</v>
      </c>
      <c r="B686" s="1204" t="s">
        <v>3309</v>
      </c>
      <c r="C686" s="1303">
        <v>0</v>
      </c>
      <c r="D686" s="1303">
        <v>0</v>
      </c>
      <c r="E686" s="1007">
        <v>0</v>
      </c>
      <c r="F686" s="1270"/>
      <c r="G686" s="1200">
        <v>0</v>
      </c>
      <c r="H686" s="1200">
        <v>0</v>
      </c>
      <c r="I686" s="1200">
        <v>0</v>
      </c>
      <c r="J686" s="1007">
        <v>0</v>
      </c>
      <c r="K686" s="1007">
        <v>0</v>
      </c>
      <c r="L686" s="1270"/>
      <c r="M686" s="1198">
        <v>0</v>
      </c>
      <c r="N686" s="1198">
        <v>0</v>
      </c>
      <c r="O686" s="1007">
        <v>13233</v>
      </c>
      <c r="P686" s="1007">
        <v>13233</v>
      </c>
      <c r="Q686" s="1270"/>
      <c r="R686" s="1200">
        <v>0</v>
      </c>
      <c r="S686" s="1007">
        <v>-8957</v>
      </c>
      <c r="T686" s="1306">
        <v>-8957</v>
      </c>
    </row>
    <row r="687" spans="1:20" x14ac:dyDescent="0.25">
      <c r="A687" s="1203">
        <v>97471</v>
      </c>
      <c r="B687" s="1204" t="s">
        <v>3310</v>
      </c>
      <c r="C687" s="1303">
        <v>1.63E-5</v>
      </c>
      <c r="D687" s="1303">
        <v>1.6399999999999999E-5</v>
      </c>
      <c r="E687" s="1007">
        <v>58247</v>
      </c>
      <c r="F687" s="1270"/>
      <c r="G687" s="1200">
        <v>7356</v>
      </c>
      <c r="H687" s="1200">
        <v>8196</v>
      </c>
      <c r="I687" s="1200">
        <v>4335</v>
      </c>
      <c r="J687" s="1007">
        <v>11505</v>
      </c>
      <c r="K687" s="1007">
        <v>31392</v>
      </c>
      <c r="L687" s="1270"/>
      <c r="M687" s="1198">
        <v>0</v>
      </c>
      <c r="N687" s="1198">
        <v>0</v>
      </c>
      <c r="O687" s="1007">
        <v>0</v>
      </c>
      <c r="P687" s="1007">
        <v>0</v>
      </c>
      <c r="Q687" s="1270"/>
      <c r="R687" s="1200">
        <v>20031</v>
      </c>
      <c r="S687" s="1007">
        <v>5466</v>
      </c>
      <c r="T687" s="1306">
        <v>25497</v>
      </c>
    </row>
    <row r="688" spans="1:20" x14ac:dyDescent="0.25">
      <c r="A688" s="1203">
        <v>97481</v>
      </c>
      <c r="B688" s="1204" t="s">
        <v>3311</v>
      </c>
      <c r="C688" s="1303">
        <v>1.7E-6</v>
      </c>
      <c r="D688" s="1303">
        <v>8.9999999999999996E-7</v>
      </c>
      <c r="E688" s="1007">
        <v>6075</v>
      </c>
      <c r="F688" s="1270"/>
      <c r="G688" s="1200">
        <v>767</v>
      </c>
      <c r="H688" s="1200">
        <v>855</v>
      </c>
      <c r="I688" s="1200">
        <v>452</v>
      </c>
      <c r="J688" s="1007">
        <v>2659</v>
      </c>
      <c r="K688" s="1007">
        <v>4733</v>
      </c>
      <c r="L688" s="1270"/>
      <c r="M688" s="1198">
        <v>0</v>
      </c>
      <c r="N688" s="1198">
        <v>0</v>
      </c>
      <c r="O688" s="1007">
        <v>7152</v>
      </c>
      <c r="P688" s="1007">
        <v>7152</v>
      </c>
      <c r="Q688" s="1270"/>
      <c r="R688" s="1200">
        <v>2089</v>
      </c>
      <c r="S688" s="1007">
        <v>-1527</v>
      </c>
      <c r="T688" s="1306">
        <v>562</v>
      </c>
    </row>
    <row r="689" spans="1:20" x14ac:dyDescent="0.25">
      <c r="A689" s="1203">
        <v>97491</v>
      </c>
      <c r="B689" s="1204" t="s">
        <v>3312</v>
      </c>
      <c r="C689" s="1303">
        <v>0</v>
      </c>
      <c r="D689" s="1303">
        <v>0</v>
      </c>
      <c r="E689" s="1007">
        <v>0</v>
      </c>
      <c r="F689" s="1270"/>
      <c r="G689" s="1200">
        <v>0</v>
      </c>
      <c r="H689" s="1200">
        <v>0</v>
      </c>
      <c r="I689" s="1200">
        <v>0</v>
      </c>
      <c r="J689" s="1007">
        <v>0</v>
      </c>
      <c r="K689" s="1007">
        <v>0</v>
      </c>
      <c r="L689" s="1270"/>
      <c r="M689" s="1198">
        <v>0</v>
      </c>
      <c r="N689" s="1198">
        <v>0</v>
      </c>
      <c r="O689" s="1007">
        <v>0</v>
      </c>
      <c r="P689" s="1007">
        <v>0</v>
      </c>
      <c r="Q689" s="1270"/>
      <c r="R689" s="1200">
        <v>0</v>
      </c>
      <c r="S689" s="1007">
        <v>0</v>
      </c>
      <c r="T689" s="1306">
        <v>0</v>
      </c>
    </row>
    <row r="690" spans="1:20" x14ac:dyDescent="0.25">
      <c r="A690" s="1203">
        <v>97501</v>
      </c>
      <c r="B690" s="1204" t="s">
        <v>3313</v>
      </c>
      <c r="C690" s="1303">
        <v>1.2210999999999999E-3</v>
      </c>
      <c r="D690" s="1303">
        <v>1.1816999999999999E-3</v>
      </c>
      <c r="E690" s="1007">
        <v>4363510</v>
      </c>
      <c r="F690" s="1270"/>
      <c r="G690" s="1200">
        <v>551035</v>
      </c>
      <c r="H690" s="1200">
        <v>614047</v>
      </c>
      <c r="I690" s="1200">
        <v>324731</v>
      </c>
      <c r="J690" s="1007">
        <v>145023</v>
      </c>
      <c r="K690" s="1007">
        <v>1634836</v>
      </c>
      <c r="L690" s="1270"/>
      <c r="M690" s="1198">
        <v>0</v>
      </c>
      <c r="N690" s="1198">
        <v>0</v>
      </c>
      <c r="O690" s="1007">
        <v>1640</v>
      </c>
      <c r="P690" s="1007">
        <v>1640</v>
      </c>
      <c r="Q690" s="1270"/>
      <c r="R690" s="1200">
        <v>1500579</v>
      </c>
      <c r="S690" s="1007">
        <v>65745</v>
      </c>
      <c r="T690" s="1306">
        <v>1566324</v>
      </c>
    </row>
    <row r="691" spans="1:20" x14ac:dyDescent="0.25">
      <c r="A691" s="1203">
        <v>97511</v>
      </c>
      <c r="B691" s="1204" t="s">
        <v>3314</v>
      </c>
      <c r="C691" s="1303">
        <v>2.2149999999999999E-4</v>
      </c>
      <c r="D691" s="1303">
        <v>1.9120000000000001E-4</v>
      </c>
      <c r="E691" s="1007">
        <v>791514</v>
      </c>
      <c r="F691" s="1270"/>
      <c r="G691" s="1200">
        <v>99954</v>
      </c>
      <c r="H691" s="1200">
        <v>111384</v>
      </c>
      <c r="I691" s="1200">
        <v>58904</v>
      </c>
      <c r="J691" s="1007">
        <v>58308</v>
      </c>
      <c r="K691" s="1007">
        <v>328550</v>
      </c>
      <c r="L691" s="1270"/>
      <c r="M691" s="1198">
        <v>0</v>
      </c>
      <c r="N691" s="1198">
        <v>0</v>
      </c>
      <c r="O691" s="1007">
        <v>13750</v>
      </c>
      <c r="P691" s="1007">
        <v>13750</v>
      </c>
      <c r="Q691" s="1270"/>
      <c r="R691" s="1200">
        <v>272196</v>
      </c>
      <c r="S691" s="1007">
        <v>15616</v>
      </c>
      <c r="T691" s="1306">
        <v>287812</v>
      </c>
    </row>
    <row r="692" spans="1:20" x14ac:dyDescent="0.25">
      <c r="A692" s="1203">
        <v>97521</v>
      </c>
      <c r="B692" s="1302" t="s">
        <v>3315</v>
      </c>
      <c r="C692" s="1303">
        <v>1.295E-4</v>
      </c>
      <c r="D692" s="1303">
        <v>1.139E-4</v>
      </c>
      <c r="E692" s="1007">
        <v>462759</v>
      </c>
      <c r="F692" s="1270"/>
      <c r="G692" s="1200">
        <v>58438</v>
      </c>
      <c r="H692" s="1200">
        <v>65121</v>
      </c>
      <c r="I692" s="1200">
        <v>34438</v>
      </c>
      <c r="J692" s="1007">
        <v>18417</v>
      </c>
      <c r="K692" s="1007">
        <v>176414</v>
      </c>
      <c r="L692" s="1270"/>
      <c r="M692" s="1198">
        <v>0</v>
      </c>
      <c r="N692" s="1198">
        <v>0</v>
      </c>
      <c r="O692" s="1007">
        <v>11692</v>
      </c>
      <c r="P692" s="1007">
        <v>11692</v>
      </c>
      <c r="Q692" s="1270"/>
      <c r="R692" s="1200">
        <v>159139</v>
      </c>
      <c r="S692" s="1007">
        <v>-747</v>
      </c>
      <c r="T692" s="1306">
        <v>158392</v>
      </c>
    </row>
    <row r="693" spans="1:20" x14ac:dyDescent="0.25">
      <c r="A693" s="1203">
        <v>97527</v>
      </c>
      <c r="B693" s="1204" t="s">
        <v>4204</v>
      </c>
      <c r="C693" s="1303">
        <v>5.0000000000000004E-6</v>
      </c>
      <c r="D693" s="1303">
        <v>1.7E-5</v>
      </c>
      <c r="E693" s="1007">
        <v>17867</v>
      </c>
      <c r="F693" s="1270"/>
      <c r="G693" s="1200">
        <v>2256</v>
      </c>
      <c r="H693" s="1200">
        <v>2514</v>
      </c>
      <c r="I693" s="1200">
        <v>1330</v>
      </c>
      <c r="J693" s="1007">
        <v>9427</v>
      </c>
      <c r="K693" s="1007">
        <v>15527</v>
      </c>
      <c r="L693" s="1270"/>
      <c r="M693" s="1198">
        <v>0</v>
      </c>
      <c r="N693" s="1198">
        <v>0</v>
      </c>
      <c r="O693" s="1007">
        <v>13907</v>
      </c>
      <c r="P693" s="1007">
        <v>13907</v>
      </c>
      <c r="Q693" s="1270"/>
      <c r="R693" s="1200">
        <v>6144</v>
      </c>
      <c r="S693" s="1007">
        <v>-1204</v>
      </c>
      <c r="T693" s="1306">
        <v>4940</v>
      </c>
    </row>
    <row r="694" spans="1:20" x14ac:dyDescent="0.25">
      <c r="A694" s="1203">
        <v>97531</v>
      </c>
      <c r="B694" s="1204" t="s">
        <v>3316</v>
      </c>
      <c r="C694" s="1303">
        <v>6.5699999999999998E-5</v>
      </c>
      <c r="D694" s="1303">
        <v>8.1299999999999997E-5</v>
      </c>
      <c r="E694" s="1007">
        <v>234774</v>
      </c>
      <c r="F694" s="1270"/>
      <c r="G694" s="1200">
        <v>29648</v>
      </c>
      <c r="H694" s="1200">
        <v>33038</v>
      </c>
      <c r="I694" s="1200">
        <v>17472</v>
      </c>
      <c r="J694" s="1007">
        <v>21858</v>
      </c>
      <c r="K694" s="1007">
        <v>102016</v>
      </c>
      <c r="L694" s="1270"/>
      <c r="M694" s="1198">
        <v>0</v>
      </c>
      <c r="N694" s="1198">
        <v>0</v>
      </c>
      <c r="O694" s="1007">
        <v>20447</v>
      </c>
      <c r="P694" s="1007">
        <v>20447</v>
      </c>
      <c r="Q694" s="1270"/>
      <c r="R694" s="1200">
        <v>80737</v>
      </c>
      <c r="S694" s="1007">
        <v>3500</v>
      </c>
      <c r="T694" s="1306">
        <v>84237</v>
      </c>
    </row>
    <row r="695" spans="1:20" x14ac:dyDescent="0.25">
      <c r="A695" s="1203">
        <v>97601</v>
      </c>
      <c r="B695" s="1204" t="s">
        <v>3317</v>
      </c>
      <c r="C695" s="1303">
        <v>5.2855999999999997E-3</v>
      </c>
      <c r="D695" s="1303">
        <v>5.2946E-3</v>
      </c>
      <c r="E695" s="1007">
        <v>18887700</v>
      </c>
      <c r="F695" s="1270"/>
      <c r="G695" s="1200">
        <v>2385185</v>
      </c>
      <c r="H695" s="1200">
        <v>2657938</v>
      </c>
      <c r="I695" s="1200">
        <v>1405615</v>
      </c>
      <c r="J695" s="1007">
        <v>47731</v>
      </c>
      <c r="K695" s="1007">
        <v>6496469</v>
      </c>
      <c r="L695" s="1270"/>
      <c r="M695" s="1198">
        <v>0</v>
      </c>
      <c r="N695" s="1198">
        <v>0</v>
      </c>
      <c r="O695" s="1007">
        <v>114648</v>
      </c>
      <c r="P695" s="1007">
        <v>114648</v>
      </c>
      <c r="Q695" s="1270"/>
      <c r="R695" s="1200">
        <v>6495342</v>
      </c>
      <c r="S695" s="1007">
        <v>-6182</v>
      </c>
      <c r="T695" s="1306">
        <v>6489160</v>
      </c>
    </row>
    <row r="696" spans="1:20" x14ac:dyDescent="0.25">
      <c r="A696" s="1203">
        <v>97607</v>
      </c>
      <c r="B696" s="1204" t="s">
        <v>3318</v>
      </c>
      <c r="C696" s="1303">
        <v>1.6699999999999999E-5</v>
      </c>
      <c r="D696" s="1303">
        <v>2.0699999999999998E-5</v>
      </c>
      <c r="E696" s="1007">
        <v>59676</v>
      </c>
      <c r="F696" s="1270"/>
      <c r="G696" s="1200">
        <v>7536</v>
      </c>
      <c r="H696" s="1200">
        <v>8398</v>
      </c>
      <c r="I696" s="1200">
        <v>4441</v>
      </c>
      <c r="J696" s="1007">
        <v>13745</v>
      </c>
      <c r="K696" s="1007">
        <v>34120</v>
      </c>
      <c r="L696" s="1270"/>
      <c r="M696" s="1198">
        <v>0</v>
      </c>
      <c r="N696" s="1198">
        <v>0</v>
      </c>
      <c r="O696" s="1007">
        <v>0</v>
      </c>
      <c r="P696" s="1007">
        <v>0</v>
      </c>
      <c r="Q696" s="1270"/>
      <c r="R696" s="1200">
        <v>20522</v>
      </c>
      <c r="S696" s="1007">
        <v>6906</v>
      </c>
      <c r="T696" s="1306">
        <v>27428</v>
      </c>
    </row>
    <row r="697" spans="1:20" x14ac:dyDescent="0.25">
      <c r="A697" s="1203">
        <v>97611</v>
      </c>
      <c r="B697" s="1204" t="s">
        <v>3319</v>
      </c>
      <c r="C697" s="1303">
        <v>2.4239999999999999E-3</v>
      </c>
      <c r="D697" s="1303">
        <v>2.3218000000000002E-3</v>
      </c>
      <c r="E697" s="1007">
        <v>8661985</v>
      </c>
      <c r="F697" s="1270"/>
      <c r="G697" s="1200">
        <v>1093857</v>
      </c>
      <c r="H697" s="1200">
        <v>1218942</v>
      </c>
      <c r="I697" s="1200">
        <v>644622</v>
      </c>
      <c r="J697" s="1007">
        <v>149321</v>
      </c>
      <c r="K697" s="1007">
        <v>3106742</v>
      </c>
      <c r="L697" s="1270"/>
      <c r="M697" s="1198">
        <v>0</v>
      </c>
      <c r="N697" s="1198">
        <v>0</v>
      </c>
      <c r="O697" s="1007">
        <v>80082</v>
      </c>
      <c r="P697" s="1007">
        <v>80082</v>
      </c>
      <c r="Q697" s="1270"/>
      <c r="R697" s="1200">
        <v>2978793</v>
      </c>
      <c r="S697" s="1007">
        <v>-35587</v>
      </c>
      <c r="T697" s="1306">
        <v>2943206</v>
      </c>
    </row>
    <row r="698" spans="1:20" x14ac:dyDescent="0.25">
      <c r="A698" s="1203">
        <v>97613</v>
      </c>
      <c r="B698" s="1204" t="s">
        <v>3320</v>
      </c>
      <c r="C698" s="1303">
        <v>8.7100000000000003E-5</v>
      </c>
      <c r="D698" s="1303">
        <v>8.8599999999999999E-5</v>
      </c>
      <c r="E698" s="1007">
        <v>311245</v>
      </c>
      <c r="F698" s="1270"/>
      <c r="G698" s="1200">
        <v>39305</v>
      </c>
      <c r="H698" s="1200">
        <v>43800</v>
      </c>
      <c r="I698" s="1200">
        <v>23163</v>
      </c>
      <c r="J698" s="1007">
        <v>16157</v>
      </c>
      <c r="K698" s="1007">
        <v>122425</v>
      </c>
      <c r="L698" s="1270"/>
      <c r="M698" s="1198">
        <v>0</v>
      </c>
      <c r="N698" s="1198">
        <v>0</v>
      </c>
      <c r="O698" s="1007">
        <v>7420</v>
      </c>
      <c r="P698" s="1007">
        <v>7420</v>
      </c>
      <c r="Q698" s="1270"/>
      <c r="R698" s="1200">
        <v>107035</v>
      </c>
      <c r="S698" s="1007">
        <v>4471</v>
      </c>
      <c r="T698" s="1306">
        <v>111506</v>
      </c>
    </row>
    <row r="699" spans="1:20" x14ac:dyDescent="0.25">
      <c r="A699" s="1203">
        <v>97621</v>
      </c>
      <c r="B699" s="1204" t="s">
        <v>3321</v>
      </c>
      <c r="C699" s="1303">
        <v>4.2010000000000002E-4</v>
      </c>
      <c r="D699" s="1303">
        <v>4.3960000000000001E-4</v>
      </c>
      <c r="E699" s="1007">
        <v>1501196</v>
      </c>
      <c r="F699" s="1270"/>
      <c r="G699" s="1200">
        <v>189575</v>
      </c>
      <c r="H699" s="1200">
        <v>211254</v>
      </c>
      <c r="I699" s="1200">
        <v>111718</v>
      </c>
      <c r="J699" s="1007">
        <v>0</v>
      </c>
      <c r="K699" s="1007">
        <v>512547</v>
      </c>
      <c r="L699" s="1270"/>
      <c r="M699" s="1198">
        <v>0</v>
      </c>
      <c r="N699" s="1198">
        <v>0</v>
      </c>
      <c r="O699" s="1007">
        <v>98998</v>
      </c>
      <c r="P699" s="1007">
        <v>98998</v>
      </c>
      <c r="Q699" s="1270"/>
      <c r="R699" s="1200">
        <v>516250</v>
      </c>
      <c r="S699" s="1007">
        <v>-51355</v>
      </c>
      <c r="T699" s="1306">
        <v>464895</v>
      </c>
    </row>
    <row r="700" spans="1:20" x14ac:dyDescent="0.25">
      <c r="A700" s="1203">
        <v>97623</v>
      </c>
      <c r="B700" s="1204" t="s">
        <v>3322</v>
      </c>
      <c r="C700" s="1303">
        <v>2.4499999999999999E-5</v>
      </c>
      <c r="D700" s="1303">
        <v>2.5400000000000001E-5</v>
      </c>
      <c r="E700" s="1007">
        <v>87549</v>
      </c>
      <c r="F700" s="1270"/>
      <c r="G700" s="1200">
        <v>11056</v>
      </c>
      <c r="H700" s="1200">
        <v>12320</v>
      </c>
      <c r="I700" s="1200">
        <v>6515</v>
      </c>
      <c r="J700" s="1007">
        <v>590</v>
      </c>
      <c r="K700" s="1007">
        <v>30481</v>
      </c>
      <c r="L700" s="1270"/>
      <c r="M700" s="1198">
        <v>0</v>
      </c>
      <c r="N700" s="1198">
        <v>0</v>
      </c>
      <c r="O700" s="1007">
        <v>2537</v>
      </c>
      <c r="P700" s="1007">
        <v>2537</v>
      </c>
      <c r="Q700" s="1270"/>
      <c r="R700" s="1200">
        <v>30107</v>
      </c>
      <c r="S700" s="1007">
        <v>-1026</v>
      </c>
      <c r="T700" s="1306">
        <v>29081</v>
      </c>
    </row>
    <row r="701" spans="1:20" x14ac:dyDescent="0.25">
      <c r="A701" s="1203">
        <v>97627</v>
      </c>
      <c r="B701" s="1204" t="s">
        <v>3323</v>
      </c>
      <c r="C701" s="1303">
        <v>5.4999999999999999E-6</v>
      </c>
      <c r="D701" s="1303">
        <v>9.3000000000000007E-6</v>
      </c>
      <c r="E701" s="1007">
        <v>19654</v>
      </c>
      <c r="F701" s="1270"/>
      <c r="G701" s="1200">
        <v>2482</v>
      </c>
      <c r="H701" s="1200">
        <v>2766</v>
      </c>
      <c r="I701" s="1200">
        <v>1463</v>
      </c>
      <c r="J701" s="1007">
        <v>723</v>
      </c>
      <c r="K701" s="1007">
        <v>7434</v>
      </c>
      <c r="L701" s="1270"/>
      <c r="M701" s="1198">
        <v>0</v>
      </c>
      <c r="N701" s="1198">
        <v>0</v>
      </c>
      <c r="O701" s="1007">
        <v>3165</v>
      </c>
      <c r="P701" s="1007">
        <v>3165</v>
      </c>
      <c r="Q701" s="1270"/>
      <c r="R701" s="1200">
        <v>6759</v>
      </c>
      <c r="S701" s="1007">
        <v>-629</v>
      </c>
      <c r="T701" s="1306">
        <v>6130</v>
      </c>
    </row>
    <row r="702" spans="1:20" x14ac:dyDescent="0.25">
      <c r="A702" s="1203">
        <v>97631</v>
      </c>
      <c r="B702" s="1204" t="s">
        <v>3324</v>
      </c>
      <c r="C702" s="1303">
        <v>2.118E-4</v>
      </c>
      <c r="D702" s="1303">
        <v>1.972E-4</v>
      </c>
      <c r="E702" s="1007">
        <v>756852</v>
      </c>
      <c r="F702" s="1270"/>
      <c r="G702" s="1200">
        <v>95577</v>
      </c>
      <c r="H702" s="1200">
        <v>106507</v>
      </c>
      <c r="I702" s="1200">
        <v>56325</v>
      </c>
      <c r="J702" s="1007">
        <v>10567</v>
      </c>
      <c r="K702" s="1007">
        <v>268976</v>
      </c>
      <c r="L702" s="1270"/>
      <c r="M702" s="1198">
        <v>0</v>
      </c>
      <c r="N702" s="1198">
        <v>0</v>
      </c>
      <c r="O702" s="1007">
        <v>13808</v>
      </c>
      <c r="P702" s="1007">
        <v>13808</v>
      </c>
      <c r="Q702" s="1270"/>
      <c r="R702" s="1200">
        <v>260276</v>
      </c>
      <c r="S702" s="1007">
        <v>-945</v>
      </c>
      <c r="T702" s="1306">
        <v>259331</v>
      </c>
    </row>
    <row r="703" spans="1:20" x14ac:dyDescent="0.25">
      <c r="A703" s="1203">
        <v>97637</v>
      </c>
      <c r="B703" s="1204" t="s">
        <v>3325</v>
      </c>
      <c r="C703" s="1303">
        <v>0</v>
      </c>
      <c r="D703" s="1303">
        <v>3.1999999999999999E-6</v>
      </c>
      <c r="E703" s="1007">
        <v>0</v>
      </c>
      <c r="F703" s="1270"/>
      <c r="G703" s="1200">
        <v>0</v>
      </c>
      <c r="H703" s="1200">
        <v>0</v>
      </c>
      <c r="I703" s="1200">
        <v>0</v>
      </c>
      <c r="J703" s="1007">
        <v>1237</v>
      </c>
      <c r="K703" s="1007">
        <v>1237</v>
      </c>
      <c r="L703" s="1270"/>
      <c r="M703" s="1198">
        <v>0</v>
      </c>
      <c r="N703" s="1198">
        <v>0</v>
      </c>
      <c r="O703" s="1007">
        <v>2946</v>
      </c>
      <c r="P703" s="1007">
        <v>2946</v>
      </c>
      <c r="Q703" s="1270"/>
      <c r="R703" s="1200">
        <v>0</v>
      </c>
      <c r="S703" s="1007">
        <v>-425</v>
      </c>
      <c r="T703" s="1306">
        <v>-425</v>
      </c>
    </row>
    <row r="704" spans="1:20" x14ac:dyDescent="0.25">
      <c r="A704" s="1203">
        <v>97641</v>
      </c>
      <c r="B704" s="1204" t="s">
        <v>3326</v>
      </c>
      <c r="C704" s="1303">
        <v>5.1199999999999998E-5</v>
      </c>
      <c r="D704" s="1303">
        <v>4.5399999999999999E-5</v>
      </c>
      <c r="E704" s="1007">
        <v>182959</v>
      </c>
      <c r="F704" s="1270"/>
      <c r="G704" s="1200">
        <v>23105</v>
      </c>
      <c r="H704" s="1200">
        <v>25747</v>
      </c>
      <c r="I704" s="1200">
        <v>13616</v>
      </c>
      <c r="J704" s="1007">
        <v>12853</v>
      </c>
      <c r="K704" s="1007">
        <v>75321</v>
      </c>
      <c r="L704" s="1270"/>
      <c r="M704" s="1198">
        <v>0</v>
      </c>
      <c r="N704" s="1198">
        <v>0</v>
      </c>
      <c r="O704" s="1007">
        <v>4144</v>
      </c>
      <c r="P704" s="1007">
        <v>4144</v>
      </c>
      <c r="Q704" s="1270"/>
      <c r="R704" s="1200">
        <v>62918</v>
      </c>
      <c r="S704" s="1007">
        <v>4991</v>
      </c>
      <c r="T704" s="1306">
        <v>67909</v>
      </c>
    </row>
    <row r="705" spans="1:20" x14ac:dyDescent="0.25">
      <c r="A705" s="1203">
        <v>97651</v>
      </c>
      <c r="B705" s="1204" t="s">
        <v>3327</v>
      </c>
      <c r="C705" s="1303">
        <v>5.2769999999999998E-4</v>
      </c>
      <c r="D705" s="1303">
        <v>5.2329999999999998E-4</v>
      </c>
      <c r="E705" s="1007">
        <v>1885697</v>
      </c>
      <c r="F705" s="1270"/>
      <c r="G705" s="1200">
        <v>238130</v>
      </c>
      <c r="H705" s="1200">
        <v>265361</v>
      </c>
      <c r="I705" s="1200">
        <v>140333</v>
      </c>
      <c r="J705" s="1007">
        <v>0</v>
      </c>
      <c r="K705" s="1007">
        <v>643824</v>
      </c>
      <c r="L705" s="1270"/>
      <c r="M705" s="1198">
        <v>0</v>
      </c>
      <c r="N705" s="1198">
        <v>0</v>
      </c>
      <c r="O705" s="1007">
        <v>41651</v>
      </c>
      <c r="P705" s="1007">
        <v>41651</v>
      </c>
      <c r="Q705" s="1270"/>
      <c r="R705" s="1200">
        <v>648477</v>
      </c>
      <c r="S705" s="1007">
        <v>-23952</v>
      </c>
      <c r="T705" s="1306">
        <v>624525</v>
      </c>
    </row>
    <row r="706" spans="1:20" x14ac:dyDescent="0.25">
      <c r="A706" s="1203">
        <v>97661</v>
      </c>
      <c r="B706" s="1204" t="s">
        <v>3328</v>
      </c>
      <c r="C706" s="1303">
        <v>4.2400000000000001E-5</v>
      </c>
      <c r="D706" s="1303">
        <v>5.3300000000000001E-5</v>
      </c>
      <c r="E706" s="1007">
        <v>151513</v>
      </c>
      <c r="F706" s="1270"/>
      <c r="G706" s="1200">
        <v>19133</v>
      </c>
      <c r="H706" s="1200">
        <v>21322</v>
      </c>
      <c r="I706" s="1200">
        <v>11276</v>
      </c>
      <c r="J706" s="1007">
        <v>6927</v>
      </c>
      <c r="K706" s="1007">
        <v>58658</v>
      </c>
      <c r="L706" s="1270"/>
      <c r="M706" s="1198">
        <v>0</v>
      </c>
      <c r="N706" s="1198">
        <v>0</v>
      </c>
      <c r="O706" s="1007">
        <v>11093</v>
      </c>
      <c r="P706" s="1007">
        <v>11093</v>
      </c>
      <c r="Q706" s="1270"/>
      <c r="R706" s="1200">
        <v>52104</v>
      </c>
      <c r="S706" s="1007">
        <v>979</v>
      </c>
      <c r="T706" s="1306">
        <v>53083</v>
      </c>
    </row>
    <row r="707" spans="1:20" x14ac:dyDescent="0.25">
      <c r="A707" s="1203">
        <v>97701</v>
      </c>
      <c r="B707" s="1204" t="s">
        <v>3329</v>
      </c>
      <c r="C707" s="1303">
        <v>2.392E-3</v>
      </c>
      <c r="D707" s="1303">
        <v>2.4578E-3</v>
      </c>
      <c r="E707" s="1007">
        <v>8547635</v>
      </c>
      <c r="F707" s="1270"/>
      <c r="G707" s="1200">
        <v>1079416</v>
      </c>
      <c r="H707" s="1200">
        <v>1202850</v>
      </c>
      <c r="I707" s="1200">
        <v>636112</v>
      </c>
      <c r="J707" s="1007">
        <v>19124</v>
      </c>
      <c r="K707" s="1007">
        <v>2937502</v>
      </c>
      <c r="L707" s="1270"/>
      <c r="M707" s="1198">
        <v>0</v>
      </c>
      <c r="N707" s="1198">
        <v>0</v>
      </c>
      <c r="O707" s="1007">
        <v>125144</v>
      </c>
      <c r="P707" s="1007">
        <v>125144</v>
      </c>
      <c r="Q707" s="1270"/>
      <c r="R707" s="1200">
        <v>2939469</v>
      </c>
      <c r="S707" s="1007">
        <v>-27738</v>
      </c>
      <c r="T707" s="1306">
        <v>2911731</v>
      </c>
    </row>
    <row r="708" spans="1:20" x14ac:dyDescent="0.25">
      <c r="A708" s="1203">
        <v>97705</v>
      </c>
      <c r="B708" s="1204" t="s">
        <v>3330</v>
      </c>
      <c r="C708" s="1303">
        <v>3.1099999999999997E-5</v>
      </c>
      <c r="D708" s="1303">
        <v>3.1699999999999998E-5</v>
      </c>
      <c r="E708" s="1007">
        <v>111134</v>
      </c>
      <c r="F708" s="1270"/>
      <c r="G708" s="1200">
        <v>14034</v>
      </c>
      <c r="H708" s="1200">
        <v>15639</v>
      </c>
      <c r="I708" s="1200">
        <v>8271</v>
      </c>
      <c r="J708" s="1007">
        <v>6110</v>
      </c>
      <c r="K708" s="1007">
        <v>44054</v>
      </c>
      <c r="L708" s="1270"/>
      <c r="M708" s="1198">
        <v>0</v>
      </c>
      <c r="N708" s="1198">
        <v>0</v>
      </c>
      <c r="O708" s="1007">
        <v>7751</v>
      </c>
      <c r="P708" s="1007">
        <v>7751</v>
      </c>
      <c r="Q708" s="1270"/>
      <c r="R708" s="1200">
        <v>38218</v>
      </c>
      <c r="S708" s="1007">
        <v>-1667</v>
      </c>
      <c r="T708" s="1306">
        <v>36551</v>
      </c>
    </row>
    <row r="709" spans="1:20" x14ac:dyDescent="0.25">
      <c r="A709" s="1203">
        <v>97711</v>
      </c>
      <c r="B709" s="1204" t="s">
        <v>3331</v>
      </c>
      <c r="C709" s="1303">
        <v>8.3679999999999996E-4</v>
      </c>
      <c r="D709" s="1303">
        <v>8.5930000000000002E-4</v>
      </c>
      <c r="E709" s="1007">
        <v>2990243</v>
      </c>
      <c r="F709" s="1270"/>
      <c r="G709" s="1200">
        <v>377615</v>
      </c>
      <c r="H709" s="1200">
        <v>420796</v>
      </c>
      <c r="I709" s="1200">
        <v>222533</v>
      </c>
      <c r="J709" s="1007">
        <v>5492</v>
      </c>
      <c r="K709" s="1007">
        <v>1026436</v>
      </c>
      <c r="L709" s="1270"/>
      <c r="M709" s="1198">
        <v>0</v>
      </c>
      <c r="N709" s="1198">
        <v>0</v>
      </c>
      <c r="O709" s="1007">
        <v>36269</v>
      </c>
      <c r="P709" s="1007">
        <v>36269</v>
      </c>
      <c r="Q709" s="1270"/>
      <c r="R709" s="1200">
        <v>1028323</v>
      </c>
      <c r="S709" s="1007">
        <v>-17087</v>
      </c>
      <c r="T709" s="1306">
        <v>1011236</v>
      </c>
    </row>
    <row r="710" spans="1:20" x14ac:dyDescent="0.25">
      <c r="A710" s="1203">
        <v>97713</v>
      </c>
      <c r="B710" s="1204" t="s">
        <v>3332</v>
      </c>
      <c r="C710" s="1303">
        <v>5.7899999999999998E-5</v>
      </c>
      <c r="D710" s="1303">
        <v>5.0399999999999999E-5</v>
      </c>
      <c r="E710" s="1007">
        <v>206901</v>
      </c>
      <c r="F710" s="1270"/>
      <c r="G710" s="1200">
        <v>26128</v>
      </c>
      <c r="H710" s="1200">
        <v>29116</v>
      </c>
      <c r="I710" s="1200">
        <v>15398</v>
      </c>
      <c r="J710" s="1007">
        <v>8949</v>
      </c>
      <c r="K710" s="1007">
        <v>79591</v>
      </c>
      <c r="L710" s="1270"/>
      <c r="M710" s="1198">
        <v>0</v>
      </c>
      <c r="N710" s="1198">
        <v>0</v>
      </c>
      <c r="O710" s="1007">
        <v>2930</v>
      </c>
      <c r="P710" s="1007">
        <v>2930</v>
      </c>
      <c r="Q710" s="1270"/>
      <c r="R710" s="1200">
        <v>71152</v>
      </c>
      <c r="S710" s="1007">
        <v>-247</v>
      </c>
      <c r="T710" s="1306">
        <v>70905</v>
      </c>
    </row>
    <row r="711" spans="1:20" x14ac:dyDescent="0.25">
      <c r="A711" s="1203">
        <v>97717</v>
      </c>
      <c r="B711" s="1204" t="s">
        <v>3333</v>
      </c>
      <c r="C711" s="1303">
        <v>5.5999999999999997E-6</v>
      </c>
      <c r="D711" s="1303">
        <v>5.4E-6</v>
      </c>
      <c r="E711" s="1007">
        <v>20011</v>
      </c>
      <c r="F711" s="1270"/>
      <c r="G711" s="1200">
        <v>2527</v>
      </c>
      <c r="H711" s="1200">
        <v>2816</v>
      </c>
      <c r="I711" s="1200">
        <v>1489</v>
      </c>
      <c r="J711" s="1007">
        <v>1470</v>
      </c>
      <c r="K711" s="1007">
        <v>8302</v>
      </c>
      <c r="L711" s="1270"/>
      <c r="M711" s="1198">
        <v>0</v>
      </c>
      <c r="N711" s="1198">
        <v>0</v>
      </c>
      <c r="O711" s="1007">
        <v>463</v>
      </c>
      <c r="P711" s="1007">
        <v>463</v>
      </c>
      <c r="Q711" s="1270"/>
      <c r="R711" s="1200">
        <v>6882</v>
      </c>
      <c r="S711" s="1007">
        <v>419</v>
      </c>
      <c r="T711" s="1306">
        <v>7301</v>
      </c>
    </row>
    <row r="712" spans="1:20" x14ac:dyDescent="0.25">
      <c r="A712" s="1203">
        <v>97721</v>
      </c>
      <c r="B712" s="1204" t="s">
        <v>3334</v>
      </c>
      <c r="C712" s="1303">
        <v>5.2959999999999997E-4</v>
      </c>
      <c r="D712" s="1303">
        <v>5.5699999999999999E-4</v>
      </c>
      <c r="E712" s="1007">
        <v>1892486</v>
      </c>
      <c r="F712" s="1270"/>
      <c r="G712" s="1200">
        <v>238988</v>
      </c>
      <c r="H712" s="1200">
        <v>266317</v>
      </c>
      <c r="I712" s="1200">
        <v>140838</v>
      </c>
      <c r="J712" s="1007">
        <v>1734</v>
      </c>
      <c r="K712" s="1007">
        <v>647877</v>
      </c>
      <c r="L712" s="1270"/>
      <c r="M712" s="1198">
        <v>0</v>
      </c>
      <c r="N712" s="1198">
        <v>0</v>
      </c>
      <c r="O712" s="1007">
        <v>80329</v>
      </c>
      <c r="P712" s="1007">
        <v>80329</v>
      </c>
      <c r="Q712" s="1270"/>
      <c r="R712" s="1200">
        <v>650812</v>
      </c>
      <c r="S712" s="1007">
        <v>-23606</v>
      </c>
      <c r="T712" s="1306">
        <v>627206</v>
      </c>
    </row>
    <row r="713" spans="1:20" x14ac:dyDescent="0.25">
      <c r="A713" s="1203">
        <v>97727</v>
      </c>
      <c r="B713" s="1204" t="s">
        <v>3335</v>
      </c>
      <c r="C713" s="1303">
        <v>1.6900000000000001E-5</v>
      </c>
      <c r="D713" s="1303">
        <v>1.8600000000000001E-5</v>
      </c>
      <c r="E713" s="1007">
        <v>60391</v>
      </c>
      <c r="F713" s="1270"/>
      <c r="G713" s="1200">
        <v>7626</v>
      </c>
      <c r="H713" s="1200">
        <v>8499</v>
      </c>
      <c r="I713" s="1200">
        <v>4494</v>
      </c>
      <c r="J713" s="1007">
        <v>472</v>
      </c>
      <c r="K713" s="1007">
        <v>21091</v>
      </c>
      <c r="L713" s="1270"/>
      <c r="M713" s="1198">
        <v>0</v>
      </c>
      <c r="N713" s="1198">
        <v>0</v>
      </c>
      <c r="O713" s="1007">
        <v>400</v>
      </c>
      <c r="P713" s="1007">
        <v>400</v>
      </c>
      <c r="Q713" s="1270"/>
      <c r="R713" s="1200">
        <v>20768</v>
      </c>
      <c r="S713" s="1007">
        <v>-324</v>
      </c>
      <c r="T713" s="1306">
        <v>20444</v>
      </c>
    </row>
    <row r="714" spans="1:20" x14ac:dyDescent="0.25">
      <c r="A714" s="1203">
        <v>97731</v>
      </c>
      <c r="B714" s="1204" t="s">
        <v>3336</v>
      </c>
      <c r="C714" s="1303">
        <v>3.8300000000000003E-5</v>
      </c>
      <c r="D714" s="1303">
        <v>3.82E-5</v>
      </c>
      <c r="E714" s="1007">
        <v>136862</v>
      </c>
      <c r="F714" s="1270"/>
      <c r="G714" s="1200">
        <v>17283</v>
      </c>
      <c r="H714" s="1200">
        <v>19259</v>
      </c>
      <c r="I714" s="1200">
        <v>10185</v>
      </c>
      <c r="J714" s="1007">
        <v>6031</v>
      </c>
      <c r="K714" s="1007">
        <v>52758</v>
      </c>
      <c r="L714" s="1270"/>
      <c r="M714" s="1198">
        <v>0</v>
      </c>
      <c r="N714" s="1198">
        <v>0</v>
      </c>
      <c r="O714" s="1007">
        <v>0</v>
      </c>
      <c r="P714" s="1007">
        <v>0</v>
      </c>
      <c r="Q714" s="1270"/>
      <c r="R714" s="1200">
        <v>47066</v>
      </c>
      <c r="S714" s="1007">
        <v>3000</v>
      </c>
      <c r="T714" s="1306">
        <v>50066</v>
      </c>
    </row>
    <row r="715" spans="1:20" x14ac:dyDescent="0.25">
      <c r="A715" s="1203">
        <v>97801</v>
      </c>
      <c r="B715" s="1204" t="s">
        <v>3337</v>
      </c>
      <c r="C715" s="1303">
        <v>6.2462999999999998E-3</v>
      </c>
      <c r="D715" s="1303">
        <v>6.0489000000000003E-3</v>
      </c>
      <c r="E715" s="1007">
        <v>22320691</v>
      </c>
      <c r="F715" s="1270"/>
      <c r="G715" s="1200">
        <v>2818712</v>
      </c>
      <c r="H715" s="1200">
        <v>3141040</v>
      </c>
      <c r="I715" s="1200">
        <v>1661097</v>
      </c>
      <c r="J715" s="1007">
        <v>545602</v>
      </c>
      <c r="K715" s="1007">
        <v>8166451</v>
      </c>
      <c r="L715" s="1270"/>
      <c r="M715" s="1198">
        <v>0</v>
      </c>
      <c r="N715" s="1198">
        <v>0</v>
      </c>
      <c r="O715" s="1007">
        <v>414997</v>
      </c>
      <c r="P715" s="1007">
        <v>414997</v>
      </c>
      <c r="Q715" s="1270"/>
      <c r="R715" s="1200">
        <v>7675922</v>
      </c>
      <c r="S715" s="1007">
        <v>-45404</v>
      </c>
      <c r="T715" s="1306">
        <v>7630518</v>
      </c>
    </row>
    <row r="716" spans="1:20" x14ac:dyDescent="0.25">
      <c r="A716" s="1203">
        <v>97802</v>
      </c>
      <c r="B716" s="1204" t="s">
        <v>3338</v>
      </c>
      <c r="C716" s="1303">
        <v>1.5880000000000001E-4</v>
      </c>
      <c r="D716" s="1303">
        <v>1.9029999999999999E-4</v>
      </c>
      <c r="E716" s="1007">
        <v>567460</v>
      </c>
      <c r="F716" s="1270"/>
      <c r="G716" s="1200">
        <v>71660</v>
      </c>
      <c r="H716" s="1200">
        <v>79855</v>
      </c>
      <c r="I716" s="1200">
        <v>42230</v>
      </c>
      <c r="J716" s="1007">
        <v>16047</v>
      </c>
      <c r="K716" s="1007">
        <v>209792</v>
      </c>
      <c r="L716" s="1270"/>
      <c r="M716" s="1198">
        <v>0</v>
      </c>
      <c r="N716" s="1198">
        <v>0</v>
      </c>
      <c r="O716" s="1007">
        <v>43462</v>
      </c>
      <c r="P716" s="1007">
        <v>43462</v>
      </c>
      <c r="Q716" s="1270"/>
      <c r="R716" s="1200">
        <v>195145</v>
      </c>
      <c r="S716" s="1007">
        <v>-11015</v>
      </c>
      <c r="T716" s="1306">
        <v>184130</v>
      </c>
    </row>
    <row r="717" spans="1:20" x14ac:dyDescent="0.25">
      <c r="A717" s="1203">
        <v>97803</v>
      </c>
      <c r="B717" s="1204" t="s">
        <v>3339</v>
      </c>
      <c r="C717" s="1303">
        <v>7.2999999999999999E-5</v>
      </c>
      <c r="D717" s="1303">
        <v>7.7899999999999996E-5</v>
      </c>
      <c r="E717" s="1007">
        <v>260860</v>
      </c>
      <c r="F717" s="1270"/>
      <c r="G717" s="1200">
        <v>32942</v>
      </c>
      <c r="H717" s="1200">
        <v>36709</v>
      </c>
      <c r="I717" s="1200">
        <v>19413</v>
      </c>
      <c r="J717" s="1007">
        <v>2101</v>
      </c>
      <c r="K717" s="1007">
        <v>91165</v>
      </c>
      <c r="L717" s="1270"/>
      <c r="M717" s="1198">
        <v>0</v>
      </c>
      <c r="N717" s="1198">
        <v>0</v>
      </c>
      <c r="O717" s="1007">
        <v>6688</v>
      </c>
      <c r="P717" s="1007">
        <v>6688</v>
      </c>
      <c r="Q717" s="1270"/>
      <c r="R717" s="1200">
        <v>89708</v>
      </c>
      <c r="S717" s="1007">
        <v>-637</v>
      </c>
      <c r="T717" s="1306">
        <v>89071</v>
      </c>
    </row>
    <row r="718" spans="1:20" x14ac:dyDescent="0.25">
      <c r="A718" s="1203">
        <v>97805</v>
      </c>
      <c r="B718" s="1204" t="s">
        <v>3340</v>
      </c>
      <c r="C718" s="1303">
        <v>8.6299999999999997E-5</v>
      </c>
      <c r="D718" s="1303">
        <v>8.6500000000000002E-5</v>
      </c>
      <c r="E718" s="1007">
        <v>308387</v>
      </c>
      <c r="F718" s="1270"/>
      <c r="G718" s="1200">
        <v>38944</v>
      </c>
      <c r="H718" s="1200">
        <v>43397</v>
      </c>
      <c r="I718" s="1200">
        <v>22950</v>
      </c>
      <c r="J718" s="1007">
        <v>4380</v>
      </c>
      <c r="K718" s="1007">
        <v>109671</v>
      </c>
      <c r="L718" s="1270"/>
      <c r="M718" s="1198">
        <v>0</v>
      </c>
      <c r="N718" s="1198">
        <v>0</v>
      </c>
      <c r="O718" s="1007">
        <v>1400</v>
      </c>
      <c r="P718" s="1007">
        <v>1400</v>
      </c>
      <c r="Q718" s="1270"/>
      <c r="R718" s="1200">
        <v>106052</v>
      </c>
      <c r="S718" s="1007">
        <v>3160</v>
      </c>
      <c r="T718" s="1306">
        <v>109212</v>
      </c>
    </row>
    <row r="719" spans="1:20" x14ac:dyDescent="0.25">
      <c r="A719" s="1203">
        <v>97811</v>
      </c>
      <c r="B719" s="1204" t="s">
        <v>3341</v>
      </c>
      <c r="C719" s="1303">
        <v>2.2964000000000001E-3</v>
      </c>
      <c r="D719" s="1303">
        <v>2.4080999999999998E-3</v>
      </c>
      <c r="E719" s="1007">
        <v>8206015</v>
      </c>
      <c r="F719" s="1270"/>
      <c r="G719" s="1200">
        <v>1036276</v>
      </c>
      <c r="H719" s="1200">
        <v>1154777</v>
      </c>
      <c r="I719" s="1200">
        <v>610689</v>
      </c>
      <c r="J719" s="1007">
        <v>0</v>
      </c>
      <c r="K719" s="1007">
        <v>2801742</v>
      </c>
      <c r="L719" s="1270"/>
      <c r="M719" s="1198">
        <v>0</v>
      </c>
      <c r="N719" s="1198">
        <v>0</v>
      </c>
      <c r="O719" s="1007">
        <v>137168</v>
      </c>
      <c r="P719" s="1007">
        <v>137168</v>
      </c>
      <c r="Q719" s="1270"/>
      <c r="R719" s="1200">
        <v>2821989</v>
      </c>
      <c r="S719" s="1007">
        <v>-73954</v>
      </c>
      <c r="T719" s="1306">
        <v>2748035</v>
      </c>
    </row>
    <row r="720" spans="1:20" x14ac:dyDescent="0.25">
      <c r="A720" s="1203">
        <v>97817</v>
      </c>
      <c r="B720" s="1204" t="s">
        <v>3342</v>
      </c>
      <c r="C720" s="1303">
        <v>1.9300000000000002E-5</v>
      </c>
      <c r="D720" s="1303">
        <v>1.7499999999999998E-5</v>
      </c>
      <c r="E720" s="1007">
        <v>68967</v>
      </c>
      <c r="F720" s="1270"/>
      <c r="G720" s="1200">
        <v>8709</v>
      </c>
      <c r="H720" s="1200">
        <v>9705</v>
      </c>
      <c r="I720" s="1200">
        <v>5133</v>
      </c>
      <c r="J720" s="1007">
        <v>13295</v>
      </c>
      <c r="K720" s="1007">
        <v>36842</v>
      </c>
      <c r="L720" s="1270"/>
      <c r="M720" s="1198">
        <v>0</v>
      </c>
      <c r="N720" s="1198">
        <v>0</v>
      </c>
      <c r="O720" s="1007">
        <v>0</v>
      </c>
      <c r="P720" s="1007">
        <v>0</v>
      </c>
      <c r="Q720" s="1270"/>
      <c r="R720" s="1200">
        <v>23717</v>
      </c>
      <c r="S720" s="1007">
        <v>7704</v>
      </c>
      <c r="T720" s="1306">
        <v>31421</v>
      </c>
    </row>
    <row r="721" spans="1:20" x14ac:dyDescent="0.25">
      <c r="A721" s="1203">
        <v>97818</v>
      </c>
      <c r="B721" s="1204" t="s">
        <v>3343</v>
      </c>
      <c r="C721" s="1303">
        <v>1.6500000000000001E-5</v>
      </c>
      <c r="D721" s="1303">
        <v>2.4899999999999999E-5</v>
      </c>
      <c r="E721" s="1007">
        <v>58962</v>
      </c>
      <c r="F721" s="1270"/>
      <c r="G721" s="1200">
        <v>7446</v>
      </c>
      <c r="H721" s="1200">
        <v>8298</v>
      </c>
      <c r="I721" s="1200">
        <v>4388</v>
      </c>
      <c r="J721" s="1007">
        <v>2909</v>
      </c>
      <c r="K721" s="1007">
        <v>23041</v>
      </c>
      <c r="L721" s="1270"/>
      <c r="M721" s="1198">
        <v>0</v>
      </c>
      <c r="N721" s="1198">
        <v>0</v>
      </c>
      <c r="O721" s="1007">
        <v>7165</v>
      </c>
      <c r="P721" s="1007">
        <v>7165</v>
      </c>
      <c r="Q721" s="1270"/>
      <c r="R721" s="1200">
        <v>20276</v>
      </c>
      <c r="S721" s="1007">
        <v>88</v>
      </c>
      <c r="T721" s="1306">
        <v>20364</v>
      </c>
    </row>
    <row r="722" spans="1:20" x14ac:dyDescent="0.25">
      <c r="A722" s="1203">
        <v>97821</v>
      </c>
      <c r="B722" s="1204" t="s">
        <v>3344</v>
      </c>
      <c r="C722" s="1303">
        <v>1.038E-4</v>
      </c>
      <c r="D722" s="1303">
        <v>1.329E-4</v>
      </c>
      <c r="E722" s="1007">
        <v>370922</v>
      </c>
      <c r="F722" s="1270"/>
      <c r="G722" s="1200">
        <v>46841</v>
      </c>
      <c r="H722" s="1200">
        <v>52197</v>
      </c>
      <c r="I722" s="1200">
        <v>27604</v>
      </c>
      <c r="J722" s="1007">
        <v>23240</v>
      </c>
      <c r="K722" s="1007">
        <v>149882</v>
      </c>
      <c r="L722" s="1270"/>
      <c r="M722" s="1198">
        <v>0</v>
      </c>
      <c r="N722" s="1198">
        <v>0</v>
      </c>
      <c r="O722" s="1007">
        <v>27337</v>
      </c>
      <c r="P722" s="1007">
        <v>27337</v>
      </c>
      <c r="Q722" s="1270"/>
      <c r="R722" s="1200">
        <v>127557</v>
      </c>
      <c r="S722" s="1007">
        <v>-1074</v>
      </c>
      <c r="T722" s="1306">
        <v>126483</v>
      </c>
    </row>
    <row r="723" spans="1:20" x14ac:dyDescent="0.25">
      <c r="A723" s="1203">
        <v>97823</v>
      </c>
      <c r="B723" s="1204" t="s">
        <v>3345</v>
      </c>
      <c r="C723" s="1303">
        <v>1.91E-5</v>
      </c>
      <c r="D723" s="1303">
        <v>1.5400000000000002E-5</v>
      </c>
      <c r="E723" s="1007">
        <v>68252</v>
      </c>
      <c r="F723" s="1270"/>
      <c r="G723" s="1200">
        <v>8619</v>
      </c>
      <c r="H723" s="1200">
        <v>9605</v>
      </c>
      <c r="I723" s="1200">
        <v>5079</v>
      </c>
      <c r="J723" s="1007">
        <v>9731</v>
      </c>
      <c r="K723" s="1007">
        <v>33034</v>
      </c>
      <c r="L723" s="1270"/>
      <c r="M723" s="1198">
        <v>0</v>
      </c>
      <c r="N723" s="1198">
        <v>0</v>
      </c>
      <c r="O723" s="1007">
        <v>1052</v>
      </c>
      <c r="P723" s="1007">
        <v>1052</v>
      </c>
      <c r="Q723" s="1270"/>
      <c r="R723" s="1200">
        <v>23472</v>
      </c>
      <c r="S723" s="1007">
        <v>3052</v>
      </c>
      <c r="T723" s="1306">
        <v>26524</v>
      </c>
    </row>
    <row r="724" spans="1:20" x14ac:dyDescent="0.25">
      <c r="A724" s="1203">
        <v>97831</v>
      </c>
      <c r="B724" s="1204" t="s">
        <v>3346</v>
      </c>
      <c r="C724" s="1303">
        <v>1.8760000000000001E-4</v>
      </c>
      <c r="D724" s="1303">
        <v>1.6359999999999999E-4</v>
      </c>
      <c r="E724" s="1007">
        <v>670375</v>
      </c>
      <c r="F724" s="1270"/>
      <c r="G724" s="1200">
        <v>84657</v>
      </c>
      <c r="H724" s="1200">
        <v>94337</v>
      </c>
      <c r="I724" s="1200">
        <v>49889</v>
      </c>
      <c r="J724" s="1007">
        <v>52515</v>
      </c>
      <c r="K724" s="1007">
        <v>281398</v>
      </c>
      <c r="L724" s="1270"/>
      <c r="M724" s="1198">
        <v>0</v>
      </c>
      <c r="N724" s="1198">
        <v>0</v>
      </c>
      <c r="O724" s="1007">
        <v>1652</v>
      </c>
      <c r="P724" s="1007">
        <v>1652</v>
      </c>
      <c r="Q724" s="1270"/>
      <c r="R724" s="1200">
        <v>230537</v>
      </c>
      <c r="S724" s="1007">
        <v>18942</v>
      </c>
      <c r="T724" s="1306">
        <v>249479</v>
      </c>
    </row>
    <row r="725" spans="1:20" x14ac:dyDescent="0.25">
      <c r="A725" s="1203">
        <v>97837</v>
      </c>
      <c r="B725" s="1204" t="s">
        <v>3347</v>
      </c>
      <c r="C725" s="1303">
        <v>8.4999999999999999E-6</v>
      </c>
      <c r="D725" s="1303">
        <v>1.0000000000000001E-5</v>
      </c>
      <c r="E725" s="1007">
        <v>30374</v>
      </c>
      <c r="F725" s="1270"/>
      <c r="G725" s="1200">
        <v>3836</v>
      </c>
      <c r="H725" s="1200">
        <v>4274</v>
      </c>
      <c r="I725" s="1200">
        <v>2260</v>
      </c>
      <c r="J725" s="1007">
        <v>1655</v>
      </c>
      <c r="K725" s="1007">
        <v>12025</v>
      </c>
      <c r="L725" s="1270"/>
      <c r="M725" s="1198">
        <v>0</v>
      </c>
      <c r="N725" s="1198">
        <v>0</v>
      </c>
      <c r="O725" s="1007">
        <v>2403</v>
      </c>
      <c r="P725" s="1007">
        <v>2403</v>
      </c>
      <c r="Q725" s="1270"/>
      <c r="R725" s="1200">
        <v>10445</v>
      </c>
      <c r="S725" s="1007">
        <v>145</v>
      </c>
      <c r="T725" s="1306">
        <v>10590</v>
      </c>
    </row>
    <row r="726" spans="1:20" x14ac:dyDescent="0.25">
      <c r="A726" s="1203">
        <v>97840</v>
      </c>
      <c r="B726" s="1204" t="s">
        <v>3348</v>
      </c>
      <c r="C726" s="1303">
        <v>1.3219999999999999E-4</v>
      </c>
      <c r="D726" s="1303">
        <v>1.0560000000000001E-4</v>
      </c>
      <c r="E726" s="1007">
        <v>472407</v>
      </c>
      <c r="F726" s="1270"/>
      <c r="G726" s="1200">
        <v>59657</v>
      </c>
      <c r="H726" s="1200">
        <v>66479</v>
      </c>
      <c r="I726" s="1200">
        <v>35156</v>
      </c>
      <c r="J726" s="1007">
        <v>81190</v>
      </c>
      <c r="K726" s="1007">
        <v>242482</v>
      </c>
      <c r="L726" s="1270"/>
      <c r="M726" s="1198">
        <v>0</v>
      </c>
      <c r="N726" s="1198">
        <v>0</v>
      </c>
      <c r="O726" s="1007">
        <v>0</v>
      </c>
      <c r="P726" s="1007">
        <v>0</v>
      </c>
      <c r="Q726" s="1270"/>
      <c r="R726" s="1200">
        <v>162457</v>
      </c>
      <c r="S726" s="1007">
        <v>42286</v>
      </c>
      <c r="T726" s="1306">
        <v>204743</v>
      </c>
    </row>
    <row r="727" spans="1:20" x14ac:dyDescent="0.25">
      <c r="A727" s="1203">
        <v>97841</v>
      </c>
      <c r="B727" s="1204" t="s">
        <v>3349</v>
      </c>
      <c r="C727" s="1303">
        <v>1.4100000000000001E-5</v>
      </c>
      <c r="D727" s="1303">
        <v>1.2099999999999999E-5</v>
      </c>
      <c r="E727" s="1007">
        <v>50385</v>
      </c>
      <c r="F727" s="1270"/>
      <c r="G727" s="1200">
        <v>6363</v>
      </c>
      <c r="H727" s="1200">
        <v>7090</v>
      </c>
      <c r="I727" s="1200">
        <v>3750</v>
      </c>
      <c r="J727" s="1007">
        <v>1531</v>
      </c>
      <c r="K727" s="1007">
        <v>18734</v>
      </c>
      <c r="L727" s="1270"/>
      <c r="M727" s="1198">
        <v>0</v>
      </c>
      <c r="N727" s="1198">
        <v>0</v>
      </c>
      <c r="O727" s="1007">
        <v>185</v>
      </c>
      <c r="P727" s="1007">
        <v>185</v>
      </c>
      <c r="Q727" s="1270"/>
      <c r="R727" s="1200">
        <v>17327</v>
      </c>
      <c r="S727" s="1007">
        <v>221</v>
      </c>
      <c r="T727" s="1306">
        <v>17548</v>
      </c>
    </row>
    <row r="728" spans="1:20" x14ac:dyDescent="0.25">
      <c r="A728" s="1203">
        <v>97847</v>
      </c>
      <c r="B728" s="1204" t="s">
        <v>3350</v>
      </c>
      <c r="C728" s="1303">
        <v>1.7999999999999999E-6</v>
      </c>
      <c r="D728" s="1303">
        <v>1.7E-6</v>
      </c>
      <c r="E728" s="1007">
        <v>6432</v>
      </c>
      <c r="F728" s="1270"/>
      <c r="G728" s="1200">
        <v>812</v>
      </c>
      <c r="H728" s="1200">
        <v>905</v>
      </c>
      <c r="I728" s="1200">
        <v>479</v>
      </c>
      <c r="J728" s="1007">
        <v>3323</v>
      </c>
      <c r="K728" s="1007">
        <v>5519</v>
      </c>
      <c r="L728" s="1270"/>
      <c r="M728" s="1198">
        <v>0</v>
      </c>
      <c r="N728" s="1198">
        <v>0</v>
      </c>
      <c r="O728" s="1007">
        <v>0</v>
      </c>
      <c r="P728" s="1007">
        <v>0</v>
      </c>
      <c r="Q728" s="1270"/>
      <c r="R728" s="1200">
        <v>2212</v>
      </c>
      <c r="S728" s="1007">
        <v>1458</v>
      </c>
      <c r="T728" s="1306">
        <v>3670</v>
      </c>
    </row>
    <row r="729" spans="1:20" x14ac:dyDescent="0.25">
      <c r="A729" s="1203">
        <v>97851</v>
      </c>
      <c r="B729" s="1204" t="s">
        <v>3351</v>
      </c>
      <c r="C729" s="1303">
        <v>2.5589999999999999E-4</v>
      </c>
      <c r="D729" s="1303">
        <v>2.7540000000000003E-4</v>
      </c>
      <c r="E729" s="1007">
        <v>914440</v>
      </c>
      <c r="F729" s="1270"/>
      <c r="G729" s="1200">
        <v>115478</v>
      </c>
      <c r="H729" s="1200">
        <v>128682</v>
      </c>
      <c r="I729" s="1200">
        <v>68052</v>
      </c>
      <c r="J729" s="1007">
        <v>0</v>
      </c>
      <c r="K729" s="1007">
        <v>312212</v>
      </c>
      <c r="L729" s="1270"/>
      <c r="M729" s="1198">
        <v>0</v>
      </c>
      <c r="N729" s="1198">
        <v>0</v>
      </c>
      <c r="O729" s="1007">
        <v>58733</v>
      </c>
      <c r="P729" s="1007">
        <v>58733</v>
      </c>
      <c r="Q729" s="1270"/>
      <c r="R729" s="1200">
        <v>314469</v>
      </c>
      <c r="S729" s="1007">
        <v>-23588</v>
      </c>
      <c r="T729" s="1306">
        <v>290881</v>
      </c>
    </row>
    <row r="730" spans="1:20" x14ac:dyDescent="0.25">
      <c r="A730" s="1203">
        <v>97853</v>
      </c>
      <c r="B730" s="1204" t="s">
        <v>3352</v>
      </c>
      <c r="C730" s="1303">
        <v>7.6600000000000005E-5</v>
      </c>
      <c r="D730" s="1303">
        <v>7.9900000000000004E-5</v>
      </c>
      <c r="E730" s="1007">
        <v>273724</v>
      </c>
      <c r="F730" s="1270"/>
      <c r="G730" s="1200">
        <v>34567</v>
      </c>
      <c r="H730" s="1200">
        <v>38519</v>
      </c>
      <c r="I730" s="1200">
        <v>20370</v>
      </c>
      <c r="J730" s="1007">
        <v>1253</v>
      </c>
      <c r="K730" s="1007">
        <v>94709</v>
      </c>
      <c r="L730" s="1270"/>
      <c r="M730" s="1198">
        <v>0</v>
      </c>
      <c r="N730" s="1198">
        <v>0</v>
      </c>
      <c r="O730" s="1007">
        <v>22037</v>
      </c>
      <c r="P730" s="1007">
        <v>22037</v>
      </c>
      <c r="Q730" s="1270"/>
      <c r="R730" s="1200">
        <v>94132</v>
      </c>
      <c r="S730" s="1007">
        <v>-9995</v>
      </c>
      <c r="T730" s="1306">
        <v>84137</v>
      </c>
    </row>
    <row r="731" spans="1:20" x14ac:dyDescent="0.25">
      <c r="A731" s="1203">
        <v>97861</v>
      </c>
      <c r="B731" s="1204" t="s">
        <v>3353</v>
      </c>
      <c r="C731" s="1303">
        <v>4.4700000000000002E-5</v>
      </c>
      <c r="D731" s="1303">
        <v>4.5500000000000001E-5</v>
      </c>
      <c r="E731" s="1007">
        <v>159732</v>
      </c>
      <c r="F731" s="1270"/>
      <c r="G731" s="1200">
        <v>20171</v>
      </c>
      <c r="H731" s="1200">
        <v>22478</v>
      </c>
      <c r="I731" s="1200">
        <v>11887</v>
      </c>
      <c r="J731" s="1007">
        <v>12484</v>
      </c>
      <c r="K731" s="1007">
        <v>67020</v>
      </c>
      <c r="L731" s="1270"/>
      <c r="M731" s="1198">
        <v>0</v>
      </c>
      <c r="N731" s="1198">
        <v>0</v>
      </c>
      <c r="O731" s="1007">
        <v>7163</v>
      </c>
      <c r="P731" s="1007">
        <v>7163</v>
      </c>
      <c r="Q731" s="1270"/>
      <c r="R731" s="1200">
        <v>54931</v>
      </c>
      <c r="S731" s="1007">
        <v>-142</v>
      </c>
      <c r="T731" s="1306">
        <v>54789</v>
      </c>
    </row>
    <row r="732" spans="1:20" x14ac:dyDescent="0.25">
      <c r="A732" s="1203">
        <v>97871</v>
      </c>
      <c r="B732" s="1204" t="s">
        <v>3354</v>
      </c>
      <c r="C732" s="1303">
        <v>2.6209999999999997E-4</v>
      </c>
      <c r="D732" s="1303">
        <v>3.0079999999999999E-4</v>
      </c>
      <c r="E732" s="1007">
        <v>936595</v>
      </c>
      <c r="F732" s="1270"/>
      <c r="G732" s="1200">
        <v>118276</v>
      </c>
      <c r="H732" s="1200">
        <v>131801</v>
      </c>
      <c r="I732" s="1200">
        <v>69701</v>
      </c>
      <c r="J732" s="1007">
        <v>166936</v>
      </c>
      <c r="K732" s="1007">
        <v>486714</v>
      </c>
      <c r="L732" s="1270"/>
      <c r="M732" s="1198">
        <v>0</v>
      </c>
      <c r="N732" s="1198">
        <v>0</v>
      </c>
      <c r="O732" s="1007">
        <v>32580</v>
      </c>
      <c r="P732" s="1007">
        <v>32580</v>
      </c>
      <c r="Q732" s="1270"/>
      <c r="R732" s="1200">
        <v>322088</v>
      </c>
      <c r="S732" s="1007">
        <v>92300</v>
      </c>
      <c r="T732" s="1306">
        <v>414388</v>
      </c>
    </row>
    <row r="733" spans="1:20" x14ac:dyDescent="0.25">
      <c r="A733" s="1203">
        <v>97877</v>
      </c>
      <c r="B733" s="1204" t="s">
        <v>3355</v>
      </c>
      <c r="C733" s="1303">
        <v>8.8999999999999995E-6</v>
      </c>
      <c r="D733" s="1303">
        <v>7.6000000000000001E-6</v>
      </c>
      <c r="E733" s="1007">
        <v>31803</v>
      </c>
      <c r="F733" s="1270"/>
      <c r="G733" s="1200">
        <v>4016</v>
      </c>
      <c r="H733" s="1200">
        <v>4475</v>
      </c>
      <c r="I733" s="1200">
        <v>2367</v>
      </c>
      <c r="J733" s="1007">
        <v>7330</v>
      </c>
      <c r="K733" s="1007">
        <v>18188</v>
      </c>
      <c r="L733" s="1270"/>
      <c r="M733" s="1198">
        <v>0</v>
      </c>
      <c r="N733" s="1198">
        <v>0</v>
      </c>
      <c r="O733" s="1007">
        <v>0</v>
      </c>
      <c r="P733" s="1007">
        <v>0</v>
      </c>
      <c r="Q733" s="1270"/>
      <c r="R733" s="1200">
        <v>10937</v>
      </c>
      <c r="S733" s="1007">
        <v>2825</v>
      </c>
      <c r="T733" s="1306">
        <v>13762</v>
      </c>
    </row>
    <row r="734" spans="1:20" x14ac:dyDescent="0.25">
      <c r="A734" s="1203">
        <v>97901</v>
      </c>
      <c r="B734" s="1204" t="s">
        <v>3356</v>
      </c>
      <c r="C734" s="1303">
        <v>3.8295999999999998E-3</v>
      </c>
      <c r="D734" s="1303">
        <v>4.0067999999999996E-3</v>
      </c>
      <c r="E734" s="1007">
        <v>13684792</v>
      </c>
      <c r="F734" s="1270"/>
      <c r="G734" s="1200">
        <v>1728149</v>
      </c>
      <c r="H734" s="1200">
        <v>1925768</v>
      </c>
      <c r="I734" s="1200">
        <v>1018417</v>
      </c>
      <c r="J734" s="1007">
        <v>10460</v>
      </c>
      <c r="K734" s="1007">
        <v>4682794</v>
      </c>
      <c r="L734" s="1270"/>
      <c r="M734" s="1198">
        <v>0</v>
      </c>
      <c r="N734" s="1198">
        <v>0</v>
      </c>
      <c r="O734" s="1007">
        <v>373931</v>
      </c>
      <c r="P734" s="1007">
        <v>373931</v>
      </c>
      <c r="Q734" s="1270"/>
      <c r="R734" s="1200">
        <v>4706100</v>
      </c>
      <c r="S734" s="1007">
        <v>-120209</v>
      </c>
      <c r="T734" s="1306">
        <v>4585891</v>
      </c>
    </row>
    <row r="735" spans="1:20" x14ac:dyDescent="0.25">
      <c r="A735" s="1203">
        <v>97911</v>
      </c>
      <c r="B735" s="1204" t="s">
        <v>3357</v>
      </c>
      <c r="C735" s="1303">
        <v>1.2029E-3</v>
      </c>
      <c r="D735" s="1303">
        <v>1.2121E-3</v>
      </c>
      <c r="E735" s="1007">
        <v>4298474</v>
      </c>
      <c r="F735" s="1270"/>
      <c r="G735" s="1200">
        <v>542822</v>
      </c>
      <c r="H735" s="1200">
        <v>604895</v>
      </c>
      <c r="I735" s="1200">
        <v>319891</v>
      </c>
      <c r="J735" s="1007">
        <v>42409</v>
      </c>
      <c r="K735" s="1007">
        <v>1510017</v>
      </c>
      <c r="L735" s="1270"/>
      <c r="M735" s="1198">
        <v>0</v>
      </c>
      <c r="N735" s="1198">
        <v>0</v>
      </c>
      <c r="O735" s="1007">
        <v>17861</v>
      </c>
      <c r="P735" s="1007">
        <v>17861</v>
      </c>
      <c r="Q735" s="1270"/>
      <c r="R735" s="1200">
        <v>1478214</v>
      </c>
      <c r="S735" s="1007">
        <v>-227</v>
      </c>
      <c r="T735" s="1306">
        <v>1477987</v>
      </c>
    </row>
    <row r="736" spans="1:20" x14ac:dyDescent="0.25">
      <c r="A736" s="1203">
        <v>97913</v>
      </c>
      <c r="B736" s="1204" t="s">
        <v>3358</v>
      </c>
      <c r="C736" s="1303">
        <v>2.2900000000000001E-5</v>
      </c>
      <c r="D736" s="1303">
        <v>2.8600000000000001E-5</v>
      </c>
      <c r="E736" s="1007">
        <v>81831</v>
      </c>
      <c r="F736" s="1270"/>
      <c r="G736" s="1200">
        <v>10334</v>
      </c>
      <c r="H736" s="1200">
        <v>11515</v>
      </c>
      <c r="I736" s="1200">
        <v>6090</v>
      </c>
      <c r="J736" s="1007">
        <v>11275</v>
      </c>
      <c r="K736" s="1007">
        <v>39214</v>
      </c>
      <c r="L736" s="1270"/>
      <c r="M736" s="1198">
        <v>0</v>
      </c>
      <c r="N736" s="1198">
        <v>0</v>
      </c>
      <c r="O736" s="1007">
        <v>0</v>
      </c>
      <c r="P736" s="1007">
        <v>0</v>
      </c>
      <c r="Q736" s="1270"/>
      <c r="R736" s="1200">
        <v>28141</v>
      </c>
      <c r="S736" s="1007">
        <v>7145</v>
      </c>
      <c r="T736" s="1306">
        <v>35286</v>
      </c>
    </row>
    <row r="737" spans="1:20" x14ac:dyDescent="0.25">
      <c r="A737" s="1203">
        <v>97917</v>
      </c>
      <c r="B737" s="1204" t="s">
        <v>3359</v>
      </c>
      <c r="C737" s="1303">
        <v>1.7799999999999999E-5</v>
      </c>
      <c r="D737" s="1303">
        <v>1.84E-5</v>
      </c>
      <c r="E737" s="1007">
        <v>63607</v>
      </c>
      <c r="F737" s="1270"/>
      <c r="G737" s="1200">
        <v>8032</v>
      </c>
      <c r="H737" s="1200">
        <v>8951</v>
      </c>
      <c r="I737" s="1200">
        <v>4734</v>
      </c>
      <c r="J737" s="1007">
        <v>8840</v>
      </c>
      <c r="K737" s="1007">
        <v>30557</v>
      </c>
      <c r="L737" s="1270"/>
      <c r="M737" s="1198">
        <v>0</v>
      </c>
      <c r="N737" s="1198">
        <v>0</v>
      </c>
      <c r="O737" s="1007">
        <v>0</v>
      </c>
      <c r="P737" s="1007">
        <v>0</v>
      </c>
      <c r="Q737" s="1270"/>
      <c r="R737" s="1200">
        <v>21874</v>
      </c>
      <c r="S737" s="1007">
        <v>4360</v>
      </c>
      <c r="T737" s="1306">
        <v>26234</v>
      </c>
    </row>
    <row r="738" spans="1:20" x14ac:dyDescent="0.25">
      <c r="A738" s="1203">
        <v>97921</v>
      </c>
      <c r="B738" s="1204" t="s">
        <v>3360</v>
      </c>
      <c r="C738" s="1303">
        <v>2.14E-4</v>
      </c>
      <c r="D738" s="1303">
        <v>2.073E-4</v>
      </c>
      <c r="E738" s="1007">
        <v>764713</v>
      </c>
      <c r="F738" s="1270"/>
      <c r="G738" s="1200">
        <v>96570</v>
      </c>
      <c r="H738" s="1200">
        <v>107613</v>
      </c>
      <c r="I738" s="1200">
        <v>56910</v>
      </c>
      <c r="J738" s="1007">
        <v>13148</v>
      </c>
      <c r="K738" s="1007">
        <v>274241</v>
      </c>
      <c r="L738" s="1270"/>
      <c r="M738" s="1198">
        <v>0</v>
      </c>
      <c r="N738" s="1198">
        <v>0</v>
      </c>
      <c r="O738" s="1007">
        <v>9935</v>
      </c>
      <c r="P738" s="1007">
        <v>9935</v>
      </c>
      <c r="Q738" s="1270"/>
      <c r="R738" s="1200">
        <v>262979</v>
      </c>
      <c r="S738" s="1007">
        <v>424</v>
      </c>
      <c r="T738" s="1306">
        <v>263403</v>
      </c>
    </row>
    <row r="739" spans="1:20" x14ac:dyDescent="0.25">
      <c r="A739" s="1203">
        <v>97931</v>
      </c>
      <c r="B739" s="1204" t="s">
        <v>3361</v>
      </c>
      <c r="C739" s="1303">
        <v>7.7700000000000005E-5</v>
      </c>
      <c r="D739" s="1303">
        <v>6.6699999999999995E-5</v>
      </c>
      <c r="E739" s="1007">
        <v>277655</v>
      </c>
      <c r="F739" s="1270"/>
      <c r="G739" s="1200">
        <v>35063</v>
      </c>
      <c r="H739" s="1200">
        <v>39072</v>
      </c>
      <c r="I739" s="1200">
        <v>20663</v>
      </c>
      <c r="J739" s="1007">
        <v>13943</v>
      </c>
      <c r="K739" s="1007">
        <v>108741</v>
      </c>
      <c r="L739" s="1270"/>
      <c r="M739" s="1198">
        <v>0</v>
      </c>
      <c r="N739" s="1198">
        <v>0</v>
      </c>
      <c r="O739" s="1007">
        <v>883</v>
      </c>
      <c r="P739" s="1007">
        <v>883</v>
      </c>
      <c r="Q739" s="1270"/>
      <c r="R739" s="1200">
        <v>95484</v>
      </c>
      <c r="S739" s="1007">
        <v>4509</v>
      </c>
      <c r="T739" s="1306">
        <v>99993</v>
      </c>
    </row>
    <row r="740" spans="1:20" x14ac:dyDescent="0.25">
      <c r="A740" s="1203">
        <v>97941</v>
      </c>
      <c r="B740" s="1204" t="s">
        <v>3362</v>
      </c>
      <c r="C740" s="1303">
        <v>2.195E-4</v>
      </c>
      <c r="D740" s="1303">
        <v>2.143E-4</v>
      </c>
      <c r="E740" s="1007">
        <v>784367</v>
      </c>
      <c r="F740" s="1270"/>
      <c r="G740" s="1200">
        <v>99052</v>
      </c>
      <c r="H740" s="1200">
        <v>110378</v>
      </c>
      <c r="I740" s="1200">
        <v>58372</v>
      </c>
      <c r="J740" s="1007">
        <v>31274</v>
      </c>
      <c r="K740" s="1007">
        <v>299076</v>
      </c>
      <c r="L740" s="1270"/>
      <c r="M740" s="1198">
        <v>0</v>
      </c>
      <c r="N740" s="1198">
        <v>0</v>
      </c>
      <c r="O740" s="1007">
        <v>2187</v>
      </c>
      <c r="P740" s="1007">
        <v>2187</v>
      </c>
      <c r="Q740" s="1270"/>
      <c r="R740" s="1200">
        <v>269738</v>
      </c>
      <c r="S740" s="1007">
        <v>9971</v>
      </c>
      <c r="T740" s="1306">
        <v>279709</v>
      </c>
    </row>
    <row r="741" spans="1:20" x14ac:dyDescent="0.25">
      <c r="A741" s="1203">
        <v>97947</v>
      </c>
      <c r="B741" s="1204" t="s">
        <v>3363</v>
      </c>
      <c r="C741" s="1303">
        <v>1.5E-5</v>
      </c>
      <c r="D741" s="1303">
        <v>1.52E-5</v>
      </c>
      <c r="E741" s="1007">
        <v>53601</v>
      </c>
      <c r="F741" s="1270"/>
      <c r="G741" s="1200">
        <v>6769</v>
      </c>
      <c r="H741" s="1200">
        <v>7543</v>
      </c>
      <c r="I741" s="1200">
        <v>3989</v>
      </c>
      <c r="J741" s="1007">
        <v>8745</v>
      </c>
      <c r="K741" s="1007">
        <v>27046</v>
      </c>
      <c r="L741" s="1270"/>
      <c r="M741" s="1198">
        <v>0</v>
      </c>
      <c r="N741" s="1198">
        <v>0</v>
      </c>
      <c r="O741" s="1007">
        <v>0</v>
      </c>
      <c r="P741" s="1007">
        <v>0</v>
      </c>
      <c r="Q741" s="1270"/>
      <c r="R741" s="1200">
        <v>18433</v>
      </c>
      <c r="S741" s="1007">
        <v>5226</v>
      </c>
      <c r="T741" s="1306">
        <v>23659</v>
      </c>
    </row>
    <row r="742" spans="1:20" x14ac:dyDescent="0.25">
      <c r="A742" s="1203">
        <v>97948</v>
      </c>
      <c r="B742" s="1204" t="s">
        <v>3364</v>
      </c>
      <c r="C742" s="1303">
        <v>2.65E-5</v>
      </c>
      <c r="D742" s="1303">
        <v>2.6100000000000001E-5</v>
      </c>
      <c r="E742" s="1007">
        <v>94696</v>
      </c>
      <c r="F742" s="1270"/>
      <c r="G742" s="1200">
        <v>11958</v>
      </c>
      <c r="H742" s="1200">
        <v>13326</v>
      </c>
      <c r="I742" s="1200">
        <v>7047</v>
      </c>
      <c r="J742" s="1007">
        <v>3141</v>
      </c>
      <c r="K742" s="1007">
        <v>35472</v>
      </c>
      <c r="L742" s="1270"/>
      <c r="M742" s="1198">
        <v>0</v>
      </c>
      <c r="N742" s="1198">
        <v>0</v>
      </c>
      <c r="O742" s="1007">
        <v>2057</v>
      </c>
      <c r="P742" s="1007">
        <v>2057</v>
      </c>
      <c r="Q742" s="1270"/>
      <c r="R742" s="1200">
        <v>32565</v>
      </c>
      <c r="S742" s="1007">
        <v>-1007</v>
      </c>
      <c r="T742" s="1306">
        <v>31558</v>
      </c>
    </row>
    <row r="743" spans="1:20" x14ac:dyDescent="0.25">
      <c r="A743" s="1203">
        <v>97951</v>
      </c>
      <c r="B743" s="1204" t="s">
        <v>3365</v>
      </c>
      <c r="C743" s="1303">
        <v>1.1284000000000001E-3</v>
      </c>
      <c r="D743" s="1303">
        <v>1.1746E-3</v>
      </c>
      <c r="E743" s="1007">
        <v>4032254</v>
      </c>
      <c r="F743" s="1270"/>
      <c r="G743" s="1200">
        <v>509203</v>
      </c>
      <c r="H743" s="1200">
        <v>567431</v>
      </c>
      <c r="I743" s="1200">
        <v>300079</v>
      </c>
      <c r="J743" s="1007">
        <v>33934</v>
      </c>
      <c r="K743" s="1007">
        <v>1410647</v>
      </c>
      <c r="L743" s="1270"/>
      <c r="M743" s="1198">
        <v>0</v>
      </c>
      <c r="N743" s="1198">
        <v>0</v>
      </c>
      <c r="O743" s="1007">
        <v>50</v>
      </c>
      <c r="P743" s="1007">
        <v>50</v>
      </c>
      <c r="Q743" s="1270"/>
      <c r="R743" s="1200">
        <v>1386663</v>
      </c>
      <c r="S743" s="1007">
        <v>15432</v>
      </c>
      <c r="T743" s="1306">
        <v>1402095</v>
      </c>
    </row>
    <row r="744" spans="1:20" x14ac:dyDescent="0.25">
      <c r="A744" s="1203">
        <v>97957</v>
      </c>
      <c r="B744" s="1204" t="s">
        <v>3366</v>
      </c>
      <c r="C744" s="1303">
        <v>1.3900000000000001E-5</v>
      </c>
      <c r="D744" s="1303">
        <v>1.49E-5</v>
      </c>
      <c r="E744" s="1007">
        <v>49671</v>
      </c>
      <c r="F744" s="1270"/>
      <c r="G744" s="1200">
        <v>6273</v>
      </c>
      <c r="H744" s="1200">
        <v>6990</v>
      </c>
      <c r="I744" s="1200">
        <v>3696</v>
      </c>
      <c r="J744" s="1007">
        <v>8438</v>
      </c>
      <c r="K744" s="1007">
        <v>25397</v>
      </c>
      <c r="L744" s="1270"/>
      <c r="M744" s="1198">
        <v>0</v>
      </c>
      <c r="N744" s="1198">
        <v>0</v>
      </c>
      <c r="O744" s="1007">
        <v>0</v>
      </c>
      <c r="P744" s="1007">
        <v>0</v>
      </c>
      <c r="Q744" s="1270"/>
      <c r="R744" s="1200">
        <v>17081</v>
      </c>
      <c r="S744" s="1007">
        <v>3996</v>
      </c>
      <c r="T744" s="1306">
        <v>21077</v>
      </c>
    </row>
    <row r="745" spans="1:20" x14ac:dyDescent="0.25">
      <c r="A745" s="1203">
        <v>98001</v>
      </c>
      <c r="B745" s="1204" t="s">
        <v>3367</v>
      </c>
      <c r="C745" s="1303">
        <v>5.3790000000000001E-3</v>
      </c>
      <c r="D745" s="1303">
        <v>5.3171E-3</v>
      </c>
      <c r="E745" s="1007">
        <v>19221458</v>
      </c>
      <c r="F745" s="1270"/>
      <c r="G745" s="1200">
        <v>2427333</v>
      </c>
      <c r="H745" s="1200">
        <v>2704906</v>
      </c>
      <c r="I745" s="1200">
        <v>1430454</v>
      </c>
      <c r="J745" s="1007">
        <v>256183</v>
      </c>
      <c r="K745" s="1007">
        <v>6818876</v>
      </c>
      <c r="L745" s="1270"/>
      <c r="M745" s="1198">
        <v>0</v>
      </c>
      <c r="N745" s="1198">
        <v>0</v>
      </c>
      <c r="O745" s="1007">
        <v>41090</v>
      </c>
      <c r="P745" s="1007">
        <v>41090</v>
      </c>
      <c r="Q745" s="1270"/>
      <c r="R745" s="1200">
        <v>6610119</v>
      </c>
      <c r="S745" s="1007">
        <v>106119</v>
      </c>
      <c r="T745" s="1306">
        <v>6716238</v>
      </c>
    </row>
    <row r="746" spans="1:20" x14ac:dyDescent="0.25">
      <c r="A746" s="1203">
        <v>98002</v>
      </c>
      <c r="B746" s="1204" t="s">
        <v>3368</v>
      </c>
      <c r="C746" s="1303">
        <v>5.5999999999999997E-6</v>
      </c>
      <c r="D746" s="1303">
        <v>6.1999999999999999E-6</v>
      </c>
      <c r="E746" s="1007">
        <v>20011</v>
      </c>
      <c r="F746" s="1270"/>
      <c r="G746" s="1200">
        <v>2527</v>
      </c>
      <c r="H746" s="1200">
        <v>2816</v>
      </c>
      <c r="I746" s="1200">
        <v>1489</v>
      </c>
      <c r="J746" s="1007">
        <v>2231</v>
      </c>
      <c r="K746" s="1007">
        <v>9063</v>
      </c>
      <c r="L746" s="1270"/>
      <c r="M746" s="1198">
        <v>0</v>
      </c>
      <c r="N746" s="1198">
        <v>0</v>
      </c>
      <c r="O746" s="1007">
        <v>0</v>
      </c>
      <c r="P746" s="1007">
        <v>0</v>
      </c>
      <c r="Q746" s="1270"/>
      <c r="R746" s="1200">
        <v>6882</v>
      </c>
      <c r="S746" s="1007">
        <v>1034</v>
      </c>
      <c r="T746" s="1306">
        <v>7916</v>
      </c>
    </row>
    <row r="747" spans="1:20" x14ac:dyDescent="0.25">
      <c r="A747" s="1203">
        <v>98003</v>
      </c>
      <c r="B747" s="1204" t="s">
        <v>3369</v>
      </c>
      <c r="C747" s="1303">
        <v>6.9999999999999994E-5</v>
      </c>
      <c r="D747" s="1303">
        <v>6.9499999999999995E-5</v>
      </c>
      <c r="E747" s="1007">
        <v>250140</v>
      </c>
      <c r="F747" s="1270"/>
      <c r="G747" s="1200">
        <v>31588</v>
      </c>
      <c r="H747" s="1200">
        <v>35201</v>
      </c>
      <c r="I747" s="1200">
        <v>18615</v>
      </c>
      <c r="J747" s="1007">
        <v>46560</v>
      </c>
      <c r="K747" s="1007">
        <v>131964</v>
      </c>
      <c r="L747" s="1270"/>
      <c r="M747" s="1198">
        <v>0</v>
      </c>
      <c r="N747" s="1198">
        <v>0</v>
      </c>
      <c r="O747" s="1007">
        <v>0</v>
      </c>
      <c r="P747" s="1007">
        <v>0</v>
      </c>
      <c r="Q747" s="1270"/>
      <c r="R747" s="1200">
        <v>86021</v>
      </c>
      <c r="S747" s="1007">
        <v>28407</v>
      </c>
      <c r="T747" s="1306">
        <v>114428</v>
      </c>
    </row>
    <row r="748" spans="1:20" x14ac:dyDescent="0.25">
      <c r="A748" s="1203">
        <v>98004</v>
      </c>
      <c r="B748" s="1204" t="s">
        <v>3370</v>
      </c>
      <c r="C748" s="1303">
        <v>1.3569999999999999E-4</v>
      </c>
      <c r="D748" s="1303">
        <v>1.2530000000000001E-4</v>
      </c>
      <c r="E748" s="1007">
        <v>484914</v>
      </c>
      <c r="F748" s="1270"/>
      <c r="G748" s="1200">
        <v>61236</v>
      </c>
      <c r="H748" s="1200">
        <v>68239</v>
      </c>
      <c r="I748" s="1200">
        <v>36087</v>
      </c>
      <c r="J748" s="1007">
        <v>83232</v>
      </c>
      <c r="K748" s="1007">
        <v>248794</v>
      </c>
      <c r="L748" s="1270"/>
      <c r="M748" s="1198">
        <v>0</v>
      </c>
      <c r="N748" s="1198">
        <v>0</v>
      </c>
      <c r="O748" s="1007">
        <v>0</v>
      </c>
      <c r="P748" s="1007">
        <v>0</v>
      </c>
      <c r="Q748" s="1270"/>
      <c r="R748" s="1200">
        <v>166758</v>
      </c>
      <c r="S748" s="1007">
        <v>35472</v>
      </c>
      <c r="T748" s="1306">
        <v>202230</v>
      </c>
    </row>
    <row r="749" spans="1:20" x14ac:dyDescent="0.25">
      <c r="A749" s="1203">
        <v>98008</v>
      </c>
      <c r="B749" s="1204" t="s">
        <v>3371</v>
      </c>
      <c r="C749" s="1303">
        <v>6.8000000000000001E-6</v>
      </c>
      <c r="D749" s="1303">
        <v>7.1999999999999997E-6</v>
      </c>
      <c r="E749" s="1007">
        <v>24299</v>
      </c>
      <c r="F749" s="1270"/>
      <c r="G749" s="1200">
        <v>3069</v>
      </c>
      <c r="H749" s="1200">
        <v>3420</v>
      </c>
      <c r="I749" s="1200">
        <v>1808</v>
      </c>
      <c r="J749" s="1007">
        <v>8</v>
      </c>
      <c r="K749" s="1007">
        <v>8305</v>
      </c>
      <c r="L749" s="1270"/>
      <c r="M749" s="1198">
        <v>0</v>
      </c>
      <c r="N749" s="1198">
        <v>0</v>
      </c>
      <c r="O749" s="1007">
        <v>952</v>
      </c>
      <c r="P749" s="1007">
        <v>952</v>
      </c>
      <c r="Q749" s="1270"/>
      <c r="R749" s="1200">
        <v>8356</v>
      </c>
      <c r="S749" s="1007">
        <v>-427</v>
      </c>
      <c r="T749" s="1306">
        <v>7929</v>
      </c>
    </row>
    <row r="750" spans="1:20" x14ac:dyDescent="0.25">
      <c r="A750" s="1203">
        <v>98011</v>
      </c>
      <c r="B750" s="1204" t="s">
        <v>3372</v>
      </c>
      <c r="C750" s="1303">
        <v>3.4218999999999999E-3</v>
      </c>
      <c r="D750" s="1303">
        <v>3.4512000000000002E-3</v>
      </c>
      <c r="E750" s="1007">
        <v>12227906</v>
      </c>
      <c r="F750" s="1270"/>
      <c r="G750" s="1200">
        <v>1544170</v>
      </c>
      <c r="H750" s="1200">
        <v>1720751</v>
      </c>
      <c r="I750" s="1200">
        <v>909996</v>
      </c>
      <c r="J750" s="1007">
        <v>66568</v>
      </c>
      <c r="K750" s="1007">
        <v>4241485</v>
      </c>
      <c r="L750" s="1270"/>
      <c r="M750" s="1198">
        <v>0</v>
      </c>
      <c r="N750" s="1198">
        <v>0</v>
      </c>
      <c r="O750" s="1007">
        <v>150118</v>
      </c>
      <c r="P750" s="1007">
        <v>150118</v>
      </c>
      <c r="Q750" s="1270"/>
      <c r="R750" s="1200">
        <v>4205087</v>
      </c>
      <c r="S750" s="1007">
        <v>-85934</v>
      </c>
      <c r="T750" s="1306">
        <v>4119153</v>
      </c>
    </row>
    <row r="751" spans="1:20" x14ac:dyDescent="0.25">
      <c r="A751" s="1203">
        <v>98013</v>
      </c>
      <c r="B751" s="1204" t="s">
        <v>3373</v>
      </c>
      <c r="C751" s="1303">
        <v>1.4520000000000001E-4</v>
      </c>
      <c r="D751" s="1303">
        <v>1.3990000000000001E-4</v>
      </c>
      <c r="E751" s="1007">
        <v>518861</v>
      </c>
      <c r="F751" s="1270"/>
      <c r="G751" s="1200">
        <v>65523</v>
      </c>
      <c r="H751" s="1200">
        <v>73016</v>
      </c>
      <c r="I751" s="1200">
        <v>38613</v>
      </c>
      <c r="J751" s="1007">
        <v>99128</v>
      </c>
      <c r="K751" s="1007">
        <v>276280</v>
      </c>
      <c r="L751" s="1270"/>
      <c r="M751" s="1198">
        <v>0</v>
      </c>
      <c r="N751" s="1198">
        <v>0</v>
      </c>
      <c r="O751" s="1007">
        <v>0</v>
      </c>
      <c r="P751" s="1007">
        <v>0</v>
      </c>
      <c r="Q751" s="1270"/>
      <c r="R751" s="1200">
        <v>178433</v>
      </c>
      <c r="S751" s="1007">
        <v>59422</v>
      </c>
      <c r="T751" s="1306">
        <v>237855</v>
      </c>
    </row>
    <row r="752" spans="1:20" x14ac:dyDescent="0.25">
      <c r="A752" s="1203">
        <v>98021</v>
      </c>
      <c r="B752" s="1204" t="s">
        <v>3374</v>
      </c>
      <c r="C752" s="1303">
        <v>4.0899999999999998E-5</v>
      </c>
      <c r="D752" s="1303">
        <v>4.2400000000000001E-5</v>
      </c>
      <c r="E752" s="1007">
        <v>146153</v>
      </c>
      <c r="F752" s="1270"/>
      <c r="G752" s="1200">
        <v>18457</v>
      </c>
      <c r="H752" s="1200">
        <v>20567</v>
      </c>
      <c r="I752" s="1200">
        <v>10877</v>
      </c>
      <c r="J752" s="1007">
        <v>13022</v>
      </c>
      <c r="K752" s="1007">
        <v>62923</v>
      </c>
      <c r="L752" s="1270"/>
      <c r="M752" s="1198">
        <v>0</v>
      </c>
      <c r="N752" s="1198">
        <v>0</v>
      </c>
      <c r="O752" s="1007">
        <v>14426</v>
      </c>
      <c r="P752" s="1007">
        <v>14426</v>
      </c>
      <c r="Q752" s="1270"/>
      <c r="R752" s="1200">
        <v>50261</v>
      </c>
      <c r="S752" s="1007">
        <v>-3394</v>
      </c>
      <c r="T752" s="1306">
        <v>46867</v>
      </c>
    </row>
    <row r="753" spans="1:20" x14ac:dyDescent="0.25">
      <c r="A753" s="1203">
        <v>98023</v>
      </c>
      <c r="B753" s="1204" t="s">
        <v>3375</v>
      </c>
      <c r="C753" s="1303">
        <v>1.1800000000000001E-5</v>
      </c>
      <c r="D753" s="1303">
        <v>8.8000000000000004E-6</v>
      </c>
      <c r="E753" s="1007">
        <v>42166</v>
      </c>
      <c r="F753" s="1270"/>
      <c r="G753" s="1200">
        <v>5325</v>
      </c>
      <c r="H753" s="1200">
        <v>5934</v>
      </c>
      <c r="I753" s="1200">
        <v>3138</v>
      </c>
      <c r="J753" s="1007">
        <v>3315</v>
      </c>
      <c r="K753" s="1007">
        <v>17712</v>
      </c>
      <c r="L753" s="1270"/>
      <c r="M753" s="1198">
        <v>0</v>
      </c>
      <c r="N753" s="1198">
        <v>0</v>
      </c>
      <c r="O753" s="1007">
        <v>6434</v>
      </c>
      <c r="P753" s="1007">
        <v>6434</v>
      </c>
      <c r="Q753" s="1270"/>
      <c r="R753" s="1200">
        <v>14501</v>
      </c>
      <c r="S753" s="1007">
        <v>-1689</v>
      </c>
      <c r="T753" s="1306">
        <v>12812</v>
      </c>
    </row>
    <row r="754" spans="1:20" x14ac:dyDescent="0.25">
      <c r="A754" s="1203">
        <v>98031</v>
      </c>
      <c r="B754" s="1204" t="s">
        <v>3376</v>
      </c>
      <c r="C754" s="1303">
        <v>1.3129999999999999E-4</v>
      </c>
      <c r="D754" s="1303">
        <v>1.5410000000000001E-4</v>
      </c>
      <c r="E754" s="1007">
        <v>469191</v>
      </c>
      <c r="F754" s="1270"/>
      <c r="G754" s="1200">
        <v>59251</v>
      </c>
      <c r="H754" s="1200">
        <v>66026</v>
      </c>
      <c r="I754" s="1200">
        <v>34917</v>
      </c>
      <c r="J754" s="1007">
        <v>2585</v>
      </c>
      <c r="K754" s="1007">
        <v>162779</v>
      </c>
      <c r="L754" s="1270"/>
      <c r="M754" s="1198">
        <v>0</v>
      </c>
      <c r="N754" s="1198">
        <v>0</v>
      </c>
      <c r="O754" s="1007">
        <v>44121</v>
      </c>
      <c r="P754" s="1007">
        <v>44121</v>
      </c>
      <c r="Q754" s="1270"/>
      <c r="R754" s="1200">
        <v>161351</v>
      </c>
      <c r="S754" s="1007">
        <v>-15239</v>
      </c>
      <c r="T754" s="1306">
        <v>146112</v>
      </c>
    </row>
    <row r="755" spans="1:20" x14ac:dyDescent="0.25">
      <c r="A755" s="1203">
        <v>98041</v>
      </c>
      <c r="B755" s="1204" t="s">
        <v>3377</v>
      </c>
      <c r="C755" s="1303">
        <v>2.1320000000000001E-4</v>
      </c>
      <c r="D755" s="1303">
        <v>2.3560000000000001E-4</v>
      </c>
      <c r="E755" s="1007">
        <v>761854</v>
      </c>
      <c r="F755" s="1270"/>
      <c r="G755" s="1200">
        <v>96209</v>
      </c>
      <c r="H755" s="1200">
        <v>107211</v>
      </c>
      <c r="I755" s="1200">
        <v>56697</v>
      </c>
      <c r="J755" s="1007">
        <v>8673</v>
      </c>
      <c r="K755" s="1007">
        <v>268790</v>
      </c>
      <c r="L755" s="1270"/>
      <c r="M755" s="1198">
        <v>0</v>
      </c>
      <c r="N755" s="1198">
        <v>0</v>
      </c>
      <c r="O755" s="1007">
        <v>31456</v>
      </c>
      <c r="P755" s="1007">
        <v>31456</v>
      </c>
      <c r="Q755" s="1270"/>
      <c r="R755" s="1200">
        <v>261996</v>
      </c>
      <c r="S755" s="1007">
        <v>-3038</v>
      </c>
      <c r="T755" s="1306">
        <v>258958</v>
      </c>
    </row>
    <row r="756" spans="1:20" x14ac:dyDescent="0.25">
      <c r="A756" s="1203">
        <v>98051</v>
      </c>
      <c r="B756" s="1204" t="s">
        <v>3378</v>
      </c>
      <c r="C756" s="1303">
        <v>2.4059999999999999E-4</v>
      </c>
      <c r="D756" s="1303">
        <v>2.9750000000000002E-4</v>
      </c>
      <c r="E756" s="1007">
        <v>859766</v>
      </c>
      <c r="F756" s="1270"/>
      <c r="G756" s="1200">
        <v>108573</v>
      </c>
      <c r="H756" s="1200">
        <v>120990</v>
      </c>
      <c r="I756" s="1200">
        <v>63983</v>
      </c>
      <c r="J756" s="1007">
        <v>13303</v>
      </c>
      <c r="K756" s="1007">
        <v>306849</v>
      </c>
      <c r="L756" s="1270"/>
      <c r="M756" s="1198">
        <v>0</v>
      </c>
      <c r="N756" s="1198">
        <v>0</v>
      </c>
      <c r="O756" s="1007">
        <v>74628</v>
      </c>
      <c r="P756" s="1007">
        <v>74628</v>
      </c>
      <c r="Q756" s="1270"/>
      <c r="R756" s="1200">
        <v>295667</v>
      </c>
      <c r="S756" s="1007">
        <v>-18060</v>
      </c>
      <c r="T756" s="1306">
        <v>277607</v>
      </c>
    </row>
    <row r="757" spans="1:20" x14ac:dyDescent="0.25">
      <c r="A757" s="1203">
        <v>98061</v>
      </c>
      <c r="B757" s="1204" t="s">
        <v>3379</v>
      </c>
      <c r="C757" s="1303">
        <v>1.2799999999999999E-4</v>
      </c>
      <c r="D757" s="1303">
        <v>1.208E-4</v>
      </c>
      <c r="E757" s="1007">
        <v>457399</v>
      </c>
      <c r="F757" s="1270"/>
      <c r="G757" s="1200">
        <v>57761</v>
      </c>
      <c r="H757" s="1200">
        <v>64366</v>
      </c>
      <c r="I757" s="1200">
        <v>34039</v>
      </c>
      <c r="J757" s="1007">
        <v>6704</v>
      </c>
      <c r="K757" s="1007">
        <v>162870</v>
      </c>
      <c r="L757" s="1270"/>
      <c r="M757" s="1198">
        <v>0</v>
      </c>
      <c r="N757" s="1198">
        <v>0</v>
      </c>
      <c r="O757" s="1007">
        <v>12055</v>
      </c>
      <c r="P757" s="1007">
        <v>12055</v>
      </c>
      <c r="Q757" s="1270"/>
      <c r="R757" s="1200">
        <v>157296</v>
      </c>
      <c r="S757" s="1007">
        <v>-4110</v>
      </c>
      <c r="T757" s="1306">
        <v>153186</v>
      </c>
    </row>
    <row r="758" spans="1:20" x14ac:dyDescent="0.25">
      <c r="A758" s="1203">
        <v>98071</v>
      </c>
      <c r="B758" s="1204" t="s">
        <v>3380</v>
      </c>
      <c r="C758" s="1303">
        <v>5.2899999999999998E-5</v>
      </c>
      <c r="D758" s="1303">
        <v>4.74E-5</v>
      </c>
      <c r="E758" s="1007">
        <v>189034</v>
      </c>
      <c r="F758" s="1270"/>
      <c r="G758" s="1200">
        <v>23872</v>
      </c>
      <c r="H758" s="1200">
        <v>26602</v>
      </c>
      <c r="I758" s="1200">
        <v>14068</v>
      </c>
      <c r="J758" s="1007">
        <v>36083</v>
      </c>
      <c r="K758" s="1007">
        <v>100625</v>
      </c>
      <c r="L758" s="1270"/>
      <c r="M758" s="1198">
        <v>0</v>
      </c>
      <c r="N758" s="1198">
        <v>0</v>
      </c>
      <c r="O758" s="1007">
        <v>0</v>
      </c>
      <c r="P758" s="1007">
        <v>0</v>
      </c>
      <c r="Q758" s="1270"/>
      <c r="R758" s="1200">
        <v>65007</v>
      </c>
      <c r="S758" s="1007">
        <v>16629</v>
      </c>
      <c r="T758" s="1306">
        <v>81636</v>
      </c>
    </row>
    <row r="759" spans="1:20" x14ac:dyDescent="0.25">
      <c r="A759" s="1203">
        <v>98081</v>
      </c>
      <c r="B759" s="1204" t="s">
        <v>3381</v>
      </c>
      <c r="C759" s="1303">
        <v>1.45E-5</v>
      </c>
      <c r="D759" s="1303">
        <v>1.5800000000000001E-5</v>
      </c>
      <c r="E759" s="1007">
        <v>51815</v>
      </c>
      <c r="F759" s="1270"/>
      <c r="G759" s="1200">
        <v>6543</v>
      </c>
      <c r="H759" s="1200">
        <v>7291</v>
      </c>
      <c r="I759" s="1200">
        <v>3856</v>
      </c>
      <c r="J759" s="1007">
        <v>0</v>
      </c>
      <c r="K759" s="1007">
        <v>17690</v>
      </c>
      <c r="L759" s="1270"/>
      <c r="M759" s="1198">
        <v>0</v>
      </c>
      <c r="N759" s="1198">
        <v>0</v>
      </c>
      <c r="O759" s="1007">
        <v>2836</v>
      </c>
      <c r="P759" s="1007">
        <v>2836</v>
      </c>
      <c r="Q759" s="1270"/>
      <c r="R759" s="1200">
        <v>17819</v>
      </c>
      <c r="S759" s="1007">
        <v>-1676</v>
      </c>
      <c r="T759" s="1306">
        <v>16143</v>
      </c>
    </row>
    <row r="760" spans="1:20" x14ac:dyDescent="0.25">
      <c r="A760" s="1203">
        <v>98091</v>
      </c>
      <c r="B760" s="1204" t="s">
        <v>3382</v>
      </c>
      <c r="C760" s="1303">
        <v>4.8099999999999997E-5</v>
      </c>
      <c r="D760" s="1303">
        <v>6.7000000000000002E-5</v>
      </c>
      <c r="E760" s="1007">
        <v>171882</v>
      </c>
      <c r="F760" s="1270"/>
      <c r="G760" s="1200">
        <v>21706</v>
      </c>
      <c r="H760" s="1200">
        <v>24188</v>
      </c>
      <c r="I760" s="1200">
        <v>12791</v>
      </c>
      <c r="J760" s="1007">
        <v>8098</v>
      </c>
      <c r="K760" s="1007">
        <v>66783</v>
      </c>
      <c r="L760" s="1270"/>
      <c r="M760" s="1198">
        <v>0</v>
      </c>
      <c r="N760" s="1198">
        <v>0</v>
      </c>
      <c r="O760" s="1007">
        <v>21848</v>
      </c>
      <c r="P760" s="1007">
        <v>21848</v>
      </c>
      <c r="Q760" s="1270"/>
      <c r="R760" s="1200">
        <v>59109</v>
      </c>
      <c r="S760" s="1007">
        <v>-4037</v>
      </c>
      <c r="T760" s="1306">
        <v>55072</v>
      </c>
    </row>
    <row r="761" spans="1:20" x14ac:dyDescent="0.25">
      <c r="A761" s="1203">
        <v>98101</v>
      </c>
      <c r="B761" s="1204" t="s">
        <v>3383</v>
      </c>
      <c r="C761" s="1303">
        <v>2.7560000000000002E-3</v>
      </c>
      <c r="D761" s="1303">
        <v>2.6901E-3</v>
      </c>
      <c r="E761" s="1007">
        <v>9848362</v>
      </c>
      <c r="F761" s="1270"/>
      <c r="G761" s="1200">
        <v>1243675</v>
      </c>
      <c r="H761" s="1200">
        <v>1385893</v>
      </c>
      <c r="I761" s="1200">
        <v>732911</v>
      </c>
      <c r="J761" s="1007">
        <v>131685</v>
      </c>
      <c r="K761" s="1007">
        <v>3494164</v>
      </c>
      <c r="L761" s="1270"/>
      <c r="M761" s="1198">
        <v>0</v>
      </c>
      <c r="N761" s="1198">
        <v>0</v>
      </c>
      <c r="O761" s="1007">
        <v>95570</v>
      </c>
      <c r="P761" s="1007">
        <v>95570</v>
      </c>
      <c r="Q761" s="1270"/>
      <c r="R761" s="1200">
        <v>3386780</v>
      </c>
      <c r="S761" s="1007">
        <v>-11045</v>
      </c>
      <c r="T761" s="1306">
        <v>3375735</v>
      </c>
    </row>
    <row r="762" spans="1:20" x14ac:dyDescent="0.25">
      <c r="A762" s="1203">
        <v>98102</v>
      </c>
      <c r="B762" s="1204" t="s">
        <v>3384</v>
      </c>
      <c r="C762" s="1303">
        <v>1.56E-4</v>
      </c>
      <c r="D762" s="1303">
        <v>1.573E-4</v>
      </c>
      <c r="E762" s="1007">
        <v>557454</v>
      </c>
      <c r="F762" s="1270"/>
      <c r="G762" s="1200">
        <v>70397</v>
      </c>
      <c r="H762" s="1200">
        <v>78446</v>
      </c>
      <c r="I762" s="1200">
        <v>41486</v>
      </c>
      <c r="J762" s="1007">
        <v>6598</v>
      </c>
      <c r="K762" s="1007">
        <v>196927</v>
      </c>
      <c r="L762" s="1270"/>
      <c r="M762" s="1198">
        <v>0</v>
      </c>
      <c r="N762" s="1198">
        <v>0</v>
      </c>
      <c r="O762" s="1007">
        <v>7519</v>
      </c>
      <c r="P762" s="1007">
        <v>7519</v>
      </c>
      <c r="Q762" s="1270"/>
      <c r="R762" s="1200">
        <v>191705</v>
      </c>
      <c r="S762" s="1007">
        <v>-2496</v>
      </c>
      <c r="T762" s="1306">
        <v>189209</v>
      </c>
    </row>
    <row r="763" spans="1:20" x14ac:dyDescent="0.25">
      <c r="A763" s="1203">
        <v>98103</v>
      </c>
      <c r="B763" s="1204" t="s">
        <v>3385</v>
      </c>
      <c r="C763" s="1303">
        <v>5.0699999999999996E-4</v>
      </c>
      <c r="D763" s="1303">
        <v>5.04E-4</v>
      </c>
      <c r="E763" s="1007">
        <v>1811727</v>
      </c>
      <c r="F763" s="1270"/>
      <c r="G763" s="1200">
        <v>228789</v>
      </c>
      <c r="H763" s="1200">
        <v>254952</v>
      </c>
      <c r="I763" s="1200">
        <v>134828</v>
      </c>
      <c r="J763" s="1007">
        <v>21982</v>
      </c>
      <c r="K763" s="1007">
        <v>640551</v>
      </c>
      <c r="L763" s="1270"/>
      <c r="M763" s="1198">
        <v>0</v>
      </c>
      <c r="N763" s="1198">
        <v>0</v>
      </c>
      <c r="O763" s="1007">
        <v>28162</v>
      </c>
      <c r="P763" s="1007">
        <v>28162</v>
      </c>
      <c r="Q763" s="1270"/>
      <c r="R763" s="1200">
        <v>623040</v>
      </c>
      <c r="S763" s="1007">
        <v>-5137</v>
      </c>
      <c r="T763" s="1306">
        <v>617903</v>
      </c>
    </row>
    <row r="764" spans="1:20" x14ac:dyDescent="0.25">
      <c r="A764" s="1203">
        <v>98107</v>
      </c>
      <c r="B764" s="1204" t="s">
        <v>3386</v>
      </c>
      <c r="C764" s="1303">
        <v>7.9000000000000006E-6</v>
      </c>
      <c r="D764" s="1303">
        <v>9.3999999999999998E-6</v>
      </c>
      <c r="E764" s="1007">
        <v>28230</v>
      </c>
      <c r="F764" s="1270"/>
      <c r="G764" s="1200">
        <v>3565</v>
      </c>
      <c r="H764" s="1200">
        <v>3973</v>
      </c>
      <c r="I764" s="1200">
        <v>2101</v>
      </c>
      <c r="J764" s="1007">
        <v>10109</v>
      </c>
      <c r="K764" s="1007">
        <v>19748</v>
      </c>
      <c r="L764" s="1270"/>
      <c r="M764" s="1198">
        <v>0</v>
      </c>
      <c r="N764" s="1198">
        <v>0</v>
      </c>
      <c r="O764" s="1007">
        <v>0</v>
      </c>
      <c r="P764" s="1007">
        <v>0</v>
      </c>
      <c r="Q764" s="1270"/>
      <c r="R764" s="1200">
        <v>9708</v>
      </c>
      <c r="S764" s="1007">
        <v>4861</v>
      </c>
      <c r="T764" s="1306">
        <v>14569</v>
      </c>
    </row>
    <row r="765" spans="1:20" x14ac:dyDescent="0.25">
      <c r="A765" s="1203">
        <v>98109</v>
      </c>
      <c r="B765" s="1204" t="s">
        <v>3387</v>
      </c>
      <c r="C765" s="1303">
        <v>1.4339999999999999E-4</v>
      </c>
      <c r="D765" s="1303">
        <v>1.595E-4</v>
      </c>
      <c r="E765" s="1007">
        <v>512429</v>
      </c>
      <c r="F765" s="1270"/>
      <c r="G765" s="1200">
        <v>64711</v>
      </c>
      <c r="H765" s="1200">
        <v>72111</v>
      </c>
      <c r="I765" s="1200">
        <v>38135</v>
      </c>
      <c r="J765" s="1007">
        <v>20483</v>
      </c>
      <c r="K765" s="1007">
        <v>195440</v>
      </c>
      <c r="L765" s="1270"/>
      <c r="M765" s="1198">
        <v>0</v>
      </c>
      <c r="N765" s="1198">
        <v>0</v>
      </c>
      <c r="O765" s="1007">
        <v>2179</v>
      </c>
      <c r="P765" s="1007">
        <v>2179</v>
      </c>
      <c r="Q765" s="1270"/>
      <c r="R765" s="1200">
        <v>176221</v>
      </c>
      <c r="S765" s="1007">
        <v>1656</v>
      </c>
      <c r="T765" s="1306">
        <v>177877</v>
      </c>
    </row>
    <row r="766" spans="1:20" s="1273" customFormat="1" x14ac:dyDescent="0.25">
      <c r="A766" s="1203">
        <v>98111</v>
      </c>
      <c r="B766" s="1204" t="s">
        <v>3388</v>
      </c>
      <c r="C766" s="1303">
        <v>9.8539999999999999E-4</v>
      </c>
      <c r="D766" s="1303">
        <v>1.0231999999999999E-3</v>
      </c>
      <c r="E766" s="1007">
        <v>3521254</v>
      </c>
      <c r="F766" s="1270"/>
      <c r="G766" s="1200">
        <v>444673</v>
      </c>
      <c r="H766" s="1200">
        <v>495523</v>
      </c>
      <c r="I766" s="1200">
        <v>262050</v>
      </c>
      <c r="J766" s="1007">
        <v>0</v>
      </c>
      <c r="K766" s="1007">
        <v>1202246</v>
      </c>
      <c r="L766" s="1270"/>
      <c r="M766" s="1198">
        <v>0</v>
      </c>
      <c r="N766" s="1198">
        <v>0</v>
      </c>
      <c r="O766" s="1007">
        <v>120575</v>
      </c>
      <c r="P766" s="1007">
        <v>120575</v>
      </c>
      <c r="Q766" s="1270"/>
      <c r="R766" s="1200">
        <v>1210933</v>
      </c>
      <c r="S766" s="1007">
        <v>-57653</v>
      </c>
      <c r="T766" s="1306">
        <v>1153280</v>
      </c>
    </row>
    <row r="767" spans="1:20" x14ac:dyDescent="0.25">
      <c r="A767" s="1203">
        <v>98113</v>
      </c>
      <c r="B767" s="1204" t="s">
        <v>3389</v>
      </c>
      <c r="C767" s="1303">
        <v>2.9099999999999999E-5</v>
      </c>
      <c r="D767" s="1303">
        <v>3.3899999999999997E-5</v>
      </c>
      <c r="E767" s="1007">
        <v>103987</v>
      </c>
      <c r="F767" s="1270"/>
      <c r="G767" s="1200">
        <v>13132</v>
      </c>
      <c r="H767" s="1200">
        <v>14633</v>
      </c>
      <c r="I767" s="1200">
        <v>7739</v>
      </c>
      <c r="J767" s="1007">
        <v>6358</v>
      </c>
      <c r="K767" s="1007">
        <v>41862</v>
      </c>
      <c r="L767" s="1270"/>
      <c r="M767" s="1198">
        <v>0</v>
      </c>
      <c r="N767" s="1198">
        <v>0</v>
      </c>
      <c r="O767" s="1007">
        <v>208</v>
      </c>
      <c r="P767" s="1007">
        <v>208</v>
      </c>
      <c r="Q767" s="1270"/>
      <c r="R767" s="1200">
        <v>35760</v>
      </c>
      <c r="S767" s="1007">
        <v>3546</v>
      </c>
      <c r="T767" s="1306">
        <v>39306</v>
      </c>
    </row>
    <row r="768" spans="1:20" x14ac:dyDescent="0.25">
      <c r="A768" s="1203">
        <v>98121</v>
      </c>
      <c r="B768" s="1204" t="s">
        <v>3390</v>
      </c>
      <c r="C768" s="1303">
        <v>2.0430000000000001E-4</v>
      </c>
      <c r="D768" s="1303">
        <v>2.1259999999999999E-4</v>
      </c>
      <c r="E768" s="1007">
        <v>730051</v>
      </c>
      <c r="F768" s="1270"/>
      <c r="G768" s="1200">
        <v>92193</v>
      </c>
      <c r="H768" s="1200">
        <v>102735</v>
      </c>
      <c r="I768" s="1200">
        <v>54330</v>
      </c>
      <c r="J768" s="1007">
        <v>2610</v>
      </c>
      <c r="K768" s="1007">
        <v>251868</v>
      </c>
      <c r="L768" s="1270"/>
      <c r="M768" s="1198">
        <v>0</v>
      </c>
      <c r="N768" s="1198">
        <v>0</v>
      </c>
      <c r="O768" s="1007">
        <v>19958</v>
      </c>
      <c r="P768" s="1007">
        <v>19958</v>
      </c>
      <c r="Q768" s="1270"/>
      <c r="R768" s="1200">
        <v>251059</v>
      </c>
      <c r="S768" s="1007">
        <v>-8719</v>
      </c>
      <c r="T768" s="1306">
        <v>242340</v>
      </c>
    </row>
    <row r="769" spans="1:20" x14ac:dyDescent="0.25">
      <c r="A769" s="1203">
        <v>98131</v>
      </c>
      <c r="B769" s="1204" t="s">
        <v>3391</v>
      </c>
      <c r="C769" s="1303">
        <v>2.5710000000000002E-4</v>
      </c>
      <c r="D769" s="1303">
        <v>2.519E-4</v>
      </c>
      <c r="E769" s="1007">
        <v>918728</v>
      </c>
      <c r="F769" s="1270"/>
      <c r="G769" s="1200">
        <v>116019</v>
      </c>
      <c r="H769" s="1200">
        <v>129286</v>
      </c>
      <c r="I769" s="1200">
        <v>68371</v>
      </c>
      <c r="J769" s="1007">
        <v>29228</v>
      </c>
      <c r="K769" s="1007">
        <v>342904</v>
      </c>
      <c r="L769" s="1270"/>
      <c r="M769" s="1198">
        <v>0</v>
      </c>
      <c r="N769" s="1198">
        <v>0</v>
      </c>
      <c r="O769" s="1007">
        <v>11913</v>
      </c>
      <c r="P769" s="1007">
        <v>11913</v>
      </c>
      <c r="Q769" s="1270"/>
      <c r="R769" s="1200">
        <v>315944</v>
      </c>
      <c r="S769" s="1007">
        <v>-2412</v>
      </c>
      <c r="T769" s="1306">
        <v>313532</v>
      </c>
    </row>
    <row r="770" spans="1:20" x14ac:dyDescent="0.25">
      <c r="A770" s="1203">
        <v>98141</v>
      </c>
      <c r="B770" s="1204" t="s">
        <v>3392</v>
      </c>
      <c r="C770" s="1303">
        <v>2.8600000000000001E-4</v>
      </c>
      <c r="D770" s="1303">
        <v>2.8699999999999998E-4</v>
      </c>
      <c r="E770" s="1007">
        <v>1022000</v>
      </c>
      <c r="F770" s="1270"/>
      <c r="G770" s="1200">
        <v>129061</v>
      </c>
      <c r="H770" s="1200">
        <v>143819</v>
      </c>
      <c r="I770" s="1200">
        <v>76057</v>
      </c>
      <c r="J770" s="1007">
        <v>1067</v>
      </c>
      <c r="K770" s="1007">
        <v>350004</v>
      </c>
      <c r="L770" s="1270"/>
      <c r="M770" s="1198">
        <v>0</v>
      </c>
      <c r="N770" s="1198">
        <v>0</v>
      </c>
      <c r="O770" s="1007">
        <v>21946</v>
      </c>
      <c r="P770" s="1007">
        <v>21946</v>
      </c>
      <c r="Q770" s="1270"/>
      <c r="R770" s="1200">
        <v>351458</v>
      </c>
      <c r="S770" s="1007">
        <v>-11457</v>
      </c>
      <c r="T770" s="1306">
        <v>340001</v>
      </c>
    </row>
    <row r="771" spans="1:20" x14ac:dyDescent="0.25">
      <c r="A771" s="1203">
        <v>98147</v>
      </c>
      <c r="B771" s="1204" t="s">
        <v>3393</v>
      </c>
      <c r="C771" s="1303">
        <v>1.03E-5</v>
      </c>
      <c r="D771" s="1303">
        <v>1.0699999999999999E-5</v>
      </c>
      <c r="E771" s="1007">
        <v>36806</v>
      </c>
      <c r="F771" s="1270"/>
      <c r="G771" s="1200">
        <v>4648</v>
      </c>
      <c r="H771" s="1200">
        <v>5180</v>
      </c>
      <c r="I771" s="1200">
        <v>2739</v>
      </c>
      <c r="J771" s="1007">
        <v>9401</v>
      </c>
      <c r="K771" s="1007">
        <v>21968</v>
      </c>
      <c r="L771" s="1270"/>
      <c r="M771" s="1198">
        <v>0</v>
      </c>
      <c r="N771" s="1198">
        <v>0</v>
      </c>
      <c r="O771" s="1007">
        <v>0</v>
      </c>
      <c r="P771" s="1007">
        <v>0</v>
      </c>
      <c r="Q771" s="1270"/>
      <c r="R771" s="1200">
        <v>12657</v>
      </c>
      <c r="S771" s="1007">
        <v>4856</v>
      </c>
      <c r="T771" s="1306">
        <v>17513</v>
      </c>
    </row>
    <row r="772" spans="1:20" x14ac:dyDescent="0.25">
      <c r="A772" s="1203">
        <v>98161</v>
      </c>
      <c r="B772" s="1204" t="s">
        <v>3394</v>
      </c>
      <c r="C772" s="1303">
        <v>5.6999999999999996E-6</v>
      </c>
      <c r="D772" s="1303">
        <v>6.1999999999999999E-6</v>
      </c>
      <c r="E772" s="1007">
        <v>20369</v>
      </c>
      <c r="F772" s="1270"/>
      <c r="G772" s="1200">
        <v>2572</v>
      </c>
      <c r="H772" s="1200">
        <v>2866</v>
      </c>
      <c r="I772" s="1200">
        <v>1516</v>
      </c>
      <c r="J772" s="1007">
        <v>3821</v>
      </c>
      <c r="K772" s="1007">
        <v>10775</v>
      </c>
      <c r="L772" s="1270"/>
      <c r="M772" s="1198">
        <v>0</v>
      </c>
      <c r="N772" s="1198">
        <v>0</v>
      </c>
      <c r="O772" s="1007">
        <v>0</v>
      </c>
      <c r="P772" s="1007">
        <v>0</v>
      </c>
      <c r="Q772" s="1270"/>
      <c r="R772" s="1200">
        <v>7005</v>
      </c>
      <c r="S772" s="1007">
        <v>1814</v>
      </c>
      <c r="T772" s="1306">
        <v>8819</v>
      </c>
    </row>
    <row r="773" spans="1:20" x14ac:dyDescent="0.25">
      <c r="A773" s="1203">
        <v>98201</v>
      </c>
      <c r="B773" s="1204" t="s">
        <v>3395</v>
      </c>
      <c r="C773" s="1303">
        <v>3.1876000000000001E-3</v>
      </c>
      <c r="D773" s="1303">
        <v>3.3482999999999998E-3</v>
      </c>
      <c r="E773" s="1007">
        <v>11390653</v>
      </c>
      <c r="F773" s="1270"/>
      <c r="G773" s="1200">
        <v>1438440</v>
      </c>
      <c r="H773" s="1200">
        <v>1602929</v>
      </c>
      <c r="I773" s="1200">
        <v>847688</v>
      </c>
      <c r="J773" s="1007">
        <v>89568</v>
      </c>
      <c r="K773" s="1007">
        <v>3978625</v>
      </c>
      <c r="L773" s="1270"/>
      <c r="M773" s="1198">
        <v>0</v>
      </c>
      <c r="N773" s="1198">
        <v>0</v>
      </c>
      <c r="O773" s="1007">
        <v>255454</v>
      </c>
      <c r="P773" s="1007">
        <v>255454</v>
      </c>
      <c r="Q773" s="1270"/>
      <c r="R773" s="1200">
        <v>3917162</v>
      </c>
      <c r="S773" s="1007">
        <v>-51353</v>
      </c>
      <c r="T773" s="1306">
        <v>3865809</v>
      </c>
    </row>
    <row r="774" spans="1:20" x14ac:dyDescent="0.25">
      <c r="A774" s="1203">
        <v>98205</v>
      </c>
      <c r="B774" s="1204" t="s">
        <v>3396</v>
      </c>
      <c r="C774" s="1303">
        <v>2.62E-5</v>
      </c>
      <c r="D774" s="1303">
        <v>4.0899999999999998E-5</v>
      </c>
      <c r="E774" s="1007">
        <v>93624</v>
      </c>
      <c r="F774" s="1270"/>
      <c r="G774" s="1200">
        <v>11823</v>
      </c>
      <c r="H774" s="1200">
        <v>13175</v>
      </c>
      <c r="I774" s="1200">
        <v>6967</v>
      </c>
      <c r="J774" s="1007">
        <v>2716</v>
      </c>
      <c r="K774" s="1007">
        <v>34681</v>
      </c>
      <c r="L774" s="1270"/>
      <c r="M774" s="1198">
        <v>0</v>
      </c>
      <c r="N774" s="1198">
        <v>0</v>
      </c>
      <c r="O774" s="1007">
        <v>18133</v>
      </c>
      <c r="P774" s="1007">
        <v>18133</v>
      </c>
      <c r="Q774" s="1270"/>
      <c r="R774" s="1200">
        <v>32197</v>
      </c>
      <c r="S774" s="1007">
        <v>-5204</v>
      </c>
      <c r="T774" s="1306">
        <v>26993</v>
      </c>
    </row>
    <row r="775" spans="1:20" x14ac:dyDescent="0.25">
      <c r="A775" s="1203">
        <v>98211</v>
      </c>
      <c r="B775" s="1204" t="s">
        <v>3397</v>
      </c>
      <c r="C775" s="1303">
        <v>8.8690000000000004E-4</v>
      </c>
      <c r="D775" s="1303">
        <v>9.0399999999999996E-4</v>
      </c>
      <c r="E775" s="1007">
        <v>3169272</v>
      </c>
      <c r="F775" s="1270"/>
      <c r="G775" s="1200">
        <v>400223</v>
      </c>
      <c r="H775" s="1200">
        <v>445990</v>
      </c>
      <c r="I775" s="1200">
        <v>235856</v>
      </c>
      <c r="J775" s="1007">
        <v>18915</v>
      </c>
      <c r="K775" s="1007">
        <v>1100984</v>
      </c>
      <c r="L775" s="1270"/>
      <c r="M775" s="1198">
        <v>0</v>
      </c>
      <c r="N775" s="1198">
        <v>0</v>
      </c>
      <c r="O775" s="1007">
        <v>83993</v>
      </c>
      <c r="P775" s="1007">
        <v>83993</v>
      </c>
      <c r="Q775" s="1270"/>
      <c r="R775" s="1200">
        <v>1089889</v>
      </c>
      <c r="S775" s="1007">
        <v>-48155</v>
      </c>
      <c r="T775" s="1306">
        <v>1041734</v>
      </c>
    </row>
    <row r="776" spans="1:20" x14ac:dyDescent="0.25">
      <c r="A776" s="1203">
        <v>98218</v>
      </c>
      <c r="B776" s="1204" t="s">
        <v>3398</v>
      </c>
      <c r="C776" s="1303">
        <v>1.77E-5</v>
      </c>
      <c r="D776" s="1303">
        <v>1.8099999999999999E-5</v>
      </c>
      <c r="E776" s="1007">
        <v>63250</v>
      </c>
      <c r="F776" s="1270"/>
      <c r="G776" s="1200">
        <v>7987</v>
      </c>
      <c r="H776" s="1200">
        <v>8900</v>
      </c>
      <c r="I776" s="1200">
        <v>4707</v>
      </c>
      <c r="J776" s="1007">
        <v>3276</v>
      </c>
      <c r="K776" s="1007">
        <v>24870</v>
      </c>
      <c r="L776" s="1270"/>
      <c r="M776" s="1198">
        <v>0</v>
      </c>
      <c r="N776" s="1198">
        <v>0</v>
      </c>
      <c r="O776" s="1007">
        <v>402</v>
      </c>
      <c r="P776" s="1007">
        <v>402</v>
      </c>
      <c r="Q776" s="1270"/>
      <c r="R776" s="1200">
        <v>21751</v>
      </c>
      <c r="S776" s="1007">
        <v>1426</v>
      </c>
      <c r="T776" s="1306">
        <v>23177</v>
      </c>
    </row>
    <row r="777" spans="1:20" x14ac:dyDescent="0.25">
      <c r="A777" s="1203">
        <v>98221</v>
      </c>
      <c r="B777" s="1204" t="s">
        <v>3399</v>
      </c>
      <c r="C777" s="1303">
        <v>2.51E-5</v>
      </c>
      <c r="D777" s="1303">
        <v>2.72E-5</v>
      </c>
      <c r="E777" s="1007">
        <v>89693</v>
      </c>
      <c r="F777" s="1270"/>
      <c r="G777" s="1200">
        <v>11327</v>
      </c>
      <c r="H777" s="1200">
        <v>12622</v>
      </c>
      <c r="I777" s="1200">
        <v>6675</v>
      </c>
      <c r="J777" s="1007">
        <v>5674</v>
      </c>
      <c r="K777" s="1007">
        <v>36298</v>
      </c>
      <c r="L777" s="1270"/>
      <c r="M777" s="1198">
        <v>0</v>
      </c>
      <c r="N777" s="1198">
        <v>0</v>
      </c>
      <c r="O777" s="1007">
        <v>4945</v>
      </c>
      <c r="P777" s="1007">
        <v>4945</v>
      </c>
      <c r="Q777" s="1270"/>
      <c r="R777" s="1200">
        <v>30845</v>
      </c>
      <c r="S777" s="1007">
        <v>1301</v>
      </c>
      <c r="T777" s="1306">
        <v>32146</v>
      </c>
    </row>
    <row r="778" spans="1:20" x14ac:dyDescent="0.25">
      <c r="A778" s="1203">
        <v>98231</v>
      </c>
      <c r="B778" s="1204" t="s">
        <v>3400</v>
      </c>
      <c r="C778" s="1303">
        <v>2.9200000000000002E-5</v>
      </c>
      <c r="D778" s="1303">
        <v>3.1699999999999998E-5</v>
      </c>
      <c r="E778" s="1007">
        <v>104344</v>
      </c>
      <c r="F778" s="1270"/>
      <c r="G778" s="1200">
        <v>13177</v>
      </c>
      <c r="H778" s="1200">
        <v>14684</v>
      </c>
      <c r="I778" s="1200">
        <v>7765</v>
      </c>
      <c r="J778" s="1007">
        <v>4113</v>
      </c>
      <c r="K778" s="1007">
        <v>39739</v>
      </c>
      <c r="L778" s="1270"/>
      <c r="M778" s="1198">
        <v>0</v>
      </c>
      <c r="N778" s="1198">
        <v>0</v>
      </c>
      <c r="O778" s="1007">
        <v>3530</v>
      </c>
      <c r="P778" s="1007">
        <v>3530</v>
      </c>
      <c r="Q778" s="1270"/>
      <c r="R778" s="1200">
        <v>35883</v>
      </c>
      <c r="S778" s="1007">
        <v>-632</v>
      </c>
      <c r="T778" s="1306">
        <v>35251</v>
      </c>
    </row>
    <row r="779" spans="1:20" x14ac:dyDescent="0.25">
      <c r="A779" s="1203">
        <v>98237</v>
      </c>
      <c r="B779" s="1204" t="s">
        <v>3401</v>
      </c>
      <c r="C779" s="1303">
        <v>6.2999999999999998E-6</v>
      </c>
      <c r="D779" s="1303">
        <v>6.7000000000000002E-6</v>
      </c>
      <c r="E779" s="1007">
        <v>22513</v>
      </c>
      <c r="F779" s="1270"/>
      <c r="G779" s="1200">
        <v>2843</v>
      </c>
      <c r="H779" s="1200">
        <v>3168</v>
      </c>
      <c r="I779" s="1200">
        <v>1675</v>
      </c>
      <c r="J779" s="1007">
        <v>2106</v>
      </c>
      <c r="K779" s="1007">
        <v>9792</v>
      </c>
      <c r="L779" s="1270"/>
      <c r="M779" s="1198">
        <v>0</v>
      </c>
      <c r="N779" s="1198">
        <v>0</v>
      </c>
      <c r="O779" s="1007">
        <v>119</v>
      </c>
      <c r="P779" s="1007">
        <v>119</v>
      </c>
      <c r="Q779" s="1270"/>
      <c r="R779" s="1200">
        <v>7742</v>
      </c>
      <c r="S779" s="1007">
        <v>1567</v>
      </c>
      <c r="T779" s="1306">
        <v>9309</v>
      </c>
    </row>
    <row r="780" spans="1:20" x14ac:dyDescent="0.25">
      <c r="A780" s="1203">
        <v>98241</v>
      </c>
      <c r="B780" s="1204" t="s">
        <v>3402</v>
      </c>
      <c r="C780" s="1303">
        <v>9.0999999999999993E-6</v>
      </c>
      <c r="D780" s="1303">
        <v>1.7799999999999999E-5</v>
      </c>
      <c r="E780" s="1007">
        <v>32518</v>
      </c>
      <c r="F780" s="1270"/>
      <c r="G780" s="1200">
        <v>4106</v>
      </c>
      <c r="H780" s="1200">
        <v>4576</v>
      </c>
      <c r="I780" s="1200">
        <v>2420</v>
      </c>
      <c r="J780" s="1007">
        <v>4727</v>
      </c>
      <c r="K780" s="1007">
        <v>15829</v>
      </c>
      <c r="L780" s="1270"/>
      <c r="M780" s="1198">
        <v>0</v>
      </c>
      <c r="N780" s="1198">
        <v>0</v>
      </c>
      <c r="O780" s="1007">
        <v>11297</v>
      </c>
      <c r="P780" s="1007">
        <v>11297</v>
      </c>
      <c r="Q780" s="1270"/>
      <c r="R780" s="1200">
        <v>11183</v>
      </c>
      <c r="S780" s="1007">
        <v>-1508</v>
      </c>
      <c r="T780" s="1306">
        <v>9675</v>
      </c>
    </row>
    <row r="781" spans="1:20" x14ac:dyDescent="0.25">
      <c r="A781" s="1203">
        <v>98251</v>
      </c>
      <c r="B781" s="1204" t="s">
        <v>3403</v>
      </c>
      <c r="C781" s="1303">
        <v>2.3E-6</v>
      </c>
      <c r="D781" s="1303">
        <v>2.5000000000000002E-6</v>
      </c>
      <c r="E781" s="1007">
        <v>8219</v>
      </c>
      <c r="F781" s="1270"/>
      <c r="G781" s="1200">
        <v>1038</v>
      </c>
      <c r="H781" s="1200">
        <v>1156</v>
      </c>
      <c r="I781" s="1200">
        <v>612</v>
      </c>
      <c r="J781" s="1007">
        <v>2307</v>
      </c>
      <c r="K781" s="1007">
        <v>5113</v>
      </c>
      <c r="L781" s="1270"/>
      <c r="M781" s="1198">
        <v>0</v>
      </c>
      <c r="N781" s="1198">
        <v>0</v>
      </c>
      <c r="O781" s="1007">
        <v>0</v>
      </c>
      <c r="P781" s="1007">
        <v>0</v>
      </c>
      <c r="Q781" s="1270"/>
      <c r="R781" s="1200">
        <v>2826</v>
      </c>
      <c r="S781" s="1007">
        <v>1025</v>
      </c>
      <c r="T781" s="1306">
        <v>3851</v>
      </c>
    </row>
    <row r="782" spans="1:20" x14ac:dyDescent="0.25">
      <c r="A782" s="1203">
        <v>98261</v>
      </c>
      <c r="B782" s="1204" t="s">
        <v>3404</v>
      </c>
      <c r="C782" s="1303">
        <v>3.54E-5</v>
      </c>
      <c r="D782" s="1303">
        <v>3.3699999999999999E-5</v>
      </c>
      <c r="E782" s="1007">
        <v>126499</v>
      </c>
      <c r="F782" s="1270"/>
      <c r="G782" s="1200">
        <v>15975</v>
      </c>
      <c r="H782" s="1200">
        <v>17802</v>
      </c>
      <c r="I782" s="1200">
        <v>9414</v>
      </c>
      <c r="J782" s="1007">
        <v>5954</v>
      </c>
      <c r="K782" s="1007">
        <v>49145</v>
      </c>
      <c r="L782" s="1270"/>
      <c r="M782" s="1198">
        <v>0</v>
      </c>
      <c r="N782" s="1198">
        <v>0</v>
      </c>
      <c r="O782" s="1007">
        <v>0</v>
      </c>
      <c r="P782" s="1007">
        <v>0</v>
      </c>
      <c r="Q782" s="1270"/>
      <c r="R782" s="1200">
        <v>43502</v>
      </c>
      <c r="S782" s="1007">
        <v>1319</v>
      </c>
      <c r="T782" s="1306">
        <v>44821</v>
      </c>
    </row>
    <row r="783" spans="1:20" x14ac:dyDescent="0.25">
      <c r="A783" s="1203">
        <v>98271</v>
      </c>
      <c r="B783" s="1204" t="s">
        <v>3405</v>
      </c>
      <c r="C783" s="1303">
        <v>6.9E-6</v>
      </c>
      <c r="D783" s="1303">
        <v>5.2000000000000002E-6</v>
      </c>
      <c r="E783" s="1007">
        <v>24657</v>
      </c>
      <c r="F783" s="1270"/>
      <c r="G783" s="1200">
        <v>3114</v>
      </c>
      <c r="H783" s="1200">
        <v>3470</v>
      </c>
      <c r="I783" s="1200">
        <v>1835</v>
      </c>
      <c r="J783" s="1007">
        <v>3723</v>
      </c>
      <c r="K783" s="1007">
        <v>12142</v>
      </c>
      <c r="L783" s="1270"/>
      <c r="M783" s="1198">
        <v>0</v>
      </c>
      <c r="N783" s="1198">
        <v>0</v>
      </c>
      <c r="O783" s="1007">
        <v>0</v>
      </c>
      <c r="P783" s="1007">
        <v>0</v>
      </c>
      <c r="Q783" s="1270"/>
      <c r="R783" s="1200">
        <v>8479</v>
      </c>
      <c r="S783" s="1007">
        <v>1802</v>
      </c>
      <c r="T783" s="1306">
        <v>10281</v>
      </c>
    </row>
    <row r="784" spans="1:20" x14ac:dyDescent="0.25">
      <c r="A784" s="1203">
        <v>98301</v>
      </c>
      <c r="B784" s="1204" t="s">
        <v>3406</v>
      </c>
      <c r="C784" s="1303">
        <v>1.8286999999999999E-3</v>
      </c>
      <c r="D784" s="1303">
        <v>1.7742000000000001E-3</v>
      </c>
      <c r="E784" s="1007">
        <v>6534724</v>
      </c>
      <c r="F784" s="1270"/>
      <c r="G784" s="1200">
        <v>825221</v>
      </c>
      <c r="H784" s="1200">
        <v>919588</v>
      </c>
      <c r="I784" s="1200">
        <v>486312</v>
      </c>
      <c r="J784" s="1007">
        <v>153816</v>
      </c>
      <c r="K784" s="1007">
        <v>2384937</v>
      </c>
      <c r="L784" s="1270"/>
      <c r="M784" s="1198">
        <v>0</v>
      </c>
      <c r="N784" s="1198">
        <v>0</v>
      </c>
      <c r="O784" s="1007">
        <v>0</v>
      </c>
      <c r="P784" s="1007">
        <v>0</v>
      </c>
      <c r="Q784" s="1270"/>
      <c r="R784" s="1200">
        <v>2247244</v>
      </c>
      <c r="S784" s="1007">
        <v>58383</v>
      </c>
      <c r="T784" s="1306">
        <v>2305627</v>
      </c>
    </row>
    <row r="785" spans="1:20" x14ac:dyDescent="0.25">
      <c r="A785" s="1203">
        <v>98304</v>
      </c>
      <c r="B785" s="1204" t="s">
        <v>3407</v>
      </c>
      <c r="C785" s="1303">
        <v>2.02E-5</v>
      </c>
      <c r="D785" s="1303">
        <v>2.0699999999999998E-5</v>
      </c>
      <c r="E785" s="1007">
        <v>72183</v>
      </c>
      <c r="F785" s="1270"/>
      <c r="G785" s="1200">
        <v>9115</v>
      </c>
      <c r="H785" s="1200">
        <v>10158</v>
      </c>
      <c r="I785" s="1200">
        <v>5372</v>
      </c>
      <c r="J785" s="1007">
        <v>7943</v>
      </c>
      <c r="K785" s="1007">
        <v>32588</v>
      </c>
      <c r="L785" s="1270"/>
      <c r="M785" s="1198">
        <v>0</v>
      </c>
      <c r="N785" s="1198">
        <v>0</v>
      </c>
      <c r="O785" s="1007">
        <v>0</v>
      </c>
      <c r="P785" s="1007">
        <v>0</v>
      </c>
      <c r="Q785" s="1270"/>
      <c r="R785" s="1200">
        <v>24823</v>
      </c>
      <c r="S785" s="1007">
        <v>3206</v>
      </c>
      <c r="T785" s="1306">
        <v>28029</v>
      </c>
    </row>
    <row r="786" spans="1:20" x14ac:dyDescent="0.25">
      <c r="A786" s="1203">
        <v>98308</v>
      </c>
      <c r="B786" s="1204" t="s">
        <v>3408</v>
      </c>
      <c r="C786" s="1303">
        <v>1.56E-5</v>
      </c>
      <c r="D786" s="1303">
        <v>1.6099999999999998E-5</v>
      </c>
      <c r="E786" s="1007">
        <v>55745</v>
      </c>
      <c r="F786" s="1270"/>
      <c r="G786" s="1200">
        <v>7040</v>
      </c>
      <c r="H786" s="1200">
        <v>7845</v>
      </c>
      <c r="I786" s="1200">
        <v>4149</v>
      </c>
      <c r="J786" s="1007">
        <v>10741</v>
      </c>
      <c r="K786" s="1007">
        <v>29775</v>
      </c>
      <c r="L786" s="1270"/>
      <c r="M786" s="1198">
        <v>0</v>
      </c>
      <c r="N786" s="1198">
        <v>0</v>
      </c>
      <c r="O786" s="1007">
        <v>0</v>
      </c>
      <c r="P786" s="1007">
        <v>0</v>
      </c>
      <c r="Q786" s="1270"/>
      <c r="R786" s="1200">
        <v>19170</v>
      </c>
      <c r="S786" s="1007">
        <v>4928</v>
      </c>
      <c r="T786" s="1306">
        <v>24098</v>
      </c>
    </row>
    <row r="787" spans="1:20" x14ac:dyDescent="0.25">
      <c r="A787" s="1203">
        <v>98311</v>
      </c>
      <c r="B787" s="1204" t="s">
        <v>3409</v>
      </c>
      <c r="C787" s="1303">
        <v>1.036E-3</v>
      </c>
      <c r="D787" s="1303">
        <v>1.1073999999999999E-3</v>
      </c>
      <c r="E787" s="1007">
        <v>3702069</v>
      </c>
      <c r="F787" s="1270"/>
      <c r="G787" s="1200">
        <v>467506</v>
      </c>
      <c r="H787" s="1200">
        <v>520967</v>
      </c>
      <c r="I787" s="1200">
        <v>275507</v>
      </c>
      <c r="J787" s="1007">
        <v>0</v>
      </c>
      <c r="K787" s="1007">
        <v>1263980</v>
      </c>
      <c r="L787" s="1270"/>
      <c r="M787" s="1198">
        <v>0</v>
      </c>
      <c r="N787" s="1198">
        <v>0</v>
      </c>
      <c r="O787" s="1007">
        <v>158560</v>
      </c>
      <c r="P787" s="1007">
        <v>158560</v>
      </c>
      <c r="Q787" s="1270"/>
      <c r="R787" s="1200">
        <v>1273115</v>
      </c>
      <c r="S787" s="1007">
        <v>-81075</v>
      </c>
      <c r="T787" s="1306">
        <v>1192040</v>
      </c>
    </row>
    <row r="788" spans="1:20" x14ac:dyDescent="0.25">
      <c r="A788" s="1203">
        <v>98313</v>
      </c>
      <c r="B788" s="1204" t="s">
        <v>3410</v>
      </c>
      <c r="C788" s="1303">
        <v>1.951E-4</v>
      </c>
      <c r="D788" s="1303">
        <v>2.1000000000000001E-4</v>
      </c>
      <c r="E788" s="1007">
        <v>697175</v>
      </c>
      <c r="F788" s="1270"/>
      <c r="G788" s="1200">
        <v>88041</v>
      </c>
      <c r="H788" s="1200">
        <v>98109</v>
      </c>
      <c r="I788" s="1200">
        <v>51884</v>
      </c>
      <c r="J788" s="1007">
        <v>179278</v>
      </c>
      <c r="K788" s="1007">
        <v>417312</v>
      </c>
      <c r="L788" s="1270"/>
      <c r="M788" s="1198">
        <v>0</v>
      </c>
      <c r="N788" s="1198">
        <v>0</v>
      </c>
      <c r="O788" s="1007">
        <v>0</v>
      </c>
      <c r="P788" s="1007">
        <v>0</v>
      </c>
      <c r="Q788" s="1270"/>
      <c r="R788" s="1200">
        <v>239754</v>
      </c>
      <c r="S788" s="1007">
        <v>113138</v>
      </c>
      <c r="T788" s="1306">
        <v>352892</v>
      </c>
    </row>
    <row r="789" spans="1:20" x14ac:dyDescent="0.25">
      <c r="A789" s="1203">
        <v>98321</v>
      </c>
      <c r="B789" s="1204" t="s">
        <v>3411</v>
      </c>
      <c r="C789" s="1303">
        <v>1.3499999999999999E-5</v>
      </c>
      <c r="D789" s="1303">
        <v>1.6900000000000001E-5</v>
      </c>
      <c r="E789" s="1007">
        <v>48241</v>
      </c>
      <c r="F789" s="1270"/>
      <c r="G789" s="1200">
        <v>6092</v>
      </c>
      <c r="H789" s="1200">
        <v>6789</v>
      </c>
      <c r="I789" s="1200">
        <v>3590</v>
      </c>
      <c r="J789" s="1007">
        <v>21</v>
      </c>
      <c r="K789" s="1007">
        <v>16492</v>
      </c>
      <c r="L789" s="1270"/>
      <c r="M789" s="1198">
        <v>0</v>
      </c>
      <c r="N789" s="1198">
        <v>0</v>
      </c>
      <c r="O789" s="1007">
        <v>3618</v>
      </c>
      <c r="P789" s="1007">
        <v>3618</v>
      </c>
      <c r="Q789" s="1270"/>
      <c r="R789" s="1200">
        <v>16590</v>
      </c>
      <c r="S789" s="1007">
        <v>-2035</v>
      </c>
      <c r="T789" s="1306">
        <v>14555</v>
      </c>
    </row>
    <row r="790" spans="1:20" x14ac:dyDescent="0.25">
      <c r="A790" s="1203">
        <v>98331</v>
      </c>
      <c r="B790" s="1204" t="s">
        <v>3412</v>
      </c>
      <c r="C790" s="1303">
        <v>1.7E-6</v>
      </c>
      <c r="D790" s="1303">
        <v>8.3999999999999992E-6</v>
      </c>
      <c r="E790" s="1007">
        <v>6075</v>
      </c>
      <c r="F790" s="1270"/>
      <c r="G790" s="1200">
        <v>767</v>
      </c>
      <c r="H790" s="1200">
        <v>855</v>
      </c>
      <c r="I790" s="1200">
        <v>452</v>
      </c>
      <c r="J790" s="1007">
        <v>1849</v>
      </c>
      <c r="K790" s="1007">
        <v>3923</v>
      </c>
      <c r="L790" s="1270"/>
      <c r="M790" s="1198">
        <v>0</v>
      </c>
      <c r="N790" s="1198">
        <v>0</v>
      </c>
      <c r="O790" s="1007">
        <v>6615</v>
      </c>
      <c r="P790" s="1007">
        <v>6615</v>
      </c>
      <c r="Q790" s="1270"/>
      <c r="R790" s="1200">
        <v>2089</v>
      </c>
      <c r="S790" s="1007">
        <v>-938</v>
      </c>
      <c r="T790" s="1306">
        <v>1151</v>
      </c>
    </row>
    <row r="791" spans="1:20" x14ac:dyDescent="0.25">
      <c r="A791" s="1203">
        <v>98401</v>
      </c>
      <c r="B791" s="1302" t="s">
        <v>3413</v>
      </c>
      <c r="C791" s="1303">
        <v>2.9325000000000002E-3</v>
      </c>
      <c r="D791" s="1303">
        <v>2.9618000000000001E-3</v>
      </c>
      <c r="E791" s="1007">
        <v>10479072</v>
      </c>
      <c r="F791" s="1270"/>
      <c r="G791" s="1200">
        <v>1323323</v>
      </c>
      <c r="H791" s="1200">
        <v>1474649</v>
      </c>
      <c r="I791" s="1200">
        <v>779849</v>
      </c>
      <c r="J791" s="1007">
        <v>271249</v>
      </c>
      <c r="K791" s="1007">
        <v>3849070</v>
      </c>
      <c r="L791" s="1270"/>
      <c r="M791" s="1198">
        <v>0</v>
      </c>
      <c r="N791" s="1198">
        <v>0</v>
      </c>
      <c r="O791" s="1007">
        <v>0</v>
      </c>
      <c r="P791" s="1007">
        <v>0</v>
      </c>
      <c r="Q791" s="1270"/>
      <c r="R791" s="1200">
        <v>3603676</v>
      </c>
      <c r="S791" s="1007">
        <v>114393</v>
      </c>
      <c r="T791" s="1306">
        <v>3718069</v>
      </c>
    </row>
    <row r="792" spans="1:20" x14ac:dyDescent="0.25">
      <c r="A792" s="1203">
        <v>98404</v>
      </c>
      <c r="B792" s="1204" t="s">
        <v>3694</v>
      </c>
      <c r="C792" s="1303">
        <v>1.5E-5</v>
      </c>
      <c r="D792" s="1303">
        <v>1.43E-5</v>
      </c>
      <c r="E792" s="1007">
        <v>53601</v>
      </c>
      <c r="F792" s="1270"/>
      <c r="G792" s="1200">
        <v>6769</v>
      </c>
      <c r="H792" s="1200">
        <v>7543</v>
      </c>
      <c r="I792" s="1200">
        <v>3989</v>
      </c>
      <c r="J792" s="1007">
        <v>3920</v>
      </c>
      <c r="K792" s="1007">
        <v>22221</v>
      </c>
      <c r="L792" s="1270"/>
      <c r="M792" s="1198">
        <v>0</v>
      </c>
      <c r="N792" s="1198">
        <v>0</v>
      </c>
      <c r="O792" s="1007">
        <v>252</v>
      </c>
      <c r="P792" s="1007">
        <v>252</v>
      </c>
      <c r="Q792" s="1270"/>
      <c r="R792" s="1200">
        <v>18433</v>
      </c>
      <c r="S792" s="1007">
        <v>2833</v>
      </c>
      <c r="T792" s="1306">
        <v>21266</v>
      </c>
    </row>
    <row r="793" spans="1:20" x14ac:dyDescent="0.25">
      <c r="A793" s="1203">
        <v>98411</v>
      </c>
      <c r="B793" s="1302" t="s">
        <v>3414</v>
      </c>
      <c r="C793" s="1303">
        <v>1.7830999999999999E-3</v>
      </c>
      <c r="D793" s="1303">
        <v>1.9082000000000001E-3</v>
      </c>
      <c r="E793" s="1007">
        <v>6371776</v>
      </c>
      <c r="F793" s="1270"/>
      <c r="G793" s="1200">
        <v>804643</v>
      </c>
      <c r="H793" s="1200">
        <v>896657</v>
      </c>
      <c r="I793" s="1200">
        <v>474185</v>
      </c>
      <c r="J793" s="1007">
        <v>0</v>
      </c>
      <c r="K793" s="1007">
        <v>2175485</v>
      </c>
      <c r="L793" s="1270"/>
      <c r="M793" s="1198">
        <v>0</v>
      </c>
      <c r="N793" s="1198">
        <v>0</v>
      </c>
      <c r="O793" s="1007">
        <v>283075</v>
      </c>
      <c r="P793" s="1007">
        <v>283075</v>
      </c>
      <c r="Q793" s="1270"/>
      <c r="R793" s="1200">
        <v>2191207</v>
      </c>
      <c r="S793" s="1007">
        <v>-111962</v>
      </c>
      <c r="T793" s="1306">
        <v>2079245</v>
      </c>
    </row>
    <row r="794" spans="1:20" x14ac:dyDescent="0.25">
      <c r="A794" s="1203">
        <v>98414</v>
      </c>
      <c r="B794" s="1204" t="s">
        <v>2654</v>
      </c>
      <c r="C794" s="1303">
        <v>3.5099999999999999E-5</v>
      </c>
      <c r="D794" s="1303">
        <v>3.01E-5</v>
      </c>
      <c r="E794" s="1007">
        <v>125427</v>
      </c>
      <c r="F794" s="1270"/>
      <c r="G794" s="1200">
        <v>15839</v>
      </c>
      <c r="H794" s="1200">
        <v>17650</v>
      </c>
      <c r="I794" s="1200">
        <v>9334</v>
      </c>
      <c r="J794" s="1007">
        <v>14912</v>
      </c>
      <c r="K794" s="1007">
        <v>57735</v>
      </c>
      <c r="L794" s="1270"/>
      <c r="M794" s="1198">
        <v>0</v>
      </c>
      <c r="N794" s="1198">
        <v>0</v>
      </c>
      <c r="O794" s="1007">
        <v>6074</v>
      </c>
      <c r="P794" s="1007">
        <v>6074</v>
      </c>
      <c r="Q794" s="1270"/>
      <c r="R794" s="1200">
        <v>43134</v>
      </c>
      <c r="S794" s="1007">
        <v>5998</v>
      </c>
      <c r="T794" s="1306">
        <v>49132</v>
      </c>
    </row>
    <row r="795" spans="1:20" x14ac:dyDescent="0.25">
      <c r="A795" s="1203">
        <v>98417</v>
      </c>
      <c r="B795" s="1204" t="s">
        <v>3415</v>
      </c>
      <c r="C795" s="1303">
        <v>2.1699999999999999E-5</v>
      </c>
      <c r="D795" s="1303">
        <v>2.23E-5</v>
      </c>
      <c r="E795" s="1007">
        <v>77543</v>
      </c>
      <c r="F795" s="1270"/>
      <c r="G795" s="1200">
        <v>9792</v>
      </c>
      <c r="H795" s="1200">
        <v>10913</v>
      </c>
      <c r="I795" s="1200">
        <v>5771</v>
      </c>
      <c r="J795" s="1007">
        <v>8470</v>
      </c>
      <c r="K795" s="1007">
        <v>34946</v>
      </c>
      <c r="L795" s="1270"/>
      <c r="M795" s="1198">
        <v>0</v>
      </c>
      <c r="N795" s="1198">
        <v>0</v>
      </c>
      <c r="O795" s="1007">
        <v>0</v>
      </c>
      <c r="P795" s="1007">
        <v>0</v>
      </c>
      <c r="Q795" s="1270"/>
      <c r="R795" s="1200">
        <v>26667</v>
      </c>
      <c r="S795" s="1007">
        <v>3585</v>
      </c>
      <c r="T795" s="1306">
        <v>30252</v>
      </c>
    </row>
    <row r="796" spans="1:20" x14ac:dyDescent="0.25">
      <c r="A796" s="1203">
        <v>98421</v>
      </c>
      <c r="B796" s="1204" t="s">
        <v>3416</v>
      </c>
      <c r="C796" s="1303">
        <v>1.081E-4</v>
      </c>
      <c r="D796" s="1303">
        <v>1.121E-4</v>
      </c>
      <c r="E796" s="1007">
        <v>386287</v>
      </c>
      <c r="F796" s="1270"/>
      <c r="G796" s="1200">
        <v>48781</v>
      </c>
      <c r="H796" s="1200">
        <v>54360</v>
      </c>
      <c r="I796" s="1200">
        <v>28747</v>
      </c>
      <c r="J796" s="1007">
        <v>9022</v>
      </c>
      <c r="K796" s="1007">
        <v>140910</v>
      </c>
      <c r="L796" s="1270"/>
      <c r="M796" s="1198">
        <v>0</v>
      </c>
      <c r="N796" s="1198">
        <v>0</v>
      </c>
      <c r="O796" s="1007">
        <v>12973</v>
      </c>
      <c r="P796" s="1007">
        <v>12973</v>
      </c>
      <c r="Q796" s="1270"/>
      <c r="R796" s="1200">
        <v>132841</v>
      </c>
      <c r="S796" s="1007">
        <v>-1943</v>
      </c>
      <c r="T796" s="1306">
        <v>130898</v>
      </c>
    </row>
    <row r="797" spans="1:20" x14ac:dyDescent="0.25">
      <c r="A797" s="1203">
        <v>98427</v>
      </c>
      <c r="B797" s="1204" t="s">
        <v>3417</v>
      </c>
      <c r="C797" s="1303">
        <v>2.9000000000000002E-6</v>
      </c>
      <c r="D797" s="1303">
        <v>3.1E-6</v>
      </c>
      <c r="E797" s="1007">
        <v>10363</v>
      </c>
      <c r="F797" s="1270"/>
      <c r="G797" s="1200">
        <v>1309</v>
      </c>
      <c r="H797" s="1200">
        <v>1459</v>
      </c>
      <c r="I797" s="1200">
        <v>771</v>
      </c>
      <c r="J797" s="1007">
        <v>3216</v>
      </c>
      <c r="K797" s="1007">
        <v>6755</v>
      </c>
      <c r="L797" s="1270"/>
      <c r="M797" s="1198">
        <v>0</v>
      </c>
      <c r="N797" s="1198">
        <v>0</v>
      </c>
      <c r="O797" s="1007">
        <v>0</v>
      </c>
      <c r="P797" s="1007">
        <v>0</v>
      </c>
      <c r="Q797" s="1270"/>
      <c r="R797" s="1200">
        <v>3564</v>
      </c>
      <c r="S797" s="1007">
        <v>1373</v>
      </c>
      <c r="T797" s="1306">
        <v>4937</v>
      </c>
    </row>
    <row r="798" spans="1:20" x14ac:dyDescent="0.25">
      <c r="A798" s="1203">
        <v>98431</v>
      </c>
      <c r="B798" s="1204" t="s">
        <v>3418</v>
      </c>
      <c r="C798" s="1303">
        <v>2.062E-4</v>
      </c>
      <c r="D798" s="1303">
        <v>1.997E-4</v>
      </c>
      <c r="E798" s="1007">
        <v>736840</v>
      </c>
      <c r="F798" s="1270"/>
      <c r="G798" s="1200">
        <v>93050</v>
      </c>
      <c r="H798" s="1200">
        <v>103691</v>
      </c>
      <c r="I798" s="1200">
        <v>54835</v>
      </c>
      <c r="J798" s="1007">
        <v>1885</v>
      </c>
      <c r="K798" s="1007">
        <v>253461</v>
      </c>
      <c r="L798" s="1270"/>
      <c r="M798" s="1198">
        <v>0</v>
      </c>
      <c r="N798" s="1198">
        <v>0</v>
      </c>
      <c r="O798" s="1007">
        <v>15181</v>
      </c>
      <c r="P798" s="1007">
        <v>15181</v>
      </c>
      <c r="Q798" s="1270"/>
      <c r="R798" s="1200">
        <v>253394</v>
      </c>
      <c r="S798" s="1007">
        <v>-10515</v>
      </c>
      <c r="T798" s="1306">
        <v>242879</v>
      </c>
    </row>
    <row r="799" spans="1:20" x14ac:dyDescent="0.25">
      <c r="A799" s="1203">
        <v>98441</v>
      </c>
      <c r="B799" s="1204" t="s">
        <v>3419</v>
      </c>
      <c r="C799" s="1303">
        <v>1.1959999999999999E-4</v>
      </c>
      <c r="D799" s="1303">
        <v>1.0230000000000001E-4</v>
      </c>
      <c r="E799" s="1007">
        <v>427382</v>
      </c>
      <c r="F799" s="1270"/>
      <c r="G799" s="1200">
        <v>53971</v>
      </c>
      <c r="H799" s="1200">
        <v>60142</v>
      </c>
      <c r="I799" s="1200">
        <v>31806</v>
      </c>
      <c r="J799" s="1007">
        <v>21485</v>
      </c>
      <c r="K799" s="1007">
        <v>167404</v>
      </c>
      <c r="L799" s="1270"/>
      <c r="M799" s="1198">
        <v>0</v>
      </c>
      <c r="N799" s="1198">
        <v>0</v>
      </c>
      <c r="O799" s="1007">
        <v>9105</v>
      </c>
      <c r="P799" s="1007">
        <v>9105</v>
      </c>
      <c r="Q799" s="1270"/>
      <c r="R799" s="1200">
        <v>146973</v>
      </c>
      <c r="S799" s="1007">
        <v>1675</v>
      </c>
      <c r="T799" s="1306">
        <v>148648</v>
      </c>
    </row>
    <row r="800" spans="1:20" x14ac:dyDescent="0.25">
      <c r="A800" s="1203">
        <v>98451</v>
      </c>
      <c r="B800" s="1302" t="s">
        <v>3420</v>
      </c>
      <c r="C800" s="1303">
        <v>3.2100000000000001E-5</v>
      </c>
      <c r="D800" s="1303">
        <v>4.6100000000000002E-5</v>
      </c>
      <c r="E800" s="1007">
        <v>114707</v>
      </c>
      <c r="F800" s="1270"/>
      <c r="G800" s="1200">
        <v>14485</v>
      </c>
      <c r="H800" s="1200">
        <v>16142</v>
      </c>
      <c r="I800" s="1200">
        <v>8536</v>
      </c>
      <c r="J800" s="1007">
        <v>247</v>
      </c>
      <c r="K800" s="1007">
        <v>39410</v>
      </c>
      <c r="L800" s="1270"/>
      <c r="M800" s="1198">
        <v>0</v>
      </c>
      <c r="N800" s="1198">
        <v>0</v>
      </c>
      <c r="O800" s="1007">
        <v>16546</v>
      </c>
      <c r="P800" s="1007">
        <v>16546</v>
      </c>
      <c r="Q800" s="1270"/>
      <c r="R800" s="1200">
        <v>39447</v>
      </c>
      <c r="S800" s="1007">
        <v>-5957</v>
      </c>
      <c r="T800" s="1306">
        <v>33490</v>
      </c>
    </row>
    <row r="801" spans="1:20" x14ac:dyDescent="0.25">
      <c r="A801" s="1203">
        <v>98471</v>
      </c>
      <c r="B801" s="1204" t="s">
        <v>4217</v>
      </c>
      <c r="C801" s="1303">
        <v>6.7000000000000002E-6</v>
      </c>
      <c r="D801" s="1303">
        <v>6.3999999999999997E-6</v>
      </c>
      <c r="E801" s="1007">
        <v>23942</v>
      </c>
      <c r="F801" s="1270"/>
      <c r="G801" s="1200">
        <v>3023</v>
      </c>
      <c r="H801" s="1200">
        <v>3369</v>
      </c>
      <c r="I801" s="1200">
        <v>1782</v>
      </c>
      <c r="J801" s="1007">
        <v>4342</v>
      </c>
      <c r="K801" s="1007">
        <v>12516</v>
      </c>
      <c r="L801" s="1270"/>
      <c r="M801" s="1198">
        <v>0</v>
      </c>
      <c r="N801" s="1198">
        <v>0</v>
      </c>
      <c r="O801" s="1007">
        <v>0</v>
      </c>
      <c r="P801" s="1007">
        <v>0</v>
      </c>
      <c r="Q801" s="1270"/>
      <c r="R801" s="1200">
        <v>8233</v>
      </c>
      <c r="S801" s="1007">
        <v>1875</v>
      </c>
      <c r="T801" s="1306">
        <v>10108</v>
      </c>
    </row>
    <row r="802" spans="1:20" x14ac:dyDescent="0.25">
      <c r="A802" s="1203">
        <v>98481</v>
      </c>
      <c r="B802" s="1204" t="s">
        <v>3421</v>
      </c>
      <c r="C802" s="1303">
        <v>5.9799999999999997E-5</v>
      </c>
      <c r="D802" s="1303">
        <v>6.1600000000000007E-5</v>
      </c>
      <c r="E802" s="1007">
        <v>213691</v>
      </c>
      <c r="F802" s="1270"/>
      <c r="G802" s="1200">
        <v>26985</v>
      </c>
      <c r="H802" s="1200">
        <v>30072</v>
      </c>
      <c r="I802" s="1200">
        <v>15903</v>
      </c>
      <c r="J802" s="1007">
        <v>1093</v>
      </c>
      <c r="K802" s="1007">
        <v>74053</v>
      </c>
      <c r="L802" s="1270"/>
      <c r="M802" s="1198">
        <v>0</v>
      </c>
      <c r="N802" s="1198">
        <v>0</v>
      </c>
      <c r="O802" s="1007">
        <v>7753</v>
      </c>
      <c r="P802" s="1007">
        <v>7753</v>
      </c>
      <c r="Q802" s="1270"/>
      <c r="R802" s="1200">
        <v>73487</v>
      </c>
      <c r="S802" s="1007">
        <v>-3200</v>
      </c>
      <c r="T802" s="1306">
        <v>70287</v>
      </c>
    </row>
    <row r="803" spans="1:20" x14ac:dyDescent="0.25">
      <c r="A803" s="1203">
        <v>98501</v>
      </c>
      <c r="B803" s="1204" t="s">
        <v>3422</v>
      </c>
      <c r="C803" s="1303">
        <v>1.8075999999999999E-3</v>
      </c>
      <c r="D803" s="1303">
        <v>1.655E-3</v>
      </c>
      <c r="E803" s="1007">
        <v>6459325</v>
      </c>
      <c r="F803" s="1270"/>
      <c r="G803" s="1200">
        <v>815699</v>
      </c>
      <c r="H803" s="1200">
        <v>908977</v>
      </c>
      <c r="I803" s="1200">
        <v>480700</v>
      </c>
      <c r="J803" s="1007">
        <v>350469</v>
      </c>
      <c r="K803" s="1007">
        <v>2555845</v>
      </c>
      <c r="L803" s="1270"/>
      <c r="M803" s="1198">
        <v>0</v>
      </c>
      <c r="N803" s="1198">
        <v>0</v>
      </c>
      <c r="O803" s="1007">
        <v>0</v>
      </c>
      <c r="P803" s="1007">
        <v>0</v>
      </c>
      <c r="Q803" s="1270"/>
      <c r="R803" s="1200">
        <v>2221314</v>
      </c>
      <c r="S803" s="1007">
        <v>137727</v>
      </c>
      <c r="T803" s="1306">
        <v>2359041</v>
      </c>
    </row>
    <row r="804" spans="1:20" x14ac:dyDescent="0.25">
      <c r="A804" s="1203">
        <v>98511</v>
      </c>
      <c r="B804" s="1204" t="s">
        <v>3423</v>
      </c>
      <c r="C804" s="1303">
        <v>4.4400000000000002E-5</v>
      </c>
      <c r="D804" s="1303">
        <v>4.9400000000000001E-5</v>
      </c>
      <c r="E804" s="1007">
        <v>158660</v>
      </c>
      <c r="F804" s="1270"/>
      <c r="G804" s="1200">
        <v>20036</v>
      </c>
      <c r="H804" s="1200">
        <v>22327</v>
      </c>
      <c r="I804" s="1200">
        <v>11807</v>
      </c>
      <c r="J804" s="1007">
        <v>5323</v>
      </c>
      <c r="K804" s="1007">
        <v>59493</v>
      </c>
      <c r="L804" s="1270"/>
      <c r="M804" s="1198">
        <v>0</v>
      </c>
      <c r="N804" s="1198">
        <v>0</v>
      </c>
      <c r="O804" s="1007">
        <v>6172</v>
      </c>
      <c r="P804" s="1007">
        <v>6172</v>
      </c>
      <c r="Q804" s="1270"/>
      <c r="R804" s="1200">
        <v>54562</v>
      </c>
      <c r="S804" s="1007">
        <v>923</v>
      </c>
      <c r="T804" s="1306">
        <v>55485</v>
      </c>
    </row>
    <row r="805" spans="1:20" x14ac:dyDescent="0.25">
      <c r="A805" s="1203">
        <v>98517</v>
      </c>
      <c r="B805" s="1204" t="s">
        <v>3424</v>
      </c>
      <c r="C805" s="1303">
        <v>0</v>
      </c>
      <c r="D805" s="1303">
        <v>2.3999999999999999E-6</v>
      </c>
      <c r="E805" s="1007">
        <v>0</v>
      </c>
      <c r="F805" s="1270"/>
      <c r="G805" s="1200">
        <v>0</v>
      </c>
      <c r="H805" s="1200">
        <v>0</v>
      </c>
      <c r="I805" s="1200">
        <v>0</v>
      </c>
      <c r="J805" s="1007">
        <v>2485</v>
      </c>
      <c r="K805" s="1007">
        <v>2485</v>
      </c>
      <c r="L805" s="1270"/>
      <c r="M805" s="1198">
        <v>0</v>
      </c>
      <c r="N805" s="1198">
        <v>0</v>
      </c>
      <c r="O805" s="1007">
        <v>982</v>
      </c>
      <c r="P805" s="1007">
        <v>982</v>
      </c>
      <c r="Q805" s="1270"/>
      <c r="R805" s="1200">
        <v>0</v>
      </c>
      <c r="S805" s="1007">
        <v>913</v>
      </c>
      <c r="T805" s="1306">
        <v>913</v>
      </c>
    </row>
    <row r="806" spans="1:20" x14ac:dyDescent="0.25">
      <c r="A806" s="1203">
        <v>98521</v>
      </c>
      <c r="B806" s="1204" t="s">
        <v>3425</v>
      </c>
      <c r="C806" s="1303">
        <v>6.581E-4</v>
      </c>
      <c r="D806" s="1303">
        <v>6.3349999999999995E-4</v>
      </c>
      <c r="E806" s="1007">
        <v>2351672</v>
      </c>
      <c r="F806" s="1270"/>
      <c r="G806" s="1200">
        <v>296975</v>
      </c>
      <c r="H806" s="1200">
        <v>330935</v>
      </c>
      <c r="I806" s="1200">
        <v>175011</v>
      </c>
      <c r="J806" s="1007">
        <v>36082</v>
      </c>
      <c r="K806" s="1007">
        <v>839003</v>
      </c>
      <c r="L806" s="1270"/>
      <c r="M806" s="1198">
        <v>0</v>
      </c>
      <c r="N806" s="1198">
        <v>0</v>
      </c>
      <c r="O806" s="1007">
        <v>27528</v>
      </c>
      <c r="P806" s="1007">
        <v>27528</v>
      </c>
      <c r="Q806" s="1270"/>
      <c r="R806" s="1200">
        <v>808723</v>
      </c>
      <c r="S806" s="1007">
        <v>-4024</v>
      </c>
      <c r="T806" s="1306">
        <v>804699</v>
      </c>
    </row>
    <row r="807" spans="1:20" x14ac:dyDescent="0.25">
      <c r="A807" s="1203">
        <v>98601</v>
      </c>
      <c r="B807" s="1204" t="s">
        <v>3426</v>
      </c>
      <c r="C807" s="1303">
        <v>3.6321000000000001E-3</v>
      </c>
      <c r="D807" s="1303">
        <v>3.5866000000000001E-3</v>
      </c>
      <c r="E807" s="1007">
        <v>12979041</v>
      </c>
      <c r="F807" s="1270"/>
      <c r="G807" s="1200">
        <v>1639025</v>
      </c>
      <c r="H807" s="1200">
        <v>1826453</v>
      </c>
      <c r="I807" s="1200">
        <v>965895</v>
      </c>
      <c r="J807" s="1007">
        <v>58744</v>
      </c>
      <c r="K807" s="1007">
        <v>4490117</v>
      </c>
      <c r="L807" s="1270"/>
      <c r="M807" s="1198">
        <v>0</v>
      </c>
      <c r="N807" s="1198">
        <v>0</v>
      </c>
      <c r="O807" s="1007">
        <v>34509</v>
      </c>
      <c r="P807" s="1007">
        <v>34509</v>
      </c>
      <c r="Q807" s="1270"/>
      <c r="R807" s="1200">
        <v>4463397</v>
      </c>
      <c r="S807" s="1007">
        <v>-17964</v>
      </c>
      <c r="T807" s="1306">
        <v>4445433</v>
      </c>
    </row>
    <row r="808" spans="1:20" x14ac:dyDescent="0.25">
      <c r="A808" s="1203">
        <v>98604</v>
      </c>
      <c r="B808" s="1204" t="s">
        <v>3427</v>
      </c>
      <c r="C808" s="1303">
        <v>1.45E-5</v>
      </c>
      <c r="D808" s="1303">
        <v>1.2099999999999999E-5</v>
      </c>
      <c r="E808" s="1007">
        <v>51815</v>
      </c>
      <c r="F808" s="1270"/>
      <c r="G808" s="1200">
        <v>6543</v>
      </c>
      <c r="H808" s="1200">
        <v>7291</v>
      </c>
      <c r="I808" s="1200">
        <v>3856</v>
      </c>
      <c r="J808" s="1007">
        <v>6637</v>
      </c>
      <c r="K808" s="1007">
        <v>24327</v>
      </c>
      <c r="L808" s="1270"/>
      <c r="M808" s="1198">
        <v>0</v>
      </c>
      <c r="N808" s="1198">
        <v>0</v>
      </c>
      <c r="O808" s="1007">
        <v>131</v>
      </c>
      <c r="P808" s="1007">
        <v>131</v>
      </c>
      <c r="Q808" s="1270"/>
      <c r="R808" s="1200">
        <v>17819</v>
      </c>
      <c r="S808" s="1007">
        <v>3952</v>
      </c>
      <c r="T808" s="1306">
        <v>21771</v>
      </c>
    </row>
    <row r="809" spans="1:20" x14ac:dyDescent="0.25">
      <c r="A809" s="1203">
        <v>98607</v>
      </c>
      <c r="B809" s="1204" t="s">
        <v>3428</v>
      </c>
      <c r="C809" s="1303">
        <v>5.2000000000000002E-6</v>
      </c>
      <c r="D809" s="1303">
        <v>5.4E-6</v>
      </c>
      <c r="E809" s="1007">
        <v>18582</v>
      </c>
      <c r="F809" s="1270"/>
      <c r="G809" s="1200">
        <v>2347</v>
      </c>
      <c r="H809" s="1200">
        <v>2615</v>
      </c>
      <c r="I809" s="1200">
        <v>1383</v>
      </c>
      <c r="J809" s="1007">
        <v>1296</v>
      </c>
      <c r="K809" s="1007">
        <v>7641</v>
      </c>
      <c r="L809" s="1270"/>
      <c r="M809" s="1198">
        <v>0</v>
      </c>
      <c r="N809" s="1198">
        <v>0</v>
      </c>
      <c r="O809" s="1007">
        <v>571</v>
      </c>
      <c r="P809" s="1007">
        <v>571</v>
      </c>
      <c r="Q809" s="1270"/>
      <c r="R809" s="1200">
        <v>6390</v>
      </c>
      <c r="S809" s="1007">
        <v>347</v>
      </c>
      <c r="T809" s="1306">
        <v>6737</v>
      </c>
    </row>
    <row r="810" spans="1:20" x14ac:dyDescent="0.25">
      <c r="A810" s="1203">
        <v>98608</v>
      </c>
      <c r="B810" s="1204" t="s">
        <v>3429</v>
      </c>
      <c r="C810" s="1303">
        <v>6.3899999999999995E-5</v>
      </c>
      <c r="D810" s="1303">
        <v>5.1799999999999999E-5</v>
      </c>
      <c r="E810" s="1007">
        <v>228342</v>
      </c>
      <c r="F810" s="1270"/>
      <c r="G810" s="1200">
        <v>28836</v>
      </c>
      <c r="H810" s="1200">
        <v>32133</v>
      </c>
      <c r="I810" s="1200">
        <v>16993</v>
      </c>
      <c r="J810" s="1007">
        <v>27458</v>
      </c>
      <c r="K810" s="1007">
        <v>105420</v>
      </c>
      <c r="L810" s="1270"/>
      <c r="M810" s="1198">
        <v>0</v>
      </c>
      <c r="N810" s="1198">
        <v>0</v>
      </c>
      <c r="O810" s="1007">
        <v>503</v>
      </c>
      <c r="P810" s="1007">
        <v>503</v>
      </c>
      <c r="Q810" s="1270"/>
      <c r="R810" s="1200">
        <v>78525</v>
      </c>
      <c r="S810" s="1007">
        <v>7719</v>
      </c>
      <c r="T810" s="1306">
        <v>86244</v>
      </c>
    </row>
    <row r="811" spans="1:20" x14ac:dyDescent="0.25">
      <c r="A811" s="1203">
        <v>98611</v>
      </c>
      <c r="B811" s="1204" t="s">
        <v>3430</v>
      </c>
      <c r="C811" s="1303">
        <v>1.0620000000000001E-4</v>
      </c>
      <c r="D811" s="1303">
        <v>1.1959999999999999E-4</v>
      </c>
      <c r="E811" s="1007">
        <v>379498</v>
      </c>
      <c r="F811" s="1270"/>
      <c r="G811" s="1200">
        <v>47924</v>
      </c>
      <c r="H811" s="1200">
        <v>53405</v>
      </c>
      <c r="I811" s="1200">
        <v>28242</v>
      </c>
      <c r="J811" s="1007">
        <v>17232</v>
      </c>
      <c r="K811" s="1007">
        <v>146803</v>
      </c>
      <c r="L811" s="1270"/>
      <c r="M811" s="1198">
        <v>0</v>
      </c>
      <c r="N811" s="1198">
        <v>0</v>
      </c>
      <c r="O811" s="1007">
        <v>12950</v>
      </c>
      <c r="P811" s="1007">
        <v>12950</v>
      </c>
      <c r="Q811" s="1270"/>
      <c r="R811" s="1200">
        <v>130507</v>
      </c>
      <c r="S811" s="1007">
        <v>1683</v>
      </c>
      <c r="T811" s="1306">
        <v>132190</v>
      </c>
    </row>
    <row r="812" spans="1:20" x14ac:dyDescent="0.25">
      <c r="A812" s="1203">
        <v>98621</v>
      </c>
      <c r="B812" s="1204" t="s">
        <v>3431</v>
      </c>
      <c r="C812" s="1303">
        <v>1.3870000000000001E-4</v>
      </c>
      <c r="D812" s="1303">
        <v>1.2899999999999999E-4</v>
      </c>
      <c r="E812" s="1007">
        <v>495634</v>
      </c>
      <c r="F812" s="1270"/>
      <c r="G812" s="1200">
        <v>62590</v>
      </c>
      <c r="H812" s="1200">
        <v>69747</v>
      </c>
      <c r="I812" s="1200">
        <v>36885</v>
      </c>
      <c r="J812" s="1007">
        <v>11317</v>
      </c>
      <c r="K812" s="1007">
        <v>180539</v>
      </c>
      <c r="L812" s="1270"/>
      <c r="M812" s="1198">
        <v>0</v>
      </c>
      <c r="N812" s="1198">
        <v>0</v>
      </c>
      <c r="O812" s="1007">
        <v>5729</v>
      </c>
      <c r="P812" s="1007">
        <v>5729</v>
      </c>
      <c r="Q812" s="1270"/>
      <c r="R812" s="1200">
        <v>170445</v>
      </c>
      <c r="S812" s="1007">
        <v>247</v>
      </c>
      <c r="T812" s="1306">
        <v>170692</v>
      </c>
    </row>
    <row r="813" spans="1:20" x14ac:dyDescent="0.25">
      <c r="A813" s="1203">
        <v>98627</v>
      </c>
      <c r="B813" s="1204" t="s">
        <v>3432</v>
      </c>
      <c r="C813" s="1303">
        <v>7.4000000000000003E-6</v>
      </c>
      <c r="D813" s="1303">
        <v>7.7999999999999999E-6</v>
      </c>
      <c r="E813" s="1007">
        <v>26443</v>
      </c>
      <c r="F813" s="1270"/>
      <c r="G813" s="1200">
        <v>3339</v>
      </c>
      <c r="H813" s="1200">
        <v>3721</v>
      </c>
      <c r="I813" s="1200">
        <v>1968</v>
      </c>
      <c r="J813" s="1007">
        <v>0</v>
      </c>
      <c r="K813" s="1007">
        <v>9028</v>
      </c>
      <c r="L813" s="1270"/>
      <c r="M813" s="1198">
        <v>0</v>
      </c>
      <c r="N813" s="1198">
        <v>0</v>
      </c>
      <c r="O813" s="1007">
        <v>1602</v>
      </c>
      <c r="P813" s="1007">
        <v>1602</v>
      </c>
      <c r="Q813" s="1270"/>
      <c r="R813" s="1200">
        <v>9094</v>
      </c>
      <c r="S813" s="1007">
        <v>-657</v>
      </c>
      <c r="T813" s="1306">
        <v>8437</v>
      </c>
    </row>
    <row r="814" spans="1:20" x14ac:dyDescent="0.25">
      <c r="A814" s="1203">
        <v>98631</v>
      </c>
      <c r="B814" s="1204" t="s">
        <v>3433</v>
      </c>
      <c r="C814" s="1303">
        <v>9.3860000000000005E-4</v>
      </c>
      <c r="D814" s="1303">
        <v>1.0042E-3</v>
      </c>
      <c r="E814" s="1007">
        <v>3354018</v>
      </c>
      <c r="F814" s="1270"/>
      <c r="G814" s="1200">
        <v>423554</v>
      </c>
      <c r="H814" s="1200">
        <v>471988</v>
      </c>
      <c r="I814" s="1200">
        <v>249605</v>
      </c>
      <c r="J814" s="1007">
        <v>9495</v>
      </c>
      <c r="K814" s="1007">
        <v>1154642</v>
      </c>
      <c r="L814" s="1270"/>
      <c r="M814" s="1198">
        <v>0</v>
      </c>
      <c r="N814" s="1198">
        <v>0</v>
      </c>
      <c r="O814" s="1007">
        <v>88443</v>
      </c>
      <c r="P814" s="1007">
        <v>88443</v>
      </c>
      <c r="Q814" s="1270"/>
      <c r="R814" s="1200">
        <v>1153422</v>
      </c>
      <c r="S814" s="1007">
        <v>-42491</v>
      </c>
      <c r="T814" s="1306">
        <v>1110931</v>
      </c>
    </row>
    <row r="815" spans="1:20" x14ac:dyDescent="0.25">
      <c r="A815" s="1203">
        <v>98637</v>
      </c>
      <c r="B815" s="1204" t="s">
        <v>3434</v>
      </c>
      <c r="C815" s="1303">
        <v>2.3499999999999999E-5</v>
      </c>
      <c r="D815" s="1303">
        <v>1.5800000000000001E-5</v>
      </c>
      <c r="E815" s="1007">
        <v>83976</v>
      </c>
      <c r="F815" s="1270"/>
      <c r="G815" s="1200">
        <v>10605</v>
      </c>
      <c r="H815" s="1200">
        <v>11818</v>
      </c>
      <c r="I815" s="1200">
        <v>6249</v>
      </c>
      <c r="J815" s="1007">
        <v>21431</v>
      </c>
      <c r="K815" s="1007">
        <v>50103</v>
      </c>
      <c r="L815" s="1270"/>
      <c r="M815" s="1198">
        <v>0</v>
      </c>
      <c r="N815" s="1198">
        <v>0</v>
      </c>
      <c r="O815" s="1007">
        <v>0</v>
      </c>
      <c r="P815" s="1007">
        <v>0</v>
      </c>
      <c r="Q815" s="1270"/>
      <c r="R815" s="1200">
        <v>28879</v>
      </c>
      <c r="S815" s="1007">
        <v>8904</v>
      </c>
      <c r="T815" s="1306">
        <v>37783</v>
      </c>
    </row>
    <row r="816" spans="1:20" x14ac:dyDescent="0.25">
      <c r="A816" s="1203">
        <v>98641</v>
      </c>
      <c r="B816" s="1204" t="s">
        <v>3435</v>
      </c>
      <c r="C816" s="1303">
        <v>2.8739999999999999E-4</v>
      </c>
      <c r="D816" s="1303">
        <v>2.7090000000000003E-4</v>
      </c>
      <c r="E816" s="1007">
        <v>1027003</v>
      </c>
      <c r="F816" s="1270"/>
      <c r="G816" s="1200">
        <v>129692</v>
      </c>
      <c r="H816" s="1200">
        <v>144523</v>
      </c>
      <c r="I816" s="1200">
        <v>76429</v>
      </c>
      <c r="J816" s="1007">
        <v>29124</v>
      </c>
      <c r="K816" s="1007">
        <v>379768</v>
      </c>
      <c r="L816" s="1270"/>
      <c r="M816" s="1198">
        <v>0</v>
      </c>
      <c r="N816" s="1198">
        <v>0</v>
      </c>
      <c r="O816" s="1007">
        <v>4978</v>
      </c>
      <c r="P816" s="1007">
        <v>4978</v>
      </c>
      <c r="Q816" s="1270"/>
      <c r="R816" s="1200">
        <v>353179</v>
      </c>
      <c r="S816" s="1007">
        <v>5975</v>
      </c>
      <c r="T816" s="1306">
        <v>359154</v>
      </c>
    </row>
    <row r="817" spans="1:20" x14ac:dyDescent="0.25">
      <c r="A817" s="1203">
        <v>98647</v>
      </c>
      <c r="B817" s="1204" t="s">
        <v>3436</v>
      </c>
      <c r="C817" s="1303">
        <v>0</v>
      </c>
      <c r="D817" s="1303">
        <v>0</v>
      </c>
      <c r="E817" s="1007">
        <v>0</v>
      </c>
      <c r="F817" s="1270"/>
      <c r="G817" s="1200">
        <v>0</v>
      </c>
      <c r="H817" s="1200">
        <v>0</v>
      </c>
      <c r="I817" s="1200">
        <v>0</v>
      </c>
      <c r="J817" s="1007">
        <v>0</v>
      </c>
      <c r="K817" s="1007">
        <v>0</v>
      </c>
      <c r="L817" s="1270"/>
      <c r="M817" s="1198">
        <v>0</v>
      </c>
      <c r="N817" s="1198">
        <v>0</v>
      </c>
      <c r="O817" s="1007">
        <v>0</v>
      </c>
      <c r="P817" s="1007">
        <v>0</v>
      </c>
      <c r="Q817" s="1270"/>
      <c r="R817" s="1200">
        <v>0</v>
      </c>
      <c r="S817" s="1007">
        <v>-1498</v>
      </c>
      <c r="T817" s="1306">
        <v>-1498</v>
      </c>
    </row>
    <row r="818" spans="1:20" x14ac:dyDescent="0.25">
      <c r="A818" s="1203">
        <v>98701</v>
      </c>
      <c r="B818" s="1204" t="s">
        <v>3437</v>
      </c>
      <c r="C818" s="1303">
        <v>9.9500000000000001E-4</v>
      </c>
      <c r="D818" s="1303">
        <v>9.7790000000000008E-4</v>
      </c>
      <c r="E818" s="1007">
        <v>3555559</v>
      </c>
      <c r="F818" s="1270"/>
      <c r="G818" s="1200">
        <v>449005</v>
      </c>
      <c r="H818" s="1200">
        <v>500350</v>
      </c>
      <c r="I818" s="1200">
        <v>264603</v>
      </c>
      <c r="J818" s="1007">
        <v>51449</v>
      </c>
      <c r="K818" s="1007">
        <v>1265407</v>
      </c>
      <c r="L818" s="1270"/>
      <c r="M818" s="1198">
        <v>0</v>
      </c>
      <c r="N818" s="1198">
        <v>0</v>
      </c>
      <c r="O818" s="1007">
        <v>86872</v>
      </c>
      <c r="P818" s="1007">
        <v>86872</v>
      </c>
      <c r="Q818" s="1270"/>
      <c r="R818" s="1200">
        <v>1222731</v>
      </c>
      <c r="S818" s="1007">
        <v>-20033</v>
      </c>
      <c r="T818" s="1306">
        <v>1202698</v>
      </c>
    </row>
    <row r="819" spans="1:20" x14ac:dyDescent="0.25">
      <c r="A819" s="1203">
        <v>98711</v>
      </c>
      <c r="B819" s="1204" t="s">
        <v>3438</v>
      </c>
      <c r="C819" s="1303">
        <v>1.4550000000000001E-4</v>
      </c>
      <c r="D819" s="1303">
        <v>1.671E-4</v>
      </c>
      <c r="E819" s="1007">
        <v>519933</v>
      </c>
      <c r="F819" s="1270"/>
      <c r="G819" s="1200">
        <v>65658</v>
      </c>
      <c r="H819" s="1200">
        <v>73166</v>
      </c>
      <c r="I819" s="1200">
        <v>38693</v>
      </c>
      <c r="J819" s="1007">
        <v>0</v>
      </c>
      <c r="K819" s="1007">
        <v>177517</v>
      </c>
      <c r="L819" s="1270"/>
      <c r="M819" s="1198">
        <v>0</v>
      </c>
      <c r="N819" s="1198">
        <v>0</v>
      </c>
      <c r="O819" s="1007">
        <v>47529</v>
      </c>
      <c r="P819" s="1007">
        <v>47529</v>
      </c>
      <c r="Q819" s="1270"/>
      <c r="R819" s="1200">
        <v>178801</v>
      </c>
      <c r="S819" s="1007">
        <v>-20527</v>
      </c>
      <c r="T819" s="1306">
        <v>158274</v>
      </c>
    </row>
    <row r="820" spans="1:20" x14ac:dyDescent="0.25">
      <c r="A820" s="1203">
        <v>98717</v>
      </c>
      <c r="B820" s="1204" t="s">
        <v>3439</v>
      </c>
      <c r="C820" s="1303">
        <v>1.6500000000000001E-5</v>
      </c>
      <c r="D820" s="1303">
        <v>2.2399999999999999E-5</v>
      </c>
      <c r="E820" s="1007">
        <v>58962</v>
      </c>
      <c r="F820" s="1270"/>
      <c r="G820" s="1200">
        <v>7446</v>
      </c>
      <c r="H820" s="1200">
        <v>8298</v>
      </c>
      <c r="I820" s="1200">
        <v>4388</v>
      </c>
      <c r="J820" s="1007">
        <v>1349</v>
      </c>
      <c r="K820" s="1007">
        <v>21481</v>
      </c>
      <c r="L820" s="1270"/>
      <c r="M820" s="1198">
        <v>0</v>
      </c>
      <c r="N820" s="1198">
        <v>0</v>
      </c>
      <c r="O820" s="1007">
        <v>7244</v>
      </c>
      <c r="P820" s="1007">
        <v>7244</v>
      </c>
      <c r="Q820" s="1270"/>
      <c r="R820" s="1200">
        <v>20276</v>
      </c>
      <c r="S820" s="1007">
        <v>-2080</v>
      </c>
      <c r="T820" s="1306">
        <v>18196</v>
      </c>
    </row>
    <row r="821" spans="1:20" x14ac:dyDescent="0.25">
      <c r="A821" s="1203">
        <v>98801</v>
      </c>
      <c r="B821" s="1204" t="s">
        <v>3440</v>
      </c>
      <c r="C821" s="1303">
        <v>2.3004000000000002E-3</v>
      </c>
      <c r="D821" s="1303">
        <v>2.1632999999999999E-3</v>
      </c>
      <c r="E821" s="1007">
        <v>8220309</v>
      </c>
      <c r="F821" s="1270"/>
      <c r="G821" s="1200">
        <v>1038081</v>
      </c>
      <c r="H821" s="1200">
        <v>1156788</v>
      </c>
      <c r="I821" s="1200">
        <v>611752</v>
      </c>
      <c r="J821" s="1007">
        <v>347472</v>
      </c>
      <c r="K821" s="1007">
        <v>3154093</v>
      </c>
      <c r="L821" s="1270"/>
      <c r="M821" s="1198">
        <v>0</v>
      </c>
      <c r="N821" s="1198">
        <v>0</v>
      </c>
      <c r="O821" s="1007">
        <v>38042</v>
      </c>
      <c r="P821" s="1007">
        <v>38042</v>
      </c>
      <c r="Q821" s="1270"/>
      <c r="R821" s="1200">
        <v>2826904</v>
      </c>
      <c r="S821" s="1007">
        <v>116079</v>
      </c>
      <c r="T821" s="1306">
        <v>2942983</v>
      </c>
    </row>
    <row r="822" spans="1:20" x14ac:dyDescent="0.25">
      <c r="A822" s="1203">
        <v>98811</v>
      </c>
      <c r="B822" s="1204" t="s">
        <v>3441</v>
      </c>
      <c r="C822" s="1303">
        <v>6.6279999999999996E-4</v>
      </c>
      <c r="D822" s="1303">
        <v>6.8610000000000003E-4</v>
      </c>
      <c r="E822" s="1007">
        <v>2368467</v>
      </c>
      <c r="F822" s="1270"/>
      <c r="G822" s="1200">
        <v>299096</v>
      </c>
      <c r="H822" s="1200">
        <v>333298</v>
      </c>
      <c r="I822" s="1200">
        <v>176260</v>
      </c>
      <c r="J822" s="1007">
        <v>46702</v>
      </c>
      <c r="K822" s="1007">
        <v>855356</v>
      </c>
      <c r="L822" s="1270"/>
      <c r="M822" s="1198">
        <v>0</v>
      </c>
      <c r="N822" s="1198">
        <v>0</v>
      </c>
      <c r="O822" s="1007">
        <v>5167</v>
      </c>
      <c r="P822" s="1007">
        <v>5167</v>
      </c>
      <c r="Q822" s="1270"/>
      <c r="R822" s="1200">
        <v>814498</v>
      </c>
      <c r="S822" s="1007">
        <v>3125</v>
      </c>
      <c r="T822" s="1306">
        <v>817623</v>
      </c>
    </row>
    <row r="823" spans="1:20" x14ac:dyDescent="0.25">
      <c r="A823" s="1203">
        <v>98817</v>
      </c>
      <c r="B823" s="1204" t="s">
        <v>3442</v>
      </c>
      <c r="C823" s="1303">
        <v>1.3900000000000001E-5</v>
      </c>
      <c r="D823" s="1303">
        <v>1.7E-5</v>
      </c>
      <c r="E823" s="1007">
        <v>49671</v>
      </c>
      <c r="F823" s="1270"/>
      <c r="G823" s="1200">
        <v>6273</v>
      </c>
      <c r="H823" s="1200">
        <v>6990</v>
      </c>
      <c r="I823" s="1200">
        <v>3696</v>
      </c>
      <c r="J823" s="1007">
        <v>1397</v>
      </c>
      <c r="K823" s="1007">
        <v>18356</v>
      </c>
      <c r="L823" s="1270"/>
      <c r="M823" s="1198">
        <v>0</v>
      </c>
      <c r="N823" s="1198">
        <v>0</v>
      </c>
      <c r="O823" s="1007">
        <v>3944</v>
      </c>
      <c r="P823" s="1007">
        <v>3944</v>
      </c>
      <c r="Q823" s="1270"/>
      <c r="R823" s="1200">
        <v>17081</v>
      </c>
      <c r="S823" s="1007">
        <v>-106</v>
      </c>
      <c r="T823" s="1306">
        <v>16975</v>
      </c>
    </row>
    <row r="824" spans="1:20" x14ac:dyDescent="0.25">
      <c r="A824" s="1203">
        <v>98901</v>
      </c>
      <c r="B824" s="1204" t="s">
        <v>3443</v>
      </c>
      <c r="C824" s="1303">
        <v>2.8689999999999998E-4</v>
      </c>
      <c r="D824" s="1303">
        <v>2.8390000000000002E-4</v>
      </c>
      <c r="E824" s="1007">
        <v>1025216</v>
      </c>
      <c r="F824" s="1270"/>
      <c r="G824" s="1200">
        <v>129467</v>
      </c>
      <c r="H824" s="1200">
        <v>144271</v>
      </c>
      <c r="I824" s="1200">
        <v>76296</v>
      </c>
      <c r="J824" s="1007">
        <v>26969</v>
      </c>
      <c r="K824" s="1007">
        <v>377003</v>
      </c>
      <c r="L824" s="1270"/>
      <c r="M824" s="1198">
        <v>0</v>
      </c>
      <c r="N824" s="1198">
        <v>0</v>
      </c>
      <c r="O824" s="1007">
        <v>11026</v>
      </c>
      <c r="P824" s="1007">
        <v>11026</v>
      </c>
      <c r="Q824" s="1270"/>
      <c r="R824" s="1200">
        <v>352564</v>
      </c>
      <c r="S824" s="1007">
        <v>3933</v>
      </c>
      <c r="T824" s="1306">
        <v>356497</v>
      </c>
    </row>
    <row r="825" spans="1:20" x14ac:dyDescent="0.25">
      <c r="A825" s="1203">
        <v>98904</v>
      </c>
      <c r="B825" s="1204" t="s">
        <v>3444</v>
      </c>
      <c r="C825" s="1303">
        <v>4.0999999999999997E-6</v>
      </c>
      <c r="D825" s="1303">
        <v>3.9999999999999998E-6</v>
      </c>
      <c r="E825" s="1007">
        <v>14651</v>
      </c>
      <c r="F825" s="1270"/>
      <c r="G825" s="1200">
        <v>1850</v>
      </c>
      <c r="H825" s="1200">
        <v>2061</v>
      </c>
      <c r="I825" s="1200">
        <v>1090</v>
      </c>
      <c r="J825" s="1007">
        <v>303</v>
      </c>
      <c r="K825" s="1007">
        <v>5304</v>
      </c>
      <c r="L825" s="1270"/>
      <c r="M825" s="1198">
        <v>0</v>
      </c>
      <c r="N825" s="1198">
        <v>0</v>
      </c>
      <c r="O825" s="1007">
        <v>775</v>
      </c>
      <c r="P825" s="1007">
        <v>775</v>
      </c>
      <c r="Q825" s="1270"/>
      <c r="R825" s="1200">
        <v>5038</v>
      </c>
      <c r="S825" s="1007">
        <v>-495</v>
      </c>
      <c r="T825" s="1306">
        <v>4543</v>
      </c>
    </row>
    <row r="826" spans="1:20" x14ac:dyDescent="0.25">
      <c r="A826" s="1203">
        <v>98911</v>
      </c>
      <c r="B826" s="1204" t="s">
        <v>3445</v>
      </c>
      <c r="C826" s="1303">
        <v>2.16E-5</v>
      </c>
      <c r="D826" s="1303">
        <v>1.59E-5</v>
      </c>
      <c r="E826" s="1007">
        <v>77186</v>
      </c>
      <c r="F826" s="1270"/>
      <c r="G826" s="1200">
        <v>9747</v>
      </c>
      <c r="H826" s="1200">
        <v>10862</v>
      </c>
      <c r="I826" s="1200">
        <v>5744</v>
      </c>
      <c r="J826" s="1007">
        <v>15983</v>
      </c>
      <c r="K826" s="1007">
        <v>42336</v>
      </c>
      <c r="L826" s="1270"/>
      <c r="M826" s="1198">
        <v>0</v>
      </c>
      <c r="N826" s="1198">
        <v>0</v>
      </c>
      <c r="O826" s="1007">
        <v>869</v>
      </c>
      <c r="P826" s="1007">
        <v>869</v>
      </c>
      <c r="Q826" s="1270"/>
      <c r="R826" s="1200">
        <v>26544</v>
      </c>
      <c r="S826" s="1007">
        <v>7305</v>
      </c>
      <c r="T826" s="1306">
        <v>33849</v>
      </c>
    </row>
    <row r="827" spans="1:20" x14ac:dyDescent="0.25">
      <c r="A827" s="1203">
        <v>99001</v>
      </c>
      <c r="B827" s="1204" t="s">
        <v>3446</v>
      </c>
      <c r="C827" s="1303">
        <v>9.2741000000000004E-3</v>
      </c>
      <c r="D827" s="1303">
        <v>8.8266000000000004E-3</v>
      </c>
      <c r="E827" s="1007">
        <v>33140310</v>
      </c>
      <c r="F827" s="1270"/>
      <c r="G827" s="1200">
        <v>4185040</v>
      </c>
      <c r="H827" s="1200">
        <v>4663611</v>
      </c>
      <c r="I827" s="1200">
        <v>2466289</v>
      </c>
      <c r="J827" s="1007">
        <v>958109</v>
      </c>
      <c r="K827" s="1007">
        <v>12273049</v>
      </c>
      <c r="L827" s="1270"/>
      <c r="M827" s="1198">
        <v>0</v>
      </c>
      <c r="N827" s="1198">
        <v>0</v>
      </c>
      <c r="O827" s="1007">
        <v>0</v>
      </c>
      <c r="P827" s="1007">
        <v>0</v>
      </c>
      <c r="Q827" s="1270"/>
      <c r="R827" s="1200">
        <v>11396710</v>
      </c>
      <c r="S827" s="1007">
        <v>357531</v>
      </c>
      <c r="T827" s="1306">
        <v>11754241</v>
      </c>
    </row>
    <row r="828" spans="1:20" x14ac:dyDescent="0.25">
      <c r="A828" s="1203">
        <v>99011</v>
      </c>
      <c r="B828" s="1204" t="s">
        <v>3447</v>
      </c>
      <c r="C828" s="1303">
        <v>3.8425E-3</v>
      </c>
      <c r="D828" s="1303">
        <v>3.8520999999999998E-3</v>
      </c>
      <c r="E828" s="1007">
        <v>13730889</v>
      </c>
      <c r="F828" s="1270"/>
      <c r="G828" s="1200">
        <v>1733970</v>
      </c>
      <c r="H828" s="1200">
        <v>1932255</v>
      </c>
      <c r="I828" s="1200">
        <v>1021848</v>
      </c>
      <c r="J828" s="1007">
        <v>69324</v>
      </c>
      <c r="K828" s="1007">
        <v>4757397</v>
      </c>
      <c r="L828" s="1270"/>
      <c r="M828" s="1198">
        <v>0</v>
      </c>
      <c r="N828" s="1198">
        <v>0</v>
      </c>
      <c r="O828" s="1007">
        <v>7173</v>
      </c>
      <c r="P828" s="1007">
        <v>7173</v>
      </c>
      <c r="Q828" s="1270"/>
      <c r="R828" s="1200">
        <v>4721952</v>
      </c>
      <c r="S828" s="1007">
        <v>-40650</v>
      </c>
      <c r="T828" s="1306">
        <v>4681302</v>
      </c>
    </row>
    <row r="829" spans="1:20" x14ac:dyDescent="0.25">
      <c r="A829" s="1203">
        <v>99013</v>
      </c>
      <c r="B829" s="1204" t="s">
        <v>3448</v>
      </c>
      <c r="C829" s="1303">
        <v>4.07E-5</v>
      </c>
      <c r="D829" s="1303">
        <v>4.7599999999999998E-5</v>
      </c>
      <c r="E829" s="1007">
        <v>145438</v>
      </c>
      <c r="F829" s="1270"/>
      <c r="G829" s="1200">
        <v>18366</v>
      </c>
      <c r="H829" s="1200">
        <v>20467</v>
      </c>
      <c r="I829" s="1200">
        <v>10823</v>
      </c>
      <c r="J829" s="1007">
        <v>5621</v>
      </c>
      <c r="K829" s="1007">
        <v>55277</v>
      </c>
      <c r="L829" s="1270"/>
      <c r="M829" s="1198">
        <v>0</v>
      </c>
      <c r="N829" s="1198">
        <v>0</v>
      </c>
      <c r="O829" s="1007">
        <v>1139</v>
      </c>
      <c r="P829" s="1007">
        <v>1139</v>
      </c>
      <c r="Q829" s="1270"/>
      <c r="R829" s="1200">
        <v>50015</v>
      </c>
      <c r="S829" s="1007">
        <v>-588</v>
      </c>
      <c r="T829" s="1306">
        <v>49427</v>
      </c>
    </row>
    <row r="830" spans="1:20" x14ac:dyDescent="0.25">
      <c r="A830" s="1203">
        <v>99014</v>
      </c>
      <c r="B830" s="1204" t="s">
        <v>3449</v>
      </c>
      <c r="C830" s="1303">
        <v>2.0400000000000001E-5</v>
      </c>
      <c r="D830" s="1303">
        <v>2.1299999999999999E-5</v>
      </c>
      <c r="E830" s="1007">
        <v>72898</v>
      </c>
      <c r="F830" s="1270"/>
      <c r="G830" s="1200">
        <v>9206</v>
      </c>
      <c r="H830" s="1200">
        <v>10259</v>
      </c>
      <c r="I830" s="1200">
        <v>5425</v>
      </c>
      <c r="J830" s="1007">
        <v>8294</v>
      </c>
      <c r="K830" s="1007">
        <v>33184</v>
      </c>
      <c r="L830" s="1270"/>
      <c r="M830" s="1198">
        <v>0</v>
      </c>
      <c r="N830" s="1198">
        <v>0</v>
      </c>
      <c r="O830" s="1007">
        <v>983</v>
      </c>
      <c r="P830" s="1007">
        <v>983</v>
      </c>
      <c r="Q830" s="1270"/>
      <c r="R830" s="1200">
        <v>25069</v>
      </c>
      <c r="S830" s="1007">
        <v>6096</v>
      </c>
      <c r="T830" s="1306">
        <v>31165</v>
      </c>
    </row>
    <row r="831" spans="1:20" x14ac:dyDescent="0.25">
      <c r="A831" s="1203">
        <v>99017</v>
      </c>
      <c r="B831" s="1204" t="s">
        <v>3450</v>
      </c>
      <c r="C831" s="1303">
        <v>3.6199999999999999E-5</v>
      </c>
      <c r="D831" s="1303">
        <v>4.8600000000000002E-5</v>
      </c>
      <c r="E831" s="1007">
        <v>129358</v>
      </c>
      <c r="F831" s="1270"/>
      <c r="G831" s="1200">
        <v>16336</v>
      </c>
      <c r="H831" s="1200">
        <v>18204</v>
      </c>
      <c r="I831" s="1200">
        <v>9627</v>
      </c>
      <c r="J831" s="1007">
        <v>2120</v>
      </c>
      <c r="K831" s="1007">
        <v>46287</v>
      </c>
      <c r="L831" s="1270"/>
      <c r="M831" s="1198">
        <v>0</v>
      </c>
      <c r="N831" s="1198">
        <v>0</v>
      </c>
      <c r="O831" s="1007">
        <v>15065</v>
      </c>
      <c r="P831" s="1007">
        <v>15065</v>
      </c>
      <c r="Q831" s="1270"/>
      <c r="R831" s="1200">
        <v>44485</v>
      </c>
      <c r="S831" s="1007">
        <v>-3151</v>
      </c>
      <c r="T831" s="1306">
        <v>41334</v>
      </c>
    </row>
    <row r="832" spans="1:20" x14ac:dyDescent="0.25">
      <c r="A832" s="1203">
        <v>99021</v>
      </c>
      <c r="B832" s="1204" t="s">
        <v>3451</v>
      </c>
      <c r="C832" s="1303">
        <v>1.3100000000000001E-4</v>
      </c>
      <c r="D832" s="1303">
        <v>1.405E-4</v>
      </c>
      <c r="E832" s="1007">
        <v>468119</v>
      </c>
      <c r="F832" s="1270"/>
      <c r="G832" s="1200">
        <v>59115</v>
      </c>
      <c r="H832" s="1200">
        <v>65875</v>
      </c>
      <c r="I832" s="1200">
        <v>34837</v>
      </c>
      <c r="J832" s="1007">
        <v>4753</v>
      </c>
      <c r="K832" s="1007">
        <v>164580</v>
      </c>
      <c r="L832" s="1270"/>
      <c r="M832" s="1198">
        <v>0</v>
      </c>
      <c r="N832" s="1198">
        <v>0</v>
      </c>
      <c r="O832" s="1007">
        <v>17294</v>
      </c>
      <c r="P832" s="1007">
        <v>17294</v>
      </c>
      <c r="Q832" s="1270"/>
      <c r="R832" s="1200">
        <v>160983</v>
      </c>
      <c r="S832" s="1007">
        <v>-4177</v>
      </c>
      <c r="T832" s="1306">
        <v>156806</v>
      </c>
    </row>
    <row r="833" spans="1:20" x14ac:dyDescent="0.25">
      <c r="A833" s="1203">
        <v>99022</v>
      </c>
      <c r="B833" s="1204" t="s">
        <v>1962</v>
      </c>
      <c r="C833" s="1303">
        <v>7.7000000000000008E-6</v>
      </c>
      <c r="D833" s="1303">
        <v>8.8000000000000004E-6</v>
      </c>
      <c r="E833" s="1007">
        <v>27515</v>
      </c>
      <c r="F833" s="1270"/>
      <c r="G833" s="1200">
        <v>3475</v>
      </c>
      <c r="H833" s="1200">
        <v>3872</v>
      </c>
      <c r="I833" s="1200">
        <v>2048</v>
      </c>
      <c r="J833" s="1007">
        <v>9629</v>
      </c>
      <c r="K833" s="1007">
        <v>19024</v>
      </c>
      <c r="L833" s="1270"/>
      <c r="M833" s="1198">
        <v>0</v>
      </c>
      <c r="N833" s="1198">
        <v>0</v>
      </c>
      <c r="O833" s="1007">
        <v>0</v>
      </c>
      <c r="P833" s="1007">
        <v>0</v>
      </c>
      <c r="Q833" s="1270"/>
      <c r="R833" s="1200">
        <v>9462</v>
      </c>
      <c r="S833" s="1007">
        <v>5197</v>
      </c>
      <c r="T833" s="1306">
        <v>14659</v>
      </c>
    </row>
    <row r="834" spans="1:20" x14ac:dyDescent="0.25">
      <c r="A834" s="1203">
        <v>99031</v>
      </c>
      <c r="B834" s="1204" t="s">
        <v>3452</v>
      </c>
      <c r="C834" s="1303">
        <v>9.7499999999999998E-5</v>
      </c>
      <c r="D834" s="1303">
        <v>1.208E-4</v>
      </c>
      <c r="E834" s="1007">
        <v>348409</v>
      </c>
      <c r="F834" s="1270"/>
      <c r="G834" s="1200">
        <v>43998</v>
      </c>
      <c r="H834" s="1200">
        <v>49030</v>
      </c>
      <c r="I834" s="1200">
        <v>25928</v>
      </c>
      <c r="J834" s="1007">
        <v>0</v>
      </c>
      <c r="K834" s="1007">
        <v>118956</v>
      </c>
      <c r="L834" s="1270"/>
      <c r="M834" s="1198">
        <v>0</v>
      </c>
      <c r="N834" s="1198">
        <v>0</v>
      </c>
      <c r="O834" s="1007">
        <v>47140</v>
      </c>
      <c r="P834" s="1007">
        <v>47140</v>
      </c>
      <c r="Q834" s="1270"/>
      <c r="R834" s="1200">
        <v>119815</v>
      </c>
      <c r="S834" s="1007">
        <v>-18443</v>
      </c>
      <c r="T834" s="1306">
        <v>101372</v>
      </c>
    </row>
    <row r="835" spans="1:20" x14ac:dyDescent="0.25">
      <c r="A835" s="1203">
        <v>99041</v>
      </c>
      <c r="B835" s="1204" t="s">
        <v>3453</v>
      </c>
      <c r="C835" s="1303">
        <v>6.4840000000000004E-4</v>
      </c>
      <c r="D835" s="1303">
        <v>6.3840000000000001E-4</v>
      </c>
      <c r="E835" s="1007">
        <v>2317009</v>
      </c>
      <c r="F835" s="1270"/>
      <c r="G835" s="1200">
        <v>292598</v>
      </c>
      <c r="H835" s="1200">
        <v>326057</v>
      </c>
      <c r="I835" s="1200">
        <v>172431</v>
      </c>
      <c r="J835" s="1007">
        <v>15213</v>
      </c>
      <c r="K835" s="1007">
        <v>806299</v>
      </c>
      <c r="L835" s="1270"/>
      <c r="M835" s="1198">
        <v>0</v>
      </c>
      <c r="N835" s="1198">
        <v>0</v>
      </c>
      <c r="O835" s="1007">
        <v>34317</v>
      </c>
      <c r="P835" s="1007">
        <v>34317</v>
      </c>
      <c r="Q835" s="1270"/>
      <c r="R835" s="1200">
        <v>796803</v>
      </c>
      <c r="S835" s="1007">
        <v>-2733</v>
      </c>
      <c r="T835" s="1306">
        <v>794070</v>
      </c>
    </row>
    <row r="836" spans="1:20" x14ac:dyDescent="0.25">
      <c r="A836" s="1203">
        <v>99047</v>
      </c>
      <c r="B836" s="1204" t="s">
        <v>3454</v>
      </c>
      <c r="C836" s="1303">
        <v>1.38E-5</v>
      </c>
      <c r="D836" s="1303">
        <v>1.33E-5</v>
      </c>
      <c r="E836" s="1007">
        <v>49313</v>
      </c>
      <c r="F836" s="1270"/>
      <c r="G836" s="1200">
        <v>6227</v>
      </c>
      <c r="H836" s="1200">
        <v>6940</v>
      </c>
      <c r="I836" s="1200">
        <v>3670</v>
      </c>
      <c r="J836" s="1007">
        <v>9303</v>
      </c>
      <c r="K836" s="1007">
        <v>26140</v>
      </c>
      <c r="L836" s="1270"/>
      <c r="M836" s="1198">
        <v>0</v>
      </c>
      <c r="N836" s="1198">
        <v>0</v>
      </c>
      <c r="O836" s="1007">
        <v>0</v>
      </c>
      <c r="P836" s="1007">
        <v>0</v>
      </c>
      <c r="Q836" s="1270"/>
      <c r="R836" s="1200">
        <v>16958</v>
      </c>
      <c r="S836" s="1007">
        <v>4203</v>
      </c>
      <c r="T836" s="1306">
        <v>21161</v>
      </c>
    </row>
    <row r="837" spans="1:20" x14ac:dyDescent="0.25">
      <c r="A837" s="1203">
        <v>99051</v>
      </c>
      <c r="B837" s="1204" t="s">
        <v>3455</v>
      </c>
      <c r="C837" s="1303">
        <v>3.592E-4</v>
      </c>
      <c r="D837" s="1303">
        <v>3.4049999999999998E-4</v>
      </c>
      <c r="E837" s="1007">
        <v>1283575</v>
      </c>
      <c r="F837" s="1270"/>
      <c r="G837" s="1200">
        <v>162093</v>
      </c>
      <c r="H837" s="1200">
        <v>180628</v>
      </c>
      <c r="I837" s="1200">
        <v>95523</v>
      </c>
      <c r="J837" s="1007">
        <v>8852</v>
      </c>
      <c r="K837" s="1007">
        <v>447096</v>
      </c>
      <c r="L837" s="1270"/>
      <c r="M837" s="1198">
        <v>0</v>
      </c>
      <c r="N837" s="1198">
        <v>0</v>
      </c>
      <c r="O837" s="1007">
        <v>18931</v>
      </c>
      <c r="P837" s="1007">
        <v>18931</v>
      </c>
      <c r="Q837" s="1270"/>
      <c r="R837" s="1200">
        <v>441412</v>
      </c>
      <c r="S837" s="1007">
        <v>-2530</v>
      </c>
      <c r="T837" s="1306">
        <v>438882</v>
      </c>
    </row>
    <row r="838" spans="1:20" x14ac:dyDescent="0.25">
      <c r="A838" s="1203">
        <v>99061</v>
      </c>
      <c r="B838" s="1204" t="s">
        <v>3456</v>
      </c>
      <c r="C838" s="1303">
        <v>5.4999999999999999E-6</v>
      </c>
      <c r="D838" s="1303">
        <v>6.1E-6</v>
      </c>
      <c r="E838" s="1007">
        <v>19654</v>
      </c>
      <c r="F838" s="1270"/>
      <c r="G838" s="1200">
        <v>2482</v>
      </c>
      <c r="H838" s="1200">
        <v>2766</v>
      </c>
      <c r="I838" s="1200">
        <v>1463</v>
      </c>
      <c r="J838" s="1007">
        <v>3443</v>
      </c>
      <c r="K838" s="1007">
        <v>10154</v>
      </c>
      <c r="L838" s="1270"/>
      <c r="M838" s="1198">
        <v>0</v>
      </c>
      <c r="N838" s="1198">
        <v>0</v>
      </c>
      <c r="O838" s="1007">
        <v>0</v>
      </c>
      <c r="P838" s="1007">
        <v>0</v>
      </c>
      <c r="Q838" s="1270"/>
      <c r="R838" s="1200">
        <v>6759</v>
      </c>
      <c r="S838" s="1007">
        <v>2601</v>
      </c>
      <c r="T838" s="1306">
        <v>9360</v>
      </c>
    </row>
    <row r="839" spans="1:20" x14ac:dyDescent="0.25">
      <c r="A839" s="1203">
        <v>99071</v>
      </c>
      <c r="B839" s="1204" t="s">
        <v>3457</v>
      </c>
      <c r="C839" s="1303">
        <v>2.3799999999999999E-5</v>
      </c>
      <c r="D839" s="1303">
        <v>2.4499999999999999E-5</v>
      </c>
      <c r="E839" s="1007">
        <v>85048</v>
      </c>
      <c r="F839" s="1270"/>
      <c r="G839" s="1200">
        <v>10740</v>
      </c>
      <c r="H839" s="1200">
        <v>11968</v>
      </c>
      <c r="I839" s="1200">
        <v>6329</v>
      </c>
      <c r="J839" s="1007">
        <v>3611</v>
      </c>
      <c r="K839" s="1007">
        <v>32648</v>
      </c>
      <c r="L839" s="1270"/>
      <c r="M839" s="1198">
        <v>0</v>
      </c>
      <c r="N839" s="1198">
        <v>0</v>
      </c>
      <c r="O839" s="1007">
        <v>2854</v>
      </c>
      <c r="P839" s="1007">
        <v>2854</v>
      </c>
      <c r="Q839" s="1270"/>
      <c r="R839" s="1200">
        <v>29247</v>
      </c>
      <c r="S839" s="1007">
        <v>-50</v>
      </c>
      <c r="T839" s="1306">
        <v>29197</v>
      </c>
    </row>
    <row r="840" spans="1:20" x14ac:dyDescent="0.25">
      <c r="A840" s="1203">
        <v>99081</v>
      </c>
      <c r="B840" s="1204" t="s">
        <v>3458</v>
      </c>
      <c r="C840" s="1303">
        <v>3.8800000000000001E-5</v>
      </c>
      <c r="D840" s="1303">
        <v>3.65E-5</v>
      </c>
      <c r="E840" s="1007">
        <v>138649</v>
      </c>
      <c r="F840" s="1270"/>
      <c r="G840" s="1200">
        <v>17509</v>
      </c>
      <c r="H840" s="1200">
        <v>19512</v>
      </c>
      <c r="I840" s="1200">
        <v>10318</v>
      </c>
      <c r="J840" s="1007">
        <v>14004</v>
      </c>
      <c r="K840" s="1007">
        <v>61343</v>
      </c>
      <c r="L840" s="1270"/>
      <c r="M840" s="1198">
        <v>0</v>
      </c>
      <c r="N840" s="1198">
        <v>0</v>
      </c>
      <c r="O840" s="1007">
        <v>2087</v>
      </c>
      <c r="P840" s="1007">
        <v>2087</v>
      </c>
      <c r="Q840" s="1270"/>
      <c r="R840" s="1200">
        <v>47680</v>
      </c>
      <c r="S840" s="1007">
        <v>1965</v>
      </c>
      <c r="T840" s="1306">
        <v>49645</v>
      </c>
    </row>
    <row r="841" spans="1:20" x14ac:dyDescent="0.25">
      <c r="A841" s="1203">
        <v>99091</v>
      </c>
      <c r="B841" s="1204" t="s">
        <v>3459</v>
      </c>
      <c r="C841" s="1303">
        <v>1.5800000000000001E-5</v>
      </c>
      <c r="D841" s="1303">
        <v>5.4E-6</v>
      </c>
      <c r="E841" s="1007">
        <v>56460</v>
      </c>
      <c r="F841" s="1270"/>
      <c r="G841" s="1200">
        <v>7130</v>
      </c>
      <c r="H841" s="1200">
        <v>7945</v>
      </c>
      <c r="I841" s="1200">
        <v>4202</v>
      </c>
      <c r="J841" s="1007">
        <v>22260</v>
      </c>
      <c r="K841" s="1007">
        <v>41537</v>
      </c>
      <c r="L841" s="1270"/>
      <c r="M841" s="1198">
        <v>0</v>
      </c>
      <c r="N841" s="1198">
        <v>0</v>
      </c>
      <c r="O841" s="1007">
        <v>0</v>
      </c>
      <c r="P841" s="1007">
        <v>0</v>
      </c>
      <c r="Q841" s="1270"/>
      <c r="R841" s="1200">
        <v>19416</v>
      </c>
      <c r="S841" s="1007">
        <v>8346</v>
      </c>
      <c r="T841" s="1306">
        <v>27762</v>
      </c>
    </row>
    <row r="842" spans="1:20" x14ac:dyDescent="0.25">
      <c r="A842" s="1203">
        <v>99101</v>
      </c>
      <c r="B842" s="1204" t="s">
        <v>3460</v>
      </c>
      <c r="C842" s="1303">
        <v>1.9082999999999999E-3</v>
      </c>
      <c r="D842" s="1303">
        <v>2.1218000000000001E-3</v>
      </c>
      <c r="E842" s="1007">
        <v>6819169</v>
      </c>
      <c r="F842" s="1270"/>
      <c r="G842" s="1200">
        <v>861141</v>
      </c>
      <c r="H842" s="1200">
        <v>959616</v>
      </c>
      <c r="I842" s="1200">
        <v>507480</v>
      </c>
      <c r="J842" s="1007">
        <v>10815</v>
      </c>
      <c r="K842" s="1007">
        <v>2339052</v>
      </c>
      <c r="L842" s="1270"/>
      <c r="M842" s="1198">
        <v>0</v>
      </c>
      <c r="N842" s="1198">
        <v>0</v>
      </c>
      <c r="O842" s="1007">
        <v>367179</v>
      </c>
      <c r="P842" s="1007">
        <v>367179</v>
      </c>
      <c r="Q842" s="1270"/>
      <c r="R842" s="1200">
        <v>2345062</v>
      </c>
      <c r="S842" s="1007">
        <v>-122654</v>
      </c>
      <c r="T842" s="1306">
        <v>2222408</v>
      </c>
    </row>
    <row r="843" spans="1:20" x14ac:dyDescent="0.25">
      <c r="A843" s="1203">
        <v>99104</v>
      </c>
      <c r="B843" s="1204" t="s">
        <v>3461</v>
      </c>
      <c r="C843" s="1303">
        <v>3.1999999999999999E-5</v>
      </c>
      <c r="D843" s="1303">
        <v>3.2700000000000002E-5</v>
      </c>
      <c r="E843" s="1007">
        <v>114350</v>
      </c>
      <c r="F843" s="1270"/>
      <c r="G843" s="1200">
        <v>14440</v>
      </c>
      <c r="H843" s="1200">
        <v>16092</v>
      </c>
      <c r="I843" s="1200">
        <v>8510</v>
      </c>
      <c r="J843" s="1007">
        <v>21325</v>
      </c>
      <c r="K843" s="1007">
        <v>60367</v>
      </c>
      <c r="L843" s="1270"/>
      <c r="M843" s="1198">
        <v>0</v>
      </c>
      <c r="N843" s="1198">
        <v>0</v>
      </c>
      <c r="O843" s="1007">
        <v>0</v>
      </c>
      <c r="P843" s="1007">
        <v>0</v>
      </c>
      <c r="Q843" s="1270"/>
      <c r="R843" s="1200">
        <v>39324</v>
      </c>
      <c r="S843" s="1007">
        <v>10435</v>
      </c>
      <c r="T843" s="1306">
        <v>49759</v>
      </c>
    </row>
    <row r="844" spans="1:20" x14ac:dyDescent="0.25">
      <c r="A844" s="1203">
        <v>99109</v>
      </c>
      <c r="B844" s="1204" t="s">
        <v>3462</v>
      </c>
      <c r="C844" s="1303">
        <v>1.139E-4</v>
      </c>
      <c r="D844" s="1303">
        <v>1.169E-4</v>
      </c>
      <c r="E844" s="1007">
        <v>407013</v>
      </c>
      <c r="F844" s="1270"/>
      <c r="G844" s="1200">
        <v>51399</v>
      </c>
      <c r="H844" s="1200">
        <v>57276</v>
      </c>
      <c r="I844" s="1200">
        <v>30290</v>
      </c>
      <c r="J844" s="1007">
        <v>758</v>
      </c>
      <c r="K844" s="1007">
        <v>139723</v>
      </c>
      <c r="L844" s="1270"/>
      <c r="M844" s="1198">
        <v>0</v>
      </c>
      <c r="N844" s="1198">
        <v>0</v>
      </c>
      <c r="O844" s="1007">
        <v>10415</v>
      </c>
      <c r="P844" s="1007">
        <v>10415</v>
      </c>
      <c r="Q844" s="1270"/>
      <c r="R844" s="1200">
        <v>139969</v>
      </c>
      <c r="S844" s="1007">
        <v>-5820</v>
      </c>
      <c r="T844" s="1306">
        <v>134149</v>
      </c>
    </row>
    <row r="845" spans="1:20" x14ac:dyDescent="0.25">
      <c r="A845" s="1203">
        <v>99110</v>
      </c>
      <c r="B845" s="1204" t="s">
        <v>3463</v>
      </c>
      <c r="C845" s="1303">
        <v>1.9249999999999999E-4</v>
      </c>
      <c r="D845" s="1303">
        <v>1.437E-4</v>
      </c>
      <c r="E845" s="1007">
        <v>687885</v>
      </c>
      <c r="F845" s="1270"/>
      <c r="G845" s="1200">
        <v>86868</v>
      </c>
      <c r="H845" s="1200">
        <v>96802</v>
      </c>
      <c r="I845" s="1200">
        <v>51192</v>
      </c>
      <c r="J845" s="1007">
        <v>136815</v>
      </c>
      <c r="K845" s="1007">
        <v>371677</v>
      </c>
      <c r="L845" s="1270"/>
      <c r="M845" s="1198">
        <v>0</v>
      </c>
      <c r="N845" s="1198">
        <v>0</v>
      </c>
      <c r="O845" s="1007">
        <v>0</v>
      </c>
      <c r="P845" s="1007">
        <v>0</v>
      </c>
      <c r="Q845" s="1270"/>
      <c r="R845" s="1200">
        <v>236558</v>
      </c>
      <c r="S845" s="1007">
        <v>58439</v>
      </c>
      <c r="T845" s="1306">
        <v>294997</v>
      </c>
    </row>
    <row r="846" spans="1:20" x14ac:dyDescent="0.25">
      <c r="A846" s="1203">
        <v>99111</v>
      </c>
      <c r="B846" s="1204" t="s">
        <v>3464</v>
      </c>
      <c r="C846" s="1303">
        <v>1.3797E-3</v>
      </c>
      <c r="D846" s="1303">
        <v>1.3064999999999999E-3</v>
      </c>
      <c r="E846" s="1007">
        <v>4930256</v>
      </c>
      <c r="F846" s="1270"/>
      <c r="G846" s="1200">
        <v>622605</v>
      </c>
      <c r="H846" s="1200">
        <v>693801</v>
      </c>
      <c r="I846" s="1200">
        <v>366908</v>
      </c>
      <c r="J846" s="1007">
        <v>64043</v>
      </c>
      <c r="K846" s="1007">
        <v>1747357</v>
      </c>
      <c r="L846" s="1270"/>
      <c r="M846" s="1198">
        <v>0</v>
      </c>
      <c r="N846" s="1198">
        <v>0</v>
      </c>
      <c r="O846" s="1007">
        <v>33822</v>
      </c>
      <c r="P846" s="1007">
        <v>33822</v>
      </c>
      <c r="Q846" s="1270"/>
      <c r="R846" s="1200">
        <v>1695479</v>
      </c>
      <c r="S846" s="1007">
        <v>-10100</v>
      </c>
      <c r="T846" s="1306">
        <v>1685379</v>
      </c>
    </row>
    <row r="847" spans="1:20" x14ac:dyDescent="0.25">
      <c r="A847" s="1203">
        <v>99201</v>
      </c>
      <c r="B847" s="1204" t="s">
        <v>3465</v>
      </c>
      <c r="C847" s="1303">
        <v>3.5152000000000003E-2</v>
      </c>
      <c r="D847" s="1303">
        <v>3.5284299999999998E-2</v>
      </c>
      <c r="E847" s="1007">
        <v>125613071</v>
      </c>
      <c r="F847" s="1270"/>
      <c r="G847" s="1200">
        <v>15862727</v>
      </c>
      <c r="H847" s="1200">
        <v>17676675</v>
      </c>
      <c r="I847" s="1200">
        <v>9348077</v>
      </c>
      <c r="J847" s="1007">
        <v>1249958</v>
      </c>
      <c r="K847" s="1007">
        <v>44137437</v>
      </c>
      <c r="L847" s="1270"/>
      <c r="M847" s="1198">
        <v>0</v>
      </c>
      <c r="N847" s="1198">
        <v>0</v>
      </c>
      <c r="O847" s="1007">
        <v>0</v>
      </c>
      <c r="P847" s="1007">
        <v>0</v>
      </c>
      <c r="Q847" s="1270"/>
      <c r="R847" s="1200">
        <v>43197414</v>
      </c>
      <c r="S847" s="1007">
        <v>663106</v>
      </c>
      <c r="T847" s="1306">
        <v>43860520</v>
      </c>
    </row>
    <row r="848" spans="1:20" x14ac:dyDescent="0.25">
      <c r="A848" s="1203">
        <v>99202</v>
      </c>
      <c r="B848" s="1204" t="s">
        <v>3466</v>
      </c>
      <c r="C848" s="1303">
        <v>2.8838000000000002E-3</v>
      </c>
      <c r="D848" s="1303">
        <v>2.8322E-3</v>
      </c>
      <c r="E848" s="1007">
        <v>10305046</v>
      </c>
      <c r="F848" s="1270"/>
      <c r="G848" s="1200">
        <v>1301346</v>
      </c>
      <c r="H848" s="1200">
        <v>1450160</v>
      </c>
      <c r="I848" s="1200">
        <v>766898</v>
      </c>
      <c r="J848" s="1007">
        <v>0</v>
      </c>
      <c r="K848" s="1007">
        <v>3518404</v>
      </c>
      <c r="L848" s="1270"/>
      <c r="M848" s="1198">
        <v>0</v>
      </c>
      <c r="N848" s="1198">
        <v>0</v>
      </c>
      <c r="O848" s="1007">
        <v>51544</v>
      </c>
      <c r="P848" s="1007">
        <v>51544</v>
      </c>
      <c r="Q848" s="1270"/>
      <c r="R848" s="1200">
        <v>3543830</v>
      </c>
      <c r="S848" s="1007">
        <v>-56639</v>
      </c>
      <c r="T848" s="1306">
        <v>3487191</v>
      </c>
    </row>
    <row r="849" spans="1:20" x14ac:dyDescent="0.25">
      <c r="A849" s="1203">
        <v>99203</v>
      </c>
      <c r="B849" s="1204" t="s">
        <v>3467</v>
      </c>
      <c r="C849" s="1303">
        <v>3.8450000000000002E-4</v>
      </c>
      <c r="D849" s="1303">
        <v>3.5179999999999999E-4</v>
      </c>
      <c r="E849" s="1007">
        <v>1373982</v>
      </c>
      <c r="F849" s="1270"/>
      <c r="G849" s="1200">
        <v>173510</v>
      </c>
      <c r="H849" s="1200">
        <v>193351</v>
      </c>
      <c r="I849" s="1200">
        <v>102251</v>
      </c>
      <c r="J849" s="1007">
        <v>59190</v>
      </c>
      <c r="K849" s="1007">
        <v>528302</v>
      </c>
      <c r="L849" s="1270"/>
      <c r="M849" s="1198">
        <v>0</v>
      </c>
      <c r="N849" s="1198">
        <v>0</v>
      </c>
      <c r="O849" s="1007">
        <v>10509</v>
      </c>
      <c r="P849" s="1007">
        <v>10509</v>
      </c>
      <c r="Q849" s="1270"/>
      <c r="R849" s="1200">
        <v>472502</v>
      </c>
      <c r="S849" s="1007">
        <v>15582</v>
      </c>
      <c r="T849" s="1306">
        <v>488084</v>
      </c>
    </row>
    <row r="850" spans="1:20" x14ac:dyDescent="0.25">
      <c r="A850" s="1203">
        <v>99204</v>
      </c>
      <c r="B850" s="1204" t="s">
        <v>3468</v>
      </c>
      <c r="C850" s="1303">
        <v>1.0219999999999999E-3</v>
      </c>
      <c r="D850" s="1303">
        <v>9.4149999999999995E-4</v>
      </c>
      <c r="E850" s="1007">
        <v>3652041</v>
      </c>
      <c r="F850" s="1270"/>
      <c r="G850" s="1200">
        <v>461189</v>
      </c>
      <c r="H850" s="1200">
        <v>513927</v>
      </c>
      <c r="I850" s="1200">
        <v>271784</v>
      </c>
      <c r="J850" s="1007">
        <v>137503</v>
      </c>
      <c r="K850" s="1007">
        <v>1384403</v>
      </c>
      <c r="L850" s="1270"/>
      <c r="M850" s="1198">
        <v>0</v>
      </c>
      <c r="N850" s="1198">
        <v>0</v>
      </c>
      <c r="O850" s="1007">
        <v>0</v>
      </c>
      <c r="P850" s="1007">
        <v>0</v>
      </c>
      <c r="Q850" s="1270"/>
      <c r="R850" s="1200">
        <v>1255910</v>
      </c>
      <c r="S850" s="1007">
        <v>71658</v>
      </c>
      <c r="T850" s="1306">
        <v>1327568</v>
      </c>
    </row>
    <row r="851" spans="1:20" x14ac:dyDescent="0.25">
      <c r="A851" s="1203">
        <v>99206</v>
      </c>
      <c r="B851" s="1204" t="s">
        <v>3469</v>
      </c>
      <c r="C851" s="1303">
        <v>1.7485999999999999E-3</v>
      </c>
      <c r="D851" s="1303">
        <v>1.6375999999999999E-3</v>
      </c>
      <c r="E851" s="1007">
        <v>6248493</v>
      </c>
      <c r="F851" s="1270"/>
      <c r="G851" s="1200">
        <v>789075</v>
      </c>
      <c r="H851" s="1200">
        <v>879308</v>
      </c>
      <c r="I851" s="1200">
        <v>465010</v>
      </c>
      <c r="J851" s="1007">
        <v>428026</v>
      </c>
      <c r="K851" s="1007">
        <v>2561419</v>
      </c>
      <c r="L851" s="1270"/>
      <c r="M851" s="1198">
        <v>0</v>
      </c>
      <c r="N851" s="1198">
        <v>0</v>
      </c>
      <c r="O851" s="1007">
        <v>75683</v>
      </c>
      <c r="P851" s="1007">
        <v>75683</v>
      </c>
      <c r="Q851" s="1270"/>
      <c r="R851" s="1200">
        <v>2148811</v>
      </c>
      <c r="S851" s="1007">
        <v>253748</v>
      </c>
      <c r="T851" s="1306">
        <v>2402559</v>
      </c>
    </row>
    <row r="852" spans="1:20" x14ac:dyDescent="0.25">
      <c r="A852" s="1203">
        <v>99207</v>
      </c>
      <c r="B852" s="1204" t="s">
        <v>3470</v>
      </c>
      <c r="C852" s="1303">
        <v>1.111E-4</v>
      </c>
      <c r="D852" s="1303">
        <v>1.206E-4</v>
      </c>
      <c r="E852" s="1007">
        <v>397008</v>
      </c>
      <c r="F852" s="1270"/>
      <c r="G852" s="1200">
        <v>50135</v>
      </c>
      <c r="H852" s="1200">
        <v>55868</v>
      </c>
      <c r="I852" s="1200">
        <v>29545</v>
      </c>
      <c r="J852" s="1007">
        <v>138831</v>
      </c>
      <c r="K852" s="1007">
        <v>274379</v>
      </c>
      <c r="L852" s="1270"/>
      <c r="M852" s="1198">
        <v>0</v>
      </c>
      <c r="N852" s="1198">
        <v>0</v>
      </c>
      <c r="O852" s="1007">
        <v>586</v>
      </c>
      <c r="P852" s="1007">
        <v>586</v>
      </c>
      <c r="Q852" s="1270"/>
      <c r="R852" s="1200">
        <v>136528</v>
      </c>
      <c r="S852" s="1007">
        <v>79725</v>
      </c>
      <c r="T852" s="1306">
        <v>216253</v>
      </c>
    </row>
    <row r="853" spans="1:20" x14ac:dyDescent="0.25">
      <c r="A853" s="1203">
        <v>99208</v>
      </c>
      <c r="B853" s="1204" t="s">
        <v>3471</v>
      </c>
      <c r="C853" s="1303">
        <v>3.2929999999999998E-4</v>
      </c>
      <c r="D853" s="1303">
        <v>3.0939999999999999E-4</v>
      </c>
      <c r="E853" s="1007">
        <v>1176729</v>
      </c>
      <c r="F853" s="1270"/>
      <c r="G853" s="1200">
        <v>148600</v>
      </c>
      <c r="H853" s="1200">
        <v>165593</v>
      </c>
      <c r="I853" s="1200">
        <v>87572</v>
      </c>
      <c r="J853" s="1007">
        <v>47651</v>
      </c>
      <c r="K853" s="1007">
        <v>449416</v>
      </c>
      <c r="L853" s="1270"/>
      <c r="M853" s="1198">
        <v>0</v>
      </c>
      <c r="N853" s="1198">
        <v>0</v>
      </c>
      <c r="O853" s="1007">
        <v>6430</v>
      </c>
      <c r="P853" s="1007">
        <v>6430</v>
      </c>
      <c r="Q853" s="1270"/>
      <c r="R853" s="1200">
        <v>404669</v>
      </c>
      <c r="S853" s="1007">
        <v>11134</v>
      </c>
      <c r="T853" s="1306">
        <v>415803</v>
      </c>
    </row>
    <row r="854" spans="1:20" x14ac:dyDescent="0.25">
      <c r="A854" s="1203">
        <v>99210</v>
      </c>
      <c r="B854" s="1204" t="s">
        <v>3472</v>
      </c>
      <c r="C854" s="1303">
        <v>1.8843E-3</v>
      </c>
      <c r="D854" s="1303">
        <v>1.7913E-3</v>
      </c>
      <c r="E854" s="1007">
        <v>6733407</v>
      </c>
      <c r="F854" s="1270"/>
      <c r="G854" s="1200">
        <v>850311</v>
      </c>
      <c r="H854" s="1200">
        <v>947547</v>
      </c>
      <c r="I854" s="1200">
        <v>501098</v>
      </c>
      <c r="J854" s="1007">
        <v>359261</v>
      </c>
      <c r="K854" s="1007">
        <v>2658217</v>
      </c>
      <c r="L854" s="1270"/>
      <c r="M854" s="1198">
        <v>0</v>
      </c>
      <c r="N854" s="1198">
        <v>0</v>
      </c>
      <c r="O854" s="1007">
        <v>0</v>
      </c>
      <c r="P854" s="1007">
        <v>0</v>
      </c>
      <c r="Q854" s="1270"/>
      <c r="R854" s="1200">
        <v>2315569</v>
      </c>
      <c r="S854" s="1007">
        <v>140238</v>
      </c>
      <c r="T854" s="1306">
        <v>2455807</v>
      </c>
    </row>
    <row r="855" spans="1:20" x14ac:dyDescent="0.25">
      <c r="A855" s="1203">
        <v>99211</v>
      </c>
      <c r="B855" s="1204" t="s">
        <v>3473</v>
      </c>
      <c r="C855" s="1303">
        <v>3.7671200000000002E-2</v>
      </c>
      <c r="D855" s="1303">
        <v>3.8786099999999997E-2</v>
      </c>
      <c r="E855" s="1007">
        <v>134615246</v>
      </c>
      <c r="F855" s="1270"/>
      <c r="G855" s="1200">
        <v>16999543</v>
      </c>
      <c r="H855" s="1200">
        <v>18943490</v>
      </c>
      <c r="I855" s="1200">
        <v>10018015</v>
      </c>
      <c r="J855" s="1007">
        <v>325015</v>
      </c>
      <c r="K855" s="1007">
        <v>46286063</v>
      </c>
      <c r="L855" s="1270"/>
      <c r="M855" s="1198">
        <v>0</v>
      </c>
      <c r="N855" s="1198">
        <v>0</v>
      </c>
      <c r="O855" s="1007">
        <v>2255886</v>
      </c>
      <c r="P855" s="1007">
        <v>2255886</v>
      </c>
      <c r="Q855" s="1270"/>
      <c r="R855" s="1200">
        <v>46293196</v>
      </c>
      <c r="S855" s="1007">
        <v>-923144</v>
      </c>
      <c r="T855" s="1306">
        <v>45370052</v>
      </c>
    </row>
    <row r="856" spans="1:20" x14ac:dyDescent="0.25">
      <c r="A856" s="1203">
        <v>99212</v>
      </c>
      <c r="B856" s="1204" t="s">
        <v>3474</v>
      </c>
      <c r="C856" s="1303">
        <v>8.7200000000000005E-5</v>
      </c>
      <c r="D856" s="1303">
        <v>6.7999999999999999E-5</v>
      </c>
      <c r="E856" s="1007">
        <v>311603</v>
      </c>
      <c r="F856" s="1270"/>
      <c r="G856" s="1200">
        <v>39350</v>
      </c>
      <c r="H856" s="1200">
        <v>43850</v>
      </c>
      <c r="I856" s="1200">
        <v>23189</v>
      </c>
      <c r="J856" s="1007">
        <v>14108</v>
      </c>
      <c r="K856" s="1007">
        <v>120497</v>
      </c>
      <c r="L856" s="1270"/>
      <c r="M856" s="1198">
        <v>0</v>
      </c>
      <c r="N856" s="1198">
        <v>0</v>
      </c>
      <c r="O856" s="1007">
        <v>8064</v>
      </c>
      <c r="P856" s="1007">
        <v>8064</v>
      </c>
      <c r="Q856" s="1270"/>
      <c r="R856" s="1200">
        <v>107158</v>
      </c>
      <c r="S856" s="1007">
        <v>-5873</v>
      </c>
      <c r="T856" s="1306">
        <v>101285</v>
      </c>
    </row>
    <row r="857" spans="1:20" x14ac:dyDescent="0.25">
      <c r="A857" s="1203">
        <v>99213</v>
      </c>
      <c r="B857" s="1204" t="s">
        <v>3475</v>
      </c>
      <c r="C857" s="1303">
        <v>6.6209999999999999E-4</v>
      </c>
      <c r="D857" s="1303">
        <v>6.7770000000000005E-4</v>
      </c>
      <c r="E857" s="1007">
        <v>2365965</v>
      </c>
      <c r="F857" s="1270"/>
      <c r="G857" s="1200">
        <v>298780</v>
      </c>
      <c r="H857" s="1200">
        <v>332946</v>
      </c>
      <c r="I857" s="1200">
        <v>176074</v>
      </c>
      <c r="J857" s="1007">
        <v>18345</v>
      </c>
      <c r="K857" s="1007">
        <v>826145</v>
      </c>
      <c r="L857" s="1270"/>
      <c r="M857" s="1198">
        <v>0</v>
      </c>
      <c r="N857" s="1198">
        <v>0</v>
      </c>
      <c r="O857" s="1007">
        <v>56734</v>
      </c>
      <c r="P857" s="1007">
        <v>56734</v>
      </c>
      <c r="Q857" s="1270"/>
      <c r="R857" s="1200">
        <v>813638</v>
      </c>
      <c r="S857" s="1007">
        <v>-20836</v>
      </c>
      <c r="T857" s="1306">
        <v>792802</v>
      </c>
    </row>
    <row r="858" spans="1:20" x14ac:dyDescent="0.25">
      <c r="A858" s="1203">
        <v>99218</v>
      </c>
      <c r="B858" s="1204" t="s">
        <v>3476</v>
      </c>
      <c r="C858" s="1303">
        <v>3.7810000000000001E-3</v>
      </c>
      <c r="D858" s="1303">
        <v>3.4424E-3</v>
      </c>
      <c r="E858" s="1007">
        <v>13511124</v>
      </c>
      <c r="F858" s="1270"/>
      <c r="G858" s="1200">
        <v>1706218</v>
      </c>
      <c r="H858" s="1200">
        <v>1901329</v>
      </c>
      <c r="I858" s="1200">
        <v>1005493</v>
      </c>
      <c r="J858" s="1007">
        <v>735647</v>
      </c>
      <c r="K858" s="1007">
        <v>5348687</v>
      </c>
      <c r="L858" s="1270"/>
      <c r="M858" s="1198">
        <v>0</v>
      </c>
      <c r="N858" s="1198">
        <v>0</v>
      </c>
      <c r="O858" s="1007">
        <v>0</v>
      </c>
      <c r="P858" s="1007">
        <v>0</v>
      </c>
      <c r="Q858" s="1270"/>
      <c r="R858" s="1200">
        <v>4646376</v>
      </c>
      <c r="S858" s="1007">
        <v>298884</v>
      </c>
      <c r="T858" s="1306">
        <v>4945260</v>
      </c>
    </row>
    <row r="859" spans="1:20" x14ac:dyDescent="0.25">
      <c r="A859" s="1203">
        <v>99221</v>
      </c>
      <c r="B859" s="1204" t="s">
        <v>3477</v>
      </c>
      <c r="C859" s="1303">
        <v>1.2297799999999999E-2</v>
      </c>
      <c r="D859" s="1303">
        <v>1.26739E-2</v>
      </c>
      <c r="E859" s="1007">
        <v>43945278</v>
      </c>
      <c r="F859" s="1270"/>
      <c r="G859" s="1200">
        <v>5549518</v>
      </c>
      <c r="H859" s="1200">
        <v>6184121</v>
      </c>
      <c r="I859" s="1200">
        <v>3270391</v>
      </c>
      <c r="J859" s="1007">
        <v>0</v>
      </c>
      <c r="K859" s="1007">
        <v>15004030</v>
      </c>
      <c r="L859" s="1270"/>
      <c r="M859" s="1198">
        <v>0</v>
      </c>
      <c r="N859" s="1198">
        <v>0</v>
      </c>
      <c r="O859" s="1007">
        <v>516216</v>
      </c>
      <c r="P859" s="1007">
        <v>516216</v>
      </c>
      <c r="Q859" s="1270"/>
      <c r="R859" s="1200">
        <v>15112459</v>
      </c>
      <c r="S859" s="1007">
        <v>-325556</v>
      </c>
      <c r="T859" s="1306">
        <v>14786903</v>
      </c>
    </row>
    <row r="860" spans="1:20" x14ac:dyDescent="0.25">
      <c r="A860" s="1203">
        <v>99222</v>
      </c>
      <c r="B860" s="1204" t="s">
        <v>3478</v>
      </c>
      <c r="C860" s="1303">
        <v>3.3200000000000001E-5</v>
      </c>
      <c r="D860" s="1303">
        <v>3.5599999999999998E-5</v>
      </c>
      <c r="E860" s="1007">
        <v>118638</v>
      </c>
      <c r="F860" s="1270"/>
      <c r="G860" s="1200">
        <v>14982</v>
      </c>
      <c r="H860" s="1200">
        <v>16695</v>
      </c>
      <c r="I860" s="1200">
        <v>8829</v>
      </c>
      <c r="J860" s="1007">
        <v>0</v>
      </c>
      <c r="K860" s="1007">
        <v>40506</v>
      </c>
      <c r="L860" s="1270"/>
      <c r="M860" s="1198">
        <v>0</v>
      </c>
      <c r="N860" s="1198">
        <v>0</v>
      </c>
      <c r="O860" s="1007">
        <v>6905</v>
      </c>
      <c r="P860" s="1007">
        <v>6905</v>
      </c>
      <c r="Q860" s="1270"/>
      <c r="R860" s="1200">
        <v>40799</v>
      </c>
      <c r="S860" s="1007">
        <v>-3241</v>
      </c>
      <c r="T860" s="1306">
        <v>37558</v>
      </c>
    </row>
    <row r="861" spans="1:20" x14ac:dyDescent="0.25">
      <c r="A861" s="1203">
        <v>99231</v>
      </c>
      <c r="B861" s="1204" t="s">
        <v>3479</v>
      </c>
      <c r="C861" s="1303">
        <v>4.0339999999999999E-4</v>
      </c>
      <c r="D861" s="1303">
        <v>3.5159999999999998E-4</v>
      </c>
      <c r="E861" s="1007">
        <v>1441520</v>
      </c>
      <c r="F861" s="1270"/>
      <c r="G861" s="1200">
        <v>182039</v>
      </c>
      <c r="H861" s="1200">
        <v>202855</v>
      </c>
      <c r="I861" s="1200">
        <v>107277</v>
      </c>
      <c r="J861" s="1007">
        <v>66139</v>
      </c>
      <c r="K861" s="1007">
        <v>558310</v>
      </c>
      <c r="L861" s="1270"/>
      <c r="M861" s="1198">
        <v>0</v>
      </c>
      <c r="N861" s="1198">
        <v>0</v>
      </c>
      <c r="O861" s="1007">
        <v>16095</v>
      </c>
      <c r="P861" s="1007">
        <v>16095</v>
      </c>
      <c r="Q861" s="1270"/>
      <c r="R861" s="1200">
        <v>495728</v>
      </c>
      <c r="S861" s="1007">
        <v>11562</v>
      </c>
      <c r="T861" s="1306">
        <v>507290</v>
      </c>
    </row>
    <row r="862" spans="1:20" x14ac:dyDescent="0.25">
      <c r="A862" s="1203">
        <v>99241</v>
      </c>
      <c r="B862" s="1204" t="s">
        <v>3480</v>
      </c>
      <c r="C862" s="1303">
        <v>5.8560000000000003E-4</v>
      </c>
      <c r="D862" s="1303">
        <v>5.6070000000000002E-4</v>
      </c>
      <c r="E862" s="1007">
        <v>2092598</v>
      </c>
      <c r="F862" s="1270"/>
      <c r="G862" s="1200">
        <v>264258</v>
      </c>
      <c r="H862" s="1200">
        <v>294478</v>
      </c>
      <c r="I862" s="1200">
        <v>155730</v>
      </c>
      <c r="J862" s="1007">
        <v>11814</v>
      </c>
      <c r="K862" s="1007">
        <v>726280</v>
      </c>
      <c r="L862" s="1270"/>
      <c r="M862" s="1198">
        <v>0</v>
      </c>
      <c r="N862" s="1198">
        <v>0</v>
      </c>
      <c r="O862" s="1007">
        <v>16937</v>
      </c>
      <c r="P862" s="1007">
        <v>16937</v>
      </c>
      <c r="Q862" s="1270"/>
      <c r="R862" s="1200">
        <v>719629</v>
      </c>
      <c r="S862" s="1007">
        <v>-17091</v>
      </c>
      <c r="T862" s="1306">
        <v>702538</v>
      </c>
    </row>
    <row r="863" spans="1:20" x14ac:dyDescent="0.25">
      <c r="A863" s="1203">
        <v>99251</v>
      </c>
      <c r="B863" s="1204" t="s">
        <v>3481</v>
      </c>
      <c r="C863" s="1303">
        <v>1.6408E-3</v>
      </c>
      <c r="D863" s="1303">
        <v>1.6358E-3</v>
      </c>
      <c r="E863" s="1007">
        <v>5863277</v>
      </c>
      <c r="F863" s="1270"/>
      <c r="G863" s="1200">
        <v>740429</v>
      </c>
      <c r="H863" s="1200">
        <v>825100</v>
      </c>
      <c r="I863" s="1200">
        <v>436343</v>
      </c>
      <c r="J863" s="1007">
        <v>13231</v>
      </c>
      <c r="K863" s="1007">
        <v>2015103</v>
      </c>
      <c r="L863" s="1270"/>
      <c r="M863" s="1198">
        <v>0</v>
      </c>
      <c r="N863" s="1198">
        <v>0</v>
      </c>
      <c r="O863" s="1007">
        <v>13877</v>
      </c>
      <c r="P863" s="1007">
        <v>13877</v>
      </c>
      <c r="Q863" s="1270"/>
      <c r="R863" s="1200">
        <v>2016338</v>
      </c>
      <c r="S863" s="1007">
        <v>-5123</v>
      </c>
      <c r="T863" s="1306">
        <v>2011215</v>
      </c>
    </row>
    <row r="864" spans="1:20" x14ac:dyDescent="0.25">
      <c r="A864" s="1203">
        <v>99252</v>
      </c>
      <c r="B864" s="1204" t="s">
        <v>3482</v>
      </c>
      <c r="C864" s="1303">
        <v>6.4139999999999998E-4</v>
      </c>
      <c r="D864" s="1303">
        <v>6.6200000000000005E-4</v>
      </c>
      <c r="E864" s="1007">
        <v>2291995</v>
      </c>
      <c r="F864" s="1270"/>
      <c r="G864" s="1200">
        <v>289439</v>
      </c>
      <c r="H864" s="1200">
        <v>322537</v>
      </c>
      <c r="I864" s="1200">
        <v>170569</v>
      </c>
      <c r="J864" s="1007">
        <v>0</v>
      </c>
      <c r="K864" s="1007">
        <v>782545</v>
      </c>
      <c r="L864" s="1270"/>
      <c r="M864" s="1198">
        <v>0</v>
      </c>
      <c r="N864" s="1198">
        <v>0</v>
      </c>
      <c r="O864" s="1007">
        <v>180129</v>
      </c>
      <c r="P864" s="1007">
        <v>180129</v>
      </c>
      <c r="Q864" s="1270"/>
      <c r="R864" s="1200">
        <v>788200</v>
      </c>
      <c r="S864" s="1007">
        <v>-98927</v>
      </c>
      <c r="T864" s="1306">
        <v>689273</v>
      </c>
    </row>
    <row r="865" spans="1:20" x14ac:dyDescent="0.25">
      <c r="A865" s="1203">
        <v>99261</v>
      </c>
      <c r="B865" s="1204" t="s">
        <v>3483</v>
      </c>
      <c r="C865" s="1303">
        <v>2.3002999999999999E-3</v>
      </c>
      <c r="D865" s="1303">
        <v>2.2407E-3</v>
      </c>
      <c r="E865" s="1007">
        <v>8219952</v>
      </c>
      <c r="F865" s="1270"/>
      <c r="G865" s="1200">
        <v>1038036</v>
      </c>
      <c r="H865" s="1200">
        <v>1156738</v>
      </c>
      <c r="I865" s="1200">
        <v>611726</v>
      </c>
      <c r="J865" s="1007">
        <v>1412</v>
      </c>
      <c r="K865" s="1007">
        <v>2807912</v>
      </c>
      <c r="L865" s="1270"/>
      <c r="M865" s="1198">
        <v>0</v>
      </c>
      <c r="N865" s="1198">
        <v>0</v>
      </c>
      <c r="O865" s="1007">
        <v>68985</v>
      </c>
      <c r="P865" s="1007">
        <v>68985</v>
      </c>
      <c r="Q865" s="1270"/>
      <c r="R865" s="1200">
        <v>2826781</v>
      </c>
      <c r="S865" s="1007">
        <v>-48876</v>
      </c>
      <c r="T865" s="1306">
        <v>2777905</v>
      </c>
    </row>
    <row r="866" spans="1:20" x14ac:dyDescent="0.25">
      <c r="A866" s="1203">
        <v>99271</v>
      </c>
      <c r="B866" s="1204" t="s">
        <v>3484</v>
      </c>
      <c r="C866" s="1303">
        <v>4.6093000000000002E-3</v>
      </c>
      <c r="D866" s="1303">
        <v>4.2773000000000004E-3</v>
      </c>
      <c r="E866" s="1007">
        <v>16470992</v>
      </c>
      <c r="F866" s="1270"/>
      <c r="G866" s="1200">
        <v>2079997</v>
      </c>
      <c r="H866" s="1200">
        <v>2317851</v>
      </c>
      <c r="I866" s="1200">
        <v>1225765</v>
      </c>
      <c r="J866" s="1007">
        <v>368930</v>
      </c>
      <c r="K866" s="1007">
        <v>5992543</v>
      </c>
      <c r="L866" s="1270"/>
      <c r="M866" s="1198">
        <v>0</v>
      </c>
      <c r="N866" s="1198">
        <v>0</v>
      </c>
      <c r="O866" s="1007">
        <v>66564</v>
      </c>
      <c r="P866" s="1007">
        <v>66564</v>
      </c>
      <c r="Q866" s="1270"/>
      <c r="R866" s="1200">
        <v>5664254</v>
      </c>
      <c r="S866" s="1007">
        <v>76409</v>
      </c>
      <c r="T866" s="1306">
        <v>5740663</v>
      </c>
    </row>
    <row r="867" spans="1:20" x14ac:dyDescent="0.25">
      <c r="A867" s="1203">
        <v>99281</v>
      </c>
      <c r="B867" s="1204" t="s">
        <v>3485</v>
      </c>
      <c r="C867" s="1303">
        <v>2.6021999999999998E-3</v>
      </c>
      <c r="D867" s="1303">
        <v>2.4237E-3</v>
      </c>
      <c r="E867" s="1007">
        <v>9298769</v>
      </c>
      <c r="F867" s="1270"/>
      <c r="G867" s="1200">
        <v>1174271</v>
      </c>
      <c r="H867" s="1200">
        <v>1308552</v>
      </c>
      <c r="I867" s="1200">
        <v>692011</v>
      </c>
      <c r="J867" s="1007">
        <v>98896</v>
      </c>
      <c r="K867" s="1007">
        <v>3273730</v>
      </c>
      <c r="L867" s="1270"/>
      <c r="M867" s="1198">
        <v>0</v>
      </c>
      <c r="N867" s="1198">
        <v>0</v>
      </c>
      <c r="O867" s="1007">
        <v>11923</v>
      </c>
      <c r="P867" s="1007">
        <v>11923</v>
      </c>
      <c r="Q867" s="1270"/>
      <c r="R867" s="1200">
        <v>3197779</v>
      </c>
      <c r="S867" s="1007">
        <v>4109</v>
      </c>
      <c r="T867" s="1306">
        <v>3201888</v>
      </c>
    </row>
    <row r="868" spans="1:20" x14ac:dyDescent="0.25">
      <c r="A868" s="1203">
        <v>99291</v>
      </c>
      <c r="B868" s="1204" t="s">
        <v>3486</v>
      </c>
      <c r="C868" s="1303">
        <v>8.4670000000000004E-4</v>
      </c>
      <c r="D868" s="1303">
        <v>8.4909999999999998E-4</v>
      </c>
      <c r="E868" s="1007">
        <v>3025620</v>
      </c>
      <c r="F868" s="1270"/>
      <c r="G868" s="1200">
        <v>382083</v>
      </c>
      <c r="H868" s="1200">
        <v>425775</v>
      </c>
      <c r="I868" s="1200">
        <v>225165</v>
      </c>
      <c r="J868" s="1007">
        <v>6282</v>
      </c>
      <c r="K868" s="1007">
        <v>1039305</v>
      </c>
      <c r="L868" s="1270"/>
      <c r="M868" s="1198">
        <v>0</v>
      </c>
      <c r="N868" s="1198">
        <v>0</v>
      </c>
      <c r="O868" s="1007">
        <v>87590</v>
      </c>
      <c r="P868" s="1007">
        <v>87590</v>
      </c>
      <c r="Q868" s="1270"/>
      <c r="R868" s="1200">
        <v>1040488</v>
      </c>
      <c r="S868" s="1007">
        <v>-48476</v>
      </c>
      <c r="T868" s="1306">
        <v>992012</v>
      </c>
    </row>
    <row r="869" spans="1:20" x14ac:dyDescent="0.25">
      <c r="A869" s="1203">
        <v>99301</v>
      </c>
      <c r="B869" s="1204" t="s">
        <v>3487</v>
      </c>
      <c r="C869" s="1303">
        <v>1.5418000000000001E-3</v>
      </c>
      <c r="D869" s="1303">
        <v>1.6092999999999999E-3</v>
      </c>
      <c r="E869" s="1007">
        <v>5509508</v>
      </c>
      <c r="F869" s="1270"/>
      <c r="G869" s="1200">
        <v>695754</v>
      </c>
      <c r="H869" s="1200">
        <v>775315</v>
      </c>
      <c r="I869" s="1200">
        <v>410015</v>
      </c>
      <c r="J869" s="1007">
        <v>0</v>
      </c>
      <c r="K869" s="1007">
        <v>1881084</v>
      </c>
      <c r="L869" s="1270"/>
      <c r="M869" s="1198">
        <v>0</v>
      </c>
      <c r="N869" s="1198">
        <v>0</v>
      </c>
      <c r="O869" s="1007">
        <v>198715</v>
      </c>
      <c r="P869" s="1007">
        <v>198715</v>
      </c>
      <c r="Q869" s="1270"/>
      <c r="R869" s="1200">
        <v>1894679</v>
      </c>
      <c r="S869" s="1007">
        <v>-82306</v>
      </c>
      <c r="T869" s="1306">
        <v>1812373</v>
      </c>
    </row>
    <row r="870" spans="1:20" x14ac:dyDescent="0.25">
      <c r="A870" s="1203">
        <v>99304</v>
      </c>
      <c r="B870" s="1204" t="s">
        <v>3488</v>
      </c>
      <c r="C870" s="1303">
        <v>6.8000000000000001E-6</v>
      </c>
      <c r="D870" s="1303">
        <v>7.6000000000000001E-6</v>
      </c>
      <c r="E870" s="1007">
        <v>24299</v>
      </c>
      <c r="F870" s="1270"/>
      <c r="G870" s="1200">
        <v>3069</v>
      </c>
      <c r="H870" s="1200">
        <v>3420</v>
      </c>
      <c r="I870" s="1200">
        <v>1808</v>
      </c>
      <c r="J870" s="1007">
        <v>7276</v>
      </c>
      <c r="K870" s="1007">
        <v>15573</v>
      </c>
      <c r="L870" s="1270"/>
      <c r="M870" s="1198">
        <v>0</v>
      </c>
      <c r="N870" s="1198">
        <v>0</v>
      </c>
      <c r="O870" s="1007">
        <v>0</v>
      </c>
      <c r="P870" s="1007">
        <v>0</v>
      </c>
      <c r="Q870" s="1270"/>
      <c r="R870" s="1200">
        <v>8356</v>
      </c>
      <c r="S870" s="1007">
        <v>3445</v>
      </c>
      <c r="T870" s="1306">
        <v>11801</v>
      </c>
    </row>
    <row r="871" spans="1:20" x14ac:dyDescent="0.25">
      <c r="A871" s="1203">
        <v>99311</v>
      </c>
      <c r="B871" s="1204" t="s">
        <v>3489</v>
      </c>
      <c r="C871" s="1303">
        <v>5.5099999999999998E-5</v>
      </c>
      <c r="D871" s="1303">
        <v>5.9700000000000001E-5</v>
      </c>
      <c r="E871" s="1007">
        <v>196896</v>
      </c>
      <c r="F871" s="1270"/>
      <c r="G871" s="1200">
        <v>24864</v>
      </c>
      <c r="H871" s="1200">
        <v>27708</v>
      </c>
      <c r="I871" s="1200">
        <v>14653</v>
      </c>
      <c r="J871" s="1007">
        <v>2040</v>
      </c>
      <c r="K871" s="1007">
        <v>69265</v>
      </c>
      <c r="L871" s="1270"/>
      <c r="M871" s="1198">
        <v>0</v>
      </c>
      <c r="N871" s="1198">
        <v>0</v>
      </c>
      <c r="O871" s="1007">
        <v>10929</v>
      </c>
      <c r="P871" s="1007">
        <v>10929</v>
      </c>
      <c r="Q871" s="1270"/>
      <c r="R871" s="1200">
        <v>67711</v>
      </c>
      <c r="S871" s="1007">
        <v>-3930</v>
      </c>
      <c r="T871" s="1306">
        <v>63781</v>
      </c>
    </row>
    <row r="872" spans="1:20" x14ac:dyDescent="0.25">
      <c r="A872" s="1203">
        <v>99321</v>
      </c>
      <c r="B872" s="1204" t="s">
        <v>3490</v>
      </c>
      <c r="C872" s="1303">
        <v>1.024E-4</v>
      </c>
      <c r="D872" s="1303">
        <v>8.6399999999999999E-5</v>
      </c>
      <c r="E872" s="1007">
        <v>365919</v>
      </c>
      <c r="F872" s="1270"/>
      <c r="G872" s="1200">
        <v>46209</v>
      </c>
      <c r="H872" s="1200">
        <v>51493</v>
      </c>
      <c r="I872" s="1200">
        <v>27232</v>
      </c>
      <c r="J872" s="1007">
        <v>78783</v>
      </c>
      <c r="K872" s="1007">
        <v>203717</v>
      </c>
      <c r="L872" s="1270"/>
      <c r="M872" s="1198">
        <v>0</v>
      </c>
      <c r="N872" s="1198">
        <v>0</v>
      </c>
      <c r="O872" s="1007">
        <v>0</v>
      </c>
      <c r="P872" s="1007">
        <v>0</v>
      </c>
      <c r="Q872" s="1270"/>
      <c r="R872" s="1200">
        <v>125837</v>
      </c>
      <c r="S872" s="1007">
        <v>43509</v>
      </c>
      <c r="T872" s="1306">
        <v>169346</v>
      </c>
    </row>
    <row r="873" spans="1:20" x14ac:dyDescent="0.25">
      <c r="A873" s="1203">
        <v>99401</v>
      </c>
      <c r="B873" s="1204" t="s">
        <v>3491</v>
      </c>
      <c r="C873" s="1303">
        <v>7.6619999999999998E-4</v>
      </c>
      <c r="D873" s="1303">
        <v>7.7590000000000005E-4</v>
      </c>
      <c r="E873" s="1007">
        <v>2737959</v>
      </c>
      <c r="F873" s="1270"/>
      <c r="G873" s="1200">
        <v>345756</v>
      </c>
      <c r="H873" s="1200">
        <v>385294</v>
      </c>
      <c r="I873" s="1200">
        <v>203758</v>
      </c>
      <c r="J873" s="1007">
        <v>6083</v>
      </c>
      <c r="K873" s="1007">
        <v>940891</v>
      </c>
      <c r="L873" s="1270"/>
      <c r="M873" s="1198">
        <v>0</v>
      </c>
      <c r="N873" s="1198">
        <v>0</v>
      </c>
      <c r="O873" s="1007">
        <v>55021</v>
      </c>
      <c r="P873" s="1007">
        <v>55021</v>
      </c>
      <c r="Q873" s="1270"/>
      <c r="R873" s="1200">
        <v>941564</v>
      </c>
      <c r="S873" s="1007">
        <v>-20962</v>
      </c>
      <c r="T873" s="1306">
        <v>920602</v>
      </c>
    </row>
    <row r="874" spans="1:20" x14ac:dyDescent="0.25">
      <c r="A874" s="1203">
        <v>99404</v>
      </c>
      <c r="B874" s="1204" t="s">
        <v>3492</v>
      </c>
      <c r="C874" s="1303">
        <v>8.1000000000000004E-6</v>
      </c>
      <c r="D874" s="1303">
        <v>8.4999999999999999E-6</v>
      </c>
      <c r="E874" s="1007">
        <v>28945</v>
      </c>
      <c r="F874" s="1270"/>
      <c r="G874" s="1200">
        <v>3655</v>
      </c>
      <c r="H874" s="1200">
        <v>4074</v>
      </c>
      <c r="I874" s="1200">
        <v>2154</v>
      </c>
      <c r="J874" s="1007">
        <v>2273</v>
      </c>
      <c r="K874" s="1007">
        <v>12156</v>
      </c>
      <c r="L874" s="1270"/>
      <c r="M874" s="1198">
        <v>0</v>
      </c>
      <c r="N874" s="1198">
        <v>0</v>
      </c>
      <c r="O874" s="1007">
        <v>0</v>
      </c>
      <c r="P874" s="1007">
        <v>0</v>
      </c>
      <c r="Q874" s="1270"/>
      <c r="R874" s="1200">
        <v>9954</v>
      </c>
      <c r="S874" s="1007">
        <v>1068</v>
      </c>
      <c r="T874" s="1306">
        <v>11022</v>
      </c>
    </row>
    <row r="875" spans="1:20" x14ac:dyDescent="0.25">
      <c r="A875" s="1203">
        <v>99405</v>
      </c>
      <c r="B875" s="1204" t="s">
        <v>3493</v>
      </c>
      <c r="C875" s="1303">
        <v>5.91E-5</v>
      </c>
      <c r="D875" s="1303">
        <v>5.9799999999999997E-5</v>
      </c>
      <c r="E875" s="1007">
        <v>211189</v>
      </c>
      <c r="F875" s="1270"/>
      <c r="G875" s="1200">
        <v>26670</v>
      </c>
      <c r="H875" s="1200">
        <v>29719</v>
      </c>
      <c r="I875" s="1200">
        <v>15717</v>
      </c>
      <c r="J875" s="1007">
        <v>20640</v>
      </c>
      <c r="K875" s="1007">
        <v>92746</v>
      </c>
      <c r="L875" s="1270"/>
      <c r="M875" s="1198">
        <v>0</v>
      </c>
      <c r="N875" s="1198">
        <v>0</v>
      </c>
      <c r="O875" s="1007">
        <v>0</v>
      </c>
      <c r="P875" s="1007">
        <v>0</v>
      </c>
      <c r="Q875" s="1270"/>
      <c r="R875" s="1200">
        <v>72627</v>
      </c>
      <c r="S875" s="1007">
        <v>9677</v>
      </c>
      <c r="T875" s="1306">
        <v>82304</v>
      </c>
    </row>
    <row r="876" spans="1:20" x14ac:dyDescent="0.25">
      <c r="A876" s="1203">
        <v>99411</v>
      </c>
      <c r="B876" s="1204" t="s">
        <v>3494</v>
      </c>
      <c r="C876" s="1303">
        <v>1.6799999999999999E-4</v>
      </c>
      <c r="D876" s="1303">
        <v>1.7139999999999999E-4</v>
      </c>
      <c r="E876" s="1007">
        <v>600336</v>
      </c>
      <c r="F876" s="1270"/>
      <c r="G876" s="1200">
        <v>75812</v>
      </c>
      <c r="H876" s="1200">
        <v>84481</v>
      </c>
      <c r="I876" s="1200">
        <v>44677</v>
      </c>
      <c r="J876" s="1007">
        <v>21289</v>
      </c>
      <c r="K876" s="1007">
        <v>226259</v>
      </c>
      <c r="L876" s="1270"/>
      <c r="M876" s="1198">
        <v>0</v>
      </c>
      <c r="N876" s="1198">
        <v>0</v>
      </c>
      <c r="O876" s="1007">
        <v>0</v>
      </c>
      <c r="P876" s="1007">
        <v>0</v>
      </c>
      <c r="Q876" s="1270"/>
      <c r="R876" s="1200">
        <v>206451</v>
      </c>
      <c r="S876" s="1007">
        <v>16093</v>
      </c>
      <c r="T876" s="1306">
        <v>222544</v>
      </c>
    </row>
    <row r="877" spans="1:20" x14ac:dyDescent="0.25">
      <c r="A877" s="1203">
        <v>99413</v>
      </c>
      <c r="B877" s="1204" t="s">
        <v>3495</v>
      </c>
      <c r="C877" s="1303">
        <v>3.3899999999999997E-5</v>
      </c>
      <c r="D877" s="1303">
        <v>2.0400000000000001E-5</v>
      </c>
      <c r="E877" s="1007">
        <v>121139</v>
      </c>
      <c r="F877" s="1270"/>
      <c r="G877" s="1200">
        <v>15298</v>
      </c>
      <c r="H877" s="1200">
        <v>17047</v>
      </c>
      <c r="I877" s="1200">
        <v>9015</v>
      </c>
      <c r="J877" s="1007">
        <v>29441</v>
      </c>
      <c r="K877" s="1007">
        <v>70801</v>
      </c>
      <c r="L877" s="1270"/>
      <c r="M877" s="1198">
        <v>0</v>
      </c>
      <c r="N877" s="1198">
        <v>0</v>
      </c>
      <c r="O877" s="1007">
        <v>1708</v>
      </c>
      <c r="P877" s="1007">
        <v>1708</v>
      </c>
      <c r="Q877" s="1270"/>
      <c r="R877" s="1200">
        <v>41659</v>
      </c>
      <c r="S877" s="1007">
        <v>9283</v>
      </c>
      <c r="T877" s="1306">
        <v>50942</v>
      </c>
    </row>
    <row r="878" spans="1:20" x14ac:dyDescent="0.25">
      <c r="A878" s="1203">
        <v>99421</v>
      </c>
      <c r="B878" s="1204" t="s">
        <v>3496</v>
      </c>
      <c r="C878" s="1303">
        <v>1.0699999999999999E-5</v>
      </c>
      <c r="D878" s="1303">
        <v>1.3499999999999999E-5</v>
      </c>
      <c r="E878" s="1007">
        <v>38236</v>
      </c>
      <c r="F878" s="1270"/>
      <c r="G878" s="1200">
        <v>4828</v>
      </c>
      <c r="H878" s="1200">
        <v>5380</v>
      </c>
      <c r="I878" s="1200">
        <v>2845</v>
      </c>
      <c r="J878" s="1007">
        <v>677</v>
      </c>
      <c r="K878" s="1007">
        <v>13730</v>
      </c>
      <c r="L878" s="1270"/>
      <c r="M878" s="1198">
        <v>0</v>
      </c>
      <c r="N878" s="1198">
        <v>0</v>
      </c>
      <c r="O878" s="1007">
        <v>4184</v>
      </c>
      <c r="P878" s="1007">
        <v>4184</v>
      </c>
      <c r="Q878" s="1270"/>
      <c r="R878" s="1200">
        <v>13149</v>
      </c>
      <c r="S878" s="1007">
        <v>-2202</v>
      </c>
      <c r="T878" s="1306">
        <v>10947</v>
      </c>
    </row>
    <row r="879" spans="1:20" x14ac:dyDescent="0.25">
      <c r="A879" s="1203">
        <v>99431</v>
      </c>
      <c r="B879" s="1204" t="s">
        <v>3497</v>
      </c>
      <c r="C879" s="1303">
        <v>1.91E-5</v>
      </c>
      <c r="D879" s="1303">
        <v>1.4800000000000001E-5</v>
      </c>
      <c r="E879" s="1007">
        <v>68252</v>
      </c>
      <c r="F879" s="1270"/>
      <c r="G879" s="1200">
        <v>8619</v>
      </c>
      <c r="H879" s="1200">
        <v>9605</v>
      </c>
      <c r="I879" s="1200">
        <v>5079</v>
      </c>
      <c r="J879" s="1007">
        <v>4385</v>
      </c>
      <c r="K879" s="1007">
        <v>27688</v>
      </c>
      <c r="L879" s="1270"/>
      <c r="M879" s="1198">
        <v>0</v>
      </c>
      <c r="N879" s="1198">
        <v>0</v>
      </c>
      <c r="O879" s="1007">
        <v>5883</v>
      </c>
      <c r="P879" s="1007">
        <v>5883</v>
      </c>
      <c r="Q879" s="1270"/>
      <c r="R879" s="1200">
        <v>23472</v>
      </c>
      <c r="S879" s="1007">
        <v>-1235</v>
      </c>
      <c r="T879" s="1306">
        <v>22237</v>
      </c>
    </row>
    <row r="880" spans="1:20" s="1261" customFormat="1" x14ac:dyDescent="0.25">
      <c r="A880" s="1203">
        <v>99501</v>
      </c>
      <c r="B880" s="1204" t="s">
        <v>3498</v>
      </c>
      <c r="C880" s="1303">
        <v>1.6310999999999999E-3</v>
      </c>
      <c r="D880" s="1303">
        <v>1.6478E-3</v>
      </c>
      <c r="E880" s="1007">
        <v>5828615</v>
      </c>
      <c r="F880" s="1270"/>
      <c r="G880" s="1200">
        <v>736052</v>
      </c>
      <c r="H880" s="1200">
        <v>820221</v>
      </c>
      <c r="I880" s="1200">
        <v>433763</v>
      </c>
      <c r="J880" s="1007">
        <v>84141</v>
      </c>
      <c r="K880" s="1007">
        <v>2074177</v>
      </c>
      <c r="L880" s="1270"/>
      <c r="M880" s="1198">
        <v>0</v>
      </c>
      <c r="N880" s="1198">
        <v>0</v>
      </c>
      <c r="O880" s="1007">
        <v>5377</v>
      </c>
      <c r="P880" s="1007">
        <v>5377</v>
      </c>
      <c r="Q880" s="1270"/>
      <c r="R880" s="1200">
        <v>2004418</v>
      </c>
      <c r="S880" s="1007">
        <v>25016</v>
      </c>
      <c r="T880" s="1306">
        <v>2029434</v>
      </c>
    </row>
    <row r="881" spans="1:20" s="1261" customFormat="1" x14ac:dyDescent="0.25">
      <c r="A881" s="1203">
        <v>99502</v>
      </c>
      <c r="B881" s="1204" t="s">
        <v>3499</v>
      </c>
      <c r="C881" s="1303">
        <v>1.5109999999999999E-4</v>
      </c>
      <c r="D881" s="1303">
        <v>1.4459999999999999E-4</v>
      </c>
      <c r="E881" s="1007">
        <v>539945</v>
      </c>
      <c r="F881" s="1270"/>
      <c r="G881" s="1200">
        <v>68186</v>
      </c>
      <c r="H881" s="1200">
        <v>75983</v>
      </c>
      <c r="I881" s="1200">
        <v>40182</v>
      </c>
      <c r="J881" s="1007">
        <v>11097</v>
      </c>
      <c r="K881" s="1007">
        <v>195448</v>
      </c>
      <c r="L881" s="1270"/>
      <c r="M881" s="1198">
        <v>0</v>
      </c>
      <c r="N881" s="1198">
        <v>0</v>
      </c>
      <c r="O881" s="1007">
        <v>9731</v>
      </c>
      <c r="P881" s="1007">
        <v>9731</v>
      </c>
      <c r="Q881" s="1270"/>
      <c r="R881" s="1200">
        <v>185683</v>
      </c>
      <c r="S881" s="1007">
        <v>4026</v>
      </c>
      <c r="T881" s="1306">
        <v>189709</v>
      </c>
    </row>
    <row r="882" spans="1:20" s="1261" customFormat="1" x14ac:dyDescent="0.25">
      <c r="A882" s="1203">
        <v>99508</v>
      </c>
      <c r="B882" s="1204" t="s">
        <v>3500</v>
      </c>
      <c r="C882" s="1303">
        <v>2.0800000000000001E-5</v>
      </c>
      <c r="D882" s="1303">
        <v>2.0999999999999999E-5</v>
      </c>
      <c r="E882" s="1007">
        <v>74327</v>
      </c>
      <c r="F882" s="1270"/>
      <c r="G882" s="1200">
        <v>9386</v>
      </c>
      <c r="H882" s="1200">
        <v>10460</v>
      </c>
      <c r="I882" s="1200">
        <v>5531</v>
      </c>
      <c r="J882" s="1007">
        <v>10</v>
      </c>
      <c r="K882" s="1007">
        <v>25387</v>
      </c>
      <c r="L882" s="1270"/>
      <c r="M882" s="1198">
        <v>0</v>
      </c>
      <c r="N882" s="1198">
        <v>0</v>
      </c>
      <c r="O882" s="1007">
        <v>1106</v>
      </c>
      <c r="P882" s="1007">
        <v>1106</v>
      </c>
      <c r="Q882" s="1270"/>
      <c r="R882" s="1200">
        <v>25561</v>
      </c>
      <c r="S882" s="1007">
        <v>-587</v>
      </c>
      <c r="T882" s="1306">
        <v>24974</v>
      </c>
    </row>
    <row r="883" spans="1:20" s="1261" customFormat="1" x14ac:dyDescent="0.25">
      <c r="A883" s="1203">
        <v>99509</v>
      </c>
      <c r="B883" s="1204" t="s">
        <v>3501</v>
      </c>
      <c r="C883" s="1303">
        <v>2.0699999999999998E-5</v>
      </c>
      <c r="D883" s="1303">
        <v>2.5199999999999999E-5</v>
      </c>
      <c r="E883" s="1007">
        <v>73970</v>
      </c>
      <c r="F883" s="1270"/>
      <c r="G883" s="1200">
        <v>9341</v>
      </c>
      <c r="H883" s="1200">
        <v>10409</v>
      </c>
      <c r="I883" s="1200">
        <v>5505</v>
      </c>
      <c r="J883" s="1007">
        <v>0</v>
      </c>
      <c r="K883" s="1007">
        <v>25255</v>
      </c>
      <c r="L883" s="1270"/>
      <c r="M883" s="1198">
        <v>0</v>
      </c>
      <c r="N883" s="1198">
        <v>0</v>
      </c>
      <c r="O883" s="1007">
        <v>5846</v>
      </c>
      <c r="P883" s="1007">
        <v>5846</v>
      </c>
      <c r="Q883" s="1270"/>
      <c r="R883" s="1200">
        <v>25438</v>
      </c>
      <c r="S883" s="1007">
        <v>-2629</v>
      </c>
      <c r="T883" s="1306">
        <v>22809</v>
      </c>
    </row>
    <row r="884" spans="1:20" s="1261" customFormat="1" x14ac:dyDescent="0.25">
      <c r="A884" s="1203">
        <v>99511</v>
      </c>
      <c r="B884" s="1204" t="s">
        <v>3502</v>
      </c>
      <c r="C884" s="1303">
        <v>1.3119E-3</v>
      </c>
      <c r="D884" s="1303">
        <v>1.3293999999999999E-3</v>
      </c>
      <c r="E884" s="1007">
        <v>4687978</v>
      </c>
      <c r="F884" s="1270"/>
      <c r="G884" s="1200">
        <v>592009</v>
      </c>
      <c r="H884" s="1200">
        <v>659707</v>
      </c>
      <c r="I884" s="1200">
        <v>348878</v>
      </c>
      <c r="J884" s="1007">
        <v>0</v>
      </c>
      <c r="K884" s="1007">
        <v>1600594</v>
      </c>
      <c r="L884" s="1270"/>
      <c r="M884" s="1198">
        <v>0</v>
      </c>
      <c r="N884" s="1198">
        <v>0</v>
      </c>
      <c r="O884" s="1007">
        <v>146853</v>
      </c>
      <c r="P884" s="1007">
        <v>146853</v>
      </c>
      <c r="Q884" s="1270"/>
      <c r="R884" s="1200">
        <v>1612161</v>
      </c>
      <c r="S884" s="1007">
        <v>-75551</v>
      </c>
      <c r="T884" s="1306">
        <v>1536610</v>
      </c>
    </row>
    <row r="885" spans="1:20" s="1261" customFormat="1" x14ac:dyDescent="0.25">
      <c r="A885" s="1203">
        <v>99521</v>
      </c>
      <c r="B885" s="1204" t="s">
        <v>3503</v>
      </c>
      <c r="C885" s="1303">
        <v>4.8440000000000001E-4</v>
      </c>
      <c r="D885" s="1303">
        <v>4.8200000000000001E-4</v>
      </c>
      <c r="E885" s="1007">
        <v>1730968</v>
      </c>
      <c r="F885" s="1270"/>
      <c r="G885" s="1200">
        <v>218591</v>
      </c>
      <c r="H885" s="1200">
        <v>243587</v>
      </c>
      <c r="I885" s="1200">
        <v>128818</v>
      </c>
      <c r="J885" s="1007">
        <v>10929</v>
      </c>
      <c r="K885" s="1007">
        <v>601925</v>
      </c>
      <c r="L885" s="1270"/>
      <c r="M885" s="1198">
        <v>0</v>
      </c>
      <c r="N885" s="1198">
        <v>0</v>
      </c>
      <c r="O885" s="1007">
        <v>58464</v>
      </c>
      <c r="P885" s="1007">
        <v>58464</v>
      </c>
      <c r="Q885" s="1270"/>
      <c r="R885" s="1200">
        <v>595267</v>
      </c>
      <c r="S885" s="1007">
        <v>-17512</v>
      </c>
      <c r="T885" s="1306">
        <v>577755</v>
      </c>
    </row>
    <row r="886" spans="1:20" s="1261" customFormat="1" x14ac:dyDescent="0.25">
      <c r="A886" s="1203">
        <v>99527</v>
      </c>
      <c r="B886" s="1204" t="s">
        <v>3504</v>
      </c>
      <c r="C886" s="1303">
        <v>1.03E-5</v>
      </c>
      <c r="D886" s="1303">
        <v>1.1E-5</v>
      </c>
      <c r="E886" s="1007">
        <v>36806</v>
      </c>
      <c r="F886" s="1270"/>
      <c r="G886" s="1200">
        <v>4648</v>
      </c>
      <c r="H886" s="1200">
        <v>5180</v>
      </c>
      <c r="I886" s="1200">
        <v>2739</v>
      </c>
      <c r="J886" s="1007">
        <v>1688</v>
      </c>
      <c r="K886" s="1007">
        <v>14255</v>
      </c>
      <c r="L886" s="1270"/>
      <c r="M886" s="1198">
        <v>0</v>
      </c>
      <c r="N886" s="1198">
        <v>0</v>
      </c>
      <c r="O886" s="1007">
        <v>0</v>
      </c>
      <c r="P886" s="1007">
        <v>0</v>
      </c>
      <c r="Q886" s="1270"/>
      <c r="R886" s="1200">
        <v>12657</v>
      </c>
      <c r="S886" s="1007">
        <v>736</v>
      </c>
      <c r="T886" s="1306">
        <v>13393</v>
      </c>
    </row>
    <row r="887" spans="1:20" s="1261" customFormat="1" x14ac:dyDescent="0.25">
      <c r="A887" s="1203">
        <v>99531</v>
      </c>
      <c r="B887" s="1204" t="s">
        <v>3505</v>
      </c>
      <c r="C887" s="1303">
        <v>9.0500000000000004E-5</v>
      </c>
      <c r="D887" s="1303">
        <v>8.6299999999999997E-5</v>
      </c>
      <c r="E887" s="1007">
        <v>323395</v>
      </c>
      <c r="F887" s="1270"/>
      <c r="G887" s="1200">
        <v>40839</v>
      </c>
      <c r="H887" s="1200">
        <v>45509</v>
      </c>
      <c r="I887" s="1200">
        <v>24067</v>
      </c>
      <c r="J887" s="1007">
        <v>44770</v>
      </c>
      <c r="K887" s="1007">
        <v>155185</v>
      </c>
      <c r="L887" s="1270"/>
      <c r="M887" s="1198">
        <v>0</v>
      </c>
      <c r="N887" s="1198">
        <v>0</v>
      </c>
      <c r="O887" s="1007">
        <v>0</v>
      </c>
      <c r="P887" s="1007">
        <v>0</v>
      </c>
      <c r="Q887" s="1270"/>
      <c r="R887" s="1200">
        <v>111213</v>
      </c>
      <c r="S887" s="1007">
        <v>26934</v>
      </c>
      <c r="T887" s="1306">
        <v>138147</v>
      </c>
    </row>
    <row r="888" spans="1:20" s="1261" customFormat="1" x14ac:dyDescent="0.25">
      <c r="A888" s="1203">
        <v>99601</v>
      </c>
      <c r="B888" s="1204" t="s">
        <v>3506</v>
      </c>
      <c r="C888" s="1303">
        <v>5.3302000000000002E-3</v>
      </c>
      <c r="D888" s="1303">
        <v>5.9021999999999998E-3</v>
      </c>
      <c r="E888" s="1007">
        <v>19047075</v>
      </c>
      <c r="F888" s="1270"/>
      <c r="G888" s="1200">
        <v>2405311</v>
      </c>
      <c r="H888" s="1200">
        <v>2680366</v>
      </c>
      <c r="I888" s="1200">
        <v>1417476</v>
      </c>
      <c r="J888" s="1007">
        <v>65247</v>
      </c>
      <c r="K888" s="1007">
        <v>6568400</v>
      </c>
      <c r="L888" s="1270"/>
      <c r="M888" s="1198">
        <v>0</v>
      </c>
      <c r="N888" s="1198">
        <v>0</v>
      </c>
      <c r="O888" s="1007">
        <v>928621</v>
      </c>
      <c r="P888" s="1007">
        <v>928621</v>
      </c>
      <c r="Q888" s="1270"/>
      <c r="R888" s="1200">
        <v>6550150</v>
      </c>
      <c r="S888" s="1007">
        <v>-266091</v>
      </c>
      <c r="T888" s="1306">
        <v>6284059</v>
      </c>
    </row>
    <row r="889" spans="1:20" s="1261" customFormat="1" x14ac:dyDescent="0.25">
      <c r="A889" s="1203">
        <v>99602</v>
      </c>
      <c r="B889" s="1204" t="s">
        <v>3507</v>
      </c>
      <c r="C889" s="1303">
        <v>6.1199999999999997E-5</v>
      </c>
      <c r="D889" s="1303">
        <v>6.1500000000000004E-5</v>
      </c>
      <c r="E889" s="1007">
        <v>218694</v>
      </c>
      <c r="F889" s="1270"/>
      <c r="G889" s="1200">
        <v>27617</v>
      </c>
      <c r="H889" s="1200">
        <v>30775</v>
      </c>
      <c r="I889" s="1200">
        <v>16275</v>
      </c>
      <c r="J889" s="1007">
        <v>1658</v>
      </c>
      <c r="K889" s="1007">
        <v>76325</v>
      </c>
      <c r="L889" s="1270"/>
      <c r="M889" s="1198">
        <v>0</v>
      </c>
      <c r="N889" s="1198">
        <v>0</v>
      </c>
      <c r="O889" s="1007">
        <v>6526</v>
      </c>
      <c r="P889" s="1007">
        <v>6526</v>
      </c>
      <c r="Q889" s="1270"/>
      <c r="R889" s="1200">
        <v>75207</v>
      </c>
      <c r="S889" s="1007">
        <v>-111</v>
      </c>
      <c r="T889" s="1306">
        <v>75096</v>
      </c>
    </row>
    <row r="890" spans="1:20" s="1261" customFormat="1" x14ac:dyDescent="0.25">
      <c r="A890" s="1203">
        <v>99603</v>
      </c>
      <c r="B890" s="1204" t="s">
        <v>3508</v>
      </c>
      <c r="C890" s="1303">
        <v>1.426E-4</v>
      </c>
      <c r="D890" s="1303">
        <v>1.5540000000000001E-4</v>
      </c>
      <c r="E890" s="1007">
        <v>509571</v>
      </c>
      <c r="F890" s="1270"/>
      <c r="G890" s="1200">
        <v>64350</v>
      </c>
      <c r="H890" s="1200">
        <v>71709</v>
      </c>
      <c r="I890" s="1200">
        <v>37922</v>
      </c>
      <c r="J890" s="1007">
        <v>14753</v>
      </c>
      <c r="K890" s="1007">
        <v>188734</v>
      </c>
      <c r="L890" s="1270"/>
      <c r="M890" s="1198">
        <v>0</v>
      </c>
      <c r="N890" s="1198">
        <v>0</v>
      </c>
      <c r="O890" s="1007">
        <v>8251</v>
      </c>
      <c r="P890" s="1007">
        <v>8251</v>
      </c>
      <c r="Q890" s="1270"/>
      <c r="R890" s="1200">
        <v>175238</v>
      </c>
      <c r="S890" s="1007">
        <v>20930</v>
      </c>
      <c r="T890" s="1306">
        <v>196168</v>
      </c>
    </row>
    <row r="891" spans="1:20" s="1261" customFormat="1" x14ac:dyDescent="0.25">
      <c r="A891" s="1203">
        <v>99604</v>
      </c>
      <c r="B891" s="1204" t="s">
        <v>3509</v>
      </c>
      <c r="C891" s="1303">
        <v>1.043E-4</v>
      </c>
      <c r="D891" s="1303">
        <v>9.1100000000000005E-5</v>
      </c>
      <c r="E891" s="1007">
        <v>372708</v>
      </c>
      <c r="F891" s="1270"/>
      <c r="G891" s="1200">
        <v>47067</v>
      </c>
      <c r="H891" s="1200">
        <v>52448</v>
      </c>
      <c r="I891" s="1200">
        <v>27737</v>
      </c>
      <c r="J891" s="1007">
        <v>31003</v>
      </c>
      <c r="K891" s="1007">
        <v>158255</v>
      </c>
      <c r="L891" s="1270"/>
      <c r="M891" s="1198">
        <v>0</v>
      </c>
      <c r="N891" s="1198">
        <v>0</v>
      </c>
      <c r="O891" s="1007">
        <v>0</v>
      </c>
      <c r="P891" s="1007">
        <v>0</v>
      </c>
      <c r="Q891" s="1270"/>
      <c r="R891" s="1200">
        <v>128172</v>
      </c>
      <c r="S891" s="1007">
        <v>13845</v>
      </c>
      <c r="T891" s="1306">
        <v>142017</v>
      </c>
    </row>
    <row r="892" spans="1:20" s="1261" customFormat="1" x14ac:dyDescent="0.25">
      <c r="A892" s="1203">
        <v>99609</v>
      </c>
      <c r="B892" s="1204" t="s">
        <v>3510</v>
      </c>
      <c r="C892" s="1303">
        <v>2.9499999999999999E-5</v>
      </c>
      <c r="D892" s="1303">
        <v>2.8799999999999999E-5</v>
      </c>
      <c r="E892" s="1007">
        <v>105416</v>
      </c>
      <c r="F892" s="1270"/>
      <c r="G892" s="1200">
        <v>13312</v>
      </c>
      <c r="H892" s="1200">
        <v>14834</v>
      </c>
      <c r="I892" s="1200">
        <v>7845</v>
      </c>
      <c r="J892" s="1007">
        <v>5822</v>
      </c>
      <c r="K892" s="1007">
        <v>41813</v>
      </c>
      <c r="L892" s="1270"/>
      <c r="M892" s="1198">
        <v>0</v>
      </c>
      <c r="N892" s="1198">
        <v>0</v>
      </c>
      <c r="O892" s="1007">
        <v>747</v>
      </c>
      <c r="P892" s="1007">
        <v>747</v>
      </c>
      <c r="Q892" s="1270"/>
      <c r="R892" s="1200">
        <v>36252</v>
      </c>
      <c r="S892" s="1007">
        <v>2308</v>
      </c>
      <c r="T892" s="1306">
        <v>38560</v>
      </c>
    </row>
    <row r="893" spans="1:20" s="1261" customFormat="1" x14ac:dyDescent="0.25">
      <c r="A893" s="1203">
        <v>99610</v>
      </c>
      <c r="B893" s="1204" t="s">
        <v>3511</v>
      </c>
      <c r="C893" s="1303">
        <v>1.6770000000000001E-4</v>
      </c>
      <c r="D893" s="1303">
        <v>1.683E-4</v>
      </c>
      <c r="E893" s="1007">
        <v>599264</v>
      </c>
      <c r="F893" s="1270"/>
      <c r="G893" s="1200">
        <v>75676</v>
      </c>
      <c r="H893" s="1200">
        <v>84330</v>
      </c>
      <c r="I893" s="1200">
        <v>44597</v>
      </c>
      <c r="J893" s="1007">
        <v>8149</v>
      </c>
      <c r="K893" s="1007">
        <v>212752</v>
      </c>
      <c r="L893" s="1270"/>
      <c r="M893" s="1198">
        <v>0</v>
      </c>
      <c r="N893" s="1198">
        <v>0</v>
      </c>
      <c r="O893" s="1007">
        <v>10694</v>
      </c>
      <c r="P893" s="1007">
        <v>10694</v>
      </c>
      <c r="Q893" s="1270"/>
      <c r="R893" s="1200">
        <v>206082</v>
      </c>
      <c r="S893" s="1007">
        <v>-1439</v>
      </c>
      <c r="T893" s="1306">
        <v>204643</v>
      </c>
    </row>
    <row r="894" spans="1:20" s="1261" customFormat="1" x14ac:dyDescent="0.25">
      <c r="A894" s="1203">
        <v>99611</v>
      </c>
      <c r="B894" s="1204" t="s">
        <v>3512</v>
      </c>
      <c r="C894" s="1303">
        <v>3.1828E-3</v>
      </c>
      <c r="D894" s="1303">
        <v>3.2022000000000001E-3</v>
      </c>
      <c r="E894" s="1007">
        <v>11373500</v>
      </c>
      <c r="F894" s="1270"/>
      <c r="G894" s="1200">
        <v>1436274</v>
      </c>
      <c r="H894" s="1200">
        <v>1600516</v>
      </c>
      <c r="I894" s="1200">
        <v>846412</v>
      </c>
      <c r="J894" s="1007">
        <v>26344</v>
      </c>
      <c r="K894" s="1007">
        <v>3909546</v>
      </c>
      <c r="L894" s="1270"/>
      <c r="M894" s="1198">
        <v>0</v>
      </c>
      <c r="N894" s="1198">
        <v>0</v>
      </c>
      <c r="O894" s="1007">
        <v>142908</v>
      </c>
      <c r="P894" s="1007">
        <v>142908</v>
      </c>
      <c r="Q894" s="1270"/>
      <c r="R894" s="1200">
        <v>3911263</v>
      </c>
      <c r="S894" s="1007">
        <v>-69414</v>
      </c>
      <c r="T894" s="1306">
        <v>3841849</v>
      </c>
    </row>
    <row r="895" spans="1:20" s="1261" customFormat="1" x14ac:dyDescent="0.25">
      <c r="A895" s="1203">
        <v>99613</v>
      </c>
      <c r="B895" s="1204" t="s">
        <v>3513</v>
      </c>
      <c r="C895" s="1303">
        <v>3.1920000000000001E-4</v>
      </c>
      <c r="D895" s="1303">
        <v>3.3720000000000001E-4</v>
      </c>
      <c r="E895" s="1007">
        <v>1140638</v>
      </c>
      <c r="F895" s="1270"/>
      <c r="G895" s="1200">
        <v>144043</v>
      </c>
      <c r="H895" s="1200">
        <v>160514</v>
      </c>
      <c r="I895" s="1200">
        <v>84886</v>
      </c>
      <c r="J895" s="1007">
        <v>108321</v>
      </c>
      <c r="K895" s="1007">
        <v>497764</v>
      </c>
      <c r="L895" s="1270"/>
      <c r="M895" s="1198">
        <v>0</v>
      </c>
      <c r="N895" s="1198">
        <v>0</v>
      </c>
      <c r="O895" s="1007">
        <v>28456</v>
      </c>
      <c r="P895" s="1007">
        <v>28456</v>
      </c>
      <c r="Q895" s="1270"/>
      <c r="R895" s="1200">
        <v>392257</v>
      </c>
      <c r="S895" s="1007">
        <v>95254</v>
      </c>
      <c r="T895" s="1306">
        <v>487511</v>
      </c>
    </row>
    <row r="896" spans="1:20" s="1261" customFormat="1" x14ac:dyDescent="0.25">
      <c r="A896" s="1203">
        <v>99621</v>
      </c>
      <c r="B896" s="1204" t="s">
        <v>3514</v>
      </c>
      <c r="C896" s="1303">
        <v>3.3040000000000001E-4</v>
      </c>
      <c r="D896" s="1303">
        <v>3.5530000000000002E-4</v>
      </c>
      <c r="E896" s="1007">
        <v>1180660</v>
      </c>
      <c r="F896" s="1270"/>
      <c r="G896" s="1200">
        <v>149097</v>
      </c>
      <c r="H896" s="1200">
        <v>166147</v>
      </c>
      <c r="I896" s="1200">
        <v>87864</v>
      </c>
      <c r="J896" s="1007">
        <v>6319</v>
      </c>
      <c r="K896" s="1007">
        <v>409427</v>
      </c>
      <c r="L896" s="1270"/>
      <c r="M896" s="1198">
        <v>0</v>
      </c>
      <c r="N896" s="1198">
        <v>0</v>
      </c>
      <c r="O896" s="1007">
        <v>37346</v>
      </c>
      <c r="P896" s="1007">
        <v>37346</v>
      </c>
      <c r="Q896" s="1270"/>
      <c r="R896" s="1200">
        <v>406020</v>
      </c>
      <c r="S896" s="1007">
        <v>-2630</v>
      </c>
      <c r="T896" s="1306">
        <v>403390</v>
      </c>
    </row>
    <row r="897" spans="1:20" s="1261" customFormat="1" x14ac:dyDescent="0.25">
      <c r="A897" s="1203">
        <v>99623</v>
      </c>
      <c r="B897" s="1204" t="s">
        <v>3515</v>
      </c>
      <c r="C897" s="1303">
        <v>1.6699999999999999E-5</v>
      </c>
      <c r="D897" s="1303">
        <v>1.08E-5</v>
      </c>
      <c r="E897" s="1007">
        <v>59676</v>
      </c>
      <c r="F897" s="1270"/>
      <c r="G897" s="1200">
        <v>7536</v>
      </c>
      <c r="H897" s="1200">
        <v>8398</v>
      </c>
      <c r="I897" s="1200">
        <v>4441</v>
      </c>
      <c r="J897" s="1007">
        <v>8179</v>
      </c>
      <c r="K897" s="1007">
        <v>28554</v>
      </c>
      <c r="L897" s="1270"/>
      <c r="M897" s="1198">
        <v>0</v>
      </c>
      <c r="N897" s="1198">
        <v>0</v>
      </c>
      <c r="O897" s="1007">
        <v>15189</v>
      </c>
      <c r="P897" s="1007">
        <v>15189</v>
      </c>
      <c r="Q897" s="1270"/>
      <c r="R897" s="1200">
        <v>20522</v>
      </c>
      <c r="S897" s="1007">
        <v>-2491</v>
      </c>
      <c r="T897" s="1306">
        <v>18031</v>
      </c>
    </row>
    <row r="898" spans="1:20" s="1261" customFormat="1" x14ac:dyDescent="0.25">
      <c r="A898" s="1203">
        <v>99631</v>
      </c>
      <c r="B898" s="1204" t="s">
        <v>3516</v>
      </c>
      <c r="C898" s="1303">
        <v>7.6899999999999999E-5</v>
      </c>
      <c r="D898" s="1303">
        <v>1.078E-4</v>
      </c>
      <c r="E898" s="1007">
        <v>274796</v>
      </c>
      <c r="F898" s="1270"/>
      <c r="G898" s="1200">
        <v>34702</v>
      </c>
      <c r="H898" s="1200">
        <v>38671</v>
      </c>
      <c r="I898" s="1200">
        <v>20450</v>
      </c>
      <c r="J898" s="1007">
        <v>267</v>
      </c>
      <c r="K898" s="1007">
        <v>94090</v>
      </c>
      <c r="L898" s="1270"/>
      <c r="M898" s="1198">
        <v>0</v>
      </c>
      <c r="N898" s="1198">
        <v>0</v>
      </c>
      <c r="O898" s="1007">
        <v>45055</v>
      </c>
      <c r="P898" s="1007">
        <v>45055</v>
      </c>
      <c r="Q898" s="1270"/>
      <c r="R898" s="1200">
        <v>94500</v>
      </c>
      <c r="S898" s="1007">
        <v>-15160</v>
      </c>
      <c r="T898" s="1306">
        <v>79340</v>
      </c>
    </row>
    <row r="899" spans="1:20" s="1261" customFormat="1" x14ac:dyDescent="0.25">
      <c r="A899" s="1203">
        <v>99651</v>
      </c>
      <c r="B899" s="1204" t="s">
        <v>3517</v>
      </c>
      <c r="C899" s="1303">
        <v>6.5199999999999999E-5</v>
      </c>
      <c r="D899" s="1303">
        <v>6.5300000000000002E-5</v>
      </c>
      <c r="E899" s="1007">
        <v>232987</v>
      </c>
      <c r="F899" s="1270"/>
      <c r="G899" s="1200">
        <v>29422</v>
      </c>
      <c r="H899" s="1200">
        <v>32787</v>
      </c>
      <c r="I899" s="1200">
        <v>17339</v>
      </c>
      <c r="J899" s="1007">
        <v>5735</v>
      </c>
      <c r="K899" s="1007">
        <v>85283</v>
      </c>
      <c r="L899" s="1270"/>
      <c r="M899" s="1198">
        <v>0</v>
      </c>
      <c r="N899" s="1198">
        <v>0</v>
      </c>
      <c r="O899" s="1007">
        <v>6382</v>
      </c>
      <c r="P899" s="1007">
        <v>6382</v>
      </c>
      <c r="Q899" s="1270"/>
      <c r="R899" s="1200">
        <v>80123</v>
      </c>
      <c r="S899" s="1007">
        <v>-172</v>
      </c>
      <c r="T899" s="1306">
        <v>79951</v>
      </c>
    </row>
    <row r="900" spans="1:20" s="1261" customFormat="1" x14ac:dyDescent="0.25">
      <c r="A900" s="1203">
        <v>99661</v>
      </c>
      <c r="B900" s="1204" t="s">
        <v>3518</v>
      </c>
      <c r="C900" s="1303">
        <v>3.4400000000000003E-5</v>
      </c>
      <c r="D900" s="1303">
        <v>3.4799999999999999E-5</v>
      </c>
      <c r="E900" s="1007">
        <v>122926</v>
      </c>
      <c r="F900" s="1269"/>
      <c r="G900" s="1200">
        <v>15523</v>
      </c>
      <c r="H900" s="1200">
        <v>17299</v>
      </c>
      <c r="I900" s="1200">
        <v>9148</v>
      </c>
      <c r="J900" s="1007">
        <v>42818</v>
      </c>
      <c r="K900" s="1007">
        <v>84788</v>
      </c>
      <c r="L900" s="1269"/>
      <c r="M900" s="1198">
        <v>0</v>
      </c>
      <c r="N900" s="1198">
        <v>0</v>
      </c>
      <c r="O900" s="1007">
        <v>0</v>
      </c>
      <c r="P900" s="1007">
        <v>0</v>
      </c>
      <c r="Q900" s="1269"/>
      <c r="R900" s="1200">
        <v>42273</v>
      </c>
      <c r="S900" s="1007">
        <v>21749</v>
      </c>
      <c r="T900" s="1306">
        <v>64022</v>
      </c>
    </row>
    <row r="901" spans="1:20" s="1261" customFormat="1" x14ac:dyDescent="0.25">
      <c r="A901" s="1203">
        <v>99701</v>
      </c>
      <c r="B901" s="1204" t="s">
        <v>3519</v>
      </c>
      <c r="C901" s="1303">
        <v>3.0582000000000001E-3</v>
      </c>
      <c r="D901" s="1303">
        <v>2.9930999999999998E-3</v>
      </c>
      <c r="E901" s="1007">
        <v>10928251</v>
      </c>
      <c r="F901" s="1270"/>
      <c r="G901" s="1200">
        <v>1380046</v>
      </c>
      <c r="H901" s="1200">
        <v>1537859</v>
      </c>
      <c r="I901" s="1200">
        <v>813276</v>
      </c>
      <c r="J901" s="1007">
        <v>51738</v>
      </c>
      <c r="K901" s="1007">
        <v>3782919</v>
      </c>
      <c r="L901" s="1270"/>
      <c r="M901" s="1198">
        <v>0</v>
      </c>
      <c r="N901" s="1198">
        <v>0</v>
      </c>
      <c r="O901" s="1007">
        <v>19492</v>
      </c>
      <c r="P901" s="1007">
        <v>19492</v>
      </c>
      <c r="Q901" s="1270"/>
      <c r="R901" s="1200">
        <v>3758146</v>
      </c>
      <c r="S901" s="1007">
        <v>10860</v>
      </c>
      <c r="T901" s="1306">
        <v>3769006</v>
      </c>
    </row>
    <row r="902" spans="1:20" s="1261" customFormat="1" x14ac:dyDescent="0.25">
      <c r="A902" s="1203">
        <v>99705</v>
      </c>
      <c r="B902" s="1204" t="s">
        <v>3520</v>
      </c>
      <c r="C902" s="1303">
        <v>1.6310000000000001E-4</v>
      </c>
      <c r="D902" s="1303">
        <v>1.5530000000000001E-4</v>
      </c>
      <c r="E902" s="1007">
        <v>582826</v>
      </c>
      <c r="F902" s="1270"/>
      <c r="G902" s="1200">
        <v>73601</v>
      </c>
      <c r="H902" s="1200">
        <v>82018</v>
      </c>
      <c r="I902" s="1200">
        <v>43374</v>
      </c>
      <c r="J902" s="1007">
        <v>41043</v>
      </c>
      <c r="K902" s="1007">
        <v>240036</v>
      </c>
      <c r="L902" s="1270"/>
      <c r="M902" s="1198">
        <v>0</v>
      </c>
      <c r="N902" s="1198">
        <v>0</v>
      </c>
      <c r="O902" s="1007">
        <v>0</v>
      </c>
      <c r="P902" s="1007">
        <v>0</v>
      </c>
      <c r="Q902" s="1270"/>
      <c r="R902" s="1200">
        <v>200430</v>
      </c>
      <c r="S902" s="1007">
        <v>15385</v>
      </c>
      <c r="T902" s="1306">
        <v>215815</v>
      </c>
    </row>
    <row r="903" spans="1:20" s="1261" customFormat="1" x14ac:dyDescent="0.25">
      <c r="A903" s="1203">
        <v>99711</v>
      </c>
      <c r="B903" s="1204" t="s">
        <v>3521</v>
      </c>
      <c r="C903" s="1303">
        <v>4.2759999999999999E-4</v>
      </c>
      <c r="D903" s="1303">
        <v>4.2489999999999997E-4</v>
      </c>
      <c r="E903" s="1007">
        <v>1527997</v>
      </c>
      <c r="F903" s="1270"/>
      <c r="G903" s="1200">
        <v>192959</v>
      </c>
      <c r="H903" s="1200">
        <v>215025</v>
      </c>
      <c r="I903" s="1200">
        <v>113713</v>
      </c>
      <c r="J903" s="1007">
        <v>13335</v>
      </c>
      <c r="K903" s="1007">
        <v>535032</v>
      </c>
      <c r="L903" s="1270"/>
      <c r="M903" s="1198">
        <v>0</v>
      </c>
      <c r="N903" s="1198">
        <v>0</v>
      </c>
      <c r="O903" s="1007">
        <v>6398</v>
      </c>
      <c r="P903" s="1007">
        <v>6398</v>
      </c>
      <c r="Q903" s="1270"/>
      <c r="R903" s="1200">
        <v>525467</v>
      </c>
      <c r="S903" s="1007">
        <v>3845</v>
      </c>
      <c r="T903" s="1306">
        <v>529312</v>
      </c>
    </row>
    <row r="904" spans="1:20" s="1261" customFormat="1" x14ac:dyDescent="0.25">
      <c r="A904" s="1203">
        <v>99717</v>
      </c>
      <c r="B904" s="1204" t="s">
        <v>3522</v>
      </c>
      <c r="C904" s="1303">
        <v>1.6099999999999998E-5</v>
      </c>
      <c r="D904" s="1303">
        <v>2.6599999999999999E-5</v>
      </c>
      <c r="E904" s="1007">
        <v>57532</v>
      </c>
      <c r="F904" s="1270"/>
      <c r="G904" s="1200">
        <v>7265</v>
      </c>
      <c r="H904" s="1200">
        <v>8096</v>
      </c>
      <c r="I904" s="1200">
        <v>4282</v>
      </c>
      <c r="J904" s="1007">
        <v>643</v>
      </c>
      <c r="K904" s="1007">
        <v>20286</v>
      </c>
      <c r="L904" s="1270"/>
      <c r="M904" s="1198">
        <v>0</v>
      </c>
      <c r="N904" s="1198">
        <v>0</v>
      </c>
      <c r="O904" s="1007">
        <v>14397</v>
      </c>
      <c r="P904" s="1007">
        <v>14397</v>
      </c>
      <c r="Q904" s="1270"/>
      <c r="R904" s="1200">
        <v>19785</v>
      </c>
      <c r="S904" s="1007">
        <v>-5357</v>
      </c>
      <c r="T904" s="1306">
        <v>14428</v>
      </c>
    </row>
    <row r="905" spans="1:20" s="1261" customFormat="1" x14ac:dyDescent="0.25">
      <c r="A905" s="1203">
        <v>99721</v>
      </c>
      <c r="B905" s="1204" t="s">
        <v>3523</v>
      </c>
      <c r="C905" s="1303">
        <v>5.8069999999999997E-4</v>
      </c>
      <c r="D905" s="1303">
        <v>6.1160000000000001E-4</v>
      </c>
      <c r="E905" s="1007">
        <v>2075088</v>
      </c>
      <c r="F905" s="1270"/>
      <c r="G905" s="1200">
        <v>262047</v>
      </c>
      <c r="H905" s="1200">
        <v>292013</v>
      </c>
      <c r="I905" s="1200">
        <v>154427</v>
      </c>
      <c r="J905" s="1007">
        <v>1738</v>
      </c>
      <c r="K905" s="1007">
        <v>710225</v>
      </c>
      <c r="L905" s="1270"/>
      <c r="M905" s="1198">
        <v>0</v>
      </c>
      <c r="N905" s="1198">
        <v>0</v>
      </c>
      <c r="O905" s="1007">
        <v>57382</v>
      </c>
      <c r="P905" s="1007">
        <v>57382</v>
      </c>
      <c r="Q905" s="1270"/>
      <c r="R905" s="1200">
        <v>713608</v>
      </c>
      <c r="S905" s="1007">
        <v>-27497</v>
      </c>
      <c r="T905" s="1306">
        <v>686111</v>
      </c>
    </row>
    <row r="906" spans="1:20" s="1261" customFormat="1" x14ac:dyDescent="0.25">
      <c r="A906" s="1203">
        <v>99727</v>
      </c>
      <c r="B906" s="1204" t="s">
        <v>3524</v>
      </c>
      <c r="C906" s="1303">
        <v>1.6200000000000001E-5</v>
      </c>
      <c r="D906" s="1303">
        <v>1.98E-5</v>
      </c>
      <c r="E906" s="1007">
        <v>57890</v>
      </c>
      <c r="F906" s="1265"/>
      <c r="G906" s="1200">
        <v>7310</v>
      </c>
      <c r="H906" s="1200">
        <v>8146</v>
      </c>
      <c r="I906" s="1200">
        <v>4308</v>
      </c>
      <c r="J906" s="1007">
        <v>43316</v>
      </c>
      <c r="K906" s="1007">
        <v>63080</v>
      </c>
      <c r="L906" s="1265"/>
      <c r="M906" s="1198">
        <v>0</v>
      </c>
      <c r="N906" s="1198">
        <v>0</v>
      </c>
      <c r="O906" s="1007">
        <v>0</v>
      </c>
      <c r="P906" s="1007">
        <v>0</v>
      </c>
      <c r="Q906" s="1265"/>
      <c r="R906" s="1200">
        <v>19908</v>
      </c>
      <c r="S906" s="1007">
        <v>27243</v>
      </c>
      <c r="T906" s="1306">
        <v>47151</v>
      </c>
    </row>
    <row r="907" spans="1:20" s="1261" customFormat="1" x14ac:dyDescent="0.25">
      <c r="A907" s="1203">
        <v>99801</v>
      </c>
      <c r="B907" s="1204" t="s">
        <v>3525</v>
      </c>
      <c r="C907" s="1303">
        <v>4.6778000000000002E-3</v>
      </c>
      <c r="D907" s="1303">
        <v>4.7737999999999999E-3</v>
      </c>
      <c r="E907" s="1007">
        <v>16715772</v>
      </c>
      <c r="F907" s="1265"/>
      <c r="G907" s="1200">
        <v>2110909</v>
      </c>
      <c r="H907" s="1200">
        <v>2352297</v>
      </c>
      <c r="I907" s="1200">
        <v>1243981</v>
      </c>
      <c r="J907" s="1007">
        <v>0</v>
      </c>
      <c r="K907" s="1007">
        <v>5707187</v>
      </c>
      <c r="L907" s="1265"/>
      <c r="M907" s="1198">
        <v>0</v>
      </c>
      <c r="N907" s="1198">
        <v>0</v>
      </c>
      <c r="O907" s="1007">
        <v>524280</v>
      </c>
      <c r="P907" s="1007">
        <v>524280</v>
      </c>
      <c r="Q907" s="1265"/>
      <c r="R907" s="1200">
        <v>5748431</v>
      </c>
      <c r="S907" s="1007">
        <v>-219130</v>
      </c>
      <c r="T907" s="1306">
        <v>5529301</v>
      </c>
    </row>
    <row r="908" spans="1:20" s="1261" customFormat="1" x14ac:dyDescent="0.25">
      <c r="A908" s="1203">
        <v>99802</v>
      </c>
      <c r="B908" s="1204" t="s">
        <v>3526</v>
      </c>
      <c r="C908" s="1303">
        <v>1.13E-5</v>
      </c>
      <c r="D908" s="1303">
        <v>1.1600000000000001E-5</v>
      </c>
      <c r="E908" s="1007">
        <v>40380</v>
      </c>
      <c r="F908" s="1265"/>
      <c r="G908" s="1200">
        <v>5099</v>
      </c>
      <c r="H908" s="1200">
        <v>5683</v>
      </c>
      <c r="I908" s="1200">
        <v>3005</v>
      </c>
      <c r="J908" s="1007">
        <v>4919</v>
      </c>
      <c r="K908" s="1007">
        <v>18706</v>
      </c>
      <c r="L908" s="1265"/>
      <c r="M908" s="1198">
        <v>0</v>
      </c>
      <c r="N908" s="1198">
        <v>0</v>
      </c>
      <c r="O908" s="1007">
        <v>0</v>
      </c>
      <c r="P908" s="1007">
        <v>0</v>
      </c>
      <c r="Q908" s="1265"/>
      <c r="R908" s="1200">
        <v>13886</v>
      </c>
      <c r="S908" s="1007">
        <v>2288</v>
      </c>
      <c r="T908" s="1306">
        <v>16174</v>
      </c>
    </row>
    <row r="909" spans="1:20" s="1261" customFormat="1" x14ac:dyDescent="0.25">
      <c r="A909" s="1203">
        <v>99804</v>
      </c>
      <c r="B909" s="1204" t="s">
        <v>3527</v>
      </c>
      <c r="C909" s="1303">
        <v>7.3200000000000004E-5</v>
      </c>
      <c r="D909" s="1303">
        <v>7.2200000000000007E-5</v>
      </c>
      <c r="E909" s="1007">
        <v>261575</v>
      </c>
      <c r="F909" s="1265"/>
      <c r="G909" s="1200">
        <v>33032</v>
      </c>
      <c r="H909" s="1200">
        <v>36809</v>
      </c>
      <c r="I909" s="1200">
        <v>19466</v>
      </c>
      <c r="J909" s="1007">
        <v>16780</v>
      </c>
      <c r="K909" s="1007">
        <v>106087</v>
      </c>
      <c r="L909" s="1265"/>
      <c r="M909" s="1198">
        <v>0</v>
      </c>
      <c r="N909" s="1198">
        <v>0</v>
      </c>
      <c r="O909" s="1007">
        <v>65</v>
      </c>
      <c r="P909" s="1007">
        <v>65</v>
      </c>
      <c r="Q909" s="1265"/>
      <c r="R909" s="1200">
        <v>89954</v>
      </c>
      <c r="S909" s="1007">
        <v>7583</v>
      </c>
      <c r="T909" s="1306">
        <v>97537</v>
      </c>
    </row>
    <row r="910" spans="1:20" s="1261" customFormat="1" x14ac:dyDescent="0.25">
      <c r="A910" s="1203">
        <v>99811</v>
      </c>
      <c r="B910" s="1204" t="s">
        <v>3528</v>
      </c>
      <c r="C910" s="1303">
        <v>6.3816000000000003E-3</v>
      </c>
      <c r="D910" s="1303">
        <v>6.4218000000000001E-3</v>
      </c>
      <c r="E910" s="1007">
        <v>22804175</v>
      </c>
      <c r="F910" s="1265"/>
      <c r="G910" s="1200">
        <v>2879767</v>
      </c>
      <c r="H910" s="1200">
        <v>3209077</v>
      </c>
      <c r="I910" s="1200">
        <v>1697078</v>
      </c>
      <c r="J910" s="1007">
        <v>0</v>
      </c>
      <c r="K910" s="1007">
        <v>7785922</v>
      </c>
      <c r="L910" s="1265"/>
      <c r="M910" s="1198">
        <v>0</v>
      </c>
      <c r="N910" s="1198">
        <v>0</v>
      </c>
      <c r="O910" s="1007">
        <v>466307</v>
      </c>
      <c r="P910" s="1007">
        <v>466307</v>
      </c>
      <c r="Q910" s="1265"/>
      <c r="R910" s="1200">
        <v>7842189</v>
      </c>
      <c r="S910" s="1007">
        <v>-275530</v>
      </c>
      <c r="T910" s="1306">
        <v>7566659</v>
      </c>
    </row>
    <row r="911" spans="1:20" s="1261" customFormat="1" x14ac:dyDescent="0.25">
      <c r="A911" s="1203">
        <v>99812</v>
      </c>
      <c r="B911" s="1204" t="s">
        <v>3529</v>
      </c>
      <c r="C911" s="1303">
        <v>1.6900000000000001E-5</v>
      </c>
      <c r="D911" s="1303">
        <v>1.88E-5</v>
      </c>
      <c r="E911" s="1007">
        <v>60391</v>
      </c>
      <c r="F911" s="1265"/>
      <c r="G911" s="1200">
        <v>7626</v>
      </c>
      <c r="H911" s="1200">
        <v>8499</v>
      </c>
      <c r="I911" s="1200">
        <v>4494</v>
      </c>
      <c r="J911" s="1007">
        <v>22043</v>
      </c>
      <c r="K911" s="1007">
        <v>42662</v>
      </c>
      <c r="L911" s="1265"/>
      <c r="M911" s="1198">
        <v>0</v>
      </c>
      <c r="N911" s="1198">
        <v>0</v>
      </c>
      <c r="O911" s="1007">
        <v>0</v>
      </c>
      <c r="P911" s="1007">
        <v>0</v>
      </c>
      <c r="Q911" s="1265"/>
      <c r="R911" s="1200">
        <v>20768</v>
      </c>
      <c r="S911" s="1007">
        <v>10029</v>
      </c>
      <c r="T911" s="1306">
        <v>30797</v>
      </c>
    </row>
    <row r="912" spans="1:20" s="1261" customFormat="1" x14ac:dyDescent="0.25">
      <c r="A912" s="1203">
        <v>99818</v>
      </c>
      <c r="B912" s="1204" t="s">
        <v>3530</v>
      </c>
      <c r="C912" s="1303">
        <v>4.7500000000000003E-5</v>
      </c>
      <c r="D912" s="1303">
        <v>3.5599999999999998E-5</v>
      </c>
      <c r="E912" s="1007">
        <v>169738</v>
      </c>
      <c r="F912" s="1265"/>
      <c r="G912" s="1200">
        <v>21435</v>
      </c>
      <c r="H912" s="1200">
        <v>23886</v>
      </c>
      <c r="I912" s="1200">
        <v>12632</v>
      </c>
      <c r="J912" s="1007">
        <v>8749</v>
      </c>
      <c r="K912" s="1007">
        <v>66702</v>
      </c>
      <c r="L912" s="1265"/>
      <c r="M912" s="1198">
        <v>0</v>
      </c>
      <c r="N912" s="1198">
        <v>0</v>
      </c>
      <c r="O912" s="1007">
        <v>2346</v>
      </c>
      <c r="P912" s="1007">
        <v>2346</v>
      </c>
      <c r="Q912" s="1265"/>
      <c r="R912" s="1200">
        <v>58372</v>
      </c>
      <c r="S912" s="1007">
        <v>683</v>
      </c>
      <c r="T912" s="1306">
        <v>59055</v>
      </c>
    </row>
    <row r="913" spans="1:20" s="1261" customFormat="1" x14ac:dyDescent="0.25">
      <c r="A913" s="1203">
        <v>99821</v>
      </c>
      <c r="B913" s="1204" t="s">
        <v>3531</v>
      </c>
      <c r="C913" s="1303">
        <v>8.81E-5</v>
      </c>
      <c r="D913" s="1303">
        <v>9.8200000000000002E-5</v>
      </c>
      <c r="E913" s="1007">
        <v>314819</v>
      </c>
      <c r="F913" s="1265"/>
      <c r="G913" s="1200">
        <v>39756</v>
      </c>
      <c r="H913" s="1200">
        <v>44302</v>
      </c>
      <c r="I913" s="1200">
        <v>23429</v>
      </c>
      <c r="J913" s="1007">
        <v>10315</v>
      </c>
      <c r="K913" s="1007">
        <v>117802</v>
      </c>
      <c r="L913" s="1265"/>
      <c r="M913" s="1198">
        <v>0</v>
      </c>
      <c r="N913" s="1198">
        <v>0</v>
      </c>
      <c r="O913" s="1007">
        <v>6360</v>
      </c>
      <c r="P913" s="1007">
        <v>6360</v>
      </c>
      <c r="Q913" s="1265"/>
      <c r="R913" s="1200">
        <v>108264</v>
      </c>
      <c r="S913" s="1007">
        <v>4972</v>
      </c>
      <c r="T913" s="1306">
        <v>113236</v>
      </c>
    </row>
    <row r="914" spans="1:20" s="1261" customFormat="1" x14ac:dyDescent="0.25">
      <c r="A914" s="1203">
        <v>99831</v>
      </c>
      <c r="B914" s="1204" t="s">
        <v>3532</v>
      </c>
      <c r="C914" s="1303">
        <v>5.5899999999999997E-5</v>
      </c>
      <c r="D914" s="1303">
        <v>5.5399999999999998E-5</v>
      </c>
      <c r="E914" s="1007">
        <v>199755</v>
      </c>
      <c r="F914" s="1265"/>
      <c r="G914" s="1200">
        <v>25225</v>
      </c>
      <c r="H914" s="1200">
        <v>28110</v>
      </c>
      <c r="I914" s="1200">
        <v>14866</v>
      </c>
      <c r="J914" s="1007">
        <v>9354</v>
      </c>
      <c r="K914" s="1007">
        <v>77555</v>
      </c>
      <c r="L914" s="1265"/>
      <c r="M914" s="1198">
        <v>0</v>
      </c>
      <c r="N914" s="1198">
        <v>0</v>
      </c>
      <c r="O914" s="1007">
        <v>3600</v>
      </c>
      <c r="P914" s="1007">
        <v>3600</v>
      </c>
      <c r="Q914" s="1265"/>
      <c r="R914" s="1200">
        <v>68694</v>
      </c>
      <c r="S914" s="1007">
        <v>2767</v>
      </c>
      <c r="T914" s="1306">
        <v>71461</v>
      </c>
    </row>
    <row r="915" spans="1:20" s="1261" customFormat="1" x14ac:dyDescent="0.25">
      <c r="A915" s="1203">
        <v>99841</v>
      </c>
      <c r="B915" s="1204" t="s">
        <v>3533</v>
      </c>
      <c r="C915" s="1303">
        <v>5.0500000000000001E-5</v>
      </c>
      <c r="D915" s="1303">
        <v>1.59E-5</v>
      </c>
      <c r="E915" s="1007">
        <v>180458</v>
      </c>
      <c r="F915" s="1265"/>
      <c r="G915" s="1200">
        <v>22789</v>
      </c>
      <c r="H915" s="1200">
        <v>25394</v>
      </c>
      <c r="I915" s="1200">
        <v>13430</v>
      </c>
      <c r="J915" s="1007">
        <v>45271</v>
      </c>
      <c r="K915" s="1007">
        <v>106884</v>
      </c>
      <c r="L915" s="1265"/>
      <c r="M915" s="1198">
        <v>0</v>
      </c>
      <c r="N915" s="1198">
        <v>0</v>
      </c>
      <c r="O915" s="1007">
        <v>10398</v>
      </c>
      <c r="P915" s="1007">
        <v>10398</v>
      </c>
      <c r="Q915" s="1265"/>
      <c r="R915" s="1200">
        <v>62058</v>
      </c>
      <c r="S915" s="1007">
        <v>10465</v>
      </c>
      <c r="T915" s="1306">
        <v>72523</v>
      </c>
    </row>
    <row r="916" spans="1:20" s="1261" customFormat="1" x14ac:dyDescent="0.25">
      <c r="A916" s="1203">
        <v>99851</v>
      </c>
      <c r="B916" s="1204" t="s">
        <v>3534</v>
      </c>
      <c r="C916" s="1303">
        <v>7.5000000000000002E-6</v>
      </c>
      <c r="D916" s="1303">
        <v>7.9000000000000006E-6</v>
      </c>
      <c r="E916" s="1007">
        <v>26801</v>
      </c>
      <c r="G916" s="1200">
        <v>3384</v>
      </c>
      <c r="H916" s="1200">
        <v>3771</v>
      </c>
      <c r="I916" s="1200">
        <v>1994</v>
      </c>
      <c r="J916" s="1007">
        <v>0</v>
      </c>
      <c r="K916" s="1007">
        <v>9149</v>
      </c>
      <c r="M916" s="1198">
        <v>0</v>
      </c>
      <c r="N916" s="1198">
        <v>0</v>
      </c>
      <c r="O916" s="1007">
        <v>11415</v>
      </c>
      <c r="P916" s="1007">
        <v>11415</v>
      </c>
      <c r="R916" s="1200">
        <v>9217</v>
      </c>
      <c r="S916" s="1007">
        <v>-4630</v>
      </c>
      <c r="T916" s="1306">
        <v>4587</v>
      </c>
    </row>
    <row r="917" spans="1:20" s="1261" customFormat="1" x14ac:dyDescent="0.25">
      <c r="A917" s="1203">
        <v>99901</v>
      </c>
      <c r="B917" s="1204" t="s">
        <v>3535</v>
      </c>
      <c r="C917" s="1303">
        <v>1.5862999999999999E-3</v>
      </c>
      <c r="D917" s="1303">
        <v>1.5942E-3</v>
      </c>
      <c r="E917" s="1007">
        <v>5668526</v>
      </c>
      <c r="G917" s="1200">
        <v>715835</v>
      </c>
      <c r="H917" s="1200">
        <v>797693</v>
      </c>
      <c r="I917" s="1200">
        <v>421850</v>
      </c>
      <c r="J917" s="1007">
        <v>4297</v>
      </c>
      <c r="K917" s="1007">
        <v>1939675</v>
      </c>
      <c r="M917" s="1198">
        <v>0</v>
      </c>
      <c r="N917" s="1198">
        <v>0</v>
      </c>
      <c r="O917" s="1007">
        <v>85459</v>
      </c>
      <c r="P917" s="1007">
        <v>85459</v>
      </c>
      <c r="R917" s="1200">
        <v>1949364</v>
      </c>
      <c r="S917" s="1007">
        <v>-24181</v>
      </c>
      <c r="T917" s="1306">
        <v>1925183</v>
      </c>
    </row>
    <row r="918" spans="1:20" s="1261" customFormat="1" x14ac:dyDescent="0.25">
      <c r="A918" s="1203">
        <v>99911</v>
      </c>
      <c r="B918" s="1204" t="s">
        <v>3536</v>
      </c>
      <c r="C918" s="1303">
        <v>2.4049999999999999E-4</v>
      </c>
      <c r="D918" s="1303">
        <v>2.219E-4</v>
      </c>
      <c r="E918" s="1007">
        <v>859409</v>
      </c>
      <c r="F918" s="1265"/>
      <c r="G918" s="1200">
        <v>108528</v>
      </c>
      <c r="H918" s="1200">
        <v>120938</v>
      </c>
      <c r="I918" s="1200">
        <v>63957</v>
      </c>
      <c r="J918" s="1007">
        <v>44157</v>
      </c>
      <c r="K918" s="1007">
        <v>337580</v>
      </c>
      <c r="L918" s="1265"/>
      <c r="M918" s="1198">
        <v>0</v>
      </c>
      <c r="N918" s="1198">
        <v>0</v>
      </c>
      <c r="O918" s="1007">
        <v>3477</v>
      </c>
      <c r="P918" s="1007">
        <v>3477</v>
      </c>
      <c r="Q918" s="1265"/>
      <c r="R918" s="1200">
        <v>295544</v>
      </c>
      <c r="S918" s="1007">
        <v>11627</v>
      </c>
      <c r="T918" s="1306">
        <v>307171</v>
      </c>
    </row>
    <row r="919" spans="1:20" s="1261" customFormat="1" x14ac:dyDescent="0.25">
      <c r="A919" s="1203">
        <v>99921</v>
      </c>
      <c r="B919" s="1198" t="s">
        <v>3537</v>
      </c>
      <c r="C919" s="1303">
        <v>1.484E-4</v>
      </c>
      <c r="D919" s="1303">
        <v>1.315E-4</v>
      </c>
      <c r="E919" s="1007">
        <v>530296</v>
      </c>
      <c r="F919" s="1265"/>
      <c r="G919" s="1200">
        <v>66967</v>
      </c>
      <c r="H919" s="1200">
        <v>74625</v>
      </c>
      <c r="I919" s="1200">
        <v>39464</v>
      </c>
      <c r="J919" s="1007">
        <v>21858</v>
      </c>
      <c r="K919" s="1007">
        <v>202914</v>
      </c>
      <c r="L919" s="1265"/>
      <c r="M919" s="1198">
        <v>0</v>
      </c>
      <c r="N919" s="1198">
        <v>0</v>
      </c>
      <c r="O919" s="1007">
        <v>9322</v>
      </c>
      <c r="P919" s="1007">
        <v>9322</v>
      </c>
      <c r="Q919" s="1265"/>
      <c r="R919" s="1200">
        <v>182365</v>
      </c>
      <c r="S919" s="1007">
        <v>2529</v>
      </c>
      <c r="T919" s="1306">
        <v>184894</v>
      </c>
    </row>
    <row r="920" spans="1:20" s="1261" customFormat="1" x14ac:dyDescent="0.25">
      <c r="A920" s="1203">
        <v>99931</v>
      </c>
      <c r="B920" s="1284" t="s">
        <v>3538</v>
      </c>
      <c r="C920" s="1303">
        <v>2.4899999999999999E-5</v>
      </c>
      <c r="D920" s="1303">
        <v>2.1699999999999999E-5</v>
      </c>
      <c r="E920" s="1007">
        <v>88978</v>
      </c>
      <c r="G920" s="1200">
        <v>11236</v>
      </c>
      <c r="H920" s="1200">
        <v>12521</v>
      </c>
      <c r="I920" s="1200">
        <v>6622</v>
      </c>
      <c r="J920" s="1007">
        <v>8616</v>
      </c>
      <c r="K920" s="1007">
        <v>38995</v>
      </c>
      <c r="M920" s="1198">
        <v>0</v>
      </c>
      <c r="N920" s="1198">
        <v>0</v>
      </c>
      <c r="O920" s="1007">
        <v>1235</v>
      </c>
      <c r="P920" s="1007">
        <v>1235</v>
      </c>
      <c r="R920" s="1200">
        <v>30599</v>
      </c>
      <c r="S920" s="1007">
        <v>1501</v>
      </c>
      <c r="T920" s="1306">
        <v>32100</v>
      </c>
    </row>
    <row r="921" spans="1:20" s="1261" customFormat="1" x14ac:dyDescent="0.25">
      <c r="A921" s="1203">
        <v>99941</v>
      </c>
      <c r="B921" s="1284" t="s">
        <v>3539</v>
      </c>
      <c r="C921" s="1303">
        <v>5.9200000000000002E-5</v>
      </c>
      <c r="D921" s="1303">
        <v>7.7399999999999998E-5</v>
      </c>
      <c r="E921" s="1007">
        <v>211547</v>
      </c>
      <c r="G921" s="1200">
        <v>26715</v>
      </c>
      <c r="H921" s="1200">
        <v>29769</v>
      </c>
      <c r="I921" s="1200">
        <v>15743</v>
      </c>
      <c r="J921" s="1007">
        <v>0</v>
      </c>
      <c r="K921" s="1007">
        <v>72227</v>
      </c>
      <c r="M921" s="1198">
        <v>0</v>
      </c>
      <c r="N921" s="1198">
        <v>0</v>
      </c>
      <c r="O921" s="1007">
        <v>30407</v>
      </c>
      <c r="P921" s="1007">
        <v>30407</v>
      </c>
      <c r="R921" s="1200">
        <v>72749</v>
      </c>
      <c r="S921" s="1007">
        <v>-12790</v>
      </c>
      <c r="T921" s="1306">
        <v>59959</v>
      </c>
    </row>
    <row r="922" spans="1:20" s="1261" customFormat="1" x14ac:dyDescent="0.25">
      <c r="A922" s="1203">
        <v>99991</v>
      </c>
      <c r="B922" s="1284" t="s">
        <v>3540</v>
      </c>
      <c r="C922" s="1303">
        <v>4.4270000000000003E-4</v>
      </c>
      <c r="D922" s="1303">
        <v>5.0869999999999995E-4</v>
      </c>
      <c r="E922" s="1007">
        <v>1581956</v>
      </c>
      <c r="G922" s="1200">
        <v>199773</v>
      </c>
      <c r="H922" s="1200">
        <v>222618</v>
      </c>
      <c r="I922" s="1200">
        <v>117729</v>
      </c>
      <c r="J922" s="1007">
        <v>0</v>
      </c>
      <c r="K922" s="1007">
        <v>540120</v>
      </c>
      <c r="M922" s="1198">
        <v>0</v>
      </c>
      <c r="N922" s="1198">
        <v>0</v>
      </c>
      <c r="O922" s="1007">
        <v>88563</v>
      </c>
      <c r="P922" s="1007">
        <v>88563</v>
      </c>
      <c r="R922" s="1200">
        <v>544023</v>
      </c>
      <c r="S922" s="1007">
        <v>-31652</v>
      </c>
      <c r="T922" s="1306">
        <v>512371</v>
      </c>
    </row>
    <row r="923" spans="1:20" x14ac:dyDescent="0.25">
      <c r="A923" s="1284">
        <v>99999</v>
      </c>
      <c r="B923" s="1284" t="s">
        <v>3541</v>
      </c>
      <c r="C923" s="1284">
        <v>1.0007E-3</v>
      </c>
      <c r="D923" s="1284">
        <v>1.0093000000000001E-3</v>
      </c>
      <c r="E923" s="1284">
        <v>3575927</v>
      </c>
      <c r="G923" s="1284">
        <v>451577</v>
      </c>
      <c r="H923" s="1200">
        <v>503216</v>
      </c>
      <c r="I923" s="1284">
        <v>266119</v>
      </c>
      <c r="J923" s="1284">
        <v>198528</v>
      </c>
      <c r="K923" s="1007">
        <v>1419440</v>
      </c>
      <c r="M923" s="1198">
        <v>0</v>
      </c>
      <c r="N923" s="1198">
        <v>0</v>
      </c>
      <c r="O923" s="1284">
        <v>1141</v>
      </c>
      <c r="P923" s="1007">
        <v>1141</v>
      </c>
      <c r="R923" s="1284">
        <v>1229735</v>
      </c>
      <c r="S923" s="1284">
        <v>86511</v>
      </c>
      <c r="T923" s="1284">
        <v>1316246</v>
      </c>
    </row>
    <row r="924" spans="1:20" s="1258" customFormat="1" x14ac:dyDescent="0.25">
      <c r="A924" s="1254"/>
      <c r="B924" s="1255" t="s">
        <v>4237</v>
      </c>
      <c r="C924" s="1304">
        <v>1</v>
      </c>
      <c r="D924" s="1304">
        <v>1</v>
      </c>
      <c r="E924" s="1305">
        <v>3573425995</v>
      </c>
      <c r="F924" s="1257"/>
      <c r="G924" s="1260"/>
      <c r="H924" s="1259"/>
      <c r="I924" s="1260"/>
      <c r="J924" s="1260"/>
      <c r="K924" s="1259"/>
      <c r="L924" s="1260"/>
      <c r="M924" s="1260"/>
      <c r="N924" s="1260"/>
      <c r="O924" s="1260"/>
      <c r="P924" s="1259"/>
      <c r="Q924" s="1260"/>
      <c r="R924" s="1260"/>
      <c r="S924" s="1260"/>
      <c r="T924" s="1260"/>
    </row>
    <row r="925" spans="1:20" s="1258" customFormat="1" x14ac:dyDescent="0.25">
      <c r="A925" s="1254"/>
      <c r="B925" s="1255"/>
      <c r="C925" s="1304"/>
      <c r="D925" s="1304"/>
      <c r="E925" s="1257"/>
      <c r="F925" s="1257"/>
      <c r="G925" s="1260"/>
      <c r="H925" s="1259"/>
      <c r="I925" s="1260"/>
      <c r="J925" s="1260"/>
      <c r="K925" s="1259"/>
      <c r="L925" s="1260"/>
      <c r="M925" s="1260"/>
      <c r="N925" s="1260"/>
      <c r="O925" s="1260"/>
      <c r="P925" s="1259"/>
      <c r="Q925" s="1260"/>
      <c r="R925" s="1260"/>
      <c r="S925" s="1260"/>
      <c r="T925" s="1260"/>
    </row>
    <row r="926" spans="1:20" x14ac:dyDescent="0.25">
      <c r="B926" s="1261" t="s">
        <v>2112</v>
      </c>
      <c r="C926" s="1275" t="s">
        <v>837</v>
      </c>
    </row>
    <row r="927" spans="1:20" x14ac:dyDescent="0.25">
      <c r="A927" s="1274"/>
      <c r="B927" s="1276" t="s">
        <v>4238</v>
      </c>
      <c r="C927" s="1274">
        <v>96331</v>
      </c>
      <c r="H927" s="1248"/>
      <c r="K927" s="1248"/>
      <c r="P927" s="1248"/>
    </row>
    <row r="928" spans="1:20" x14ac:dyDescent="0.25">
      <c r="A928" s="1274"/>
      <c r="B928" s="1276" t="s">
        <v>4239</v>
      </c>
      <c r="C928" s="1274">
        <v>94611</v>
      </c>
      <c r="H928" s="1248"/>
      <c r="K928" s="1248"/>
      <c r="P928" s="1248"/>
    </row>
    <row r="929" spans="1:16" x14ac:dyDescent="0.25">
      <c r="A929" s="1274"/>
      <c r="B929" s="1276" t="s">
        <v>2967</v>
      </c>
      <c r="C929" s="1274">
        <v>93402</v>
      </c>
      <c r="H929" s="1248"/>
      <c r="K929" s="1248"/>
      <c r="P929" s="1248"/>
    </row>
    <row r="930" spans="1:16" x14ac:dyDescent="0.25">
      <c r="A930" s="1274"/>
      <c r="B930" s="1276" t="s">
        <v>2539</v>
      </c>
      <c r="C930" s="1274">
        <v>90151</v>
      </c>
      <c r="H930" s="1248"/>
      <c r="K930" s="1248"/>
      <c r="P930" s="1248"/>
    </row>
    <row r="931" spans="1:16" x14ac:dyDescent="0.25">
      <c r="A931" s="1274"/>
      <c r="B931" s="1276" t="s">
        <v>3031</v>
      </c>
      <c r="C931" s="1274">
        <v>94109</v>
      </c>
      <c r="H931" s="1248"/>
      <c r="K931" s="1248"/>
      <c r="P931" s="1248"/>
    </row>
    <row r="932" spans="1:16" x14ac:dyDescent="0.25">
      <c r="A932" s="1274"/>
      <c r="B932" s="1276" t="s">
        <v>2664</v>
      </c>
      <c r="C932" s="1274">
        <v>90101</v>
      </c>
      <c r="H932" s="1248"/>
      <c r="K932" s="1248"/>
      <c r="P932" s="1248"/>
    </row>
    <row r="933" spans="1:16" x14ac:dyDescent="0.25">
      <c r="A933" s="1274"/>
      <c r="B933" s="1276" t="s">
        <v>2667</v>
      </c>
      <c r="C933" s="1274">
        <v>90117</v>
      </c>
      <c r="H933" s="1248"/>
      <c r="K933" s="1248"/>
      <c r="P933" s="1248"/>
    </row>
    <row r="934" spans="1:16" x14ac:dyDescent="0.25">
      <c r="A934" s="1274"/>
      <c r="B934" s="1276" t="s">
        <v>4240</v>
      </c>
      <c r="C934" s="1274">
        <v>98411</v>
      </c>
      <c r="H934" s="1248"/>
      <c r="K934" s="1248"/>
      <c r="P934" s="1248"/>
    </row>
    <row r="935" spans="1:16" x14ac:dyDescent="0.25">
      <c r="A935" s="1274"/>
      <c r="B935" s="1276" t="s">
        <v>3415</v>
      </c>
      <c r="C935" s="1274">
        <v>98417</v>
      </c>
      <c r="H935" s="1248"/>
      <c r="K935" s="1248"/>
      <c r="P935" s="1248"/>
    </row>
    <row r="936" spans="1:16" x14ac:dyDescent="0.25">
      <c r="A936" s="1274"/>
      <c r="B936" s="1276" t="s">
        <v>3275</v>
      </c>
      <c r="C936" s="1274">
        <v>97008</v>
      </c>
      <c r="H936" s="1248"/>
      <c r="K936" s="1248"/>
      <c r="P936" s="1248"/>
    </row>
    <row r="937" spans="1:16" x14ac:dyDescent="0.25">
      <c r="A937" s="1274"/>
      <c r="B937" s="1276" t="s">
        <v>3276</v>
      </c>
      <c r="C937" s="1274">
        <v>97010</v>
      </c>
      <c r="H937" s="1248"/>
      <c r="K937" s="1248"/>
      <c r="P937" s="1248"/>
    </row>
    <row r="938" spans="1:16" x14ac:dyDescent="0.25">
      <c r="A938" s="1274"/>
      <c r="B938" s="1276" t="s">
        <v>2661</v>
      </c>
      <c r="C938" s="1274">
        <v>90096</v>
      </c>
      <c r="H938" s="1248"/>
      <c r="K938" s="1248"/>
      <c r="P938" s="1248"/>
    </row>
    <row r="939" spans="1:16" x14ac:dyDescent="0.25">
      <c r="A939" s="1274"/>
      <c r="B939" s="1276" t="s">
        <v>2712</v>
      </c>
      <c r="C939" s="1274">
        <v>90805</v>
      </c>
      <c r="H939" s="1248"/>
      <c r="K939" s="1248"/>
      <c r="P939" s="1248"/>
    </row>
    <row r="940" spans="1:16" x14ac:dyDescent="0.25">
      <c r="A940" s="1274"/>
      <c r="B940" s="1276" t="s">
        <v>2855</v>
      </c>
      <c r="C940" s="1274">
        <v>92109</v>
      </c>
      <c r="H940" s="1248"/>
      <c r="K940" s="1248"/>
      <c r="P940" s="1248"/>
    </row>
    <row r="941" spans="1:16" x14ac:dyDescent="0.25">
      <c r="A941" s="1274"/>
      <c r="B941" s="1276" t="s">
        <v>2673</v>
      </c>
      <c r="C941" s="1274">
        <v>90201</v>
      </c>
      <c r="H941" s="1248"/>
      <c r="K941" s="1248"/>
      <c r="P941" s="1248"/>
    </row>
    <row r="942" spans="1:16" x14ac:dyDescent="0.25">
      <c r="A942" s="1274"/>
      <c r="B942" s="1276" t="s">
        <v>2676</v>
      </c>
      <c r="C942" s="1274">
        <v>90206</v>
      </c>
      <c r="H942" s="1248"/>
      <c r="K942" s="1248"/>
      <c r="P942" s="1248"/>
    </row>
    <row r="943" spans="1:16" x14ac:dyDescent="0.25">
      <c r="A943" s="1274"/>
      <c r="B943" s="1276" t="s">
        <v>2674</v>
      </c>
      <c r="C943" s="1274">
        <v>90203</v>
      </c>
      <c r="H943" s="1248"/>
      <c r="K943" s="1248"/>
      <c r="P943" s="1248"/>
    </row>
    <row r="944" spans="1:16" x14ac:dyDescent="0.25">
      <c r="A944" s="1274"/>
      <c r="B944" s="1276" t="s">
        <v>2675</v>
      </c>
      <c r="C944" s="1274">
        <v>90205</v>
      </c>
      <c r="H944" s="1248"/>
      <c r="K944" s="1248"/>
      <c r="P944" s="1248"/>
    </row>
    <row r="945" spans="1:16" x14ac:dyDescent="0.25">
      <c r="A945" s="1274"/>
      <c r="B945" s="1276" t="s">
        <v>2678</v>
      </c>
      <c r="C945" s="1274">
        <v>90301</v>
      </c>
      <c r="H945" s="1248"/>
      <c r="K945" s="1248"/>
      <c r="P945" s="1248"/>
    </row>
    <row r="946" spans="1:16" x14ac:dyDescent="0.25">
      <c r="A946" s="1274"/>
      <c r="B946" s="1276" t="s">
        <v>2950</v>
      </c>
      <c r="C946" s="1274">
        <v>93209</v>
      </c>
      <c r="H946" s="1248"/>
      <c r="K946" s="1248"/>
      <c r="P946" s="1248"/>
    </row>
    <row r="947" spans="1:16" x14ac:dyDescent="0.25">
      <c r="A947" s="1274"/>
      <c r="B947" s="1276" t="s">
        <v>4241</v>
      </c>
      <c r="C947" s="1274">
        <v>92021</v>
      </c>
      <c r="H947" s="1248"/>
      <c r="K947" s="1248"/>
      <c r="P947" s="1248"/>
    </row>
    <row r="948" spans="1:16" x14ac:dyDescent="0.25">
      <c r="A948" s="1274"/>
      <c r="B948" s="1276" t="s">
        <v>4242</v>
      </c>
      <c r="C948" s="1274">
        <v>94351</v>
      </c>
      <c r="H948" s="1248"/>
      <c r="K948" s="1248"/>
      <c r="P948" s="1248"/>
    </row>
    <row r="949" spans="1:16" x14ac:dyDescent="0.25">
      <c r="A949" s="1274"/>
      <c r="B949" s="1276" t="s">
        <v>4243</v>
      </c>
      <c r="C949" s="1274">
        <v>94347</v>
      </c>
      <c r="H949" s="1248"/>
      <c r="K949" s="1248"/>
      <c r="P949" s="1248"/>
    </row>
    <row r="950" spans="1:16" x14ac:dyDescent="0.25">
      <c r="A950" s="1274"/>
      <c r="B950" s="1276" t="s">
        <v>2681</v>
      </c>
      <c r="C950" s="1274">
        <v>90401</v>
      </c>
      <c r="H950" s="1248"/>
      <c r="K950" s="1248"/>
      <c r="P950" s="1248"/>
    </row>
    <row r="951" spans="1:16" x14ac:dyDescent="0.25">
      <c r="A951" s="1274"/>
      <c r="B951" s="1276" t="s">
        <v>4244</v>
      </c>
      <c r="C951" s="1274">
        <v>90451</v>
      </c>
      <c r="H951" s="1248"/>
      <c r="K951" s="1248"/>
      <c r="P951" s="1248"/>
    </row>
    <row r="952" spans="1:16" x14ac:dyDescent="0.25">
      <c r="A952" s="1274"/>
      <c r="B952" s="1276" t="s">
        <v>4245</v>
      </c>
      <c r="C952" s="1274">
        <v>99271</v>
      </c>
      <c r="H952" s="1248"/>
      <c r="K952" s="1248"/>
      <c r="P952" s="1248"/>
    </row>
    <row r="953" spans="1:16" x14ac:dyDescent="0.25">
      <c r="A953" s="1274"/>
      <c r="B953" s="1276" t="s">
        <v>2663</v>
      </c>
      <c r="C953" s="1274">
        <v>90099</v>
      </c>
      <c r="H953" s="1248"/>
      <c r="K953" s="1248"/>
      <c r="P953" s="1248"/>
    </row>
    <row r="954" spans="1:16" x14ac:dyDescent="0.25">
      <c r="A954" s="1274"/>
      <c r="B954" s="1276" t="s">
        <v>3520</v>
      </c>
      <c r="C954" s="1274">
        <v>99705</v>
      </c>
      <c r="H954" s="1248"/>
      <c r="K954" s="1248"/>
      <c r="P954" s="1248"/>
    </row>
    <row r="955" spans="1:16" x14ac:dyDescent="0.25">
      <c r="A955" s="1274"/>
      <c r="B955" s="1276" t="s">
        <v>4246</v>
      </c>
      <c r="C955" s="1274">
        <v>97651</v>
      </c>
      <c r="H955" s="1248"/>
      <c r="K955" s="1248"/>
      <c r="P955" s="1248"/>
    </row>
    <row r="956" spans="1:16" x14ac:dyDescent="0.25">
      <c r="A956" s="1274"/>
      <c r="B956" s="1276" t="s">
        <v>4247</v>
      </c>
      <c r="C956" s="1274">
        <v>95106</v>
      </c>
      <c r="H956" s="1248"/>
      <c r="K956" s="1248"/>
      <c r="P956" s="1248"/>
    </row>
    <row r="957" spans="1:16" x14ac:dyDescent="0.25">
      <c r="A957" s="1274"/>
      <c r="B957" s="1276" t="s">
        <v>2690</v>
      </c>
      <c r="C957" s="1274">
        <v>90501</v>
      </c>
      <c r="H957" s="1248"/>
      <c r="K957" s="1248"/>
      <c r="P957" s="1248"/>
    </row>
    <row r="958" spans="1:16" x14ac:dyDescent="0.25">
      <c r="A958" s="1274"/>
      <c r="B958" s="1276" t="s">
        <v>4248</v>
      </c>
      <c r="C958" s="1274">
        <v>97611</v>
      </c>
      <c r="H958" s="1248"/>
      <c r="K958" s="1248"/>
      <c r="P958" s="1248"/>
    </row>
    <row r="959" spans="1:16" x14ac:dyDescent="0.25">
      <c r="A959" s="1274"/>
      <c r="B959" s="1276" t="s">
        <v>3318</v>
      </c>
      <c r="C959" s="1274">
        <v>97607</v>
      </c>
      <c r="H959" s="1248"/>
      <c r="K959" s="1248"/>
      <c r="P959" s="1248"/>
    </row>
    <row r="960" spans="1:16" x14ac:dyDescent="0.25">
      <c r="A960" s="1274"/>
      <c r="B960" s="1276" t="s">
        <v>4205</v>
      </c>
      <c r="C960" s="1274">
        <v>97613</v>
      </c>
      <c r="H960" s="1248"/>
      <c r="K960" s="1248"/>
      <c r="P960" s="1248"/>
    </row>
    <row r="961" spans="1:16" x14ac:dyDescent="0.25">
      <c r="A961" s="1274"/>
      <c r="B961" s="1276" t="s">
        <v>4249</v>
      </c>
      <c r="C961" s="1274">
        <v>91121</v>
      </c>
      <c r="H961" s="1248"/>
      <c r="K961" s="1248"/>
      <c r="P961" s="1248"/>
    </row>
    <row r="962" spans="1:16" x14ac:dyDescent="0.25">
      <c r="A962" s="1274"/>
      <c r="B962" s="1276" t="s">
        <v>2764</v>
      </c>
      <c r="C962" s="1274">
        <v>91127</v>
      </c>
      <c r="H962" s="1248"/>
      <c r="K962" s="1248"/>
      <c r="P962" s="1248"/>
    </row>
    <row r="963" spans="1:16" x14ac:dyDescent="0.25">
      <c r="A963" s="1274"/>
      <c r="B963" s="1276" t="s">
        <v>2765</v>
      </c>
      <c r="C963" s="1274">
        <v>91128</v>
      </c>
      <c r="H963" s="1248"/>
      <c r="K963" s="1248"/>
      <c r="P963" s="1248"/>
    </row>
    <row r="964" spans="1:16" x14ac:dyDescent="0.25">
      <c r="A964" s="1274"/>
      <c r="B964" s="1276" t="s">
        <v>4250</v>
      </c>
      <c r="C964" s="1274">
        <v>91681</v>
      </c>
      <c r="H964" s="1248"/>
      <c r="K964" s="1248"/>
      <c r="P964" s="1248"/>
    </row>
    <row r="965" spans="1:16" x14ac:dyDescent="0.25">
      <c r="A965" s="1274"/>
      <c r="B965" s="1276" t="s">
        <v>4251</v>
      </c>
      <c r="C965" s="1274">
        <v>90811</v>
      </c>
      <c r="H965" s="1248"/>
      <c r="K965" s="1248"/>
      <c r="P965" s="1248"/>
    </row>
    <row r="966" spans="1:16" x14ac:dyDescent="0.25">
      <c r="A966" s="1274"/>
      <c r="B966" s="1276" t="s">
        <v>4252</v>
      </c>
      <c r="C966" s="1274">
        <v>90721</v>
      </c>
      <c r="H966" s="1248"/>
      <c r="K966" s="1248"/>
      <c r="P966" s="1248"/>
    </row>
    <row r="967" spans="1:16" x14ac:dyDescent="0.25">
      <c r="A967" s="1274"/>
      <c r="B967" s="1276" t="s">
        <v>4253</v>
      </c>
      <c r="C967" s="1274">
        <v>98271</v>
      </c>
      <c r="H967" s="1248"/>
      <c r="K967" s="1248"/>
      <c r="P967" s="1248"/>
    </row>
    <row r="968" spans="1:16" x14ac:dyDescent="0.25">
      <c r="A968" s="1274"/>
      <c r="B968" s="1276" t="s">
        <v>2693</v>
      </c>
      <c r="C968" s="1274">
        <v>90601</v>
      </c>
      <c r="H968" s="1248"/>
      <c r="K968" s="1248"/>
      <c r="P968" s="1248"/>
    </row>
    <row r="969" spans="1:16" x14ac:dyDescent="0.25">
      <c r="A969" s="1274"/>
      <c r="B969" s="1276" t="s">
        <v>2125</v>
      </c>
      <c r="C969" s="1274">
        <v>90602</v>
      </c>
      <c r="H969" s="1248"/>
      <c r="K969" s="1248"/>
      <c r="P969" s="1248"/>
    </row>
    <row r="970" spans="1:16" x14ac:dyDescent="0.25">
      <c r="A970" s="1274"/>
      <c r="B970" s="1276" t="s">
        <v>2694</v>
      </c>
      <c r="C970" s="1274">
        <v>90605</v>
      </c>
      <c r="H970" s="1248"/>
      <c r="K970" s="1248"/>
      <c r="P970" s="1248"/>
    </row>
    <row r="971" spans="1:16" x14ac:dyDescent="0.25">
      <c r="A971" s="1274"/>
      <c r="B971" s="1276" t="s">
        <v>4254</v>
      </c>
      <c r="C971" s="1274">
        <v>97461</v>
      </c>
      <c r="H971" s="1248"/>
      <c r="K971" s="1248"/>
      <c r="P971" s="1248"/>
    </row>
    <row r="972" spans="1:16" x14ac:dyDescent="0.25">
      <c r="A972" s="1274"/>
      <c r="B972" s="1276" t="s">
        <v>3309</v>
      </c>
      <c r="C972" s="1274">
        <v>97463</v>
      </c>
      <c r="H972" s="1248"/>
      <c r="K972" s="1248"/>
      <c r="P972" s="1248"/>
    </row>
    <row r="973" spans="1:16" x14ac:dyDescent="0.25">
      <c r="A973" s="1274"/>
      <c r="B973" s="1276" t="s">
        <v>2703</v>
      </c>
      <c r="C973" s="1274">
        <v>90705</v>
      </c>
      <c r="H973" s="1248"/>
      <c r="K973" s="1248"/>
      <c r="P973" s="1248"/>
    </row>
    <row r="974" spans="1:16" x14ac:dyDescent="0.25">
      <c r="A974" s="1274"/>
      <c r="B974" s="1276" t="s">
        <v>4255</v>
      </c>
      <c r="C974" s="1274">
        <v>98451</v>
      </c>
      <c r="H974" s="1248"/>
      <c r="K974" s="1248"/>
      <c r="P974" s="1248"/>
    </row>
    <row r="975" spans="1:16" x14ac:dyDescent="0.25">
      <c r="A975" s="1274"/>
      <c r="B975" s="1276" t="s">
        <v>4256</v>
      </c>
      <c r="C975" s="1274">
        <v>96451</v>
      </c>
      <c r="H975" s="1248"/>
      <c r="K975" s="1248"/>
      <c r="P975" s="1248"/>
    </row>
    <row r="976" spans="1:16" x14ac:dyDescent="0.25">
      <c r="A976" s="1274"/>
      <c r="B976" s="1276" t="s">
        <v>4257</v>
      </c>
      <c r="C976" s="1274">
        <v>96121</v>
      </c>
      <c r="H976" s="1248"/>
      <c r="K976" s="1248"/>
      <c r="P976" s="1248"/>
    </row>
    <row r="977" spans="1:16" x14ac:dyDescent="0.25">
      <c r="A977" s="1274"/>
      <c r="B977" s="1276" t="s">
        <v>4258</v>
      </c>
      <c r="C977" s="1274">
        <v>91091</v>
      </c>
      <c r="H977" s="1248"/>
      <c r="K977" s="1248"/>
      <c r="P977" s="1248"/>
    </row>
    <row r="978" spans="1:16" x14ac:dyDescent="0.25">
      <c r="A978" s="1274"/>
      <c r="B978" s="1276" t="s">
        <v>4259</v>
      </c>
      <c r="C978" s="1274">
        <v>90611</v>
      </c>
      <c r="H978" s="1248"/>
      <c r="K978" s="1248"/>
      <c r="P978" s="1248"/>
    </row>
    <row r="979" spans="1:16" x14ac:dyDescent="0.25">
      <c r="A979" s="1274"/>
      <c r="B979" s="1276" t="s">
        <v>3270</v>
      </c>
      <c r="C979" s="1274">
        <v>96918</v>
      </c>
      <c r="H979" s="1248"/>
      <c r="K979" s="1248"/>
      <c r="P979" s="1248"/>
    </row>
    <row r="980" spans="1:16" x14ac:dyDescent="0.25">
      <c r="A980" s="1274"/>
      <c r="B980" s="1276" t="s">
        <v>4260</v>
      </c>
      <c r="C980" s="1274">
        <v>96911</v>
      </c>
      <c r="H980" s="1248"/>
      <c r="K980" s="1248"/>
      <c r="P980" s="1248"/>
    </row>
    <row r="981" spans="1:16" x14ac:dyDescent="0.25">
      <c r="A981" s="1274"/>
      <c r="B981" s="1276" t="s">
        <v>3471</v>
      </c>
      <c r="C981" s="1274">
        <v>99208</v>
      </c>
      <c r="H981" s="1248"/>
      <c r="K981" s="1248"/>
      <c r="P981" s="1248"/>
    </row>
    <row r="982" spans="1:16" x14ac:dyDescent="0.25">
      <c r="A982" s="1274"/>
      <c r="B982" s="1276" t="s">
        <v>2545</v>
      </c>
      <c r="C982" s="1274">
        <v>91631</v>
      </c>
      <c r="H982" s="1248"/>
      <c r="K982" s="1248"/>
      <c r="P982" s="1248"/>
    </row>
    <row r="983" spans="1:16" x14ac:dyDescent="0.25">
      <c r="A983" s="1274"/>
      <c r="B983" s="1276" t="s">
        <v>3682</v>
      </c>
      <c r="C983" s="1274">
        <v>90701</v>
      </c>
      <c r="H983" s="1248"/>
      <c r="K983" s="1248"/>
      <c r="P983" s="1248"/>
    </row>
    <row r="984" spans="1:16" x14ac:dyDescent="0.25">
      <c r="A984" s="1274"/>
      <c r="B984" s="1276" t="s">
        <v>2702</v>
      </c>
      <c r="C984" s="1274">
        <v>90704</v>
      </c>
      <c r="H984" s="1248"/>
      <c r="K984" s="1248"/>
      <c r="P984" s="1248"/>
    </row>
    <row r="985" spans="1:16" x14ac:dyDescent="0.25">
      <c r="A985" s="1274"/>
      <c r="B985" s="1276" t="s">
        <v>4147</v>
      </c>
      <c r="C985" s="1274">
        <v>91633</v>
      </c>
      <c r="H985" s="1248"/>
      <c r="K985" s="1248"/>
      <c r="P985" s="1248"/>
    </row>
    <row r="986" spans="1:16" x14ac:dyDescent="0.25">
      <c r="A986" s="1274"/>
      <c r="B986" s="1276" t="s">
        <v>4261</v>
      </c>
      <c r="C986" s="1274">
        <v>90631</v>
      </c>
      <c r="H986" s="1248"/>
      <c r="K986" s="1248"/>
      <c r="P986" s="1248"/>
    </row>
    <row r="987" spans="1:16" x14ac:dyDescent="0.25">
      <c r="A987" s="1274"/>
      <c r="B987" s="1276" t="s">
        <v>4262</v>
      </c>
      <c r="C987" s="1274">
        <v>90731</v>
      </c>
      <c r="H987" s="1248"/>
      <c r="K987" s="1248"/>
      <c r="P987" s="1248"/>
    </row>
    <row r="988" spans="1:16" x14ac:dyDescent="0.25">
      <c r="A988" s="1274"/>
      <c r="B988" s="1276" t="s">
        <v>4263</v>
      </c>
      <c r="C988" s="1274">
        <v>93621</v>
      </c>
      <c r="H988" s="1248"/>
      <c r="K988" s="1248"/>
      <c r="P988" s="1248"/>
    </row>
    <row r="989" spans="1:16" x14ac:dyDescent="0.25">
      <c r="A989" s="1274"/>
      <c r="B989" s="1276" t="s">
        <v>2996</v>
      </c>
      <c r="C989" s="1274">
        <v>93623</v>
      </c>
      <c r="H989" s="1248"/>
      <c r="K989" s="1248"/>
      <c r="P989" s="1248"/>
    </row>
    <row r="990" spans="1:16" x14ac:dyDescent="0.25">
      <c r="A990" s="1274"/>
      <c r="B990" s="1276" t="s">
        <v>4264</v>
      </c>
      <c r="C990" s="1274">
        <v>91020</v>
      </c>
      <c r="H990" s="1248"/>
      <c r="K990" s="1248"/>
      <c r="P990" s="1248"/>
    </row>
    <row r="991" spans="1:16" x14ac:dyDescent="0.25">
      <c r="A991" s="1274"/>
      <c r="B991" s="1276" t="s">
        <v>4265</v>
      </c>
      <c r="C991" s="1274">
        <v>95141</v>
      </c>
      <c r="H991" s="1248"/>
      <c r="K991" s="1248"/>
      <c r="P991" s="1248"/>
    </row>
    <row r="992" spans="1:16" x14ac:dyDescent="0.25">
      <c r="A992" s="1274"/>
      <c r="B992" s="1276" t="s">
        <v>3114</v>
      </c>
      <c r="C992" s="1274">
        <v>95103</v>
      </c>
      <c r="H992" s="1248"/>
      <c r="K992" s="1248"/>
      <c r="P992" s="1248"/>
    </row>
    <row r="993" spans="1:16" x14ac:dyDescent="0.25">
      <c r="A993" s="1274"/>
      <c r="B993" s="1276" t="s">
        <v>4266</v>
      </c>
      <c r="C993" s="1274">
        <v>93021</v>
      </c>
      <c r="H993" s="1248"/>
      <c r="K993" s="1248"/>
      <c r="P993" s="1248"/>
    </row>
    <row r="994" spans="1:16" x14ac:dyDescent="0.25">
      <c r="A994" s="1274"/>
      <c r="B994" s="1276" t="s">
        <v>2710</v>
      </c>
      <c r="C994" s="1274">
        <v>90801</v>
      </c>
      <c r="H994" s="1248"/>
      <c r="K994" s="1248"/>
      <c r="P994" s="1248"/>
    </row>
    <row r="995" spans="1:16" x14ac:dyDescent="0.25">
      <c r="A995" s="1274"/>
      <c r="B995" s="1276" t="s">
        <v>2711</v>
      </c>
      <c r="C995" s="1274">
        <v>90804</v>
      </c>
      <c r="H995" s="1248"/>
      <c r="K995" s="1248"/>
      <c r="P995" s="1248"/>
    </row>
    <row r="996" spans="1:16" x14ac:dyDescent="0.25">
      <c r="A996" s="1274"/>
      <c r="B996" s="1276" t="s">
        <v>2713</v>
      </c>
      <c r="C996" s="1274">
        <v>90808</v>
      </c>
      <c r="H996" s="1248"/>
      <c r="K996" s="1248"/>
      <c r="P996" s="1248"/>
    </row>
    <row r="997" spans="1:16" x14ac:dyDescent="0.25">
      <c r="A997" s="1274"/>
      <c r="B997" s="1276" t="s">
        <v>3002</v>
      </c>
      <c r="C997" s="1274">
        <v>93671</v>
      </c>
      <c r="H997" s="1248"/>
      <c r="K997" s="1248"/>
      <c r="P997" s="1248"/>
    </row>
    <row r="998" spans="1:16" x14ac:dyDescent="0.25">
      <c r="A998" s="1274"/>
      <c r="B998" s="1276" t="s">
        <v>4267</v>
      </c>
      <c r="C998" s="1274">
        <v>93677</v>
      </c>
      <c r="H998" s="1248"/>
      <c r="K998" s="1248"/>
      <c r="P998" s="1248"/>
    </row>
    <row r="999" spans="1:16" x14ac:dyDescent="0.25">
      <c r="A999" s="1274"/>
      <c r="B999" s="1276" t="s">
        <v>4268</v>
      </c>
      <c r="C999" s="1274">
        <v>97441</v>
      </c>
      <c r="H999" s="1248"/>
      <c r="K999" s="1248"/>
      <c r="P999" s="1248"/>
    </row>
    <row r="1000" spans="1:16" x14ac:dyDescent="0.25">
      <c r="A1000" s="1274"/>
      <c r="B1000" s="1276" t="s">
        <v>4269</v>
      </c>
      <c r="C1000" s="1274">
        <v>93111</v>
      </c>
      <c r="H1000" s="1248"/>
      <c r="K1000" s="1248"/>
      <c r="P1000" s="1248"/>
    </row>
    <row r="1001" spans="1:16" x14ac:dyDescent="0.25">
      <c r="A1001" s="1274"/>
      <c r="B1001" s="1276" t="s">
        <v>4270</v>
      </c>
      <c r="C1001" s="1274">
        <v>91111</v>
      </c>
      <c r="H1001" s="1248"/>
      <c r="K1001" s="1248"/>
      <c r="P1001" s="1248"/>
    </row>
    <row r="1002" spans="1:16" x14ac:dyDescent="0.25">
      <c r="A1002" s="1274"/>
      <c r="B1002" s="1276" t="s">
        <v>4271</v>
      </c>
      <c r="C1002" s="1274">
        <v>96231</v>
      </c>
      <c r="H1002" s="1248"/>
      <c r="K1002" s="1248"/>
      <c r="P1002" s="1248"/>
    </row>
    <row r="1003" spans="1:16" x14ac:dyDescent="0.25">
      <c r="A1003" s="1274"/>
      <c r="B1003" s="1276" t="s">
        <v>4272</v>
      </c>
      <c r="C1003" s="1274">
        <v>99831</v>
      </c>
      <c r="H1003" s="1248"/>
      <c r="K1003" s="1248"/>
      <c r="P1003" s="1248"/>
    </row>
    <row r="1004" spans="1:16" x14ac:dyDescent="0.25">
      <c r="A1004" s="1274"/>
      <c r="B1004" s="1276" t="s">
        <v>4273</v>
      </c>
      <c r="C1004" s="1274">
        <v>91151</v>
      </c>
      <c r="H1004" s="1248"/>
      <c r="K1004" s="1248"/>
      <c r="P1004" s="1248"/>
    </row>
    <row r="1005" spans="1:16" x14ac:dyDescent="0.25">
      <c r="A1005" s="1274"/>
      <c r="B1005" s="1276" t="s">
        <v>2770</v>
      </c>
      <c r="C1005" s="1274">
        <v>91154</v>
      </c>
      <c r="H1005" s="1248"/>
      <c r="K1005" s="1248"/>
      <c r="P1005" s="1248"/>
    </row>
    <row r="1006" spans="1:16" x14ac:dyDescent="0.25">
      <c r="A1006" s="1274"/>
      <c r="B1006" s="1276" t="s">
        <v>2718</v>
      </c>
      <c r="C1006" s="1274">
        <v>90901</v>
      </c>
      <c r="H1006" s="1248"/>
      <c r="K1006" s="1248"/>
      <c r="P1006" s="1248"/>
    </row>
    <row r="1007" spans="1:16" x14ac:dyDescent="0.25">
      <c r="A1007" s="1274"/>
      <c r="B1007" s="1276" t="s">
        <v>4274</v>
      </c>
      <c r="C1007" s="1274">
        <v>90941</v>
      </c>
      <c r="H1007" s="1248"/>
      <c r="K1007" s="1248"/>
      <c r="P1007" s="1248"/>
    </row>
    <row r="1008" spans="1:16" x14ac:dyDescent="0.25">
      <c r="A1008" s="1274"/>
      <c r="B1008" s="1276" t="s">
        <v>4275</v>
      </c>
      <c r="C1008" s="1274">
        <v>99521</v>
      </c>
      <c r="H1008" s="1248"/>
      <c r="K1008" s="1248"/>
      <c r="P1008" s="1248"/>
    </row>
    <row r="1009" spans="1:16" x14ac:dyDescent="0.25">
      <c r="A1009" s="1274"/>
      <c r="B1009" s="1276" t="s">
        <v>3504</v>
      </c>
      <c r="C1009" s="1274">
        <v>99527</v>
      </c>
      <c r="H1009" s="1248"/>
      <c r="K1009" s="1248"/>
      <c r="P1009" s="1248"/>
    </row>
    <row r="1010" spans="1:16" x14ac:dyDescent="0.25">
      <c r="A1010" s="1274"/>
      <c r="B1010" s="1276" t="s">
        <v>3500</v>
      </c>
      <c r="C1010" s="1274">
        <v>99508</v>
      </c>
      <c r="H1010" s="1248"/>
      <c r="K1010" s="1248"/>
      <c r="P1010" s="1248"/>
    </row>
    <row r="1011" spans="1:16" x14ac:dyDescent="0.25">
      <c r="A1011" s="1274"/>
      <c r="B1011" s="1276" t="s">
        <v>3080</v>
      </c>
      <c r="C1011" s="1274">
        <v>94532</v>
      </c>
      <c r="H1011" s="1248"/>
      <c r="K1011" s="1248"/>
      <c r="P1011" s="1248"/>
    </row>
    <row r="1012" spans="1:16" x14ac:dyDescent="0.25">
      <c r="A1012" s="1274"/>
      <c r="B1012" s="1276" t="s">
        <v>4276</v>
      </c>
      <c r="C1012" s="1274">
        <v>91071</v>
      </c>
      <c r="H1012" s="1248"/>
      <c r="K1012" s="1248"/>
      <c r="P1012" s="1248"/>
    </row>
    <row r="1013" spans="1:16" x14ac:dyDescent="0.25">
      <c r="A1013" s="1274"/>
      <c r="B1013" s="1276" t="s">
        <v>2752</v>
      </c>
      <c r="C1013" s="1274">
        <v>91077</v>
      </c>
      <c r="H1013" s="1248"/>
      <c r="K1013" s="1248"/>
      <c r="P1013" s="1248"/>
    </row>
    <row r="1014" spans="1:16" x14ac:dyDescent="0.25">
      <c r="A1014" s="1274"/>
      <c r="B1014" s="1276" t="s">
        <v>4277</v>
      </c>
      <c r="C1014" s="1274">
        <v>92331</v>
      </c>
      <c r="H1014" s="1248"/>
      <c r="K1014" s="1248"/>
      <c r="P1014" s="1248"/>
    </row>
    <row r="1015" spans="1:16" x14ac:dyDescent="0.25">
      <c r="A1015" s="1274"/>
      <c r="B1015" s="1276" t="s">
        <v>4278</v>
      </c>
      <c r="C1015" s="1274">
        <v>92414</v>
      </c>
      <c r="H1015" s="1248"/>
      <c r="K1015" s="1248"/>
      <c r="P1015" s="1248"/>
    </row>
    <row r="1016" spans="1:16" x14ac:dyDescent="0.25">
      <c r="A1016" s="1274"/>
      <c r="B1016" s="1276" t="s">
        <v>4279</v>
      </c>
      <c r="C1016" s="1274">
        <v>99511</v>
      </c>
      <c r="H1016" s="1248"/>
      <c r="K1016" s="1248"/>
      <c r="P1016" s="1248"/>
    </row>
    <row r="1017" spans="1:16" x14ac:dyDescent="0.25">
      <c r="A1017" s="1274"/>
      <c r="B1017" s="1276" t="s">
        <v>4280</v>
      </c>
      <c r="C1017" s="1274">
        <v>99941</v>
      </c>
      <c r="H1017" s="1248"/>
      <c r="K1017" s="1248"/>
      <c r="P1017" s="1248"/>
    </row>
    <row r="1018" spans="1:16" x14ac:dyDescent="0.25">
      <c r="A1018" s="1274"/>
      <c r="B1018" s="1276" t="s">
        <v>3222</v>
      </c>
      <c r="C1018" s="1274">
        <v>96405</v>
      </c>
      <c r="H1018" s="1248"/>
      <c r="K1018" s="1248"/>
      <c r="P1018" s="1248"/>
    </row>
    <row r="1019" spans="1:16" x14ac:dyDescent="0.25">
      <c r="A1019" s="1274"/>
      <c r="B1019" s="1276" t="s">
        <v>4281</v>
      </c>
      <c r="C1019" s="1274">
        <v>98811</v>
      </c>
      <c r="H1019" s="1248"/>
      <c r="K1019" s="1248"/>
      <c r="P1019" s="1248"/>
    </row>
    <row r="1020" spans="1:16" x14ac:dyDescent="0.25">
      <c r="A1020" s="1274"/>
      <c r="B1020" s="1276" t="s">
        <v>3442</v>
      </c>
      <c r="C1020" s="1274">
        <v>98817</v>
      </c>
      <c r="H1020" s="1248"/>
      <c r="K1020" s="1248"/>
      <c r="P1020" s="1248"/>
    </row>
    <row r="1021" spans="1:16" x14ac:dyDescent="0.25">
      <c r="A1021" s="1274"/>
      <c r="B1021" s="1276" t="s">
        <v>4282</v>
      </c>
      <c r="C1021" s="1274">
        <v>92561</v>
      </c>
      <c r="H1021" s="1248"/>
      <c r="K1021" s="1248"/>
      <c r="P1021" s="1248"/>
    </row>
    <row r="1022" spans="1:16" x14ac:dyDescent="0.25">
      <c r="A1022" s="1274"/>
      <c r="B1022" s="1276" t="s">
        <v>3384</v>
      </c>
      <c r="C1022" s="1274">
        <v>98102</v>
      </c>
      <c r="H1022" s="1248"/>
      <c r="K1022" s="1248"/>
      <c r="P1022" s="1248"/>
    </row>
    <row r="1023" spans="1:16" x14ac:dyDescent="0.25">
      <c r="A1023" s="1274"/>
      <c r="B1023" s="1276" t="s">
        <v>4283</v>
      </c>
      <c r="C1023" s="1274">
        <v>95321</v>
      </c>
      <c r="H1023" s="1248"/>
      <c r="K1023" s="1248"/>
      <c r="P1023" s="1248"/>
    </row>
    <row r="1024" spans="1:16" x14ac:dyDescent="0.25">
      <c r="A1024" s="1274"/>
      <c r="B1024" s="1276" t="s">
        <v>4284</v>
      </c>
      <c r="C1024" s="1274">
        <v>91861</v>
      </c>
      <c r="H1024" s="1248"/>
      <c r="K1024" s="1248"/>
      <c r="P1024" s="1248"/>
    </row>
    <row r="1025" spans="1:16" x14ac:dyDescent="0.25">
      <c r="A1025" s="1274"/>
      <c r="B1025" s="1276" t="s">
        <v>2548</v>
      </c>
      <c r="C1025" s="1274">
        <v>92421</v>
      </c>
      <c r="H1025" s="1248"/>
      <c r="K1025" s="1248"/>
      <c r="P1025" s="1248"/>
    </row>
    <row r="1026" spans="1:16" x14ac:dyDescent="0.25">
      <c r="A1026" s="1274"/>
      <c r="B1026" s="1276" t="s">
        <v>2725</v>
      </c>
      <c r="C1026" s="1274">
        <v>91001</v>
      </c>
      <c r="H1026" s="1248"/>
      <c r="K1026" s="1248"/>
      <c r="P1026" s="1248"/>
    </row>
    <row r="1027" spans="1:16" x14ac:dyDescent="0.25">
      <c r="A1027" s="1274"/>
      <c r="B1027" s="1276" t="s">
        <v>2728</v>
      </c>
      <c r="C1027" s="1274">
        <v>91004</v>
      </c>
      <c r="H1027" s="1248"/>
      <c r="K1027" s="1248"/>
      <c r="P1027" s="1248"/>
    </row>
    <row r="1028" spans="1:16" x14ac:dyDescent="0.25">
      <c r="A1028" s="1274"/>
      <c r="B1028" s="1276" t="s">
        <v>4285</v>
      </c>
      <c r="C1028" s="1274">
        <v>91006</v>
      </c>
      <c r="H1028" s="1248"/>
      <c r="K1028" s="1248"/>
      <c r="P1028" s="1248"/>
    </row>
    <row r="1029" spans="1:16" x14ac:dyDescent="0.25">
      <c r="A1029" s="1274"/>
      <c r="B1029" s="1276" t="s">
        <v>4286</v>
      </c>
      <c r="C1029" s="1274">
        <v>91003</v>
      </c>
      <c r="H1029" s="1248"/>
      <c r="K1029" s="1248"/>
      <c r="P1029" s="1248"/>
    </row>
    <row r="1030" spans="1:16" x14ac:dyDescent="0.25">
      <c r="A1030" s="1274"/>
      <c r="B1030" s="1276" t="s">
        <v>2732</v>
      </c>
      <c r="C1030" s="1274">
        <v>91009</v>
      </c>
      <c r="H1030" s="1248"/>
      <c r="K1030" s="1248"/>
      <c r="P1030" s="1248"/>
    </row>
    <row r="1031" spans="1:16" x14ac:dyDescent="0.25">
      <c r="A1031" s="1274"/>
      <c r="B1031" s="1276" t="s">
        <v>2745</v>
      </c>
      <c r="C1031" s="1274">
        <v>91042</v>
      </c>
      <c r="H1031" s="1248"/>
      <c r="K1031" s="1248"/>
      <c r="P1031" s="1248"/>
    </row>
    <row r="1032" spans="1:16" x14ac:dyDescent="0.25">
      <c r="A1032" s="1274"/>
      <c r="B1032" s="1276" t="s">
        <v>4287</v>
      </c>
      <c r="C1032" s="1274">
        <v>98711</v>
      </c>
      <c r="H1032" s="1248"/>
      <c r="K1032" s="1248"/>
      <c r="P1032" s="1248"/>
    </row>
    <row r="1033" spans="1:16" x14ac:dyDescent="0.25">
      <c r="A1033" s="1274"/>
      <c r="B1033" s="1276" t="s">
        <v>3439</v>
      </c>
      <c r="C1033" s="1274">
        <v>98717</v>
      </c>
      <c r="H1033" s="1248"/>
      <c r="K1033" s="1248"/>
      <c r="P1033" s="1248"/>
    </row>
    <row r="1034" spans="1:16" x14ac:dyDescent="0.25">
      <c r="A1034" s="1274"/>
      <c r="B1034" s="1276" t="s">
        <v>2755</v>
      </c>
      <c r="C1034" s="1274">
        <v>91101</v>
      </c>
      <c r="H1034" s="1248"/>
      <c r="K1034" s="1248"/>
      <c r="P1034" s="1248"/>
    </row>
    <row r="1035" spans="1:16" x14ac:dyDescent="0.25">
      <c r="A1035" s="1274"/>
      <c r="B1035" s="1276" t="s">
        <v>4288</v>
      </c>
      <c r="C1035" s="1274">
        <v>93531</v>
      </c>
      <c r="H1035" s="1248"/>
      <c r="K1035" s="1248"/>
      <c r="P1035" s="1248"/>
    </row>
    <row r="1036" spans="1:16" x14ac:dyDescent="0.25">
      <c r="A1036" s="1274"/>
      <c r="B1036" s="1276" t="s">
        <v>4289</v>
      </c>
      <c r="C1036" s="1274">
        <v>93537</v>
      </c>
      <c r="H1036" s="1248"/>
      <c r="K1036" s="1248"/>
      <c r="P1036" s="1248"/>
    </row>
    <row r="1037" spans="1:16" x14ac:dyDescent="0.25">
      <c r="A1037" s="1274"/>
      <c r="B1037" s="1276" t="s">
        <v>4290</v>
      </c>
      <c r="C1037" s="1274">
        <v>97111</v>
      </c>
      <c r="H1037" s="1248"/>
      <c r="K1037" s="1248"/>
      <c r="P1037" s="1248"/>
    </row>
    <row r="1038" spans="1:16" x14ac:dyDescent="0.25">
      <c r="A1038" s="1274"/>
      <c r="B1038" s="1276" t="s">
        <v>2773</v>
      </c>
      <c r="C1038" s="1274">
        <v>91201</v>
      </c>
      <c r="H1038" s="1248"/>
      <c r="K1038" s="1248"/>
      <c r="P1038" s="1248"/>
    </row>
    <row r="1039" spans="1:16" x14ac:dyDescent="0.25">
      <c r="A1039" s="1274"/>
      <c r="B1039" s="1276" t="s">
        <v>4291</v>
      </c>
      <c r="C1039" s="1274">
        <v>91206</v>
      </c>
      <c r="H1039" s="1248"/>
      <c r="K1039" s="1248"/>
      <c r="P1039" s="1248"/>
    </row>
    <row r="1040" spans="1:16" x14ac:dyDescent="0.25">
      <c r="A1040" s="1274"/>
      <c r="B1040" s="1276" t="s">
        <v>4292</v>
      </c>
      <c r="C1040" s="1274">
        <v>91203</v>
      </c>
      <c r="H1040" s="1248"/>
      <c r="K1040" s="1248"/>
      <c r="P1040" s="1248"/>
    </row>
    <row r="1041" spans="1:16" x14ac:dyDescent="0.25">
      <c r="A1041" s="1274"/>
      <c r="B1041" s="1276" t="s">
        <v>2777</v>
      </c>
      <c r="C1041" s="1274">
        <v>91208</v>
      </c>
      <c r="H1041" s="1248"/>
      <c r="K1041" s="1248"/>
      <c r="P1041" s="1248"/>
    </row>
    <row r="1042" spans="1:16" x14ac:dyDescent="0.25">
      <c r="A1042" s="1274"/>
      <c r="B1042" s="1276" t="s">
        <v>2774</v>
      </c>
      <c r="C1042" s="1274">
        <v>91202</v>
      </c>
      <c r="H1042" s="1248"/>
      <c r="K1042" s="1248"/>
      <c r="P1042" s="1248"/>
    </row>
    <row r="1043" spans="1:16" x14ac:dyDescent="0.25">
      <c r="A1043" s="1274"/>
      <c r="B1043" s="1276" t="s">
        <v>4293</v>
      </c>
      <c r="C1043" s="1274">
        <v>90111</v>
      </c>
      <c r="H1043" s="1248"/>
      <c r="K1043" s="1248"/>
      <c r="P1043" s="1248"/>
    </row>
    <row r="1044" spans="1:16" x14ac:dyDescent="0.25">
      <c r="A1044" s="1274"/>
      <c r="B1044" s="1276" t="s">
        <v>4294</v>
      </c>
      <c r="C1044" s="1274">
        <v>90011</v>
      </c>
      <c r="H1044" s="1248"/>
      <c r="K1044" s="1248"/>
      <c r="P1044" s="1248"/>
    </row>
    <row r="1045" spans="1:16" x14ac:dyDescent="0.25">
      <c r="A1045" s="1274"/>
      <c r="B1045" s="1276" t="s">
        <v>4295</v>
      </c>
      <c r="C1045" s="1274">
        <v>93931</v>
      </c>
      <c r="H1045" s="1248"/>
      <c r="K1045" s="1248"/>
      <c r="P1045" s="1248"/>
    </row>
    <row r="1046" spans="1:16" x14ac:dyDescent="0.25">
      <c r="A1046" s="1274"/>
      <c r="B1046" s="1276" t="s">
        <v>2788</v>
      </c>
      <c r="C1046" s="1274">
        <v>91301</v>
      </c>
      <c r="H1046" s="1248"/>
      <c r="K1046" s="1248"/>
      <c r="P1046" s="1248"/>
    </row>
    <row r="1047" spans="1:16" x14ac:dyDescent="0.25">
      <c r="A1047" s="1274"/>
      <c r="B1047" s="1276" t="s">
        <v>4143</v>
      </c>
      <c r="C1047" s="1274">
        <v>91306</v>
      </c>
      <c r="H1047" s="1248"/>
      <c r="K1047" s="1248"/>
      <c r="P1047" s="1248"/>
    </row>
    <row r="1048" spans="1:16" x14ac:dyDescent="0.25">
      <c r="A1048" s="1274"/>
      <c r="B1048" s="1276" t="s">
        <v>2791</v>
      </c>
      <c r="C1048" s="1274">
        <v>91308</v>
      </c>
      <c r="H1048" s="1248"/>
      <c r="K1048" s="1248"/>
      <c r="P1048" s="1248"/>
    </row>
    <row r="1049" spans="1:16" x14ac:dyDescent="0.25">
      <c r="A1049" s="1274"/>
      <c r="B1049" s="1276" t="s">
        <v>4296</v>
      </c>
      <c r="C1049" s="1274">
        <v>91461</v>
      </c>
      <c r="H1049" s="1248"/>
      <c r="K1049" s="1248"/>
      <c r="P1049" s="1248"/>
    </row>
    <row r="1050" spans="1:16" x14ac:dyDescent="0.25">
      <c r="A1050" s="1274"/>
      <c r="B1050" s="1276" t="s">
        <v>4297</v>
      </c>
      <c r="C1050" s="1274">
        <v>91010</v>
      </c>
      <c r="H1050" s="1248"/>
      <c r="K1050" s="1248"/>
      <c r="P1050" s="1248"/>
    </row>
    <row r="1051" spans="1:16" x14ac:dyDescent="0.25">
      <c r="A1051" s="1274"/>
      <c r="B1051" s="1276" t="s">
        <v>2730</v>
      </c>
      <c r="C1051" s="1274">
        <v>91007</v>
      </c>
      <c r="H1051" s="1248"/>
      <c r="K1051" s="1248"/>
      <c r="P1051" s="1248"/>
    </row>
    <row r="1052" spans="1:16" x14ac:dyDescent="0.25">
      <c r="A1052" s="1274"/>
      <c r="B1052" s="1276" t="s">
        <v>2798</v>
      </c>
      <c r="C1052" s="1274">
        <v>91401</v>
      </c>
      <c r="H1052" s="1248"/>
      <c r="K1052" s="1248"/>
      <c r="P1052" s="1248"/>
    </row>
    <row r="1053" spans="1:16" x14ac:dyDescent="0.25">
      <c r="A1053" s="1274"/>
      <c r="B1053" s="1276" t="s">
        <v>4298</v>
      </c>
      <c r="C1053" s="1274">
        <v>93171</v>
      </c>
      <c r="H1053" s="1248"/>
      <c r="K1053" s="1248"/>
      <c r="P1053" s="1248"/>
    </row>
    <row r="1054" spans="1:16" x14ac:dyDescent="0.25">
      <c r="A1054" s="1274"/>
      <c r="B1054" s="1276" t="s">
        <v>2808</v>
      </c>
      <c r="C1054" s="1274">
        <v>91501</v>
      </c>
      <c r="H1054" s="1248"/>
      <c r="K1054" s="1248"/>
      <c r="P1054" s="1248"/>
    </row>
    <row r="1055" spans="1:16" x14ac:dyDescent="0.25">
      <c r="A1055" s="1274"/>
      <c r="B1055" s="1276" t="s">
        <v>2809</v>
      </c>
      <c r="C1055" s="1274">
        <v>91504</v>
      </c>
      <c r="H1055" s="1248"/>
      <c r="K1055" s="1248"/>
      <c r="P1055" s="1248"/>
    </row>
    <row r="1056" spans="1:16" x14ac:dyDescent="0.25">
      <c r="A1056" s="1274"/>
      <c r="B1056" s="1276" t="s">
        <v>4299</v>
      </c>
      <c r="C1056" s="1274">
        <v>96312</v>
      </c>
      <c r="H1056" s="1248"/>
      <c r="K1056" s="1248"/>
      <c r="P1056" s="1248"/>
    </row>
    <row r="1057" spans="1:16" x14ac:dyDescent="0.25">
      <c r="A1057" s="1274"/>
      <c r="B1057" s="1276" t="s">
        <v>4300</v>
      </c>
      <c r="C1057" s="1274">
        <v>96241</v>
      </c>
      <c r="H1057" s="1248"/>
      <c r="K1057" s="1248"/>
      <c r="P1057" s="1248"/>
    </row>
    <row r="1058" spans="1:16" x14ac:dyDescent="0.25">
      <c r="A1058" s="1274"/>
      <c r="B1058" s="1276" t="s">
        <v>4301</v>
      </c>
      <c r="C1058" s="1274">
        <v>94431</v>
      </c>
      <c r="H1058" s="1248"/>
      <c r="K1058" s="1248"/>
      <c r="P1058" s="1248"/>
    </row>
    <row r="1059" spans="1:16" x14ac:dyDescent="0.25">
      <c r="A1059" s="1274"/>
      <c r="B1059" s="1276" t="s">
        <v>3072</v>
      </c>
      <c r="C1059" s="1274">
        <v>94437</v>
      </c>
      <c r="H1059" s="1248"/>
      <c r="K1059" s="1248"/>
      <c r="P1059" s="1248"/>
    </row>
    <row r="1060" spans="1:16" x14ac:dyDescent="0.25">
      <c r="A1060" s="1274"/>
      <c r="B1060" s="1276" t="s">
        <v>4302</v>
      </c>
      <c r="C1060" s="1274">
        <v>91671</v>
      </c>
      <c r="H1060" s="1248"/>
      <c r="K1060" s="1248"/>
      <c r="P1060" s="1248"/>
    </row>
    <row r="1061" spans="1:16" x14ac:dyDescent="0.25">
      <c r="A1061" s="1274"/>
      <c r="B1061" s="1276" t="s">
        <v>2731</v>
      </c>
      <c r="C1061" s="1274">
        <v>91008</v>
      </c>
      <c r="H1061" s="1248"/>
      <c r="K1061" s="1248"/>
      <c r="P1061" s="1248"/>
    </row>
    <row r="1062" spans="1:16" x14ac:dyDescent="0.25">
      <c r="A1062" s="1274"/>
      <c r="B1062" s="1276" t="s">
        <v>3236</v>
      </c>
      <c r="C1062" s="1274">
        <v>96512</v>
      </c>
      <c r="H1062" s="1248"/>
      <c r="K1062" s="1248"/>
      <c r="P1062" s="1248"/>
    </row>
    <row r="1063" spans="1:16" x14ac:dyDescent="0.25">
      <c r="A1063" s="1274"/>
      <c r="B1063" s="1276" t="s">
        <v>3233</v>
      </c>
      <c r="C1063" s="1274">
        <v>96507</v>
      </c>
      <c r="H1063" s="1248"/>
      <c r="K1063" s="1248"/>
      <c r="P1063" s="1248"/>
    </row>
    <row r="1064" spans="1:16" x14ac:dyDescent="0.25">
      <c r="A1064" s="1274"/>
      <c r="B1064" s="1276" t="s">
        <v>4129</v>
      </c>
      <c r="C1064" s="1274">
        <v>91015</v>
      </c>
      <c r="H1064" s="1248"/>
      <c r="K1064" s="1248"/>
      <c r="P1064" s="1248"/>
    </row>
    <row r="1065" spans="1:16" x14ac:dyDescent="0.25">
      <c r="A1065" s="1274"/>
      <c r="B1065" s="1276" t="s">
        <v>4303</v>
      </c>
      <c r="C1065" s="1274">
        <v>96521</v>
      </c>
      <c r="H1065" s="1248"/>
      <c r="K1065" s="1248"/>
      <c r="P1065" s="1248"/>
    </row>
    <row r="1066" spans="1:16" x14ac:dyDescent="0.25">
      <c r="A1066" s="1274"/>
      <c r="B1066" s="1276" t="s">
        <v>4304</v>
      </c>
      <c r="C1066" s="1274">
        <v>91024</v>
      </c>
      <c r="H1066" s="1248"/>
      <c r="K1066" s="1248"/>
      <c r="P1066" s="1248"/>
    </row>
    <row r="1067" spans="1:16" x14ac:dyDescent="0.25">
      <c r="A1067" s="1274"/>
      <c r="B1067" s="1276" t="s">
        <v>4305</v>
      </c>
      <c r="C1067" s="1274">
        <v>96821</v>
      </c>
      <c r="H1067" s="1248"/>
      <c r="K1067" s="1248"/>
      <c r="P1067" s="1248"/>
    </row>
    <row r="1068" spans="1:16" x14ac:dyDescent="0.25">
      <c r="A1068" s="1274"/>
      <c r="B1068" s="1276" t="s">
        <v>2810</v>
      </c>
      <c r="C1068" s="1274">
        <v>91601</v>
      </c>
      <c r="H1068" s="1248"/>
      <c r="K1068" s="1248"/>
      <c r="P1068" s="1248"/>
    </row>
    <row r="1069" spans="1:16" x14ac:dyDescent="0.25">
      <c r="A1069" s="1274"/>
      <c r="B1069" s="1276" t="s">
        <v>2811</v>
      </c>
      <c r="C1069" s="1274">
        <v>91604</v>
      </c>
      <c r="H1069" s="1248"/>
      <c r="K1069" s="1248"/>
      <c r="P1069" s="1248"/>
    </row>
    <row r="1070" spans="1:16" x14ac:dyDescent="0.25">
      <c r="A1070" s="1274"/>
      <c r="B1070" s="1276" t="s">
        <v>4306</v>
      </c>
      <c r="C1070" s="1274">
        <v>96391</v>
      </c>
      <c r="H1070" s="1248"/>
      <c r="K1070" s="1248"/>
      <c r="P1070" s="1248"/>
    </row>
    <row r="1071" spans="1:16" x14ac:dyDescent="0.25">
      <c r="A1071" s="1274"/>
      <c r="B1071" s="1276" t="s">
        <v>4307</v>
      </c>
      <c r="C1071" s="1274">
        <v>99221</v>
      </c>
      <c r="H1071" s="1248"/>
      <c r="K1071" s="1248"/>
      <c r="P1071" s="1248"/>
    </row>
    <row r="1072" spans="1:16" x14ac:dyDescent="0.25">
      <c r="A1072" s="1274"/>
      <c r="B1072" s="1276" t="s">
        <v>4308</v>
      </c>
      <c r="C1072" s="1274">
        <v>91051</v>
      </c>
      <c r="H1072" s="1248"/>
      <c r="K1072" s="1248"/>
      <c r="P1072" s="1248"/>
    </row>
    <row r="1073" spans="1:16" x14ac:dyDescent="0.25">
      <c r="A1073" s="1274"/>
      <c r="B1073" s="1276" t="s">
        <v>2823</v>
      </c>
      <c r="C1073" s="1274">
        <v>91701</v>
      </c>
      <c r="H1073" s="1248"/>
      <c r="K1073" s="1248"/>
      <c r="P1073" s="1248"/>
    </row>
    <row r="1074" spans="1:16" x14ac:dyDescent="0.25">
      <c r="A1074" s="1274"/>
      <c r="B1074" s="1276" t="s">
        <v>2824</v>
      </c>
      <c r="C1074" s="1274">
        <v>91704</v>
      </c>
      <c r="H1074" s="1248"/>
      <c r="K1074" s="1248"/>
      <c r="P1074" s="1248"/>
    </row>
    <row r="1075" spans="1:16" x14ac:dyDescent="0.25">
      <c r="A1075" s="1274"/>
      <c r="B1075" s="1276" t="s">
        <v>4309</v>
      </c>
      <c r="C1075" s="1274">
        <v>91706</v>
      </c>
      <c r="H1075" s="1248"/>
      <c r="K1075" s="1248"/>
      <c r="P1075" s="1248"/>
    </row>
    <row r="1076" spans="1:16" x14ac:dyDescent="0.25">
      <c r="A1076" s="1274"/>
      <c r="B1076" s="1276" t="s">
        <v>2556</v>
      </c>
      <c r="C1076" s="1274">
        <v>91881</v>
      </c>
      <c r="H1076" s="1248"/>
      <c r="K1076" s="1248"/>
      <c r="P1076" s="1248"/>
    </row>
    <row r="1077" spans="1:16" x14ac:dyDescent="0.25">
      <c r="A1077" s="1274"/>
      <c r="B1077" s="1276" t="s">
        <v>2827</v>
      </c>
      <c r="C1077" s="1274">
        <v>91801</v>
      </c>
      <c r="H1077" s="1248"/>
      <c r="K1077" s="1248"/>
      <c r="P1077" s="1248"/>
    </row>
    <row r="1078" spans="1:16" x14ac:dyDescent="0.25">
      <c r="A1078" s="1274"/>
      <c r="B1078" s="1276" t="s">
        <v>2828</v>
      </c>
      <c r="C1078" s="1274">
        <v>91804</v>
      </c>
      <c r="H1078" s="1248"/>
      <c r="K1078" s="1248"/>
      <c r="P1078" s="1248"/>
    </row>
    <row r="1079" spans="1:16" x14ac:dyDescent="0.25">
      <c r="A1079" s="1274"/>
      <c r="B1079" s="1276" t="s">
        <v>4310</v>
      </c>
      <c r="C1079" s="1274">
        <v>91691</v>
      </c>
      <c r="H1079" s="1248"/>
      <c r="K1079" s="1248"/>
      <c r="P1079" s="1248"/>
    </row>
    <row r="1080" spans="1:16" x14ac:dyDescent="0.25">
      <c r="A1080" s="1274"/>
      <c r="B1080" s="1276" t="s">
        <v>3478</v>
      </c>
      <c r="C1080" s="1274">
        <v>99222</v>
      </c>
      <c r="H1080" s="1248"/>
      <c r="K1080" s="1248"/>
      <c r="P1080" s="1248"/>
    </row>
    <row r="1081" spans="1:16" x14ac:dyDescent="0.25">
      <c r="A1081" s="1274"/>
      <c r="B1081" s="1276" t="s">
        <v>2969</v>
      </c>
      <c r="C1081" s="1274">
        <v>93408</v>
      </c>
      <c r="H1081" s="1248"/>
      <c r="K1081" s="1248"/>
      <c r="P1081" s="1248"/>
    </row>
    <row r="1082" spans="1:16" x14ac:dyDescent="0.25">
      <c r="A1082" s="1274"/>
      <c r="B1082" s="1276" t="s">
        <v>3182</v>
      </c>
      <c r="C1082" s="1274">
        <v>96009</v>
      </c>
      <c r="H1082" s="1248"/>
      <c r="K1082" s="1248"/>
      <c r="P1082" s="1248"/>
    </row>
    <row r="1083" spans="1:16" x14ac:dyDescent="0.25">
      <c r="A1083" s="1274"/>
      <c r="B1083" s="1276" t="s">
        <v>4311</v>
      </c>
      <c r="C1083" s="1274">
        <v>92441</v>
      </c>
      <c r="H1083" s="1248"/>
      <c r="K1083" s="1248"/>
      <c r="P1083" s="1248"/>
    </row>
    <row r="1084" spans="1:16" x14ac:dyDescent="0.25">
      <c r="A1084" s="1274"/>
      <c r="B1084" s="1276" t="s">
        <v>4312</v>
      </c>
      <c r="C1084" s="1274">
        <v>96811</v>
      </c>
      <c r="H1084" s="1248"/>
      <c r="K1084" s="1248"/>
      <c r="P1084" s="1248"/>
    </row>
    <row r="1085" spans="1:16" x14ac:dyDescent="0.25">
      <c r="A1085" s="1274"/>
      <c r="B1085" s="1276" t="s">
        <v>4313</v>
      </c>
      <c r="C1085" s="1274">
        <v>96011</v>
      </c>
      <c r="H1085" s="1248"/>
      <c r="K1085" s="1248"/>
      <c r="P1085" s="1248"/>
    </row>
    <row r="1086" spans="1:16" x14ac:dyDescent="0.25">
      <c r="A1086" s="1274"/>
      <c r="B1086" s="1276" t="s">
        <v>3185</v>
      </c>
      <c r="C1086" s="1274">
        <v>96018</v>
      </c>
      <c r="H1086" s="1248"/>
      <c r="K1086" s="1248"/>
      <c r="P1086" s="1248"/>
    </row>
    <row r="1087" spans="1:16" x14ac:dyDescent="0.25">
      <c r="A1087" s="1274"/>
      <c r="B1087" s="1276" t="s">
        <v>3178</v>
      </c>
      <c r="C1087" s="1274">
        <v>96003</v>
      </c>
      <c r="H1087" s="1248"/>
      <c r="K1087" s="1248"/>
      <c r="P1087" s="1248"/>
    </row>
    <row r="1088" spans="1:16" x14ac:dyDescent="0.25">
      <c r="A1088" s="1274"/>
      <c r="B1088" s="1276" t="s">
        <v>3180</v>
      </c>
      <c r="C1088" s="1274">
        <v>96005</v>
      </c>
      <c r="H1088" s="1248"/>
      <c r="K1088" s="1248"/>
      <c r="P1088" s="1248"/>
    </row>
    <row r="1089" spans="1:16" x14ac:dyDescent="0.25">
      <c r="A1089" s="1274"/>
      <c r="B1089" s="1276" t="s">
        <v>3184</v>
      </c>
      <c r="C1089" s="1274">
        <v>96012</v>
      </c>
      <c r="H1089" s="1248"/>
      <c r="K1089" s="1248"/>
      <c r="P1089" s="1248"/>
    </row>
    <row r="1090" spans="1:16" x14ac:dyDescent="0.25">
      <c r="A1090" s="1274"/>
      <c r="B1090" s="1276" t="s">
        <v>2841</v>
      </c>
      <c r="C1090" s="1274">
        <v>91901</v>
      </c>
      <c r="H1090" s="1248"/>
      <c r="K1090" s="1248"/>
      <c r="P1090" s="1248"/>
    </row>
    <row r="1091" spans="1:16" x14ac:dyDescent="0.25">
      <c r="A1091" s="1274"/>
      <c r="B1091" s="1276" t="s">
        <v>2843</v>
      </c>
      <c r="C1091" s="1274">
        <v>91904</v>
      </c>
      <c r="H1091" s="1248"/>
      <c r="K1091" s="1248"/>
      <c r="P1091" s="1248"/>
    </row>
    <row r="1092" spans="1:16" x14ac:dyDescent="0.25">
      <c r="A1092" s="1274"/>
      <c r="B1092" s="1276" t="s">
        <v>4151</v>
      </c>
      <c r="C1092" s="1274">
        <v>91903</v>
      </c>
      <c r="H1092" s="1248"/>
      <c r="K1092" s="1248"/>
      <c r="P1092" s="1248"/>
    </row>
    <row r="1093" spans="1:16" x14ac:dyDescent="0.25">
      <c r="A1093" s="1274"/>
      <c r="B1093" s="1276" t="s">
        <v>2848</v>
      </c>
      <c r="C1093" s="1274">
        <v>92001</v>
      </c>
      <c r="H1093" s="1248"/>
      <c r="K1093" s="1248"/>
      <c r="P1093" s="1248"/>
    </row>
    <row r="1094" spans="1:16" x14ac:dyDescent="0.25">
      <c r="A1094" s="1274"/>
      <c r="B1094" s="1276" t="s">
        <v>4314</v>
      </c>
      <c r="C1094" s="1274">
        <v>93641</v>
      </c>
      <c r="H1094" s="1248"/>
      <c r="K1094" s="1248"/>
      <c r="P1094" s="1248"/>
    </row>
    <row r="1095" spans="1:16" x14ac:dyDescent="0.25">
      <c r="A1095" s="1274"/>
      <c r="B1095" s="1276" t="s">
        <v>2999</v>
      </c>
      <c r="C1095" s="1274">
        <v>93647</v>
      </c>
      <c r="H1095" s="1248"/>
      <c r="K1095" s="1248"/>
      <c r="P1095" s="1248"/>
    </row>
    <row r="1096" spans="1:16" x14ac:dyDescent="0.25">
      <c r="A1096" s="1274"/>
      <c r="B1096" s="1276" t="s">
        <v>4315</v>
      </c>
      <c r="C1096" s="1274">
        <v>98041</v>
      </c>
      <c r="H1096" s="1248"/>
      <c r="K1096" s="1248"/>
      <c r="P1096" s="1248"/>
    </row>
    <row r="1097" spans="1:16" x14ac:dyDescent="0.25">
      <c r="A1097" s="1274"/>
      <c r="B1097" s="1276" t="s">
        <v>4195</v>
      </c>
      <c r="C1097" s="1274">
        <v>96612</v>
      </c>
      <c r="H1097" s="1248"/>
      <c r="K1097" s="1248"/>
      <c r="P1097" s="1248"/>
    </row>
    <row r="1098" spans="1:16" x14ac:dyDescent="0.25">
      <c r="A1098" s="1274"/>
      <c r="B1098" s="1276" t="s">
        <v>4316</v>
      </c>
      <c r="C1098" s="1274">
        <v>90751</v>
      </c>
      <c r="H1098" s="1248"/>
      <c r="K1098" s="1248"/>
      <c r="P1098" s="1248"/>
    </row>
    <row r="1099" spans="1:16" x14ac:dyDescent="0.25">
      <c r="A1099" s="1274"/>
      <c r="B1099" s="1276" t="s">
        <v>2853</v>
      </c>
      <c r="C1099" s="1274">
        <v>92101</v>
      </c>
      <c r="H1099" s="1248"/>
      <c r="K1099" s="1248"/>
      <c r="P1099" s="1248"/>
    </row>
    <row r="1100" spans="1:16" x14ac:dyDescent="0.25">
      <c r="A1100" s="1274"/>
      <c r="B1100" s="1276" t="s">
        <v>2854</v>
      </c>
      <c r="C1100" s="1274">
        <v>92104</v>
      </c>
      <c r="H1100" s="1248"/>
      <c r="K1100" s="1248"/>
      <c r="P1100" s="1248"/>
    </row>
    <row r="1101" spans="1:16" x14ac:dyDescent="0.25">
      <c r="A1101" s="1274"/>
      <c r="B1101" s="1276" t="s">
        <v>4317</v>
      </c>
      <c r="C1101" s="1274">
        <v>91821</v>
      </c>
      <c r="H1101" s="1248"/>
      <c r="K1101" s="1248"/>
      <c r="P1101" s="1248"/>
    </row>
    <row r="1102" spans="1:16" x14ac:dyDescent="0.25">
      <c r="A1102" s="1274"/>
      <c r="B1102" s="1276" t="s">
        <v>4318</v>
      </c>
      <c r="C1102" s="1274">
        <v>90931</v>
      </c>
      <c r="H1102" s="1248"/>
      <c r="K1102" s="1248"/>
      <c r="P1102" s="1248"/>
    </row>
    <row r="1103" spans="1:16" x14ac:dyDescent="0.25">
      <c r="A1103" s="1274"/>
      <c r="B1103" s="1276" t="s">
        <v>2858</v>
      </c>
      <c r="C1103" s="1274">
        <v>92201</v>
      </c>
      <c r="H1103" s="1248"/>
      <c r="K1103" s="1248"/>
      <c r="P1103" s="1248"/>
    </row>
    <row r="1104" spans="1:16" x14ac:dyDescent="0.25">
      <c r="A1104" s="1274"/>
      <c r="B1104" s="1277" t="s">
        <v>4154</v>
      </c>
      <c r="C1104" s="1274">
        <v>92214</v>
      </c>
      <c r="H1104" s="1248"/>
      <c r="K1104" s="1248"/>
      <c r="P1104" s="1248"/>
    </row>
    <row r="1105" spans="1:16" x14ac:dyDescent="0.25">
      <c r="A1105" s="1274"/>
      <c r="B1105" s="1276" t="s">
        <v>4319</v>
      </c>
      <c r="C1105" s="1274">
        <v>95131</v>
      </c>
      <c r="H1105" s="1248"/>
      <c r="K1105" s="1248"/>
      <c r="P1105" s="1248"/>
    </row>
    <row r="1106" spans="1:16" x14ac:dyDescent="0.25">
      <c r="A1106" s="1274"/>
      <c r="B1106" s="1276" t="s">
        <v>4320</v>
      </c>
      <c r="C1106" s="1274">
        <v>93441</v>
      </c>
      <c r="H1106" s="1248"/>
      <c r="K1106" s="1248"/>
      <c r="P1106" s="1248"/>
    </row>
    <row r="1107" spans="1:16" x14ac:dyDescent="0.25">
      <c r="A1107" s="1274"/>
      <c r="B1107" s="1276" t="s">
        <v>2976</v>
      </c>
      <c r="C1107" s="1274">
        <v>93442</v>
      </c>
      <c r="H1107" s="1248"/>
      <c r="K1107" s="1248"/>
      <c r="P1107" s="1248"/>
    </row>
    <row r="1108" spans="1:16" x14ac:dyDescent="0.25">
      <c r="A1108" s="1274"/>
      <c r="B1108" s="1276" t="s">
        <v>2561</v>
      </c>
      <c r="C1108" s="1274">
        <v>98091</v>
      </c>
      <c r="H1108" s="1248"/>
      <c r="K1108" s="1248"/>
      <c r="P1108" s="1248"/>
    </row>
    <row r="1109" spans="1:16" x14ac:dyDescent="0.25">
      <c r="A1109" s="1274"/>
      <c r="B1109" s="1276" t="s">
        <v>2859</v>
      </c>
      <c r="C1109" s="1274">
        <v>92301</v>
      </c>
      <c r="H1109" s="1248"/>
      <c r="K1109" s="1248"/>
      <c r="P1109" s="1248"/>
    </row>
    <row r="1110" spans="1:16" x14ac:dyDescent="0.25">
      <c r="A1110" s="1274"/>
      <c r="B1110" s="1276" t="s">
        <v>3685</v>
      </c>
      <c r="C1110" s="1274">
        <v>92302</v>
      </c>
      <c r="H1110" s="1248"/>
      <c r="K1110" s="1248"/>
      <c r="P1110" s="1248"/>
    </row>
    <row r="1111" spans="1:16" x14ac:dyDescent="0.25">
      <c r="A1111" s="1274"/>
      <c r="B1111" s="1276" t="s">
        <v>4321</v>
      </c>
      <c r="C1111" s="1274">
        <v>98211</v>
      </c>
      <c r="H1111" s="1248"/>
      <c r="K1111" s="1248"/>
      <c r="P1111" s="1248"/>
    </row>
    <row r="1112" spans="1:16" x14ac:dyDescent="0.25">
      <c r="A1112" s="1274"/>
      <c r="B1112" s="1276" t="s">
        <v>3398</v>
      </c>
      <c r="C1112" s="1274">
        <v>98218</v>
      </c>
      <c r="H1112" s="1248"/>
      <c r="K1112" s="1248"/>
      <c r="P1112" s="1248"/>
    </row>
    <row r="1113" spans="1:16" x14ac:dyDescent="0.25">
      <c r="A1113" s="1274"/>
      <c r="B1113" s="1276" t="s">
        <v>2883</v>
      </c>
      <c r="C1113" s="1274">
        <v>92506</v>
      </c>
      <c r="H1113" s="1248"/>
      <c r="K1113" s="1248"/>
      <c r="P1113" s="1248"/>
    </row>
    <row r="1114" spans="1:16" x14ac:dyDescent="0.25">
      <c r="A1114" s="1274"/>
      <c r="B1114" s="1276" t="s">
        <v>4322</v>
      </c>
      <c r="C1114" s="1274">
        <v>92508</v>
      </c>
      <c r="H1114" s="1248"/>
      <c r="K1114" s="1248"/>
      <c r="P1114" s="1248"/>
    </row>
    <row r="1115" spans="1:16" x14ac:dyDescent="0.25">
      <c r="A1115" s="1274"/>
      <c r="B1115" s="1276" t="s">
        <v>3237</v>
      </c>
      <c r="C1115" s="1274">
        <v>96519</v>
      </c>
      <c r="H1115" s="1248"/>
      <c r="K1115" s="1248"/>
      <c r="P1115" s="1248"/>
    </row>
    <row r="1116" spans="1:16" x14ac:dyDescent="0.25">
      <c r="A1116" s="1274"/>
      <c r="B1116" s="1276" t="s">
        <v>4323</v>
      </c>
      <c r="C1116" s="1274">
        <v>94341</v>
      </c>
      <c r="H1116" s="1248"/>
      <c r="K1116" s="1248"/>
      <c r="P1116" s="1248"/>
    </row>
    <row r="1117" spans="1:16" x14ac:dyDescent="0.25">
      <c r="A1117" s="1274"/>
      <c r="B1117" s="1276" t="s">
        <v>4324</v>
      </c>
      <c r="C1117" s="1274">
        <v>94641</v>
      </c>
      <c r="H1117" s="1248"/>
      <c r="K1117" s="1248"/>
      <c r="P1117" s="1248"/>
    </row>
    <row r="1118" spans="1:16" x14ac:dyDescent="0.25">
      <c r="A1118" s="1274"/>
      <c r="B1118" s="1276" t="s">
        <v>4325</v>
      </c>
      <c r="C1118" s="1274">
        <v>90813</v>
      </c>
      <c r="H1118" s="1248"/>
      <c r="K1118" s="1248"/>
      <c r="P1118" s="1248"/>
    </row>
    <row r="1119" spans="1:16" x14ac:dyDescent="0.25">
      <c r="A1119" s="1274"/>
      <c r="B1119" s="1276" t="s">
        <v>3042</v>
      </c>
      <c r="C1119" s="1274">
        <v>94168</v>
      </c>
      <c r="H1119" s="1248"/>
      <c r="K1119" s="1248"/>
      <c r="P1119" s="1248"/>
    </row>
    <row r="1120" spans="1:16" x14ac:dyDescent="0.25">
      <c r="A1120" s="1274"/>
      <c r="B1120" s="1276" t="s">
        <v>4326</v>
      </c>
      <c r="C1120" s="1274">
        <v>98911</v>
      </c>
      <c r="H1120" s="1248"/>
      <c r="K1120" s="1248"/>
      <c r="P1120" s="1248"/>
    </row>
    <row r="1121" spans="1:16" x14ac:dyDescent="0.25">
      <c r="A1121" s="1274"/>
      <c r="B1121" s="1276" t="s">
        <v>2562</v>
      </c>
      <c r="C1121" s="1274">
        <v>97521</v>
      </c>
      <c r="H1121" s="1248"/>
      <c r="K1121" s="1248"/>
      <c r="P1121" s="1248"/>
    </row>
    <row r="1122" spans="1:16" x14ac:dyDescent="0.25">
      <c r="A1122" s="1274"/>
      <c r="B1122" s="1276" t="s">
        <v>4204</v>
      </c>
      <c r="C1122" s="1274">
        <v>97527</v>
      </c>
      <c r="H1122" s="1248"/>
      <c r="K1122" s="1248"/>
      <c r="P1122" s="1248"/>
    </row>
    <row r="1123" spans="1:16" x14ac:dyDescent="0.25">
      <c r="A1123" s="1274"/>
      <c r="B1123" s="1276" t="s">
        <v>2868</v>
      </c>
      <c r="C1123" s="1274">
        <v>92401</v>
      </c>
      <c r="H1123" s="1248"/>
      <c r="K1123" s="1248"/>
      <c r="P1123" s="1248"/>
    </row>
    <row r="1124" spans="1:16" x14ac:dyDescent="0.25">
      <c r="A1124" s="1274"/>
      <c r="B1124" s="1276" t="s">
        <v>4327</v>
      </c>
      <c r="C1124" s="1274">
        <v>91311</v>
      </c>
      <c r="H1124" s="1248"/>
      <c r="K1124" s="1248"/>
      <c r="P1124" s="1248"/>
    </row>
    <row r="1125" spans="1:16" x14ac:dyDescent="0.25">
      <c r="A1125" s="1274"/>
      <c r="B1125" s="1276" t="s">
        <v>2793</v>
      </c>
      <c r="C1125" s="1274">
        <v>91317</v>
      </c>
      <c r="H1125" s="1248"/>
      <c r="K1125" s="1248"/>
      <c r="P1125" s="1248"/>
    </row>
    <row r="1126" spans="1:16" x14ac:dyDescent="0.25">
      <c r="A1126" s="1274"/>
      <c r="B1126" s="1276" t="s">
        <v>4328</v>
      </c>
      <c r="C1126" s="1274">
        <v>91261</v>
      </c>
      <c r="H1126" s="1248"/>
      <c r="K1126" s="1248"/>
      <c r="P1126" s="1248"/>
    </row>
    <row r="1127" spans="1:16" x14ac:dyDescent="0.25">
      <c r="A1127" s="1274"/>
      <c r="B1127" s="1276" t="s">
        <v>4329</v>
      </c>
      <c r="C1127" s="1274">
        <v>91851</v>
      </c>
      <c r="H1127" s="1248"/>
      <c r="K1127" s="1248"/>
      <c r="P1127" s="1248"/>
    </row>
    <row r="1128" spans="1:16" x14ac:dyDescent="0.25">
      <c r="A1128" s="1274"/>
      <c r="B1128" s="1276" t="s">
        <v>3299</v>
      </c>
      <c r="C1128" s="1274">
        <v>97408</v>
      </c>
      <c r="H1128" s="1248"/>
      <c r="K1128" s="1248"/>
      <c r="P1128" s="1248"/>
    </row>
    <row r="1129" spans="1:16" x14ac:dyDescent="0.25">
      <c r="A1129" s="1274"/>
      <c r="B1129" s="1276" t="s">
        <v>4330</v>
      </c>
      <c r="C1129" s="1274">
        <v>96641</v>
      </c>
      <c r="H1129" s="1248"/>
      <c r="K1129" s="1248"/>
      <c r="P1129" s="1248"/>
    </row>
    <row r="1130" spans="1:16" x14ac:dyDescent="0.25">
      <c r="A1130" s="1274"/>
      <c r="B1130" s="1276" t="s">
        <v>4331</v>
      </c>
      <c r="C1130" s="1274">
        <v>93031</v>
      </c>
      <c r="H1130" s="1248"/>
      <c r="K1130" s="1248"/>
      <c r="P1130" s="1248"/>
    </row>
    <row r="1131" spans="1:16" x14ac:dyDescent="0.25">
      <c r="A1131" s="1274"/>
      <c r="B1131" s="1276" t="s">
        <v>2931</v>
      </c>
      <c r="C1131" s="1274">
        <v>93027</v>
      </c>
      <c r="H1131" s="1248"/>
      <c r="K1131" s="1248"/>
      <c r="P1131" s="1248"/>
    </row>
    <row r="1132" spans="1:16" x14ac:dyDescent="0.25">
      <c r="A1132" s="1274"/>
      <c r="B1132" s="1276" t="s">
        <v>4332</v>
      </c>
      <c r="C1132" s="1274">
        <v>96051</v>
      </c>
      <c r="H1132" s="1248"/>
      <c r="K1132" s="1248"/>
      <c r="P1132" s="1248"/>
    </row>
    <row r="1133" spans="1:16" x14ac:dyDescent="0.25">
      <c r="A1133" s="1274"/>
      <c r="B1133" s="1276" t="s">
        <v>4333</v>
      </c>
      <c r="C1133" s="1274">
        <v>92571</v>
      </c>
      <c r="H1133" s="1248"/>
      <c r="K1133" s="1248"/>
      <c r="P1133" s="1248"/>
    </row>
    <row r="1134" spans="1:16" x14ac:dyDescent="0.25">
      <c r="A1134" s="1274"/>
      <c r="B1134" s="1276" t="s">
        <v>4334</v>
      </c>
      <c r="C1134" s="1274">
        <v>93631</v>
      </c>
      <c r="H1134" s="1248"/>
      <c r="K1134" s="1248"/>
      <c r="P1134" s="1248"/>
    </row>
    <row r="1135" spans="1:16" x14ac:dyDescent="0.25">
      <c r="A1135" s="1274"/>
      <c r="B1135" s="1277" t="s">
        <v>4168</v>
      </c>
      <c r="C1135" s="1274">
        <v>93604</v>
      </c>
      <c r="H1135" s="1248"/>
      <c r="K1135" s="1248"/>
      <c r="P1135" s="1248"/>
    </row>
    <row r="1136" spans="1:16" x14ac:dyDescent="0.25">
      <c r="A1136" s="1274"/>
      <c r="B1136" s="1276" t="s">
        <v>2881</v>
      </c>
      <c r="C1136" s="1274">
        <v>92504</v>
      </c>
      <c r="H1136" s="1248"/>
      <c r="K1136" s="1248"/>
      <c r="P1136" s="1248"/>
    </row>
    <row r="1137" spans="1:16" x14ac:dyDescent="0.25">
      <c r="A1137" s="1274"/>
      <c r="B1137" s="1276" t="s">
        <v>2879</v>
      </c>
      <c r="C1137" s="1274">
        <v>92501</v>
      </c>
      <c r="H1137" s="1248"/>
      <c r="K1137" s="1248"/>
      <c r="P1137" s="1248"/>
    </row>
    <row r="1138" spans="1:16" x14ac:dyDescent="0.25">
      <c r="A1138" s="1274"/>
      <c r="B1138" s="1276" t="s">
        <v>2882</v>
      </c>
      <c r="C1138" s="1274">
        <v>92505</v>
      </c>
      <c r="H1138" s="1248"/>
      <c r="K1138" s="1248"/>
      <c r="P1138" s="1248"/>
    </row>
    <row r="1139" spans="1:16" x14ac:dyDescent="0.25">
      <c r="A1139" s="1274"/>
      <c r="B1139" s="1276" t="s">
        <v>4335</v>
      </c>
      <c r="C1139" s="1274">
        <v>93921</v>
      </c>
      <c r="H1139" s="1248"/>
      <c r="K1139" s="1248"/>
      <c r="P1139" s="1248"/>
    </row>
    <row r="1140" spans="1:16" x14ac:dyDescent="0.25">
      <c r="A1140" s="1274"/>
      <c r="B1140" s="1276" t="s">
        <v>4336</v>
      </c>
      <c r="C1140" s="1274">
        <v>99431</v>
      </c>
      <c r="H1140" s="1248"/>
      <c r="K1140" s="1248"/>
      <c r="P1140" s="1248"/>
    </row>
    <row r="1141" spans="1:16" x14ac:dyDescent="0.25">
      <c r="A1141" s="1274"/>
      <c r="B1141" s="1276" t="s">
        <v>2897</v>
      </c>
      <c r="C1141" s="1274">
        <v>92604</v>
      </c>
      <c r="H1141" s="1248"/>
      <c r="K1141" s="1248"/>
      <c r="P1141" s="1248"/>
    </row>
    <row r="1142" spans="1:16" x14ac:dyDescent="0.25">
      <c r="A1142" s="1274"/>
      <c r="B1142" s="1276" t="s">
        <v>2895</v>
      </c>
      <c r="C1142" s="1274">
        <v>92601</v>
      </c>
      <c r="H1142" s="1248"/>
      <c r="K1142" s="1248"/>
      <c r="P1142" s="1248"/>
    </row>
    <row r="1143" spans="1:16" x14ac:dyDescent="0.25">
      <c r="A1143" s="1274"/>
      <c r="B1143" s="1276" t="s">
        <v>2899</v>
      </c>
      <c r="C1143" s="1274">
        <v>92608</v>
      </c>
      <c r="H1143" s="1248"/>
      <c r="K1143" s="1248"/>
      <c r="P1143" s="1248"/>
    </row>
    <row r="1144" spans="1:16" x14ac:dyDescent="0.25">
      <c r="A1144" s="1274"/>
      <c r="B1144" s="1276" t="s">
        <v>2911</v>
      </c>
      <c r="C1144" s="1274">
        <v>92704</v>
      </c>
      <c r="H1144" s="1248"/>
      <c r="K1144" s="1248"/>
      <c r="P1144" s="1248"/>
    </row>
    <row r="1145" spans="1:16" x14ac:dyDescent="0.25">
      <c r="A1145" s="1274"/>
      <c r="B1145" s="1276" t="s">
        <v>2910</v>
      </c>
      <c r="C1145" s="1274">
        <v>92701</v>
      </c>
      <c r="H1145" s="1248"/>
      <c r="K1145" s="1248"/>
      <c r="P1145" s="1248"/>
    </row>
    <row r="1146" spans="1:16" x14ac:dyDescent="0.25">
      <c r="A1146" s="1274"/>
      <c r="B1146" s="1276" t="s">
        <v>4337</v>
      </c>
      <c r="C1146" s="1274">
        <v>93651</v>
      </c>
      <c r="H1146" s="1248"/>
      <c r="K1146" s="1248"/>
      <c r="P1146" s="1248"/>
    </row>
    <row r="1147" spans="1:16" x14ac:dyDescent="0.25">
      <c r="A1147" s="1274"/>
      <c r="B1147" s="1276" t="s">
        <v>2912</v>
      </c>
      <c r="C1147" s="1274">
        <v>92801</v>
      </c>
      <c r="H1147" s="1248"/>
      <c r="K1147" s="1248"/>
      <c r="P1147" s="1248"/>
    </row>
    <row r="1148" spans="1:16" x14ac:dyDescent="0.25">
      <c r="A1148" s="1274"/>
      <c r="B1148" s="1276" t="s">
        <v>2914</v>
      </c>
      <c r="C1148" s="1274">
        <v>92804</v>
      </c>
      <c r="H1148" s="1248"/>
      <c r="K1148" s="1248"/>
      <c r="P1148" s="1248"/>
    </row>
    <row r="1149" spans="1:16" x14ac:dyDescent="0.25">
      <c r="A1149" s="1274"/>
      <c r="B1149" s="1276" t="s">
        <v>2913</v>
      </c>
      <c r="C1149" s="1274">
        <v>92802</v>
      </c>
      <c r="H1149" s="1248"/>
      <c r="K1149" s="1248"/>
      <c r="P1149" s="1248"/>
    </row>
    <row r="1150" spans="1:16" x14ac:dyDescent="0.25">
      <c r="A1150" s="1274"/>
      <c r="B1150" s="1276" t="s">
        <v>2567</v>
      </c>
      <c r="C1150" s="1274">
        <v>96081</v>
      </c>
      <c r="H1150" s="1248"/>
      <c r="K1150" s="1248"/>
      <c r="P1150" s="1248"/>
    </row>
    <row r="1151" spans="1:16" x14ac:dyDescent="0.25">
      <c r="A1151" s="1274"/>
      <c r="B1151" s="1276" t="s">
        <v>2921</v>
      </c>
      <c r="C1151" s="1274">
        <v>92901</v>
      </c>
      <c r="H1151" s="1248"/>
      <c r="K1151" s="1248"/>
      <c r="P1151" s="1248"/>
    </row>
    <row r="1152" spans="1:16" x14ac:dyDescent="0.25">
      <c r="A1152" s="1274"/>
      <c r="B1152" s="1276" t="s">
        <v>2927</v>
      </c>
      <c r="C1152" s="1274">
        <v>93001</v>
      </c>
      <c r="H1152" s="1248"/>
      <c r="K1152" s="1248"/>
      <c r="P1152" s="1248"/>
    </row>
    <row r="1153" spans="1:16" x14ac:dyDescent="0.25">
      <c r="A1153" s="1274"/>
      <c r="B1153" s="1276" t="s">
        <v>2928</v>
      </c>
      <c r="C1153" s="1274">
        <v>93009</v>
      </c>
      <c r="H1153" s="1248"/>
      <c r="K1153" s="1248"/>
      <c r="P1153" s="1248"/>
    </row>
    <row r="1154" spans="1:16" x14ac:dyDescent="0.25">
      <c r="A1154" s="1274"/>
      <c r="B1154" s="1276" t="s">
        <v>4338</v>
      </c>
      <c r="C1154" s="1274">
        <v>92921</v>
      </c>
      <c r="H1154" s="1248"/>
      <c r="K1154" s="1248"/>
      <c r="P1154" s="1248"/>
    </row>
    <row r="1155" spans="1:16" x14ac:dyDescent="0.25">
      <c r="A1155" s="1274"/>
      <c r="B1155" s="1276" t="s">
        <v>4339</v>
      </c>
      <c r="C1155" s="1274">
        <v>98621</v>
      </c>
      <c r="H1155" s="1248"/>
      <c r="K1155" s="1248"/>
      <c r="P1155" s="1248"/>
    </row>
    <row r="1156" spans="1:16" x14ac:dyDescent="0.25">
      <c r="A1156" s="1274"/>
      <c r="B1156" s="1276" t="s">
        <v>3432</v>
      </c>
      <c r="C1156" s="1274">
        <v>98627</v>
      </c>
      <c r="H1156" s="1248"/>
      <c r="K1156" s="1248"/>
      <c r="P1156" s="1248"/>
    </row>
    <row r="1157" spans="1:16" x14ac:dyDescent="0.25">
      <c r="A1157" s="1274"/>
      <c r="B1157" s="1276" t="s">
        <v>4340</v>
      </c>
      <c r="C1157" s="1274">
        <v>91221</v>
      </c>
      <c r="H1157" s="1248"/>
      <c r="K1157" s="1248"/>
      <c r="P1157" s="1248"/>
    </row>
    <row r="1158" spans="1:16" x14ac:dyDescent="0.25">
      <c r="A1158" s="1274"/>
      <c r="B1158" s="1276" t="s">
        <v>4341</v>
      </c>
      <c r="C1158" s="1274">
        <v>92861</v>
      </c>
      <c r="H1158" s="1248"/>
      <c r="K1158" s="1248"/>
      <c r="P1158" s="1248"/>
    </row>
    <row r="1159" spans="1:16" x14ac:dyDescent="0.25">
      <c r="A1159" s="1274"/>
      <c r="B1159" s="1276" t="s">
        <v>4342</v>
      </c>
      <c r="C1159" s="1274">
        <v>94311</v>
      </c>
      <c r="H1159" s="1248"/>
      <c r="K1159" s="1248"/>
      <c r="P1159" s="1248"/>
    </row>
    <row r="1160" spans="1:16" x14ac:dyDescent="0.25">
      <c r="A1160" s="1274"/>
      <c r="B1160" s="1276" t="s">
        <v>3058</v>
      </c>
      <c r="C1160" s="1274">
        <v>94317</v>
      </c>
      <c r="H1160" s="1248"/>
      <c r="K1160" s="1248"/>
      <c r="P1160" s="1248"/>
    </row>
    <row r="1161" spans="1:16" x14ac:dyDescent="0.25">
      <c r="A1161" s="1274"/>
      <c r="B1161" s="1276" t="s">
        <v>3057</v>
      </c>
      <c r="C1161" s="1274">
        <v>94313</v>
      </c>
      <c r="H1161" s="1248"/>
      <c r="K1161" s="1248"/>
      <c r="P1161" s="1248"/>
    </row>
    <row r="1162" spans="1:16" x14ac:dyDescent="0.25">
      <c r="A1162" s="1274"/>
      <c r="B1162" s="1276" t="s">
        <v>2933</v>
      </c>
      <c r="C1162" s="1274">
        <v>93101</v>
      </c>
      <c r="H1162" s="1248"/>
      <c r="K1162" s="1248"/>
      <c r="P1162" s="1248"/>
    </row>
    <row r="1163" spans="1:16" x14ac:dyDescent="0.25">
      <c r="A1163" s="1274"/>
      <c r="B1163" s="1276" t="s">
        <v>2126</v>
      </c>
      <c r="C1163" s="1274">
        <v>93103</v>
      </c>
      <c r="H1163" s="1248"/>
      <c r="K1163" s="1248"/>
      <c r="P1163" s="1248"/>
    </row>
    <row r="1164" spans="1:16" x14ac:dyDescent="0.25">
      <c r="A1164" s="1274"/>
      <c r="B1164" s="1276" t="s">
        <v>2570</v>
      </c>
      <c r="C1164" s="1274">
        <v>93211</v>
      </c>
      <c r="H1164" s="1248"/>
      <c r="K1164" s="1248"/>
      <c r="P1164" s="1248"/>
    </row>
    <row r="1165" spans="1:16" x14ac:dyDescent="0.25">
      <c r="A1165" s="1274"/>
      <c r="B1165" s="1276" t="s">
        <v>2952</v>
      </c>
      <c r="C1165" s="1274">
        <v>93212</v>
      </c>
      <c r="H1165" s="1248"/>
      <c r="K1165" s="1248"/>
      <c r="P1165" s="1248"/>
    </row>
    <row r="1166" spans="1:16" x14ac:dyDescent="0.25">
      <c r="A1166" s="1274"/>
      <c r="B1166" s="1276" t="s">
        <v>2947</v>
      </c>
      <c r="C1166" s="1274">
        <v>93201</v>
      </c>
      <c r="H1166" s="1248"/>
      <c r="K1166" s="1248"/>
      <c r="P1166" s="1248"/>
    </row>
    <row r="1167" spans="1:16" x14ac:dyDescent="0.25">
      <c r="A1167" s="1274"/>
      <c r="B1167" s="1276" t="s">
        <v>2949</v>
      </c>
      <c r="C1167" s="1274">
        <v>93204</v>
      </c>
      <c r="H1167" s="1248"/>
      <c r="K1167" s="1248"/>
      <c r="P1167" s="1248"/>
    </row>
    <row r="1168" spans="1:16" x14ac:dyDescent="0.25">
      <c r="A1168" s="1274"/>
      <c r="B1168" s="1276" t="s">
        <v>3474</v>
      </c>
      <c r="C1168" s="1274">
        <v>99212</v>
      </c>
      <c r="H1168" s="1248"/>
      <c r="K1168" s="1248"/>
      <c r="P1168" s="1248"/>
    </row>
    <row r="1169" spans="1:16" x14ac:dyDescent="0.25">
      <c r="A1169" s="1274"/>
      <c r="B1169" s="1276" t="s">
        <v>3274</v>
      </c>
      <c r="C1169" s="1274">
        <v>97005</v>
      </c>
      <c r="H1169" s="1248"/>
      <c r="K1169" s="1248"/>
      <c r="P1169" s="1248"/>
    </row>
    <row r="1170" spans="1:16" x14ac:dyDescent="0.25">
      <c r="A1170" s="1274"/>
      <c r="B1170" s="1276" t="s">
        <v>4343</v>
      </c>
      <c r="C1170" s="1274">
        <v>99931</v>
      </c>
      <c r="H1170" s="1248"/>
      <c r="K1170" s="1248"/>
      <c r="P1170" s="1248"/>
    </row>
    <row r="1171" spans="1:16" x14ac:dyDescent="0.25">
      <c r="A1171" s="1274"/>
      <c r="B1171" s="1276" t="s">
        <v>2886</v>
      </c>
      <c r="C1171" s="1274">
        <v>92509</v>
      </c>
      <c r="H1171" s="1248"/>
      <c r="K1171" s="1248"/>
      <c r="P1171" s="1248"/>
    </row>
    <row r="1172" spans="1:16" x14ac:dyDescent="0.25">
      <c r="A1172" s="1274"/>
      <c r="B1172" s="1276" t="s">
        <v>4344</v>
      </c>
      <c r="C1172" s="1274">
        <v>98021</v>
      </c>
      <c r="H1172" s="1248"/>
      <c r="K1172" s="1248"/>
      <c r="P1172" s="1248"/>
    </row>
    <row r="1173" spans="1:16" x14ac:dyDescent="0.25">
      <c r="A1173" s="1274"/>
      <c r="B1173" s="1276" t="s">
        <v>3375</v>
      </c>
      <c r="C1173" s="1274">
        <v>98023</v>
      </c>
      <c r="H1173" s="1248"/>
      <c r="K1173" s="1248"/>
      <c r="P1173" s="1248"/>
    </row>
    <row r="1174" spans="1:16" x14ac:dyDescent="0.25">
      <c r="A1174" s="1274"/>
      <c r="B1174" s="1276" t="s">
        <v>4345</v>
      </c>
      <c r="C1174" s="1278">
        <v>70505</v>
      </c>
      <c r="H1174" s="1248"/>
      <c r="K1174" s="1248"/>
      <c r="P1174" s="1248"/>
    </row>
    <row r="1175" spans="1:16" x14ac:dyDescent="0.25">
      <c r="A1175" s="1274"/>
      <c r="B1175" s="1276" t="s">
        <v>4346</v>
      </c>
      <c r="C1175" s="1274">
        <v>99603</v>
      </c>
      <c r="H1175" s="1248"/>
      <c r="K1175" s="1248"/>
      <c r="P1175" s="1248"/>
    </row>
    <row r="1176" spans="1:16" x14ac:dyDescent="0.25">
      <c r="A1176" s="1274"/>
      <c r="B1176" s="1276" t="s">
        <v>3511</v>
      </c>
      <c r="C1176" s="1274">
        <v>99610</v>
      </c>
      <c r="H1176" s="1248"/>
      <c r="K1176" s="1248"/>
      <c r="P1176" s="1248"/>
    </row>
    <row r="1177" spans="1:16" x14ac:dyDescent="0.25">
      <c r="A1177" s="1274"/>
      <c r="B1177" s="1276" t="s">
        <v>4347</v>
      </c>
      <c r="C1177" s="1274">
        <v>92681</v>
      </c>
      <c r="H1177" s="1248"/>
      <c r="K1177" s="1248"/>
      <c r="P1177" s="1248"/>
    </row>
    <row r="1178" spans="1:16" x14ac:dyDescent="0.25">
      <c r="A1178" s="1274"/>
      <c r="B1178" s="1276" t="s">
        <v>2934</v>
      </c>
      <c r="C1178" s="1274">
        <v>93108</v>
      </c>
      <c r="H1178" s="1248"/>
      <c r="K1178" s="1248"/>
      <c r="P1178" s="1248"/>
    </row>
    <row r="1179" spans="1:16" x14ac:dyDescent="0.25">
      <c r="A1179" s="1274"/>
      <c r="B1179" s="1276" t="s">
        <v>4348</v>
      </c>
      <c r="C1179" s="1274">
        <v>97951</v>
      </c>
      <c r="H1179" s="1248"/>
      <c r="K1179" s="1248"/>
      <c r="P1179" s="1248"/>
    </row>
    <row r="1180" spans="1:16" x14ac:dyDescent="0.25">
      <c r="A1180" s="1274"/>
      <c r="B1180" s="1276" t="s">
        <v>3366</v>
      </c>
      <c r="C1180" s="1274">
        <v>97957</v>
      </c>
      <c r="H1180" s="1248"/>
      <c r="K1180" s="1248"/>
      <c r="P1180" s="1248"/>
    </row>
    <row r="1181" spans="1:16" x14ac:dyDescent="0.25">
      <c r="A1181" s="1274"/>
      <c r="B1181" s="1276" t="s">
        <v>4349</v>
      </c>
      <c r="C1181" s="1274">
        <v>92111</v>
      </c>
      <c r="H1181" s="1248"/>
      <c r="K1181" s="1248"/>
      <c r="P1181" s="1248"/>
    </row>
    <row r="1182" spans="1:16" x14ac:dyDescent="0.25">
      <c r="A1182" s="1274"/>
      <c r="B1182" s="1276" t="s">
        <v>2954</v>
      </c>
      <c r="C1182" s="1274">
        <v>93301</v>
      </c>
      <c r="H1182" s="1248"/>
      <c r="K1182" s="1248"/>
      <c r="P1182" s="1248"/>
    </row>
    <row r="1183" spans="1:16" x14ac:dyDescent="0.25">
      <c r="A1183" s="1274"/>
      <c r="B1183" s="1276" t="s">
        <v>2955</v>
      </c>
      <c r="C1183" s="1274">
        <v>93304</v>
      </c>
      <c r="H1183" s="1248"/>
      <c r="K1183" s="1248"/>
      <c r="P1183" s="1248"/>
    </row>
    <row r="1184" spans="1:16" x14ac:dyDescent="0.25">
      <c r="A1184" s="1274"/>
      <c r="B1184" s="1276" t="s">
        <v>2956</v>
      </c>
      <c r="C1184" s="1274">
        <v>93305</v>
      </c>
      <c r="H1184" s="1248"/>
      <c r="K1184" s="1248"/>
      <c r="P1184" s="1248"/>
    </row>
    <row r="1185" spans="1:16" x14ac:dyDescent="0.25">
      <c r="A1185" s="1274"/>
      <c r="B1185" s="1276" t="s">
        <v>3472</v>
      </c>
      <c r="C1185" s="1274">
        <v>99210</v>
      </c>
      <c r="H1185" s="1248"/>
      <c r="K1185" s="1248"/>
      <c r="P1185" s="1248"/>
    </row>
    <row r="1186" spans="1:16" x14ac:dyDescent="0.25">
      <c r="A1186" s="1274"/>
      <c r="B1186" s="1276" t="s">
        <v>3277</v>
      </c>
      <c r="C1186" s="1274">
        <v>97011</v>
      </c>
      <c r="H1186" s="1248"/>
      <c r="K1186" s="1248"/>
      <c r="P1186" s="1248"/>
    </row>
    <row r="1187" spans="1:16" x14ac:dyDescent="0.25">
      <c r="A1187" s="1274"/>
      <c r="B1187" s="1276" t="s">
        <v>3279</v>
      </c>
      <c r="C1187" s="1274">
        <v>97013</v>
      </c>
      <c r="H1187" s="1248"/>
      <c r="K1187" s="1248"/>
      <c r="P1187" s="1248"/>
    </row>
    <row r="1188" spans="1:16" x14ac:dyDescent="0.25">
      <c r="A1188" s="1274"/>
      <c r="B1188" s="1276" t="s">
        <v>4350</v>
      </c>
      <c r="C1188" s="1274">
        <v>97012</v>
      </c>
      <c r="H1188" s="1248"/>
      <c r="K1188" s="1248"/>
      <c r="P1188" s="1248"/>
    </row>
    <row r="1189" spans="1:16" x14ac:dyDescent="0.25">
      <c r="A1189" s="1274"/>
      <c r="B1189" s="1276" t="s">
        <v>3281</v>
      </c>
      <c r="C1189" s="1274">
        <v>97018</v>
      </c>
      <c r="H1189" s="1248"/>
      <c r="K1189" s="1248"/>
      <c r="P1189" s="1248"/>
    </row>
    <row r="1190" spans="1:16" x14ac:dyDescent="0.25">
      <c r="A1190" s="1274"/>
      <c r="B1190" s="1276" t="s">
        <v>4351</v>
      </c>
      <c r="C1190" s="1274">
        <v>90911</v>
      </c>
      <c r="H1190" s="1248"/>
      <c r="K1190" s="1248"/>
      <c r="P1190" s="1248"/>
    </row>
    <row r="1191" spans="1:16" x14ac:dyDescent="0.25">
      <c r="A1191" s="1274"/>
      <c r="B1191" s="1276" t="s">
        <v>2720</v>
      </c>
      <c r="C1191" s="1274">
        <v>90917</v>
      </c>
      <c r="H1191" s="1248"/>
      <c r="K1191" s="1248"/>
      <c r="P1191" s="1248"/>
    </row>
    <row r="1192" spans="1:16" x14ac:dyDescent="0.25">
      <c r="A1192" s="1274"/>
      <c r="B1192" s="1276" t="s">
        <v>4352</v>
      </c>
      <c r="C1192" s="1274">
        <v>90641</v>
      </c>
      <c r="H1192" s="1248"/>
      <c r="K1192" s="1248"/>
      <c r="P1192" s="1248"/>
    </row>
    <row r="1193" spans="1:16" x14ac:dyDescent="0.25">
      <c r="A1193" s="1274"/>
      <c r="B1193" s="1276" t="s">
        <v>4353</v>
      </c>
      <c r="C1193" s="1274">
        <v>98641</v>
      </c>
      <c r="H1193" s="1248"/>
      <c r="K1193" s="1248"/>
      <c r="P1193" s="1248"/>
    </row>
    <row r="1194" spans="1:16" x14ac:dyDescent="0.25">
      <c r="A1194" s="1274"/>
      <c r="B1194" s="1276" t="s">
        <v>4354</v>
      </c>
      <c r="C1194" s="1274" t="s">
        <v>4355</v>
      </c>
      <c r="H1194" s="1248"/>
      <c r="K1194" s="1248"/>
      <c r="P1194" s="1248"/>
    </row>
    <row r="1195" spans="1:16" x14ac:dyDescent="0.25">
      <c r="A1195" s="1274"/>
      <c r="B1195" s="1276" t="s">
        <v>4356</v>
      </c>
      <c r="C1195" s="1274">
        <v>98161</v>
      </c>
      <c r="H1195" s="1248"/>
      <c r="K1195" s="1248"/>
      <c r="P1195" s="1248"/>
    </row>
    <row r="1196" spans="1:16" x14ac:dyDescent="0.25">
      <c r="A1196" s="1274"/>
      <c r="B1196" s="1276" t="s">
        <v>4357</v>
      </c>
      <c r="C1196" s="1274">
        <v>97731</v>
      </c>
      <c r="H1196" s="1248"/>
      <c r="K1196" s="1248"/>
      <c r="P1196" s="1248"/>
    </row>
    <row r="1197" spans="1:16" x14ac:dyDescent="0.25">
      <c r="A1197" s="1274"/>
      <c r="B1197" s="1276" t="s">
        <v>4358</v>
      </c>
      <c r="C1197" s="1274">
        <v>99851</v>
      </c>
      <c r="H1197" s="1248"/>
      <c r="K1197" s="1248"/>
      <c r="P1197" s="1248"/>
    </row>
    <row r="1198" spans="1:16" x14ac:dyDescent="0.25">
      <c r="A1198" s="1274"/>
      <c r="B1198" s="1276" t="s">
        <v>4359</v>
      </c>
      <c r="C1198" s="1274">
        <v>90131</v>
      </c>
      <c r="H1198" s="1248"/>
      <c r="K1198" s="1248"/>
      <c r="P1198" s="1248"/>
    </row>
    <row r="1199" spans="1:16" x14ac:dyDescent="0.25">
      <c r="A1199" s="1274"/>
      <c r="B1199" s="1276" t="s">
        <v>4360</v>
      </c>
      <c r="C1199" s="1274">
        <v>91651</v>
      </c>
      <c r="H1199" s="1248"/>
      <c r="K1199" s="1248"/>
      <c r="P1199" s="1248"/>
    </row>
    <row r="1200" spans="1:16" x14ac:dyDescent="0.25">
      <c r="A1200" s="1274"/>
      <c r="B1200" s="1276" t="s">
        <v>4361</v>
      </c>
      <c r="C1200" s="1274">
        <v>94211</v>
      </c>
      <c r="H1200" s="1248"/>
      <c r="K1200" s="1248"/>
      <c r="P1200" s="1248"/>
    </row>
    <row r="1201" spans="1:16" x14ac:dyDescent="0.25">
      <c r="A1201" s="1274"/>
      <c r="B1201" s="1276" t="s">
        <v>4362</v>
      </c>
      <c r="C1201" s="1274">
        <v>94331</v>
      </c>
      <c r="H1201" s="1248"/>
      <c r="K1201" s="1248"/>
      <c r="P1201" s="1248"/>
    </row>
    <row r="1202" spans="1:16" x14ac:dyDescent="0.25">
      <c r="A1202" s="1274"/>
      <c r="B1202" s="1276" t="s">
        <v>4363</v>
      </c>
      <c r="C1202" s="1274">
        <v>92431</v>
      </c>
      <c r="H1202" s="1248"/>
      <c r="K1202" s="1248"/>
      <c r="P1202" s="1248"/>
    </row>
    <row r="1203" spans="1:16" x14ac:dyDescent="0.25">
      <c r="A1203" s="1274"/>
      <c r="B1203" s="1276" t="s">
        <v>4364</v>
      </c>
      <c r="C1203" s="1274">
        <v>97821</v>
      </c>
      <c r="H1203" s="1248"/>
      <c r="K1203" s="1248"/>
      <c r="P1203" s="1248"/>
    </row>
    <row r="1204" spans="1:16" x14ac:dyDescent="0.25">
      <c r="A1204" s="1274"/>
      <c r="B1204" s="1276" t="s">
        <v>3345</v>
      </c>
      <c r="C1204" s="1274">
        <v>97823</v>
      </c>
      <c r="H1204" s="1248"/>
      <c r="K1204" s="1248"/>
      <c r="P1204" s="1248"/>
    </row>
    <row r="1205" spans="1:16" x14ac:dyDescent="0.25">
      <c r="A1205" s="1274"/>
      <c r="B1205" s="1276" t="s">
        <v>4365</v>
      </c>
      <c r="C1205" s="1274">
        <v>93141</v>
      </c>
      <c r="H1205" s="1248"/>
      <c r="K1205" s="1248"/>
      <c r="P1205" s="1248"/>
    </row>
    <row r="1206" spans="1:16" x14ac:dyDescent="0.25">
      <c r="A1206" s="1274"/>
      <c r="B1206" s="1276" t="s">
        <v>4366</v>
      </c>
      <c r="C1206" s="1274">
        <v>98081</v>
      </c>
      <c r="H1206" s="1248"/>
      <c r="K1206" s="1248"/>
      <c r="P1206" s="1248"/>
    </row>
    <row r="1207" spans="1:16" x14ac:dyDescent="0.25">
      <c r="A1207" s="1274"/>
      <c r="B1207" s="1276" t="s">
        <v>4367</v>
      </c>
      <c r="C1207" s="1274">
        <v>92671</v>
      </c>
      <c r="H1207" s="1248"/>
      <c r="K1207" s="1248"/>
      <c r="P1207" s="1248"/>
    </row>
    <row r="1208" spans="1:16" x14ac:dyDescent="0.25">
      <c r="A1208" s="1274"/>
      <c r="B1208" s="1276" t="s">
        <v>4368</v>
      </c>
      <c r="C1208" s="1274">
        <v>97421</v>
      </c>
      <c r="H1208" s="1248"/>
      <c r="K1208" s="1248"/>
      <c r="P1208" s="1248"/>
    </row>
    <row r="1209" spans="1:16" x14ac:dyDescent="0.25">
      <c r="A1209" s="1274"/>
      <c r="B1209" s="1276" t="s">
        <v>3304</v>
      </c>
      <c r="C1209" s="1274">
        <v>97423</v>
      </c>
      <c r="H1209" s="1248"/>
      <c r="K1209" s="1248"/>
      <c r="P1209" s="1248"/>
    </row>
    <row r="1210" spans="1:16" x14ac:dyDescent="0.25">
      <c r="A1210" s="1274"/>
      <c r="B1210" s="1276" t="s">
        <v>4369</v>
      </c>
      <c r="C1210" s="1274">
        <v>92611</v>
      </c>
      <c r="H1210" s="1248"/>
      <c r="K1210" s="1248"/>
      <c r="P1210" s="1248"/>
    </row>
    <row r="1211" spans="1:16" x14ac:dyDescent="0.25">
      <c r="A1211" s="1274"/>
      <c r="B1211" s="1276" t="s">
        <v>4160</v>
      </c>
      <c r="C1211" s="1274">
        <v>92613</v>
      </c>
      <c r="H1211" s="1248"/>
      <c r="K1211" s="1248"/>
      <c r="P1211" s="1248"/>
    </row>
    <row r="1212" spans="1:16" x14ac:dyDescent="0.25">
      <c r="A1212" s="1274"/>
      <c r="B1212" s="1276" t="s">
        <v>4370</v>
      </c>
      <c r="C1212" s="1274">
        <v>92614</v>
      </c>
      <c r="H1212" s="1248"/>
      <c r="K1212" s="1248"/>
      <c r="P1212" s="1248"/>
    </row>
    <row r="1213" spans="1:16" x14ac:dyDescent="0.25">
      <c r="A1213" s="1274"/>
      <c r="B1213" s="1276" t="s">
        <v>2880</v>
      </c>
      <c r="C1213" s="1274">
        <v>92502</v>
      </c>
      <c r="H1213" s="1248"/>
      <c r="K1213" s="1248"/>
      <c r="P1213" s="1248"/>
    </row>
    <row r="1214" spans="1:16" x14ac:dyDescent="0.25">
      <c r="A1214" s="1274"/>
      <c r="B1214" s="1276" t="s">
        <v>4371</v>
      </c>
      <c r="C1214" s="1274">
        <v>94531</v>
      </c>
      <c r="H1214" s="1248"/>
      <c r="K1214" s="1248"/>
      <c r="P1214" s="1248"/>
    </row>
    <row r="1215" spans="1:16" x14ac:dyDescent="0.25">
      <c r="A1215" s="1274"/>
      <c r="B1215" s="1276" t="s">
        <v>4372</v>
      </c>
      <c r="C1215" s="1274">
        <v>94541</v>
      </c>
      <c r="H1215" s="1248"/>
      <c r="K1215" s="1248"/>
      <c r="P1215" s="1248"/>
    </row>
    <row r="1216" spans="1:16" x14ac:dyDescent="0.25">
      <c r="A1216" s="1274"/>
      <c r="B1216" s="1276" t="s">
        <v>3082</v>
      </c>
      <c r="C1216" s="1274">
        <v>94547</v>
      </c>
      <c r="H1216" s="1248"/>
      <c r="K1216" s="1248"/>
      <c r="P1216" s="1248"/>
    </row>
    <row r="1217" spans="1:16" x14ac:dyDescent="0.25">
      <c r="A1217" s="1274"/>
      <c r="B1217" s="1276" t="s">
        <v>3108</v>
      </c>
      <c r="C1217" s="1274">
        <v>95005</v>
      </c>
      <c r="H1217" s="1248"/>
      <c r="K1217" s="1248"/>
      <c r="P1217" s="1248"/>
    </row>
    <row r="1218" spans="1:16" x14ac:dyDescent="0.25">
      <c r="A1218" s="1274"/>
      <c r="B1218" s="1276" t="s">
        <v>4373</v>
      </c>
      <c r="C1218" s="1274">
        <v>98111</v>
      </c>
      <c r="H1218" s="1248"/>
      <c r="K1218" s="1248"/>
      <c r="P1218" s="1248"/>
    </row>
    <row r="1219" spans="1:16" x14ac:dyDescent="0.25">
      <c r="A1219" s="1274"/>
      <c r="B1219" s="1276" t="s">
        <v>3386</v>
      </c>
      <c r="C1219" s="1274">
        <v>98107</v>
      </c>
      <c r="H1219" s="1248"/>
      <c r="K1219" s="1248"/>
      <c r="P1219" s="1248"/>
    </row>
    <row r="1220" spans="1:16" x14ac:dyDescent="0.25">
      <c r="A1220" s="1274"/>
      <c r="B1220" s="1276" t="s">
        <v>3389</v>
      </c>
      <c r="C1220" s="1274">
        <v>98113</v>
      </c>
      <c r="H1220" s="1248"/>
      <c r="K1220" s="1248"/>
      <c r="P1220" s="1248"/>
    </row>
    <row r="1221" spans="1:16" x14ac:dyDescent="0.25">
      <c r="A1221" s="1274"/>
      <c r="B1221" s="1276" t="s">
        <v>3507</v>
      </c>
      <c r="C1221" s="1274">
        <v>99602</v>
      </c>
      <c r="H1221" s="1248"/>
      <c r="K1221" s="1248"/>
      <c r="P1221" s="1248"/>
    </row>
    <row r="1222" spans="1:16" x14ac:dyDescent="0.25">
      <c r="A1222" s="1274"/>
      <c r="B1222" s="1276" t="s">
        <v>2966</v>
      </c>
      <c r="C1222" s="1274">
        <v>93401</v>
      </c>
      <c r="H1222" s="1248"/>
      <c r="K1222" s="1248"/>
      <c r="P1222" s="1248"/>
    </row>
    <row r="1223" spans="1:16" x14ac:dyDescent="0.25">
      <c r="A1223" s="1274"/>
      <c r="B1223" s="1276" t="s">
        <v>4374</v>
      </c>
      <c r="C1223" s="1274">
        <v>97491</v>
      </c>
      <c r="H1223" s="1248"/>
      <c r="K1223" s="1248"/>
      <c r="P1223" s="1248"/>
    </row>
    <row r="1224" spans="1:16" x14ac:dyDescent="0.25">
      <c r="A1224" s="1274"/>
      <c r="B1224" s="1276" t="s">
        <v>4375</v>
      </c>
      <c r="C1224" s="1274">
        <v>95151</v>
      </c>
      <c r="H1224" s="1248"/>
      <c r="K1224" s="1248"/>
      <c r="P1224" s="1248"/>
    </row>
    <row r="1225" spans="1:16" x14ac:dyDescent="0.25">
      <c r="A1225" s="1274"/>
      <c r="B1225" s="1276" t="s">
        <v>3218</v>
      </c>
      <c r="C1225" s="1274">
        <v>96381</v>
      </c>
      <c r="H1225" s="1248"/>
      <c r="K1225" s="1248"/>
      <c r="P1225" s="1248"/>
    </row>
    <row r="1226" spans="1:16" x14ac:dyDescent="0.25">
      <c r="A1226" s="1274"/>
      <c r="B1226" s="1276" t="s">
        <v>2573</v>
      </c>
      <c r="C1226" s="1274">
        <v>95611</v>
      </c>
      <c r="H1226" s="1248"/>
      <c r="K1226" s="1248"/>
      <c r="P1226" s="1248"/>
    </row>
    <row r="1227" spans="1:16" x14ac:dyDescent="0.25">
      <c r="A1227" s="1274"/>
      <c r="B1227" s="1276" t="s">
        <v>2980</v>
      </c>
      <c r="C1227" s="1274">
        <v>93501</v>
      </c>
      <c r="H1227" s="1248"/>
      <c r="K1227" s="1248"/>
      <c r="P1227" s="1248"/>
    </row>
    <row r="1228" spans="1:16" x14ac:dyDescent="0.25">
      <c r="A1228" s="1274"/>
      <c r="B1228" s="1276" t="s">
        <v>4376</v>
      </c>
      <c r="C1228" s="1274">
        <v>93511</v>
      </c>
      <c r="H1228" s="1248"/>
      <c r="K1228" s="1248"/>
      <c r="P1228" s="1248"/>
    </row>
    <row r="1229" spans="1:16" x14ac:dyDescent="0.25">
      <c r="A1229" s="1274"/>
      <c r="B1229" s="1276" t="s">
        <v>2982</v>
      </c>
      <c r="C1229" s="1274">
        <v>93517</v>
      </c>
      <c r="H1229" s="1248"/>
      <c r="K1229" s="1248"/>
      <c r="P1229" s="1248"/>
    </row>
    <row r="1230" spans="1:16" x14ac:dyDescent="0.25">
      <c r="A1230" s="1274"/>
      <c r="B1230" s="1276" t="s">
        <v>4377</v>
      </c>
      <c r="C1230" s="1274">
        <v>99631</v>
      </c>
      <c r="H1230" s="1248"/>
      <c r="K1230" s="1248"/>
      <c r="P1230" s="1248"/>
    </row>
    <row r="1231" spans="1:16" x14ac:dyDescent="0.25">
      <c r="A1231" s="1274"/>
      <c r="B1231" s="1276" t="s">
        <v>4378</v>
      </c>
      <c r="C1231" s="1274">
        <v>99261</v>
      </c>
      <c r="H1231" s="1248"/>
      <c r="K1231" s="1248"/>
      <c r="P1231" s="1248"/>
    </row>
    <row r="1232" spans="1:16" x14ac:dyDescent="0.25">
      <c r="A1232" s="1274"/>
      <c r="B1232" s="1276" t="s">
        <v>4379</v>
      </c>
      <c r="C1232" s="1274">
        <v>98241</v>
      </c>
      <c r="H1232" s="1248"/>
      <c r="K1232" s="1248"/>
      <c r="P1232" s="1248"/>
    </row>
    <row r="1233" spans="1:16" x14ac:dyDescent="0.25">
      <c r="A1233" s="1274"/>
      <c r="B1233" s="1276" t="s">
        <v>4380</v>
      </c>
      <c r="C1233" s="1274">
        <v>99251</v>
      </c>
      <c r="H1233" s="1248"/>
      <c r="K1233" s="1248"/>
      <c r="P1233" s="1248"/>
    </row>
    <row r="1234" spans="1:16" x14ac:dyDescent="0.25">
      <c r="A1234" s="1274"/>
      <c r="B1234" s="1276" t="s">
        <v>3482</v>
      </c>
      <c r="C1234" s="1274">
        <v>99252</v>
      </c>
      <c r="H1234" s="1248"/>
      <c r="K1234" s="1248"/>
      <c r="P1234" s="1248"/>
    </row>
    <row r="1235" spans="1:16" x14ac:dyDescent="0.25">
      <c r="A1235" s="1274"/>
      <c r="B1235" s="1276" t="s">
        <v>4381</v>
      </c>
      <c r="C1235" s="1274">
        <v>96631</v>
      </c>
      <c r="H1235" s="1248"/>
      <c r="K1235" s="1248"/>
      <c r="P1235" s="1248"/>
    </row>
    <row r="1236" spans="1:16" x14ac:dyDescent="0.25">
      <c r="A1236" s="1274"/>
      <c r="B1236" s="1276" t="s">
        <v>2574</v>
      </c>
      <c r="C1236" s="1274">
        <v>96651</v>
      </c>
      <c r="H1236" s="1248"/>
      <c r="K1236" s="1248"/>
      <c r="P1236" s="1248"/>
    </row>
    <row r="1237" spans="1:16" x14ac:dyDescent="0.25">
      <c r="A1237" s="1274"/>
      <c r="B1237" s="1276" t="s">
        <v>2988</v>
      </c>
      <c r="C1237" s="1274">
        <v>93601</v>
      </c>
      <c r="H1237" s="1248"/>
      <c r="K1237" s="1248"/>
      <c r="P1237" s="1248"/>
    </row>
    <row r="1238" spans="1:16" x14ac:dyDescent="0.25">
      <c r="A1238" s="1274"/>
      <c r="B1238" s="1276" t="s">
        <v>2994</v>
      </c>
      <c r="C1238" s="1274">
        <v>93618</v>
      </c>
      <c r="H1238" s="1248"/>
      <c r="K1238" s="1248"/>
      <c r="P1238" s="1248"/>
    </row>
    <row r="1239" spans="1:16" x14ac:dyDescent="0.25">
      <c r="A1239" s="1274"/>
      <c r="B1239" s="1276" t="s">
        <v>4382</v>
      </c>
      <c r="C1239" s="1274">
        <v>93611</v>
      </c>
      <c r="H1239" s="1248"/>
      <c r="K1239" s="1248"/>
      <c r="P1239" s="1248"/>
    </row>
    <row r="1240" spans="1:16" x14ac:dyDescent="0.25">
      <c r="A1240" s="1274"/>
      <c r="B1240" s="1276" t="s">
        <v>2993</v>
      </c>
      <c r="C1240" s="1274">
        <v>93617</v>
      </c>
      <c r="H1240" s="1248"/>
      <c r="K1240" s="1248"/>
      <c r="P1240" s="1248"/>
    </row>
    <row r="1241" spans="1:16" x14ac:dyDescent="0.25">
      <c r="A1241" s="1274"/>
      <c r="B1241" s="1276" t="s">
        <v>3687</v>
      </c>
      <c r="C1241" s="1274">
        <v>93701</v>
      </c>
      <c r="H1241" s="1248"/>
      <c r="K1241" s="1248"/>
      <c r="P1241" s="1248"/>
    </row>
    <row r="1242" spans="1:16" x14ac:dyDescent="0.25">
      <c r="A1242" s="1274"/>
      <c r="B1242" s="1276" t="s">
        <v>3006</v>
      </c>
      <c r="C1242" s="1274">
        <v>93704</v>
      </c>
      <c r="H1242" s="1248"/>
      <c r="K1242" s="1248"/>
      <c r="P1242" s="1248"/>
    </row>
    <row r="1243" spans="1:16" x14ac:dyDescent="0.25">
      <c r="A1243" s="1274"/>
      <c r="B1243" s="1276" t="s">
        <v>4383</v>
      </c>
      <c r="C1243" s="1274">
        <v>98331</v>
      </c>
      <c r="H1243" s="1248"/>
      <c r="K1243" s="1248"/>
      <c r="P1243" s="1248"/>
    </row>
    <row r="1244" spans="1:16" x14ac:dyDescent="0.25">
      <c r="A1244" s="1274"/>
      <c r="B1244" s="1276" t="s">
        <v>4384</v>
      </c>
      <c r="C1244" s="1274">
        <v>94151</v>
      </c>
      <c r="H1244" s="1248"/>
      <c r="K1244" s="1248"/>
      <c r="P1244" s="1248"/>
    </row>
    <row r="1245" spans="1:16" x14ac:dyDescent="0.25">
      <c r="A1245" s="1274"/>
      <c r="B1245" s="1276" t="s">
        <v>3040</v>
      </c>
      <c r="C1245" s="1274">
        <v>94157</v>
      </c>
      <c r="H1245" s="1248"/>
      <c r="K1245" s="1248"/>
      <c r="P1245" s="1248"/>
    </row>
    <row r="1246" spans="1:16" x14ac:dyDescent="0.25">
      <c r="A1246" s="1274"/>
      <c r="B1246" s="1276" t="s">
        <v>4385</v>
      </c>
      <c r="C1246" s="1274">
        <v>91241</v>
      </c>
      <c r="H1246" s="1248"/>
      <c r="K1246" s="1248"/>
      <c r="P1246" s="1248"/>
    </row>
    <row r="1247" spans="1:16" x14ac:dyDescent="0.25">
      <c r="A1247" s="1274"/>
      <c r="B1247" s="1276" t="s">
        <v>3144</v>
      </c>
      <c r="C1247" s="1274">
        <v>95412</v>
      </c>
      <c r="H1247" s="1248"/>
      <c r="K1247" s="1248"/>
      <c r="P1247" s="1248"/>
    </row>
    <row r="1248" spans="1:16" x14ac:dyDescent="0.25">
      <c r="A1248" s="1274"/>
      <c r="B1248" s="1276" t="s">
        <v>4386</v>
      </c>
      <c r="C1248" s="1274">
        <v>99611</v>
      </c>
      <c r="H1248" s="1248"/>
      <c r="K1248" s="1248"/>
      <c r="P1248" s="1248"/>
    </row>
    <row r="1249" spans="1:16" x14ac:dyDescent="0.25">
      <c r="A1249" s="1274"/>
      <c r="B1249" s="1276" t="s">
        <v>4387</v>
      </c>
      <c r="C1249" s="1274">
        <v>99613</v>
      </c>
      <c r="H1249" s="1248"/>
      <c r="K1249" s="1248"/>
      <c r="P1249" s="1248"/>
    </row>
    <row r="1250" spans="1:16" x14ac:dyDescent="0.25">
      <c r="A1250" s="1274"/>
      <c r="B1250" s="1276" t="s">
        <v>2844</v>
      </c>
      <c r="C1250" s="1274">
        <v>91908</v>
      </c>
      <c r="H1250" s="1248"/>
      <c r="K1250" s="1248"/>
      <c r="P1250" s="1248"/>
    </row>
    <row r="1251" spans="1:16" x14ac:dyDescent="0.25">
      <c r="A1251" s="1274"/>
      <c r="B1251" s="1276" t="s">
        <v>2576</v>
      </c>
      <c r="C1251" s="1274">
        <v>90121</v>
      </c>
      <c r="H1251" s="1248"/>
      <c r="K1251" s="1248"/>
      <c r="P1251" s="1248"/>
    </row>
    <row r="1252" spans="1:16" x14ac:dyDescent="0.25">
      <c r="A1252" s="1274"/>
      <c r="B1252" s="1276" t="s">
        <v>3008</v>
      </c>
      <c r="C1252" s="1274">
        <v>93803</v>
      </c>
      <c r="H1252" s="1248"/>
      <c r="K1252" s="1248"/>
      <c r="P1252" s="1248"/>
    </row>
    <row r="1253" spans="1:16" x14ac:dyDescent="0.25">
      <c r="A1253" s="1274"/>
      <c r="B1253" s="1276" t="s">
        <v>3007</v>
      </c>
      <c r="C1253" s="1274">
        <v>93801</v>
      </c>
      <c r="H1253" s="1248"/>
      <c r="K1253" s="1248"/>
      <c r="P1253" s="1248"/>
    </row>
    <row r="1254" spans="1:16" x14ac:dyDescent="0.25">
      <c r="A1254" s="1274"/>
      <c r="B1254" s="1276" t="s">
        <v>3009</v>
      </c>
      <c r="C1254" s="1274">
        <v>93806</v>
      </c>
      <c r="H1254" s="1248"/>
      <c r="K1254" s="1248"/>
      <c r="P1254" s="1248"/>
    </row>
    <row r="1255" spans="1:16" x14ac:dyDescent="0.25">
      <c r="A1255" s="1274"/>
      <c r="B1255" s="1276" t="s">
        <v>4388</v>
      </c>
      <c r="C1255" s="1274">
        <v>91411</v>
      </c>
      <c r="H1255" s="1248"/>
      <c r="K1255" s="1248"/>
      <c r="P1255" s="1248"/>
    </row>
    <row r="1256" spans="1:16" x14ac:dyDescent="0.25">
      <c r="A1256" s="1274"/>
      <c r="B1256" s="1276" t="s">
        <v>2800</v>
      </c>
      <c r="C1256" s="1274">
        <v>91417</v>
      </c>
      <c r="H1256" s="1248"/>
      <c r="K1256" s="1248"/>
      <c r="P1256" s="1248"/>
    </row>
    <row r="1257" spans="1:16" x14ac:dyDescent="0.25">
      <c r="A1257" s="1274"/>
      <c r="B1257" s="1276" t="s">
        <v>4389</v>
      </c>
      <c r="C1257" s="1274">
        <v>98061</v>
      </c>
      <c r="H1257" s="1248"/>
      <c r="K1257" s="1248"/>
      <c r="P1257" s="1248"/>
    </row>
    <row r="1258" spans="1:16" x14ac:dyDescent="0.25">
      <c r="A1258" s="1274"/>
      <c r="B1258" s="1276" t="s">
        <v>4390</v>
      </c>
      <c r="C1258" s="1274">
        <v>93904</v>
      </c>
      <c r="H1258" s="1248"/>
      <c r="K1258" s="1248"/>
      <c r="P1258" s="1248"/>
    </row>
    <row r="1259" spans="1:16" x14ac:dyDescent="0.25">
      <c r="A1259" s="1274"/>
      <c r="B1259" s="1276" t="s">
        <v>3011</v>
      </c>
      <c r="C1259" s="1274">
        <v>93901</v>
      </c>
      <c r="H1259" s="1248"/>
      <c r="K1259" s="1248"/>
      <c r="P1259" s="1248"/>
    </row>
    <row r="1260" spans="1:16" x14ac:dyDescent="0.25">
      <c r="A1260" s="1274"/>
      <c r="B1260" s="1276" t="s">
        <v>3013</v>
      </c>
      <c r="C1260" s="1274">
        <v>93906</v>
      </c>
      <c r="H1260" s="1248"/>
      <c r="K1260" s="1248"/>
      <c r="P1260" s="1248"/>
    </row>
    <row r="1261" spans="1:16" x14ac:dyDescent="0.25">
      <c r="A1261" s="1274"/>
      <c r="B1261" s="1276" t="s">
        <v>3688</v>
      </c>
      <c r="C1261" s="1274">
        <v>93908</v>
      </c>
      <c r="H1261" s="1248"/>
      <c r="K1261" s="1248"/>
      <c r="P1261" s="1248"/>
    </row>
    <row r="1262" spans="1:16" x14ac:dyDescent="0.25">
      <c r="A1262" s="1274"/>
      <c r="B1262" s="1276" t="s">
        <v>3098</v>
      </c>
      <c r="C1262" s="1274">
        <v>94908</v>
      </c>
      <c r="H1262" s="1248"/>
      <c r="K1262" s="1248"/>
      <c r="P1262" s="1248"/>
    </row>
    <row r="1263" spans="1:16" x14ac:dyDescent="0.25">
      <c r="A1263" s="1274"/>
      <c r="B1263" s="1276" t="s">
        <v>4391</v>
      </c>
      <c r="C1263" s="1274">
        <v>90161</v>
      </c>
      <c r="H1263" s="1248"/>
      <c r="K1263" s="1248"/>
      <c r="P1263" s="1248"/>
    </row>
    <row r="1264" spans="1:16" x14ac:dyDescent="0.25">
      <c r="A1264" s="1274"/>
      <c r="B1264" s="1276" t="s">
        <v>3021</v>
      </c>
      <c r="C1264" s="1274">
        <v>94001</v>
      </c>
      <c r="H1264" s="1248"/>
      <c r="K1264" s="1248"/>
      <c r="P1264" s="1248"/>
    </row>
    <row r="1265" spans="1:16" x14ac:dyDescent="0.25">
      <c r="A1265" s="1274"/>
      <c r="B1265" s="1276" t="s">
        <v>3023</v>
      </c>
      <c r="C1265" s="1274">
        <v>94004</v>
      </c>
      <c r="H1265" s="1248"/>
      <c r="K1265" s="1248"/>
      <c r="P1265" s="1248"/>
    </row>
    <row r="1266" spans="1:16" x14ac:dyDescent="0.25">
      <c r="A1266" s="1274"/>
      <c r="B1266" s="1276" t="s">
        <v>4392</v>
      </c>
      <c r="C1266" s="1274">
        <v>94111</v>
      </c>
      <c r="H1266" s="1248"/>
      <c r="K1266" s="1248"/>
      <c r="P1266" s="1248"/>
    </row>
    <row r="1267" spans="1:16" x14ac:dyDescent="0.25">
      <c r="A1267" s="1274"/>
      <c r="B1267" s="1276" t="s">
        <v>4176</v>
      </c>
      <c r="C1267" s="1274">
        <v>94117</v>
      </c>
      <c r="H1267" s="1248"/>
      <c r="K1267" s="1248"/>
      <c r="P1267" s="1248"/>
    </row>
    <row r="1268" spans="1:16" x14ac:dyDescent="0.25">
      <c r="A1268" s="1274"/>
      <c r="B1268" s="1276" t="s">
        <v>4393</v>
      </c>
      <c r="C1268" s="1274">
        <v>97411</v>
      </c>
      <c r="H1268" s="1248"/>
      <c r="K1268" s="1248"/>
      <c r="P1268" s="1248"/>
    </row>
    <row r="1269" spans="1:16" x14ac:dyDescent="0.25">
      <c r="A1269" s="1274"/>
      <c r="B1269" s="1276" t="s">
        <v>3302</v>
      </c>
      <c r="C1269" s="1274">
        <v>97413</v>
      </c>
      <c r="H1269" s="1248"/>
      <c r="K1269" s="1248"/>
      <c r="P1269" s="1248"/>
    </row>
    <row r="1270" spans="1:16" x14ac:dyDescent="0.25">
      <c r="A1270" s="1274"/>
      <c r="B1270" s="1276" t="s">
        <v>3301</v>
      </c>
      <c r="C1270" s="1274">
        <v>97412</v>
      </c>
      <c r="H1270" s="1248"/>
      <c r="K1270" s="1248"/>
      <c r="P1270" s="1248"/>
    </row>
    <row r="1271" spans="1:16" x14ac:dyDescent="0.25">
      <c r="A1271" s="1274"/>
      <c r="B1271" s="1276" t="s">
        <v>4394</v>
      </c>
      <c r="C1271" s="1274">
        <v>97431</v>
      </c>
      <c r="H1271" s="1248"/>
      <c r="K1271" s="1248"/>
      <c r="P1271" s="1248"/>
    </row>
    <row r="1272" spans="1:16" x14ac:dyDescent="0.25">
      <c r="A1272" s="1274"/>
      <c r="B1272" s="1276" t="s">
        <v>4395</v>
      </c>
      <c r="C1272" s="1274">
        <v>97471</v>
      </c>
      <c r="H1272" s="1248"/>
      <c r="K1272" s="1248"/>
      <c r="P1272" s="1248"/>
    </row>
    <row r="1273" spans="1:16" x14ac:dyDescent="0.25">
      <c r="A1273" s="1274"/>
      <c r="B1273" s="1276" t="s">
        <v>4396</v>
      </c>
      <c r="C1273" s="1274">
        <v>92351</v>
      </c>
      <c r="H1273" s="1248"/>
      <c r="K1273" s="1248"/>
      <c r="P1273" s="1248"/>
    </row>
    <row r="1274" spans="1:16" x14ac:dyDescent="0.25">
      <c r="A1274" s="1274"/>
      <c r="B1274" s="1276" t="s">
        <v>3028</v>
      </c>
      <c r="C1274" s="1274">
        <v>94101</v>
      </c>
      <c r="H1274" s="1248"/>
      <c r="K1274" s="1248"/>
      <c r="P1274" s="1248"/>
    </row>
    <row r="1275" spans="1:16" x14ac:dyDescent="0.25">
      <c r="A1275" s="1274"/>
      <c r="B1275" s="1276" t="s">
        <v>3035</v>
      </c>
      <c r="C1275" s="1274">
        <v>94118</v>
      </c>
      <c r="H1275" s="1248"/>
      <c r="K1275" s="1248"/>
      <c r="P1275" s="1248"/>
    </row>
    <row r="1276" spans="1:16" x14ac:dyDescent="0.25">
      <c r="A1276" s="1274"/>
      <c r="B1276" s="1276" t="s">
        <v>3029</v>
      </c>
      <c r="C1276" s="1274">
        <v>94102</v>
      </c>
      <c r="H1276" s="1248"/>
      <c r="K1276" s="1248"/>
      <c r="P1276" s="1248"/>
    </row>
    <row r="1277" spans="1:16" x14ac:dyDescent="0.25">
      <c r="A1277" s="1274"/>
      <c r="B1277" s="1276" t="s">
        <v>3045</v>
      </c>
      <c r="C1277" s="1274">
        <v>94201</v>
      </c>
      <c r="H1277" s="1248"/>
      <c r="K1277" s="1248"/>
      <c r="P1277" s="1248"/>
    </row>
    <row r="1278" spans="1:16" x14ac:dyDescent="0.25">
      <c r="A1278" s="1274"/>
      <c r="B1278" s="1276" t="s">
        <v>3046</v>
      </c>
      <c r="C1278" s="1274">
        <v>94204</v>
      </c>
      <c r="H1278" s="1248"/>
      <c r="K1278" s="1248"/>
      <c r="P1278" s="1248"/>
    </row>
    <row r="1279" spans="1:16" x14ac:dyDescent="0.25">
      <c r="A1279" s="1274"/>
      <c r="B1279" s="1276" t="s">
        <v>3047</v>
      </c>
      <c r="C1279" s="1274">
        <v>94205</v>
      </c>
      <c r="H1279" s="1248"/>
      <c r="K1279" s="1248"/>
      <c r="P1279" s="1248"/>
    </row>
    <row r="1280" spans="1:16" x14ac:dyDescent="0.25">
      <c r="A1280" s="1274"/>
      <c r="B1280" s="1276" t="s">
        <v>4397</v>
      </c>
      <c r="C1280" s="1274">
        <v>95831</v>
      </c>
      <c r="H1280" s="1248"/>
      <c r="K1280" s="1248"/>
      <c r="P1280" s="1248"/>
    </row>
    <row r="1281" spans="1:16" x14ac:dyDescent="0.25">
      <c r="A1281" s="1274"/>
      <c r="B1281" s="1276" t="s">
        <v>4398</v>
      </c>
      <c r="C1281" s="1274">
        <v>97721</v>
      </c>
      <c r="H1281" s="1248"/>
      <c r="K1281" s="1248"/>
      <c r="P1281" s="1248"/>
    </row>
    <row r="1282" spans="1:16" x14ac:dyDescent="0.25">
      <c r="A1282" s="1274"/>
      <c r="B1282" s="1276" t="s">
        <v>3333</v>
      </c>
      <c r="C1282" s="1274">
        <v>97717</v>
      </c>
      <c r="H1282" s="1248"/>
      <c r="K1282" s="1248"/>
      <c r="P1282" s="1248"/>
    </row>
    <row r="1283" spans="1:16" x14ac:dyDescent="0.25">
      <c r="A1283" s="1274"/>
      <c r="B1283" s="1276" t="s">
        <v>3055</v>
      </c>
      <c r="C1283" s="1274">
        <v>94301</v>
      </c>
      <c r="H1283" s="1248"/>
      <c r="K1283" s="1248"/>
      <c r="P1283" s="1248"/>
    </row>
    <row r="1284" spans="1:16" x14ac:dyDescent="0.25">
      <c r="A1284" s="1274"/>
      <c r="B1284" s="1276" t="s">
        <v>4399</v>
      </c>
      <c r="C1284" s="1274">
        <v>91441</v>
      </c>
      <c r="H1284" s="1248"/>
      <c r="K1284" s="1248"/>
      <c r="P1284" s="1248"/>
    </row>
    <row r="1285" spans="1:16" x14ac:dyDescent="0.25">
      <c r="A1285" s="1274"/>
      <c r="B1285" s="1276" t="s">
        <v>4400</v>
      </c>
      <c r="C1285" s="1274">
        <v>92531</v>
      </c>
      <c r="H1285" s="1248"/>
      <c r="K1285" s="1248"/>
      <c r="P1285" s="1248"/>
    </row>
    <row r="1286" spans="1:16" x14ac:dyDescent="0.25">
      <c r="A1286" s="1274"/>
      <c r="B1286" s="1276" t="s">
        <v>4401</v>
      </c>
      <c r="C1286" s="1274">
        <v>90141</v>
      </c>
      <c r="H1286" s="1248"/>
      <c r="K1286" s="1248"/>
      <c r="P1286" s="1248"/>
    </row>
    <row r="1287" spans="1:16" x14ac:dyDescent="0.25">
      <c r="A1287" s="1274"/>
      <c r="B1287" s="1276" t="s">
        <v>3689</v>
      </c>
      <c r="C1287" s="1274">
        <v>94401</v>
      </c>
      <c r="H1287" s="1248"/>
      <c r="K1287" s="1248"/>
      <c r="P1287" s="1248"/>
    </row>
    <row r="1288" spans="1:16" x14ac:dyDescent="0.25">
      <c r="A1288" s="1274"/>
      <c r="B1288" s="1276" t="s">
        <v>3690</v>
      </c>
      <c r="C1288" s="1274">
        <v>94403</v>
      </c>
      <c r="H1288" s="1248"/>
      <c r="K1288" s="1248"/>
      <c r="P1288" s="1248"/>
    </row>
    <row r="1289" spans="1:16" x14ac:dyDescent="0.25">
      <c r="A1289" s="1274"/>
      <c r="B1289" s="1276" t="s">
        <v>3064</v>
      </c>
      <c r="C1289" s="1274">
        <v>94402</v>
      </c>
      <c r="H1289" s="1248"/>
      <c r="K1289" s="1248"/>
      <c r="P1289" s="1248"/>
    </row>
    <row r="1290" spans="1:16" x14ac:dyDescent="0.25">
      <c r="A1290" s="1274"/>
      <c r="B1290" s="1276" t="s">
        <v>2583</v>
      </c>
      <c r="C1290" s="1274">
        <v>99111</v>
      </c>
      <c r="H1290" s="1248"/>
      <c r="K1290" s="1248"/>
      <c r="P1290" s="1248"/>
    </row>
    <row r="1291" spans="1:16" x14ac:dyDescent="0.25">
      <c r="A1291" s="1274"/>
      <c r="B1291" s="1276" t="s">
        <v>4402</v>
      </c>
      <c r="C1291" s="1274">
        <v>94501</v>
      </c>
      <c r="H1291" s="1248"/>
      <c r="K1291" s="1248"/>
      <c r="P1291" s="1248"/>
    </row>
    <row r="1292" spans="1:16" x14ac:dyDescent="0.25">
      <c r="A1292" s="1274"/>
      <c r="B1292" s="1276" t="s">
        <v>4403</v>
      </c>
      <c r="C1292" s="1274">
        <v>94511</v>
      </c>
      <c r="H1292" s="1248"/>
      <c r="K1292" s="1248"/>
      <c r="P1292" s="1248"/>
    </row>
    <row r="1293" spans="1:16" x14ac:dyDescent="0.25">
      <c r="A1293" s="1274"/>
      <c r="B1293" s="1276" t="s">
        <v>4179</v>
      </c>
      <c r="C1293" s="1274">
        <v>94517</v>
      </c>
      <c r="H1293" s="1248"/>
      <c r="K1293" s="1248"/>
      <c r="P1293" s="1248"/>
    </row>
    <row r="1294" spans="1:16" x14ac:dyDescent="0.25">
      <c r="A1294" s="1274"/>
      <c r="B1294" s="1276" t="s">
        <v>3075</v>
      </c>
      <c r="C1294" s="1274">
        <v>94512</v>
      </c>
      <c r="H1294" s="1248"/>
      <c r="K1294" s="1248"/>
      <c r="P1294" s="1248"/>
    </row>
    <row r="1295" spans="1:16" x14ac:dyDescent="0.25">
      <c r="A1295" s="1274"/>
      <c r="B1295" s="1276" t="s">
        <v>2584</v>
      </c>
      <c r="C1295" s="1274">
        <v>97211</v>
      </c>
      <c r="H1295" s="1248"/>
      <c r="K1295" s="1248"/>
      <c r="P1295" s="1248"/>
    </row>
    <row r="1296" spans="1:16" x14ac:dyDescent="0.25">
      <c r="A1296" s="1274"/>
      <c r="B1296" s="1276" t="s">
        <v>4404</v>
      </c>
      <c r="C1296" s="1274">
        <v>97217</v>
      </c>
      <c r="H1296" s="1248"/>
      <c r="K1296" s="1248"/>
      <c r="P1296" s="1248"/>
    </row>
    <row r="1297" spans="1:16" x14ac:dyDescent="0.25">
      <c r="A1297" s="1274"/>
      <c r="B1297" s="1276" t="s">
        <v>3084</v>
      </c>
      <c r="C1297" s="1274">
        <v>94601</v>
      </c>
      <c r="H1297" s="1248"/>
      <c r="K1297" s="1248"/>
      <c r="P1297" s="1248"/>
    </row>
    <row r="1298" spans="1:16" x14ac:dyDescent="0.25">
      <c r="A1298" s="1274"/>
      <c r="B1298" s="1276" t="s">
        <v>3085</v>
      </c>
      <c r="C1298" s="1274">
        <v>94604</v>
      </c>
      <c r="H1298" s="1248"/>
      <c r="K1298" s="1248"/>
      <c r="P1298" s="1248"/>
    </row>
    <row r="1299" spans="1:16" x14ac:dyDescent="0.25">
      <c r="A1299" s="1274"/>
      <c r="B1299" s="1276" t="s">
        <v>3086</v>
      </c>
      <c r="C1299" s="1274">
        <v>94606</v>
      </c>
      <c r="H1299" s="1248"/>
      <c r="K1299" s="1248"/>
      <c r="P1299" s="1248"/>
    </row>
    <row r="1300" spans="1:16" x14ac:dyDescent="0.25">
      <c r="A1300" s="1274"/>
      <c r="B1300" s="1276" t="s">
        <v>4200</v>
      </c>
      <c r="C1300" s="1274">
        <v>97213</v>
      </c>
      <c r="H1300" s="1248"/>
      <c r="K1300" s="1248"/>
      <c r="P1300" s="1248"/>
    </row>
    <row r="1301" spans="1:16" x14ac:dyDescent="0.25">
      <c r="A1301" s="1274"/>
      <c r="B1301" s="1276" t="s">
        <v>4405</v>
      </c>
      <c r="C1301" s="1274">
        <v>91811</v>
      </c>
      <c r="H1301" s="1248"/>
      <c r="K1301" s="1248"/>
      <c r="P1301" s="1248"/>
    </row>
    <row r="1302" spans="1:16" x14ac:dyDescent="0.25">
      <c r="A1302" s="1274"/>
      <c r="B1302" s="1276" t="s">
        <v>4406</v>
      </c>
      <c r="C1302" s="1274">
        <v>91812</v>
      </c>
      <c r="H1302" s="1248"/>
      <c r="K1302" s="1248"/>
      <c r="P1302" s="1248"/>
    </row>
    <row r="1303" spans="1:16" x14ac:dyDescent="0.25">
      <c r="A1303" s="1274"/>
      <c r="B1303" s="1276" t="s">
        <v>2831</v>
      </c>
      <c r="C1303" s="1274">
        <v>91813</v>
      </c>
      <c r="H1303" s="1248"/>
      <c r="K1303" s="1248"/>
      <c r="P1303" s="1248"/>
    </row>
    <row r="1304" spans="1:16" x14ac:dyDescent="0.25">
      <c r="A1304" s="1274"/>
      <c r="B1304" s="1276" t="s">
        <v>2696</v>
      </c>
      <c r="C1304" s="1274">
        <v>90617</v>
      </c>
      <c r="H1304" s="1248"/>
      <c r="K1304" s="1248"/>
      <c r="P1304" s="1248"/>
    </row>
    <row r="1305" spans="1:16" x14ac:dyDescent="0.25">
      <c r="A1305" s="1274"/>
      <c r="B1305" s="1276" t="s">
        <v>4407</v>
      </c>
      <c r="C1305" s="1274">
        <v>94121</v>
      </c>
      <c r="H1305" s="1248"/>
      <c r="K1305" s="1248"/>
      <c r="P1305" s="1248"/>
    </row>
    <row r="1306" spans="1:16" x14ac:dyDescent="0.25">
      <c r="A1306" s="1274"/>
      <c r="B1306" s="1276" t="s">
        <v>4177</v>
      </c>
      <c r="C1306" s="1274">
        <v>94127</v>
      </c>
      <c r="H1306" s="1248"/>
      <c r="K1306" s="1248"/>
      <c r="P1306" s="1248"/>
    </row>
    <row r="1307" spans="1:16" x14ac:dyDescent="0.25">
      <c r="A1307" s="1274"/>
      <c r="B1307" s="1276" t="s">
        <v>4408</v>
      </c>
      <c r="C1307" s="1274">
        <v>95621</v>
      </c>
      <c r="H1307" s="1248"/>
      <c r="K1307" s="1248"/>
      <c r="P1307" s="1248"/>
    </row>
    <row r="1308" spans="1:16" x14ac:dyDescent="0.25">
      <c r="A1308" s="1274"/>
      <c r="B1308" s="1276" t="s">
        <v>3156</v>
      </c>
      <c r="C1308" s="1274">
        <v>95617</v>
      </c>
      <c r="H1308" s="1248"/>
      <c r="K1308" s="1248"/>
      <c r="P1308" s="1248"/>
    </row>
    <row r="1309" spans="1:16" x14ac:dyDescent="0.25">
      <c r="A1309" s="1274"/>
      <c r="B1309" s="1276" t="s">
        <v>4409</v>
      </c>
      <c r="C1309" s="1274">
        <v>91251</v>
      </c>
      <c r="H1309" s="1248"/>
      <c r="K1309" s="1248"/>
      <c r="P1309" s="1248"/>
    </row>
    <row r="1310" spans="1:16" x14ac:dyDescent="0.25">
      <c r="A1310" s="1274"/>
      <c r="B1310" s="1276" t="s">
        <v>4410</v>
      </c>
      <c r="C1310" s="1274">
        <v>96831</v>
      </c>
      <c r="H1310" s="1248"/>
      <c r="K1310" s="1248"/>
      <c r="P1310" s="1248"/>
    </row>
    <row r="1311" spans="1:16" x14ac:dyDescent="0.25">
      <c r="A1311" s="1274"/>
      <c r="B1311" s="1276" t="s">
        <v>4411</v>
      </c>
      <c r="C1311" s="1274">
        <v>94251</v>
      </c>
      <c r="H1311" s="1248"/>
      <c r="K1311" s="1248"/>
      <c r="P1311" s="1248"/>
    </row>
    <row r="1312" spans="1:16" x14ac:dyDescent="0.25">
      <c r="A1312" s="1274"/>
      <c r="B1312" s="1276" t="s">
        <v>3091</v>
      </c>
      <c r="C1312" s="1274">
        <v>94701</v>
      </c>
      <c r="H1312" s="1248"/>
      <c r="K1312" s="1248"/>
      <c r="P1312" s="1248"/>
    </row>
    <row r="1313" spans="1:16" x14ac:dyDescent="0.25">
      <c r="A1313" s="1274"/>
      <c r="B1313" s="1276" t="s">
        <v>3092</v>
      </c>
      <c r="C1313" s="1274">
        <v>94704</v>
      </c>
      <c r="H1313" s="1248"/>
      <c r="K1313" s="1248"/>
      <c r="P1313" s="1248"/>
    </row>
    <row r="1314" spans="1:16" x14ac:dyDescent="0.25">
      <c r="A1314" s="1274"/>
      <c r="B1314" s="1276" t="s">
        <v>4412</v>
      </c>
      <c r="C1314" s="1274">
        <v>91014</v>
      </c>
      <c r="H1314" s="1248"/>
      <c r="K1314" s="1248"/>
      <c r="P1314" s="1248"/>
    </row>
    <row r="1315" spans="1:16" x14ac:dyDescent="0.25">
      <c r="A1315" s="1274"/>
      <c r="B1315" s="1276" t="s">
        <v>4413</v>
      </c>
      <c r="C1315" s="1274">
        <v>96731</v>
      </c>
      <c r="H1315" s="1248"/>
      <c r="K1315" s="1248"/>
      <c r="P1315" s="1248"/>
    </row>
    <row r="1316" spans="1:16" x14ac:dyDescent="0.25">
      <c r="A1316" s="1274"/>
      <c r="B1316" s="1276" t="s">
        <v>3258</v>
      </c>
      <c r="C1316" s="1274">
        <v>96733</v>
      </c>
      <c r="H1316" s="1248"/>
      <c r="K1316" s="1248"/>
      <c r="P1316" s="1248"/>
    </row>
    <row r="1317" spans="1:16" x14ac:dyDescent="0.25">
      <c r="A1317" s="1274"/>
      <c r="B1317" s="1276" t="s">
        <v>4414</v>
      </c>
      <c r="C1317" s="1274">
        <v>99202</v>
      </c>
      <c r="H1317" s="1248"/>
      <c r="K1317" s="1248"/>
      <c r="P1317" s="1248"/>
    </row>
    <row r="1318" spans="1:16" x14ac:dyDescent="0.25">
      <c r="A1318" s="1274"/>
      <c r="B1318" s="1276" t="s">
        <v>4415</v>
      </c>
      <c r="C1318" s="1274">
        <v>94011</v>
      </c>
      <c r="H1318" s="1248"/>
      <c r="K1318" s="1248"/>
      <c r="P1318" s="1248"/>
    </row>
    <row r="1319" spans="1:16" x14ac:dyDescent="0.25">
      <c r="A1319" s="1274"/>
      <c r="B1319" s="1276" t="s">
        <v>4416</v>
      </c>
      <c r="C1319" s="1274">
        <v>92631</v>
      </c>
      <c r="H1319" s="1248"/>
      <c r="K1319" s="1248"/>
      <c r="P1319" s="1248"/>
    </row>
    <row r="1320" spans="1:16" x14ac:dyDescent="0.25">
      <c r="A1320" s="1274"/>
      <c r="B1320" s="1276" t="s">
        <v>3161</v>
      </c>
      <c r="C1320" s="1274">
        <v>95733</v>
      </c>
      <c r="H1320" s="1248"/>
      <c r="K1320" s="1248"/>
      <c r="P1320" s="1248"/>
    </row>
    <row r="1321" spans="1:16" x14ac:dyDescent="0.25">
      <c r="A1321" s="1274"/>
      <c r="B1321" s="1276" t="s">
        <v>4417</v>
      </c>
      <c r="C1321" s="1274">
        <v>91431</v>
      </c>
      <c r="H1321" s="1248"/>
      <c r="K1321" s="1248"/>
      <c r="P1321" s="1248"/>
    </row>
    <row r="1322" spans="1:16" x14ac:dyDescent="0.25">
      <c r="A1322" s="1274"/>
      <c r="B1322" s="1276" t="s">
        <v>4418</v>
      </c>
      <c r="C1322" s="1274">
        <v>96041</v>
      </c>
      <c r="H1322" s="1248"/>
      <c r="K1322" s="1248"/>
      <c r="P1322" s="1248"/>
    </row>
    <row r="1323" spans="1:16" x14ac:dyDescent="0.25">
      <c r="A1323" s="1274"/>
      <c r="B1323" s="1276" t="s">
        <v>3094</v>
      </c>
      <c r="C1323" s="1274">
        <v>94801</v>
      </c>
      <c r="H1323" s="1248"/>
      <c r="K1323" s="1248"/>
      <c r="P1323" s="1248"/>
    </row>
    <row r="1324" spans="1:16" x14ac:dyDescent="0.25">
      <c r="A1324" s="1274"/>
      <c r="B1324" s="1276" t="s">
        <v>3095</v>
      </c>
      <c r="C1324" s="1274">
        <v>94804</v>
      </c>
      <c r="H1324" s="1248"/>
      <c r="K1324" s="1248"/>
      <c r="P1324" s="1248"/>
    </row>
    <row r="1325" spans="1:16" x14ac:dyDescent="0.25">
      <c r="A1325" s="1274"/>
      <c r="B1325" s="1276" t="s">
        <v>4419</v>
      </c>
      <c r="C1325" s="1274">
        <v>91661</v>
      </c>
      <c r="H1325" s="1248"/>
      <c r="K1325" s="1248"/>
      <c r="P1325" s="1248"/>
    </row>
    <row r="1326" spans="1:16" x14ac:dyDescent="0.25">
      <c r="A1326" s="1274"/>
      <c r="B1326" s="1276" t="s">
        <v>4420</v>
      </c>
      <c r="C1326" s="1274">
        <v>99051</v>
      </c>
      <c r="H1326" s="1248"/>
      <c r="K1326" s="1248"/>
      <c r="P1326" s="1248"/>
    </row>
    <row r="1327" spans="1:16" x14ac:dyDescent="0.25">
      <c r="A1327" s="1274"/>
      <c r="B1327" s="1276" t="s">
        <v>3449</v>
      </c>
      <c r="C1327" s="1274">
        <v>99014</v>
      </c>
      <c r="H1327" s="1248"/>
      <c r="K1327" s="1248"/>
      <c r="P1327" s="1248"/>
    </row>
    <row r="1328" spans="1:16" x14ac:dyDescent="0.25">
      <c r="A1328" s="1274"/>
      <c r="B1328" s="1276" t="s">
        <v>3097</v>
      </c>
      <c r="C1328" s="1274">
        <v>94901</v>
      </c>
      <c r="H1328" s="1248"/>
      <c r="K1328" s="1248"/>
      <c r="P1328" s="1248"/>
    </row>
    <row r="1329" spans="1:16" x14ac:dyDescent="0.25">
      <c r="A1329" s="1274"/>
      <c r="B1329" s="1276" t="s">
        <v>3387</v>
      </c>
      <c r="C1329" s="1274">
        <v>98109</v>
      </c>
      <c r="H1329" s="1248"/>
      <c r="K1329" s="1248"/>
      <c r="P1329" s="1248"/>
    </row>
    <row r="1330" spans="1:16" x14ac:dyDescent="0.25">
      <c r="A1330" s="1274"/>
      <c r="B1330" s="1276" t="s">
        <v>4215</v>
      </c>
      <c r="C1330" s="1274">
        <v>98205</v>
      </c>
      <c r="H1330" s="1248"/>
      <c r="K1330" s="1248"/>
      <c r="P1330" s="1248"/>
    </row>
    <row r="1331" spans="1:16" x14ac:dyDescent="0.25">
      <c r="A1331" s="1274"/>
      <c r="B1331" s="1276" t="s">
        <v>2588</v>
      </c>
      <c r="C1331" s="1274">
        <v>96661</v>
      </c>
      <c r="H1331" s="1248"/>
      <c r="K1331" s="1248"/>
      <c r="P1331" s="1248"/>
    </row>
    <row r="1332" spans="1:16" x14ac:dyDescent="0.25">
      <c r="A1332" s="1274"/>
      <c r="B1332" s="1276" t="s">
        <v>3106</v>
      </c>
      <c r="C1332" s="1274">
        <v>95001</v>
      </c>
      <c r="H1332" s="1248"/>
      <c r="K1332" s="1248"/>
      <c r="P1332" s="1248"/>
    </row>
    <row r="1333" spans="1:16" x14ac:dyDescent="0.25">
      <c r="A1333" s="1274"/>
      <c r="B1333" s="1276" t="s">
        <v>3112</v>
      </c>
      <c r="C1333" s="1274">
        <v>95017</v>
      </c>
      <c r="H1333" s="1248"/>
      <c r="K1333" s="1248"/>
      <c r="P1333" s="1248"/>
    </row>
    <row r="1334" spans="1:16" x14ac:dyDescent="0.25">
      <c r="A1334" s="1274"/>
      <c r="B1334" s="1276" t="s">
        <v>4421</v>
      </c>
      <c r="C1334" s="1274">
        <v>96711</v>
      </c>
      <c r="H1334" s="1248"/>
      <c r="K1334" s="1248"/>
      <c r="P1334" s="1248"/>
    </row>
    <row r="1335" spans="1:16" x14ac:dyDescent="0.25">
      <c r="A1335" s="1274"/>
      <c r="B1335" s="1276" t="s">
        <v>4422</v>
      </c>
      <c r="C1335" s="1274">
        <v>94131</v>
      </c>
      <c r="H1335" s="1248"/>
      <c r="K1335" s="1248"/>
      <c r="P1335" s="1248"/>
    </row>
    <row r="1336" spans="1:16" x14ac:dyDescent="0.25">
      <c r="A1336" s="1274"/>
      <c r="B1336" s="1276" t="s">
        <v>4423</v>
      </c>
      <c r="C1336" s="1274">
        <v>95841</v>
      </c>
      <c r="H1336" s="1248"/>
      <c r="K1336" s="1248"/>
      <c r="P1336" s="1248"/>
    </row>
    <row r="1337" spans="1:16" x14ac:dyDescent="0.25">
      <c r="A1337" s="1274"/>
      <c r="B1337" s="1276" t="s">
        <v>4424</v>
      </c>
      <c r="C1337" s="1274">
        <v>90511</v>
      </c>
      <c r="H1337" s="1248"/>
      <c r="K1337" s="1248"/>
      <c r="P1337" s="1248"/>
    </row>
    <row r="1338" spans="1:16" x14ac:dyDescent="0.25">
      <c r="A1338" s="1274"/>
      <c r="B1338" s="1276" t="s">
        <v>3113</v>
      </c>
      <c r="C1338" s="1274">
        <v>95101</v>
      </c>
      <c r="H1338" s="1248"/>
      <c r="K1338" s="1248"/>
      <c r="P1338" s="1248"/>
    </row>
    <row r="1339" spans="1:16" x14ac:dyDescent="0.25">
      <c r="A1339" s="1274"/>
      <c r="B1339" s="1276" t="s">
        <v>3115</v>
      </c>
      <c r="C1339" s="1274">
        <v>95104</v>
      </c>
      <c r="H1339" s="1248"/>
      <c r="K1339" s="1248"/>
      <c r="P1339" s="1248"/>
    </row>
    <row r="1340" spans="1:16" x14ac:dyDescent="0.25">
      <c r="A1340" s="1274"/>
      <c r="B1340" s="1276" t="s">
        <v>3118</v>
      </c>
      <c r="C1340" s="1274">
        <v>95110</v>
      </c>
      <c r="H1340" s="1248"/>
      <c r="K1340" s="1248"/>
      <c r="P1340" s="1248"/>
    </row>
    <row r="1341" spans="1:16" x14ac:dyDescent="0.25">
      <c r="A1341" s="1274"/>
      <c r="B1341" s="1276" t="s">
        <v>3131</v>
      </c>
      <c r="C1341" s="1274">
        <v>95201</v>
      </c>
      <c r="H1341" s="1248"/>
      <c r="K1341" s="1248"/>
      <c r="P1341" s="1248"/>
    </row>
    <row r="1342" spans="1:16" x14ac:dyDescent="0.25">
      <c r="A1342" s="1274"/>
      <c r="B1342" s="1276" t="s">
        <v>3132</v>
      </c>
      <c r="C1342" s="1274">
        <v>95204</v>
      </c>
      <c r="H1342" s="1248"/>
      <c r="K1342" s="1248"/>
      <c r="P1342" s="1248"/>
    </row>
    <row r="1343" spans="1:16" x14ac:dyDescent="0.25">
      <c r="A1343" s="1274"/>
      <c r="B1343" s="1276" t="s">
        <v>4425</v>
      </c>
      <c r="C1343" s="1274">
        <v>99921</v>
      </c>
      <c r="H1343" s="1248"/>
      <c r="K1343" s="1248"/>
      <c r="P1343" s="1248"/>
    </row>
    <row r="1344" spans="1:16" x14ac:dyDescent="0.25">
      <c r="A1344" s="1274"/>
      <c r="B1344" s="1276" t="s">
        <v>3065</v>
      </c>
      <c r="C1344" s="1274">
        <v>94408</v>
      </c>
      <c r="H1344" s="1248"/>
      <c r="K1344" s="1248"/>
      <c r="P1344" s="1248"/>
    </row>
    <row r="1345" spans="1:16" x14ac:dyDescent="0.25">
      <c r="A1345" s="1274"/>
      <c r="B1345" s="1276" t="s">
        <v>4426</v>
      </c>
      <c r="C1345" s="1274">
        <v>91331</v>
      </c>
      <c r="H1345" s="1248"/>
      <c r="K1345" s="1248"/>
      <c r="P1345" s="1248"/>
    </row>
    <row r="1346" spans="1:16" x14ac:dyDescent="0.25">
      <c r="A1346" s="1274"/>
      <c r="B1346" s="1276" t="s">
        <v>4427</v>
      </c>
      <c r="C1346" s="1274">
        <v>93121</v>
      </c>
      <c r="H1346" s="1248"/>
      <c r="K1346" s="1248"/>
      <c r="P1346" s="1248"/>
    </row>
    <row r="1347" spans="1:16" x14ac:dyDescent="0.25">
      <c r="A1347" s="1274"/>
      <c r="B1347" s="1276" t="s">
        <v>2937</v>
      </c>
      <c r="C1347" s="1274">
        <v>93127</v>
      </c>
      <c r="H1347" s="1248"/>
      <c r="K1347" s="1248"/>
      <c r="P1347" s="1248"/>
    </row>
    <row r="1348" spans="1:16" x14ac:dyDescent="0.25">
      <c r="A1348" s="1274"/>
      <c r="B1348" s="1276" t="s">
        <v>4428</v>
      </c>
      <c r="C1348" s="1274">
        <v>95171</v>
      </c>
      <c r="H1348" s="1248"/>
      <c r="K1348" s="1248"/>
      <c r="P1348" s="1248"/>
    </row>
    <row r="1349" spans="1:16" x14ac:dyDescent="0.25">
      <c r="A1349" s="1274"/>
      <c r="B1349" s="1276" t="s">
        <v>4429</v>
      </c>
      <c r="C1349" s="1274">
        <v>93421</v>
      </c>
      <c r="H1349" s="1248"/>
      <c r="K1349" s="1248"/>
      <c r="P1349" s="1248"/>
    </row>
    <row r="1350" spans="1:16" x14ac:dyDescent="0.25">
      <c r="A1350" s="1274"/>
      <c r="B1350" s="1276" t="s">
        <v>3463</v>
      </c>
      <c r="C1350" s="1274">
        <v>99110</v>
      </c>
      <c r="H1350" s="1248"/>
      <c r="K1350" s="1248"/>
      <c r="P1350" s="1248"/>
    </row>
    <row r="1351" spans="1:16" x14ac:dyDescent="0.25">
      <c r="A1351" s="1274"/>
      <c r="B1351" s="1276" t="s">
        <v>4221</v>
      </c>
      <c r="C1351" s="1274">
        <v>99109</v>
      </c>
      <c r="H1351" s="1248"/>
      <c r="K1351" s="1248"/>
      <c r="P1351" s="1248"/>
    </row>
    <row r="1352" spans="1:16" x14ac:dyDescent="0.25">
      <c r="A1352" s="1274"/>
      <c r="B1352" s="1276" t="s">
        <v>4430</v>
      </c>
      <c r="C1352" s="1274">
        <v>92821</v>
      </c>
      <c r="H1352" s="1248"/>
      <c r="K1352" s="1248"/>
      <c r="P1352" s="1248"/>
    </row>
    <row r="1353" spans="1:16" x14ac:dyDescent="0.25">
      <c r="A1353" s="1274"/>
      <c r="B1353" s="1276" t="s">
        <v>4431</v>
      </c>
      <c r="C1353" s="1274">
        <v>98521</v>
      </c>
      <c r="H1353" s="1248"/>
      <c r="K1353" s="1248"/>
      <c r="P1353" s="1248"/>
    </row>
    <row r="1354" spans="1:16" x14ac:dyDescent="0.25">
      <c r="A1354" s="1274"/>
      <c r="B1354" s="1276" t="s">
        <v>4432</v>
      </c>
      <c r="C1354" s="1274">
        <v>92321</v>
      </c>
      <c r="H1354" s="1248"/>
      <c r="K1354" s="1248"/>
      <c r="P1354" s="1248"/>
    </row>
    <row r="1355" spans="1:16" x14ac:dyDescent="0.25">
      <c r="A1355" s="1274"/>
      <c r="B1355" s="1276" t="s">
        <v>2864</v>
      </c>
      <c r="C1355" s="1274">
        <v>92327</v>
      </c>
      <c r="H1355" s="1248"/>
      <c r="K1355" s="1248"/>
      <c r="P1355" s="1248"/>
    </row>
    <row r="1356" spans="1:16" x14ac:dyDescent="0.25">
      <c r="A1356" s="1274"/>
      <c r="B1356" s="1276" t="s">
        <v>4433</v>
      </c>
      <c r="C1356" s="1274">
        <v>95411</v>
      </c>
      <c r="H1356" s="1248"/>
      <c r="K1356" s="1248"/>
      <c r="P1356" s="1248"/>
    </row>
    <row r="1357" spans="1:16" x14ac:dyDescent="0.25">
      <c r="A1357" s="1274"/>
      <c r="B1357" s="1276" t="s">
        <v>4434</v>
      </c>
      <c r="C1357" s="1274">
        <v>95413</v>
      </c>
      <c r="H1357" s="1248"/>
      <c r="K1357" s="1248"/>
      <c r="P1357" s="1248"/>
    </row>
    <row r="1358" spans="1:16" x14ac:dyDescent="0.25">
      <c r="A1358" s="1274"/>
      <c r="B1358" s="1276" t="s">
        <v>4435</v>
      </c>
      <c r="C1358" s="1274">
        <v>95415</v>
      </c>
      <c r="H1358" s="1248"/>
      <c r="K1358" s="1248"/>
      <c r="P1358" s="1248"/>
    </row>
    <row r="1359" spans="1:16" x14ac:dyDescent="0.25">
      <c r="A1359" s="1274"/>
      <c r="B1359" s="1276" t="s">
        <v>4436</v>
      </c>
      <c r="C1359" s="1274">
        <v>92851</v>
      </c>
      <c r="H1359" s="1248"/>
      <c r="K1359" s="1248"/>
      <c r="P1359" s="1248"/>
    </row>
    <row r="1360" spans="1:16" x14ac:dyDescent="0.25">
      <c r="A1360" s="1274"/>
      <c r="B1360" s="1276" t="s">
        <v>4437</v>
      </c>
      <c r="C1360" s="1274">
        <v>99291</v>
      </c>
      <c r="H1360" s="1248"/>
      <c r="K1360" s="1248"/>
      <c r="P1360" s="1248"/>
    </row>
    <row r="1361" spans="1:16" x14ac:dyDescent="0.25">
      <c r="A1361" s="1274"/>
      <c r="B1361" s="1276" t="s">
        <v>4438</v>
      </c>
      <c r="C1361" s="1274">
        <v>96541</v>
      </c>
      <c r="H1361" s="1248"/>
      <c r="K1361" s="1248"/>
      <c r="P1361" s="1248"/>
    </row>
    <row r="1362" spans="1:16" x14ac:dyDescent="0.25">
      <c r="A1362" s="1274"/>
      <c r="B1362" s="1276" t="s">
        <v>4439</v>
      </c>
      <c r="C1362" s="1274">
        <v>95431</v>
      </c>
      <c r="H1362" s="1248"/>
      <c r="K1362" s="1248"/>
      <c r="P1362" s="1248"/>
    </row>
    <row r="1363" spans="1:16" x14ac:dyDescent="0.25">
      <c r="A1363" s="1274"/>
      <c r="B1363" s="1276" t="s">
        <v>4440</v>
      </c>
      <c r="C1363" s="1274">
        <v>98131</v>
      </c>
      <c r="H1363" s="1248"/>
      <c r="K1363" s="1248"/>
      <c r="P1363" s="1248"/>
    </row>
    <row r="1364" spans="1:16" x14ac:dyDescent="0.25">
      <c r="A1364" s="1274"/>
      <c r="B1364" s="1276" t="s">
        <v>4441</v>
      </c>
      <c r="C1364" s="1274">
        <v>92461</v>
      </c>
      <c r="H1364" s="1248"/>
      <c r="K1364" s="1248"/>
      <c r="P1364" s="1248"/>
    </row>
    <row r="1365" spans="1:16" x14ac:dyDescent="0.25">
      <c r="A1365" s="1274"/>
      <c r="B1365" s="1276" t="s">
        <v>2873</v>
      </c>
      <c r="C1365" s="1274">
        <v>92427</v>
      </c>
      <c r="H1365" s="1248"/>
      <c r="K1365" s="1248"/>
      <c r="P1365" s="1248"/>
    </row>
    <row r="1366" spans="1:16" x14ac:dyDescent="0.25">
      <c r="A1366" s="1274"/>
      <c r="B1366" s="1276" t="s">
        <v>4442</v>
      </c>
      <c r="C1366" s="1274">
        <v>98051</v>
      </c>
      <c r="H1366" s="1248"/>
      <c r="K1366" s="1248"/>
      <c r="P1366" s="1248"/>
    </row>
    <row r="1367" spans="1:16" x14ac:dyDescent="0.25">
      <c r="A1367" s="1274"/>
      <c r="B1367" s="1276" t="s">
        <v>2756</v>
      </c>
      <c r="C1367" s="1274">
        <v>91102</v>
      </c>
      <c r="H1367" s="1248"/>
      <c r="K1367" s="1248"/>
      <c r="P1367" s="1248"/>
    </row>
    <row r="1368" spans="1:16" x14ac:dyDescent="0.25">
      <c r="A1368" s="1274"/>
      <c r="B1368" s="1276" t="s">
        <v>4443</v>
      </c>
      <c r="C1368" s="1274">
        <v>94521</v>
      </c>
      <c r="H1368" s="1248"/>
      <c r="K1368" s="1248"/>
      <c r="P1368" s="1248"/>
    </row>
    <row r="1369" spans="1:16" x14ac:dyDescent="0.25">
      <c r="A1369" s="1274"/>
      <c r="B1369" s="1276" t="s">
        <v>3078</v>
      </c>
      <c r="C1369" s="1274">
        <v>94527</v>
      </c>
      <c r="H1369" s="1248"/>
      <c r="K1369" s="1248"/>
      <c r="P1369" s="1248"/>
    </row>
    <row r="1370" spans="1:16" x14ac:dyDescent="0.25">
      <c r="A1370" s="1274"/>
      <c r="B1370" s="1276" t="s">
        <v>4444</v>
      </c>
      <c r="C1370" s="1274">
        <v>98311</v>
      </c>
      <c r="H1370" s="1248"/>
      <c r="K1370" s="1248"/>
      <c r="P1370" s="1248"/>
    </row>
    <row r="1371" spans="1:16" x14ac:dyDescent="0.25">
      <c r="A1371" s="1274"/>
      <c r="B1371" s="1276" t="s">
        <v>3410</v>
      </c>
      <c r="C1371" s="1274">
        <v>98313</v>
      </c>
      <c r="H1371" s="1248"/>
      <c r="K1371" s="1248"/>
      <c r="P1371" s="1248"/>
    </row>
    <row r="1372" spans="1:16" x14ac:dyDescent="0.25">
      <c r="A1372" s="1274"/>
      <c r="B1372" s="1276" t="s">
        <v>3408</v>
      </c>
      <c r="C1372" s="1274">
        <v>98308</v>
      </c>
      <c r="H1372" s="1248"/>
      <c r="K1372" s="1248"/>
      <c r="P1372" s="1248"/>
    </row>
    <row r="1373" spans="1:16" x14ac:dyDescent="0.25">
      <c r="A1373" s="1274"/>
      <c r="B1373" s="1276" t="s">
        <v>4445</v>
      </c>
      <c r="C1373" s="1274">
        <v>92341</v>
      </c>
      <c r="H1373" s="1248"/>
      <c r="K1373" s="1248"/>
      <c r="P1373" s="1248"/>
    </row>
    <row r="1374" spans="1:16" x14ac:dyDescent="0.25">
      <c r="A1374" s="1274"/>
      <c r="B1374" s="1276" t="s">
        <v>3136</v>
      </c>
      <c r="C1374" s="1274">
        <v>95301</v>
      </c>
      <c r="H1374" s="1248"/>
      <c r="K1374" s="1248"/>
      <c r="P1374" s="1248"/>
    </row>
    <row r="1375" spans="1:16" x14ac:dyDescent="0.25">
      <c r="A1375" s="1274"/>
      <c r="B1375" s="1276" t="s">
        <v>4446</v>
      </c>
      <c r="C1375" s="1274">
        <v>91002</v>
      </c>
      <c r="H1375" s="1248"/>
      <c r="K1375" s="1248"/>
      <c r="P1375" s="1248"/>
    </row>
    <row r="1376" spans="1:16" x14ac:dyDescent="0.25">
      <c r="A1376" s="1274"/>
      <c r="B1376" s="1276" t="s">
        <v>2592</v>
      </c>
      <c r="C1376" s="1274">
        <v>91451</v>
      </c>
      <c r="H1376" s="1248"/>
      <c r="K1376" s="1248"/>
      <c r="P1376" s="1248"/>
    </row>
    <row r="1377" spans="1:16" x14ac:dyDescent="0.25">
      <c r="A1377" s="1274"/>
      <c r="B1377" s="1276" t="s">
        <v>4447</v>
      </c>
      <c r="C1377" s="1274">
        <v>91457</v>
      </c>
      <c r="H1377" s="1248"/>
      <c r="K1377" s="1248"/>
      <c r="P1377" s="1248"/>
    </row>
    <row r="1378" spans="1:16" x14ac:dyDescent="0.25">
      <c r="A1378" s="1274"/>
      <c r="B1378" s="1276" t="s">
        <v>3140</v>
      </c>
      <c r="C1378" s="1274">
        <v>95401</v>
      </c>
      <c r="H1378" s="1248"/>
      <c r="K1378" s="1248"/>
      <c r="P1378" s="1248"/>
    </row>
    <row r="1379" spans="1:16" x14ac:dyDescent="0.25">
      <c r="A1379" s="1274"/>
      <c r="B1379" s="1276" t="s">
        <v>3141</v>
      </c>
      <c r="C1379" s="1274">
        <v>95404</v>
      </c>
      <c r="H1379" s="1248"/>
      <c r="K1379" s="1248"/>
      <c r="P1379" s="1248"/>
    </row>
    <row r="1380" spans="1:16" x14ac:dyDescent="0.25">
      <c r="A1380" s="1274"/>
      <c r="B1380" s="1276" t="s">
        <v>2802</v>
      </c>
      <c r="C1380" s="1274">
        <v>91423</v>
      </c>
      <c r="H1380" s="1248"/>
      <c r="K1380" s="1248"/>
      <c r="P1380" s="1248"/>
    </row>
    <row r="1381" spans="1:16" x14ac:dyDescent="0.25">
      <c r="A1381" s="1274"/>
      <c r="B1381" s="1276" t="s">
        <v>4448</v>
      </c>
      <c r="C1381" s="1274">
        <v>90861</v>
      </c>
      <c r="H1381" s="1248"/>
      <c r="K1381" s="1248"/>
      <c r="P1381" s="1248"/>
    </row>
    <row r="1382" spans="1:16" x14ac:dyDescent="0.25">
      <c r="A1382" s="1274"/>
      <c r="B1382" s="1276" t="s">
        <v>4449</v>
      </c>
      <c r="C1382" s="1274">
        <v>93451</v>
      </c>
      <c r="H1382" s="1248"/>
      <c r="K1382" s="1248"/>
      <c r="P1382" s="1248"/>
    </row>
    <row r="1383" spans="1:16" x14ac:dyDescent="0.25">
      <c r="A1383" s="1274"/>
      <c r="B1383" s="1276" t="s">
        <v>4450</v>
      </c>
      <c r="C1383" s="1274">
        <v>92931</v>
      </c>
      <c r="H1383" s="1248"/>
      <c r="K1383" s="1248"/>
      <c r="P1383" s="1248"/>
    </row>
    <row r="1384" spans="1:16" x14ac:dyDescent="0.25">
      <c r="A1384" s="1274"/>
      <c r="B1384" s="1276" t="s">
        <v>2924</v>
      </c>
      <c r="C1384" s="1274">
        <v>92917</v>
      </c>
      <c r="H1384" s="1248"/>
      <c r="K1384" s="1248"/>
      <c r="P1384" s="1248"/>
    </row>
    <row r="1385" spans="1:16" x14ac:dyDescent="0.25">
      <c r="A1385" s="1274"/>
      <c r="B1385" s="1276" t="s">
        <v>4451</v>
      </c>
      <c r="C1385" s="1274">
        <v>97631</v>
      </c>
      <c r="H1385" s="1248"/>
      <c r="K1385" s="1248"/>
      <c r="P1385" s="1248"/>
    </row>
    <row r="1386" spans="1:16" x14ac:dyDescent="0.25">
      <c r="A1386" s="1274"/>
      <c r="B1386" s="1276" t="s">
        <v>3325</v>
      </c>
      <c r="C1386" s="1274">
        <v>97637</v>
      </c>
      <c r="H1386" s="1248"/>
      <c r="K1386" s="1248"/>
      <c r="P1386" s="1248"/>
    </row>
    <row r="1387" spans="1:16" x14ac:dyDescent="0.25">
      <c r="A1387" s="1274"/>
      <c r="B1387" s="1276" t="s">
        <v>4452</v>
      </c>
      <c r="C1387" s="1274">
        <v>90421</v>
      </c>
      <c r="H1387" s="1248"/>
      <c r="K1387" s="1248"/>
      <c r="P1387" s="1248"/>
    </row>
    <row r="1388" spans="1:16" x14ac:dyDescent="0.25">
      <c r="A1388" s="1274"/>
      <c r="B1388" s="1276" t="s">
        <v>4453</v>
      </c>
      <c r="C1388" s="1274">
        <v>94321</v>
      </c>
      <c r="H1388" s="1248"/>
      <c r="K1388" s="1248"/>
      <c r="P1388" s="1248"/>
    </row>
    <row r="1389" spans="1:16" x14ac:dyDescent="0.25">
      <c r="A1389" s="1274"/>
      <c r="B1389" s="1276" t="s">
        <v>3149</v>
      </c>
      <c r="C1389" s="1274">
        <v>95501</v>
      </c>
      <c r="H1389" s="1248"/>
      <c r="K1389" s="1248"/>
      <c r="P1389" s="1248"/>
    </row>
    <row r="1390" spans="1:16" x14ac:dyDescent="0.25">
      <c r="A1390" s="1274"/>
      <c r="B1390" s="1276" t="s">
        <v>3150</v>
      </c>
      <c r="C1390" s="1274">
        <v>95504</v>
      </c>
      <c r="H1390" s="1248"/>
      <c r="K1390" s="1248"/>
      <c r="P1390" s="1248"/>
    </row>
    <row r="1391" spans="1:16" x14ac:dyDescent="0.25">
      <c r="A1391" s="1274"/>
      <c r="B1391" s="1276" t="s">
        <v>4454</v>
      </c>
      <c r="C1391" s="1274">
        <v>95511</v>
      </c>
      <c r="H1391" s="1248"/>
      <c r="K1391" s="1248"/>
      <c r="P1391" s="1248"/>
    </row>
    <row r="1392" spans="1:16" x14ac:dyDescent="0.25">
      <c r="A1392" s="1274"/>
      <c r="B1392" s="1276" t="s">
        <v>4455</v>
      </c>
      <c r="C1392" s="1274">
        <v>95517</v>
      </c>
      <c r="H1392" s="1248"/>
      <c r="K1392" s="1248"/>
      <c r="P1392" s="1248"/>
    </row>
    <row r="1393" spans="1:16" x14ac:dyDescent="0.25">
      <c r="A1393" s="1274"/>
      <c r="B1393" s="1276" t="s">
        <v>3152</v>
      </c>
      <c r="C1393" s="1274">
        <v>95513</v>
      </c>
      <c r="H1393" s="1248"/>
      <c r="K1393" s="1248"/>
      <c r="P1393" s="1248"/>
    </row>
    <row r="1394" spans="1:16" x14ac:dyDescent="0.25">
      <c r="A1394" s="1274"/>
      <c r="B1394" s="1276" t="s">
        <v>4456</v>
      </c>
      <c r="C1394" s="1274">
        <v>92651</v>
      </c>
      <c r="H1394" s="1248"/>
      <c r="K1394" s="1248"/>
      <c r="P1394" s="1248"/>
    </row>
    <row r="1395" spans="1:16" x14ac:dyDescent="0.25">
      <c r="A1395" s="1274"/>
      <c r="B1395" s="1276" t="s">
        <v>4457</v>
      </c>
      <c r="C1395" s="1274">
        <v>94261</v>
      </c>
      <c r="H1395" s="1248"/>
      <c r="K1395" s="1248"/>
      <c r="P1395" s="1248"/>
    </row>
    <row r="1396" spans="1:16" x14ac:dyDescent="0.25">
      <c r="A1396" s="1274"/>
      <c r="B1396" s="1276" t="s">
        <v>4458</v>
      </c>
      <c r="C1396" s="1274">
        <v>98431</v>
      </c>
      <c r="H1396" s="1248"/>
      <c r="K1396" s="1248"/>
      <c r="P1396" s="1248"/>
    </row>
    <row r="1397" spans="1:16" x14ac:dyDescent="0.25">
      <c r="A1397" s="1274"/>
      <c r="B1397" s="1276" t="s">
        <v>3694</v>
      </c>
      <c r="C1397" s="1274">
        <v>98404</v>
      </c>
      <c r="H1397" s="1248"/>
      <c r="K1397" s="1248"/>
      <c r="P1397" s="1248"/>
    </row>
    <row r="1398" spans="1:16" x14ac:dyDescent="0.25">
      <c r="A1398" s="1274"/>
      <c r="B1398" s="1276" t="s">
        <v>4459</v>
      </c>
      <c r="C1398" s="1274">
        <v>91841</v>
      </c>
      <c r="H1398" s="1248"/>
      <c r="K1398" s="1248"/>
      <c r="P1398" s="1248"/>
    </row>
    <row r="1399" spans="1:16" x14ac:dyDescent="0.25">
      <c r="A1399" s="1274"/>
      <c r="B1399" s="1276" t="s">
        <v>4460</v>
      </c>
      <c r="C1399" s="1274">
        <v>93521</v>
      </c>
      <c r="H1399" s="1248"/>
      <c r="K1399" s="1248"/>
      <c r="P1399" s="1248"/>
    </row>
    <row r="1400" spans="1:16" x14ac:dyDescent="0.25">
      <c r="A1400" s="1274"/>
      <c r="B1400" s="1276" t="s">
        <v>2984</v>
      </c>
      <c r="C1400" s="1274">
        <v>93527</v>
      </c>
      <c r="H1400" s="1248"/>
      <c r="K1400" s="1248"/>
      <c r="P1400" s="1248"/>
    </row>
    <row r="1401" spans="1:16" x14ac:dyDescent="0.25">
      <c r="A1401" s="1274"/>
      <c r="B1401" s="1276" t="s">
        <v>4461</v>
      </c>
      <c r="C1401" s="1274">
        <v>93661</v>
      </c>
      <c r="H1401" s="1248"/>
      <c r="K1401" s="1248"/>
      <c r="P1401" s="1248"/>
    </row>
    <row r="1402" spans="1:16" x14ac:dyDescent="0.25">
      <c r="A1402" s="1274"/>
      <c r="B1402" s="1276" t="s">
        <v>4462</v>
      </c>
      <c r="C1402" s="1274">
        <v>96508</v>
      </c>
      <c r="H1402" s="1248"/>
      <c r="K1402" s="1248"/>
      <c r="P1402" s="1248"/>
    </row>
    <row r="1403" spans="1:16" x14ac:dyDescent="0.25">
      <c r="A1403" s="1274"/>
      <c r="B1403" s="1276" t="s">
        <v>4463</v>
      </c>
      <c r="C1403" s="1274">
        <v>99841</v>
      </c>
      <c r="H1403" s="1248"/>
      <c r="K1403" s="1248"/>
      <c r="P1403" s="1248"/>
    </row>
    <row r="1404" spans="1:16" x14ac:dyDescent="0.25">
      <c r="A1404" s="1274"/>
      <c r="B1404" s="1276" t="s">
        <v>3338</v>
      </c>
      <c r="C1404" s="1274">
        <v>97802</v>
      </c>
      <c r="H1404" s="1248"/>
      <c r="K1404" s="1248"/>
      <c r="P1404" s="1248"/>
    </row>
    <row r="1405" spans="1:16" x14ac:dyDescent="0.25">
      <c r="A1405" s="1274"/>
      <c r="B1405" s="1276" t="s">
        <v>4464</v>
      </c>
      <c r="C1405" s="1274">
        <v>97811</v>
      </c>
      <c r="H1405" s="1248"/>
      <c r="K1405" s="1248"/>
      <c r="P1405" s="1248"/>
    </row>
    <row r="1406" spans="1:16" x14ac:dyDescent="0.25">
      <c r="A1406" s="1274"/>
      <c r="B1406" s="1276" t="s">
        <v>3342</v>
      </c>
      <c r="C1406" s="1274">
        <v>97817</v>
      </c>
      <c r="H1406" s="1248"/>
      <c r="K1406" s="1248"/>
      <c r="P1406" s="1248"/>
    </row>
    <row r="1407" spans="1:16" x14ac:dyDescent="0.25">
      <c r="A1407" s="1274"/>
      <c r="B1407" s="1276" t="s">
        <v>4206</v>
      </c>
      <c r="C1407" s="1274">
        <v>97818</v>
      </c>
      <c r="H1407" s="1248"/>
      <c r="K1407" s="1248"/>
      <c r="P1407" s="1248"/>
    </row>
    <row r="1408" spans="1:16" x14ac:dyDescent="0.25">
      <c r="A1408" s="1274"/>
      <c r="B1408" s="1276" t="s">
        <v>4465</v>
      </c>
      <c r="C1408" s="1274">
        <v>93341</v>
      </c>
      <c r="H1408" s="1248"/>
      <c r="K1408" s="1248"/>
      <c r="P1408" s="1248"/>
    </row>
    <row r="1409" spans="1:16" x14ac:dyDescent="0.25">
      <c r="A1409" s="1274"/>
      <c r="B1409" s="1276" t="s">
        <v>3154</v>
      </c>
      <c r="C1409" s="1274">
        <v>95601</v>
      </c>
      <c r="H1409" s="1248"/>
      <c r="K1409" s="1248"/>
      <c r="P1409" s="1248"/>
    </row>
    <row r="1410" spans="1:16" x14ac:dyDescent="0.25">
      <c r="A1410" s="1274"/>
      <c r="B1410" s="1276" t="s">
        <v>2595</v>
      </c>
      <c r="C1410" s="1274">
        <v>97941</v>
      </c>
      <c r="H1410" s="1248"/>
      <c r="K1410" s="1248"/>
      <c r="P1410" s="1248"/>
    </row>
    <row r="1411" spans="1:16" x14ac:dyDescent="0.25">
      <c r="A1411" s="1274"/>
      <c r="B1411" s="1276" t="s">
        <v>3363</v>
      </c>
      <c r="C1411" s="1274">
        <v>97947</v>
      </c>
      <c r="H1411" s="1248"/>
      <c r="K1411" s="1248"/>
      <c r="P1411" s="1248"/>
    </row>
    <row r="1412" spans="1:16" x14ac:dyDescent="0.25">
      <c r="A1412" s="1274"/>
      <c r="B1412" s="1276" t="s">
        <v>3158</v>
      </c>
      <c r="C1412" s="1274">
        <v>95701</v>
      </c>
      <c r="H1412" s="1248"/>
      <c r="K1412" s="1248"/>
      <c r="P1412" s="1248"/>
    </row>
    <row r="1413" spans="1:16" x14ac:dyDescent="0.25">
      <c r="A1413" s="1274"/>
      <c r="B1413" s="1276" t="s">
        <v>3364</v>
      </c>
      <c r="C1413" s="1274">
        <v>97948</v>
      </c>
      <c r="H1413" s="1248"/>
      <c r="K1413" s="1248"/>
      <c r="P1413" s="1248"/>
    </row>
    <row r="1414" spans="1:16" x14ac:dyDescent="0.25">
      <c r="A1414" s="1274"/>
      <c r="B1414" s="1276" t="s">
        <v>4466</v>
      </c>
      <c r="C1414" s="1274">
        <v>94421</v>
      </c>
      <c r="H1414" s="1248"/>
      <c r="K1414" s="1248"/>
      <c r="P1414" s="1248"/>
    </row>
    <row r="1415" spans="1:16" x14ac:dyDescent="0.25">
      <c r="A1415" s="1274"/>
      <c r="B1415" s="1276" t="s">
        <v>3069</v>
      </c>
      <c r="C1415" s="1274">
        <v>94427</v>
      </c>
      <c r="H1415" s="1248"/>
      <c r="K1415" s="1248"/>
      <c r="P1415" s="1248"/>
    </row>
    <row r="1416" spans="1:16" x14ac:dyDescent="0.25">
      <c r="A1416" s="1274"/>
      <c r="B1416" s="1276" t="s">
        <v>4178</v>
      </c>
      <c r="C1416" s="1274">
        <v>94428</v>
      </c>
      <c r="H1416" s="1248"/>
      <c r="K1416" s="1248"/>
      <c r="P1416" s="1248"/>
    </row>
    <row r="1417" spans="1:16" x14ac:dyDescent="0.25">
      <c r="A1417" s="1274"/>
      <c r="B1417" s="1276" t="s">
        <v>4467</v>
      </c>
      <c r="C1417" s="1274">
        <v>93191</v>
      </c>
      <c r="H1417" s="1248"/>
      <c r="K1417" s="1248"/>
      <c r="P1417" s="1248"/>
    </row>
    <row r="1418" spans="1:16" x14ac:dyDescent="0.25">
      <c r="A1418" s="1274"/>
      <c r="B1418" s="1276" t="s">
        <v>4468</v>
      </c>
      <c r="C1418" s="1274">
        <v>91831</v>
      </c>
      <c r="H1418" s="1248"/>
      <c r="K1418" s="1248"/>
      <c r="P1418" s="1248"/>
    </row>
    <row r="1419" spans="1:16" x14ac:dyDescent="0.25">
      <c r="A1419" s="1274"/>
      <c r="B1419" s="1276" t="s">
        <v>4469</v>
      </c>
      <c r="C1419" s="1274">
        <v>92831</v>
      </c>
      <c r="H1419" s="1248"/>
      <c r="K1419" s="1248"/>
      <c r="P1419" s="1248"/>
    </row>
    <row r="1420" spans="1:16" x14ac:dyDescent="0.25">
      <c r="A1420" s="1274"/>
      <c r="B1420" s="1276" t="s">
        <v>4470</v>
      </c>
      <c r="C1420" s="1274">
        <v>95911</v>
      </c>
      <c r="H1420" s="1248"/>
      <c r="K1420" s="1248"/>
      <c r="P1420" s="1248"/>
    </row>
    <row r="1421" spans="1:16" x14ac:dyDescent="0.25">
      <c r="A1421" s="1274"/>
      <c r="B1421" s="1276" t="s">
        <v>3175</v>
      </c>
      <c r="C1421" s="1274">
        <v>95917</v>
      </c>
      <c r="H1421" s="1248"/>
      <c r="K1421" s="1248"/>
      <c r="P1421" s="1248"/>
    </row>
    <row r="1422" spans="1:16" x14ac:dyDescent="0.25">
      <c r="A1422" s="1274"/>
      <c r="B1422" s="1276" t="s">
        <v>4471</v>
      </c>
      <c r="C1422" s="1274">
        <v>95711</v>
      </c>
      <c r="H1422" s="1248"/>
      <c r="K1422" s="1248"/>
      <c r="P1422" s="1248"/>
    </row>
    <row r="1423" spans="1:16" x14ac:dyDescent="0.25">
      <c r="A1423" s="1274"/>
      <c r="B1423" s="1276" t="s">
        <v>4472</v>
      </c>
      <c r="C1423" s="1274">
        <v>95721</v>
      </c>
      <c r="H1423" s="1248"/>
      <c r="K1423" s="1248"/>
      <c r="P1423" s="1248"/>
    </row>
    <row r="1424" spans="1:16" x14ac:dyDescent="0.25">
      <c r="A1424" s="1274"/>
      <c r="B1424" s="1276" t="s">
        <v>4473</v>
      </c>
      <c r="C1424" s="1274">
        <v>99021</v>
      </c>
      <c r="H1424" s="1248"/>
      <c r="K1424" s="1248"/>
      <c r="P1424" s="1248"/>
    </row>
    <row r="1425" spans="1:16" x14ac:dyDescent="0.25">
      <c r="A1425" s="1274"/>
      <c r="B1425" s="1276" t="s">
        <v>4474</v>
      </c>
      <c r="C1425" s="1274">
        <v>95802</v>
      </c>
      <c r="H1425" s="1248"/>
      <c r="K1425" s="1248"/>
      <c r="P1425" s="1248"/>
    </row>
    <row r="1426" spans="1:16" x14ac:dyDescent="0.25">
      <c r="A1426" s="1274"/>
      <c r="B1426" s="1276" t="s">
        <v>3162</v>
      </c>
      <c r="C1426" s="1274">
        <v>95801</v>
      </c>
      <c r="H1426" s="1248"/>
      <c r="K1426" s="1248"/>
      <c r="P1426" s="1248"/>
    </row>
    <row r="1427" spans="1:16" x14ac:dyDescent="0.25">
      <c r="A1427" s="1274"/>
      <c r="B1427" s="1276" t="s">
        <v>3164</v>
      </c>
      <c r="C1427" s="1274">
        <v>95804</v>
      </c>
      <c r="H1427" s="1248"/>
      <c r="K1427" s="1248"/>
      <c r="P1427" s="1248"/>
    </row>
    <row r="1428" spans="1:16" x14ac:dyDescent="0.25">
      <c r="A1428" s="1274"/>
      <c r="B1428" s="1276" t="s">
        <v>4120</v>
      </c>
      <c r="C1428" s="1274">
        <v>90092</v>
      </c>
      <c r="H1428" s="1248"/>
      <c r="K1428" s="1248"/>
      <c r="P1428" s="1248"/>
    </row>
    <row r="1429" spans="1:16" x14ac:dyDescent="0.25">
      <c r="A1429" s="1274"/>
      <c r="B1429" s="1276" t="s">
        <v>4475</v>
      </c>
      <c r="C1429" s="1274">
        <v>99081</v>
      </c>
      <c r="H1429" s="1248"/>
      <c r="K1429" s="1248"/>
      <c r="P1429" s="1248"/>
    </row>
    <row r="1430" spans="1:16" x14ac:dyDescent="0.25">
      <c r="A1430" s="1274"/>
      <c r="B1430" s="1276" t="s">
        <v>4476</v>
      </c>
      <c r="C1430" s="1274">
        <v>96071</v>
      </c>
      <c r="H1430" s="1248"/>
      <c r="K1430" s="1248"/>
      <c r="P1430" s="1248"/>
    </row>
    <row r="1431" spans="1:16" x14ac:dyDescent="0.25">
      <c r="A1431" s="1274"/>
      <c r="B1431" s="1276" t="s">
        <v>3022</v>
      </c>
      <c r="C1431" s="1274">
        <v>94002</v>
      </c>
      <c r="H1431" s="1248"/>
      <c r="K1431" s="1248"/>
      <c r="P1431" s="1248"/>
    </row>
    <row r="1432" spans="1:16" x14ac:dyDescent="0.25">
      <c r="A1432" s="1274"/>
      <c r="B1432" s="1276" t="s">
        <v>4477</v>
      </c>
      <c r="C1432" s="1274">
        <v>97840</v>
      </c>
      <c r="H1432" s="1248"/>
      <c r="K1432" s="1248"/>
      <c r="P1432" s="1248"/>
    </row>
    <row r="1433" spans="1:16" x14ac:dyDescent="0.25">
      <c r="A1433" s="1274"/>
      <c r="B1433" s="1276" t="s">
        <v>3350</v>
      </c>
      <c r="C1433" s="1274">
        <v>97847</v>
      </c>
      <c r="H1433" s="1248"/>
      <c r="K1433" s="1248"/>
      <c r="P1433" s="1248"/>
    </row>
    <row r="1434" spans="1:16" x14ac:dyDescent="0.25">
      <c r="A1434" s="1274"/>
      <c r="B1434" s="1276" t="s">
        <v>4478</v>
      </c>
      <c r="C1434" s="1274">
        <v>97921</v>
      </c>
      <c r="H1434" s="1248"/>
      <c r="K1434" s="1248"/>
      <c r="P1434" s="1248"/>
    </row>
    <row r="1435" spans="1:16" x14ac:dyDescent="0.25">
      <c r="A1435" s="1274"/>
      <c r="B1435" s="1276" t="s">
        <v>4479</v>
      </c>
      <c r="C1435" s="1274">
        <v>95221</v>
      </c>
      <c r="H1435" s="1248"/>
      <c r="K1435" s="1248"/>
      <c r="P1435" s="1248"/>
    </row>
    <row r="1436" spans="1:16" x14ac:dyDescent="0.25">
      <c r="A1436" s="1274"/>
      <c r="B1436" s="1276" t="s">
        <v>4480</v>
      </c>
      <c r="C1436" s="1274">
        <v>93610</v>
      </c>
      <c r="H1436" s="1248"/>
      <c r="K1436" s="1248"/>
      <c r="P1436" s="1248"/>
    </row>
    <row r="1437" spans="1:16" x14ac:dyDescent="0.25">
      <c r="A1437" s="1274"/>
      <c r="B1437" s="1276" t="s">
        <v>3172</v>
      </c>
      <c r="C1437" s="1274">
        <v>95901</v>
      </c>
      <c r="H1437" s="1248"/>
      <c r="K1437" s="1248"/>
      <c r="P1437" s="1248"/>
    </row>
    <row r="1438" spans="1:16" x14ac:dyDescent="0.25">
      <c r="A1438" s="1274"/>
      <c r="B1438" s="1276" t="s">
        <v>4481</v>
      </c>
      <c r="C1438" s="1274">
        <v>90114</v>
      </c>
      <c r="H1438" s="1248"/>
      <c r="K1438" s="1248"/>
      <c r="P1438" s="1248"/>
    </row>
    <row r="1439" spans="1:16" x14ac:dyDescent="0.25">
      <c r="A1439" s="1274"/>
      <c r="B1439" s="1276" t="s">
        <v>3177</v>
      </c>
      <c r="C1439" s="1274">
        <v>96001</v>
      </c>
      <c r="H1439" s="1248"/>
      <c r="K1439" s="1248"/>
      <c r="P1439" s="1248"/>
    </row>
    <row r="1440" spans="1:16" x14ac:dyDescent="0.25">
      <c r="A1440" s="1274"/>
      <c r="B1440" s="1276" t="s">
        <v>3179</v>
      </c>
      <c r="C1440" s="1274">
        <v>96004</v>
      </c>
      <c r="H1440" s="1248"/>
      <c r="K1440" s="1248"/>
      <c r="P1440" s="1248"/>
    </row>
    <row r="1441" spans="1:16" x14ac:dyDescent="0.25">
      <c r="A1441" s="1274"/>
      <c r="B1441" s="1276" t="s">
        <v>4482</v>
      </c>
      <c r="C1441" s="1274">
        <v>96008</v>
      </c>
      <c r="H1441" s="1248"/>
      <c r="K1441" s="1248"/>
      <c r="P1441" s="1248"/>
    </row>
    <row r="1442" spans="1:16" x14ac:dyDescent="0.25">
      <c r="A1442" s="1274"/>
      <c r="B1442" s="1276" t="s">
        <v>2759</v>
      </c>
      <c r="C1442" s="1274">
        <v>91108</v>
      </c>
      <c r="H1442" s="1248"/>
      <c r="K1442" s="1248"/>
      <c r="P1442" s="1248"/>
    </row>
    <row r="1443" spans="1:16" x14ac:dyDescent="0.25">
      <c r="A1443" s="1274"/>
      <c r="B1443" s="1276" t="s">
        <v>3105</v>
      </c>
      <c r="C1443" s="1274">
        <v>94941</v>
      </c>
      <c r="H1443" s="1248"/>
      <c r="K1443" s="1248"/>
      <c r="P1443" s="1248"/>
    </row>
    <row r="1444" spans="1:16" x14ac:dyDescent="0.25">
      <c r="A1444" s="1274"/>
      <c r="B1444" s="1276" t="s">
        <v>4483</v>
      </c>
      <c r="C1444" s="1274">
        <v>95122</v>
      </c>
      <c r="H1444" s="1248"/>
      <c r="K1444" s="1248"/>
      <c r="P1444" s="1248"/>
    </row>
    <row r="1445" spans="1:16" x14ac:dyDescent="0.25">
      <c r="A1445" s="1274"/>
      <c r="B1445" s="1276" t="s">
        <v>2898</v>
      </c>
      <c r="C1445" s="1274">
        <v>92607</v>
      </c>
      <c r="H1445" s="1248"/>
      <c r="K1445" s="1248"/>
      <c r="P1445" s="1248"/>
    </row>
    <row r="1446" spans="1:16" x14ac:dyDescent="0.25">
      <c r="A1446" s="1274"/>
      <c r="B1446" s="1276" t="s">
        <v>4484</v>
      </c>
      <c r="C1446" s="1274">
        <v>96431</v>
      </c>
      <c r="H1446" s="1248"/>
      <c r="K1446" s="1248"/>
      <c r="P1446" s="1248"/>
    </row>
    <row r="1447" spans="1:16" x14ac:dyDescent="0.25">
      <c r="A1447" s="1274"/>
      <c r="B1447" s="1276" t="s">
        <v>2704</v>
      </c>
      <c r="C1447" s="1274">
        <v>90709</v>
      </c>
      <c r="H1447" s="1248"/>
      <c r="K1447" s="1248"/>
      <c r="P1447" s="1248"/>
    </row>
    <row r="1448" spans="1:16" x14ac:dyDescent="0.25">
      <c r="A1448" s="1274"/>
      <c r="B1448" s="1276" t="s">
        <v>4485</v>
      </c>
      <c r="C1448" s="1274">
        <v>91341</v>
      </c>
      <c r="H1448" s="1248"/>
      <c r="K1448" s="1248"/>
      <c r="P1448" s="1248"/>
    </row>
    <row r="1449" spans="1:16" x14ac:dyDescent="0.25">
      <c r="A1449" s="1274"/>
      <c r="B1449" s="1276" t="s">
        <v>4486</v>
      </c>
      <c r="C1449" s="1274">
        <v>92941</v>
      </c>
      <c r="H1449" s="1248"/>
      <c r="K1449" s="1248"/>
      <c r="P1449" s="1248"/>
    </row>
    <row r="1450" spans="1:16" x14ac:dyDescent="0.25">
      <c r="A1450" s="1274"/>
      <c r="B1450" s="1276" t="s">
        <v>4487</v>
      </c>
      <c r="C1450" s="1274">
        <v>94551</v>
      </c>
      <c r="H1450" s="1248"/>
      <c r="K1450" s="1248"/>
      <c r="P1450" s="1248"/>
    </row>
    <row r="1451" spans="1:16" x14ac:dyDescent="0.25">
      <c r="A1451" s="1274"/>
      <c r="B1451" s="1276" t="s">
        <v>4488</v>
      </c>
      <c r="C1451" s="1274">
        <v>99022</v>
      </c>
      <c r="H1451" s="1248"/>
      <c r="K1451" s="1248"/>
      <c r="P1451" s="1248"/>
    </row>
    <row r="1452" spans="1:16" x14ac:dyDescent="0.25">
      <c r="A1452" s="1274"/>
      <c r="B1452" s="1276" t="s">
        <v>4489</v>
      </c>
      <c r="C1452" s="1274">
        <v>96031</v>
      </c>
      <c r="H1452" s="1248"/>
      <c r="K1452" s="1248"/>
      <c r="P1452" s="1248"/>
    </row>
    <row r="1453" spans="1:16" x14ac:dyDescent="0.25">
      <c r="A1453" s="1274"/>
      <c r="B1453" s="1276" t="s">
        <v>4490</v>
      </c>
      <c r="C1453" s="1274">
        <v>98414</v>
      </c>
      <c r="H1453" s="1248"/>
      <c r="K1453" s="1248"/>
      <c r="P1453" s="1248"/>
    </row>
    <row r="1454" spans="1:16" x14ac:dyDescent="0.25">
      <c r="A1454" s="1274"/>
      <c r="B1454" s="1276" t="s">
        <v>3193</v>
      </c>
      <c r="C1454" s="1274">
        <v>96101</v>
      </c>
      <c r="H1454" s="1248"/>
      <c r="K1454" s="1248"/>
      <c r="P1454" s="1248"/>
    </row>
    <row r="1455" spans="1:16" x14ac:dyDescent="0.25">
      <c r="A1455" s="1274"/>
      <c r="B1455" s="1276" t="s">
        <v>4192</v>
      </c>
      <c r="C1455" s="1274">
        <v>96102</v>
      </c>
      <c r="H1455" s="1248"/>
      <c r="K1455" s="1248"/>
      <c r="P1455" s="1248"/>
    </row>
    <row r="1456" spans="1:16" x14ac:dyDescent="0.25">
      <c r="A1456" s="1274"/>
      <c r="B1456" s="1276" t="s">
        <v>4491</v>
      </c>
      <c r="C1456" s="1274">
        <v>93011</v>
      </c>
      <c r="H1456" s="1248"/>
      <c r="K1456" s="1248"/>
      <c r="P1456" s="1248"/>
    </row>
    <row r="1457" spans="1:16" x14ac:dyDescent="0.25">
      <c r="A1457" s="1274"/>
      <c r="B1457" s="1276" t="s">
        <v>4492</v>
      </c>
      <c r="C1457" s="1274">
        <v>99011</v>
      </c>
      <c r="H1457" s="1248"/>
      <c r="K1457" s="1248"/>
      <c r="P1457" s="1248"/>
    </row>
    <row r="1458" spans="1:16" x14ac:dyDescent="0.25">
      <c r="A1458" s="1274"/>
      <c r="B1458" s="1276" t="s">
        <v>3450</v>
      </c>
      <c r="C1458" s="1274">
        <v>99017</v>
      </c>
      <c r="H1458" s="1248"/>
      <c r="K1458" s="1248"/>
      <c r="P1458" s="1248"/>
    </row>
    <row r="1459" spans="1:16" x14ac:dyDescent="0.25">
      <c r="A1459" s="1274"/>
      <c r="B1459" s="1276" t="s">
        <v>4493</v>
      </c>
      <c r="C1459" s="1274">
        <v>99013</v>
      </c>
      <c r="H1459" s="1248"/>
      <c r="K1459" s="1248"/>
      <c r="P1459" s="1248"/>
    </row>
    <row r="1460" spans="1:16" x14ac:dyDescent="0.25">
      <c r="A1460" s="1274"/>
      <c r="B1460" s="1276" t="s">
        <v>3197</v>
      </c>
      <c r="C1460" s="1274">
        <v>96201</v>
      </c>
      <c r="H1460" s="1248"/>
      <c r="K1460" s="1248"/>
      <c r="P1460" s="1248"/>
    </row>
    <row r="1461" spans="1:16" x14ac:dyDescent="0.25">
      <c r="A1461" s="1274"/>
      <c r="B1461" s="1276" t="s">
        <v>3198</v>
      </c>
      <c r="C1461" s="1274">
        <v>96204</v>
      </c>
      <c r="H1461" s="1248"/>
      <c r="K1461" s="1248"/>
      <c r="P1461" s="1248"/>
    </row>
    <row r="1462" spans="1:16" x14ac:dyDescent="0.25">
      <c r="A1462" s="1274"/>
      <c r="B1462" s="1276" t="s">
        <v>4494</v>
      </c>
      <c r="C1462" s="1274">
        <v>91161</v>
      </c>
      <c r="H1462" s="1248"/>
      <c r="K1462" s="1248"/>
      <c r="P1462" s="1248"/>
    </row>
    <row r="1463" spans="1:16" x14ac:dyDescent="0.25">
      <c r="A1463" s="1274"/>
      <c r="B1463" s="1276" t="s">
        <v>3204</v>
      </c>
      <c r="C1463" s="1274">
        <v>96301</v>
      </c>
      <c r="H1463" s="1248"/>
      <c r="K1463" s="1248"/>
      <c r="P1463" s="1248"/>
    </row>
    <row r="1464" spans="1:16" x14ac:dyDescent="0.25">
      <c r="A1464" s="1274"/>
      <c r="B1464" s="1276" t="s">
        <v>3206</v>
      </c>
      <c r="C1464" s="1274">
        <v>96304</v>
      </c>
      <c r="H1464" s="1248"/>
      <c r="K1464" s="1248"/>
      <c r="P1464" s="1248"/>
    </row>
    <row r="1465" spans="1:16" x14ac:dyDescent="0.25">
      <c r="A1465" s="1274"/>
      <c r="B1465" s="1276" t="s">
        <v>3208</v>
      </c>
      <c r="C1465" s="1274">
        <v>96310</v>
      </c>
      <c r="H1465" s="1248"/>
      <c r="K1465" s="1248"/>
      <c r="P1465" s="1248"/>
    </row>
    <row r="1466" spans="1:16" x14ac:dyDescent="0.25">
      <c r="A1466" s="1274"/>
      <c r="B1466" s="1276" t="s">
        <v>3207</v>
      </c>
      <c r="C1466" s="1274">
        <v>96305</v>
      </c>
      <c r="H1466" s="1248"/>
      <c r="K1466" s="1248"/>
      <c r="P1466" s="1248"/>
    </row>
    <row r="1467" spans="1:16" x14ac:dyDescent="0.25">
      <c r="A1467" s="1274"/>
      <c r="B1467" s="1276" t="s">
        <v>4495</v>
      </c>
      <c r="C1467" s="1274">
        <v>94921</v>
      </c>
      <c r="H1467" s="1248"/>
      <c r="K1467" s="1248"/>
      <c r="P1467" s="1248"/>
    </row>
    <row r="1468" spans="1:16" x14ac:dyDescent="0.25">
      <c r="A1468" s="1274"/>
      <c r="B1468" s="1276" t="s">
        <v>3103</v>
      </c>
      <c r="C1468" s="1274">
        <v>94927</v>
      </c>
      <c r="H1468" s="1248"/>
      <c r="K1468" s="1248"/>
      <c r="P1468" s="1248"/>
    </row>
    <row r="1469" spans="1:16" x14ac:dyDescent="0.25">
      <c r="A1469" s="1274"/>
      <c r="B1469" s="1276" t="s">
        <v>3102</v>
      </c>
      <c r="C1469" s="1274">
        <v>94923</v>
      </c>
      <c r="H1469" s="1248"/>
      <c r="K1469" s="1248"/>
      <c r="P1469" s="1248"/>
    </row>
    <row r="1470" spans="1:16" x14ac:dyDescent="0.25">
      <c r="A1470" s="1274"/>
      <c r="B1470" s="1276" t="s">
        <v>4496</v>
      </c>
      <c r="C1470" s="1274">
        <v>91611</v>
      </c>
      <c r="H1470" s="1248"/>
      <c r="K1470" s="1248"/>
      <c r="P1470" s="1248"/>
    </row>
    <row r="1471" spans="1:16" x14ac:dyDescent="0.25">
      <c r="A1471" s="1274"/>
      <c r="B1471" s="1276" t="s">
        <v>4497</v>
      </c>
      <c r="C1471" s="1274">
        <v>91231</v>
      </c>
      <c r="H1471" s="1248"/>
      <c r="K1471" s="1248"/>
      <c r="P1471" s="1248"/>
    </row>
    <row r="1472" spans="1:16" x14ac:dyDescent="0.25">
      <c r="A1472" s="1274"/>
      <c r="B1472" s="1276" t="s">
        <v>2781</v>
      </c>
      <c r="C1472" s="1274">
        <v>91217</v>
      </c>
      <c r="H1472" s="1248"/>
      <c r="K1472" s="1248"/>
      <c r="P1472" s="1248"/>
    </row>
    <row r="1473" spans="1:16" x14ac:dyDescent="0.25">
      <c r="A1473" s="1274"/>
      <c r="B1473" s="1276" t="s">
        <v>2784</v>
      </c>
      <c r="C1473" s="1274">
        <v>91233</v>
      </c>
      <c r="H1473" s="1248"/>
      <c r="K1473" s="1248"/>
      <c r="P1473" s="1248"/>
    </row>
    <row r="1474" spans="1:16" x14ac:dyDescent="0.25">
      <c r="A1474" s="1274"/>
      <c r="B1474" s="1276" t="s">
        <v>4498</v>
      </c>
      <c r="C1474" s="1274">
        <v>99206</v>
      </c>
      <c r="H1474" s="1248"/>
      <c r="K1474" s="1248"/>
      <c r="P1474" s="1248"/>
    </row>
    <row r="1475" spans="1:16" x14ac:dyDescent="0.25">
      <c r="A1475" s="1274"/>
      <c r="B1475" s="1276" t="s">
        <v>4499</v>
      </c>
      <c r="C1475" s="1274">
        <v>90461</v>
      </c>
      <c r="H1475" s="1248"/>
      <c r="K1475" s="1248"/>
      <c r="P1475" s="1248"/>
    </row>
    <row r="1476" spans="1:16" x14ac:dyDescent="0.25">
      <c r="A1476" s="1274"/>
      <c r="B1476" s="1276" t="s">
        <v>4500</v>
      </c>
      <c r="C1476" s="1274">
        <v>98631</v>
      </c>
      <c r="H1476" s="1248"/>
      <c r="K1476" s="1248"/>
      <c r="P1476" s="1248"/>
    </row>
    <row r="1477" spans="1:16" x14ac:dyDescent="0.25">
      <c r="A1477" s="1274"/>
      <c r="B1477" s="1276" t="s">
        <v>3434</v>
      </c>
      <c r="C1477" s="1274">
        <v>98637</v>
      </c>
      <c r="H1477" s="1248"/>
      <c r="K1477" s="1248"/>
      <c r="P1477" s="1248"/>
    </row>
    <row r="1478" spans="1:16" x14ac:dyDescent="0.25">
      <c r="A1478" s="1274"/>
      <c r="B1478" s="1276" t="s">
        <v>4501</v>
      </c>
      <c r="C1478" s="1274">
        <v>96251</v>
      </c>
      <c r="H1478" s="1248"/>
      <c r="K1478" s="1248"/>
      <c r="P1478" s="1248"/>
    </row>
    <row r="1479" spans="1:16" x14ac:dyDescent="0.25">
      <c r="A1479" s="1274"/>
      <c r="B1479" s="1276" t="s">
        <v>4502</v>
      </c>
      <c r="C1479" s="1274">
        <v>93691</v>
      </c>
      <c r="H1479" s="1248"/>
      <c r="K1479" s="1248"/>
      <c r="P1479" s="1248"/>
    </row>
    <row r="1480" spans="1:16" x14ac:dyDescent="0.25">
      <c r="A1480" s="1274"/>
      <c r="B1480" s="1276" t="s">
        <v>4503</v>
      </c>
      <c r="C1480" s="1274">
        <v>99621</v>
      </c>
      <c r="H1480" s="1248"/>
      <c r="K1480" s="1248"/>
      <c r="P1480" s="1248"/>
    </row>
    <row r="1481" spans="1:16" x14ac:dyDescent="0.25">
      <c r="A1481" s="1274"/>
      <c r="B1481" s="1276" t="s">
        <v>4230</v>
      </c>
      <c r="C1481" s="1274">
        <v>99623</v>
      </c>
      <c r="H1481" s="1248"/>
      <c r="K1481" s="1248"/>
      <c r="P1481" s="1248"/>
    </row>
    <row r="1482" spans="1:16" x14ac:dyDescent="0.25">
      <c r="A1482" s="1274"/>
      <c r="B1482" s="1276" t="s">
        <v>4504</v>
      </c>
      <c r="C1482" s="1274">
        <v>91321</v>
      </c>
      <c r="H1482" s="1248"/>
      <c r="K1482" s="1248"/>
      <c r="P1482" s="1248"/>
    </row>
    <row r="1483" spans="1:16" x14ac:dyDescent="0.25">
      <c r="A1483" s="1274"/>
      <c r="B1483" s="1276" t="s">
        <v>4144</v>
      </c>
      <c r="C1483" s="1274">
        <v>91327</v>
      </c>
      <c r="H1483" s="1248"/>
      <c r="K1483" s="1248"/>
      <c r="P1483" s="1248"/>
    </row>
    <row r="1484" spans="1:16" x14ac:dyDescent="0.25">
      <c r="A1484" s="1274"/>
      <c r="B1484" s="1276" t="s">
        <v>4505</v>
      </c>
      <c r="C1484" s="1274">
        <v>94621</v>
      </c>
      <c r="H1484" s="1248"/>
      <c r="K1484" s="1248"/>
      <c r="P1484" s="1248"/>
    </row>
    <row r="1485" spans="1:16" x14ac:dyDescent="0.25">
      <c r="A1485" s="1274"/>
      <c r="B1485" s="1276" t="s">
        <v>4506</v>
      </c>
      <c r="C1485" s="1274">
        <v>92011</v>
      </c>
      <c r="H1485" s="1248"/>
      <c r="K1485" s="1248"/>
      <c r="P1485" s="1248"/>
    </row>
    <row r="1486" spans="1:16" x14ac:dyDescent="0.25">
      <c r="A1486" s="1274"/>
      <c r="B1486" s="1276" t="s">
        <v>2851</v>
      </c>
      <c r="C1486" s="1274">
        <v>92017</v>
      </c>
      <c r="H1486" s="1248"/>
      <c r="K1486" s="1248"/>
      <c r="P1486" s="1248"/>
    </row>
    <row r="1487" spans="1:16" x14ac:dyDescent="0.25">
      <c r="A1487" s="1274"/>
      <c r="B1487" s="1276" t="s">
        <v>3540</v>
      </c>
      <c r="C1487" s="1274">
        <v>99991</v>
      </c>
      <c r="H1487" s="1248"/>
      <c r="K1487" s="1248"/>
      <c r="P1487" s="1248"/>
    </row>
    <row r="1488" spans="1:16" x14ac:dyDescent="0.25">
      <c r="A1488" s="1274"/>
      <c r="B1488" s="1276" t="s">
        <v>3541</v>
      </c>
      <c r="C1488" s="1274">
        <v>99999</v>
      </c>
      <c r="H1488" s="1248"/>
      <c r="K1488" s="1248"/>
      <c r="P1488" s="1248"/>
    </row>
    <row r="1489" spans="1:16" x14ac:dyDescent="0.25">
      <c r="A1489" s="1274"/>
      <c r="B1489" s="1276" t="s">
        <v>4507</v>
      </c>
      <c r="C1489" s="1274">
        <v>92811</v>
      </c>
      <c r="H1489" s="1248"/>
      <c r="K1489" s="1248"/>
      <c r="P1489" s="1248"/>
    </row>
    <row r="1490" spans="1:16" x14ac:dyDescent="0.25">
      <c r="A1490" s="1274"/>
      <c r="B1490" s="1276" t="s">
        <v>2849</v>
      </c>
      <c r="C1490" s="1274">
        <v>92005</v>
      </c>
      <c r="H1490" s="1248"/>
      <c r="K1490" s="1248"/>
      <c r="P1490" s="1248"/>
    </row>
    <row r="1491" spans="1:16" x14ac:dyDescent="0.25">
      <c r="A1491" s="1274"/>
      <c r="B1491" s="1276" t="s">
        <v>3220</v>
      </c>
      <c r="C1491" s="1274">
        <v>96401</v>
      </c>
      <c r="H1491" s="1248"/>
      <c r="K1491" s="1248"/>
      <c r="P1491" s="1248"/>
    </row>
    <row r="1492" spans="1:16" x14ac:dyDescent="0.25">
      <c r="A1492" s="1274"/>
      <c r="B1492" s="1276" t="s">
        <v>3221</v>
      </c>
      <c r="C1492" s="1274">
        <v>96404</v>
      </c>
      <c r="H1492" s="1248"/>
      <c r="K1492" s="1248"/>
      <c r="P1492" s="1248"/>
    </row>
    <row r="1493" spans="1:16" x14ac:dyDescent="0.25">
      <c r="A1493" s="1274"/>
      <c r="B1493" s="1276" t="s">
        <v>4508</v>
      </c>
      <c r="C1493" s="1274">
        <v>96421</v>
      </c>
      <c r="H1493" s="1248"/>
      <c r="K1493" s="1248"/>
      <c r="P1493" s="1248"/>
    </row>
    <row r="1494" spans="1:16" x14ac:dyDescent="0.25">
      <c r="A1494" s="1274"/>
      <c r="B1494" s="1276" t="s">
        <v>4509</v>
      </c>
      <c r="C1494" s="1274">
        <v>91026</v>
      </c>
      <c r="H1494" s="1248"/>
      <c r="K1494" s="1248"/>
      <c r="P1494" s="1248"/>
    </row>
    <row r="1495" spans="1:16" x14ac:dyDescent="0.25">
      <c r="A1495" s="1274"/>
      <c r="B1495" s="1276" t="s">
        <v>3142</v>
      </c>
      <c r="C1495" s="1274">
        <v>95405</v>
      </c>
      <c r="H1495" s="1248"/>
      <c r="K1495" s="1248"/>
      <c r="P1495" s="1248"/>
    </row>
    <row r="1496" spans="1:16" x14ac:dyDescent="0.25">
      <c r="A1496" s="1274"/>
      <c r="B1496" s="1276" t="s">
        <v>3024</v>
      </c>
      <c r="C1496" s="1274">
        <v>94005</v>
      </c>
      <c r="H1496" s="1248"/>
      <c r="K1496" s="1248"/>
      <c r="P1496" s="1248"/>
    </row>
    <row r="1497" spans="1:16" x14ac:dyDescent="0.25">
      <c r="A1497" s="1274"/>
      <c r="B1497" s="1276" t="s">
        <v>3133</v>
      </c>
      <c r="C1497" s="1274">
        <v>95205</v>
      </c>
      <c r="H1497" s="1248"/>
      <c r="K1497" s="1248"/>
      <c r="P1497" s="1248"/>
    </row>
    <row r="1498" spans="1:16" x14ac:dyDescent="0.25">
      <c r="A1498" s="1274"/>
      <c r="B1498" s="1276" t="s">
        <v>2884</v>
      </c>
      <c r="C1498" s="1274">
        <v>92507</v>
      </c>
      <c r="H1498" s="1248"/>
      <c r="K1498" s="1248"/>
      <c r="P1498" s="1248"/>
    </row>
    <row r="1499" spans="1:16" x14ac:dyDescent="0.25">
      <c r="A1499" s="1274"/>
      <c r="B1499" s="1276" t="s">
        <v>4510</v>
      </c>
      <c r="C1499" s="1274">
        <v>92511</v>
      </c>
      <c r="H1499" s="1248"/>
      <c r="K1499" s="1248"/>
      <c r="P1499" s="1248"/>
    </row>
    <row r="1500" spans="1:16" x14ac:dyDescent="0.25">
      <c r="A1500" s="1274"/>
      <c r="B1500" s="1276" t="s">
        <v>4511</v>
      </c>
      <c r="C1500" s="1274">
        <v>92113</v>
      </c>
      <c r="H1500" s="1248"/>
      <c r="K1500" s="1248"/>
      <c r="P1500" s="1248"/>
    </row>
    <row r="1501" spans="1:16" x14ac:dyDescent="0.25">
      <c r="A1501" s="1274"/>
      <c r="B1501" s="1276" t="s">
        <v>4193</v>
      </c>
      <c r="C1501" s="1274">
        <v>96502</v>
      </c>
      <c r="H1501" s="1248"/>
      <c r="K1501" s="1248"/>
      <c r="P1501" s="1248"/>
    </row>
    <row r="1502" spans="1:16" x14ac:dyDescent="0.25">
      <c r="A1502" s="1274"/>
      <c r="B1502" s="1276" t="s">
        <v>3229</v>
      </c>
      <c r="C1502" s="1274">
        <v>96501</v>
      </c>
      <c r="H1502" s="1248"/>
      <c r="K1502" s="1248"/>
      <c r="P1502" s="1248"/>
    </row>
    <row r="1503" spans="1:16" x14ac:dyDescent="0.25">
      <c r="A1503" s="1274"/>
      <c r="B1503" s="1276" t="s">
        <v>3232</v>
      </c>
      <c r="C1503" s="1274">
        <v>96504</v>
      </c>
      <c r="H1503" s="1248"/>
      <c r="K1503" s="1248"/>
      <c r="P1503" s="1248"/>
    </row>
    <row r="1504" spans="1:16" x14ac:dyDescent="0.25">
      <c r="A1504" s="1274"/>
      <c r="B1504" s="1279" t="s">
        <v>4512</v>
      </c>
      <c r="C1504" s="1274">
        <v>98471</v>
      </c>
      <c r="H1504" s="1248"/>
      <c r="K1504" s="1248"/>
      <c r="P1504" s="1248"/>
    </row>
    <row r="1505" spans="1:16" x14ac:dyDescent="0.25">
      <c r="A1505" s="1274"/>
      <c r="B1505" s="1276" t="s">
        <v>4513</v>
      </c>
      <c r="C1505" s="1274">
        <v>97913</v>
      </c>
      <c r="H1505" s="1248"/>
      <c r="K1505" s="1248"/>
      <c r="P1505" s="1248"/>
    </row>
    <row r="1506" spans="1:16" x14ac:dyDescent="0.25">
      <c r="A1506" s="1274"/>
      <c r="B1506" s="1276" t="s">
        <v>4514</v>
      </c>
      <c r="C1506" s="1274">
        <v>90621</v>
      </c>
      <c r="H1506" s="1248"/>
      <c r="K1506" s="1248"/>
      <c r="P1506" s="1248"/>
    </row>
    <row r="1507" spans="1:16" x14ac:dyDescent="0.25">
      <c r="A1507" s="1274"/>
      <c r="B1507" s="1276" t="s">
        <v>4515</v>
      </c>
      <c r="C1507" s="1274">
        <v>91621</v>
      </c>
      <c r="H1507" s="1248"/>
      <c r="K1507" s="1248"/>
      <c r="P1507" s="1248"/>
    </row>
    <row r="1508" spans="1:16" x14ac:dyDescent="0.25">
      <c r="A1508" s="1274"/>
      <c r="B1508" s="1276" t="s">
        <v>4516</v>
      </c>
      <c r="C1508" s="1274">
        <v>91871</v>
      </c>
      <c r="H1508" s="1248"/>
      <c r="K1508" s="1248"/>
      <c r="P1508" s="1248"/>
    </row>
    <row r="1509" spans="1:16" x14ac:dyDescent="0.25">
      <c r="A1509" s="1274"/>
      <c r="B1509" s="1276" t="s">
        <v>4517</v>
      </c>
      <c r="C1509" s="1274">
        <v>98231</v>
      </c>
      <c r="H1509" s="1248"/>
      <c r="K1509" s="1248"/>
      <c r="P1509" s="1248"/>
    </row>
    <row r="1510" spans="1:16" x14ac:dyDescent="0.25">
      <c r="A1510" s="1274"/>
      <c r="B1510" s="1276" t="s">
        <v>4518</v>
      </c>
      <c r="C1510" s="1274">
        <v>99311</v>
      </c>
      <c r="H1510" s="1248"/>
      <c r="K1510" s="1248"/>
      <c r="P1510" s="1248"/>
    </row>
    <row r="1511" spans="1:16" x14ac:dyDescent="0.25">
      <c r="A1511" s="1274"/>
      <c r="B1511" s="1276" t="s">
        <v>4519</v>
      </c>
      <c r="C1511" s="1274">
        <v>96751</v>
      </c>
      <c r="H1511" s="1248"/>
      <c r="K1511" s="1248"/>
      <c r="P1511" s="1248"/>
    </row>
    <row r="1512" spans="1:16" x14ac:dyDescent="0.25">
      <c r="A1512" s="1274"/>
      <c r="B1512" s="1276" t="s">
        <v>4520</v>
      </c>
      <c r="C1512" s="1274">
        <v>99711</v>
      </c>
      <c r="H1512" s="1248"/>
      <c r="K1512" s="1248"/>
      <c r="P1512" s="1248"/>
    </row>
    <row r="1513" spans="1:16" x14ac:dyDescent="0.25">
      <c r="A1513" s="1274"/>
      <c r="B1513" s="1276" t="s">
        <v>4521</v>
      </c>
      <c r="C1513" s="1274">
        <v>99717</v>
      </c>
      <c r="H1513" s="1248"/>
      <c r="K1513" s="1248"/>
      <c r="P1513" s="1248"/>
    </row>
    <row r="1514" spans="1:16" x14ac:dyDescent="0.25">
      <c r="A1514" s="1274"/>
      <c r="B1514" s="1276" t="s">
        <v>3241</v>
      </c>
      <c r="C1514" s="1274">
        <v>96601</v>
      </c>
      <c r="H1514" s="1248"/>
      <c r="K1514" s="1248"/>
      <c r="P1514" s="1248"/>
    </row>
    <row r="1515" spans="1:16" x14ac:dyDescent="0.25">
      <c r="A1515" s="1274"/>
      <c r="B1515" s="1276" t="s">
        <v>3242</v>
      </c>
      <c r="C1515" s="1274">
        <v>96604</v>
      </c>
      <c r="H1515" s="1248"/>
      <c r="K1515" s="1248"/>
      <c r="P1515" s="1248"/>
    </row>
    <row r="1516" spans="1:16" x14ac:dyDescent="0.25">
      <c r="A1516" s="1274"/>
      <c r="B1516" s="1276" t="s">
        <v>4522</v>
      </c>
      <c r="C1516" s="1274">
        <v>91012</v>
      </c>
      <c r="H1516" s="1248"/>
      <c r="K1516" s="1248"/>
      <c r="P1516" s="1248"/>
    </row>
    <row r="1517" spans="1:16" x14ac:dyDescent="0.25">
      <c r="A1517" s="1274"/>
      <c r="B1517" s="1276" t="s">
        <v>2679</v>
      </c>
      <c r="C1517" s="1274">
        <v>90305</v>
      </c>
      <c r="H1517" s="1248"/>
      <c r="K1517" s="1248"/>
      <c r="P1517" s="1248"/>
    </row>
    <row r="1518" spans="1:16" x14ac:dyDescent="0.25">
      <c r="A1518" s="1274"/>
      <c r="B1518" s="1276" t="s">
        <v>4523</v>
      </c>
      <c r="C1518" s="1274">
        <v>98421</v>
      </c>
      <c r="H1518" s="1248"/>
      <c r="K1518" s="1248"/>
      <c r="P1518" s="1248"/>
    </row>
    <row r="1519" spans="1:16" x14ac:dyDescent="0.25">
      <c r="A1519" s="1274"/>
      <c r="B1519" s="1276" t="s">
        <v>4216</v>
      </c>
      <c r="C1519" s="1274">
        <v>98427</v>
      </c>
      <c r="H1519" s="1248"/>
      <c r="K1519" s="1248"/>
      <c r="P1519" s="1248"/>
    </row>
    <row r="1520" spans="1:16" x14ac:dyDescent="0.25">
      <c r="A1520" s="1274"/>
      <c r="B1520" s="1276" t="s">
        <v>4524</v>
      </c>
      <c r="C1520" s="1274">
        <v>95821</v>
      </c>
      <c r="H1520" s="1248"/>
      <c r="K1520" s="1248"/>
      <c r="P1520" s="1248"/>
    </row>
    <row r="1521" spans="1:16" x14ac:dyDescent="0.25">
      <c r="A1521" s="1274"/>
      <c r="B1521" s="1276" t="s">
        <v>4525</v>
      </c>
      <c r="C1521" s="1274">
        <v>91021</v>
      </c>
      <c r="H1521" s="1248"/>
      <c r="K1521" s="1248"/>
      <c r="P1521" s="1248"/>
    </row>
    <row r="1522" spans="1:16" x14ac:dyDescent="0.25">
      <c r="A1522" s="1274"/>
      <c r="B1522" s="1276" t="s">
        <v>4130</v>
      </c>
      <c r="C1522" s="1274">
        <v>91027</v>
      </c>
      <c r="H1522" s="1248"/>
      <c r="K1522" s="1248"/>
      <c r="P1522" s="1248"/>
    </row>
    <row r="1523" spans="1:16" x14ac:dyDescent="0.25">
      <c r="A1523" s="1274"/>
      <c r="B1523" s="1276" t="s">
        <v>4526</v>
      </c>
      <c r="C1523" s="1274">
        <v>94161</v>
      </c>
      <c r="H1523" s="1248"/>
      <c r="K1523" s="1248"/>
      <c r="P1523" s="1248"/>
    </row>
    <row r="1524" spans="1:16" x14ac:dyDescent="0.25">
      <c r="A1524" s="1274"/>
      <c r="B1524" s="1276" t="s">
        <v>4527</v>
      </c>
      <c r="C1524" s="1274">
        <v>98441</v>
      </c>
      <c r="H1524" s="1248"/>
      <c r="K1524" s="1248"/>
      <c r="P1524" s="1248"/>
    </row>
    <row r="1525" spans="1:16" x14ac:dyDescent="0.25">
      <c r="A1525" s="1274"/>
      <c r="B1525" s="1276" t="s">
        <v>4528</v>
      </c>
      <c r="C1525" s="1274">
        <v>91061</v>
      </c>
      <c r="H1525" s="1248"/>
      <c r="K1525" s="1248"/>
      <c r="P1525" s="1248"/>
    </row>
    <row r="1526" spans="1:16" x14ac:dyDescent="0.25">
      <c r="A1526" s="1274"/>
      <c r="B1526" s="1276" t="s">
        <v>2750</v>
      </c>
      <c r="C1526" s="1274">
        <v>91067</v>
      </c>
      <c r="H1526" s="1248"/>
      <c r="K1526" s="1248"/>
      <c r="P1526" s="1248"/>
    </row>
    <row r="1527" spans="1:16" x14ac:dyDescent="0.25">
      <c r="A1527" s="1274"/>
      <c r="B1527" s="1276" t="s">
        <v>4180</v>
      </c>
      <c r="C1527" s="1274">
        <v>94812</v>
      </c>
      <c r="H1527" s="1248"/>
      <c r="K1527" s="1248"/>
      <c r="P1527" s="1248"/>
    </row>
    <row r="1528" spans="1:16" x14ac:dyDescent="0.25">
      <c r="A1528" s="1274"/>
      <c r="B1528" s="1276" t="s">
        <v>4529</v>
      </c>
      <c r="C1528" s="1274">
        <v>95921</v>
      </c>
      <c r="H1528" s="1248"/>
      <c r="K1528" s="1248"/>
      <c r="P1528" s="1248"/>
    </row>
    <row r="1529" spans="1:16" x14ac:dyDescent="0.25">
      <c r="A1529" s="1274"/>
      <c r="B1529" s="1276" t="s">
        <v>3252</v>
      </c>
      <c r="C1529" s="1274">
        <v>96701</v>
      </c>
      <c r="H1529" s="1248"/>
      <c r="K1529" s="1248"/>
      <c r="P1529" s="1248"/>
    </row>
    <row r="1530" spans="1:16" x14ac:dyDescent="0.25">
      <c r="A1530" s="1274"/>
      <c r="B1530" s="1276" t="s">
        <v>3253</v>
      </c>
      <c r="C1530" s="1274">
        <v>96704</v>
      </c>
      <c r="H1530" s="1248"/>
      <c r="K1530" s="1248"/>
      <c r="P1530" s="1248"/>
    </row>
    <row r="1531" spans="1:16" x14ac:dyDescent="0.25">
      <c r="A1531" s="1274"/>
      <c r="B1531" s="1276" t="s">
        <v>3254</v>
      </c>
      <c r="C1531" s="1274">
        <v>96708</v>
      </c>
      <c r="H1531" s="1248"/>
      <c r="K1531" s="1248"/>
      <c r="P1531" s="1248"/>
    </row>
    <row r="1532" spans="1:16" x14ac:dyDescent="0.25">
      <c r="A1532" s="1274"/>
      <c r="B1532" s="1276" t="s">
        <v>3261</v>
      </c>
      <c r="C1532" s="1274">
        <v>96801</v>
      </c>
      <c r="H1532" s="1248"/>
      <c r="K1532" s="1248"/>
      <c r="P1532" s="1248"/>
    </row>
    <row r="1533" spans="1:16" x14ac:dyDescent="0.25">
      <c r="A1533" s="1274"/>
      <c r="B1533" s="1276" t="s">
        <v>3262</v>
      </c>
      <c r="C1533" s="1274">
        <v>96804</v>
      </c>
      <c r="H1533" s="1248"/>
      <c r="K1533" s="1248"/>
      <c r="P1533" s="1248"/>
    </row>
    <row r="1534" spans="1:16" x14ac:dyDescent="0.25">
      <c r="A1534" s="1274"/>
      <c r="B1534" s="1276" t="s">
        <v>3263</v>
      </c>
      <c r="C1534" s="1274">
        <v>96808</v>
      </c>
      <c r="H1534" s="1248"/>
      <c r="K1534" s="1248"/>
      <c r="P1534" s="1248"/>
    </row>
    <row r="1535" spans="1:16" x14ac:dyDescent="0.25">
      <c r="A1535" s="1274"/>
      <c r="B1535" s="1276" t="s">
        <v>4530</v>
      </c>
      <c r="C1535" s="1274">
        <v>96912</v>
      </c>
      <c r="H1535" s="1248"/>
      <c r="K1535" s="1248"/>
      <c r="P1535" s="1248"/>
    </row>
    <row r="1536" spans="1:16" x14ac:dyDescent="0.25">
      <c r="A1536" s="1274"/>
      <c r="B1536" s="1276" t="s">
        <v>4531</v>
      </c>
      <c r="C1536" s="1274">
        <v>93911</v>
      </c>
      <c r="H1536" s="1248"/>
      <c r="K1536" s="1248"/>
      <c r="P1536" s="1248"/>
    </row>
    <row r="1537" spans="1:16" x14ac:dyDescent="0.25">
      <c r="A1537" s="1274"/>
      <c r="B1537" s="1276" t="s">
        <v>3017</v>
      </c>
      <c r="C1537" s="1274">
        <v>93913</v>
      </c>
      <c r="H1537" s="1248"/>
      <c r="K1537" s="1248"/>
      <c r="P1537" s="1248"/>
    </row>
    <row r="1538" spans="1:16" x14ac:dyDescent="0.25">
      <c r="A1538" s="1274"/>
      <c r="B1538" s="1276" t="s">
        <v>3267</v>
      </c>
      <c r="C1538" s="1274">
        <v>96901</v>
      </c>
      <c r="H1538" s="1248"/>
      <c r="K1538" s="1248"/>
      <c r="P1538" s="1248"/>
    </row>
    <row r="1539" spans="1:16" x14ac:dyDescent="0.25">
      <c r="A1539" s="1274"/>
      <c r="B1539" s="1276" t="s">
        <v>4532</v>
      </c>
      <c r="C1539" s="1274">
        <v>97841</v>
      </c>
      <c r="H1539" s="1248"/>
      <c r="K1539" s="1248"/>
      <c r="P1539" s="1248"/>
    </row>
    <row r="1540" spans="1:16" x14ac:dyDescent="0.25">
      <c r="A1540" s="1274"/>
      <c r="B1540" s="1276" t="s">
        <v>2948</v>
      </c>
      <c r="C1540" s="1274">
        <v>93202</v>
      </c>
      <c r="H1540" s="1248"/>
      <c r="K1540" s="1248"/>
      <c r="P1540" s="1248"/>
    </row>
    <row r="1541" spans="1:16" x14ac:dyDescent="0.25">
      <c r="A1541" s="1274"/>
      <c r="B1541" s="1276" t="s">
        <v>2990</v>
      </c>
      <c r="C1541" s="1274">
        <v>93609</v>
      </c>
      <c r="H1541" s="1248"/>
      <c r="K1541" s="1248"/>
      <c r="P1541" s="1248"/>
    </row>
    <row r="1542" spans="1:16" x14ac:dyDescent="0.25">
      <c r="A1542" s="1274"/>
      <c r="B1542" s="1276" t="s">
        <v>3273</v>
      </c>
      <c r="C1542" s="1274">
        <v>97004</v>
      </c>
      <c r="H1542" s="1248"/>
      <c r="K1542" s="1248"/>
      <c r="P1542" s="1248"/>
    </row>
    <row r="1543" spans="1:16" x14ac:dyDescent="0.25">
      <c r="A1543" s="1274"/>
      <c r="B1543" s="1276" t="s">
        <v>3271</v>
      </c>
      <c r="C1543" s="1274">
        <v>97001</v>
      </c>
      <c r="H1543" s="1248"/>
      <c r="K1543" s="1248"/>
      <c r="P1543" s="1248"/>
    </row>
    <row r="1544" spans="1:16" x14ac:dyDescent="0.25">
      <c r="A1544" s="1274"/>
      <c r="B1544" s="1276" t="s">
        <v>3272</v>
      </c>
      <c r="C1544" s="1274">
        <v>97002</v>
      </c>
      <c r="H1544" s="1248"/>
      <c r="K1544" s="1248"/>
      <c r="P1544" s="1248"/>
    </row>
    <row r="1545" spans="1:16" x14ac:dyDescent="0.25">
      <c r="A1545" s="1274"/>
      <c r="B1545" s="1276" t="s">
        <v>3280</v>
      </c>
      <c r="C1545" s="1274">
        <v>97015</v>
      </c>
      <c r="H1545" s="1248"/>
      <c r="K1545" s="1248"/>
      <c r="P1545" s="1248"/>
    </row>
    <row r="1546" spans="1:16" x14ac:dyDescent="0.25">
      <c r="A1546" s="1274"/>
      <c r="B1546" s="1276" t="s">
        <v>4533</v>
      </c>
      <c r="C1546" s="1274">
        <v>90441</v>
      </c>
      <c r="H1546" s="1248"/>
      <c r="K1546" s="1248"/>
      <c r="P1546" s="1248"/>
    </row>
    <row r="1547" spans="1:16" x14ac:dyDescent="0.25">
      <c r="A1547" s="1274"/>
      <c r="B1547" s="1276" t="s">
        <v>4534</v>
      </c>
      <c r="C1547" s="1274">
        <v>97851</v>
      </c>
      <c r="H1547" s="1248"/>
      <c r="K1547" s="1248"/>
      <c r="P1547" s="1248"/>
    </row>
    <row r="1548" spans="1:16" x14ac:dyDescent="0.25">
      <c r="A1548" s="1274"/>
      <c r="B1548" s="1276" t="s">
        <v>3352</v>
      </c>
      <c r="C1548" s="1274">
        <v>97853</v>
      </c>
      <c r="H1548" s="1248"/>
      <c r="K1548" s="1248"/>
      <c r="P1548" s="1248"/>
    </row>
    <row r="1549" spans="1:16" x14ac:dyDescent="0.25">
      <c r="A1549" s="1274"/>
      <c r="B1549" s="1276" t="s">
        <v>3282</v>
      </c>
      <c r="C1549" s="1274">
        <v>97101</v>
      </c>
      <c r="H1549" s="1248"/>
      <c r="K1549" s="1248"/>
      <c r="P1549" s="1248"/>
    </row>
    <row r="1550" spans="1:16" x14ac:dyDescent="0.25">
      <c r="A1550" s="1274"/>
      <c r="B1550" s="1276" t="s">
        <v>3283</v>
      </c>
      <c r="C1550" s="1274">
        <v>97104</v>
      </c>
      <c r="H1550" s="1248"/>
      <c r="K1550" s="1248"/>
      <c r="P1550" s="1248"/>
    </row>
    <row r="1551" spans="1:16" x14ac:dyDescent="0.25">
      <c r="A1551" s="1274"/>
      <c r="B1551" s="1276" t="s">
        <v>3287</v>
      </c>
      <c r="C1551" s="1274">
        <v>97201</v>
      </c>
      <c r="H1551" s="1248"/>
      <c r="K1551" s="1248"/>
      <c r="P1551" s="1248"/>
    </row>
    <row r="1552" spans="1:16" x14ac:dyDescent="0.25">
      <c r="A1552" s="1274"/>
      <c r="B1552" s="1276" t="s">
        <v>4535</v>
      </c>
      <c r="C1552" s="1274">
        <v>97304</v>
      </c>
      <c r="H1552" s="1248"/>
      <c r="K1552" s="1248"/>
      <c r="P1552" s="1248"/>
    </row>
    <row r="1553" spans="1:16" x14ac:dyDescent="0.25">
      <c r="A1553" s="1274"/>
      <c r="B1553" s="1276" t="s">
        <v>3292</v>
      </c>
      <c r="C1553" s="1274">
        <v>97301</v>
      </c>
      <c r="H1553" s="1248"/>
      <c r="K1553" s="1248"/>
      <c r="P1553" s="1248"/>
    </row>
    <row r="1554" spans="1:16" x14ac:dyDescent="0.25">
      <c r="A1554" s="1274"/>
      <c r="B1554" s="1276" t="s">
        <v>3493</v>
      </c>
      <c r="C1554" s="1274">
        <v>99405</v>
      </c>
      <c r="H1554" s="1248"/>
      <c r="K1554" s="1248"/>
      <c r="P1554" s="1248"/>
    </row>
    <row r="1555" spans="1:16" x14ac:dyDescent="0.25">
      <c r="A1555" s="1274"/>
      <c r="B1555" s="1276" t="s">
        <v>2655</v>
      </c>
      <c r="C1555" s="1278">
        <v>72265</v>
      </c>
      <c r="H1555" s="1248"/>
      <c r="K1555" s="1248"/>
      <c r="P1555" s="1248"/>
    </row>
    <row r="1556" spans="1:16" x14ac:dyDescent="0.25">
      <c r="A1556" s="1274"/>
      <c r="B1556" s="1276" t="s">
        <v>4536</v>
      </c>
      <c r="C1556" s="1274">
        <v>94112</v>
      </c>
      <c r="H1556" s="1248"/>
      <c r="K1556" s="1248"/>
      <c r="P1556" s="1248"/>
    </row>
    <row r="1557" spans="1:16" x14ac:dyDescent="0.25">
      <c r="A1557" s="1274"/>
      <c r="B1557" s="1276" t="s">
        <v>2968</v>
      </c>
      <c r="C1557" s="1274">
        <v>93406</v>
      </c>
      <c r="H1557" s="1248"/>
      <c r="K1557" s="1248"/>
      <c r="P1557" s="1248"/>
    </row>
    <row r="1558" spans="1:16" x14ac:dyDescent="0.25">
      <c r="A1558" s="1274"/>
      <c r="B1558" s="1276" t="s">
        <v>4537</v>
      </c>
      <c r="C1558" s="1274">
        <v>99651</v>
      </c>
      <c r="H1558" s="1248"/>
      <c r="K1558" s="1248"/>
      <c r="P1558" s="1248"/>
    </row>
    <row r="1559" spans="1:16" x14ac:dyDescent="0.25">
      <c r="A1559" s="1274"/>
      <c r="B1559" s="1276" t="s">
        <v>4538</v>
      </c>
      <c r="C1559" s="1274">
        <v>98611</v>
      </c>
      <c r="H1559" s="1248"/>
      <c r="K1559" s="1248"/>
      <c r="P1559" s="1248"/>
    </row>
    <row r="1560" spans="1:16" x14ac:dyDescent="0.25">
      <c r="A1560" s="1274"/>
      <c r="B1560" s="1276" t="s">
        <v>3428</v>
      </c>
      <c r="C1560" s="1274">
        <v>98607</v>
      </c>
      <c r="H1560" s="1248"/>
      <c r="K1560" s="1248"/>
      <c r="P1560" s="1248"/>
    </row>
    <row r="1561" spans="1:16" x14ac:dyDescent="0.25">
      <c r="A1561" s="1274"/>
      <c r="B1561" s="1276" t="s">
        <v>4539</v>
      </c>
      <c r="C1561" s="1274">
        <v>91641</v>
      </c>
      <c r="H1561" s="1248"/>
      <c r="K1561" s="1248"/>
      <c r="P1561" s="1248"/>
    </row>
    <row r="1562" spans="1:16" x14ac:dyDescent="0.25">
      <c r="A1562" s="1274"/>
      <c r="B1562" s="1276" t="s">
        <v>4540</v>
      </c>
      <c r="C1562" s="1274">
        <v>95161</v>
      </c>
      <c r="H1562" s="1248"/>
      <c r="K1562" s="1248"/>
      <c r="P1562" s="1248"/>
    </row>
    <row r="1563" spans="1:16" x14ac:dyDescent="0.25">
      <c r="A1563" s="1274"/>
      <c r="B1563" s="1276" t="s">
        <v>4541</v>
      </c>
      <c r="C1563" s="1274">
        <v>96361</v>
      </c>
      <c r="H1563" s="1248"/>
      <c r="K1563" s="1248"/>
      <c r="P1563" s="1248"/>
    </row>
    <row r="1564" spans="1:16" x14ac:dyDescent="0.25">
      <c r="A1564" s="1274"/>
      <c r="B1564" s="1276" t="s">
        <v>3030</v>
      </c>
      <c r="C1564" s="1274">
        <v>94108</v>
      </c>
      <c r="H1564" s="1248"/>
      <c r="K1564" s="1248"/>
      <c r="P1564" s="1248"/>
    </row>
    <row r="1565" spans="1:16" x14ac:dyDescent="0.25">
      <c r="A1565" s="1274"/>
      <c r="B1565" s="1276" t="s">
        <v>4542</v>
      </c>
      <c r="C1565" s="1274">
        <v>96351</v>
      </c>
      <c r="H1565" s="1248"/>
      <c r="K1565" s="1248"/>
      <c r="P1565" s="1248"/>
    </row>
    <row r="1566" spans="1:16" x14ac:dyDescent="0.25">
      <c r="A1566" s="1274"/>
      <c r="B1566" s="1276" t="s">
        <v>4543</v>
      </c>
      <c r="C1566" s="1274">
        <v>93331</v>
      </c>
      <c r="H1566" s="1248"/>
      <c r="K1566" s="1248"/>
      <c r="P1566" s="1248"/>
    </row>
    <row r="1567" spans="1:16" x14ac:dyDescent="0.25">
      <c r="A1567" s="1274"/>
      <c r="B1567" s="1276" t="s">
        <v>4544</v>
      </c>
      <c r="C1567" s="1274">
        <v>96021</v>
      </c>
      <c r="H1567" s="1248"/>
      <c r="K1567" s="1248"/>
      <c r="P1567" s="1248"/>
    </row>
    <row r="1568" spans="1:16" x14ac:dyDescent="0.25">
      <c r="A1568" s="1274"/>
      <c r="B1568" s="1276" t="s">
        <v>4545</v>
      </c>
      <c r="C1568" s="1274">
        <v>95421</v>
      </c>
      <c r="H1568" s="1248"/>
      <c r="K1568" s="1248"/>
      <c r="P1568" s="1248"/>
    </row>
    <row r="1569" spans="1:16" x14ac:dyDescent="0.25">
      <c r="A1569" s="1274"/>
      <c r="B1569" s="1276" t="s">
        <v>3295</v>
      </c>
      <c r="C1569" s="1274">
        <v>97401</v>
      </c>
      <c r="H1569" s="1248"/>
      <c r="K1569" s="1248"/>
      <c r="P1569" s="1248"/>
    </row>
    <row r="1570" spans="1:16" x14ac:dyDescent="0.25">
      <c r="A1570" s="1274"/>
      <c r="B1570" s="1276" t="s">
        <v>3297</v>
      </c>
      <c r="C1570" s="1274">
        <v>97404</v>
      </c>
      <c r="H1570" s="1248"/>
      <c r="K1570" s="1248"/>
      <c r="P1570" s="1248"/>
    </row>
    <row r="1571" spans="1:16" x14ac:dyDescent="0.25">
      <c r="A1571" s="1274"/>
      <c r="B1571" s="1276" t="s">
        <v>4546</v>
      </c>
      <c r="C1571" s="1274">
        <v>97402</v>
      </c>
      <c r="H1571" s="1248"/>
      <c r="K1571" s="1248"/>
      <c r="P1571" s="1248"/>
    </row>
    <row r="1572" spans="1:16" x14ac:dyDescent="0.25">
      <c r="A1572" s="1274"/>
      <c r="B1572" s="1276" t="s">
        <v>4547</v>
      </c>
      <c r="C1572" s="1274">
        <v>91921</v>
      </c>
      <c r="H1572" s="1248"/>
      <c r="K1572" s="1248"/>
      <c r="P1572" s="1248"/>
    </row>
    <row r="1573" spans="1:16" x14ac:dyDescent="0.25">
      <c r="A1573" s="1274"/>
      <c r="B1573" s="1276" t="s">
        <v>3173</v>
      </c>
      <c r="C1573" s="1274">
        <v>95908</v>
      </c>
      <c r="H1573" s="1248"/>
      <c r="K1573" s="1248"/>
      <c r="P1573" s="1248"/>
    </row>
    <row r="1574" spans="1:16" x14ac:dyDescent="0.25">
      <c r="A1574" s="1274"/>
      <c r="B1574" s="1276" t="s">
        <v>4548</v>
      </c>
      <c r="C1574" s="1274">
        <v>99411</v>
      </c>
      <c r="H1574" s="1248"/>
      <c r="K1574" s="1248"/>
      <c r="P1574" s="1248"/>
    </row>
    <row r="1575" spans="1:16" x14ac:dyDescent="0.25">
      <c r="A1575" s="1274"/>
      <c r="B1575" s="1276" t="s">
        <v>3495</v>
      </c>
      <c r="C1575" s="1274">
        <v>99413</v>
      </c>
      <c r="H1575" s="1248"/>
      <c r="K1575" s="1248"/>
      <c r="P1575" s="1248"/>
    </row>
    <row r="1576" spans="1:16" x14ac:dyDescent="0.25">
      <c r="A1576" s="1274"/>
      <c r="B1576" s="1276" t="s">
        <v>3313</v>
      </c>
      <c r="C1576" s="1274">
        <v>97501</v>
      </c>
      <c r="H1576" s="1248"/>
      <c r="K1576" s="1248"/>
      <c r="P1576" s="1248"/>
    </row>
    <row r="1577" spans="1:16" x14ac:dyDescent="0.25">
      <c r="A1577" s="1274"/>
      <c r="B1577" s="1276" t="s">
        <v>4549</v>
      </c>
      <c r="C1577" s="1274">
        <v>90431</v>
      </c>
      <c r="H1577" s="1248"/>
      <c r="K1577" s="1248"/>
      <c r="P1577" s="1248"/>
    </row>
    <row r="1578" spans="1:16" x14ac:dyDescent="0.25">
      <c r="A1578" s="1274"/>
      <c r="B1578" s="1276" t="s">
        <v>4550</v>
      </c>
      <c r="C1578" s="1274">
        <v>95211</v>
      </c>
      <c r="H1578" s="1248"/>
      <c r="K1578" s="1248"/>
      <c r="P1578" s="1248"/>
    </row>
    <row r="1579" spans="1:16" x14ac:dyDescent="0.25">
      <c r="A1579" s="1274"/>
      <c r="B1579" s="1276" t="s">
        <v>4551</v>
      </c>
      <c r="C1579" s="1274">
        <v>95181</v>
      </c>
      <c r="H1579" s="1248"/>
      <c r="K1579" s="1248"/>
      <c r="P1579" s="1248"/>
    </row>
    <row r="1580" spans="1:16" x14ac:dyDescent="0.25">
      <c r="A1580" s="1274"/>
      <c r="B1580" s="1276" t="s">
        <v>4552</v>
      </c>
      <c r="C1580" s="1274">
        <v>93351</v>
      </c>
      <c r="H1580" s="1248"/>
      <c r="K1580" s="1248"/>
      <c r="P1580" s="1248"/>
    </row>
    <row r="1581" spans="1:16" x14ac:dyDescent="0.25">
      <c r="A1581" s="1274"/>
      <c r="B1581" s="1276" t="s">
        <v>3116</v>
      </c>
      <c r="C1581" s="1274">
        <v>95105</v>
      </c>
      <c r="H1581" s="1248"/>
      <c r="K1581" s="1248"/>
      <c r="P1581" s="1248"/>
    </row>
    <row r="1582" spans="1:16" x14ac:dyDescent="0.25">
      <c r="A1582" s="1274"/>
      <c r="B1582" s="1276" t="s">
        <v>4553</v>
      </c>
      <c r="C1582" s="1274">
        <v>94711</v>
      </c>
      <c r="H1582" s="1248"/>
      <c r="K1582" s="1248"/>
      <c r="P1582" s="1248"/>
    </row>
    <row r="1583" spans="1:16" x14ac:dyDescent="0.25">
      <c r="A1583" s="1274"/>
      <c r="B1583" s="1276" t="s">
        <v>4554</v>
      </c>
      <c r="C1583" s="1274">
        <v>99211</v>
      </c>
      <c r="H1583" s="1248"/>
      <c r="K1583" s="1248"/>
      <c r="P1583" s="1248"/>
    </row>
    <row r="1584" spans="1:16" x14ac:dyDescent="0.25">
      <c r="A1584" s="1274"/>
      <c r="B1584" s="1276" t="s">
        <v>4555</v>
      </c>
      <c r="C1584" s="1274">
        <v>99213</v>
      </c>
      <c r="H1584" s="1248"/>
      <c r="K1584" s="1248"/>
      <c r="P1584" s="1248"/>
    </row>
    <row r="1585" spans="1:16" x14ac:dyDescent="0.25">
      <c r="A1585" s="1274"/>
      <c r="B1585" s="1276" t="s">
        <v>3476</v>
      </c>
      <c r="C1585" s="1274">
        <v>99218</v>
      </c>
      <c r="H1585" s="1248"/>
      <c r="K1585" s="1248"/>
      <c r="P1585" s="1248"/>
    </row>
    <row r="1586" spans="1:16" x14ac:dyDescent="0.25">
      <c r="A1586" s="1274"/>
      <c r="B1586" s="1276" t="s">
        <v>4556</v>
      </c>
      <c r="C1586" s="1274">
        <v>97641</v>
      </c>
      <c r="H1586" s="1248"/>
      <c r="K1586" s="1248"/>
      <c r="P1586" s="1248"/>
    </row>
    <row r="1587" spans="1:16" x14ac:dyDescent="0.25">
      <c r="A1587" s="1274"/>
      <c r="B1587" s="1276" t="s">
        <v>4557</v>
      </c>
      <c r="C1587" s="1274">
        <v>97621</v>
      </c>
      <c r="H1587" s="1248"/>
      <c r="K1587" s="1248"/>
      <c r="P1587" s="1248"/>
    </row>
    <row r="1588" spans="1:16" x14ac:dyDescent="0.25">
      <c r="A1588" s="1274"/>
      <c r="B1588" s="1276" t="s">
        <v>4558</v>
      </c>
      <c r="C1588" s="1274">
        <v>97627</v>
      </c>
      <c r="H1588" s="1248"/>
      <c r="K1588" s="1248"/>
      <c r="P1588" s="1248"/>
    </row>
    <row r="1589" spans="1:16" x14ac:dyDescent="0.25">
      <c r="A1589" s="1274"/>
      <c r="B1589" s="1276" t="s">
        <v>4559</v>
      </c>
      <c r="C1589" s="1274">
        <v>97623</v>
      </c>
      <c r="H1589" s="1248"/>
      <c r="K1589" s="1248"/>
      <c r="P1589" s="1248"/>
    </row>
    <row r="1590" spans="1:16" x14ac:dyDescent="0.25">
      <c r="A1590" s="1274"/>
      <c r="B1590" s="1276" t="s">
        <v>3317</v>
      </c>
      <c r="C1590" s="1274">
        <v>97601</v>
      </c>
      <c r="H1590" s="1248"/>
      <c r="K1590" s="1248"/>
      <c r="P1590" s="1248"/>
    </row>
    <row r="1591" spans="1:16" x14ac:dyDescent="0.25">
      <c r="A1591" s="1274"/>
      <c r="B1591" s="1276" t="s">
        <v>4560</v>
      </c>
      <c r="C1591" s="1274">
        <v>93681</v>
      </c>
      <c r="H1591" s="1248"/>
      <c r="K1591" s="1248"/>
      <c r="P1591" s="1248"/>
    </row>
    <row r="1592" spans="1:16" x14ac:dyDescent="0.25">
      <c r="A1592" s="1274"/>
      <c r="B1592" s="1276" t="s">
        <v>4561</v>
      </c>
      <c r="C1592" s="1274">
        <v>97871</v>
      </c>
      <c r="H1592" s="1248"/>
      <c r="K1592" s="1248"/>
      <c r="P1592" s="1248"/>
    </row>
    <row r="1593" spans="1:16" x14ac:dyDescent="0.25">
      <c r="A1593" s="1274"/>
      <c r="B1593" s="1276" t="s">
        <v>3355</v>
      </c>
      <c r="C1593" s="1274">
        <v>97877</v>
      </c>
      <c r="H1593" s="1248"/>
      <c r="K1593" s="1248"/>
      <c r="P1593" s="1248"/>
    </row>
    <row r="1594" spans="1:16" x14ac:dyDescent="0.25">
      <c r="A1594" s="1274"/>
      <c r="B1594" s="1276" t="s">
        <v>3499</v>
      </c>
      <c r="C1594" s="1274">
        <v>99502</v>
      </c>
      <c r="H1594" s="1248"/>
      <c r="K1594" s="1248"/>
      <c r="P1594" s="1248"/>
    </row>
    <row r="1595" spans="1:16" x14ac:dyDescent="0.25">
      <c r="A1595" s="1274"/>
      <c r="B1595" s="1276" t="s">
        <v>4562</v>
      </c>
      <c r="C1595" s="1274">
        <v>97911</v>
      </c>
      <c r="H1595" s="1248"/>
      <c r="K1595" s="1248"/>
      <c r="P1595" s="1248"/>
    </row>
    <row r="1596" spans="1:16" x14ac:dyDescent="0.25">
      <c r="A1596" s="1274"/>
      <c r="B1596" s="1276" t="s">
        <v>3359</v>
      </c>
      <c r="C1596" s="1274">
        <v>97917</v>
      </c>
      <c r="H1596" s="1248"/>
      <c r="K1596" s="1248"/>
      <c r="P1596" s="1248"/>
    </row>
    <row r="1597" spans="1:16" x14ac:dyDescent="0.25">
      <c r="A1597" s="1274"/>
      <c r="B1597" s="1276" t="s">
        <v>4563</v>
      </c>
      <c r="C1597" s="1274">
        <v>96611</v>
      </c>
      <c r="H1597" s="1248"/>
      <c r="K1597" s="1248"/>
      <c r="P1597" s="1248"/>
    </row>
    <row r="1598" spans="1:16" x14ac:dyDescent="0.25">
      <c r="A1598" s="1274"/>
      <c r="B1598" s="1276" t="s">
        <v>4564</v>
      </c>
      <c r="C1598" s="1274">
        <v>96741</v>
      </c>
      <c r="H1598" s="1248"/>
      <c r="K1598" s="1248"/>
      <c r="P1598" s="1248"/>
    </row>
    <row r="1599" spans="1:16" x14ac:dyDescent="0.25">
      <c r="A1599" s="1274"/>
      <c r="B1599" s="1276" t="s">
        <v>3329</v>
      </c>
      <c r="C1599" s="1274">
        <v>97701</v>
      </c>
      <c r="H1599" s="1248"/>
      <c r="K1599" s="1248"/>
      <c r="P1599" s="1248"/>
    </row>
    <row r="1600" spans="1:16" x14ac:dyDescent="0.25">
      <c r="A1600" s="1274"/>
      <c r="B1600" s="1276" t="s">
        <v>4565</v>
      </c>
      <c r="C1600" s="1274">
        <v>92541</v>
      </c>
      <c r="H1600" s="1248"/>
      <c r="K1600" s="1248"/>
      <c r="P1600" s="1248"/>
    </row>
    <row r="1601" spans="1:16" x14ac:dyDescent="0.25">
      <c r="A1601" s="1274"/>
      <c r="B1601" s="1276" t="s">
        <v>4566</v>
      </c>
      <c r="C1601" s="1274">
        <v>94221</v>
      </c>
      <c r="H1601" s="1248"/>
      <c r="K1601" s="1248"/>
      <c r="P1601" s="1248"/>
    </row>
    <row r="1602" spans="1:16" x14ac:dyDescent="0.25">
      <c r="A1602" s="1274"/>
      <c r="B1602" s="1276" t="s">
        <v>3048</v>
      </c>
      <c r="C1602" s="1274">
        <v>94209</v>
      </c>
      <c r="H1602" s="1248"/>
      <c r="K1602" s="1248"/>
      <c r="P1602" s="1248"/>
    </row>
    <row r="1603" spans="1:16" x14ac:dyDescent="0.25">
      <c r="A1603" s="1274"/>
      <c r="B1603" s="1276" t="s">
        <v>4567</v>
      </c>
      <c r="C1603" s="1274">
        <v>96341</v>
      </c>
      <c r="H1603" s="1248"/>
      <c r="K1603" s="1248"/>
      <c r="P1603" s="1248"/>
    </row>
    <row r="1604" spans="1:16" x14ac:dyDescent="0.25">
      <c r="A1604" s="1274"/>
      <c r="B1604" s="1276" t="s">
        <v>4568</v>
      </c>
      <c r="C1604" s="1274">
        <v>93821</v>
      </c>
      <c r="H1604" s="1248"/>
      <c r="K1604" s="1248"/>
      <c r="P1604" s="1248"/>
    </row>
    <row r="1605" spans="1:16" x14ac:dyDescent="0.25">
      <c r="A1605" s="1274"/>
      <c r="B1605" s="1276" t="s">
        <v>4569</v>
      </c>
      <c r="C1605" s="1274">
        <v>95851</v>
      </c>
      <c r="H1605" s="1248"/>
      <c r="K1605" s="1248"/>
      <c r="P1605" s="1248"/>
    </row>
    <row r="1606" spans="1:16" x14ac:dyDescent="0.25">
      <c r="A1606" s="1274"/>
      <c r="B1606" s="1276" t="s">
        <v>3171</v>
      </c>
      <c r="C1606" s="1274">
        <v>95853</v>
      </c>
      <c r="H1606" s="1248"/>
      <c r="K1606" s="1248"/>
      <c r="P1606" s="1248"/>
    </row>
    <row r="1607" spans="1:16" x14ac:dyDescent="0.25">
      <c r="A1607" s="1274"/>
      <c r="B1607" s="1276" t="s">
        <v>3693</v>
      </c>
      <c r="C1607" s="1274">
        <v>97801</v>
      </c>
      <c r="H1607" s="1248"/>
      <c r="K1607" s="1248"/>
      <c r="P1607" s="1248"/>
    </row>
    <row r="1608" spans="1:16" x14ac:dyDescent="0.25">
      <c r="A1608" s="1274"/>
      <c r="B1608" s="1276" t="s">
        <v>3339</v>
      </c>
      <c r="C1608" s="1274">
        <v>97803</v>
      </c>
      <c r="H1608" s="1248"/>
      <c r="K1608" s="1248"/>
      <c r="P1608" s="1248"/>
    </row>
    <row r="1609" spans="1:16" x14ac:dyDescent="0.25">
      <c r="A1609" s="1274"/>
      <c r="B1609" s="1276" t="s">
        <v>3340</v>
      </c>
      <c r="C1609" s="1274">
        <v>97805</v>
      </c>
      <c r="H1609" s="1248"/>
      <c r="K1609" s="1248"/>
      <c r="P1609" s="1248"/>
    </row>
    <row r="1610" spans="1:16" x14ac:dyDescent="0.25">
      <c r="A1610" s="1274"/>
      <c r="B1610" s="1276" t="s">
        <v>2617</v>
      </c>
      <c r="C1610" s="1274">
        <v>97711</v>
      </c>
      <c r="H1610" s="1248"/>
      <c r="K1610" s="1248"/>
      <c r="P1610" s="1248"/>
    </row>
    <row r="1611" spans="1:16" x14ac:dyDescent="0.25">
      <c r="A1611" s="1274"/>
      <c r="B1611" s="1276" t="s">
        <v>4570</v>
      </c>
      <c r="C1611" s="1274">
        <v>97727</v>
      </c>
      <c r="H1611" s="1248"/>
      <c r="K1611" s="1248"/>
      <c r="P1611" s="1248"/>
    </row>
    <row r="1612" spans="1:16" x14ac:dyDescent="0.25">
      <c r="A1612" s="1274"/>
      <c r="B1612" s="1276" t="s">
        <v>3356</v>
      </c>
      <c r="C1612" s="1274">
        <v>97901</v>
      </c>
      <c r="H1612" s="1248"/>
      <c r="K1612" s="1248"/>
      <c r="P1612" s="1248"/>
    </row>
    <row r="1613" spans="1:16" x14ac:dyDescent="0.25">
      <c r="A1613" s="1274"/>
      <c r="B1613" s="1276" t="s">
        <v>3332</v>
      </c>
      <c r="C1613" s="1274">
        <v>97713</v>
      </c>
      <c r="H1613" s="1248"/>
      <c r="K1613" s="1248"/>
      <c r="P1613" s="1248"/>
    </row>
    <row r="1614" spans="1:16" x14ac:dyDescent="0.25">
      <c r="A1614" s="1274"/>
      <c r="B1614" s="1276" t="s">
        <v>4571</v>
      </c>
      <c r="C1614" s="1274">
        <v>98071</v>
      </c>
      <c r="H1614" s="1248"/>
      <c r="K1614" s="1248"/>
      <c r="P1614" s="1248"/>
    </row>
    <row r="1615" spans="1:16" x14ac:dyDescent="0.25">
      <c r="A1615" s="1274"/>
      <c r="B1615" s="1276" t="s">
        <v>4572</v>
      </c>
      <c r="C1615" s="1274">
        <v>93321</v>
      </c>
      <c r="H1615" s="1248"/>
      <c r="K1615" s="1248"/>
      <c r="P1615" s="1248"/>
    </row>
    <row r="1616" spans="1:16" x14ac:dyDescent="0.25">
      <c r="A1616" s="1274"/>
      <c r="B1616" s="1276" t="s">
        <v>2961</v>
      </c>
      <c r="C1616" s="1274">
        <v>93323</v>
      </c>
      <c r="H1616" s="1248"/>
      <c r="K1616" s="1248"/>
      <c r="P1616" s="1248"/>
    </row>
    <row r="1617" spans="1:16" x14ac:dyDescent="0.25">
      <c r="A1617" s="1274"/>
      <c r="B1617" s="1276" t="s">
        <v>2963</v>
      </c>
      <c r="C1617" s="1274">
        <v>93333</v>
      </c>
      <c r="H1617" s="1248"/>
      <c r="K1617" s="1248"/>
      <c r="P1617" s="1248"/>
    </row>
    <row r="1618" spans="1:16" x14ac:dyDescent="0.25">
      <c r="A1618" s="1274"/>
      <c r="B1618" s="1276" t="s">
        <v>4573</v>
      </c>
      <c r="C1618" s="1274">
        <v>99203</v>
      </c>
      <c r="H1618" s="1248"/>
      <c r="K1618" s="1248"/>
      <c r="P1618" s="1248"/>
    </row>
    <row r="1619" spans="1:16" x14ac:dyDescent="0.25">
      <c r="A1619" s="1274"/>
      <c r="B1619" s="1276" t="s">
        <v>4574</v>
      </c>
      <c r="C1619" s="1274">
        <v>99421</v>
      </c>
      <c r="H1619" s="1248"/>
      <c r="K1619" s="1248"/>
      <c r="P1619" s="1248"/>
    </row>
    <row r="1620" spans="1:16" x14ac:dyDescent="0.25">
      <c r="A1620" s="1274"/>
      <c r="B1620" s="1276" t="s">
        <v>4575</v>
      </c>
      <c r="C1620" s="1274">
        <v>93161</v>
      </c>
      <c r="H1620" s="1248"/>
      <c r="K1620" s="1248"/>
      <c r="P1620" s="1248"/>
    </row>
    <row r="1621" spans="1:16" x14ac:dyDescent="0.25">
      <c r="A1621" s="1274"/>
      <c r="B1621" s="1276" t="s">
        <v>4576</v>
      </c>
      <c r="C1621" s="1274">
        <v>98261</v>
      </c>
      <c r="H1621" s="1248"/>
      <c r="K1621" s="1248"/>
      <c r="P1621" s="1248"/>
    </row>
    <row r="1622" spans="1:16" x14ac:dyDescent="0.25">
      <c r="A1622" s="1274"/>
      <c r="B1622" s="1276" t="s">
        <v>3401</v>
      </c>
      <c r="C1622" s="1274">
        <v>98237</v>
      </c>
      <c r="H1622" s="1248"/>
      <c r="K1622" s="1248"/>
      <c r="P1622" s="1248"/>
    </row>
    <row r="1623" spans="1:16" x14ac:dyDescent="0.25">
      <c r="A1623" s="1274"/>
      <c r="B1623" s="1276" t="s">
        <v>3369</v>
      </c>
      <c r="C1623" s="1274">
        <v>98003</v>
      </c>
      <c r="H1623" s="1248"/>
      <c r="K1623" s="1248"/>
      <c r="P1623" s="1248"/>
    </row>
    <row r="1624" spans="1:16" x14ac:dyDescent="0.25">
      <c r="A1624" s="1274"/>
      <c r="B1624" s="1276" t="s">
        <v>4577</v>
      </c>
      <c r="C1624" s="1274">
        <v>98008</v>
      </c>
      <c r="H1624" s="1248"/>
      <c r="K1624" s="1248"/>
      <c r="P1624" s="1248"/>
    </row>
    <row r="1625" spans="1:16" x14ac:dyDescent="0.25">
      <c r="A1625" s="1274"/>
      <c r="B1625" s="1276" t="s">
        <v>3368</v>
      </c>
      <c r="C1625" s="1274">
        <v>98002</v>
      </c>
      <c r="H1625" s="1248"/>
      <c r="K1625" s="1248"/>
      <c r="P1625" s="1248"/>
    </row>
    <row r="1626" spans="1:16" x14ac:dyDescent="0.25">
      <c r="A1626" s="1274"/>
      <c r="B1626" s="1276" t="s">
        <v>3367</v>
      </c>
      <c r="C1626" s="1274">
        <v>98001</v>
      </c>
      <c r="H1626" s="1248"/>
      <c r="K1626" s="1248"/>
      <c r="P1626" s="1248"/>
    </row>
    <row r="1627" spans="1:16" x14ac:dyDescent="0.25">
      <c r="A1627" s="1274"/>
      <c r="B1627" s="1276" t="s">
        <v>3370</v>
      </c>
      <c r="C1627" s="1274">
        <v>98004</v>
      </c>
      <c r="H1627" s="1248"/>
      <c r="K1627" s="1248"/>
      <c r="P1627" s="1248"/>
    </row>
    <row r="1628" spans="1:16" x14ac:dyDescent="0.25">
      <c r="A1628" s="1274"/>
      <c r="B1628" s="1276" t="s">
        <v>4578</v>
      </c>
      <c r="C1628" s="1274">
        <v>97861</v>
      </c>
      <c r="H1628" s="1248"/>
      <c r="K1628" s="1248"/>
      <c r="P1628" s="1248"/>
    </row>
    <row r="1629" spans="1:16" x14ac:dyDescent="0.25">
      <c r="A1629" s="1274"/>
      <c r="B1629" s="1276" t="s">
        <v>4579</v>
      </c>
      <c r="C1629" s="1274">
        <v>97311</v>
      </c>
      <c r="H1629" s="1248"/>
      <c r="K1629" s="1248"/>
      <c r="P1629" s="1248"/>
    </row>
    <row r="1630" spans="1:16" x14ac:dyDescent="0.25">
      <c r="A1630" s="1274"/>
      <c r="B1630" s="1276" t="s">
        <v>4580</v>
      </c>
      <c r="C1630" s="1274">
        <v>93431</v>
      </c>
      <c r="H1630" s="1248"/>
      <c r="K1630" s="1248"/>
      <c r="P1630" s="1248"/>
    </row>
    <row r="1631" spans="1:16" x14ac:dyDescent="0.25">
      <c r="A1631" s="1274"/>
      <c r="B1631" s="1276" t="s">
        <v>4581</v>
      </c>
      <c r="C1631" s="1274">
        <v>91214</v>
      </c>
      <c r="H1631" s="1248"/>
      <c r="K1631" s="1248"/>
      <c r="P1631" s="1248"/>
    </row>
    <row r="1632" spans="1:16" x14ac:dyDescent="0.25">
      <c r="A1632" s="1274"/>
      <c r="B1632" s="1276" t="s">
        <v>3383</v>
      </c>
      <c r="C1632" s="1274">
        <v>98101</v>
      </c>
      <c r="H1632" s="1248"/>
      <c r="K1632" s="1248"/>
      <c r="P1632" s="1248"/>
    </row>
    <row r="1633" spans="1:16" x14ac:dyDescent="0.25">
      <c r="A1633" s="1274"/>
      <c r="B1633" s="1276" t="s">
        <v>4213</v>
      </c>
      <c r="C1633" s="1274">
        <v>98103</v>
      </c>
      <c r="H1633" s="1248"/>
      <c r="K1633" s="1248"/>
      <c r="P1633" s="1248"/>
    </row>
    <row r="1634" spans="1:16" x14ac:dyDescent="0.25">
      <c r="A1634" s="1274"/>
      <c r="B1634" s="1276" t="s">
        <v>4582</v>
      </c>
      <c r="C1634" s="1274">
        <v>98141</v>
      </c>
      <c r="H1634" s="1248"/>
      <c r="K1634" s="1248"/>
      <c r="P1634" s="1248"/>
    </row>
    <row r="1635" spans="1:16" x14ac:dyDescent="0.25">
      <c r="A1635" s="1274"/>
      <c r="B1635" s="1276" t="s">
        <v>4583</v>
      </c>
      <c r="C1635" s="1274">
        <v>98147</v>
      </c>
      <c r="H1635" s="1248"/>
      <c r="K1635" s="1248"/>
      <c r="P1635" s="1248"/>
    </row>
    <row r="1636" spans="1:16" x14ac:dyDescent="0.25">
      <c r="A1636" s="1274"/>
      <c r="B1636" s="1276" t="s">
        <v>4584</v>
      </c>
      <c r="C1636" s="1274">
        <v>91032</v>
      </c>
      <c r="H1636" s="1248"/>
      <c r="K1636" s="1248"/>
      <c r="P1636" s="1248"/>
    </row>
    <row r="1637" spans="1:16" x14ac:dyDescent="0.25">
      <c r="A1637" s="1274"/>
      <c r="B1637" s="1276" t="s">
        <v>4585</v>
      </c>
      <c r="C1637" s="1274">
        <v>97831</v>
      </c>
      <c r="H1637" s="1248"/>
      <c r="K1637" s="1248"/>
      <c r="P1637" s="1248"/>
    </row>
    <row r="1638" spans="1:16" x14ac:dyDescent="0.25">
      <c r="A1638" s="1274"/>
      <c r="B1638" s="1276" t="s">
        <v>4586</v>
      </c>
      <c r="C1638" s="1274">
        <v>97837</v>
      </c>
      <c r="H1638" s="1248"/>
      <c r="K1638" s="1248"/>
      <c r="P1638" s="1248"/>
    </row>
    <row r="1639" spans="1:16" x14ac:dyDescent="0.25">
      <c r="A1639" s="1274"/>
      <c r="B1639" s="1276" t="s">
        <v>4587</v>
      </c>
      <c r="C1639" s="1274">
        <v>98221</v>
      </c>
      <c r="H1639" s="1248"/>
      <c r="K1639" s="1248"/>
      <c r="P1639" s="1248"/>
    </row>
    <row r="1640" spans="1:16" x14ac:dyDescent="0.25">
      <c r="A1640" s="1274"/>
      <c r="B1640" s="1276" t="s">
        <v>4588</v>
      </c>
      <c r="C1640" s="1274">
        <v>98011</v>
      </c>
      <c r="H1640" s="1248"/>
      <c r="K1640" s="1248"/>
      <c r="P1640" s="1248"/>
    </row>
    <row r="1641" spans="1:16" x14ac:dyDescent="0.25">
      <c r="A1641" s="1274"/>
      <c r="B1641" s="1276" t="s">
        <v>4589</v>
      </c>
      <c r="C1641" s="1274">
        <v>98013</v>
      </c>
      <c r="H1641" s="1248"/>
      <c r="K1641" s="1248"/>
      <c r="P1641" s="1248"/>
    </row>
    <row r="1642" spans="1:16" x14ac:dyDescent="0.25">
      <c r="A1642" s="1274"/>
      <c r="B1642" s="1276" t="s">
        <v>4590</v>
      </c>
      <c r="C1642" s="1274">
        <v>97531</v>
      </c>
      <c r="H1642" s="1248"/>
      <c r="K1642" s="1248"/>
      <c r="P1642" s="1248"/>
    </row>
    <row r="1643" spans="1:16" x14ac:dyDescent="0.25">
      <c r="A1643" s="1274"/>
      <c r="B1643" s="1276" t="s">
        <v>3395</v>
      </c>
      <c r="C1643" s="1274">
        <v>98201</v>
      </c>
      <c r="H1643" s="1248"/>
      <c r="K1643" s="1248"/>
      <c r="P1643" s="1248"/>
    </row>
    <row r="1644" spans="1:16" x14ac:dyDescent="0.25">
      <c r="A1644" s="1274"/>
      <c r="B1644" s="1276" t="s">
        <v>3330</v>
      </c>
      <c r="C1644" s="1274">
        <v>97705</v>
      </c>
      <c r="H1644" s="1248"/>
      <c r="K1644" s="1248"/>
      <c r="P1644" s="1248"/>
    </row>
    <row r="1645" spans="1:16" x14ac:dyDescent="0.25">
      <c r="A1645" s="1274"/>
      <c r="B1645" s="1276" t="s">
        <v>3211</v>
      </c>
      <c r="C1645" s="1274">
        <v>96318</v>
      </c>
      <c r="H1645" s="1248"/>
      <c r="K1645" s="1248"/>
      <c r="P1645" s="1248"/>
    </row>
    <row r="1646" spans="1:16" x14ac:dyDescent="0.25">
      <c r="A1646" s="1274"/>
      <c r="B1646" s="1276" t="s">
        <v>4591</v>
      </c>
      <c r="C1646" s="1274">
        <v>95311</v>
      </c>
      <c r="H1646" s="1248"/>
      <c r="K1646" s="1248"/>
      <c r="P1646" s="1248"/>
    </row>
    <row r="1647" spans="1:16" x14ac:dyDescent="0.25">
      <c r="A1647" s="1274"/>
      <c r="B1647" s="1276" t="s">
        <v>3138</v>
      </c>
      <c r="C1647" s="1274">
        <v>95317</v>
      </c>
      <c r="H1647" s="1248"/>
      <c r="K1647" s="1248"/>
      <c r="P1647" s="1248"/>
    </row>
    <row r="1648" spans="1:16" x14ac:dyDescent="0.25">
      <c r="A1648" s="1274"/>
      <c r="B1648" s="1276" t="s">
        <v>4592</v>
      </c>
      <c r="C1648" s="1274">
        <v>91421</v>
      </c>
      <c r="H1648" s="1248"/>
      <c r="K1648" s="1248"/>
      <c r="P1648" s="1248"/>
    </row>
    <row r="1649" spans="1:16" x14ac:dyDescent="0.25">
      <c r="A1649" s="1274"/>
      <c r="B1649" s="1276" t="s">
        <v>3406</v>
      </c>
      <c r="C1649" s="1274">
        <v>98301</v>
      </c>
      <c r="H1649" s="1248"/>
      <c r="K1649" s="1248"/>
      <c r="P1649" s="1248"/>
    </row>
    <row r="1650" spans="1:16" x14ac:dyDescent="0.25">
      <c r="A1650" s="1274"/>
      <c r="B1650" s="1276" t="s">
        <v>3407</v>
      </c>
      <c r="C1650" s="1274">
        <v>98304</v>
      </c>
      <c r="H1650" s="1248"/>
      <c r="K1650" s="1248"/>
      <c r="P1650" s="1248"/>
    </row>
    <row r="1651" spans="1:16" x14ac:dyDescent="0.25">
      <c r="A1651" s="1274"/>
      <c r="B1651" s="1276" t="s">
        <v>4593</v>
      </c>
      <c r="C1651" s="1274">
        <v>94241</v>
      </c>
      <c r="H1651" s="1248"/>
      <c r="K1651" s="1248"/>
      <c r="P1651" s="1248"/>
    </row>
    <row r="1652" spans="1:16" x14ac:dyDescent="0.25">
      <c r="A1652" s="1274"/>
      <c r="B1652" s="1276" t="s">
        <v>4594</v>
      </c>
      <c r="C1652" s="1274">
        <v>96681</v>
      </c>
      <c r="H1652" s="1248"/>
      <c r="K1652" s="1248"/>
      <c r="P1652" s="1248"/>
    </row>
    <row r="1653" spans="1:16" x14ac:dyDescent="0.25">
      <c r="A1653" s="1274"/>
      <c r="B1653" s="1276" t="s">
        <v>4595</v>
      </c>
      <c r="C1653" s="1278">
        <v>72593</v>
      </c>
      <c r="H1653" s="1248"/>
      <c r="K1653" s="1248"/>
      <c r="P1653" s="1248"/>
    </row>
    <row r="1654" spans="1:16" x14ac:dyDescent="0.25">
      <c r="A1654" s="1274"/>
      <c r="B1654" s="1276" t="s">
        <v>4596</v>
      </c>
      <c r="C1654" s="1274">
        <v>95121</v>
      </c>
      <c r="H1654" s="1248"/>
      <c r="K1654" s="1248"/>
      <c r="P1654" s="1248"/>
    </row>
    <row r="1655" spans="1:16" x14ac:dyDescent="0.25">
      <c r="A1655" s="1274"/>
      <c r="B1655" s="1276" t="s">
        <v>3123</v>
      </c>
      <c r="C1655" s="1274">
        <v>95123</v>
      </c>
      <c r="H1655" s="1248"/>
      <c r="K1655" s="1248"/>
      <c r="P1655" s="1248"/>
    </row>
    <row r="1656" spans="1:16" x14ac:dyDescent="0.25">
      <c r="A1656" s="1274"/>
      <c r="B1656" s="1276" t="s">
        <v>4597</v>
      </c>
      <c r="C1656" s="1274">
        <v>99531</v>
      </c>
      <c r="H1656" s="1248"/>
      <c r="K1656" s="1248"/>
      <c r="P1656" s="1248"/>
    </row>
    <row r="1657" spans="1:16" x14ac:dyDescent="0.25">
      <c r="A1657" s="1274"/>
      <c r="B1657" s="1276" t="s">
        <v>4598</v>
      </c>
      <c r="C1657" s="1274">
        <v>96671</v>
      </c>
      <c r="H1657" s="1248"/>
      <c r="K1657" s="1248"/>
      <c r="P1657" s="1248"/>
    </row>
    <row r="1658" spans="1:16" x14ac:dyDescent="0.25">
      <c r="A1658" s="1274"/>
      <c r="B1658" s="1276" t="s">
        <v>4599</v>
      </c>
      <c r="C1658" s="1274">
        <v>91081</v>
      </c>
      <c r="H1658" s="1248"/>
      <c r="K1658" s="1248"/>
      <c r="P1658" s="1248"/>
    </row>
    <row r="1659" spans="1:16" x14ac:dyDescent="0.25">
      <c r="A1659" s="1274"/>
      <c r="B1659" s="1276" t="s">
        <v>2748</v>
      </c>
      <c r="C1659" s="1274">
        <v>91057</v>
      </c>
      <c r="H1659" s="1248"/>
      <c r="K1659" s="1248"/>
      <c r="P1659" s="1248"/>
    </row>
    <row r="1660" spans="1:16" x14ac:dyDescent="0.25">
      <c r="A1660" s="1274"/>
      <c r="B1660" s="1276" t="s">
        <v>4600</v>
      </c>
      <c r="C1660" s="1274">
        <v>96461</v>
      </c>
      <c r="H1660" s="1248"/>
      <c r="K1660" s="1248"/>
      <c r="P1660" s="1248"/>
    </row>
    <row r="1661" spans="1:16" x14ac:dyDescent="0.25">
      <c r="A1661" s="1274"/>
      <c r="B1661" s="1276" t="s">
        <v>4601</v>
      </c>
      <c r="C1661" s="1274">
        <v>92311</v>
      </c>
      <c r="H1661" s="1248"/>
      <c r="K1661" s="1248"/>
      <c r="P1661" s="1248"/>
    </row>
    <row r="1662" spans="1:16" x14ac:dyDescent="0.25">
      <c r="A1662" s="1274"/>
      <c r="B1662" s="1276" t="s">
        <v>2862</v>
      </c>
      <c r="C1662" s="1274">
        <v>92317</v>
      </c>
      <c r="H1662" s="1248"/>
      <c r="K1662" s="1248"/>
      <c r="P1662" s="1248"/>
    </row>
    <row r="1663" spans="1:16" x14ac:dyDescent="0.25">
      <c r="A1663" s="1274"/>
      <c r="B1663" s="1276" t="s">
        <v>3298</v>
      </c>
      <c r="C1663" s="1274">
        <v>97405</v>
      </c>
      <c r="H1663" s="1248"/>
      <c r="K1663" s="1248"/>
      <c r="P1663" s="1248"/>
    </row>
    <row r="1664" spans="1:16" x14ac:dyDescent="0.25">
      <c r="A1664" s="1274"/>
      <c r="B1664" s="1276" t="s">
        <v>4602</v>
      </c>
      <c r="C1664" s="1274">
        <v>91911</v>
      </c>
      <c r="H1664" s="1248"/>
      <c r="K1664" s="1248"/>
      <c r="P1664" s="1248"/>
    </row>
    <row r="1665" spans="1:16" x14ac:dyDescent="0.25">
      <c r="A1665" s="1274"/>
      <c r="B1665" s="1276" t="s">
        <v>2846</v>
      </c>
      <c r="C1665" s="1274">
        <v>91917</v>
      </c>
      <c r="H1665" s="1248"/>
      <c r="K1665" s="1248"/>
      <c r="P1665" s="1248"/>
    </row>
    <row r="1666" spans="1:16" x14ac:dyDescent="0.25">
      <c r="A1666" s="1274"/>
      <c r="B1666" s="1276" t="s">
        <v>4603</v>
      </c>
      <c r="C1666" s="1274">
        <v>97481</v>
      </c>
      <c r="H1666" s="1248"/>
      <c r="K1666" s="1248"/>
      <c r="P1666" s="1248"/>
    </row>
    <row r="1667" spans="1:16" x14ac:dyDescent="0.25">
      <c r="A1667" s="1274"/>
      <c r="B1667" s="1276" t="s">
        <v>2766</v>
      </c>
      <c r="C1667" s="1274">
        <v>91138</v>
      </c>
      <c r="H1667" s="1248"/>
      <c r="K1667" s="1248"/>
      <c r="P1667" s="1248"/>
    </row>
    <row r="1668" spans="1:16" x14ac:dyDescent="0.25">
      <c r="A1668" s="1274"/>
      <c r="B1668" s="1276" t="s">
        <v>4604</v>
      </c>
      <c r="C1668" s="1274">
        <v>95111</v>
      </c>
      <c r="H1668" s="1248"/>
      <c r="K1668" s="1248"/>
      <c r="P1668" s="1248"/>
    </row>
    <row r="1669" spans="1:16" x14ac:dyDescent="0.25">
      <c r="A1669" s="1274"/>
      <c r="B1669" s="1276" t="s">
        <v>3120</v>
      </c>
      <c r="C1669" s="1274">
        <v>95113</v>
      </c>
      <c r="H1669" s="1248"/>
      <c r="K1669" s="1248"/>
      <c r="P1669" s="1248"/>
    </row>
    <row r="1670" spans="1:16" x14ac:dyDescent="0.25">
      <c r="A1670" s="1274"/>
      <c r="B1670" s="1276" t="s">
        <v>4605</v>
      </c>
      <c r="C1670" s="1274">
        <v>94021</v>
      </c>
      <c r="H1670" s="1248"/>
      <c r="K1670" s="1248"/>
      <c r="P1670" s="1248"/>
    </row>
    <row r="1671" spans="1:16" x14ac:dyDescent="0.25">
      <c r="A1671" s="1274"/>
      <c r="B1671" s="1276" t="s">
        <v>2721</v>
      </c>
      <c r="C1671" s="1274">
        <v>90918</v>
      </c>
      <c r="H1671" s="1248"/>
      <c r="K1671" s="1248"/>
      <c r="P1671" s="1248"/>
    </row>
    <row r="1672" spans="1:16" x14ac:dyDescent="0.25">
      <c r="A1672" s="1274"/>
      <c r="B1672" s="1276" t="s">
        <v>3015</v>
      </c>
      <c r="C1672" s="1274">
        <v>93910</v>
      </c>
      <c r="H1672" s="1248"/>
      <c r="K1672" s="1248"/>
      <c r="P1672" s="1248"/>
    </row>
    <row r="1673" spans="1:16" x14ac:dyDescent="0.25">
      <c r="A1673" s="1274"/>
      <c r="B1673" s="1276" t="s">
        <v>2736</v>
      </c>
      <c r="C1673" s="1274">
        <v>91013</v>
      </c>
      <c r="H1673" s="1248"/>
      <c r="K1673" s="1248"/>
      <c r="P1673" s="1248"/>
    </row>
    <row r="1674" spans="1:16" x14ac:dyDescent="0.25">
      <c r="A1674" s="1274"/>
      <c r="B1674" s="1276" t="s">
        <v>4606</v>
      </c>
      <c r="C1674" s="1274">
        <v>96311</v>
      </c>
      <c r="H1674" s="1248"/>
      <c r="K1674" s="1248"/>
      <c r="P1674" s="1248"/>
    </row>
    <row r="1675" spans="1:16" x14ac:dyDescent="0.25">
      <c r="A1675" s="1274"/>
      <c r="B1675" s="1276" t="s">
        <v>4607</v>
      </c>
      <c r="C1675" s="1274">
        <v>92841</v>
      </c>
      <c r="H1675" s="1248"/>
      <c r="K1675" s="1248"/>
      <c r="P1675" s="1248"/>
    </row>
    <row r="1676" spans="1:16" x14ac:dyDescent="0.25">
      <c r="A1676" s="1274"/>
      <c r="B1676" s="1276" t="s">
        <v>3510</v>
      </c>
      <c r="C1676" s="1274">
        <v>99609</v>
      </c>
      <c r="H1676" s="1248"/>
      <c r="K1676" s="1248"/>
      <c r="P1676" s="1248"/>
    </row>
    <row r="1677" spans="1:16" x14ac:dyDescent="0.25">
      <c r="A1677" s="1274"/>
      <c r="B1677" s="1276" t="s">
        <v>4608</v>
      </c>
      <c r="C1677" s="1274">
        <v>91011</v>
      </c>
      <c r="H1677" s="1248"/>
      <c r="K1677" s="1248"/>
      <c r="P1677" s="1248"/>
    </row>
    <row r="1678" spans="1:16" x14ac:dyDescent="0.25">
      <c r="A1678" s="1274"/>
      <c r="B1678" s="1276" t="s">
        <v>4609</v>
      </c>
      <c r="C1678" s="1274">
        <v>91017</v>
      </c>
      <c r="H1678" s="1248"/>
      <c r="K1678" s="1248"/>
      <c r="P1678" s="1248"/>
    </row>
    <row r="1679" spans="1:16" x14ac:dyDescent="0.25">
      <c r="A1679" s="1274"/>
      <c r="B1679" s="1276" t="s">
        <v>3109</v>
      </c>
      <c r="C1679" s="1274">
        <v>95008</v>
      </c>
      <c r="H1679" s="1248"/>
      <c r="K1679" s="1248"/>
      <c r="P1679" s="1248"/>
    </row>
    <row r="1680" spans="1:16" x14ac:dyDescent="0.25">
      <c r="A1680" s="1274"/>
      <c r="B1680" s="1276" t="s">
        <v>4610</v>
      </c>
      <c r="C1680" s="1274">
        <v>72657</v>
      </c>
      <c r="H1680" s="1248"/>
      <c r="K1680" s="1248"/>
      <c r="P1680" s="1248"/>
    </row>
    <row r="1681" spans="1:16" x14ac:dyDescent="0.25">
      <c r="A1681" s="1274"/>
      <c r="B1681" s="1276" t="s">
        <v>4611</v>
      </c>
      <c r="C1681" s="1274">
        <v>90307</v>
      </c>
      <c r="H1681" s="1248"/>
      <c r="K1681" s="1248"/>
      <c r="P1681" s="1248"/>
    </row>
    <row r="1682" spans="1:16" x14ac:dyDescent="0.25">
      <c r="A1682" s="1274"/>
      <c r="B1682" s="1276" t="s">
        <v>4612</v>
      </c>
      <c r="C1682" s="1274">
        <v>98031</v>
      </c>
      <c r="H1682" s="1248"/>
      <c r="K1682" s="1248"/>
      <c r="P1682" s="1248"/>
    </row>
    <row r="1683" spans="1:16" x14ac:dyDescent="0.25">
      <c r="A1683" s="1274"/>
      <c r="B1683" s="1276" t="s">
        <v>4613</v>
      </c>
      <c r="C1683" s="1274">
        <v>98121</v>
      </c>
      <c r="H1683" s="1248"/>
      <c r="K1683" s="1248"/>
      <c r="P1683" s="1248"/>
    </row>
    <row r="1684" spans="1:16" x14ac:dyDescent="0.25">
      <c r="A1684" s="1274"/>
      <c r="B1684" s="1276" t="s">
        <v>4614</v>
      </c>
      <c r="C1684" s="1274">
        <v>96411</v>
      </c>
      <c r="H1684" s="1248"/>
      <c r="K1684" s="1248"/>
      <c r="P1684" s="1248"/>
    </row>
    <row r="1685" spans="1:16" x14ac:dyDescent="0.25">
      <c r="A1685" s="1274"/>
      <c r="B1685" s="1276" t="s">
        <v>4615</v>
      </c>
      <c r="C1685" s="1274">
        <v>92661</v>
      </c>
      <c r="H1685" s="1248"/>
      <c r="K1685" s="1248"/>
      <c r="P1685" s="1248"/>
    </row>
    <row r="1686" spans="1:16" x14ac:dyDescent="0.25">
      <c r="A1686" s="1274"/>
      <c r="B1686" s="1276" t="s">
        <v>4616</v>
      </c>
      <c r="C1686" s="1274">
        <v>96111</v>
      </c>
      <c r="H1686" s="1248"/>
      <c r="K1686" s="1248"/>
      <c r="P1686" s="1248"/>
    </row>
    <row r="1687" spans="1:16" x14ac:dyDescent="0.25">
      <c r="A1687" s="1274"/>
      <c r="B1687" s="1276" t="s">
        <v>4617</v>
      </c>
      <c r="C1687" s="1274">
        <v>96061</v>
      </c>
      <c r="H1687" s="1248"/>
      <c r="K1687" s="1248"/>
      <c r="P1687" s="1248"/>
    </row>
    <row r="1688" spans="1:16" x14ac:dyDescent="0.25">
      <c r="A1688" s="1274"/>
      <c r="B1688" s="1276" t="s">
        <v>4618</v>
      </c>
      <c r="C1688" s="1274">
        <v>98481</v>
      </c>
      <c r="H1688" s="1248"/>
      <c r="K1688" s="1248"/>
      <c r="P1688" s="1248"/>
    </row>
    <row r="1689" spans="1:16" x14ac:dyDescent="0.25">
      <c r="A1689" s="1274"/>
      <c r="B1689" s="1276" t="s">
        <v>4619</v>
      </c>
      <c r="C1689" s="1274">
        <v>93602</v>
      </c>
      <c r="H1689" s="1248"/>
      <c r="K1689" s="1248"/>
      <c r="P1689" s="1248"/>
    </row>
    <row r="1690" spans="1:16" x14ac:dyDescent="0.25">
      <c r="A1690" s="1274"/>
      <c r="B1690" s="1276" t="s">
        <v>3413</v>
      </c>
      <c r="C1690" s="1274">
        <v>98401</v>
      </c>
      <c r="H1690" s="1248"/>
      <c r="K1690" s="1248"/>
      <c r="P1690" s="1248"/>
    </row>
    <row r="1691" spans="1:16" x14ac:dyDescent="0.25">
      <c r="A1691" s="1274"/>
      <c r="B1691" s="1276" t="s">
        <v>4620</v>
      </c>
      <c r="C1691" s="1274">
        <v>99821</v>
      </c>
      <c r="H1691" s="1248"/>
      <c r="K1691" s="1248"/>
      <c r="P1691" s="1248"/>
    </row>
    <row r="1692" spans="1:16" x14ac:dyDescent="0.25">
      <c r="A1692" s="1274"/>
      <c r="B1692" s="1276" t="s">
        <v>4621</v>
      </c>
      <c r="C1692" s="1274">
        <v>96211</v>
      </c>
      <c r="H1692" s="1248"/>
      <c r="K1692" s="1248"/>
      <c r="P1692" s="1248"/>
    </row>
    <row r="1693" spans="1:16" x14ac:dyDescent="0.25">
      <c r="A1693" s="1274"/>
      <c r="B1693" s="1276" t="s">
        <v>4622</v>
      </c>
      <c r="C1693" s="1274">
        <v>94911</v>
      </c>
      <c r="H1693" s="1248"/>
      <c r="K1693" s="1248"/>
      <c r="P1693" s="1248"/>
    </row>
    <row r="1694" spans="1:16" x14ac:dyDescent="0.25">
      <c r="A1694" s="1274"/>
      <c r="B1694" s="1276" t="s">
        <v>3100</v>
      </c>
      <c r="C1694" s="1274">
        <v>94917</v>
      </c>
      <c r="H1694" s="1248"/>
      <c r="K1694" s="1248"/>
      <c r="P1694" s="1248"/>
    </row>
    <row r="1695" spans="1:16" x14ac:dyDescent="0.25">
      <c r="A1695" s="1274"/>
      <c r="B1695" s="1276" t="s">
        <v>4623</v>
      </c>
      <c r="C1695" s="1274">
        <v>92621</v>
      </c>
      <c r="H1695" s="1248"/>
      <c r="K1695" s="1248"/>
      <c r="P1695" s="1248"/>
    </row>
    <row r="1696" spans="1:16" x14ac:dyDescent="0.25">
      <c r="A1696" s="1274"/>
      <c r="B1696" s="1276" t="s">
        <v>3422</v>
      </c>
      <c r="C1696" s="1274">
        <v>98501</v>
      </c>
      <c r="H1696" s="1248"/>
      <c r="K1696" s="1248"/>
      <c r="P1696" s="1248"/>
    </row>
    <row r="1697" spans="1:16" x14ac:dyDescent="0.25">
      <c r="A1697" s="1274"/>
      <c r="B1697" s="1276" t="s">
        <v>4624</v>
      </c>
      <c r="C1697" s="1274">
        <v>97931</v>
      </c>
      <c r="H1697" s="1248"/>
      <c r="K1697" s="1248"/>
      <c r="P1697" s="1248"/>
    </row>
    <row r="1698" spans="1:16" x14ac:dyDescent="0.25">
      <c r="A1698" s="1274"/>
      <c r="B1698" s="1276" t="s">
        <v>4625</v>
      </c>
      <c r="C1698" s="1274">
        <v>93914</v>
      </c>
      <c r="H1698" s="1248"/>
      <c r="K1698" s="1248"/>
      <c r="P1698" s="1248"/>
    </row>
    <row r="1699" spans="1:16" x14ac:dyDescent="0.25">
      <c r="A1699" s="1274"/>
      <c r="B1699" s="1276" t="s">
        <v>4626</v>
      </c>
      <c r="C1699" s="1274">
        <v>90651</v>
      </c>
      <c r="H1699" s="1248"/>
      <c r="K1699" s="1248"/>
      <c r="P1699" s="1248"/>
    </row>
    <row r="1700" spans="1:16" x14ac:dyDescent="0.25">
      <c r="A1700" s="1274"/>
      <c r="B1700" s="1276" t="s">
        <v>4627</v>
      </c>
      <c r="C1700" s="1274">
        <v>94171</v>
      </c>
      <c r="H1700" s="1248"/>
      <c r="K1700" s="1248"/>
      <c r="P1700" s="1248"/>
    </row>
    <row r="1701" spans="1:16" x14ac:dyDescent="0.25">
      <c r="A1701" s="1274"/>
      <c r="B1701" s="1276" t="s">
        <v>3044</v>
      </c>
      <c r="C1701" s="1274">
        <v>94172</v>
      </c>
      <c r="H1701" s="1248"/>
      <c r="K1701" s="1248"/>
      <c r="P1701" s="1248"/>
    </row>
    <row r="1702" spans="1:16" x14ac:dyDescent="0.25">
      <c r="A1702" s="1274"/>
      <c r="B1702" s="1276" t="s">
        <v>4628</v>
      </c>
      <c r="C1702" s="1274">
        <v>91041</v>
      </c>
      <c r="H1702" s="1248"/>
      <c r="K1702" s="1248"/>
      <c r="P1702" s="1248"/>
    </row>
    <row r="1703" spans="1:16" x14ac:dyDescent="0.25">
      <c r="A1703" s="1274"/>
      <c r="B1703" s="1276" t="s">
        <v>4629</v>
      </c>
      <c r="C1703" s="1274">
        <v>91047</v>
      </c>
      <c r="H1703" s="1248"/>
      <c r="K1703" s="1248"/>
      <c r="P1703" s="1248"/>
    </row>
    <row r="1704" spans="1:16" x14ac:dyDescent="0.25">
      <c r="A1704" s="1274"/>
      <c r="B1704" s="1276" t="s">
        <v>4630</v>
      </c>
      <c r="C1704" s="1274">
        <v>97131</v>
      </c>
      <c r="H1704" s="1248"/>
      <c r="K1704" s="1248"/>
      <c r="P1704" s="1248"/>
    </row>
    <row r="1705" spans="1:16" x14ac:dyDescent="0.25">
      <c r="A1705" s="1274"/>
      <c r="B1705" s="1276" t="s">
        <v>3426</v>
      </c>
      <c r="C1705" s="1274">
        <v>98601</v>
      </c>
      <c r="H1705" s="1248"/>
      <c r="K1705" s="1248"/>
      <c r="P1705" s="1248"/>
    </row>
    <row r="1706" spans="1:16" x14ac:dyDescent="0.25">
      <c r="A1706" s="1274"/>
      <c r="B1706" s="1276" t="s">
        <v>3437</v>
      </c>
      <c r="C1706" s="1274">
        <v>98701</v>
      </c>
      <c r="H1706" s="1248"/>
      <c r="K1706" s="1248"/>
      <c r="P1706" s="1248"/>
    </row>
    <row r="1707" spans="1:16" x14ac:dyDescent="0.25">
      <c r="A1707" s="1274"/>
      <c r="B1707" s="1276" t="s">
        <v>4631</v>
      </c>
      <c r="C1707" s="1274">
        <v>96721</v>
      </c>
      <c r="H1707" s="1248"/>
      <c r="K1707" s="1248"/>
      <c r="P1707" s="1248"/>
    </row>
    <row r="1708" spans="1:16" x14ac:dyDescent="0.25">
      <c r="A1708" s="1274"/>
      <c r="B1708" s="1276" t="s">
        <v>4632</v>
      </c>
      <c r="C1708" s="1274">
        <v>95011</v>
      </c>
      <c r="H1708" s="1248"/>
      <c r="K1708" s="1248"/>
      <c r="P1708" s="1248"/>
    </row>
    <row r="1709" spans="1:16" x14ac:dyDescent="0.25">
      <c r="A1709" s="1274"/>
      <c r="B1709" s="1276" t="s">
        <v>4633</v>
      </c>
      <c r="C1709" s="1274">
        <v>92451</v>
      </c>
      <c r="H1709" s="1248"/>
      <c r="K1709" s="1248"/>
      <c r="P1709" s="1248"/>
    </row>
    <row r="1710" spans="1:16" x14ac:dyDescent="0.25">
      <c r="A1710" s="1274"/>
      <c r="B1710" s="1276" t="s">
        <v>4634</v>
      </c>
      <c r="C1710" s="1274">
        <v>93311</v>
      </c>
      <c r="H1710" s="1248"/>
      <c r="K1710" s="1248"/>
      <c r="P1710" s="1248"/>
    </row>
    <row r="1711" spans="1:16" x14ac:dyDescent="0.25">
      <c r="A1711" s="1274"/>
      <c r="B1711" s="1276" t="s">
        <v>2959</v>
      </c>
      <c r="C1711" s="1274">
        <v>93317</v>
      </c>
      <c r="H1711" s="1248"/>
      <c r="K1711" s="1248"/>
      <c r="P1711" s="1248"/>
    </row>
    <row r="1712" spans="1:16" x14ac:dyDescent="0.25">
      <c r="A1712" s="1274"/>
      <c r="B1712" s="1276" t="s">
        <v>4635</v>
      </c>
      <c r="C1712" s="1274">
        <v>90211</v>
      </c>
      <c r="H1712" s="1248"/>
      <c r="K1712" s="1248"/>
      <c r="P1712" s="1248"/>
    </row>
    <row r="1713" spans="1:16" x14ac:dyDescent="0.25">
      <c r="A1713" s="1274"/>
      <c r="B1713" s="1276" t="s">
        <v>4636</v>
      </c>
      <c r="C1713" s="1274">
        <v>96302</v>
      </c>
      <c r="H1713" s="1248"/>
      <c r="K1713" s="1248"/>
      <c r="P1713" s="1248"/>
    </row>
    <row r="1714" spans="1:16" x14ac:dyDescent="0.25">
      <c r="A1714" s="1274"/>
      <c r="B1714" s="1276" t="s">
        <v>4637</v>
      </c>
      <c r="C1714" s="1274">
        <v>93181</v>
      </c>
      <c r="H1714" s="1248"/>
      <c r="K1714" s="1248"/>
      <c r="P1714" s="1248"/>
    </row>
    <row r="1715" spans="1:16" x14ac:dyDescent="0.25">
      <c r="A1715" s="1274"/>
      <c r="B1715" s="1276" t="s">
        <v>4638</v>
      </c>
      <c r="C1715" s="1274">
        <v>92911</v>
      </c>
      <c r="H1715" s="1248"/>
      <c r="K1715" s="1248"/>
      <c r="P1715" s="1248"/>
    </row>
    <row r="1716" spans="1:16" x14ac:dyDescent="0.25">
      <c r="A1716" s="1274"/>
      <c r="B1716" s="1276" t="s">
        <v>3686</v>
      </c>
      <c r="C1716" s="1274">
        <v>92914</v>
      </c>
      <c r="H1716" s="1248"/>
      <c r="K1716" s="1248"/>
      <c r="P1716" s="1248"/>
    </row>
    <row r="1717" spans="1:16" x14ac:dyDescent="0.25">
      <c r="A1717" s="1274"/>
      <c r="B1717" s="1276" t="s">
        <v>2923</v>
      </c>
      <c r="C1717" s="1274">
        <v>92913</v>
      </c>
      <c r="H1717" s="1248"/>
      <c r="K1717" s="1248"/>
      <c r="P1717" s="1248"/>
    </row>
    <row r="1718" spans="1:16" x14ac:dyDescent="0.25">
      <c r="A1718" s="1274"/>
      <c r="B1718" s="1276" t="s">
        <v>4639</v>
      </c>
      <c r="C1718" s="1274">
        <v>93471</v>
      </c>
      <c r="H1718" s="1248"/>
      <c r="K1718" s="1248"/>
      <c r="P1718" s="1248"/>
    </row>
    <row r="1719" spans="1:16" x14ac:dyDescent="0.25">
      <c r="A1719" s="1274"/>
      <c r="B1719" s="1276" t="s">
        <v>2662</v>
      </c>
      <c r="C1719" s="1274">
        <v>90098</v>
      </c>
      <c r="H1719" s="1248"/>
      <c r="K1719" s="1248"/>
      <c r="P1719" s="1248"/>
    </row>
    <row r="1720" spans="1:16" x14ac:dyDescent="0.25">
      <c r="A1720" s="1274"/>
      <c r="B1720" s="1276" t="s">
        <v>4640</v>
      </c>
      <c r="C1720" s="1274">
        <v>97121</v>
      </c>
      <c r="H1720" s="1248"/>
      <c r="K1720" s="1248"/>
      <c r="P1720" s="1248"/>
    </row>
    <row r="1721" spans="1:16" x14ac:dyDescent="0.25">
      <c r="A1721" s="1274"/>
      <c r="B1721" s="1276" t="s">
        <v>3440</v>
      </c>
      <c r="C1721" s="1274">
        <v>98801</v>
      </c>
      <c r="H1721" s="1248"/>
      <c r="K1721" s="1248"/>
      <c r="P1721" s="1248"/>
    </row>
    <row r="1722" spans="1:16" x14ac:dyDescent="0.25">
      <c r="A1722" s="1274"/>
      <c r="B1722" s="1276" t="s">
        <v>4641</v>
      </c>
      <c r="C1722" s="1274">
        <v>92521</v>
      </c>
      <c r="H1722" s="1248"/>
      <c r="K1722" s="1248"/>
      <c r="P1722" s="1248"/>
    </row>
    <row r="1723" spans="1:16" x14ac:dyDescent="0.25">
      <c r="A1723" s="1274"/>
      <c r="B1723" s="1276" t="s">
        <v>2972</v>
      </c>
      <c r="C1723" s="1274">
        <v>93417</v>
      </c>
      <c r="H1723" s="1248"/>
      <c r="K1723" s="1248"/>
      <c r="P1723" s="1248"/>
    </row>
    <row r="1724" spans="1:16" x14ac:dyDescent="0.25">
      <c r="A1724" s="1274"/>
      <c r="B1724" s="1276" t="s">
        <v>2953</v>
      </c>
      <c r="C1724" s="1274">
        <v>93219</v>
      </c>
      <c r="H1724" s="1248"/>
      <c r="K1724" s="1248"/>
      <c r="P1724" s="1248"/>
    </row>
    <row r="1725" spans="1:16" x14ac:dyDescent="0.25">
      <c r="A1725" s="1274"/>
      <c r="B1725" s="1276" t="s">
        <v>2888</v>
      </c>
      <c r="C1725" s="1274">
        <v>92513</v>
      </c>
      <c r="H1725" s="1248"/>
      <c r="K1725" s="1248"/>
      <c r="P1725" s="1248"/>
    </row>
    <row r="1726" spans="1:16" x14ac:dyDescent="0.25">
      <c r="A1726" s="1274"/>
      <c r="B1726" s="1276" t="s">
        <v>4642</v>
      </c>
      <c r="C1726" s="1274">
        <v>97661</v>
      </c>
      <c r="H1726" s="1248"/>
      <c r="K1726" s="1248"/>
      <c r="P1726" s="1248"/>
    </row>
    <row r="1727" spans="1:16" x14ac:dyDescent="0.25">
      <c r="A1727" s="1274"/>
      <c r="B1727" s="1276" t="s">
        <v>4643</v>
      </c>
      <c r="C1727" s="1274">
        <v>94931</v>
      </c>
      <c r="H1727" s="1248"/>
      <c r="K1727" s="1248"/>
      <c r="P1727" s="1248"/>
    </row>
    <row r="1728" spans="1:16" x14ac:dyDescent="0.25">
      <c r="A1728" s="1274"/>
      <c r="B1728" s="1280" t="s">
        <v>4644</v>
      </c>
      <c r="C1728" s="1274">
        <v>94937</v>
      </c>
      <c r="H1728" s="1248"/>
      <c r="K1728" s="1248"/>
      <c r="P1728" s="1248"/>
    </row>
    <row r="1729" spans="1:16" x14ac:dyDescent="0.25">
      <c r="A1729" s="1274"/>
      <c r="B1729" s="1276" t="s">
        <v>4645</v>
      </c>
      <c r="C1729" s="1274">
        <v>96221</v>
      </c>
      <c r="H1729" s="1248"/>
      <c r="K1729" s="1248"/>
      <c r="P1729" s="1248"/>
    </row>
    <row r="1730" spans="1:16" x14ac:dyDescent="0.25">
      <c r="A1730" s="1274"/>
      <c r="B1730" s="1276" t="s">
        <v>4646</v>
      </c>
      <c r="C1730" s="1274">
        <v>97511</v>
      </c>
      <c r="H1730" s="1248"/>
      <c r="K1730" s="1248"/>
      <c r="P1730" s="1248"/>
    </row>
    <row r="1731" spans="1:16" x14ac:dyDescent="0.25">
      <c r="A1731" s="1274"/>
      <c r="B1731" s="1276" t="s">
        <v>3107</v>
      </c>
      <c r="C1731" s="1274">
        <v>95002</v>
      </c>
      <c r="H1731" s="1248"/>
      <c r="K1731" s="1248"/>
      <c r="P1731" s="1248"/>
    </row>
    <row r="1732" spans="1:16" x14ac:dyDescent="0.25">
      <c r="A1732" s="1274"/>
      <c r="B1732" s="1276" t="s">
        <v>4647</v>
      </c>
      <c r="C1732" s="1274">
        <v>98251</v>
      </c>
      <c r="H1732" s="1248"/>
      <c r="K1732" s="1248"/>
      <c r="P1732" s="1248"/>
    </row>
    <row r="1733" spans="1:16" x14ac:dyDescent="0.25">
      <c r="A1733" s="1274"/>
      <c r="B1733" s="1276" t="s">
        <v>3443</v>
      </c>
      <c r="C1733" s="1274">
        <v>98901</v>
      </c>
      <c r="H1733" s="1248"/>
      <c r="K1733" s="1248"/>
      <c r="P1733" s="1248"/>
    </row>
    <row r="1734" spans="1:16" x14ac:dyDescent="0.25">
      <c r="A1734" s="1274"/>
      <c r="B1734" s="1276" t="s">
        <v>4219</v>
      </c>
      <c r="C1734" s="1274">
        <v>98904</v>
      </c>
      <c r="H1734" s="1248"/>
      <c r="K1734" s="1248"/>
      <c r="P1734" s="1248"/>
    </row>
    <row r="1735" spans="1:16" x14ac:dyDescent="0.25">
      <c r="A1735" s="1274"/>
      <c r="B1735" s="1276" t="s">
        <v>3446</v>
      </c>
      <c r="C1735" s="1274">
        <v>99001</v>
      </c>
      <c r="H1735" s="1248"/>
      <c r="K1735" s="1248"/>
      <c r="P1735" s="1248"/>
    </row>
    <row r="1736" spans="1:16" x14ac:dyDescent="0.25">
      <c r="A1736" s="1274"/>
      <c r="B1736" s="1276" t="s">
        <v>4648</v>
      </c>
      <c r="C1736" s="1274">
        <v>99061</v>
      </c>
      <c r="H1736" s="1248"/>
      <c r="K1736" s="1248"/>
      <c r="P1736" s="1248"/>
    </row>
    <row r="1737" spans="1:16" x14ac:dyDescent="0.25">
      <c r="A1737" s="1274"/>
      <c r="B1737" s="1276" t="s">
        <v>2957</v>
      </c>
      <c r="C1737" s="1274">
        <v>93309</v>
      </c>
      <c r="H1737" s="1248"/>
      <c r="K1737" s="1248"/>
      <c r="P1737" s="1248"/>
    </row>
    <row r="1738" spans="1:16" x14ac:dyDescent="0.25">
      <c r="A1738" s="1274"/>
      <c r="B1738" s="1276" t="s">
        <v>4649</v>
      </c>
      <c r="C1738" s="1274">
        <v>91211</v>
      </c>
      <c r="H1738" s="1248"/>
      <c r="K1738" s="1248"/>
      <c r="P1738" s="1248"/>
    </row>
    <row r="1739" spans="1:16" x14ac:dyDescent="0.25">
      <c r="A1739" s="1274"/>
      <c r="B1739" s="1277" t="s">
        <v>4183</v>
      </c>
      <c r="C1739" s="1274">
        <v>94947</v>
      </c>
      <c r="H1739" s="1248"/>
      <c r="K1739" s="1248"/>
      <c r="P1739" s="1248"/>
    </row>
    <row r="1740" spans="1:16" x14ac:dyDescent="0.25">
      <c r="A1740" s="1274"/>
      <c r="B1740" s="1276" t="s">
        <v>2779</v>
      </c>
      <c r="C1740" s="1274">
        <v>91213</v>
      </c>
      <c r="H1740" s="1248"/>
      <c r="K1740" s="1248"/>
      <c r="P1740" s="1248"/>
    </row>
    <row r="1741" spans="1:16" x14ac:dyDescent="0.25">
      <c r="A1741" s="1274"/>
      <c r="B1741" s="1276" t="s">
        <v>3460</v>
      </c>
      <c r="C1741" s="1274">
        <v>99101</v>
      </c>
      <c r="H1741" s="1248"/>
      <c r="K1741" s="1248"/>
      <c r="P1741" s="1248"/>
    </row>
    <row r="1742" spans="1:16" x14ac:dyDescent="0.25">
      <c r="A1742" s="1274"/>
      <c r="B1742" s="1276" t="s">
        <v>4220</v>
      </c>
      <c r="C1742" s="1274">
        <v>99104</v>
      </c>
      <c r="H1742" s="1248"/>
      <c r="K1742" s="1248"/>
      <c r="P1742" s="1248"/>
    </row>
    <row r="1743" spans="1:16" x14ac:dyDescent="0.25">
      <c r="A1743" s="1274"/>
      <c r="B1743" s="1276" t="s">
        <v>4650</v>
      </c>
      <c r="C1743" s="1274">
        <v>92551</v>
      </c>
      <c r="H1743" s="1248"/>
      <c r="K1743" s="1248"/>
      <c r="P1743" s="1248"/>
    </row>
    <row r="1744" spans="1:16" x14ac:dyDescent="0.25">
      <c r="A1744" s="1274"/>
      <c r="B1744" s="1276" t="s">
        <v>4651</v>
      </c>
      <c r="C1744" s="1274">
        <v>96321</v>
      </c>
      <c r="H1744" s="1248"/>
      <c r="K1744" s="1248"/>
      <c r="P1744" s="1248"/>
    </row>
    <row r="1745" spans="1:16" x14ac:dyDescent="0.25">
      <c r="A1745" s="1274"/>
      <c r="B1745" s="1276" t="s">
        <v>3691</v>
      </c>
      <c r="C1745" s="1274">
        <v>95009</v>
      </c>
      <c r="H1745" s="1248"/>
      <c r="K1745" s="1248"/>
      <c r="P1745" s="1248"/>
    </row>
    <row r="1746" spans="1:16" x14ac:dyDescent="0.25">
      <c r="A1746" s="1274"/>
      <c r="B1746" s="1276" t="s">
        <v>4652</v>
      </c>
      <c r="C1746" s="1274">
        <v>92641</v>
      </c>
      <c r="H1746" s="1248"/>
      <c r="K1746" s="1248"/>
      <c r="P1746" s="1248"/>
    </row>
    <row r="1747" spans="1:16" x14ac:dyDescent="0.25">
      <c r="A1747" s="1274"/>
      <c r="B1747" s="1276" t="s">
        <v>4653</v>
      </c>
      <c r="C1747" s="1274">
        <v>90411</v>
      </c>
      <c r="H1747" s="1248"/>
      <c r="K1747" s="1248"/>
      <c r="P1747" s="1248"/>
    </row>
    <row r="1748" spans="1:16" x14ac:dyDescent="0.25">
      <c r="A1748" s="1274"/>
      <c r="B1748" s="1276" t="s">
        <v>2684</v>
      </c>
      <c r="C1748" s="1274">
        <v>90417</v>
      </c>
      <c r="H1748" s="1248"/>
      <c r="K1748" s="1248"/>
      <c r="P1748" s="1248"/>
    </row>
    <row r="1749" spans="1:16" x14ac:dyDescent="0.25">
      <c r="A1749" s="1274"/>
      <c r="B1749" s="1276" t="s">
        <v>2683</v>
      </c>
      <c r="C1749" s="1274">
        <v>90413</v>
      </c>
      <c r="H1749" s="1248"/>
      <c r="K1749" s="1248"/>
      <c r="P1749" s="1248"/>
    </row>
    <row r="1750" spans="1:16" x14ac:dyDescent="0.25">
      <c r="A1750" s="1274"/>
      <c r="B1750" s="1276" t="s">
        <v>4654</v>
      </c>
      <c r="C1750" s="1274">
        <v>98321</v>
      </c>
      <c r="H1750" s="1248"/>
      <c r="K1750" s="1248"/>
      <c r="P1750" s="1248"/>
    </row>
    <row r="1751" spans="1:16" x14ac:dyDescent="0.25">
      <c r="A1751" s="1274"/>
      <c r="B1751" s="1276" t="s">
        <v>3465</v>
      </c>
      <c r="C1751" s="1274">
        <v>99201</v>
      </c>
      <c r="H1751" s="1248"/>
      <c r="K1751" s="1248"/>
      <c r="P1751" s="1248"/>
    </row>
    <row r="1752" spans="1:16" x14ac:dyDescent="0.25">
      <c r="A1752" s="1274"/>
      <c r="B1752" s="1276" t="s">
        <v>3468</v>
      </c>
      <c r="C1752" s="1274">
        <v>99204</v>
      </c>
      <c r="H1752" s="1248"/>
      <c r="K1752" s="1248"/>
      <c r="P1752" s="1248"/>
    </row>
    <row r="1753" spans="1:16" x14ac:dyDescent="0.25">
      <c r="A1753" s="1274"/>
      <c r="B1753" s="1276" t="s">
        <v>3695</v>
      </c>
      <c r="C1753" s="1274">
        <v>99207</v>
      </c>
      <c r="H1753" s="1248"/>
      <c r="K1753" s="1248"/>
      <c r="P1753" s="1248"/>
    </row>
    <row r="1754" spans="1:16" x14ac:dyDescent="0.25">
      <c r="A1754" s="1274"/>
      <c r="B1754" s="1276" t="s">
        <v>4655</v>
      </c>
      <c r="C1754" s="1274">
        <v>99281</v>
      </c>
      <c r="H1754" s="1248"/>
      <c r="K1754" s="1248"/>
      <c r="P1754" s="1248"/>
    </row>
    <row r="1755" spans="1:16" x14ac:dyDescent="0.25">
      <c r="A1755" s="1274"/>
      <c r="B1755" s="1276" t="s">
        <v>4656</v>
      </c>
      <c r="C1755" s="1274">
        <v>93461</v>
      </c>
      <c r="H1755" s="1248"/>
      <c r="K1755" s="1248"/>
      <c r="P1755" s="1248"/>
    </row>
    <row r="1756" spans="1:16" x14ac:dyDescent="0.25">
      <c r="A1756" s="1274"/>
      <c r="B1756" s="1276" t="s">
        <v>4657</v>
      </c>
      <c r="C1756" s="1274">
        <v>93151</v>
      </c>
      <c r="H1756" s="1248"/>
      <c r="K1756" s="1248"/>
      <c r="P1756" s="1248"/>
    </row>
    <row r="1757" spans="1:16" x14ac:dyDescent="0.25">
      <c r="A1757" s="1274"/>
      <c r="B1757" s="1276" t="s">
        <v>2942</v>
      </c>
      <c r="C1757" s="1274">
        <v>93157</v>
      </c>
      <c r="H1757" s="1248"/>
      <c r="K1757" s="1248"/>
      <c r="P1757" s="1248"/>
    </row>
    <row r="1758" spans="1:16" x14ac:dyDescent="0.25">
      <c r="A1758" s="1274"/>
      <c r="B1758" s="1276" t="s">
        <v>4658</v>
      </c>
      <c r="C1758" s="1274">
        <v>98511</v>
      </c>
      <c r="H1758" s="1248"/>
      <c r="K1758" s="1248"/>
      <c r="P1758" s="1248"/>
    </row>
    <row r="1759" spans="1:16" x14ac:dyDescent="0.25">
      <c r="A1759" s="1274"/>
      <c r="B1759" s="1276" t="s">
        <v>3424</v>
      </c>
      <c r="C1759" s="1274">
        <v>98517</v>
      </c>
      <c r="H1759" s="1248"/>
      <c r="K1759" s="1248"/>
      <c r="P1759" s="1248"/>
    </row>
    <row r="1760" spans="1:16" x14ac:dyDescent="0.25">
      <c r="A1760" s="1274"/>
      <c r="B1760" s="1276" t="s">
        <v>4659</v>
      </c>
      <c r="C1760" s="1274">
        <v>99661</v>
      </c>
      <c r="H1760" s="1248"/>
      <c r="K1760" s="1248"/>
      <c r="P1760" s="1248"/>
    </row>
    <row r="1761" spans="1:16" x14ac:dyDescent="0.25">
      <c r="A1761" s="1274"/>
      <c r="B1761" s="1276" t="s">
        <v>4660</v>
      </c>
      <c r="C1761" s="1274">
        <v>94031</v>
      </c>
      <c r="H1761" s="1248"/>
      <c r="K1761" s="1248"/>
      <c r="P1761" s="1248"/>
    </row>
    <row r="1762" spans="1:16" x14ac:dyDescent="0.25">
      <c r="A1762" s="1274"/>
      <c r="B1762" s="1276" t="s">
        <v>3487</v>
      </c>
      <c r="C1762" s="1274">
        <v>99301</v>
      </c>
      <c r="H1762" s="1248"/>
      <c r="K1762" s="1248"/>
      <c r="P1762" s="1248"/>
    </row>
    <row r="1763" spans="1:16" x14ac:dyDescent="0.25">
      <c r="A1763" s="1274"/>
      <c r="B1763" s="1276" t="s">
        <v>3488</v>
      </c>
      <c r="C1763" s="1274">
        <v>99304</v>
      </c>
      <c r="H1763" s="1248"/>
      <c r="K1763" s="1248"/>
      <c r="P1763" s="1248"/>
    </row>
    <row r="1764" spans="1:16" x14ac:dyDescent="0.25">
      <c r="A1764" s="1274"/>
      <c r="B1764" s="1276" t="s">
        <v>4661</v>
      </c>
      <c r="C1764" s="1274">
        <v>99321</v>
      </c>
      <c r="H1764" s="1248"/>
      <c r="K1764" s="1248"/>
      <c r="P1764" s="1248"/>
    </row>
    <row r="1765" spans="1:16" x14ac:dyDescent="0.25">
      <c r="A1765" s="1274"/>
      <c r="B1765" s="1276" t="s">
        <v>4662</v>
      </c>
      <c r="C1765" s="1274">
        <v>93131</v>
      </c>
      <c r="H1765" s="1248"/>
      <c r="K1765" s="1248"/>
      <c r="P1765" s="1248"/>
    </row>
    <row r="1766" spans="1:16" x14ac:dyDescent="0.25">
      <c r="A1766" s="1274"/>
      <c r="B1766" s="1276" t="s">
        <v>2939</v>
      </c>
      <c r="C1766" s="1274">
        <v>93137</v>
      </c>
      <c r="H1766" s="1248"/>
      <c r="K1766" s="1248"/>
      <c r="P1766" s="1248"/>
    </row>
    <row r="1767" spans="1:16" x14ac:dyDescent="0.25">
      <c r="A1767" s="1274"/>
      <c r="B1767" s="1276" t="s">
        <v>2632</v>
      </c>
      <c r="C1767" s="1274">
        <v>90711</v>
      </c>
      <c r="H1767" s="1248"/>
      <c r="K1767" s="1248"/>
      <c r="P1767" s="1248"/>
    </row>
    <row r="1768" spans="1:16" x14ac:dyDescent="0.25">
      <c r="A1768" s="1274"/>
      <c r="B1768" s="1276" t="s">
        <v>3491</v>
      </c>
      <c r="C1768" s="1274">
        <v>99401</v>
      </c>
      <c r="H1768" s="1248"/>
      <c r="K1768" s="1248"/>
      <c r="P1768" s="1248"/>
    </row>
    <row r="1769" spans="1:16" x14ac:dyDescent="0.25">
      <c r="A1769" s="1274"/>
      <c r="B1769" s="1276" t="s">
        <v>3492</v>
      </c>
      <c r="C1769" s="1274">
        <v>99404</v>
      </c>
      <c r="H1769" s="1248"/>
      <c r="K1769" s="1248"/>
      <c r="P1769" s="1248"/>
    </row>
    <row r="1770" spans="1:16" x14ac:dyDescent="0.25">
      <c r="A1770" s="1274"/>
      <c r="B1770" s="1276" t="s">
        <v>4663</v>
      </c>
      <c r="C1770" s="1274">
        <v>90741</v>
      </c>
      <c r="H1770" s="1248"/>
      <c r="K1770" s="1248"/>
      <c r="P1770" s="1248"/>
    </row>
    <row r="1771" spans="1:16" x14ac:dyDescent="0.25">
      <c r="A1771" s="1274"/>
      <c r="B1771" s="1276" t="s">
        <v>3498</v>
      </c>
      <c r="C1771" s="1274">
        <v>99501</v>
      </c>
      <c r="H1771" s="1248"/>
      <c r="K1771" s="1248"/>
      <c r="P1771" s="1248"/>
    </row>
    <row r="1772" spans="1:16" x14ac:dyDescent="0.25">
      <c r="A1772" s="1274"/>
      <c r="B1772" s="1276" t="s">
        <v>3501</v>
      </c>
      <c r="C1772" s="1274">
        <v>99509</v>
      </c>
      <c r="H1772" s="1248"/>
      <c r="K1772" s="1248"/>
      <c r="P1772" s="1248"/>
    </row>
    <row r="1773" spans="1:16" x14ac:dyDescent="0.25">
      <c r="A1773" s="1274"/>
      <c r="B1773" s="1276" t="s">
        <v>4664</v>
      </c>
      <c r="C1773" s="1274">
        <v>91302</v>
      </c>
      <c r="H1773" s="1248"/>
      <c r="K1773" s="1248"/>
      <c r="P1773" s="1248"/>
    </row>
    <row r="1774" spans="1:16" x14ac:dyDescent="0.25">
      <c r="A1774" s="1274"/>
      <c r="B1774" s="1276" t="s">
        <v>4665</v>
      </c>
      <c r="C1774" s="1274">
        <v>99041</v>
      </c>
      <c r="H1774" s="1248"/>
      <c r="K1774" s="1248"/>
      <c r="P1774" s="1248"/>
    </row>
    <row r="1775" spans="1:16" x14ac:dyDescent="0.25">
      <c r="A1775" s="1274"/>
      <c r="B1775" s="1276" t="s">
        <v>3454</v>
      </c>
      <c r="C1775" s="1274">
        <v>99047</v>
      </c>
      <c r="H1775" s="1248"/>
      <c r="K1775" s="1248"/>
      <c r="P1775" s="1248"/>
    </row>
    <row r="1776" spans="1:16" x14ac:dyDescent="0.25">
      <c r="A1776" s="1274"/>
      <c r="B1776" s="1276" t="s">
        <v>3506</v>
      </c>
      <c r="C1776" s="1274">
        <v>99601</v>
      </c>
      <c r="H1776" s="1248"/>
      <c r="K1776" s="1248"/>
      <c r="P1776" s="1248"/>
    </row>
    <row r="1777" spans="1:16" x14ac:dyDescent="0.25">
      <c r="A1777" s="1274"/>
      <c r="B1777" s="1276" t="s">
        <v>3509</v>
      </c>
      <c r="C1777" s="1274">
        <v>99604</v>
      </c>
      <c r="H1777" s="1248"/>
      <c r="K1777" s="1248"/>
      <c r="P1777" s="1248"/>
    </row>
    <row r="1778" spans="1:16" x14ac:dyDescent="0.25">
      <c r="A1778" s="1274"/>
      <c r="B1778" s="1276" t="s">
        <v>4666</v>
      </c>
      <c r="C1778" s="1274">
        <v>94411</v>
      </c>
      <c r="H1778" s="1248"/>
      <c r="K1778" s="1248"/>
      <c r="P1778" s="1248"/>
    </row>
    <row r="1779" spans="1:16" x14ac:dyDescent="0.25">
      <c r="A1779" s="1274"/>
      <c r="B1779" s="1276" t="s">
        <v>3067</v>
      </c>
      <c r="C1779" s="1274">
        <v>94412</v>
      </c>
      <c r="H1779" s="1248"/>
      <c r="K1779" s="1248"/>
      <c r="P1779" s="1248"/>
    </row>
    <row r="1780" spans="1:16" x14ac:dyDescent="0.25">
      <c r="A1780" s="1274"/>
      <c r="B1780" s="1276" t="s">
        <v>4667</v>
      </c>
      <c r="C1780" s="1274">
        <v>91141</v>
      </c>
      <c r="H1780" s="1248"/>
      <c r="K1780" s="1248"/>
      <c r="P1780" s="1248"/>
    </row>
    <row r="1781" spans="1:16" x14ac:dyDescent="0.25">
      <c r="A1781" s="1274"/>
      <c r="B1781" s="1276" t="s">
        <v>2768</v>
      </c>
      <c r="C1781" s="1274">
        <v>91147</v>
      </c>
      <c r="H1781" s="1248"/>
      <c r="K1781" s="1248"/>
      <c r="P1781" s="1248"/>
    </row>
    <row r="1782" spans="1:16" x14ac:dyDescent="0.25">
      <c r="A1782" s="1274"/>
      <c r="B1782" s="1276" t="s">
        <v>4668</v>
      </c>
      <c r="C1782" s="1274">
        <v>99071</v>
      </c>
      <c r="H1782" s="1248"/>
      <c r="K1782" s="1248"/>
      <c r="P1782" s="1248"/>
    </row>
    <row r="1783" spans="1:16" x14ac:dyDescent="0.25">
      <c r="A1783" s="1274"/>
      <c r="B1783" s="1276" t="s">
        <v>4669</v>
      </c>
      <c r="C1783" s="1274">
        <v>94231</v>
      </c>
      <c r="H1783" s="1248"/>
      <c r="K1783" s="1248"/>
      <c r="P1783" s="1248"/>
    </row>
    <row r="1784" spans="1:16" x14ac:dyDescent="0.25">
      <c r="A1784" s="1274"/>
      <c r="B1784" s="1276" t="s">
        <v>4670</v>
      </c>
      <c r="C1784" s="1274">
        <v>99231</v>
      </c>
      <c r="H1784" s="1248"/>
      <c r="K1784" s="1248"/>
      <c r="P1784" s="1248"/>
    </row>
    <row r="1785" spans="1:16" x14ac:dyDescent="0.25">
      <c r="A1785" s="1274"/>
      <c r="B1785" s="1276" t="s">
        <v>4671</v>
      </c>
      <c r="C1785" s="1274">
        <v>99091</v>
      </c>
      <c r="H1785" s="1248"/>
      <c r="K1785" s="1248"/>
      <c r="P1785" s="1248"/>
    </row>
    <row r="1786" spans="1:16" x14ac:dyDescent="0.25">
      <c r="A1786" s="1274"/>
      <c r="B1786" s="1276" t="s">
        <v>2762</v>
      </c>
      <c r="C1786" s="1274">
        <v>91120</v>
      </c>
      <c r="H1786" s="1248"/>
      <c r="K1786" s="1248"/>
      <c r="P1786" s="1248"/>
    </row>
    <row r="1787" spans="1:16" x14ac:dyDescent="0.25">
      <c r="A1787" s="1274"/>
      <c r="B1787" s="1276" t="s">
        <v>2876</v>
      </c>
      <c r="C1787" s="1274">
        <v>92444</v>
      </c>
      <c r="H1787" s="1248"/>
      <c r="K1787" s="1248"/>
      <c r="P1787" s="1248"/>
    </row>
    <row r="1788" spans="1:16" x14ac:dyDescent="0.25">
      <c r="A1788" s="1274"/>
      <c r="B1788" s="1276" t="s">
        <v>4672</v>
      </c>
      <c r="C1788" s="1274">
        <v>90521</v>
      </c>
      <c r="H1788" s="1248"/>
      <c r="K1788" s="1248"/>
      <c r="P1788" s="1248"/>
    </row>
    <row r="1789" spans="1:16" x14ac:dyDescent="0.25">
      <c r="A1789" s="1274"/>
      <c r="B1789" s="1276" t="s">
        <v>1220</v>
      </c>
      <c r="C1789" s="1274">
        <v>90507</v>
      </c>
      <c r="H1789" s="1248"/>
      <c r="K1789" s="1248"/>
      <c r="P1789" s="1248"/>
    </row>
    <row r="1790" spans="1:16" x14ac:dyDescent="0.25">
      <c r="A1790" s="1274"/>
      <c r="B1790" s="1276" t="s">
        <v>2896</v>
      </c>
      <c r="C1790" s="1274">
        <v>92602</v>
      </c>
      <c r="H1790" s="1248"/>
      <c r="K1790" s="1248"/>
      <c r="P1790" s="1248"/>
    </row>
    <row r="1791" spans="1:16" x14ac:dyDescent="0.25">
      <c r="A1791" s="1274"/>
      <c r="B1791" s="1276" t="s">
        <v>2812</v>
      </c>
      <c r="C1791" s="1274">
        <v>91608</v>
      </c>
      <c r="H1791" s="1248"/>
      <c r="K1791" s="1248"/>
      <c r="P1791" s="1248"/>
    </row>
    <row r="1792" spans="1:16" x14ac:dyDescent="0.25">
      <c r="A1792" s="1274"/>
      <c r="B1792" s="1276" t="s">
        <v>1289</v>
      </c>
      <c r="C1792" s="1274">
        <v>91119</v>
      </c>
      <c r="H1792" s="1248"/>
      <c r="K1792" s="1248"/>
      <c r="P1792" s="1248"/>
    </row>
    <row r="1793" spans="1:16" x14ac:dyDescent="0.25">
      <c r="A1793" s="1274"/>
      <c r="B1793" s="1276" t="s">
        <v>3683</v>
      </c>
      <c r="C1793" s="1274">
        <v>91107</v>
      </c>
      <c r="H1793" s="1248"/>
      <c r="K1793" s="1248"/>
      <c r="P1793" s="1248"/>
    </row>
    <row r="1794" spans="1:16" x14ac:dyDescent="0.25">
      <c r="A1794" s="1274"/>
      <c r="B1794" s="1276" t="s">
        <v>4150</v>
      </c>
      <c r="C1794" s="1274">
        <v>91818</v>
      </c>
      <c r="H1794" s="1248"/>
      <c r="K1794" s="1248"/>
      <c r="P1794" s="1248"/>
    </row>
    <row r="1795" spans="1:16" x14ac:dyDescent="0.25">
      <c r="A1795" s="1274"/>
      <c r="B1795" s="1276" t="s">
        <v>2833</v>
      </c>
      <c r="C1795" s="1274">
        <v>91819</v>
      </c>
      <c r="H1795" s="1248"/>
      <c r="K1795" s="1248"/>
      <c r="P1795" s="1248"/>
    </row>
    <row r="1796" spans="1:16" x14ac:dyDescent="0.25">
      <c r="A1796" s="1274"/>
      <c r="B1796" s="1276" t="s">
        <v>4673</v>
      </c>
      <c r="C1796" s="1274">
        <v>96371</v>
      </c>
      <c r="H1796" s="1248"/>
      <c r="K1796" s="1248"/>
      <c r="P1796" s="1248"/>
    </row>
    <row r="1797" spans="1:16" x14ac:dyDescent="0.25">
      <c r="A1797" s="1274"/>
      <c r="B1797" s="1276" t="s">
        <v>4674</v>
      </c>
      <c r="C1797" s="1274">
        <v>96441</v>
      </c>
      <c r="H1797" s="1248"/>
      <c r="K1797" s="1248"/>
      <c r="P1797" s="1248"/>
    </row>
    <row r="1798" spans="1:16" x14ac:dyDescent="0.25">
      <c r="A1798" s="1274"/>
      <c r="B1798" s="1276" t="s">
        <v>4675</v>
      </c>
      <c r="C1798" s="1274">
        <v>90921</v>
      </c>
      <c r="H1798" s="1248"/>
      <c r="K1798" s="1248"/>
      <c r="P1798" s="1248"/>
    </row>
    <row r="1799" spans="1:16" x14ac:dyDescent="0.25">
      <c r="A1799" s="1274"/>
      <c r="B1799" s="1276" t="s">
        <v>4676</v>
      </c>
      <c r="C1799" s="1274">
        <v>92411</v>
      </c>
      <c r="H1799" s="1248"/>
      <c r="K1799" s="1248"/>
      <c r="P1799" s="1248"/>
    </row>
    <row r="1800" spans="1:16" x14ac:dyDescent="0.25">
      <c r="A1800" s="1274"/>
      <c r="B1800" s="1276" t="s">
        <v>2871</v>
      </c>
      <c r="C1800" s="1274">
        <v>92417</v>
      </c>
      <c r="H1800" s="1248"/>
      <c r="K1800" s="1248"/>
      <c r="P1800" s="1248"/>
    </row>
    <row r="1801" spans="1:16" x14ac:dyDescent="0.25">
      <c r="A1801" s="1274"/>
      <c r="B1801" s="1276" t="s">
        <v>2869</v>
      </c>
      <c r="C1801" s="1274">
        <v>92403</v>
      </c>
      <c r="H1801" s="1248"/>
      <c r="K1801" s="1248"/>
      <c r="P1801" s="1248"/>
    </row>
    <row r="1802" spans="1:16" x14ac:dyDescent="0.25">
      <c r="A1802" s="1274"/>
      <c r="B1802" s="1276" t="s">
        <v>3519</v>
      </c>
      <c r="C1802" s="1274">
        <v>99701</v>
      </c>
      <c r="H1802" s="1248"/>
      <c r="K1802" s="1248"/>
      <c r="P1802" s="1248"/>
    </row>
    <row r="1803" spans="1:16" x14ac:dyDescent="0.25">
      <c r="A1803" s="1274"/>
      <c r="B1803" s="1276" t="s">
        <v>4677</v>
      </c>
      <c r="C1803" s="1274">
        <v>99721</v>
      </c>
      <c r="H1803" s="1248"/>
      <c r="K1803" s="1248"/>
      <c r="P1803" s="1248"/>
    </row>
    <row r="1804" spans="1:16" x14ac:dyDescent="0.25">
      <c r="A1804" s="1274"/>
      <c r="B1804" s="1276" t="s">
        <v>3524</v>
      </c>
      <c r="C1804" s="1274">
        <v>99727</v>
      </c>
      <c r="H1804" s="1248"/>
      <c r="K1804" s="1248"/>
      <c r="P1804" s="1248"/>
    </row>
    <row r="1805" spans="1:16" x14ac:dyDescent="0.25">
      <c r="A1805" s="1274"/>
      <c r="B1805" s="1276" t="s">
        <v>4678</v>
      </c>
      <c r="C1805" s="1274">
        <v>95811</v>
      </c>
      <c r="H1805" s="1248"/>
      <c r="K1805" s="1248"/>
      <c r="P1805" s="1248"/>
    </row>
    <row r="1806" spans="1:16" x14ac:dyDescent="0.25">
      <c r="A1806" s="1274"/>
      <c r="B1806" s="1276" t="s">
        <v>3166</v>
      </c>
      <c r="C1806" s="1274">
        <v>95813</v>
      </c>
      <c r="H1806" s="1248"/>
      <c r="K1806" s="1248"/>
      <c r="P1806" s="1248"/>
    </row>
    <row r="1807" spans="1:16" x14ac:dyDescent="0.25">
      <c r="A1807" s="1274"/>
      <c r="B1807" s="1276" t="s">
        <v>4679</v>
      </c>
      <c r="C1807" s="1274">
        <v>96531</v>
      </c>
      <c r="H1807" s="1248"/>
      <c r="K1807" s="1248"/>
      <c r="P1807" s="1248"/>
    </row>
    <row r="1808" spans="1:16" x14ac:dyDescent="0.25">
      <c r="A1808" s="1274"/>
      <c r="B1808" s="1276" t="s">
        <v>3692</v>
      </c>
      <c r="C1808" s="1274">
        <v>96503</v>
      </c>
      <c r="H1808" s="1248"/>
      <c r="K1808" s="1248"/>
      <c r="P1808" s="1248"/>
    </row>
    <row r="1809" spans="1:16" x14ac:dyDescent="0.25">
      <c r="A1809" s="1274"/>
      <c r="B1809" s="1276" t="s">
        <v>2636</v>
      </c>
      <c r="C1809" s="1274">
        <v>99811</v>
      </c>
      <c r="H1809" s="1248"/>
      <c r="K1809" s="1248"/>
      <c r="P1809" s="1248"/>
    </row>
    <row r="1810" spans="1:16" x14ac:dyDescent="0.25">
      <c r="A1810" s="1274"/>
      <c r="B1810" s="1276" t="s">
        <v>4680</v>
      </c>
      <c r="C1810" s="1274">
        <v>99818</v>
      </c>
      <c r="H1810" s="1248"/>
      <c r="K1810" s="1248"/>
      <c r="P1810" s="1248"/>
    </row>
    <row r="1811" spans="1:16" x14ac:dyDescent="0.25">
      <c r="A1811" s="1274"/>
      <c r="B1811" s="1276" t="s">
        <v>3525</v>
      </c>
      <c r="C1811" s="1274">
        <v>99801</v>
      </c>
      <c r="H1811" s="1248"/>
      <c r="K1811" s="1248"/>
      <c r="P1811" s="1248"/>
    </row>
    <row r="1812" spans="1:16" x14ac:dyDescent="0.25">
      <c r="A1812" s="1274"/>
      <c r="B1812" s="1276" t="s">
        <v>3527</v>
      </c>
      <c r="C1812" s="1274">
        <v>99804</v>
      </c>
      <c r="H1812" s="1248"/>
      <c r="K1812" s="1248"/>
      <c r="P1812" s="1248"/>
    </row>
    <row r="1813" spans="1:16" x14ac:dyDescent="0.25">
      <c r="A1813" s="1274"/>
      <c r="B1813" s="1276" t="s">
        <v>4233</v>
      </c>
      <c r="C1813" s="1274">
        <v>99802</v>
      </c>
      <c r="H1813" s="1248"/>
      <c r="K1813" s="1248"/>
      <c r="P1813" s="1248"/>
    </row>
    <row r="1814" spans="1:16" x14ac:dyDescent="0.25">
      <c r="A1814" s="1274"/>
      <c r="B1814" s="1276" t="s">
        <v>3529</v>
      </c>
      <c r="C1814" s="1274">
        <v>99812</v>
      </c>
      <c r="H1814" s="1248"/>
      <c r="K1814" s="1248"/>
      <c r="P1814" s="1248"/>
    </row>
    <row r="1815" spans="1:16" x14ac:dyDescent="0.25">
      <c r="A1815" s="1274"/>
      <c r="B1815" s="1276" t="s">
        <v>4681</v>
      </c>
      <c r="C1815" s="1274">
        <v>95191</v>
      </c>
      <c r="H1815" s="1248"/>
      <c r="K1815" s="1248"/>
      <c r="P1815" s="1248"/>
    </row>
    <row r="1816" spans="1:16" x14ac:dyDescent="0.25">
      <c r="A1816" s="1274"/>
      <c r="B1816" s="1276" t="s">
        <v>4682</v>
      </c>
      <c r="C1816" s="1274">
        <v>90812</v>
      </c>
      <c r="H1816" s="1248"/>
      <c r="K1816" s="1248"/>
      <c r="P1816" s="1248"/>
    </row>
    <row r="1817" spans="1:16" x14ac:dyDescent="0.25">
      <c r="A1817" s="1274"/>
      <c r="B1817" s="1276" t="s">
        <v>4683</v>
      </c>
      <c r="C1817" s="1274">
        <v>97221</v>
      </c>
      <c r="H1817" s="1248"/>
      <c r="K1817" s="1248"/>
      <c r="P1817" s="1248"/>
    </row>
    <row r="1818" spans="1:16" x14ac:dyDescent="0.25">
      <c r="A1818" s="1274"/>
      <c r="B1818" s="1276" t="s">
        <v>4684</v>
      </c>
      <c r="C1818" s="1274">
        <v>99031</v>
      </c>
      <c r="H1818" s="1248"/>
      <c r="K1818" s="1248"/>
      <c r="P1818" s="1248"/>
    </row>
    <row r="1819" spans="1:16" x14ac:dyDescent="0.25">
      <c r="A1819" s="1274"/>
      <c r="B1819" s="1276" t="s">
        <v>4685</v>
      </c>
      <c r="C1819" s="1274">
        <v>93411</v>
      </c>
      <c r="H1819" s="1248"/>
      <c r="K1819" s="1248"/>
      <c r="P1819" s="1248"/>
    </row>
    <row r="1820" spans="1:16" x14ac:dyDescent="0.25">
      <c r="A1820" s="1274"/>
      <c r="B1820" s="1276" t="s">
        <v>2971</v>
      </c>
      <c r="C1820" s="1274">
        <v>93413</v>
      </c>
      <c r="H1820" s="1248"/>
      <c r="K1820" s="1248"/>
      <c r="P1820" s="1248"/>
    </row>
    <row r="1821" spans="1:16" x14ac:dyDescent="0.25">
      <c r="A1821" s="1274"/>
      <c r="B1821" s="1276" t="s">
        <v>4686</v>
      </c>
      <c r="C1821" s="1274">
        <v>97451</v>
      </c>
      <c r="H1821" s="1248"/>
      <c r="K1821" s="1248"/>
      <c r="P1821" s="1248"/>
    </row>
    <row r="1822" spans="1:16" x14ac:dyDescent="0.25">
      <c r="A1822" s="1274"/>
      <c r="B1822" s="1276" t="s">
        <v>4687</v>
      </c>
      <c r="C1822" s="1274">
        <v>94631</v>
      </c>
      <c r="H1822" s="1248"/>
      <c r="K1822" s="1248"/>
      <c r="P1822" s="1248"/>
    </row>
    <row r="1823" spans="1:16" x14ac:dyDescent="0.25">
      <c r="A1823" s="1274"/>
      <c r="B1823" s="1276" t="s">
        <v>4688</v>
      </c>
      <c r="C1823" s="1274">
        <v>91171</v>
      </c>
      <c r="H1823" s="1248"/>
      <c r="K1823" s="1248"/>
      <c r="P1823" s="1248"/>
    </row>
    <row r="1824" spans="1:16" x14ac:dyDescent="0.25">
      <c r="A1824" s="1274"/>
      <c r="B1824" s="1276" t="s">
        <v>2757</v>
      </c>
      <c r="C1824" s="1274">
        <v>91104</v>
      </c>
      <c r="H1824" s="1248"/>
      <c r="K1824" s="1248"/>
      <c r="P1824" s="1248"/>
    </row>
    <row r="1825" spans="1:16" x14ac:dyDescent="0.25">
      <c r="A1825" s="1274"/>
      <c r="B1825" s="1276" t="s">
        <v>4134</v>
      </c>
      <c r="C1825" s="1274">
        <v>91109</v>
      </c>
      <c r="H1825" s="1248"/>
      <c r="K1825" s="1248"/>
      <c r="P1825" s="1248"/>
    </row>
    <row r="1826" spans="1:16" x14ac:dyDescent="0.25">
      <c r="A1826" s="1274"/>
      <c r="B1826" s="1276" t="s">
        <v>4689</v>
      </c>
      <c r="C1826" s="1274">
        <v>96621</v>
      </c>
      <c r="H1826" s="1248"/>
      <c r="K1826" s="1248"/>
      <c r="P1826" s="1248"/>
    </row>
    <row r="1827" spans="1:16" x14ac:dyDescent="0.25">
      <c r="A1827" s="1274"/>
      <c r="B1827" s="1276" t="s">
        <v>4690</v>
      </c>
      <c r="C1827" s="1274">
        <v>96511</v>
      </c>
      <c r="H1827" s="1248"/>
      <c r="K1827" s="1248"/>
      <c r="P1827" s="1248"/>
    </row>
    <row r="1828" spans="1:16" x14ac:dyDescent="0.25">
      <c r="A1828" s="1274"/>
      <c r="B1828" s="1276" t="s">
        <v>3535</v>
      </c>
      <c r="C1828" s="1274">
        <v>99901</v>
      </c>
      <c r="H1828" s="1248"/>
      <c r="K1828" s="1248"/>
      <c r="P1828" s="1248"/>
    </row>
    <row r="1829" spans="1:16" x14ac:dyDescent="0.25">
      <c r="A1829" s="1274"/>
      <c r="B1829" s="1276" t="s">
        <v>4691</v>
      </c>
      <c r="C1829" s="1274">
        <v>98604</v>
      </c>
      <c r="H1829" s="1248"/>
      <c r="K1829" s="1248"/>
      <c r="P1829" s="1248"/>
    </row>
    <row r="1830" spans="1:16" x14ac:dyDescent="0.25">
      <c r="A1830" s="1274"/>
      <c r="B1830" s="1276" t="s">
        <v>3429</v>
      </c>
      <c r="C1830" s="1274">
        <v>98608</v>
      </c>
      <c r="H1830" s="1248"/>
      <c r="K1830" s="1248"/>
      <c r="P1830" s="1248"/>
    </row>
    <row r="1831" spans="1:16" x14ac:dyDescent="0.25">
      <c r="A1831" s="1274"/>
      <c r="B1831" s="1276" t="s">
        <v>4692</v>
      </c>
      <c r="C1831" s="1274">
        <v>99911</v>
      </c>
      <c r="H1831" s="1248"/>
      <c r="K1831" s="1248"/>
      <c r="P1831" s="1248"/>
    </row>
    <row r="1832" spans="1:16" x14ac:dyDescent="0.25">
      <c r="A1832" s="1274"/>
      <c r="B1832" s="1276" t="s">
        <v>2657</v>
      </c>
      <c r="C1832" s="1274">
        <v>90001</v>
      </c>
      <c r="H1832" s="1248"/>
      <c r="K1832" s="1248"/>
      <c r="P1832" s="1248"/>
    </row>
    <row r="1833" spans="1:16" x14ac:dyDescent="0.25">
      <c r="A1833" s="1274"/>
      <c r="B1833" s="1276" t="s">
        <v>4693</v>
      </c>
      <c r="C1833" s="1274">
        <v>90002</v>
      </c>
      <c r="H1833" s="1248"/>
      <c r="K1833" s="1248"/>
      <c r="P1833" s="1248"/>
    </row>
    <row r="1834" spans="1:16" x14ac:dyDescent="0.25">
      <c r="A1834" s="1274"/>
      <c r="B1834" s="1276" t="s">
        <v>4694</v>
      </c>
      <c r="C1834" s="1274">
        <v>91719</v>
      </c>
      <c r="H1834" s="1248"/>
      <c r="K1834" s="1248"/>
      <c r="P1834" s="1248"/>
    </row>
    <row r="1835" spans="1:16" x14ac:dyDescent="0.25">
      <c r="A1835" s="1274"/>
      <c r="B1835" s="1276" t="s">
        <v>4695</v>
      </c>
      <c r="C1835" s="1274">
        <v>93541</v>
      </c>
      <c r="H1835" s="1248"/>
      <c r="K1835" s="1248"/>
      <c r="P1835" s="1248"/>
    </row>
    <row r="1836" spans="1:16" x14ac:dyDescent="0.25">
      <c r="A1836" s="1274"/>
      <c r="B1836" s="1276" t="s">
        <v>4696</v>
      </c>
      <c r="C1836" s="1274">
        <v>99241</v>
      </c>
      <c r="H1836" s="1248"/>
      <c r="K1836" s="1248"/>
      <c r="P1836" s="1248"/>
    </row>
    <row r="1837" spans="1:16" x14ac:dyDescent="0.25">
      <c r="A1837" s="1274"/>
      <c r="B1837" s="1281"/>
      <c r="H1837" s="1248"/>
      <c r="K1837" s="1248"/>
      <c r="P1837" s="1248"/>
    </row>
    <row r="1838" spans="1:16" x14ac:dyDescent="0.25">
      <c r="B1838" s="1281"/>
      <c r="H1838" s="1248"/>
      <c r="K1838" s="1248"/>
      <c r="P1838" s="1248"/>
    </row>
    <row r="1839" spans="1:16" x14ac:dyDescent="0.25">
      <c r="B1839" s="1281"/>
      <c r="H1839" s="1248"/>
      <c r="K1839" s="1248"/>
      <c r="P1839" s="1248"/>
    </row>
    <row r="1840" spans="1:16" x14ac:dyDescent="0.25">
      <c r="B1840" s="1281"/>
      <c r="H1840" s="1248"/>
      <c r="K1840" s="1248"/>
      <c r="P1840" s="1248"/>
    </row>
    <row r="1841" spans="2:16" x14ac:dyDescent="0.25">
      <c r="B1841" s="1281"/>
      <c r="H1841" s="1248"/>
      <c r="K1841" s="1248"/>
      <c r="P1841" s="1248"/>
    </row>
    <row r="1842" spans="2:16" x14ac:dyDescent="0.25">
      <c r="B1842" s="1281"/>
      <c r="H1842" s="1248"/>
      <c r="K1842" s="1248"/>
      <c r="P1842" s="1248"/>
    </row>
    <row r="1843" spans="2:16" x14ac:dyDescent="0.25">
      <c r="B1843" s="1281"/>
      <c r="H1843" s="1248"/>
      <c r="K1843" s="1248"/>
      <c r="P1843" s="1248"/>
    </row>
    <row r="1844" spans="2:16" x14ac:dyDescent="0.25">
      <c r="B1844" s="1281"/>
      <c r="H1844" s="1248"/>
      <c r="K1844" s="1248"/>
      <c r="P1844" s="1248"/>
    </row>
    <row r="1845" spans="2:16" x14ac:dyDescent="0.25">
      <c r="B1845" s="1281"/>
      <c r="H1845" s="1248"/>
      <c r="K1845" s="1248"/>
      <c r="P1845" s="1248"/>
    </row>
    <row r="1846" spans="2:16" x14ac:dyDescent="0.25">
      <c r="B1846" s="1281"/>
      <c r="H1846" s="1248"/>
      <c r="K1846" s="1248"/>
      <c r="P1846" s="1248"/>
    </row>
    <row r="1847" spans="2:16" x14ac:dyDescent="0.25">
      <c r="B1847" s="1281"/>
      <c r="H1847" s="1248"/>
      <c r="K1847" s="1248"/>
      <c r="P1847" s="1248"/>
    </row>
    <row r="1848" spans="2:16" x14ac:dyDescent="0.25">
      <c r="B1848" s="1281"/>
      <c r="H1848" s="1248"/>
      <c r="K1848" s="1248"/>
      <c r="P1848" s="1248"/>
    </row>
    <row r="1849" spans="2:16" x14ac:dyDescent="0.25">
      <c r="B1849" s="1281"/>
      <c r="H1849" s="1248"/>
      <c r="K1849" s="1248"/>
      <c r="P1849" s="1248"/>
    </row>
    <row r="1850" spans="2:16" x14ac:dyDescent="0.25">
      <c r="B1850" s="1281"/>
      <c r="H1850" s="1248"/>
      <c r="K1850" s="1248"/>
      <c r="P1850" s="1248"/>
    </row>
    <row r="1851" spans="2:16" x14ac:dyDescent="0.25">
      <c r="B1851" s="1281"/>
      <c r="H1851" s="1248"/>
      <c r="K1851" s="1248"/>
      <c r="P1851" s="1248"/>
    </row>
    <row r="1852" spans="2:16" x14ac:dyDescent="0.25">
      <c r="B1852" s="1281"/>
      <c r="H1852" s="1248"/>
      <c r="K1852" s="1248"/>
      <c r="P1852" s="1248"/>
    </row>
    <row r="1853" spans="2:16" x14ac:dyDescent="0.25">
      <c r="B1853" s="1281"/>
      <c r="H1853" s="1248"/>
      <c r="K1853" s="1248"/>
      <c r="P1853" s="1248"/>
    </row>
    <row r="1854" spans="2:16" x14ac:dyDescent="0.25">
      <c r="B1854" s="1281"/>
      <c r="H1854" s="1248"/>
      <c r="K1854" s="1248"/>
      <c r="P1854" s="1248"/>
    </row>
    <row r="1855" spans="2:16" x14ac:dyDescent="0.25">
      <c r="B1855" s="1281"/>
      <c r="H1855" s="1248"/>
      <c r="K1855" s="1248"/>
      <c r="P1855" s="1248"/>
    </row>
    <row r="1856" spans="2:16" x14ac:dyDescent="0.25">
      <c r="B1856" s="1281"/>
      <c r="H1856" s="1248"/>
      <c r="K1856" s="1248"/>
      <c r="P1856" s="1248"/>
    </row>
    <row r="1857" spans="2:16" x14ac:dyDescent="0.25">
      <c r="B1857" s="1281"/>
      <c r="H1857" s="1248"/>
      <c r="K1857" s="1248"/>
      <c r="P1857" s="1248"/>
    </row>
    <row r="1858" spans="2:16" x14ac:dyDescent="0.25">
      <c r="B1858" s="1281"/>
      <c r="H1858" s="1248"/>
      <c r="K1858" s="1248"/>
      <c r="P1858" s="1248"/>
    </row>
    <row r="1859" spans="2:16" x14ac:dyDescent="0.25">
      <c r="B1859" s="1281"/>
      <c r="H1859" s="1248"/>
      <c r="K1859" s="1248"/>
      <c r="P1859" s="1248"/>
    </row>
    <row r="1860" spans="2:16" x14ac:dyDescent="0.25">
      <c r="B1860" s="1281"/>
      <c r="H1860" s="1248"/>
      <c r="K1860" s="1248"/>
      <c r="P1860" s="1248"/>
    </row>
    <row r="1861" spans="2:16" x14ac:dyDescent="0.25">
      <c r="B1861" s="1281"/>
      <c r="H1861" s="1248"/>
      <c r="K1861" s="1248"/>
      <c r="P1861" s="1248"/>
    </row>
    <row r="1862" spans="2:16" x14ac:dyDescent="0.25">
      <c r="B1862" s="1281"/>
      <c r="H1862" s="1248"/>
      <c r="K1862" s="1248"/>
      <c r="P1862" s="1248"/>
    </row>
    <row r="1863" spans="2:16" x14ac:dyDescent="0.25">
      <c r="B1863" s="1281"/>
      <c r="H1863" s="1248"/>
      <c r="K1863" s="1248"/>
      <c r="P1863" s="1248"/>
    </row>
    <row r="1864" spans="2:16" x14ac:dyDescent="0.25">
      <c r="B1864" s="1281"/>
      <c r="H1864" s="1248"/>
      <c r="K1864" s="1248"/>
      <c r="P1864" s="1248"/>
    </row>
    <row r="1865" spans="2:16" x14ac:dyDescent="0.25">
      <c r="B1865" s="1281"/>
      <c r="H1865" s="1248"/>
      <c r="K1865" s="1248"/>
      <c r="P1865" s="1248"/>
    </row>
    <row r="1866" spans="2:16" x14ac:dyDescent="0.25">
      <c r="B1866" s="1281"/>
      <c r="H1866" s="1248"/>
      <c r="K1866" s="1248"/>
      <c r="P1866" s="1248"/>
    </row>
    <row r="1867" spans="2:16" x14ac:dyDescent="0.25">
      <c r="B1867" s="1281"/>
      <c r="H1867" s="1248"/>
      <c r="K1867" s="1248"/>
      <c r="P1867" s="1248"/>
    </row>
    <row r="1868" spans="2:16" x14ac:dyDescent="0.25">
      <c r="B1868" s="1281"/>
      <c r="H1868" s="1248"/>
      <c r="K1868" s="1248"/>
      <c r="P1868" s="1248"/>
    </row>
    <row r="1869" spans="2:16" x14ac:dyDescent="0.25">
      <c r="B1869" s="1281"/>
      <c r="H1869" s="1248"/>
      <c r="K1869" s="1248"/>
      <c r="P1869" s="1248"/>
    </row>
    <row r="1870" spans="2:16" x14ac:dyDescent="0.25">
      <c r="B1870" s="1281"/>
      <c r="H1870" s="1248"/>
      <c r="K1870" s="1248"/>
      <c r="P1870" s="1248"/>
    </row>
    <row r="1871" spans="2:16" x14ac:dyDescent="0.25">
      <c r="B1871" s="1281"/>
      <c r="H1871" s="1248"/>
      <c r="K1871" s="1248"/>
      <c r="P1871" s="1248"/>
    </row>
    <row r="1872" spans="2:16" x14ac:dyDescent="0.25">
      <c r="B1872" s="1281"/>
      <c r="H1872" s="1248"/>
      <c r="K1872" s="1248"/>
      <c r="P1872" s="1248"/>
    </row>
    <row r="1873" spans="2:16" x14ac:dyDescent="0.25">
      <c r="B1873" s="1281"/>
      <c r="H1873" s="1248"/>
      <c r="K1873" s="1248"/>
      <c r="P1873" s="1248"/>
    </row>
    <row r="1874" spans="2:16" x14ac:dyDescent="0.25">
      <c r="B1874" s="1281"/>
      <c r="H1874" s="1248"/>
      <c r="K1874" s="1248"/>
      <c r="P1874" s="1248"/>
    </row>
    <row r="1875" spans="2:16" x14ac:dyDescent="0.25">
      <c r="B1875" s="1281"/>
      <c r="H1875" s="1248"/>
      <c r="K1875" s="1248"/>
      <c r="P1875" s="1248"/>
    </row>
    <row r="1876" spans="2:16" x14ac:dyDescent="0.25">
      <c r="B1876" s="1281"/>
      <c r="H1876" s="1248"/>
      <c r="K1876" s="1248"/>
      <c r="P1876" s="1248"/>
    </row>
    <row r="1877" spans="2:16" x14ac:dyDescent="0.25">
      <c r="B1877" s="1281"/>
      <c r="H1877" s="1248"/>
      <c r="K1877" s="1248"/>
      <c r="P1877" s="1248"/>
    </row>
    <row r="1878" spans="2:16" x14ac:dyDescent="0.25">
      <c r="B1878" s="1281"/>
      <c r="H1878" s="1248"/>
      <c r="K1878" s="1248"/>
      <c r="P1878" s="1248"/>
    </row>
    <row r="1879" spans="2:16" x14ac:dyDescent="0.25">
      <c r="B1879" s="1281"/>
      <c r="H1879" s="1248"/>
      <c r="K1879" s="1248"/>
      <c r="P1879" s="1248"/>
    </row>
    <row r="1880" spans="2:16" x14ac:dyDescent="0.25">
      <c r="B1880" s="1281"/>
      <c r="H1880" s="1248"/>
      <c r="K1880" s="1248"/>
      <c r="P1880" s="1248"/>
    </row>
    <row r="1881" spans="2:16" x14ac:dyDescent="0.25">
      <c r="B1881" s="1281"/>
      <c r="H1881" s="1248"/>
      <c r="K1881" s="1248"/>
      <c r="P1881" s="1248"/>
    </row>
    <row r="1882" spans="2:16" x14ac:dyDescent="0.25">
      <c r="B1882" s="1281"/>
      <c r="H1882" s="1248"/>
      <c r="K1882" s="1248"/>
      <c r="P1882" s="1248"/>
    </row>
    <row r="1883" spans="2:16" x14ac:dyDescent="0.25">
      <c r="B1883" s="1281"/>
      <c r="H1883" s="1248"/>
      <c r="K1883" s="1248"/>
      <c r="P1883" s="1248"/>
    </row>
    <row r="1884" spans="2:16" x14ac:dyDescent="0.25">
      <c r="B1884" s="1281"/>
      <c r="H1884" s="1248"/>
      <c r="K1884" s="1248"/>
      <c r="P1884" s="1248"/>
    </row>
    <row r="1885" spans="2:16" x14ac:dyDescent="0.25">
      <c r="B1885" s="1281"/>
      <c r="H1885" s="1248"/>
      <c r="K1885" s="1248"/>
      <c r="P1885" s="1248"/>
    </row>
    <row r="1886" spans="2:16" x14ac:dyDescent="0.25">
      <c r="B1886" s="1281"/>
      <c r="H1886" s="1248"/>
      <c r="K1886" s="1248"/>
      <c r="P1886" s="1248"/>
    </row>
    <row r="1887" spans="2:16" x14ac:dyDescent="0.25">
      <c r="B1887" s="1281"/>
      <c r="H1887" s="1248"/>
      <c r="K1887" s="1248"/>
      <c r="P1887" s="1248"/>
    </row>
    <row r="1888" spans="2:16" x14ac:dyDescent="0.25">
      <c r="B1888" s="1281"/>
      <c r="H1888" s="1248"/>
      <c r="K1888" s="1248"/>
      <c r="P1888" s="1248"/>
    </row>
    <row r="1889" spans="2:16" x14ac:dyDescent="0.25">
      <c r="B1889" s="1281"/>
      <c r="H1889" s="1248"/>
      <c r="K1889" s="1248"/>
      <c r="P1889" s="1248"/>
    </row>
    <row r="1890" spans="2:16" x14ac:dyDescent="0.25">
      <c r="B1890" s="1281"/>
      <c r="H1890" s="1248"/>
      <c r="K1890" s="1248"/>
      <c r="P1890" s="1248"/>
    </row>
    <row r="1891" spans="2:16" x14ac:dyDescent="0.25">
      <c r="B1891" s="1281"/>
      <c r="H1891" s="1248"/>
      <c r="K1891" s="1248"/>
      <c r="P1891" s="1248"/>
    </row>
    <row r="1892" spans="2:16" x14ac:dyDescent="0.25">
      <c r="B1892" s="1281"/>
      <c r="H1892" s="1248"/>
      <c r="K1892" s="1248"/>
      <c r="P1892" s="1248"/>
    </row>
    <row r="1893" spans="2:16" x14ac:dyDescent="0.25">
      <c r="B1893" s="1281"/>
      <c r="H1893" s="1248"/>
      <c r="K1893" s="1248"/>
      <c r="P1893" s="1248"/>
    </row>
    <row r="1894" spans="2:16" x14ac:dyDescent="0.25">
      <c r="B1894" s="1281"/>
      <c r="H1894" s="1248"/>
      <c r="K1894" s="1248"/>
      <c r="P1894" s="1248"/>
    </row>
    <row r="1895" spans="2:16" x14ac:dyDescent="0.25">
      <c r="B1895" s="1281"/>
      <c r="H1895" s="1248"/>
      <c r="K1895" s="1248"/>
      <c r="P1895" s="1248"/>
    </row>
    <row r="1896" spans="2:16" x14ac:dyDescent="0.25">
      <c r="B1896" s="1281"/>
      <c r="H1896" s="1248"/>
      <c r="K1896" s="1248"/>
      <c r="P1896" s="1248"/>
    </row>
    <row r="1897" spans="2:16" x14ac:dyDescent="0.25">
      <c r="B1897" s="1281"/>
      <c r="H1897" s="1248"/>
      <c r="K1897" s="1248"/>
      <c r="P1897" s="1248"/>
    </row>
    <row r="1898" spans="2:16" x14ac:dyDescent="0.25">
      <c r="B1898" s="1281"/>
      <c r="H1898" s="1248"/>
      <c r="K1898" s="1248"/>
      <c r="P1898" s="1248"/>
    </row>
    <row r="1899" spans="2:16" x14ac:dyDescent="0.25">
      <c r="B1899" s="1281"/>
      <c r="H1899" s="1248"/>
      <c r="K1899" s="1248"/>
      <c r="P1899" s="1248"/>
    </row>
    <row r="1900" spans="2:16" x14ac:dyDescent="0.25">
      <c r="B1900" s="1281"/>
      <c r="H1900" s="1248"/>
      <c r="K1900" s="1248"/>
      <c r="P1900" s="1248"/>
    </row>
    <row r="1901" spans="2:16" x14ac:dyDescent="0.25">
      <c r="B1901" s="1281"/>
      <c r="H1901" s="1248"/>
      <c r="K1901" s="1248"/>
      <c r="P1901" s="1248"/>
    </row>
    <row r="1902" spans="2:16" x14ac:dyDescent="0.25">
      <c r="B1902" s="1281"/>
      <c r="H1902" s="1248"/>
      <c r="K1902" s="1248"/>
      <c r="P1902" s="1248"/>
    </row>
    <row r="1903" spans="2:16" x14ac:dyDescent="0.25">
      <c r="B1903" s="1281"/>
      <c r="H1903" s="1248"/>
      <c r="K1903" s="1248"/>
      <c r="P1903" s="1248"/>
    </row>
    <row r="1904" spans="2:16" x14ac:dyDescent="0.25">
      <c r="B1904" s="1281"/>
      <c r="H1904" s="1248"/>
      <c r="K1904" s="1248"/>
      <c r="P1904" s="1248"/>
    </row>
    <row r="1905" spans="2:16" x14ac:dyDescent="0.25">
      <c r="B1905" s="1281"/>
      <c r="H1905" s="1248"/>
      <c r="K1905" s="1248"/>
      <c r="P1905" s="1248"/>
    </row>
    <row r="1906" spans="2:16" x14ac:dyDescent="0.25">
      <c r="B1906" s="1281"/>
      <c r="H1906" s="1248"/>
      <c r="K1906" s="1248"/>
      <c r="P1906" s="1248"/>
    </row>
  </sheetData>
  <sheetProtection algorithmName="SHA-512" hashValue="eTW2C3W+v0pKo9nWcJY6z3Roy+p6V9pTNVJc4zLU79sxwXSyn9T7B19/yH0BYN7gRqVTAJzc7Y5xCUTCsX9Pgg==" saltValue="R6fZ66aWdPC/vytevKKhzg==" spinCount="100000" sheet="1" objects="1" scenarios="1"/>
  <autoFilter ref="A7:T922" xr:uid="{A86E2DE0-9FF4-4C02-97CB-4D6704BF96EB}">
    <sortState xmlns:xlrd2="http://schemas.microsoft.com/office/spreadsheetml/2017/richdata2" ref="A8:T922">
      <sortCondition descending="1" sortBy="cellColor" ref="A9:A922" dxfId="35"/>
    </sortState>
  </autoFilter>
  <pageMargins left="0.7" right="0.7" top="0.75" bottom="0.75" header="0.3" footer="0.3"/>
  <pageSetup paperSize="5" scale="40"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O419"/>
  <sheetViews>
    <sheetView zoomScale="80" zoomScaleNormal="80" workbookViewId="0">
      <pane xSplit="3" ySplit="5" topLeftCell="AK6" activePane="bottomRight" state="frozen"/>
      <selection pane="topRight" activeCell="D1" sqref="D1"/>
      <selection pane="bottomLeft" activeCell="A6" sqref="A6"/>
      <selection pane="bottomRight" activeCell="AK14" sqref="AK14"/>
    </sheetView>
  </sheetViews>
  <sheetFormatPr defaultRowHeight="12.75" x14ac:dyDescent="0.2"/>
  <cols>
    <col min="1" max="1" width="2.7109375" customWidth="1"/>
    <col min="2" max="2" width="2.28515625" customWidth="1"/>
    <col min="3" max="3" width="42.85546875" customWidth="1"/>
    <col min="4" max="5" width="13.42578125" style="622" bestFit="1" customWidth="1"/>
    <col min="6" max="6" width="8.28515625" style="622" customWidth="1"/>
    <col min="7" max="7" width="6.140625" style="622" customWidth="1"/>
    <col min="8" max="8" width="7.7109375" style="578" customWidth="1"/>
    <col min="9" max="9" width="9.42578125" style="578" customWidth="1"/>
    <col min="10" max="10" width="7.28515625" style="578" customWidth="1"/>
    <col min="11" max="11" width="9.42578125" style="578" customWidth="1"/>
    <col min="12" max="12" width="9" style="578" customWidth="1"/>
    <col min="13" max="13" width="9.5703125" style="578" bestFit="1" customWidth="1"/>
    <col min="14" max="14" width="10.5703125" style="578" customWidth="1"/>
    <col min="15" max="15" width="12" style="578" customWidth="1"/>
    <col min="16" max="16" width="8.5703125" style="570" bestFit="1" customWidth="1"/>
    <col min="17" max="17" width="9" style="570" customWidth="1"/>
    <col min="18" max="19" width="10.28515625" style="570" customWidth="1"/>
    <col min="20" max="21" width="11.28515625" style="570" bestFit="1" customWidth="1"/>
    <col min="22" max="22" width="10.28515625" style="570" customWidth="1"/>
    <col min="23" max="23" width="12" style="570" customWidth="1"/>
    <col min="24" max="24" width="10.28515625" style="578" customWidth="1"/>
    <col min="25" max="25" width="9.7109375" style="578" customWidth="1"/>
    <col min="26" max="26" width="9" style="578" customWidth="1"/>
    <col min="27" max="27" width="9.42578125" style="578" customWidth="1"/>
    <col min="28" max="29" width="12.28515625" style="578" bestFit="1" customWidth="1"/>
    <col min="30" max="31" width="13.42578125" style="578" bestFit="1" customWidth="1"/>
    <col min="32" max="32" width="16" style="578" customWidth="1"/>
    <col min="33" max="33" width="18.140625" style="578" customWidth="1"/>
    <col min="34" max="34" width="20" style="578" bestFit="1" customWidth="1"/>
    <col min="35" max="35" width="12.7109375" style="578" bestFit="1" customWidth="1"/>
    <col min="36" max="36" width="4.7109375" style="569" customWidth="1"/>
    <col min="37" max="37" width="13.140625" style="570" customWidth="1"/>
    <col min="38" max="38" width="0.85546875" style="578" customWidth="1"/>
    <col min="39" max="39" width="4.7109375" style="569" customWidth="1"/>
    <col min="40" max="40" width="13.140625" style="570" customWidth="1"/>
    <col min="41" max="41" width="5.140625" style="569" customWidth="1"/>
    <col min="42" max="42" width="12.5703125" style="578" customWidth="1"/>
    <col min="43" max="43" width="0.85546875" style="578" customWidth="1"/>
    <col min="44" max="44" width="5.140625" style="569" customWidth="1"/>
    <col min="45" max="45" width="12.5703125" style="578" customWidth="1"/>
    <col min="46" max="47" width="11.28515625" style="578" customWidth="1"/>
    <col min="48" max="48" width="14.28515625" style="582" customWidth="1"/>
    <col min="49" max="49" width="14.140625" style="582" customWidth="1"/>
    <col min="50" max="50" width="12.85546875" style="578" customWidth="1"/>
    <col min="51" max="51" width="13" style="578" bestFit="1" customWidth="1"/>
    <col min="52" max="53" width="13.7109375" style="570" bestFit="1" customWidth="1"/>
    <col min="54" max="54" width="14.5703125" style="1045" customWidth="1"/>
    <col min="55" max="55" width="14" style="1045" customWidth="1"/>
    <col min="56" max="56" width="9.85546875" bestFit="1" customWidth="1"/>
  </cols>
  <sheetData>
    <row r="1" spans="1:55" x14ac:dyDescent="0.2">
      <c r="A1" s="28"/>
      <c r="B1" s="17"/>
      <c r="C1" s="26"/>
      <c r="D1" s="1455" t="s">
        <v>201</v>
      </c>
      <c r="E1" s="1415"/>
      <c r="F1" s="1415"/>
      <c r="G1" s="1415"/>
      <c r="H1" s="1416"/>
      <c r="I1" s="1416"/>
      <c r="J1" s="1416"/>
      <c r="K1" s="1456"/>
      <c r="L1" s="1415" t="s">
        <v>201</v>
      </c>
      <c r="M1" s="1415"/>
      <c r="N1" s="1416"/>
      <c r="O1" s="1416"/>
      <c r="P1" s="1416"/>
      <c r="Q1" s="444"/>
      <c r="R1" s="444"/>
      <c r="S1" s="444"/>
      <c r="T1" s="444"/>
      <c r="U1" s="444"/>
      <c r="V1" s="444"/>
      <c r="W1" s="444"/>
      <c r="X1" s="445"/>
      <c r="Y1" s="445"/>
      <c r="Z1" s="445"/>
      <c r="AA1" s="445"/>
      <c r="AB1" s="1421" t="s">
        <v>250</v>
      </c>
      <c r="AC1" s="1422"/>
      <c r="AD1" s="1417" t="s">
        <v>251</v>
      </c>
      <c r="AE1" s="1418"/>
      <c r="AF1" s="1403" t="s">
        <v>4071</v>
      </c>
      <c r="AG1" s="1404"/>
      <c r="AH1" s="452" t="s">
        <v>202</v>
      </c>
      <c r="AI1" s="453"/>
      <c r="AJ1" s="1438" t="s">
        <v>910</v>
      </c>
      <c r="AK1" s="1439"/>
      <c r="AL1" s="1439"/>
      <c r="AM1" s="1439"/>
      <c r="AN1" s="1439"/>
      <c r="AO1" s="1426" t="s">
        <v>911</v>
      </c>
      <c r="AP1" s="1427"/>
      <c r="AQ1" s="1427"/>
      <c r="AR1" s="1427"/>
      <c r="AS1" s="1428"/>
      <c r="AT1" s="454" t="s">
        <v>80</v>
      </c>
      <c r="AU1" s="454"/>
      <c r="AV1" s="1451" t="s">
        <v>501</v>
      </c>
      <c r="AW1" s="1452"/>
      <c r="AX1" s="455"/>
      <c r="AY1" s="1450" t="s">
        <v>694</v>
      </c>
      <c r="AZ1" s="1427"/>
      <c r="BA1" s="456"/>
    </row>
    <row r="2" spans="1:55" ht="23.25" customHeight="1" thickBot="1" x14ac:dyDescent="0.25">
      <c r="A2" s="25"/>
      <c r="B2" s="14"/>
      <c r="C2" s="254" t="s">
        <v>79</v>
      </c>
      <c r="D2" s="457"/>
      <c r="E2" s="458"/>
      <c r="F2" s="458"/>
      <c r="G2" s="458"/>
      <c r="H2" s="459"/>
      <c r="I2" s="459"/>
      <c r="J2" s="459"/>
      <c r="K2" s="460"/>
      <c r="L2" s="461"/>
      <c r="M2" s="461"/>
      <c r="N2" s="461"/>
      <c r="O2" s="461"/>
      <c r="P2" s="462"/>
      <c r="Q2" s="462"/>
      <c r="R2" s="462"/>
      <c r="S2" s="462"/>
      <c r="T2" s="462"/>
      <c r="U2" s="462"/>
      <c r="V2" s="462"/>
      <c r="W2" s="462"/>
      <c r="X2" s="461"/>
      <c r="Y2" s="461"/>
      <c r="Z2" s="461"/>
      <c r="AA2" s="461"/>
      <c r="AB2" s="1423" t="s">
        <v>252</v>
      </c>
      <c r="AC2" s="1424"/>
      <c r="AD2" s="1419"/>
      <c r="AE2" s="1420"/>
      <c r="AF2" s="1405"/>
      <c r="AG2" s="1406"/>
      <c r="AH2" s="1453" t="s">
        <v>90</v>
      </c>
      <c r="AI2" s="1454"/>
      <c r="AJ2" s="1430" t="s">
        <v>3987</v>
      </c>
      <c r="AK2" s="1440"/>
      <c r="AL2" s="1440"/>
      <c r="AM2" s="1440"/>
      <c r="AN2" s="1440"/>
      <c r="AO2" s="1429" t="s">
        <v>702</v>
      </c>
      <c r="AP2" s="1430"/>
      <c r="AQ2" s="1430"/>
      <c r="AR2" s="1430"/>
      <c r="AS2" s="1431"/>
      <c r="AT2" s="463" t="s">
        <v>81</v>
      </c>
      <c r="AU2" s="463"/>
      <c r="AV2" s="464"/>
      <c r="AW2" s="465"/>
      <c r="AX2" s="466"/>
      <c r="AY2" s="466"/>
      <c r="AZ2" s="467"/>
      <c r="BA2" s="468"/>
    </row>
    <row r="3" spans="1:55" ht="17.25" customHeight="1" x14ac:dyDescent="0.2">
      <c r="A3" s="25"/>
      <c r="C3" s="254" t="s">
        <v>546</v>
      </c>
      <c r="D3" s="1461" t="s">
        <v>125</v>
      </c>
      <c r="E3" s="1462"/>
      <c r="F3" s="1462"/>
      <c r="G3" s="1462"/>
      <c r="H3" s="1408"/>
      <c r="I3" s="1408"/>
      <c r="J3" s="1408"/>
      <c r="K3" s="1463"/>
      <c r="L3" s="1407" t="s">
        <v>126</v>
      </c>
      <c r="M3" s="1408"/>
      <c r="N3" s="1408"/>
      <c r="O3" s="1408"/>
      <c r="P3" s="1408"/>
      <c r="Q3" s="1408"/>
      <c r="R3" s="1408"/>
      <c r="S3" s="1408"/>
      <c r="T3" s="442"/>
      <c r="U3" s="442"/>
      <c r="V3" s="442"/>
      <c r="W3" s="442"/>
      <c r="X3" s="443"/>
      <c r="Y3" s="443"/>
      <c r="Z3" s="443"/>
      <c r="AA3" s="443"/>
      <c r="AB3" s="446"/>
      <c r="AC3" s="447"/>
      <c r="AD3" s="1409" t="s">
        <v>127</v>
      </c>
      <c r="AE3" s="1441"/>
      <c r="AF3" s="1433" t="s">
        <v>2645</v>
      </c>
      <c r="AG3" s="1434"/>
      <c r="AH3" s="1409" t="s">
        <v>291</v>
      </c>
      <c r="AI3" s="1410"/>
      <c r="AJ3" s="469"/>
      <c r="AK3" s="470"/>
      <c r="AL3" s="471"/>
      <c r="AM3" s="472"/>
      <c r="AN3" s="473"/>
      <c r="AO3" s="1411" t="s">
        <v>964</v>
      </c>
      <c r="AP3" s="1442"/>
      <c r="AQ3" s="1442"/>
      <c r="AR3" s="1442"/>
      <c r="AS3" s="1412"/>
      <c r="AT3" s="474" t="s">
        <v>1056</v>
      </c>
      <c r="AU3" s="475"/>
      <c r="AV3" s="476"/>
      <c r="AW3" s="476"/>
      <c r="AX3" s="1409" t="s">
        <v>924</v>
      </c>
      <c r="AY3" s="1410"/>
      <c r="AZ3" s="1409" t="s">
        <v>924</v>
      </c>
      <c r="BA3" s="1410"/>
    </row>
    <row r="4" spans="1:55" ht="30" customHeight="1" x14ac:dyDescent="0.2">
      <c r="A4" s="25"/>
      <c r="C4" s="255"/>
      <c r="D4" s="1443" t="s">
        <v>929</v>
      </c>
      <c r="E4" s="1425"/>
      <c r="F4" s="1413" t="s">
        <v>586</v>
      </c>
      <c r="G4" s="1444"/>
      <c r="H4" s="1413" t="s">
        <v>587</v>
      </c>
      <c r="I4" s="1444"/>
      <c r="J4" s="1413" t="s">
        <v>173</v>
      </c>
      <c r="K4" s="1445"/>
      <c r="L4" s="1449" t="s">
        <v>588</v>
      </c>
      <c r="M4" s="1449"/>
      <c r="N4" s="1413" t="s">
        <v>931</v>
      </c>
      <c r="O4" s="1425"/>
      <c r="P4" s="1413" t="s">
        <v>589</v>
      </c>
      <c r="Q4" s="1425"/>
      <c r="R4" s="1413" t="s">
        <v>253</v>
      </c>
      <c r="S4" s="1414"/>
      <c r="T4" s="1413" t="s">
        <v>590</v>
      </c>
      <c r="U4" s="1425"/>
      <c r="V4" s="1413" t="s">
        <v>591</v>
      </c>
      <c r="W4" s="1425"/>
      <c r="X4" s="1413" t="s">
        <v>592</v>
      </c>
      <c r="Y4" s="1425"/>
      <c r="Z4" s="1413" t="s">
        <v>1064</v>
      </c>
      <c r="AA4" s="1425"/>
      <c r="AB4" s="1411" t="s">
        <v>932</v>
      </c>
      <c r="AC4" s="1437"/>
      <c r="AD4" s="1411" t="s">
        <v>933</v>
      </c>
      <c r="AE4" s="1432"/>
      <c r="AF4" s="1435" t="s">
        <v>4036</v>
      </c>
      <c r="AG4" s="1436"/>
      <c r="AH4" s="1411" t="s">
        <v>292</v>
      </c>
      <c r="AI4" s="1412"/>
      <c r="AJ4" s="1411" t="s">
        <v>922</v>
      </c>
      <c r="AK4" s="1442"/>
      <c r="AL4" s="1442"/>
      <c r="AM4" s="1442"/>
      <c r="AN4" s="1412"/>
      <c r="AO4" s="1411" t="s">
        <v>965</v>
      </c>
      <c r="AP4" s="1442"/>
      <c r="AQ4" s="1442"/>
      <c r="AR4" s="1442"/>
      <c r="AS4" s="1412"/>
      <c r="AT4" s="474" t="s">
        <v>82</v>
      </c>
      <c r="AU4" s="477"/>
      <c r="AV4" s="1442" t="s">
        <v>524</v>
      </c>
      <c r="AW4" s="1442"/>
      <c r="AX4" s="1411" t="s">
        <v>925</v>
      </c>
      <c r="AY4" s="1412"/>
      <c r="AZ4" s="1411" t="s">
        <v>1117</v>
      </c>
      <c r="BA4" s="1412"/>
    </row>
    <row r="5" spans="1:55" ht="13.5" thickBot="1" x14ac:dyDescent="0.25">
      <c r="A5" s="272"/>
      <c r="B5" s="8"/>
      <c r="C5" s="256" t="s">
        <v>48</v>
      </c>
      <c r="D5" s="478" t="s">
        <v>133</v>
      </c>
      <c r="E5" s="479" t="s">
        <v>134</v>
      </c>
      <c r="F5" s="480" t="s">
        <v>133</v>
      </c>
      <c r="G5" s="481" t="s">
        <v>134</v>
      </c>
      <c r="H5" s="480" t="s">
        <v>133</v>
      </c>
      <c r="I5" s="481" t="s">
        <v>134</v>
      </c>
      <c r="J5" s="480" t="s">
        <v>930</v>
      </c>
      <c r="K5" s="482" t="s">
        <v>134</v>
      </c>
      <c r="L5" s="483" t="s">
        <v>133</v>
      </c>
      <c r="M5" s="483" t="s">
        <v>134</v>
      </c>
      <c r="N5" s="484" t="s">
        <v>133</v>
      </c>
      <c r="O5" s="483" t="s">
        <v>134</v>
      </c>
      <c r="P5" s="485" t="s">
        <v>133</v>
      </c>
      <c r="Q5" s="486" t="s">
        <v>134</v>
      </c>
      <c r="R5" s="485" t="s">
        <v>133</v>
      </c>
      <c r="S5" s="486" t="s">
        <v>134</v>
      </c>
      <c r="T5" s="485" t="s">
        <v>133</v>
      </c>
      <c r="U5" s="486" t="s">
        <v>134</v>
      </c>
      <c r="V5" s="485" t="s">
        <v>133</v>
      </c>
      <c r="W5" s="486" t="s">
        <v>134</v>
      </c>
      <c r="X5" s="484" t="s">
        <v>133</v>
      </c>
      <c r="Y5" s="483" t="s">
        <v>134</v>
      </c>
      <c r="Z5" s="484" t="s">
        <v>133</v>
      </c>
      <c r="AA5" s="483" t="s">
        <v>134</v>
      </c>
      <c r="AB5" s="487" t="s">
        <v>133</v>
      </c>
      <c r="AC5" s="488" t="s">
        <v>134</v>
      </c>
      <c r="AD5" s="489" t="s">
        <v>133</v>
      </c>
      <c r="AE5" s="490" t="s">
        <v>134</v>
      </c>
      <c r="AF5" s="491" t="s">
        <v>133</v>
      </c>
      <c r="AG5" s="492" t="s">
        <v>134</v>
      </c>
      <c r="AH5" s="489" t="s">
        <v>133</v>
      </c>
      <c r="AI5" s="490" t="s">
        <v>134</v>
      </c>
      <c r="AJ5" s="493" t="s">
        <v>138</v>
      </c>
      <c r="AK5" s="494" t="s">
        <v>133</v>
      </c>
      <c r="AL5" s="495"/>
      <c r="AM5" s="496" t="s">
        <v>138</v>
      </c>
      <c r="AN5" s="497" t="s">
        <v>134</v>
      </c>
      <c r="AO5" s="493" t="s">
        <v>138</v>
      </c>
      <c r="AP5" s="495" t="s">
        <v>133</v>
      </c>
      <c r="AQ5" s="495"/>
      <c r="AR5" s="496" t="s">
        <v>138</v>
      </c>
      <c r="AS5" s="490" t="s">
        <v>134</v>
      </c>
      <c r="AT5" s="498" t="s">
        <v>133</v>
      </c>
      <c r="AU5" s="499" t="s">
        <v>134</v>
      </c>
      <c r="AV5" s="494" t="s">
        <v>133</v>
      </c>
      <c r="AW5" s="494" t="s">
        <v>134</v>
      </c>
      <c r="AX5" s="489" t="s">
        <v>133</v>
      </c>
      <c r="AY5" s="490" t="s">
        <v>134</v>
      </c>
      <c r="AZ5" s="500" t="s">
        <v>133</v>
      </c>
      <c r="BA5" s="497" t="s">
        <v>134</v>
      </c>
    </row>
    <row r="6" spans="1:55" ht="18" customHeight="1" x14ac:dyDescent="0.2">
      <c r="A6" s="266" t="s">
        <v>49</v>
      </c>
      <c r="B6" s="23"/>
      <c r="C6" s="24"/>
      <c r="D6" s="501"/>
      <c r="E6" s="502"/>
      <c r="F6" s="503"/>
      <c r="G6" s="503"/>
      <c r="H6" s="503"/>
      <c r="I6" s="503"/>
      <c r="J6" s="503"/>
      <c r="K6" s="504"/>
      <c r="L6" s="505"/>
      <c r="M6" s="505"/>
      <c r="N6" s="505"/>
      <c r="O6" s="505"/>
      <c r="P6" s="506"/>
      <c r="Q6" s="506"/>
      <c r="R6" s="506"/>
      <c r="S6" s="506"/>
      <c r="T6" s="506"/>
      <c r="U6" s="506"/>
      <c r="V6" s="506"/>
      <c r="W6" s="506"/>
      <c r="X6" s="505"/>
      <c r="Y6" s="505"/>
      <c r="Z6" s="505"/>
      <c r="AA6" s="505"/>
      <c r="AB6" s="507"/>
      <c r="AC6" s="505"/>
      <c r="AD6" s="508"/>
      <c r="AE6" s="504"/>
      <c r="AF6" s="503"/>
      <c r="AG6" s="503"/>
      <c r="AH6" s="509"/>
      <c r="AI6" s="504"/>
      <c r="AJ6" s="510"/>
      <c r="AK6" s="511"/>
      <c r="AL6" s="503"/>
      <c r="AM6" s="510"/>
      <c r="AN6" s="511"/>
      <c r="AO6" s="512"/>
      <c r="AP6" s="511"/>
      <c r="AQ6" s="503"/>
      <c r="AR6" s="510"/>
      <c r="AS6" s="504"/>
      <c r="AT6" s="513"/>
      <c r="AU6" s="514"/>
      <c r="AV6" s="467"/>
      <c r="AW6" s="467"/>
      <c r="AX6" s="509"/>
      <c r="AY6" s="504"/>
      <c r="AZ6" s="511"/>
      <c r="BA6" s="515"/>
    </row>
    <row r="7" spans="1:55" ht="12.75" customHeight="1" x14ac:dyDescent="0.2">
      <c r="A7" s="270"/>
      <c r="B7" s="44" t="s">
        <v>653</v>
      </c>
      <c r="C7" s="99"/>
      <c r="D7" s="516"/>
      <c r="E7" s="517"/>
      <c r="F7" s="518"/>
      <c r="G7" s="518"/>
      <c r="H7" s="518"/>
      <c r="I7" s="518"/>
      <c r="J7" s="518"/>
      <c r="K7" s="519"/>
      <c r="L7" s="518"/>
      <c r="M7" s="518"/>
      <c r="N7" s="518"/>
      <c r="O7" s="518"/>
      <c r="P7" s="520"/>
      <c r="Q7" s="520"/>
      <c r="R7" s="520"/>
      <c r="S7" s="520"/>
      <c r="T7" s="520"/>
      <c r="U7" s="520"/>
      <c r="V7" s="520"/>
      <c r="W7" s="520"/>
      <c r="X7" s="518"/>
      <c r="Y7" s="518"/>
      <c r="Z7" s="518"/>
      <c r="AA7" s="518"/>
      <c r="AB7" s="507"/>
      <c r="AC7" s="505"/>
      <c r="AD7" s="508"/>
      <c r="AE7" s="521"/>
      <c r="AF7" s="518"/>
      <c r="AG7" s="518"/>
      <c r="AH7" s="508"/>
      <c r="AI7" s="521"/>
      <c r="AJ7" s="522"/>
      <c r="AK7" s="506"/>
      <c r="AL7" s="505"/>
      <c r="AM7" s="522"/>
      <c r="AN7" s="506"/>
      <c r="AO7" s="523"/>
      <c r="AP7" s="506"/>
      <c r="AQ7" s="505"/>
      <c r="AR7" s="522"/>
      <c r="AS7" s="524"/>
      <c r="AT7" s="525"/>
      <c r="AU7" s="526"/>
      <c r="AV7" s="467"/>
      <c r="AW7" s="467"/>
      <c r="AX7" s="508"/>
      <c r="AY7" s="521"/>
      <c r="AZ7" s="506"/>
      <c r="BA7" s="524"/>
    </row>
    <row r="8" spans="1:55" x14ac:dyDescent="0.2">
      <c r="A8" s="25"/>
      <c r="B8" t="s">
        <v>50</v>
      </c>
      <c r="C8" t="s">
        <v>1021</v>
      </c>
      <c r="D8" s="527"/>
      <c r="E8" s="528"/>
      <c r="F8" s="518"/>
      <c r="G8" s="518"/>
      <c r="H8" s="518"/>
      <c r="I8" s="518"/>
      <c r="J8" s="518"/>
      <c r="K8" s="519"/>
      <c r="L8" s="518"/>
      <c r="M8" s="518"/>
      <c r="N8" s="518"/>
      <c r="O8" s="518"/>
      <c r="P8" s="529"/>
      <c r="Q8" s="529"/>
      <c r="R8" s="529"/>
      <c r="S8" s="529"/>
      <c r="T8" s="529"/>
      <c r="U8" s="529"/>
      <c r="V8" s="529"/>
      <c r="W8" s="529"/>
      <c r="X8" s="530"/>
      <c r="Y8" s="530"/>
      <c r="Z8" s="530"/>
      <c r="AA8" s="530"/>
      <c r="AB8" s="531">
        <f>L8+N8+P8+R8+T8+V8+X8+Z8</f>
        <v>0</v>
      </c>
      <c r="AC8" s="505">
        <f>M8+O8+Q8+S8+U8+W8+Y8+AA8</f>
        <v>0</v>
      </c>
      <c r="AD8" s="508">
        <f>D8+F8+H8+J8+AB8</f>
        <v>0</v>
      </c>
      <c r="AE8" s="521">
        <f>E8+G8+I8+K8+AC8</f>
        <v>0</v>
      </c>
      <c r="AF8" s="518"/>
      <c r="AG8" s="518"/>
      <c r="AH8" s="508"/>
      <c r="AI8" s="521"/>
      <c r="AJ8" s="522"/>
      <c r="AK8" s="506"/>
      <c r="AL8" s="505"/>
      <c r="AM8" s="522"/>
      <c r="AN8" s="524"/>
      <c r="AO8" s="532" t="s">
        <v>646</v>
      </c>
      <c r="AP8" s="506">
        <f>'K.1  Int. Service Fd Allocation'!E162+'K.2  Int. Service Fd Alloca'!E157+'K.3 Int. Service Fd Alloca'!E159</f>
        <v>0</v>
      </c>
      <c r="AQ8" s="505"/>
      <c r="AR8" s="522"/>
      <c r="AS8" s="524"/>
      <c r="AT8" s="525"/>
      <c r="AU8" s="526"/>
      <c r="AV8" s="467">
        <f t="shared" ref="AV8:AV15" si="0">ROUND(AD8+AF8+AH8+AK8+AP8+AT8,0)</f>
        <v>0</v>
      </c>
      <c r="AW8" s="467">
        <f t="shared" ref="AW8:AW15" si="1">ROUND(AE8+AG8+AI8+AN8+AS8+AU8,0)</f>
        <v>0</v>
      </c>
      <c r="AX8" s="508"/>
      <c r="AY8" s="521"/>
      <c r="AZ8" s="506" t="str">
        <f>IF(AV8-AW8&lt;=0," ",AV8-AW8)</f>
        <v xml:space="preserve"> </v>
      </c>
      <c r="BA8" s="524">
        <f>IF(AV8-AW8&gt;0," ",AW8-AV8)</f>
        <v>0</v>
      </c>
      <c r="BB8" s="578"/>
      <c r="BC8" s="578"/>
    </row>
    <row r="9" spans="1:55" s="13" customFormat="1" x14ac:dyDescent="0.2">
      <c r="A9" s="33"/>
      <c r="C9" s="13" t="s">
        <v>51</v>
      </c>
      <c r="D9" s="533"/>
      <c r="E9" s="534"/>
      <c r="F9" s="530"/>
      <c r="G9" s="530"/>
      <c r="H9" s="530"/>
      <c r="I9" s="530"/>
      <c r="J9" s="530"/>
      <c r="K9" s="535"/>
      <c r="L9" s="530"/>
      <c r="M9" s="530"/>
      <c r="N9" s="530"/>
      <c r="O9" s="530"/>
      <c r="P9" s="529"/>
      <c r="Q9" s="529"/>
      <c r="R9" s="529"/>
      <c r="S9" s="529"/>
      <c r="T9" s="529"/>
      <c r="U9" s="529"/>
      <c r="V9" s="529"/>
      <c r="W9" s="529"/>
      <c r="X9" s="530"/>
      <c r="Y9" s="530"/>
      <c r="Z9" s="530"/>
      <c r="AA9" s="530"/>
      <c r="AB9" s="531">
        <f t="shared" ref="AB9:AB99" si="2">L9+N9+P9+R9+T9+V9+X9+Z9</f>
        <v>0</v>
      </c>
      <c r="AC9" s="505">
        <f t="shared" ref="AC9:AC99" si="3">M9+O9+Q9+S9+U9+W9+Y9+AA9</f>
        <v>0</v>
      </c>
      <c r="AD9" s="508">
        <f t="shared" ref="AD9:AD102" si="4">D9+F9+H9+J9+AB9</f>
        <v>0</v>
      </c>
      <c r="AE9" s="521">
        <f t="shared" ref="AE9:AE102" si="5">E9+G9+I9+K9+AC9</f>
        <v>0</v>
      </c>
      <c r="AF9" s="530"/>
      <c r="AG9" s="530"/>
      <c r="AH9" s="536"/>
      <c r="AI9" s="537"/>
      <c r="AJ9" s="538"/>
      <c r="AK9" s="434"/>
      <c r="AL9" s="539"/>
      <c r="AM9" s="538"/>
      <c r="AN9" s="540"/>
      <c r="AO9" s="538"/>
      <c r="AP9" s="434"/>
      <c r="AQ9" s="539"/>
      <c r="AR9" s="538"/>
      <c r="AS9" s="540"/>
      <c r="AT9" s="525"/>
      <c r="AU9" s="526"/>
      <c r="AV9" s="467">
        <f t="shared" si="0"/>
        <v>0</v>
      </c>
      <c r="AW9" s="467">
        <f t="shared" si="1"/>
        <v>0</v>
      </c>
      <c r="AX9" s="536"/>
      <c r="AY9" s="537"/>
      <c r="AZ9" s="506" t="str">
        <f>IF(AV9-AW9&lt;=0," ",AV9-AW9)</f>
        <v xml:space="preserve"> </v>
      </c>
      <c r="BA9" s="524">
        <f>IF(AV9-AW9&gt;0," ",AW9-AV9)</f>
        <v>0</v>
      </c>
      <c r="BB9" s="578"/>
      <c r="BC9" s="578"/>
    </row>
    <row r="10" spans="1:55" s="13" customFormat="1" x14ac:dyDescent="0.2">
      <c r="A10" s="33"/>
      <c r="C10" s="13" t="s">
        <v>241</v>
      </c>
      <c r="D10" s="533"/>
      <c r="E10" s="534"/>
      <c r="F10" s="530"/>
      <c r="G10" s="530"/>
      <c r="H10" s="530"/>
      <c r="I10" s="530"/>
      <c r="J10" s="530"/>
      <c r="K10" s="535"/>
      <c r="L10" s="530"/>
      <c r="M10" s="530"/>
      <c r="N10" s="530"/>
      <c r="O10" s="530"/>
      <c r="P10" s="529"/>
      <c r="Q10" s="529"/>
      <c r="R10" s="529"/>
      <c r="S10" s="529"/>
      <c r="T10" s="529"/>
      <c r="U10" s="529"/>
      <c r="V10" s="529"/>
      <c r="W10" s="529"/>
      <c r="X10" s="530"/>
      <c r="Y10" s="530"/>
      <c r="Z10" s="530"/>
      <c r="AA10" s="530"/>
      <c r="AB10" s="531">
        <f t="shared" si="2"/>
        <v>0</v>
      </c>
      <c r="AC10" s="505">
        <f t="shared" si="3"/>
        <v>0</v>
      </c>
      <c r="AD10" s="508">
        <f t="shared" si="4"/>
        <v>0</v>
      </c>
      <c r="AE10" s="521">
        <f t="shared" si="5"/>
        <v>0</v>
      </c>
      <c r="AF10" s="530"/>
      <c r="AG10" s="530"/>
      <c r="AH10" s="536"/>
      <c r="AI10" s="537"/>
      <c r="AJ10" s="538"/>
      <c r="AK10" s="434"/>
      <c r="AL10" s="539"/>
      <c r="AM10" s="538"/>
      <c r="AN10" s="540"/>
      <c r="AO10" s="532" t="s">
        <v>646</v>
      </c>
      <c r="AP10" s="506">
        <f>'K.1  Int. Service Fd Allocation'!E163+'K.2  Int. Service Fd Alloca'!E158+'K.3 Int. Service Fd Alloca'!E160</f>
        <v>0</v>
      </c>
      <c r="AQ10" s="539"/>
      <c r="AR10" s="538"/>
      <c r="AS10" s="540"/>
      <c r="AT10" s="525"/>
      <c r="AU10" s="526"/>
      <c r="AV10" s="467">
        <f t="shared" si="0"/>
        <v>0</v>
      </c>
      <c r="AW10" s="467">
        <f t="shared" si="1"/>
        <v>0</v>
      </c>
      <c r="AX10" s="536"/>
      <c r="AY10" s="537"/>
      <c r="AZ10" s="506" t="str">
        <f>IF(AV10-AW10&lt;=0," ",AV10-AW10)</f>
        <v xml:space="preserve"> </v>
      </c>
      <c r="BA10" s="524">
        <f>IF(AV10-AW10&gt;0," ",AW10-AV10)</f>
        <v>0</v>
      </c>
      <c r="BB10" s="436"/>
      <c r="BC10" s="578"/>
    </row>
    <row r="11" spans="1:55" x14ac:dyDescent="0.2">
      <c r="A11" s="25"/>
      <c r="C11" t="s">
        <v>52</v>
      </c>
      <c r="D11" s="527"/>
      <c r="E11" s="528"/>
      <c r="F11" s="518"/>
      <c r="G11" s="518"/>
      <c r="H11" s="518"/>
      <c r="I11" s="518"/>
      <c r="J11" s="518"/>
      <c r="K11" s="519"/>
      <c r="L11" s="518"/>
      <c r="M11" s="518"/>
      <c r="N11" s="518"/>
      <c r="O11" s="518"/>
      <c r="P11" s="520"/>
      <c r="Q11" s="520"/>
      <c r="R11" s="520"/>
      <c r="S11" s="520"/>
      <c r="T11" s="520"/>
      <c r="U11" s="520"/>
      <c r="V11" s="520"/>
      <c r="W11" s="520"/>
      <c r="X11" s="518"/>
      <c r="Y11" s="518"/>
      <c r="Z11" s="518"/>
      <c r="AA11" s="518"/>
      <c r="AB11" s="531">
        <f t="shared" si="2"/>
        <v>0</v>
      </c>
      <c r="AC11" s="505">
        <f t="shared" si="3"/>
        <v>0</v>
      </c>
      <c r="AD11" s="508">
        <f t="shared" si="4"/>
        <v>0</v>
      </c>
      <c r="AE11" s="521">
        <f t="shared" si="5"/>
        <v>0</v>
      </c>
      <c r="AF11" s="518"/>
      <c r="AG11" s="518"/>
      <c r="AH11" s="508"/>
      <c r="AI11" s="521"/>
      <c r="AJ11" s="522"/>
      <c r="AK11" s="506"/>
      <c r="AL11" s="505"/>
      <c r="AM11" s="522"/>
      <c r="AN11" s="506"/>
      <c r="AO11" s="523"/>
      <c r="AP11" s="506"/>
      <c r="AQ11" s="505"/>
      <c r="AR11" s="522"/>
      <c r="AS11" s="524"/>
      <c r="AT11" s="525"/>
      <c r="AU11" s="526"/>
      <c r="AV11" s="467">
        <f t="shared" si="0"/>
        <v>0</v>
      </c>
      <c r="AW11" s="467">
        <f t="shared" si="1"/>
        <v>0</v>
      </c>
      <c r="AX11" s="508"/>
      <c r="AY11" s="521"/>
      <c r="AZ11" s="506" t="str">
        <f>IF(AV11-AW11&lt;=0," ",AV11-AW11)</f>
        <v xml:space="preserve"> </v>
      </c>
      <c r="BA11" s="524">
        <f>IF(AV11-AW11&gt;0," ",AW11-AV11)</f>
        <v>0</v>
      </c>
      <c r="BB11" s="578"/>
    </row>
    <row r="12" spans="1:55" s="13" customFormat="1" x14ac:dyDescent="0.2">
      <c r="A12" s="33"/>
      <c r="C12" s="13" t="s">
        <v>130</v>
      </c>
      <c r="D12" s="533"/>
      <c r="E12" s="534"/>
      <c r="F12" s="530"/>
      <c r="G12" s="530"/>
      <c r="H12" s="530"/>
      <c r="I12" s="530"/>
      <c r="J12" s="530"/>
      <c r="K12" s="535"/>
      <c r="L12" s="530"/>
      <c r="M12" s="530"/>
      <c r="N12" s="530"/>
      <c r="O12" s="530"/>
      <c r="P12" s="529"/>
      <c r="Q12" s="529"/>
      <c r="R12" s="529"/>
      <c r="S12" s="529"/>
      <c r="T12" s="529"/>
      <c r="U12" s="529"/>
      <c r="V12" s="529"/>
      <c r="W12" s="529"/>
      <c r="X12" s="530"/>
      <c r="Y12" s="530"/>
      <c r="Z12" s="530"/>
      <c r="AA12" s="530"/>
      <c r="AB12" s="531">
        <f t="shared" si="2"/>
        <v>0</v>
      </c>
      <c r="AC12" s="505">
        <f t="shared" si="3"/>
        <v>0</v>
      </c>
      <c r="AD12" s="508">
        <f t="shared" si="4"/>
        <v>0</v>
      </c>
      <c r="AE12" s="521">
        <f t="shared" si="5"/>
        <v>0</v>
      </c>
      <c r="AF12" s="530"/>
      <c r="AG12" s="530"/>
      <c r="AH12" s="536"/>
      <c r="AI12" s="537"/>
      <c r="AJ12" s="538"/>
      <c r="AK12" s="434"/>
      <c r="AL12" s="539"/>
      <c r="AM12" s="538"/>
      <c r="AN12" s="434"/>
      <c r="AO12" s="541"/>
      <c r="AP12" s="434"/>
      <c r="AQ12" s="539"/>
      <c r="AR12" s="538"/>
      <c r="AS12" s="540"/>
      <c r="AT12" s="525"/>
      <c r="AU12" s="526"/>
      <c r="AV12" s="467">
        <f t="shared" si="0"/>
        <v>0</v>
      </c>
      <c r="AW12" s="467">
        <f t="shared" si="1"/>
        <v>0</v>
      </c>
      <c r="AX12" s="536"/>
      <c r="AY12" s="537"/>
      <c r="AZ12" s="506" t="str">
        <f>IF(AV12-AW12&lt;=0," ",AV12-AW12)</f>
        <v xml:space="preserve"> </v>
      </c>
      <c r="BA12" s="524">
        <f>IF(AV12-AW12&gt;0," ",AW12-AV12)</f>
        <v>0</v>
      </c>
      <c r="BB12" s="436"/>
      <c r="BC12" s="1047"/>
    </row>
    <row r="13" spans="1:55" x14ac:dyDescent="0.2">
      <c r="A13" s="25"/>
      <c r="C13" s="249" t="s">
        <v>142</v>
      </c>
      <c r="D13" s="542"/>
      <c r="E13" s="543"/>
      <c r="F13" s="544"/>
      <c r="G13" s="544"/>
      <c r="H13" s="544"/>
      <c r="I13" s="544"/>
      <c r="J13" s="544"/>
      <c r="K13" s="545"/>
      <c r="L13" s="544"/>
      <c r="M13" s="544"/>
      <c r="N13" s="544"/>
      <c r="O13" s="544"/>
      <c r="P13" s="546"/>
      <c r="Q13" s="546"/>
      <c r="R13" s="546"/>
      <c r="S13" s="546"/>
      <c r="T13" s="546"/>
      <c r="U13" s="546"/>
      <c r="V13" s="546"/>
      <c r="W13" s="546"/>
      <c r="X13" s="544"/>
      <c r="Y13" s="544"/>
      <c r="Z13" s="544"/>
      <c r="AA13" s="544"/>
      <c r="AB13" s="547">
        <f t="shared" si="2"/>
        <v>0</v>
      </c>
      <c r="AC13" s="548">
        <f t="shared" si="3"/>
        <v>0</v>
      </c>
      <c r="AD13" s="549">
        <f t="shared" si="4"/>
        <v>0</v>
      </c>
      <c r="AE13" s="550">
        <f t="shared" si="5"/>
        <v>0</v>
      </c>
      <c r="AF13" s="544"/>
      <c r="AG13" s="544"/>
      <c r="AH13" s="549"/>
      <c r="AI13" s="550"/>
      <c r="AJ13" s="551" t="str">
        <f>'B.  Property Taxes'!A53</f>
        <v>B.1</v>
      </c>
      <c r="AK13" s="552">
        <f>'B.  Property Taxes'!J54</f>
        <v>0</v>
      </c>
      <c r="AL13" s="548"/>
      <c r="AM13" s="551"/>
      <c r="AN13" s="552"/>
      <c r="AO13" s="553"/>
      <c r="AP13" s="552"/>
      <c r="AQ13" s="548"/>
      <c r="AR13" s="551"/>
      <c r="AS13" s="554"/>
      <c r="AT13" s="525"/>
      <c r="AU13" s="526"/>
      <c r="AV13" s="552">
        <f t="shared" si="0"/>
        <v>0</v>
      </c>
      <c r="AW13" s="552">
        <f t="shared" si="1"/>
        <v>0</v>
      </c>
      <c r="AX13" s="549"/>
      <c r="AY13" s="550"/>
      <c r="AZ13" s="552">
        <f>IF((AV13+AV14+AV15)-(AW13+AW14+AW15)&lt;0," ",(AV13+AV14+AV15)-(AW13+AW14+AW15))</f>
        <v>0</v>
      </c>
      <c r="BA13" s="554">
        <f>IF((AV13+AV14+AV15)-(AW13+AW14+AW15)&gt;0," ",(AW13+AW14+AW15)-(AV13+AV14+AV15))</f>
        <v>0</v>
      </c>
      <c r="BB13" s="578"/>
    </row>
    <row r="14" spans="1:55" x14ac:dyDescent="0.2">
      <c r="A14" s="25"/>
      <c r="C14" s="250"/>
      <c r="D14" s="542"/>
      <c r="E14" s="543"/>
      <c r="F14" s="544"/>
      <c r="G14" s="544"/>
      <c r="H14" s="544"/>
      <c r="I14" s="544"/>
      <c r="J14" s="544"/>
      <c r="K14" s="545"/>
      <c r="L14" s="544"/>
      <c r="M14" s="544"/>
      <c r="N14" s="544"/>
      <c r="O14" s="544"/>
      <c r="P14" s="546"/>
      <c r="Q14" s="546"/>
      <c r="R14" s="546"/>
      <c r="S14" s="546"/>
      <c r="T14" s="546"/>
      <c r="U14" s="546"/>
      <c r="V14" s="546"/>
      <c r="W14" s="546"/>
      <c r="X14" s="544"/>
      <c r="Y14" s="544"/>
      <c r="Z14" s="544"/>
      <c r="AA14" s="544"/>
      <c r="AB14" s="547">
        <f t="shared" si="2"/>
        <v>0</v>
      </c>
      <c r="AC14" s="548">
        <f t="shared" si="3"/>
        <v>0</v>
      </c>
      <c r="AD14" s="549">
        <f t="shared" si="4"/>
        <v>0</v>
      </c>
      <c r="AE14" s="550">
        <f t="shared" si="5"/>
        <v>0</v>
      </c>
      <c r="AF14" s="544"/>
      <c r="AG14" s="544"/>
      <c r="AH14" s="549"/>
      <c r="AI14" s="550"/>
      <c r="AJ14" s="551" t="str">
        <f>'B.  Property Taxes'!A57</f>
        <v>B.2</v>
      </c>
      <c r="AK14" s="552">
        <f>'B.  Property Taxes'!J58</f>
        <v>0</v>
      </c>
      <c r="AL14" s="548"/>
      <c r="AM14" s="551"/>
      <c r="AN14" s="552"/>
      <c r="AO14" s="553"/>
      <c r="AP14" s="552"/>
      <c r="AQ14" s="548"/>
      <c r="AR14" s="551"/>
      <c r="AS14" s="554"/>
      <c r="AT14" s="525"/>
      <c r="AU14" s="526"/>
      <c r="AV14" s="552">
        <f t="shared" si="0"/>
        <v>0</v>
      </c>
      <c r="AW14" s="552">
        <f t="shared" si="1"/>
        <v>0</v>
      </c>
      <c r="AX14" s="549"/>
      <c r="AY14" s="550"/>
      <c r="AZ14" s="552"/>
      <c r="BA14" s="554"/>
      <c r="BB14" s="578"/>
    </row>
    <row r="15" spans="1:55" x14ac:dyDescent="0.2">
      <c r="A15" s="25"/>
      <c r="C15" s="249"/>
      <c r="D15" s="542"/>
      <c r="E15" s="543"/>
      <c r="F15" s="544"/>
      <c r="G15" s="544"/>
      <c r="H15" s="544"/>
      <c r="I15" s="544"/>
      <c r="J15" s="544"/>
      <c r="K15" s="545"/>
      <c r="L15" s="544"/>
      <c r="M15" s="544"/>
      <c r="N15" s="544"/>
      <c r="O15" s="544"/>
      <c r="P15" s="546"/>
      <c r="Q15" s="546"/>
      <c r="R15" s="546"/>
      <c r="S15" s="546"/>
      <c r="T15" s="546"/>
      <c r="U15" s="546"/>
      <c r="V15" s="546"/>
      <c r="W15" s="546"/>
      <c r="X15" s="544"/>
      <c r="Y15" s="544"/>
      <c r="Z15" s="544"/>
      <c r="AA15" s="544"/>
      <c r="AB15" s="547">
        <f t="shared" si="2"/>
        <v>0</v>
      </c>
      <c r="AC15" s="548">
        <f t="shared" si="3"/>
        <v>0</v>
      </c>
      <c r="AD15" s="549">
        <f t="shared" si="4"/>
        <v>0</v>
      </c>
      <c r="AE15" s="550">
        <f t="shared" si="5"/>
        <v>0</v>
      </c>
      <c r="AF15" s="544"/>
      <c r="AG15" s="544"/>
      <c r="AH15" s="549"/>
      <c r="AI15" s="550"/>
      <c r="AJ15" s="551" t="str">
        <f>'C. Other Revenues'!B207</f>
        <v>C.1</v>
      </c>
      <c r="AK15" s="552">
        <f>'C. Other Revenues'!K207</f>
        <v>0</v>
      </c>
      <c r="AL15" s="548"/>
      <c r="AM15" s="551"/>
      <c r="AN15" s="552"/>
      <c r="AO15" s="553"/>
      <c r="AP15" s="552"/>
      <c r="AQ15" s="548"/>
      <c r="AR15" s="551"/>
      <c r="AS15" s="554"/>
      <c r="AT15" s="525"/>
      <c r="AU15" s="526"/>
      <c r="AV15" s="552">
        <f t="shared" si="0"/>
        <v>0</v>
      </c>
      <c r="AW15" s="552">
        <f t="shared" si="1"/>
        <v>0</v>
      </c>
      <c r="AX15" s="549"/>
      <c r="AY15" s="550"/>
      <c r="AZ15" s="552"/>
      <c r="BA15" s="554"/>
      <c r="BB15" s="686"/>
    </row>
    <row r="16" spans="1:55" s="13" customFormat="1" x14ac:dyDescent="0.2">
      <c r="A16" s="33"/>
      <c r="C16" s="13" t="s">
        <v>129</v>
      </c>
      <c r="D16" s="533"/>
      <c r="E16" s="534"/>
      <c r="F16" s="530"/>
      <c r="G16" s="530"/>
      <c r="H16" s="530"/>
      <c r="I16" s="530"/>
      <c r="J16" s="530"/>
      <c r="K16" s="535"/>
      <c r="L16" s="530"/>
      <c r="M16" s="530"/>
      <c r="N16" s="530"/>
      <c r="O16" s="530"/>
      <c r="P16" s="529"/>
      <c r="Q16" s="529"/>
      <c r="R16" s="529"/>
      <c r="S16" s="529"/>
      <c r="T16" s="529"/>
      <c r="U16" s="529"/>
      <c r="V16" s="529"/>
      <c r="W16" s="529"/>
      <c r="X16" s="530"/>
      <c r="Y16" s="530"/>
      <c r="Z16" s="530"/>
      <c r="AA16" s="530"/>
      <c r="AB16" s="531">
        <f t="shared" si="2"/>
        <v>0</v>
      </c>
      <c r="AC16" s="505">
        <f t="shared" si="3"/>
        <v>0</v>
      </c>
      <c r="AD16" s="508">
        <f t="shared" si="4"/>
        <v>0</v>
      </c>
      <c r="AE16" s="521">
        <f t="shared" si="5"/>
        <v>0</v>
      </c>
      <c r="AF16" s="530"/>
      <c r="AG16" s="530"/>
      <c r="AH16" s="536"/>
      <c r="AI16" s="537"/>
      <c r="AJ16" s="538"/>
      <c r="AK16" s="434"/>
      <c r="AL16" s="539"/>
      <c r="AM16" s="538"/>
      <c r="AN16" s="434"/>
      <c r="AO16" s="541"/>
      <c r="AP16" s="434"/>
      <c r="AQ16" s="539"/>
      <c r="AR16" s="538"/>
      <c r="AS16" s="540"/>
      <c r="AT16" s="525"/>
      <c r="AU16" s="526"/>
      <c r="AV16" s="467">
        <f t="shared" ref="AV16:AV22" si="6">ROUND(AD16+AF16+AH16+AK16+AP16+AT16,0)</f>
        <v>0</v>
      </c>
      <c r="AW16" s="467">
        <f t="shared" ref="AW16:AW22" si="7">ROUND(AE16+AG16+AI16+AN16+AS16+AU16,0)</f>
        <v>0</v>
      </c>
      <c r="AX16" s="536"/>
      <c r="AY16" s="537"/>
      <c r="AZ16" s="434" t="str">
        <f>IF(AV16-AW16&lt;=0," ",AV16-AW16)</f>
        <v xml:space="preserve"> </v>
      </c>
      <c r="BA16" s="524">
        <f>IF(AV16-AW16&gt;0," ",AW16-AV16)</f>
        <v>0</v>
      </c>
      <c r="BB16" s="436"/>
      <c r="BC16" s="436"/>
    </row>
    <row r="17" spans="1:55" x14ac:dyDescent="0.2">
      <c r="A17" s="25"/>
      <c r="C17" t="s">
        <v>53</v>
      </c>
      <c r="D17" s="527"/>
      <c r="E17" s="528"/>
      <c r="F17" s="518"/>
      <c r="G17" s="518"/>
      <c r="H17" s="518"/>
      <c r="I17" s="518"/>
      <c r="J17" s="518"/>
      <c r="K17" s="519"/>
      <c r="L17" s="518"/>
      <c r="M17" s="518"/>
      <c r="N17" s="518"/>
      <c r="O17" s="518"/>
      <c r="P17" s="520"/>
      <c r="Q17" s="520"/>
      <c r="R17" s="520"/>
      <c r="S17" s="520"/>
      <c r="T17" s="520"/>
      <c r="U17" s="520"/>
      <c r="V17" s="520"/>
      <c r="W17" s="520"/>
      <c r="X17" s="518"/>
      <c r="Y17" s="518"/>
      <c r="Z17" s="518"/>
      <c r="AA17" s="518"/>
      <c r="AB17" s="531">
        <f t="shared" si="2"/>
        <v>0</v>
      </c>
      <c r="AC17" s="505">
        <f t="shared" si="3"/>
        <v>0</v>
      </c>
      <c r="AD17" s="508">
        <f t="shared" si="4"/>
        <v>0</v>
      </c>
      <c r="AE17" s="521">
        <f t="shared" si="5"/>
        <v>0</v>
      </c>
      <c r="AF17" s="518"/>
      <c r="AG17" s="518"/>
      <c r="AH17" s="508"/>
      <c r="AI17" s="521"/>
      <c r="AJ17" s="522"/>
      <c r="AK17" s="506"/>
      <c r="AL17" s="505"/>
      <c r="AM17" s="522"/>
      <c r="AN17" s="506"/>
      <c r="AO17" s="523"/>
      <c r="AP17" s="506"/>
      <c r="AQ17" s="505"/>
      <c r="AR17" s="522"/>
      <c r="AS17" s="524"/>
      <c r="AT17" s="525"/>
      <c r="AU17" s="526"/>
      <c r="AV17" s="467">
        <f t="shared" si="6"/>
        <v>0</v>
      </c>
      <c r="AW17" s="467">
        <f t="shared" si="7"/>
        <v>0</v>
      </c>
      <c r="AX17" s="508"/>
      <c r="AY17" s="521"/>
      <c r="AZ17" s="506" t="str">
        <f>IF(AV17-AW17&lt;=0," ",AV17-AW17)</f>
        <v xml:space="preserve"> </v>
      </c>
      <c r="BA17" s="524">
        <f>IF(AV17-AW17&gt;0," ",AW17-AV17)</f>
        <v>0</v>
      </c>
      <c r="BC17" s="578"/>
    </row>
    <row r="18" spans="1:55" s="13" customFormat="1" x14ac:dyDescent="0.2">
      <c r="A18" s="33"/>
      <c r="C18" s="13" t="s">
        <v>128</v>
      </c>
      <c r="D18" s="533"/>
      <c r="E18" s="534"/>
      <c r="F18" s="530"/>
      <c r="G18" s="530"/>
      <c r="H18" s="530"/>
      <c r="I18" s="530"/>
      <c r="J18" s="530"/>
      <c r="K18" s="535"/>
      <c r="L18" s="530"/>
      <c r="M18" s="530"/>
      <c r="N18" s="530"/>
      <c r="O18" s="530"/>
      <c r="P18" s="529"/>
      <c r="Q18" s="529"/>
      <c r="R18" s="529"/>
      <c r="S18" s="529"/>
      <c r="T18" s="529"/>
      <c r="U18" s="529"/>
      <c r="V18" s="529"/>
      <c r="W18" s="529"/>
      <c r="X18" s="530"/>
      <c r="Y18" s="530"/>
      <c r="Z18" s="530"/>
      <c r="AA18" s="530"/>
      <c r="AB18" s="531">
        <f t="shared" si="2"/>
        <v>0</v>
      </c>
      <c r="AC18" s="505">
        <f t="shared" si="3"/>
        <v>0</v>
      </c>
      <c r="AD18" s="508">
        <f t="shared" si="4"/>
        <v>0</v>
      </c>
      <c r="AE18" s="521">
        <f t="shared" si="5"/>
        <v>0</v>
      </c>
      <c r="AF18" s="530"/>
      <c r="AG18" s="530"/>
      <c r="AH18" s="536"/>
      <c r="AI18" s="537"/>
      <c r="AJ18" s="538"/>
      <c r="AK18" s="434"/>
      <c r="AL18" s="539"/>
      <c r="AM18" s="538"/>
      <c r="AN18" s="434"/>
      <c r="AO18" s="541"/>
      <c r="AP18" s="434"/>
      <c r="AQ18" s="539"/>
      <c r="AR18" s="538"/>
      <c r="AS18" s="540"/>
      <c r="AT18" s="525"/>
      <c r="AU18" s="526"/>
      <c r="AV18" s="467">
        <f t="shared" si="6"/>
        <v>0</v>
      </c>
      <c r="AW18" s="467">
        <f t="shared" si="7"/>
        <v>0</v>
      </c>
      <c r="AX18" s="536"/>
      <c r="AY18" s="537"/>
      <c r="AZ18" s="506" t="str">
        <f>IF(AV18-AW18&lt;=0," ",AV18-AW18)</f>
        <v xml:space="preserve"> </v>
      </c>
      <c r="BA18" s="524">
        <f>IF(AV18-AW18&gt;0," ",AW18-AV18)</f>
        <v>0</v>
      </c>
      <c r="BB18" s="1047"/>
      <c r="BC18" s="436"/>
    </row>
    <row r="19" spans="1:55" s="13" customFormat="1" x14ac:dyDescent="0.2">
      <c r="A19" s="33"/>
      <c r="C19" s="13" t="s">
        <v>221</v>
      </c>
      <c r="D19" s="533"/>
      <c r="E19" s="534"/>
      <c r="F19" s="530"/>
      <c r="G19" s="530"/>
      <c r="H19" s="530"/>
      <c r="I19" s="530"/>
      <c r="J19" s="530"/>
      <c r="K19" s="535"/>
      <c r="L19" s="530"/>
      <c r="M19" s="530"/>
      <c r="N19" s="530"/>
      <c r="O19" s="530"/>
      <c r="P19" s="529"/>
      <c r="Q19" s="529"/>
      <c r="R19" s="529"/>
      <c r="S19" s="529"/>
      <c r="T19" s="529"/>
      <c r="U19" s="529"/>
      <c r="V19" s="529"/>
      <c r="W19" s="529"/>
      <c r="X19" s="530"/>
      <c r="Y19" s="530"/>
      <c r="Z19" s="530"/>
      <c r="AA19" s="530"/>
      <c r="AB19" s="531">
        <f t="shared" si="2"/>
        <v>0</v>
      </c>
      <c r="AC19" s="505">
        <f t="shared" si="3"/>
        <v>0</v>
      </c>
      <c r="AD19" s="508">
        <f t="shared" si="4"/>
        <v>0</v>
      </c>
      <c r="AE19" s="521">
        <f t="shared" si="5"/>
        <v>0</v>
      </c>
      <c r="AF19" s="530"/>
      <c r="AG19" s="530"/>
      <c r="AH19" s="536"/>
      <c r="AI19" s="537"/>
      <c r="AJ19" s="538"/>
      <c r="AK19" s="434"/>
      <c r="AL19" s="539"/>
      <c r="AM19" s="538"/>
      <c r="AN19" s="434"/>
      <c r="AO19" s="541"/>
      <c r="AP19" s="434"/>
      <c r="AQ19" s="539"/>
      <c r="AR19" s="538"/>
      <c r="AS19" s="540"/>
      <c r="AT19" s="525"/>
      <c r="AU19" s="526"/>
      <c r="AV19" s="467">
        <f t="shared" si="6"/>
        <v>0</v>
      </c>
      <c r="AW19" s="467">
        <f t="shared" si="7"/>
        <v>0</v>
      </c>
      <c r="AX19" s="536"/>
      <c r="AY19" s="537"/>
      <c r="AZ19" s="506" t="str">
        <f>IF(AV19-AW19&lt;=0," ",AV19-AW19)</f>
        <v xml:space="preserve"> </v>
      </c>
      <c r="BA19" s="524">
        <f>IF(AV19-AW19&gt;0," ",AW19-AV19)</f>
        <v>0</v>
      </c>
      <c r="BB19" s="1047"/>
      <c r="BC19" s="1047"/>
    </row>
    <row r="20" spans="1:55" x14ac:dyDescent="0.2">
      <c r="A20" s="33"/>
      <c r="B20" s="13"/>
      <c r="C20" s="249" t="s">
        <v>54</v>
      </c>
      <c r="D20" s="542"/>
      <c r="E20" s="543"/>
      <c r="F20" s="544"/>
      <c r="G20" s="544"/>
      <c r="H20" s="544"/>
      <c r="I20" s="544"/>
      <c r="J20" s="544"/>
      <c r="K20" s="545"/>
      <c r="L20" s="544"/>
      <c r="M20" s="544"/>
      <c r="N20" s="544"/>
      <c r="O20" s="544"/>
      <c r="P20" s="546"/>
      <c r="Q20" s="546"/>
      <c r="R20" s="546"/>
      <c r="S20" s="546"/>
      <c r="T20" s="546"/>
      <c r="U20" s="546"/>
      <c r="V20" s="546"/>
      <c r="W20" s="546"/>
      <c r="X20" s="544"/>
      <c r="Y20" s="544"/>
      <c r="Z20" s="544"/>
      <c r="AA20" s="544"/>
      <c r="AB20" s="547">
        <f t="shared" si="2"/>
        <v>0</v>
      </c>
      <c r="AC20" s="548">
        <f t="shared" si="3"/>
        <v>0</v>
      </c>
      <c r="AD20" s="549">
        <f t="shared" si="4"/>
        <v>0</v>
      </c>
      <c r="AE20" s="550">
        <f t="shared" si="5"/>
        <v>0</v>
      </c>
      <c r="AF20" s="544"/>
      <c r="AG20" s="544"/>
      <c r="AH20" s="549"/>
      <c r="AI20" s="550"/>
      <c r="AJ20" s="551"/>
      <c r="AK20" s="552"/>
      <c r="AL20" s="548"/>
      <c r="AM20" s="551"/>
      <c r="AN20" s="552"/>
      <c r="AO20" s="555" t="s">
        <v>646</v>
      </c>
      <c r="AP20" s="552">
        <f>'K.1  Int. Service Fd Allocation'!E164+'K.2  Int. Service Fd Alloca'!E159+'K.3 Int. Service Fd Alloca'!E161</f>
        <v>0</v>
      </c>
      <c r="AQ20" s="548"/>
      <c r="AR20" s="551" t="str">
        <f>'L. Eliminations-Consolidations'!A199</f>
        <v>L.2</v>
      </c>
      <c r="AS20" s="554">
        <f>'L. Eliminations-Consolidations'!L201</f>
        <v>0</v>
      </c>
      <c r="AT20" s="525"/>
      <c r="AU20" s="526"/>
      <c r="AV20" s="552">
        <f t="shared" si="6"/>
        <v>0</v>
      </c>
      <c r="AW20" s="552">
        <f t="shared" si="7"/>
        <v>0</v>
      </c>
      <c r="AX20" s="549"/>
      <c r="AY20" s="550"/>
      <c r="AZ20" s="552" t="str">
        <f>IF((AV20+AV21+AV22)-(AW20+AW21+AW22)&lt;=0," ",(AV20+AV21+AV22)-(AW20+AW21+AW22))</f>
        <v xml:space="preserve"> </v>
      </c>
      <c r="BA20" s="554">
        <f>IF((AV20+AV21+AV22)-(AW20+AW21+AW22)&gt;0," ",(AW20+AW21+AW22)-(AV20+AV21+AV22))</f>
        <v>0</v>
      </c>
    </row>
    <row r="21" spans="1:55" x14ac:dyDescent="0.2">
      <c r="A21" s="33"/>
      <c r="B21" s="13"/>
      <c r="C21" s="249"/>
      <c r="D21" s="542"/>
      <c r="E21" s="543"/>
      <c r="F21" s="544"/>
      <c r="G21" s="544"/>
      <c r="H21" s="544"/>
      <c r="I21" s="544"/>
      <c r="J21" s="544"/>
      <c r="K21" s="545"/>
      <c r="L21" s="544"/>
      <c r="M21" s="544"/>
      <c r="N21" s="544"/>
      <c r="O21" s="544"/>
      <c r="P21" s="546"/>
      <c r="Q21" s="546"/>
      <c r="R21" s="546"/>
      <c r="S21" s="546"/>
      <c r="T21" s="546"/>
      <c r="U21" s="546"/>
      <c r="V21" s="546"/>
      <c r="W21" s="546"/>
      <c r="X21" s="544"/>
      <c r="Y21" s="544"/>
      <c r="Z21" s="544"/>
      <c r="AA21" s="544"/>
      <c r="AB21" s="547">
        <f t="shared" si="2"/>
        <v>0</v>
      </c>
      <c r="AC21" s="548">
        <f t="shared" si="3"/>
        <v>0</v>
      </c>
      <c r="AD21" s="549">
        <f t="shared" si="4"/>
        <v>0</v>
      </c>
      <c r="AE21" s="550">
        <f t="shared" si="5"/>
        <v>0</v>
      </c>
      <c r="AF21" s="544"/>
      <c r="AG21" s="544"/>
      <c r="AH21" s="549"/>
      <c r="AI21" s="550"/>
      <c r="AJ21" s="551"/>
      <c r="AK21" s="552"/>
      <c r="AL21" s="548"/>
      <c r="AM21" s="551"/>
      <c r="AN21" s="552"/>
      <c r="AO21" s="553"/>
      <c r="AP21" s="552"/>
      <c r="AQ21" s="548"/>
      <c r="AR21" s="551" t="str">
        <f>'L. Eliminations-Consolidations'!A204</f>
        <v>L.3</v>
      </c>
      <c r="AS21" s="554">
        <f>'L. Eliminations-Consolidations'!L208</f>
        <v>0</v>
      </c>
      <c r="AT21" s="525"/>
      <c r="AU21" s="526"/>
      <c r="AV21" s="552">
        <f t="shared" si="6"/>
        <v>0</v>
      </c>
      <c r="AW21" s="552">
        <f t="shared" si="7"/>
        <v>0</v>
      </c>
      <c r="AX21" s="549"/>
      <c r="AY21" s="550"/>
      <c r="AZ21" s="552"/>
      <c r="BA21" s="554"/>
    </row>
    <row r="22" spans="1:55" x14ac:dyDescent="0.2">
      <c r="A22" s="33"/>
      <c r="B22" s="13"/>
      <c r="C22" s="249"/>
      <c r="D22" s="542"/>
      <c r="E22" s="543"/>
      <c r="F22" s="544"/>
      <c r="G22" s="544"/>
      <c r="H22" s="544"/>
      <c r="I22" s="544"/>
      <c r="J22" s="544"/>
      <c r="K22" s="545"/>
      <c r="L22" s="544"/>
      <c r="M22" s="544"/>
      <c r="N22" s="544"/>
      <c r="O22" s="544"/>
      <c r="P22" s="546"/>
      <c r="Q22" s="546"/>
      <c r="R22" s="546"/>
      <c r="S22" s="546"/>
      <c r="T22" s="546"/>
      <c r="U22" s="546"/>
      <c r="V22" s="546"/>
      <c r="W22" s="546"/>
      <c r="X22" s="544"/>
      <c r="Y22" s="544"/>
      <c r="Z22" s="544"/>
      <c r="AA22" s="544"/>
      <c r="AB22" s="547">
        <f t="shared" si="2"/>
        <v>0</v>
      </c>
      <c r="AC22" s="548">
        <f t="shared" si="3"/>
        <v>0</v>
      </c>
      <c r="AD22" s="549">
        <f t="shared" si="4"/>
        <v>0</v>
      </c>
      <c r="AE22" s="550">
        <f t="shared" si="5"/>
        <v>0</v>
      </c>
      <c r="AF22" s="544"/>
      <c r="AG22" s="544"/>
      <c r="AH22" s="549"/>
      <c r="AI22" s="550"/>
      <c r="AJ22" s="551"/>
      <c r="AK22" s="552"/>
      <c r="AL22" s="548"/>
      <c r="AM22" s="551"/>
      <c r="AN22" s="552"/>
      <c r="AO22" s="553"/>
      <c r="AP22" s="552"/>
      <c r="AQ22" s="548"/>
      <c r="AR22" s="551" t="str">
        <f>'L. Eliminations-Consolidations'!A210</f>
        <v>L.4</v>
      </c>
      <c r="AS22" s="554">
        <f>'L. Eliminations-Consolidations'!L211</f>
        <v>0</v>
      </c>
      <c r="AT22" s="525"/>
      <c r="AU22" s="526"/>
      <c r="AV22" s="552">
        <f t="shared" si="6"/>
        <v>0</v>
      </c>
      <c r="AW22" s="552">
        <f t="shared" si="7"/>
        <v>0</v>
      </c>
      <c r="AX22" s="549"/>
      <c r="AY22" s="550"/>
      <c r="AZ22" s="552"/>
      <c r="BA22" s="554"/>
    </row>
    <row r="23" spans="1:55" s="13" customFormat="1" x14ac:dyDescent="0.2">
      <c r="A23" s="33"/>
      <c r="C23" s="13" t="s">
        <v>288</v>
      </c>
      <c r="D23" s="533"/>
      <c r="E23" s="534"/>
      <c r="F23" s="530"/>
      <c r="G23" s="530"/>
      <c r="H23" s="530"/>
      <c r="I23" s="530"/>
      <c r="J23" s="530"/>
      <c r="K23" s="535"/>
      <c r="L23" s="530"/>
      <c r="M23" s="530"/>
      <c r="N23" s="530"/>
      <c r="O23" s="530"/>
      <c r="P23" s="529"/>
      <c r="Q23" s="529"/>
      <c r="R23" s="529"/>
      <c r="S23" s="529"/>
      <c r="T23" s="529"/>
      <c r="U23" s="529"/>
      <c r="V23" s="529"/>
      <c r="W23" s="529"/>
      <c r="X23" s="530"/>
      <c r="Y23" s="530"/>
      <c r="Z23" s="530"/>
      <c r="AA23" s="530"/>
      <c r="AB23" s="531">
        <f t="shared" si="2"/>
        <v>0</v>
      </c>
      <c r="AC23" s="505">
        <f t="shared" si="3"/>
        <v>0</v>
      </c>
      <c r="AD23" s="508">
        <f t="shared" si="4"/>
        <v>0</v>
      </c>
      <c r="AE23" s="521">
        <f t="shared" si="5"/>
        <v>0</v>
      </c>
      <c r="AF23" s="530"/>
      <c r="AG23" s="530"/>
      <c r="AH23" s="536"/>
      <c r="AI23" s="537"/>
      <c r="AJ23" s="538"/>
      <c r="AK23" s="434"/>
      <c r="AL23" s="539"/>
      <c r="AM23" s="538"/>
      <c r="AN23" s="434"/>
      <c r="AO23" s="541" t="str">
        <f>'L. Eliminations-Consolidations'!A210</f>
        <v>L.4</v>
      </c>
      <c r="AP23" s="434">
        <f>'L. Eliminations-Consolidations'!J210</f>
        <v>0</v>
      </c>
      <c r="AQ23" s="539"/>
      <c r="AR23" s="538"/>
      <c r="AS23" s="540"/>
      <c r="AT23" s="525"/>
      <c r="AU23" s="526"/>
      <c r="AV23" s="467">
        <f t="shared" ref="AV23:AV34" si="8">ROUND(AD23+AF23+AH23+AK23+AP23+AT23,0)</f>
        <v>0</v>
      </c>
      <c r="AW23" s="467">
        <f t="shared" ref="AW23:AW34" si="9">ROUND(AE23+AG23+AI23+AN23+AS23+AU23,0)</f>
        <v>0</v>
      </c>
      <c r="AX23" s="536"/>
      <c r="AY23" s="537"/>
      <c r="AZ23" s="506" t="str">
        <f>IF(AV23-AW23&lt;=0," ",AV23-AW23)</f>
        <v xml:space="preserve"> </v>
      </c>
      <c r="BA23" s="524">
        <f>IF(AV23-AW23&gt;0," ",AW23-AV23)</f>
        <v>0</v>
      </c>
      <c r="BB23" s="1047"/>
      <c r="BC23" s="1047"/>
    </row>
    <row r="24" spans="1:55" s="13" customFormat="1" x14ac:dyDescent="0.2">
      <c r="A24" s="33"/>
      <c r="C24" s="13" t="s">
        <v>55</v>
      </c>
      <c r="D24" s="533"/>
      <c r="E24" s="534"/>
      <c r="F24" s="530"/>
      <c r="G24" s="530"/>
      <c r="H24" s="530"/>
      <c r="I24" s="530"/>
      <c r="J24" s="530"/>
      <c r="K24" s="535"/>
      <c r="L24" s="530"/>
      <c r="M24" s="530"/>
      <c r="N24" s="530"/>
      <c r="O24" s="530"/>
      <c r="P24" s="529"/>
      <c r="Q24" s="529"/>
      <c r="R24" s="529"/>
      <c r="S24" s="529"/>
      <c r="T24" s="529"/>
      <c r="U24" s="529"/>
      <c r="V24" s="529"/>
      <c r="W24" s="529"/>
      <c r="X24" s="530"/>
      <c r="Y24" s="530"/>
      <c r="Z24" s="530"/>
      <c r="AA24" s="530"/>
      <c r="AB24" s="531">
        <f t="shared" si="2"/>
        <v>0</v>
      </c>
      <c r="AC24" s="505">
        <f t="shared" si="3"/>
        <v>0</v>
      </c>
      <c r="AD24" s="508">
        <f t="shared" si="4"/>
        <v>0</v>
      </c>
      <c r="AE24" s="521">
        <f t="shared" si="5"/>
        <v>0</v>
      </c>
      <c r="AF24" s="530"/>
      <c r="AG24" s="530"/>
      <c r="AH24" s="536"/>
      <c r="AI24" s="537"/>
      <c r="AJ24" s="538"/>
      <c r="AK24" s="434"/>
      <c r="AL24" s="539"/>
      <c r="AM24" s="538"/>
      <c r="AN24" s="434"/>
      <c r="AO24" s="541"/>
      <c r="AP24" s="434"/>
      <c r="AQ24" s="539"/>
      <c r="AR24" s="538"/>
      <c r="AS24" s="540"/>
      <c r="AT24" s="525"/>
      <c r="AU24" s="526"/>
      <c r="AV24" s="467">
        <f t="shared" si="8"/>
        <v>0</v>
      </c>
      <c r="AW24" s="467">
        <f t="shared" si="9"/>
        <v>0</v>
      </c>
      <c r="AX24" s="536"/>
      <c r="AY24" s="537"/>
      <c r="AZ24" s="506" t="str">
        <f>IF(AV24-AW24&lt;=0," ",AV24-AW24)</f>
        <v xml:space="preserve"> </v>
      </c>
      <c r="BA24" s="524">
        <f>IF(AV24-AW24&gt;0," ",AW24-AV24)</f>
        <v>0</v>
      </c>
      <c r="BB24" s="436"/>
      <c r="BC24" s="436"/>
    </row>
    <row r="25" spans="1:55" x14ac:dyDescent="0.2">
      <c r="A25" s="25"/>
      <c r="C25" t="s">
        <v>56</v>
      </c>
      <c r="D25" s="527"/>
      <c r="E25" s="528"/>
      <c r="F25" s="518"/>
      <c r="G25" s="518"/>
      <c r="H25" s="518"/>
      <c r="I25" s="518"/>
      <c r="J25" s="518"/>
      <c r="K25" s="519"/>
      <c r="L25" s="518"/>
      <c r="M25" s="518"/>
      <c r="N25" s="518"/>
      <c r="O25" s="518"/>
      <c r="P25" s="520"/>
      <c r="Q25" s="520"/>
      <c r="R25" s="520"/>
      <c r="S25" s="520"/>
      <c r="T25" s="520"/>
      <c r="U25" s="520"/>
      <c r="V25" s="520"/>
      <c r="W25" s="520"/>
      <c r="X25" s="518"/>
      <c r="Y25" s="518"/>
      <c r="Z25" s="518"/>
      <c r="AA25" s="518"/>
      <c r="AB25" s="531">
        <f t="shared" si="2"/>
        <v>0</v>
      </c>
      <c r="AC25" s="505">
        <f t="shared" si="3"/>
        <v>0</v>
      </c>
      <c r="AD25" s="508">
        <f t="shared" si="4"/>
        <v>0</v>
      </c>
      <c r="AE25" s="521">
        <f t="shared" si="5"/>
        <v>0</v>
      </c>
      <c r="AF25" s="518"/>
      <c r="AG25" s="518"/>
      <c r="AH25" s="508"/>
      <c r="AI25" s="521"/>
      <c r="AJ25" s="522"/>
      <c r="AK25" s="506"/>
      <c r="AL25" s="505"/>
      <c r="AM25" s="522"/>
      <c r="AN25" s="506"/>
      <c r="AO25" s="523"/>
      <c r="AP25" s="506"/>
      <c r="AQ25" s="505"/>
      <c r="AR25" s="522"/>
      <c r="AS25" s="524"/>
      <c r="AT25" s="525"/>
      <c r="AU25" s="526"/>
      <c r="AV25" s="467">
        <f t="shared" si="8"/>
        <v>0</v>
      </c>
      <c r="AW25" s="467">
        <f t="shared" si="9"/>
        <v>0</v>
      </c>
      <c r="AX25" s="508"/>
      <c r="AY25" s="521"/>
      <c r="AZ25" s="506" t="str">
        <f>IF(AV25-AW25&lt;=0," ",AV25-AW25)</f>
        <v xml:space="preserve"> </v>
      </c>
      <c r="BA25" s="524">
        <f>IF(AV25-AW25&gt;0," ",AW25-AV25)</f>
        <v>0</v>
      </c>
      <c r="BB25" s="436"/>
    </row>
    <row r="26" spans="1:55" x14ac:dyDescent="0.2">
      <c r="A26" s="25"/>
      <c r="C26" s="249" t="s">
        <v>420</v>
      </c>
      <c r="D26" s="542"/>
      <c r="E26" s="543"/>
      <c r="F26" s="544"/>
      <c r="G26" s="544"/>
      <c r="H26" s="544"/>
      <c r="I26" s="544"/>
      <c r="J26" s="544"/>
      <c r="K26" s="545"/>
      <c r="L26" s="544"/>
      <c r="M26" s="544"/>
      <c r="N26" s="544"/>
      <c r="O26" s="544"/>
      <c r="P26" s="546"/>
      <c r="Q26" s="546"/>
      <c r="R26" s="546"/>
      <c r="S26" s="546"/>
      <c r="T26" s="546"/>
      <c r="U26" s="546"/>
      <c r="V26" s="546"/>
      <c r="W26" s="546"/>
      <c r="X26" s="544"/>
      <c r="Y26" s="544"/>
      <c r="Z26" s="544"/>
      <c r="AA26" s="544"/>
      <c r="AB26" s="547">
        <f t="shared" si="2"/>
        <v>0</v>
      </c>
      <c r="AC26" s="548">
        <f t="shared" si="3"/>
        <v>0</v>
      </c>
      <c r="AD26" s="549">
        <f t="shared" si="4"/>
        <v>0</v>
      </c>
      <c r="AE26" s="550">
        <f t="shared" si="5"/>
        <v>0</v>
      </c>
      <c r="AF26" s="544"/>
      <c r="AG26" s="544"/>
      <c r="AH26" s="549"/>
      <c r="AI26" s="550"/>
      <c r="AJ26" s="551"/>
      <c r="AK26" s="552"/>
      <c r="AL26" s="548"/>
      <c r="AM26" s="551"/>
      <c r="AN26" s="552"/>
      <c r="AO26" s="553" t="str">
        <f>'L. Eliminations-Consolidations'!A204</f>
        <v>L.3</v>
      </c>
      <c r="AP26" s="552">
        <f>'L. Eliminations-Consolidations'!J206</f>
        <v>0</v>
      </c>
      <c r="AQ26" s="548"/>
      <c r="AR26" s="556" t="s">
        <v>646</v>
      </c>
      <c r="AS26" s="552">
        <f>'K.1  Int. Service Fd Allocation'!G214+'K.2  Int. Service Fd Alloca'!G209+'K.3 Int. Service Fd Alloca'!G213</f>
        <v>0</v>
      </c>
      <c r="AT26" s="557"/>
      <c r="AU26" s="526"/>
      <c r="AV26" s="552">
        <f t="shared" si="8"/>
        <v>0</v>
      </c>
      <c r="AW26" s="552">
        <f t="shared" si="9"/>
        <v>0</v>
      </c>
      <c r="AX26" s="549"/>
      <c r="AY26" s="550"/>
      <c r="AZ26" s="552" t="str">
        <f>IF((AV26+AV27)-(AW26+AW27)&lt;=0," ",(AV26+AV27)-(AW26+AW27))</f>
        <v xml:space="preserve"> </v>
      </c>
      <c r="BA26" s="554">
        <f>IF((AV26+AV27)-(AW26+AW27)&gt;0," ",(AW26+AW27)-(AV26+AV27))</f>
        <v>0</v>
      </c>
      <c r="BB26" s="436"/>
    </row>
    <row r="27" spans="1:55" x14ac:dyDescent="0.2">
      <c r="A27" s="25"/>
      <c r="C27" s="249"/>
      <c r="D27" s="542"/>
      <c r="E27" s="543"/>
      <c r="F27" s="544"/>
      <c r="G27" s="544"/>
      <c r="H27" s="544"/>
      <c r="I27" s="544"/>
      <c r="J27" s="544"/>
      <c r="K27" s="545"/>
      <c r="L27" s="544"/>
      <c r="M27" s="544"/>
      <c r="N27" s="544"/>
      <c r="O27" s="544"/>
      <c r="P27" s="546"/>
      <c r="Q27" s="546"/>
      <c r="R27" s="546"/>
      <c r="S27" s="546"/>
      <c r="T27" s="546"/>
      <c r="U27" s="546"/>
      <c r="V27" s="546"/>
      <c r="W27" s="546"/>
      <c r="X27" s="544"/>
      <c r="Y27" s="544"/>
      <c r="Z27" s="544"/>
      <c r="AA27" s="544"/>
      <c r="AB27" s="547">
        <f t="shared" si="2"/>
        <v>0</v>
      </c>
      <c r="AC27" s="548">
        <f t="shared" si="3"/>
        <v>0</v>
      </c>
      <c r="AD27" s="549">
        <f t="shared" si="4"/>
        <v>0</v>
      </c>
      <c r="AE27" s="550">
        <f t="shared" si="5"/>
        <v>0</v>
      </c>
      <c r="AF27" s="544"/>
      <c r="AG27" s="544"/>
      <c r="AH27" s="549"/>
      <c r="AI27" s="550"/>
      <c r="AJ27" s="551"/>
      <c r="AK27" s="552"/>
      <c r="AL27" s="548"/>
      <c r="AM27" s="551"/>
      <c r="AN27" s="552"/>
      <c r="AO27" s="553" t="str">
        <f>'L. Eliminations-Consolidations'!B267</f>
        <v>L.8</v>
      </c>
      <c r="AP27" s="552">
        <f>'L. Eliminations-Consolidations'!J267</f>
        <v>0</v>
      </c>
      <c r="AQ27" s="548"/>
      <c r="AR27" s="551" t="str">
        <f>'L. Eliminations-Consolidations'!B267</f>
        <v>L.8</v>
      </c>
      <c r="AS27" s="554">
        <f>'L. Eliminations-Consolidations'!L267</f>
        <v>0</v>
      </c>
      <c r="AT27" s="525"/>
      <c r="AU27" s="526"/>
      <c r="AV27" s="552">
        <f t="shared" si="8"/>
        <v>0</v>
      </c>
      <c r="AW27" s="552">
        <f t="shared" si="9"/>
        <v>0</v>
      </c>
      <c r="AX27" s="549"/>
      <c r="AY27" s="550"/>
      <c r="AZ27" s="552"/>
      <c r="BA27" s="554"/>
      <c r="BB27" s="436"/>
    </row>
    <row r="28" spans="1:55" s="13" customFormat="1" x14ac:dyDescent="0.2">
      <c r="A28" s="33"/>
      <c r="C28" s="13" t="s">
        <v>57</v>
      </c>
      <c r="D28" s="533"/>
      <c r="E28" s="534"/>
      <c r="F28" s="530"/>
      <c r="G28" s="530"/>
      <c r="H28" s="530"/>
      <c r="I28" s="530"/>
      <c r="J28" s="530"/>
      <c r="K28" s="535"/>
      <c r="L28" s="530"/>
      <c r="M28" s="530"/>
      <c r="N28" s="530"/>
      <c r="O28" s="530"/>
      <c r="P28" s="529"/>
      <c r="Q28" s="529"/>
      <c r="R28" s="529"/>
      <c r="S28" s="529"/>
      <c r="T28" s="529"/>
      <c r="U28" s="529"/>
      <c r="V28" s="529"/>
      <c r="W28" s="529"/>
      <c r="X28" s="530"/>
      <c r="Y28" s="530"/>
      <c r="Z28" s="530"/>
      <c r="AA28" s="530"/>
      <c r="AB28" s="531">
        <f t="shared" si="2"/>
        <v>0</v>
      </c>
      <c r="AC28" s="505">
        <f t="shared" si="3"/>
        <v>0</v>
      </c>
      <c r="AD28" s="508">
        <f t="shared" si="4"/>
        <v>0</v>
      </c>
      <c r="AE28" s="521">
        <f t="shared" si="5"/>
        <v>0</v>
      </c>
      <c r="AF28" s="530"/>
      <c r="AG28" s="530"/>
      <c r="AH28" s="536"/>
      <c r="AI28" s="537"/>
      <c r="AJ28" s="558"/>
      <c r="AK28" s="434"/>
      <c r="AL28" s="539"/>
      <c r="AM28" s="538"/>
      <c r="AN28" s="434"/>
      <c r="AO28" s="559" t="s">
        <v>646</v>
      </c>
      <c r="AP28" s="506">
        <f>'K.1  Int. Service Fd Allocation'!E166+'K.2  Int. Service Fd Alloca'!E161+'K.3 Int. Service Fd Alloca'!E163</f>
        <v>0</v>
      </c>
      <c r="AQ28" s="539"/>
      <c r="AR28" s="538"/>
      <c r="AS28" s="540"/>
      <c r="AT28" s="525"/>
      <c r="AU28" s="526"/>
      <c r="AV28" s="467">
        <f t="shared" si="8"/>
        <v>0</v>
      </c>
      <c r="AW28" s="467">
        <f t="shared" si="9"/>
        <v>0</v>
      </c>
      <c r="AX28" s="536"/>
      <c r="AY28" s="537"/>
      <c r="AZ28" s="506" t="str">
        <f>IF(AV28-AW28&lt;=0," ",AV28-AW28)</f>
        <v xml:space="preserve"> </v>
      </c>
      <c r="BA28" s="524">
        <f>IF(AV28-AW28&gt;0," ",AW28-AV28)</f>
        <v>0</v>
      </c>
      <c r="BB28" s="436"/>
      <c r="BC28" s="436"/>
    </row>
    <row r="29" spans="1:55" x14ac:dyDescent="0.2">
      <c r="A29" s="25"/>
      <c r="C29" t="s">
        <v>58</v>
      </c>
      <c r="D29" s="527"/>
      <c r="E29" s="528"/>
      <c r="F29" s="518"/>
      <c r="G29" s="518"/>
      <c r="H29" s="518"/>
      <c r="I29" s="518"/>
      <c r="J29" s="518"/>
      <c r="K29" s="519"/>
      <c r="L29" s="518"/>
      <c r="M29" s="518"/>
      <c r="N29" s="518"/>
      <c r="O29" s="518"/>
      <c r="P29" s="520"/>
      <c r="Q29" s="520"/>
      <c r="R29" s="520"/>
      <c r="S29" s="520"/>
      <c r="T29" s="520"/>
      <c r="U29" s="520"/>
      <c r="V29" s="520"/>
      <c r="W29" s="520"/>
      <c r="X29" s="518"/>
      <c r="Y29" s="518"/>
      <c r="Z29" s="518"/>
      <c r="AA29" s="518"/>
      <c r="AB29" s="531">
        <f t="shared" si="2"/>
        <v>0</v>
      </c>
      <c r="AC29" s="505">
        <f t="shared" si="3"/>
        <v>0</v>
      </c>
      <c r="AD29" s="508">
        <f t="shared" si="4"/>
        <v>0</v>
      </c>
      <c r="AE29" s="521">
        <f t="shared" si="5"/>
        <v>0</v>
      </c>
      <c r="AF29" s="518"/>
      <c r="AG29" s="518"/>
      <c r="AH29" s="508"/>
      <c r="AI29" s="521"/>
      <c r="AJ29" s="560"/>
      <c r="AK29" s="506"/>
      <c r="AL29" s="505"/>
      <c r="AM29" s="522"/>
      <c r="AN29" s="506"/>
      <c r="AO29" s="559" t="s">
        <v>646</v>
      </c>
      <c r="AP29" s="506">
        <f>'K.1  Int. Service Fd Allocation'!E167+'K.2  Int. Service Fd Alloca'!E162+'K.3 Int. Service Fd Alloca'!E164</f>
        <v>0</v>
      </c>
      <c r="AQ29" s="505"/>
      <c r="AR29" s="522"/>
      <c r="AS29" s="524"/>
      <c r="AT29" s="525"/>
      <c r="AU29" s="526"/>
      <c r="AV29" s="467">
        <f t="shared" si="8"/>
        <v>0</v>
      </c>
      <c r="AW29" s="467">
        <f t="shared" si="9"/>
        <v>0</v>
      </c>
      <c r="AX29" s="508"/>
      <c r="AY29" s="521"/>
      <c r="AZ29" s="506" t="str">
        <f>IF(AV29-AW29&lt;=0," ",AV29-AW29)</f>
        <v xml:space="preserve"> </v>
      </c>
      <c r="BA29" s="524">
        <f>IF(AV29-AW29&gt;0," ",AW29-AV29)</f>
        <v>0</v>
      </c>
      <c r="BB29" s="436"/>
    </row>
    <row r="30" spans="1:55" s="756" customFormat="1" x14ac:dyDescent="0.2">
      <c r="A30" s="25"/>
      <c r="C30" s="756" t="s">
        <v>2638</v>
      </c>
      <c r="D30" s="527"/>
      <c r="E30" s="528"/>
      <c r="F30" s="518"/>
      <c r="G30" s="518"/>
      <c r="H30" s="518"/>
      <c r="I30" s="518"/>
      <c r="J30" s="518"/>
      <c r="K30" s="519"/>
      <c r="L30" s="518"/>
      <c r="M30" s="518"/>
      <c r="N30" s="518"/>
      <c r="O30" s="518"/>
      <c r="P30" s="520"/>
      <c r="Q30" s="520"/>
      <c r="R30" s="520"/>
      <c r="S30" s="520"/>
      <c r="T30" s="520"/>
      <c r="U30" s="520"/>
      <c r="V30" s="520"/>
      <c r="W30" s="520"/>
      <c r="X30" s="518"/>
      <c r="Y30" s="518"/>
      <c r="Z30" s="518"/>
      <c r="AA30" s="518"/>
      <c r="AB30" s="531">
        <f>L30+N30+P30+R30+T30+V30+X30+Z30</f>
        <v>0</v>
      </c>
      <c r="AC30" s="505">
        <f>M30+O30+Q30+S30+U30+W30+Y30+AA30</f>
        <v>0</v>
      </c>
      <c r="AD30" s="508">
        <f>D30+F30+H30+J30+AB30</f>
        <v>0</v>
      </c>
      <c r="AE30" s="521">
        <f>E30+G30+I30+K30+AC30</f>
        <v>0</v>
      </c>
      <c r="AF30" s="518"/>
      <c r="AG30" s="518"/>
      <c r="AH30" s="508"/>
      <c r="AI30" s="521"/>
      <c r="AJ30" s="560" t="s">
        <v>2074</v>
      </c>
      <c r="AK30" s="506">
        <f>'N.1 GASB 68 LGERS'!C95</f>
        <v>0</v>
      </c>
      <c r="AL30" s="505"/>
      <c r="AM30" s="522" t="s">
        <v>2074</v>
      </c>
      <c r="AN30" s="506">
        <f>'N.1 GASB 68 LGERS'!D95</f>
        <v>0</v>
      </c>
      <c r="AO30" s="559"/>
      <c r="AP30" s="506"/>
      <c r="AQ30" s="505"/>
      <c r="AR30" s="522"/>
      <c r="AS30" s="524"/>
      <c r="AT30" s="525"/>
      <c r="AU30" s="526"/>
      <c r="AV30" s="467">
        <f>ROUND(AD30+AF30+AH30+AK30+AP30+AT30,0)</f>
        <v>0</v>
      </c>
      <c r="AW30" s="467">
        <f>ROUND(AE30+AG30+AI30+AN30+AS30+AU30,0)</f>
        <v>0</v>
      </c>
      <c r="AX30" s="508"/>
      <c r="AY30" s="521"/>
      <c r="AZ30" s="506" t="str">
        <f>IF(AV30-AW30&lt;=0," ",AV30-AW30)</f>
        <v xml:space="preserve"> </v>
      </c>
      <c r="BA30" s="540">
        <f>IF(AV30-AW30&gt;0," ",AW30-AV30)</f>
        <v>0</v>
      </c>
      <c r="BB30" s="436"/>
      <c r="BC30" s="1045"/>
    </row>
    <row r="31" spans="1:55" s="673" customFormat="1" x14ac:dyDescent="0.2">
      <c r="A31" s="25"/>
      <c r="C31" s="699" t="s">
        <v>2639</v>
      </c>
      <c r="D31" s="527"/>
      <c r="E31" s="528"/>
      <c r="F31" s="518"/>
      <c r="G31" s="518"/>
      <c r="H31" s="518"/>
      <c r="I31" s="518"/>
      <c r="J31" s="518"/>
      <c r="K31" s="519"/>
      <c r="L31" s="518"/>
      <c r="M31" s="518"/>
      <c r="N31" s="518"/>
      <c r="O31" s="518"/>
      <c r="P31" s="520"/>
      <c r="Q31" s="520"/>
      <c r="R31" s="520"/>
      <c r="S31" s="520"/>
      <c r="T31" s="520"/>
      <c r="U31" s="520"/>
      <c r="V31" s="520"/>
      <c r="W31" s="520"/>
      <c r="X31" s="518"/>
      <c r="Y31" s="518"/>
      <c r="Z31" s="518"/>
      <c r="AA31" s="518"/>
      <c r="AB31" s="531">
        <f>L31+N31+P31+R31+T31+V31+X31+Z31</f>
        <v>0</v>
      </c>
      <c r="AC31" s="505">
        <f>M31+O31+Q31+S31+U31+W31+Y31+AA31</f>
        <v>0</v>
      </c>
      <c r="AD31" s="508">
        <f>D31+F31+H31+J31+AB31</f>
        <v>0</v>
      </c>
      <c r="AE31" s="521">
        <f>E31+G31+I31+K31+AC31</f>
        <v>0</v>
      </c>
      <c r="AF31" s="518">
        <f>'N.2 GASB 68 ROD'!C63*-'N.2 GASB 68 ROD'!H28</f>
        <v>0</v>
      </c>
      <c r="AG31" s="518"/>
      <c r="AH31" s="508"/>
      <c r="AI31" s="521"/>
      <c r="AJ31" s="560" t="s">
        <v>2075</v>
      </c>
      <c r="AK31" s="506">
        <f>'N.2 GASB 68 ROD'!C67</f>
        <v>0</v>
      </c>
      <c r="AL31" s="505"/>
      <c r="AM31" s="522" t="s">
        <v>2075</v>
      </c>
      <c r="AN31" s="434">
        <f>'N.2 GASB 68 ROD'!D67</f>
        <v>0</v>
      </c>
      <c r="AO31" s="559"/>
      <c r="AP31" s="506"/>
      <c r="AQ31" s="505"/>
      <c r="AR31" s="522"/>
      <c r="AS31" s="524"/>
      <c r="AT31" s="525"/>
      <c r="AU31" s="526"/>
      <c r="AV31" s="467">
        <f>ROUND(AD31+AF31+AH31+AK31+AP31+AT31,0)</f>
        <v>0</v>
      </c>
      <c r="AW31" s="467">
        <f>ROUND(AE31+AG31+AI31+AN31+AS31+AU31,0)</f>
        <v>0</v>
      </c>
      <c r="AX31" s="508"/>
      <c r="AY31" s="521"/>
      <c r="AZ31" s="434" t="str">
        <f>IF(AV31-AW31&lt;=0," ",AV31-AW31)</f>
        <v xml:space="preserve"> </v>
      </c>
      <c r="BA31" s="524">
        <f>IF(AV31-AW31&gt;0," ",AW31-AV31)</f>
        <v>0</v>
      </c>
      <c r="BB31" s="436"/>
      <c r="BC31" s="578"/>
    </row>
    <row r="32" spans="1:55" s="695" customFormat="1" x14ac:dyDescent="0.2">
      <c r="A32" s="25"/>
      <c r="C32" s="699"/>
      <c r="D32" s="527"/>
      <c r="E32" s="528"/>
      <c r="F32" s="518"/>
      <c r="G32" s="518"/>
      <c r="H32" s="518"/>
      <c r="I32" s="518"/>
      <c r="J32" s="518"/>
      <c r="K32" s="519"/>
      <c r="L32" s="518"/>
      <c r="M32" s="518"/>
      <c r="N32" s="518"/>
      <c r="O32" s="518"/>
      <c r="P32" s="520"/>
      <c r="Q32" s="520"/>
      <c r="R32" s="520"/>
      <c r="S32" s="520"/>
      <c r="T32" s="520"/>
      <c r="U32" s="520"/>
      <c r="V32" s="520"/>
      <c r="W32" s="520"/>
      <c r="X32" s="518"/>
      <c r="Y32" s="518"/>
      <c r="Z32" s="518"/>
      <c r="AA32" s="518"/>
      <c r="AB32" s="531"/>
      <c r="AC32" s="505"/>
      <c r="AD32" s="508"/>
      <c r="AE32" s="521"/>
      <c r="AF32" s="518"/>
      <c r="AG32" s="518"/>
      <c r="AH32" s="508"/>
      <c r="AI32" s="521"/>
      <c r="AJ32" s="560"/>
      <c r="AK32" s="506"/>
      <c r="AL32" s="505"/>
      <c r="AM32" s="522"/>
      <c r="AN32" s="506"/>
      <c r="AO32" s="559"/>
      <c r="AP32" s="506"/>
      <c r="AQ32" s="505"/>
      <c r="AR32" s="522"/>
      <c r="AS32" s="524"/>
      <c r="AT32" s="525"/>
      <c r="AU32" s="526"/>
      <c r="AV32" s="467"/>
      <c r="AW32" s="467"/>
      <c r="AX32" s="508"/>
      <c r="AY32" s="521"/>
      <c r="AZ32" s="506"/>
      <c r="BA32" s="524"/>
      <c r="BB32" s="436"/>
      <c r="BC32" s="1045"/>
    </row>
    <row r="33" spans="1:249" x14ac:dyDescent="0.2">
      <c r="A33" s="33"/>
      <c r="B33" s="13"/>
      <c r="C33" s="249" t="s">
        <v>850</v>
      </c>
      <c r="D33" s="542"/>
      <c r="E33" s="543"/>
      <c r="F33" s="544"/>
      <c r="G33" s="544"/>
      <c r="H33" s="544"/>
      <c r="I33" s="544"/>
      <c r="J33" s="544"/>
      <c r="K33" s="545"/>
      <c r="L33" s="544"/>
      <c r="M33" s="544"/>
      <c r="N33" s="544"/>
      <c r="O33" s="544"/>
      <c r="P33" s="546"/>
      <c r="Q33" s="546"/>
      <c r="R33" s="546"/>
      <c r="S33" s="546"/>
      <c r="T33" s="546"/>
      <c r="U33" s="546"/>
      <c r="V33" s="546"/>
      <c r="W33" s="546"/>
      <c r="X33" s="544"/>
      <c r="Y33" s="544"/>
      <c r="Z33" s="544"/>
      <c r="AA33" s="544"/>
      <c r="AB33" s="547">
        <f t="shared" si="2"/>
        <v>0</v>
      </c>
      <c r="AC33" s="548">
        <f t="shared" si="3"/>
        <v>0</v>
      </c>
      <c r="AD33" s="549">
        <f t="shared" si="4"/>
        <v>0</v>
      </c>
      <c r="AE33" s="550">
        <f t="shared" si="5"/>
        <v>0</v>
      </c>
      <c r="AF33" s="544"/>
      <c r="AG33" s="544"/>
      <c r="AH33" s="549"/>
      <c r="AI33" s="550"/>
      <c r="AJ33" s="551"/>
      <c r="AK33" s="552"/>
      <c r="AL33" s="548"/>
      <c r="AM33" s="551"/>
      <c r="AN33" s="552"/>
      <c r="AO33" s="555" t="s">
        <v>646</v>
      </c>
      <c r="AP33" s="552">
        <f>'K.1  Int. Service Fd Allocation'!E165+'K.2  Int. Service Fd Alloca'!E160+'K.3 Int. Service Fd Alloca'!E162</f>
        <v>0</v>
      </c>
      <c r="AQ33" s="548"/>
      <c r="AR33" s="551" t="str">
        <f>'L. Eliminations-Consolidations'!A199</f>
        <v>L.2</v>
      </c>
      <c r="AS33" s="554">
        <f>'L. Eliminations-Consolidations'!L202</f>
        <v>0</v>
      </c>
      <c r="AT33" s="525"/>
      <c r="AU33" s="526"/>
      <c r="AV33" s="552">
        <f t="shared" si="8"/>
        <v>0</v>
      </c>
      <c r="AW33" s="552">
        <f t="shared" si="9"/>
        <v>0</v>
      </c>
      <c r="AX33" s="549"/>
      <c r="AY33" s="550"/>
      <c r="AZ33" s="552" t="str">
        <f>IF((AV33+AV34)-(AW33+AW34)&lt;=0," ",(AV33+AV34)-(AW33+AW34))</f>
        <v xml:space="preserve"> </v>
      </c>
      <c r="BA33" s="554">
        <f>IF((AV33+AV34)-(AW33+AW34)&gt;0," ",(AW33+AW34)-(AV33+AV34))</f>
        <v>0</v>
      </c>
    </row>
    <row r="34" spans="1:249" x14ac:dyDescent="0.2">
      <c r="A34" s="33"/>
      <c r="B34" s="13"/>
      <c r="C34" s="249"/>
      <c r="D34" s="542"/>
      <c r="E34" s="543"/>
      <c r="F34" s="544"/>
      <c r="G34" s="544"/>
      <c r="H34" s="544"/>
      <c r="I34" s="544"/>
      <c r="J34" s="544"/>
      <c r="K34" s="545"/>
      <c r="L34" s="544"/>
      <c r="M34" s="544"/>
      <c r="N34" s="544"/>
      <c r="O34" s="544"/>
      <c r="P34" s="546"/>
      <c r="Q34" s="546"/>
      <c r="R34" s="546"/>
      <c r="S34" s="546"/>
      <c r="T34" s="546"/>
      <c r="U34" s="546"/>
      <c r="V34" s="546"/>
      <c r="W34" s="546"/>
      <c r="X34" s="544"/>
      <c r="Y34" s="544"/>
      <c r="Z34" s="544"/>
      <c r="AA34" s="544"/>
      <c r="AB34" s="547">
        <f t="shared" si="2"/>
        <v>0</v>
      </c>
      <c r="AC34" s="548">
        <f t="shared" si="3"/>
        <v>0</v>
      </c>
      <c r="AD34" s="549">
        <f t="shared" si="4"/>
        <v>0</v>
      </c>
      <c r="AE34" s="550">
        <f t="shared" si="5"/>
        <v>0</v>
      </c>
      <c r="AF34" s="544"/>
      <c r="AG34" s="544"/>
      <c r="AH34" s="549"/>
      <c r="AI34" s="550"/>
      <c r="AJ34" s="551"/>
      <c r="AK34" s="552"/>
      <c r="AL34" s="548"/>
      <c r="AM34" s="551"/>
      <c r="AN34" s="552"/>
      <c r="AO34" s="553"/>
      <c r="AP34" s="552"/>
      <c r="AQ34" s="548"/>
      <c r="AR34" s="551" t="str">
        <f>'L. Eliminations-Consolidations'!A204</f>
        <v>L.3</v>
      </c>
      <c r="AS34" s="554">
        <f>'L. Eliminations-Consolidations'!L207</f>
        <v>0</v>
      </c>
      <c r="AT34" s="525"/>
      <c r="AU34" s="526"/>
      <c r="AV34" s="552">
        <f t="shared" si="8"/>
        <v>0</v>
      </c>
      <c r="AW34" s="552">
        <f t="shared" si="9"/>
        <v>0</v>
      </c>
      <c r="AX34" s="549"/>
      <c r="AY34" s="550"/>
      <c r="AZ34" s="552"/>
      <c r="BA34" s="554"/>
    </row>
    <row r="35" spans="1:249" ht="25.5" x14ac:dyDescent="0.2">
      <c r="A35" s="25"/>
      <c r="C35" s="34" t="s">
        <v>1022</v>
      </c>
      <c r="D35" s="527"/>
      <c r="E35" s="528"/>
      <c r="F35" s="518"/>
      <c r="G35" s="518"/>
      <c r="H35" s="518"/>
      <c r="I35" s="518"/>
      <c r="J35" s="518"/>
      <c r="K35" s="519"/>
      <c r="L35" s="518"/>
      <c r="M35" s="518"/>
      <c r="N35" s="518"/>
      <c r="O35" s="518"/>
      <c r="P35" s="520"/>
      <c r="Q35" s="520"/>
      <c r="R35" s="520"/>
      <c r="S35" s="520"/>
      <c r="T35" s="520"/>
      <c r="U35" s="520"/>
      <c r="V35" s="520"/>
      <c r="W35" s="520"/>
      <c r="X35" s="518"/>
      <c r="Y35" s="518"/>
      <c r="Z35" s="518"/>
      <c r="AA35" s="518"/>
      <c r="AB35" s="531">
        <f t="shared" si="2"/>
        <v>0</v>
      </c>
      <c r="AC35" s="505">
        <f t="shared" si="3"/>
        <v>0</v>
      </c>
      <c r="AD35" s="508">
        <f t="shared" si="4"/>
        <v>0</v>
      </c>
      <c r="AE35" s="521">
        <f t="shared" si="5"/>
        <v>0</v>
      </c>
      <c r="AF35" s="518"/>
      <c r="AG35" s="518"/>
      <c r="AH35" s="508"/>
      <c r="AI35" s="521"/>
      <c r="AJ35" s="560" t="str">
        <f>'I.  Other Asset Entries'!B108</f>
        <v>I.1</v>
      </c>
      <c r="AK35" s="506">
        <f>'I.  Other Asset Entries'!L112</f>
        <v>0</v>
      </c>
      <c r="AL35" s="505"/>
      <c r="AM35" s="522"/>
      <c r="AN35" s="506"/>
      <c r="AO35" s="523"/>
      <c r="AP35" s="506"/>
      <c r="AQ35" s="505"/>
      <c r="AR35" s="522"/>
      <c r="AS35" s="524"/>
      <c r="AT35" s="525"/>
      <c r="AU35" s="526"/>
      <c r="AV35" s="467">
        <f>ROUND(AD35+AF35+AH35+AK35+AP35+AT35,0)</f>
        <v>0</v>
      </c>
      <c r="AW35" s="467">
        <f>ROUND(AE35+AG35+AI35+AN35+AS35+AU35,0)</f>
        <v>0</v>
      </c>
      <c r="AX35" s="508"/>
      <c r="AY35" s="521"/>
      <c r="AZ35" s="506" t="str">
        <f>IF(AV35-AW35&lt;=0," ",AV35-AW35)</f>
        <v xml:space="preserve"> </v>
      </c>
      <c r="BA35" s="524">
        <f>IF(AV35-AW35&gt;0," ",AW35-AV35)</f>
        <v>0</v>
      </c>
    </row>
    <row r="36" spans="1:249" x14ac:dyDescent="0.2">
      <c r="A36" s="25"/>
      <c r="C36" s="13" t="s">
        <v>1145</v>
      </c>
      <c r="D36" s="527"/>
      <c r="E36" s="528"/>
      <c r="F36" s="518"/>
      <c r="G36" s="518"/>
      <c r="H36" s="518"/>
      <c r="I36" s="518"/>
      <c r="J36" s="518"/>
      <c r="K36" s="519"/>
      <c r="L36" s="518"/>
      <c r="M36" s="518"/>
      <c r="N36" s="518"/>
      <c r="O36" s="518"/>
      <c r="P36" s="520"/>
      <c r="Q36" s="520"/>
      <c r="R36" s="520"/>
      <c r="S36" s="520"/>
      <c r="T36" s="520"/>
      <c r="U36" s="520"/>
      <c r="V36" s="520"/>
      <c r="W36" s="520"/>
      <c r="X36" s="518"/>
      <c r="Y36" s="518"/>
      <c r="Z36" s="518"/>
      <c r="AA36" s="518"/>
      <c r="AB36" s="531">
        <f t="shared" si="2"/>
        <v>0</v>
      </c>
      <c r="AC36" s="505">
        <f t="shared" si="3"/>
        <v>0</v>
      </c>
      <c r="AD36" s="508">
        <f t="shared" si="4"/>
        <v>0</v>
      </c>
      <c r="AE36" s="521">
        <f t="shared" si="5"/>
        <v>0</v>
      </c>
      <c r="AF36" s="518"/>
      <c r="AG36" s="518"/>
      <c r="AH36" s="508"/>
      <c r="AI36" s="521"/>
      <c r="AJ36" s="522" t="str">
        <f>'H. Debt Issues'!D77</f>
        <v>H.1</v>
      </c>
      <c r="AK36" s="506">
        <f>'H. Debt Issues'!L82</f>
        <v>0</v>
      </c>
      <c r="AL36" s="505"/>
      <c r="AM36" s="522" t="str">
        <f>'H. Debt Issues'!D77</f>
        <v>H.1</v>
      </c>
      <c r="AN36" s="506">
        <f>'H. Debt Issues'!N82</f>
        <v>0</v>
      </c>
      <c r="AO36" s="523"/>
      <c r="AP36" s="506"/>
      <c r="AQ36" s="505"/>
      <c r="AR36" s="522"/>
      <c r="AS36" s="524"/>
      <c r="AT36" s="525"/>
      <c r="AU36" s="526"/>
      <c r="AV36" s="467">
        <f>ROUND(AD36+AF36+AH36+AK36+AP36+AT36,0)</f>
        <v>0</v>
      </c>
      <c r="AW36" s="467">
        <f>ROUND(AE36+AG36+AI36+AN36+AS36+AU36,0)</f>
        <v>0</v>
      </c>
      <c r="AX36" s="508"/>
      <c r="AY36" s="521"/>
      <c r="AZ36" s="506" t="str">
        <f>IF(AV36-AW36&lt;=0," ",AV36-AW36)</f>
        <v xml:space="preserve"> </v>
      </c>
      <c r="BA36" s="524">
        <f>IF(AV36-AW36&gt;0," ",AW36-AV36)</f>
        <v>0</v>
      </c>
    </row>
    <row r="37" spans="1:249" x14ac:dyDescent="0.2">
      <c r="A37" s="33"/>
      <c r="B37" s="29"/>
      <c r="C37" s="249" t="s">
        <v>826</v>
      </c>
      <c r="D37" s="542"/>
      <c r="E37" s="543"/>
      <c r="F37" s="544"/>
      <c r="G37" s="544"/>
      <c r="H37" s="544"/>
      <c r="I37" s="544"/>
      <c r="J37" s="544"/>
      <c r="K37" s="545"/>
      <c r="L37" s="544"/>
      <c r="M37" s="544"/>
      <c r="N37" s="544"/>
      <c r="O37" s="544"/>
      <c r="P37" s="546"/>
      <c r="Q37" s="546"/>
      <c r="R37" s="546"/>
      <c r="S37" s="546"/>
      <c r="T37" s="546"/>
      <c r="U37" s="546"/>
      <c r="V37" s="546"/>
      <c r="W37" s="546"/>
      <c r="X37" s="544"/>
      <c r="Y37" s="544"/>
      <c r="Z37" s="544"/>
      <c r="AA37" s="544"/>
      <c r="AB37" s="547">
        <f t="shared" si="2"/>
        <v>0</v>
      </c>
      <c r="AC37" s="548">
        <f t="shared" si="3"/>
        <v>0</v>
      </c>
      <c r="AD37" s="549">
        <f t="shared" si="4"/>
        <v>0</v>
      </c>
      <c r="AE37" s="550">
        <f t="shared" si="5"/>
        <v>0</v>
      </c>
      <c r="AF37" s="549"/>
      <c r="AG37" s="544"/>
      <c r="AH37" s="549"/>
      <c r="AI37" s="550"/>
      <c r="AJ37" s="551" t="str">
        <f>'E. Capital Outlay'!D52</f>
        <v>E.1</v>
      </c>
      <c r="AK37" s="552">
        <f>'E. Capital Outlay'!L52</f>
        <v>0</v>
      </c>
      <c r="AL37" s="548"/>
      <c r="AM37" s="551" t="str">
        <f>'F.  Other Cap Asset Entries'!D220</f>
        <v>F.1</v>
      </c>
      <c r="AN37" s="552">
        <f>'F.  Other Cap Asset Entries'!O231</f>
        <v>0</v>
      </c>
      <c r="AO37" s="555" t="s">
        <v>646</v>
      </c>
      <c r="AP37" s="552">
        <f>'K.1  Int. Service Fd Allocation'!E168+'K.2  Int. Service Fd Alloca'!E163+'K.3 Int. Service Fd Alloca'!E165</f>
        <v>0</v>
      </c>
      <c r="AQ37" s="548"/>
      <c r="AR37" s="551"/>
      <c r="AS37" s="554"/>
      <c r="AT37" s="525"/>
      <c r="AU37" s="526"/>
      <c r="AV37" s="552">
        <f>ROUND(AD37+AF37+AH37+AK37+AP37+AT37,0)</f>
        <v>0</v>
      </c>
      <c r="AW37" s="552">
        <f>ROUND(AE37+AG37+AI37+AN37+AS37+AU37,0)</f>
        <v>0</v>
      </c>
      <c r="AX37" s="549"/>
      <c r="AY37" s="550"/>
      <c r="AZ37" s="552" t="str">
        <f>IF((AV37+AV38+AV39)-(AW37+AW38+AW39)&lt;=0," ",(AV37+AV38+AV39)-(AW37+AW38+AW39))</f>
        <v xml:space="preserve"> </v>
      </c>
      <c r="BA37" s="554">
        <f>IF((AV37+AV38+AV39)-(AW37+AW38+AW39)&gt;0," ",(AW37+AW38+AW39)-(AV37+AV38+AV39))</f>
        <v>0</v>
      </c>
      <c r="BB37" s="436"/>
      <c r="BC37" s="436"/>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c r="GX37" s="13"/>
      <c r="GY37" s="13"/>
      <c r="GZ37" s="13"/>
      <c r="HA37" s="13"/>
      <c r="HB37" s="13"/>
      <c r="HC37" s="13"/>
      <c r="HD37" s="13"/>
      <c r="HE37" s="13"/>
      <c r="HF37" s="13"/>
      <c r="HG37" s="13"/>
      <c r="HH37" s="13"/>
      <c r="HI37" s="13"/>
      <c r="HJ37" s="13"/>
      <c r="HK37" s="13"/>
      <c r="HL37" s="13"/>
      <c r="HM37" s="13"/>
      <c r="HN37" s="13"/>
      <c r="HO37" s="13"/>
      <c r="HP37" s="13"/>
      <c r="HQ37" s="13"/>
      <c r="HR37" s="13"/>
      <c r="HS37" s="13"/>
      <c r="HT37" s="13"/>
      <c r="HU37" s="13"/>
      <c r="HV37" s="13"/>
      <c r="HW37" s="13"/>
      <c r="HX37" s="13"/>
      <c r="HY37" s="13"/>
      <c r="HZ37" s="13"/>
      <c r="IA37" s="13"/>
      <c r="IB37" s="13"/>
      <c r="IC37" s="13"/>
      <c r="ID37" s="13"/>
      <c r="IE37" s="13"/>
      <c r="IF37" s="13"/>
      <c r="IG37" s="13"/>
      <c r="IH37" s="13"/>
      <c r="II37" s="13"/>
      <c r="IJ37" s="13"/>
      <c r="IK37" s="13"/>
      <c r="IL37" s="13"/>
      <c r="IM37" s="13"/>
      <c r="IN37" s="13"/>
      <c r="IO37" s="13"/>
    </row>
    <row r="38" spans="1:249" x14ac:dyDescent="0.2">
      <c r="A38" s="33"/>
      <c r="B38" s="29"/>
      <c r="C38" s="249"/>
      <c r="D38" s="542"/>
      <c r="E38" s="543"/>
      <c r="F38" s="544"/>
      <c r="G38" s="544"/>
      <c r="H38" s="544"/>
      <c r="I38" s="544"/>
      <c r="J38" s="544"/>
      <c r="K38" s="545"/>
      <c r="L38" s="544"/>
      <c r="M38" s="544"/>
      <c r="N38" s="544"/>
      <c r="O38" s="544"/>
      <c r="P38" s="546"/>
      <c r="Q38" s="546"/>
      <c r="R38" s="546"/>
      <c r="S38" s="546"/>
      <c r="T38" s="546"/>
      <c r="U38" s="546"/>
      <c r="V38" s="546"/>
      <c r="W38" s="546"/>
      <c r="X38" s="544"/>
      <c r="Y38" s="544"/>
      <c r="Z38" s="544"/>
      <c r="AA38" s="544"/>
      <c r="AB38" s="547">
        <f t="shared" si="2"/>
        <v>0</v>
      </c>
      <c r="AC38" s="548">
        <f t="shared" si="3"/>
        <v>0</v>
      </c>
      <c r="AD38" s="549">
        <f t="shared" si="4"/>
        <v>0</v>
      </c>
      <c r="AE38" s="550">
        <f t="shared" si="5"/>
        <v>0</v>
      </c>
      <c r="AF38" s="549"/>
      <c r="AG38" s="544"/>
      <c r="AH38" s="549"/>
      <c r="AI38" s="550"/>
      <c r="AJ38" s="551" t="str">
        <f>'F.  Other Cap Asset Entries'!D220</f>
        <v>F.1</v>
      </c>
      <c r="AK38" s="552">
        <f>'F.  Other Cap Asset Entries'!M231</f>
        <v>0</v>
      </c>
      <c r="AL38" s="548"/>
      <c r="AM38" s="561" t="s">
        <v>633</v>
      </c>
      <c r="AN38" s="562">
        <f>'F.  Other Cap Asset Entries'!O265</f>
        <v>0</v>
      </c>
      <c r="AO38" s="553"/>
      <c r="AP38" s="552"/>
      <c r="AQ38" s="548"/>
      <c r="AR38" s="551"/>
      <c r="AS38" s="554"/>
      <c r="AT38" s="525"/>
      <c r="AU38" s="526"/>
      <c r="AV38" s="552">
        <f>ROUND(AD38+AF38+AH38+AK38+AP38+AT38,0)</f>
        <v>0</v>
      </c>
      <c r="AW38" s="552">
        <f>ROUND(AE38+AG38+AI38+AN38+AS38+AU38,0)</f>
        <v>0</v>
      </c>
      <c r="AX38" s="549"/>
      <c r="AY38" s="550"/>
      <c r="AZ38" s="552"/>
      <c r="BA38" s="554"/>
      <c r="BB38" s="1047"/>
      <c r="BC38" s="1047"/>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c r="GX38" s="13"/>
      <c r="GY38" s="13"/>
      <c r="GZ38" s="13"/>
      <c r="HA38" s="13"/>
      <c r="HB38" s="13"/>
      <c r="HC38" s="13"/>
      <c r="HD38" s="13"/>
      <c r="HE38" s="13"/>
      <c r="HF38" s="13"/>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c r="IE38" s="13"/>
      <c r="IF38" s="13"/>
      <c r="IG38" s="13"/>
      <c r="IH38" s="13"/>
      <c r="II38" s="13"/>
      <c r="IJ38" s="13"/>
      <c r="IK38" s="13"/>
      <c r="IL38" s="13"/>
      <c r="IM38" s="13"/>
      <c r="IN38" s="13"/>
      <c r="IO38" s="13"/>
    </row>
    <row r="39" spans="1:249" x14ac:dyDescent="0.2">
      <c r="A39" s="33"/>
      <c r="B39" s="29"/>
      <c r="C39" s="249"/>
      <c r="D39" s="542"/>
      <c r="E39" s="543"/>
      <c r="F39" s="544"/>
      <c r="G39" s="544"/>
      <c r="H39" s="544"/>
      <c r="I39" s="544"/>
      <c r="J39" s="544"/>
      <c r="K39" s="545"/>
      <c r="L39" s="544"/>
      <c r="M39" s="544"/>
      <c r="N39" s="544"/>
      <c r="O39" s="544"/>
      <c r="P39" s="546"/>
      <c r="Q39" s="546"/>
      <c r="R39" s="546"/>
      <c r="S39" s="546"/>
      <c r="T39" s="546"/>
      <c r="U39" s="546"/>
      <c r="V39" s="546"/>
      <c r="W39" s="546"/>
      <c r="X39" s="544"/>
      <c r="Y39" s="544"/>
      <c r="Z39" s="544"/>
      <c r="AA39" s="544"/>
      <c r="AB39" s="547">
        <f t="shared" si="2"/>
        <v>0</v>
      </c>
      <c r="AC39" s="548">
        <f t="shared" si="3"/>
        <v>0</v>
      </c>
      <c r="AD39" s="549">
        <f t="shared" si="4"/>
        <v>0</v>
      </c>
      <c r="AE39" s="550">
        <f t="shared" si="5"/>
        <v>0</v>
      </c>
      <c r="AF39" s="549"/>
      <c r="AG39" s="544"/>
      <c r="AH39" s="549"/>
      <c r="AI39" s="550"/>
      <c r="AJ39" s="551" t="str">
        <f>'F.  Other Cap Asset Entries'!D242</f>
        <v>F.2</v>
      </c>
      <c r="AK39" s="552">
        <f>'F.  Other Cap Asset Entries'!M242</f>
        <v>0</v>
      </c>
      <c r="AL39" s="548"/>
      <c r="AM39" s="561"/>
      <c r="AN39" s="562"/>
      <c r="AO39" s="553"/>
      <c r="AP39" s="552"/>
      <c r="AQ39" s="548"/>
      <c r="AR39" s="551"/>
      <c r="AS39" s="554"/>
      <c r="AT39" s="525"/>
      <c r="AU39" s="526"/>
      <c r="AV39" s="552">
        <f>ROUND(AD39+AF39+AH39+AK39+AP39+AT39,0)</f>
        <v>0</v>
      </c>
      <c r="AW39" s="552">
        <f>ROUND(AE39+AG39+AI39+AN39+AS39+AU39,0)</f>
        <v>0</v>
      </c>
      <c r="AX39" s="549"/>
      <c r="AY39" s="550"/>
      <c r="AZ39" s="552"/>
      <c r="BA39" s="554"/>
      <c r="BB39" s="1047"/>
      <c r="BC39" s="1047"/>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c r="GR39" s="13"/>
      <c r="GS39" s="13"/>
      <c r="GT39" s="13"/>
      <c r="GU39" s="13"/>
      <c r="GV39" s="13"/>
      <c r="GW39" s="13"/>
      <c r="GX39" s="13"/>
      <c r="GY39" s="13"/>
      <c r="GZ39" s="13"/>
      <c r="HA39" s="13"/>
      <c r="HB39" s="13"/>
      <c r="HC39" s="13"/>
      <c r="HD39" s="13"/>
      <c r="HE39" s="13"/>
      <c r="HF39" s="13"/>
      <c r="HG39" s="13"/>
      <c r="HH39" s="13"/>
      <c r="HI39" s="13"/>
      <c r="HJ39" s="13"/>
      <c r="HK39" s="13"/>
      <c r="HL39" s="13"/>
      <c r="HM39" s="13"/>
      <c r="HN39" s="13"/>
      <c r="HO39" s="13"/>
      <c r="HP39" s="13"/>
      <c r="HQ39" s="13"/>
      <c r="HR39" s="13"/>
      <c r="HS39" s="13"/>
      <c r="HT39" s="13"/>
      <c r="HU39" s="13"/>
      <c r="HV39" s="13"/>
      <c r="HW39" s="13"/>
      <c r="HX39" s="13"/>
      <c r="HY39" s="13"/>
      <c r="HZ39" s="13"/>
      <c r="IA39" s="13"/>
      <c r="IB39" s="13"/>
      <c r="IC39" s="13"/>
      <c r="ID39" s="13"/>
      <c r="IE39" s="13"/>
      <c r="IF39" s="13"/>
      <c r="IG39" s="13"/>
      <c r="IH39" s="13"/>
      <c r="II39" s="13"/>
      <c r="IJ39" s="13"/>
      <c r="IK39" s="13"/>
      <c r="IL39" s="13"/>
      <c r="IM39" s="13"/>
      <c r="IN39" s="13"/>
      <c r="IO39" s="13"/>
    </row>
    <row r="40" spans="1:249" x14ac:dyDescent="0.2">
      <c r="A40" s="33"/>
      <c r="B40" s="29"/>
      <c r="C40" s="13" t="s">
        <v>839</v>
      </c>
      <c r="D40" s="533"/>
      <c r="E40" s="534"/>
      <c r="F40" s="530"/>
      <c r="G40" s="530"/>
      <c r="H40" s="530"/>
      <c r="I40" s="530"/>
      <c r="J40" s="530"/>
      <c r="K40" s="535"/>
      <c r="L40" s="530"/>
      <c r="M40" s="530"/>
      <c r="N40" s="530"/>
      <c r="O40" s="530"/>
      <c r="P40" s="529"/>
      <c r="Q40" s="529"/>
      <c r="R40" s="529"/>
      <c r="S40" s="529"/>
      <c r="T40" s="529"/>
      <c r="U40" s="529"/>
      <c r="V40" s="529"/>
      <c r="W40" s="529"/>
      <c r="X40" s="530"/>
      <c r="Y40" s="530"/>
      <c r="Z40" s="530"/>
      <c r="AA40" s="530"/>
      <c r="AB40" s="531">
        <f t="shared" si="2"/>
        <v>0</v>
      </c>
      <c r="AC40" s="505">
        <f t="shared" si="3"/>
        <v>0</v>
      </c>
      <c r="AD40" s="508">
        <f t="shared" si="4"/>
        <v>0</v>
      </c>
      <c r="AE40" s="521">
        <f t="shared" si="5"/>
        <v>0</v>
      </c>
      <c r="AF40" s="536"/>
      <c r="AG40" s="530"/>
      <c r="AH40" s="536"/>
      <c r="AI40" s="537"/>
      <c r="AJ40" s="538" t="str">
        <f>'E. Capital Outlay'!D52</f>
        <v>E.1</v>
      </c>
      <c r="AK40" s="434">
        <f>'E. Capital Outlay'!L53</f>
        <v>0</v>
      </c>
      <c r="AL40" s="539"/>
      <c r="AM40" s="538"/>
      <c r="AN40" s="434"/>
      <c r="AO40" s="541"/>
      <c r="AP40" s="434"/>
      <c r="AQ40" s="539"/>
      <c r="AR40" s="538"/>
      <c r="AS40" s="540"/>
      <c r="AT40" s="525"/>
      <c r="AU40" s="526"/>
      <c r="AV40" s="467">
        <f t="shared" ref="AV40:AV70" si="10">ROUND(AD40+AF40+AH40+AK40+AP40+AT40,0)</f>
        <v>0</v>
      </c>
      <c r="AW40" s="467">
        <f t="shared" ref="AW40:AW70" si="11">ROUND(AE40+AG40+AI40+AN40+AS40+AU40,0)</f>
        <v>0</v>
      </c>
      <c r="AX40" s="508"/>
      <c r="AY40" s="537"/>
      <c r="AZ40" s="506" t="str">
        <f t="shared" ref="AZ40:AZ45" si="12">IF(AV40-AW40&lt;=0," ",AV40-AW40)</f>
        <v xml:space="preserve"> </v>
      </c>
      <c r="BA40" s="524">
        <f>IF(AV40-AW40&gt;0," ",AW40-AV40)</f>
        <v>0</v>
      </c>
      <c r="BB40" s="1047"/>
      <c r="BC40" s="1047"/>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3"/>
      <c r="GG40" s="13"/>
      <c r="GH40" s="13"/>
      <c r="GI40" s="13"/>
      <c r="GJ40" s="13"/>
      <c r="GK40" s="13"/>
      <c r="GL40" s="13"/>
      <c r="GM40" s="13"/>
      <c r="GN40" s="13"/>
      <c r="GO40" s="13"/>
      <c r="GP40" s="13"/>
      <c r="GQ40" s="13"/>
      <c r="GR40" s="13"/>
      <c r="GS40" s="13"/>
      <c r="GT40" s="13"/>
      <c r="GU40" s="13"/>
      <c r="GV40" s="13"/>
      <c r="GW40" s="13"/>
      <c r="GX40" s="13"/>
      <c r="GY40" s="13"/>
      <c r="GZ40" s="13"/>
      <c r="HA40" s="13"/>
      <c r="HB40" s="13"/>
      <c r="HC40" s="13"/>
      <c r="HD40" s="13"/>
      <c r="HE40" s="13"/>
      <c r="HF40" s="13"/>
      <c r="HG40" s="13"/>
      <c r="HH40" s="13"/>
      <c r="HI40" s="13"/>
      <c r="HJ40" s="13"/>
      <c r="HK40" s="13"/>
      <c r="HL40" s="13"/>
      <c r="HM40" s="13"/>
      <c r="HN40" s="13"/>
      <c r="HO40" s="13"/>
      <c r="HP40" s="13"/>
      <c r="HQ40" s="13"/>
      <c r="HR40" s="13"/>
      <c r="HS40" s="13"/>
      <c r="HT40" s="13"/>
      <c r="HU40" s="13"/>
      <c r="HV40" s="13"/>
      <c r="HW40" s="13"/>
      <c r="HX40" s="13"/>
      <c r="HY40" s="13"/>
      <c r="HZ40" s="13"/>
      <c r="IA40" s="13"/>
      <c r="IB40" s="13"/>
      <c r="IC40" s="13"/>
      <c r="ID40" s="13"/>
      <c r="IE40" s="13"/>
      <c r="IF40" s="13"/>
      <c r="IG40" s="13"/>
      <c r="IH40" s="13"/>
      <c r="II40" s="13"/>
      <c r="IJ40" s="13"/>
      <c r="IK40" s="13"/>
      <c r="IL40" s="13"/>
      <c r="IM40" s="13"/>
      <c r="IN40" s="13"/>
      <c r="IO40" s="13"/>
    </row>
    <row r="41" spans="1:249" x14ac:dyDescent="0.2">
      <c r="A41" s="33"/>
      <c r="B41" s="29"/>
      <c r="C41" s="13" t="s">
        <v>713</v>
      </c>
      <c r="D41" s="533"/>
      <c r="E41" s="534"/>
      <c r="F41" s="530"/>
      <c r="G41" s="530"/>
      <c r="H41" s="530"/>
      <c r="I41" s="530"/>
      <c r="J41" s="530"/>
      <c r="K41" s="535"/>
      <c r="L41" s="530"/>
      <c r="M41" s="530"/>
      <c r="N41" s="530"/>
      <c r="O41" s="530"/>
      <c r="P41" s="529"/>
      <c r="Q41" s="529"/>
      <c r="R41" s="529"/>
      <c r="S41" s="529"/>
      <c r="T41" s="529"/>
      <c r="U41" s="529"/>
      <c r="V41" s="529"/>
      <c r="W41" s="529"/>
      <c r="X41" s="530"/>
      <c r="Y41" s="530"/>
      <c r="Z41" s="530"/>
      <c r="AA41" s="530"/>
      <c r="AB41" s="531">
        <f t="shared" si="2"/>
        <v>0</v>
      </c>
      <c r="AC41" s="505">
        <f t="shared" si="3"/>
        <v>0</v>
      </c>
      <c r="AD41" s="508">
        <f t="shared" si="4"/>
        <v>0</v>
      </c>
      <c r="AE41" s="521">
        <f t="shared" si="5"/>
        <v>0</v>
      </c>
      <c r="AF41" s="536"/>
      <c r="AG41" s="530"/>
      <c r="AH41" s="536"/>
      <c r="AI41" s="537"/>
      <c r="AJ41" s="538"/>
      <c r="AK41" s="434"/>
      <c r="AL41" s="539"/>
      <c r="AM41" s="538"/>
      <c r="AN41" s="434"/>
      <c r="AO41" s="541"/>
      <c r="AP41" s="434"/>
      <c r="AQ41" s="539"/>
      <c r="AR41" s="538"/>
      <c r="AS41" s="540"/>
      <c r="AT41" s="525"/>
      <c r="AU41" s="526"/>
      <c r="AV41" s="467">
        <f t="shared" si="10"/>
        <v>0</v>
      </c>
      <c r="AW41" s="467">
        <f t="shared" si="11"/>
        <v>0</v>
      </c>
      <c r="AX41" s="508"/>
      <c r="AY41" s="537"/>
      <c r="AZ41" s="506" t="str">
        <f t="shared" si="12"/>
        <v xml:space="preserve"> </v>
      </c>
      <c r="BA41" s="524">
        <f>IF(AV41-AW41&gt;0," ",AW41-AV41)</f>
        <v>0</v>
      </c>
      <c r="BB41" s="1047"/>
      <c r="BC41" s="1047"/>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3"/>
      <c r="GG41" s="13"/>
      <c r="GH41" s="13"/>
      <c r="GI41" s="13"/>
      <c r="GJ41" s="13"/>
      <c r="GK41" s="13"/>
      <c r="GL41" s="13"/>
      <c r="GM41" s="13"/>
      <c r="GN41" s="13"/>
      <c r="GO41" s="13"/>
      <c r="GP41" s="13"/>
      <c r="GQ41" s="13"/>
      <c r="GR41" s="13"/>
      <c r="GS41" s="13"/>
      <c r="GT41" s="13"/>
      <c r="GU41" s="13"/>
      <c r="GV41" s="13"/>
      <c r="GW41" s="13"/>
      <c r="GX41" s="13"/>
      <c r="GY41" s="13"/>
      <c r="GZ41" s="13"/>
      <c r="HA41" s="13"/>
      <c r="HB41" s="13"/>
      <c r="HC41" s="13"/>
      <c r="HD41" s="13"/>
      <c r="HE41" s="13"/>
      <c r="HF41" s="13"/>
      <c r="HG41" s="13"/>
      <c r="HH41" s="13"/>
      <c r="HI41" s="13"/>
      <c r="HJ41" s="13"/>
      <c r="HK41" s="13"/>
      <c r="HL41" s="13"/>
      <c r="HM41" s="13"/>
      <c r="HN41" s="13"/>
      <c r="HO41" s="13"/>
      <c r="HP41" s="13"/>
      <c r="HQ41" s="13"/>
      <c r="HR41" s="13"/>
      <c r="HS41" s="13"/>
      <c r="HT41" s="13"/>
      <c r="HU41" s="13"/>
      <c r="HV41" s="13"/>
      <c r="HW41" s="13"/>
      <c r="HX41" s="13"/>
      <c r="HY41" s="13"/>
      <c r="HZ41" s="13"/>
      <c r="IA41" s="13"/>
      <c r="IB41" s="13"/>
      <c r="IC41" s="13"/>
      <c r="ID41" s="13"/>
      <c r="IE41" s="13"/>
      <c r="IF41" s="13"/>
      <c r="IG41" s="13"/>
      <c r="IH41" s="13"/>
      <c r="II41" s="13"/>
      <c r="IJ41" s="13"/>
      <c r="IK41" s="13"/>
      <c r="IL41" s="13"/>
      <c r="IM41" s="13"/>
      <c r="IN41" s="13"/>
      <c r="IO41" s="13"/>
    </row>
    <row r="42" spans="1:249" s="13" customFormat="1" x14ac:dyDescent="0.2">
      <c r="A42" s="33"/>
      <c r="B42" s="29"/>
      <c r="C42" s="249" t="s">
        <v>827</v>
      </c>
      <c r="D42" s="542"/>
      <c r="E42" s="543"/>
      <c r="F42" s="544"/>
      <c r="G42" s="544"/>
      <c r="H42" s="544"/>
      <c r="I42" s="544"/>
      <c r="J42" s="544"/>
      <c r="K42" s="545"/>
      <c r="L42" s="544"/>
      <c r="M42" s="544"/>
      <c r="N42" s="544"/>
      <c r="O42" s="544"/>
      <c r="P42" s="546"/>
      <c r="Q42" s="546"/>
      <c r="R42" s="546"/>
      <c r="S42" s="546"/>
      <c r="T42" s="546"/>
      <c r="U42" s="546"/>
      <c r="V42" s="546"/>
      <c r="W42" s="546"/>
      <c r="X42" s="544"/>
      <c r="Y42" s="544"/>
      <c r="Z42" s="544"/>
      <c r="AA42" s="544"/>
      <c r="AB42" s="547">
        <f t="shared" si="2"/>
        <v>0</v>
      </c>
      <c r="AC42" s="548">
        <f t="shared" si="3"/>
        <v>0</v>
      </c>
      <c r="AD42" s="549">
        <f t="shared" si="4"/>
        <v>0</v>
      </c>
      <c r="AE42" s="550">
        <f t="shared" si="5"/>
        <v>0</v>
      </c>
      <c r="AF42" s="549"/>
      <c r="AG42" s="544"/>
      <c r="AH42" s="549"/>
      <c r="AI42" s="550"/>
      <c r="AJ42" s="551" t="str">
        <f>'E. Capital Outlay'!D52</f>
        <v>E.1</v>
      </c>
      <c r="AK42" s="552">
        <f>'E. Capital Outlay'!L54</f>
        <v>0</v>
      </c>
      <c r="AL42" s="548"/>
      <c r="AM42" s="551" t="str">
        <f>'F.  Other Cap Asset Entries'!D220</f>
        <v>F.1</v>
      </c>
      <c r="AN42" s="552">
        <f>'F.  Other Cap Asset Entries'!O232</f>
        <v>0</v>
      </c>
      <c r="AO42" s="555" t="s">
        <v>646</v>
      </c>
      <c r="AP42" s="552">
        <f>'K.1  Int. Service Fd Allocation'!E169+'K.2  Int. Service Fd Alloca'!E164+'K.3 Int. Service Fd Alloca'!E166</f>
        <v>0</v>
      </c>
      <c r="AQ42" s="548"/>
      <c r="AR42" s="551"/>
      <c r="AS42" s="554"/>
      <c r="AT42" s="525"/>
      <c r="AU42" s="526"/>
      <c r="AV42" s="552">
        <f t="shared" si="10"/>
        <v>0</v>
      </c>
      <c r="AW42" s="552">
        <f t="shared" si="11"/>
        <v>0</v>
      </c>
      <c r="AX42" s="549"/>
      <c r="AY42" s="550"/>
      <c r="AZ42" s="552" t="str">
        <f>IF(AV42+AV43+AV44-(AW42+AW43+AW44)&lt;=0," ",AV42+AV43+AV44-(AW42+AW43+AW44))</f>
        <v xml:space="preserve"> </v>
      </c>
      <c r="BA42" s="554">
        <f>IF(AV42+AV43+AV44-(AW42+AW43+AW44)&gt;0," ",AW42+AW43+AW44-(AV42+AV43+AV44))</f>
        <v>0</v>
      </c>
      <c r="BB42" s="436"/>
      <c r="BC42" s="1047"/>
    </row>
    <row r="43" spans="1:249" s="13" customFormat="1" x14ac:dyDescent="0.2">
      <c r="A43" s="33"/>
      <c r="B43" s="29"/>
      <c r="C43" s="249"/>
      <c r="D43" s="542"/>
      <c r="E43" s="543"/>
      <c r="F43" s="544"/>
      <c r="G43" s="544"/>
      <c r="H43" s="544"/>
      <c r="I43" s="544"/>
      <c r="J43" s="544"/>
      <c r="K43" s="545"/>
      <c r="L43" s="544"/>
      <c r="M43" s="544"/>
      <c r="N43" s="544"/>
      <c r="O43" s="544"/>
      <c r="P43" s="546"/>
      <c r="Q43" s="546"/>
      <c r="R43" s="546"/>
      <c r="S43" s="546"/>
      <c r="T43" s="546"/>
      <c r="U43" s="546"/>
      <c r="V43" s="546"/>
      <c r="W43" s="546"/>
      <c r="X43" s="544"/>
      <c r="Y43" s="544"/>
      <c r="Z43" s="544"/>
      <c r="AA43" s="544"/>
      <c r="AB43" s="547">
        <f t="shared" si="2"/>
        <v>0</v>
      </c>
      <c r="AC43" s="548">
        <f t="shared" si="3"/>
        <v>0</v>
      </c>
      <c r="AD43" s="549">
        <f t="shared" si="4"/>
        <v>0</v>
      </c>
      <c r="AE43" s="550">
        <f t="shared" si="5"/>
        <v>0</v>
      </c>
      <c r="AF43" s="549"/>
      <c r="AG43" s="544"/>
      <c r="AH43" s="549"/>
      <c r="AI43" s="550"/>
      <c r="AJ43" s="551" t="str">
        <f>'F.  Other Cap Asset Entries'!D220</f>
        <v>F.1</v>
      </c>
      <c r="AK43" s="552">
        <f>'F.  Other Cap Asset Entries'!M232</f>
        <v>0</v>
      </c>
      <c r="AL43" s="548"/>
      <c r="AM43" s="551" t="s">
        <v>633</v>
      </c>
      <c r="AN43" s="552">
        <f>'F.  Other Cap Asset Entries'!O266</f>
        <v>0</v>
      </c>
      <c r="AO43" s="553"/>
      <c r="AP43" s="552"/>
      <c r="AQ43" s="548"/>
      <c r="AR43" s="551"/>
      <c r="AS43" s="554"/>
      <c r="AT43" s="525"/>
      <c r="AU43" s="526"/>
      <c r="AV43" s="552">
        <f t="shared" si="10"/>
        <v>0</v>
      </c>
      <c r="AW43" s="552">
        <f t="shared" si="11"/>
        <v>0</v>
      </c>
      <c r="AX43" s="549"/>
      <c r="AY43" s="550"/>
      <c r="AZ43" s="552"/>
      <c r="BA43" s="554"/>
      <c r="BB43" s="436"/>
      <c r="BC43" s="1047"/>
    </row>
    <row r="44" spans="1:249" s="13" customFormat="1" x14ac:dyDescent="0.2">
      <c r="A44" s="33"/>
      <c r="B44" s="29"/>
      <c r="C44" s="249"/>
      <c r="D44" s="542"/>
      <c r="E44" s="543"/>
      <c r="F44" s="544"/>
      <c r="G44" s="544"/>
      <c r="H44" s="544"/>
      <c r="I44" s="544"/>
      <c r="J44" s="544"/>
      <c r="K44" s="545"/>
      <c r="L44" s="544"/>
      <c r="M44" s="544"/>
      <c r="N44" s="544"/>
      <c r="O44" s="544"/>
      <c r="P44" s="546"/>
      <c r="Q44" s="546"/>
      <c r="R44" s="546"/>
      <c r="S44" s="546"/>
      <c r="T44" s="546"/>
      <c r="U44" s="546"/>
      <c r="V44" s="546"/>
      <c r="W44" s="546"/>
      <c r="X44" s="544"/>
      <c r="Y44" s="544"/>
      <c r="Z44" s="544"/>
      <c r="AA44" s="544"/>
      <c r="AB44" s="547">
        <f t="shared" si="2"/>
        <v>0</v>
      </c>
      <c r="AC44" s="548">
        <f t="shared" si="3"/>
        <v>0</v>
      </c>
      <c r="AD44" s="549">
        <f t="shared" si="4"/>
        <v>0</v>
      </c>
      <c r="AE44" s="550">
        <f t="shared" si="5"/>
        <v>0</v>
      </c>
      <c r="AF44" s="549"/>
      <c r="AG44" s="544"/>
      <c r="AH44" s="549"/>
      <c r="AI44" s="550"/>
      <c r="AJ44" s="551" t="str">
        <f>'F.  Other Cap Asset Entries'!D242</f>
        <v>F.2</v>
      </c>
      <c r="AK44" s="552">
        <f>'F.  Other Cap Asset Entries'!M243</f>
        <v>0</v>
      </c>
      <c r="AL44" s="548"/>
      <c r="AM44" s="551"/>
      <c r="AN44" s="552"/>
      <c r="AO44" s="553"/>
      <c r="AP44" s="552"/>
      <c r="AQ44" s="548"/>
      <c r="AR44" s="551"/>
      <c r="AS44" s="554"/>
      <c r="AT44" s="525"/>
      <c r="AU44" s="526"/>
      <c r="AV44" s="552">
        <f t="shared" si="10"/>
        <v>0</v>
      </c>
      <c r="AW44" s="552">
        <f t="shared" si="11"/>
        <v>0</v>
      </c>
      <c r="AX44" s="549"/>
      <c r="AY44" s="550"/>
      <c r="AZ44" s="552"/>
      <c r="BA44" s="554"/>
      <c r="BB44" s="436"/>
      <c r="BC44" s="1047"/>
    </row>
    <row r="45" spans="1:249" x14ac:dyDescent="0.2">
      <c r="A45" s="33"/>
      <c r="B45" s="29"/>
      <c r="C45" s="22" t="s">
        <v>500</v>
      </c>
      <c r="D45" s="533"/>
      <c r="E45" s="534"/>
      <c r="F45" s="530"/>
      <c r="G45" s="530"/>
      <c r="H45" s="530"/>
      <c r="I45" s="530"/>
      <c r="J45" s="530"/>
      <c r="K45" s="535"/>
      <c r="L45" s="530"/>
      <c r="M45" s="530"/>
      <c r="N45" s="530"/>
      <c r="O45" s="530"/>
      <c r="P45" s="529"/>
      <c r="Q45" s="529"/>
      <c r="R45" s="529"/>
      <c r="S45" s="529"/>
      <c r="T45" s="529"/>
      <c r="U45" s="529"/>
      <c r="V45" s="529"/>
      <c r="W45" s="529"/>
      <c r="X45" s="530"/>
      <c r="Y45" s="530"/>
      <c r="Z45" s="530"/>
      <c r="AA45" s="530"/>
      <c r="AB45" s="531">
        <f t="shared" si="2"/>
        <v>0</v>
      </c>
      <c r="AC45" s="505">
        <f t="shared" si="3"/>
        <v>0</v>
      </c>
      <c r="AD45" s="508">
        <f t="shared" si="4"/>
        <v>0</v>
      </c>
      <c r="AE45" s="521">
        <f t="shared" si="5"/>
        <v>0</v>
      </c>
      <c r="AF45" s="536"/>
      <c r="AG45" s="537"/>
      <c r="AH45" s="536"/>
      <c r="AI45" s="537"/>
      <c r="AJ45" s="538" t="str">
        <f>'F.  Other Cap Asset Entries'!D220</f>
        <v>F.1</v>
      </c>
      <c r="AK45" s="434">
        <f>'F.  Other Cap Asset Entries'!M220</f>
        <v>0</v>
      </c>
      <c r="AL45" s="539"/>
      <c r="AM45" s="538" t="str">
        <f>'D. Depreciation'!A54</f>
        <v>D.1</v>
      </c>
      <c r="AN45" s="434">
        <f>'D. Depreciation'!L64</f>
        <v>0</v>
      </c>
      <c r="AO45" s="541"/>
      <c r="AP45" s="434"/>
      <c r="AQ45" s="539"/>
      <c r="AR45" s="532" t="s">
        <v>646</v>
      </c>
      <c r="AS45" s="434">
        <f>'K.1  Int. Service Fd Allocation'!G180+'K.2  Int. Service Fd Alloca'!G175+'K.3 Int. Service Fd Alloca'!G178</f>
        <v>0</v>
      </c>
      <c r="AT45" s="557"/>
      <c r="AU45" s="526"/>
      <c r="AV45" s="467">
        <f t="shared" si="10"/>
        <v>0</v>
      </c>
      <c r="AW45" s="467">
        <f t="shared" si="11"/>
        <v>0</v>
      </c>
      <c r="AX45" s="536"/>
      <c r="AY45" s="537"/>
      <c r="AZ45" s="506" t="str">
        <f t="shared" si="12"/>
        <v xml:space="preserve"> </v>
      </c>
      <c r="BA45" s="524">
        <f>IF(AV45-AW45&gt;0," ",AW45-AV45)</f>
        <v>0</v>
      </c>
      <c r="BB45" s="436"/>
      <c r="BC45" s="436"/>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3"/>
      <c r="GG45" s="13"/>
      <c r="GH45" s="13"/>
      <c r="GI45" s="13"/>
      <c r="GJ45" s="13"/>
      <c r="GK45" s="13"/>
      <c r="GL45" s="13"/>
      <c r="GM45" s="13"/>
      <c r="GN45" s="13"/>
      <c r="GO45" s="13"/>
      <c r="GP45" s="13"/>
      <c r="GQ45" s="13"/>
      <c r="GR45" s="13"/>
      <c r="GS45" s="13"/>
      <c r="GT45" s="13"/>
      <c r="GU45" s="13"/>
      <c r="GV45" s="13"/>
      <c r="GW45" s="13"/>
      <c r="GX45" s="13"/>
      <c r="GY45" s="13"/>
      <c r="GZ45" s="13"/>
      <c r="HA45" s="13"/>
      <c r="HB45" s="13"/>
      <c r="HC45" s="13"/>
      <c r="HD45" s="13"/>
      <c r="HE45" s="13"/>
      <c r="HF45" s="13"/>
      <c r="HG45" s="13"/>
      <c r="HH45" s="13"/>
      <c r="HI45" s="13"/>
      <c r="HJ45" s="13"/>
      <c r="HK45" s="13"/>
      <c r="HL45" s="13"/>
      <c r="HM45" s="13"/>
      <c r="HN45" s="13"/>
      <c r="HO45" s="13"/>
      <c r="HP45" s="13"/>
      <c r="HQ45" s="13"/>
      <c r="HR45" s="13"/>
      <c r="HS45" s="13"/>
      <c r="HT45" s="13"/>
      <c r="HU45" s="13"/>
      <c r="HV45" s="13"/>
      <c r="HW45" s="13"/>
      <c r="HX45" s="13"/>
      <c r="HY45" s="13"/>
      <c r="HZ45" s="13"/>
      <c r="IA45" s="13"/>
      <c r="IB45" s="13"/>
      <c r="IC45" s="13"/>
      <c r="ID45" s="13"/>
      <c r="IE45" s="13"/>
      <c r="IF45" s="13"/>
      <c r="IG45" s="13"/>
      <c r="IH45" s="13"/>
      <c r="II45" s="13"/>
      <c r="IJ45" s="13"/>
      <c r="IK45" s="13"/>
      <c r="IL45" s="13"/>
      <c r="IM45" s="13"/>
      <c r="IN45" s="13"/>
      <c r="IO45" s="13"/>
    </row>
    <row r="46" spans="1:249" x14ac:dyDescent="0.2">
      <c r="A46" s="33"/>
      <c r="B46" s="13"/>
      <c r="C46" s="249" t="s">
        <v>165</v>
      </c>
      <c r="D46" s="542"/>
      <c r="E46" s="543"/>
      <c r="F46" s="544"/>
      <c r="G46" s="544"/>
      <c r="H46" s="544"/>
      <c r="I46" s="544"/>
      <c r="J46" s="544"/>
      <c r="K46" s="545"/>
      <c r="L46" s="544"/>
      <c r="M46" s="544"/>
      <c r="N46" s="544"/>
      <c r="O46" s="544"/>
      <c r="P46" s="546"/>
      <c r="Q46" s="546"/>
      <c r="R46" s="546"/>
      <c r="S46" s="546"/>
      <c r="T46" s="546"/>
      <c r="U46" s="546"/>
      <c r="V46" s="546"/>
      <c r="W46" s="546"/>
      <c r="X46" s="544"/>
      <c r="Y46" s="544"/>
      <c r="Z46" s="544"/>
      <c r="AA46" s="544"/>
      <c r="AB46" s="547">
        <f t="shared" si="2"/>
        <v>0</v>
      </c>
      <c r="AC46" s="548">
        <f t="shared" si="3"/>
        <v>0</v>
      </c>
      <c r="AD46" s="549">
        <f t="shared" si="4"/>
        <v>0</v>
      </c>
      <c r="AE46" s="550">
        <f t="shared" si="5"/>
        <v>0</v>
      </c>
      <c r="AF46" s="549"/>
      <c r="AG46" s="550"/>
      <c r="AH46" s="549"/>
      <c r="AI46" s="550"/>
      <c r="AJ46" s="551" t="str">
        <f>'E. Capital Outlay'!D52</f>
        <v>E.1</v>
      </c>
      <c r="AK46" s="552">
        <f>'E. Capital Outlay'!L55</f>
        <v>0</v>
      </c>
      <c r="AL46" s="548"/>
      <c r="AM46" s="551" t="str">
        <f>'F.  Other Cap Asset Entries'!D220</f>
        <v>F.1</v>
      </c>
      <c r="AN46" s="552">
        <f>'F.  Other Cap Asset Entries'!O233</f>
        <v>0</v>
      </c>
      <c r="AO46" s="553"/>
      <c r="AP46" s="552"/>
      <c r="AQ46" s="548"/>
      <c r="AR46" s="551"/>
      <c r="AS46" s="554"/>
      <c r="AT46" s="525"/>
      <c r="AU46" s="526"/>
      <c r="AV46" s="552">
        <f t="shared" si="10"/>
        <v>0</v>
      </c>
      <c r="AW46" s="552">
        <f t="shared" si="11"/>
        <v>0</v>
      </c>
      <c r="AX46" s="549"/>
      <c r="AY46" s="550"/>
      <c r="AZ46" s="552" t="str">
        <f>IF((AV46+AV47+AV48)-(AW46+AW47+AW48)&lt;=0," ",(AV46+AV47+AV48)-(AW46+AW47+AW48))</f>
        <v xml:space="preserve"> </v>
      </c>
      <c r="BA46" s="554">
        <f>IF((AV46+AV47+AV48)-(AW46+AW47+AW48)&gt;0," ",(AW46+AW47+AW48)-(AV46+AV47+AV48))</f>
        <v>0</v>
      </c>
      <c r="BB46" s="436"/>
      <c r="BC46" s="436"/>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3"/>
      <c r="GG46" s="13"/>
      <c r="GH46" s="13"/>
      <c r="GI46" s="13"/>
      <c r="GJ46" s="13"/>
      <c r="GK46" s="13"/>
      <c r="GL46" s="13"/>
      <c r="GM46" s="13"/>
      <c r="GN46" s="13"/>
      <c r="GO46" s="13"/>
      <c r="GP46" s="13"/>
      <c r="GQ46" s="13"/>
      <c r="GR46" s="13"/>
      <c r="GS46" s="13"/>
      <c r="GT46" s="13"/>
      <c r="GU46" s="13"/>
      <c r="GV46" s="13"/>
      <c r="GW46" s="13"/>
      <c r="GX46" s="13"/>
      <c r="GY46" s="13"/>
      <c r="GZ46" s="13"/>
      <c r="HA46" s="13"/>
      <c r="HB46" s="13"/>
      <c r="HC46" s="13"/>
      <c r="HD46" s="13"/>
      <c r="HE46" s="13"/>
      <c r="HF46" s="13"/>
      <c r="HG46" s="13"/>
      <c r="HH46" s="13"/>
      <c r="HI46" s="13"/>
      <c r="HJ46" s="13"/>
      <c r="HK46" s="13"/>
      <c r="HL46" s="13"/>
      <c r="HM46" s="13"/>
      <c r="HN46" s="13"/>
      <c r="HO46" s="13"/>
      <c r="HP46" s="13"/>
      <c r="HQ46" s="13"/>
      <c r="HR46" s="13"/>
      <c r="HS46" s="13"/>
      <c r="HT46" s="13"/>
      <c r="HU46" s="13"/>
      <c r="HV46" s="13"/>
      <c r="HW46" s="13"/>
      <c r="HX46" s="13"/>
      <c r="HY46" s="13"/>
      <c r="HZ46" s="13"/>
      <c r="IA46" s="13"/>
      <c r="IB46" s="13"/>
      <c r="IC46" s="13"/>
      <c r="ID46" s="13"/>
      <c r="IE46" s="13"/>
      <c r="IF46" s="13"/>
      <c r="IG46" s="13"/>
      <c r="IH46" s="13"/>
      <c r="II46" s="13"/>
      <c r="IJ46" s="13"/>
      <c r="IK46" s="13"/>
      <c r="IL46" s="13"/>
      <c r="IM46" s="13"/>
      <c r="IN46" s="13"/>
      <c r="IO46" s="13"/>
    </row>
    <row r="47" spans="1:249" x14ac:dyDescent="0.2">
      <c r="A47" s="33"/>
      <c r="B47" s="13"/>
      <c r="C47" s="249"/>
      <c r="D47" s="542"/>
      <c r="E47" s="543"/>
      <c r="F47" s="544"/>
      <c r="G47" s="544"/>
      <c r="H47" s="544"/>
      <c r="I47" s="544"/>
      <c r="J47" s="544"/>
      <c r="K47" s="545"/>
      <c r="L47" s="544"/>
      <c r="M47" s="544"/>
      <c r="N47" s="544"/>
      <c r="O47" s="544"/>
      <c r="P47" s="546"/>
      <c r="Q47" s="546"/>
      <c r="R47" s="546"/>
      <c r="S47" s="546"/>
      <c r="T47" s="546"/>
      <c r="U47" s="546"/>
      <c r="V47" s="546"/>
      <c r="W47" s="546"/>
      <c r="X47" s="544"/>
      <c r="Y47" s="544"/>
      <c r="Z47" s="544"/>
      <c r="AA47" s="544"/>
      <c r="AB47" s="547">
        <f t="shared" si="2"/>
        <v>0</v>
      </c>
      <c r="AC47" s="548">
        <f t="shared" si="3"/>
        <v>0</v>
      </c>
      <c r="AD47" s="549">
        <f t="shared" si="4"/>
        <v>0</v>
      </c>
      <c r="AE47" s="550">
        <f t="shared" si="5"/>
        <v>0</v>
      </c>
      <c r="AF47" s="549"/>
      <c r="AG47" s="550"/>
      <c r="AH47" s="549"/>
      <c r="AI47" s="550"/>
      <c r="AJ47" s="551" t="str">
        <f>'F.  Other Cap Asset Entries'!D220</f>
        <v>F.1</v>
      </c>
      <c r="AK47" s="552">
        <f>'F.  Other Cap Asset Entries'!M233</f>
        <v>0</v>
      </c>
      <c r="AL47" s="548"/>
      <c r="AM47" s="551" t="s">
        <v>633</v>
      </c>
      <c r="AN47" s="552">
        <f>'F.  Other Cap Asset Entries'!O267</f>
        <v>0</v>
      </c>
      <c r="AO47" s="553"/>
      <c r="AP47" s="552"/>
      <c r="AQ47" s="548"/>
      <c r="AR47" s="551"/>
      <c r="AS47" s="554"/>
      <c r="AT47" s="525"/>
      <c r="AU47" s="526"/>
      <c r="AV47" s="552">
        <f t="shared" si="10"/>
        <v>0</v>
      </c>
      <c r="AW47" s="552">
        <f t="shared" si="11"/>
        <v>0</v>
      </c>
      <c r="AX47" s="549"/>
      <c r="AY47" s="550"/>
      <c r="AZ47" s="552"/>
      <c r="BA47" s="554"/>
      <c r="BB47" s="436"/>
      <c r="BC47" s="1047"/>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3"/>
      <c r="GG47" s="13"/>
      <c r="GH47" s="13"/>
      <c r="GI47" s="13"/>
      <c r="GJ47" s="13"/>
      <c r="GK47" s="13"/>
      <c r="GL47" s="13"/>
      <c r="GM47" s="13"/>
      <c r="GN47" s="13"/>
      <c r="GO47" s="13"/>
      <c r="GP47" s="13"/>
      <c r="GQ47" s="13"/>
      <c r="GR47" s="13"/>
      <c r="GS47" s="13"/>
      <c r="GT47" s="13"/>
      <c r="GU47" s="13"/>
      <c r="GV47" s="13"/>
      <c r="GW47" s="13"/>
      <c r="GX47" s="13"/>
      <c r="GY47" s="13"/>
      <c r="GZ47" s="13"/>
      <c r="HA47" s="13"/>
      <c r="HB47" s="13"/>
      <c r="HC47" s="13"/>
      <c r="HD47" s="13"/>
      <c r="HE47" s="13"/>
      <c r="HF47" s="13"/>
      <c r="HG47" s="13"/>
      <c r="HH47" s="13"/>
      <c r="HI47" s="13"/>
      <c r="HJ47" s="13"/>
      <c r="HK47" s="13"/>
      <c r="HL47" s="13"/>
      <c r="HM47" s="13"/>
      <c r="HN47" s="13"/>
      <c r="HO47" s="13"/>
      <c r="HP47" s="13"/>
      <c r="HQ47" s="13"/>
      <c r="HR47" s="13"/>
      <c r="HS47" s="13"/>
      <c r="HT47" s="13"/>
      <c r="HU47" s="13"/>
      <c r="HV47" s="13"/>
      <c r="HW47" s="13"/>
      <c r="HX47" s="13"/>
      <c r="HY47" s="13"/>
      <c r="HZ47" s="13"/>
      <c r="IA47" s="13"/>
      <c r="IB47" s="13"/>
      <c r="IC47" s="13"/>
      <c r="ID47" s="13"/>
      <c r="IE47" s="13"/>
      <c r="IF47" s="13"/>
      <c r="IG47" s="13"/>
      <c r="IH47" s="13"/>
      <c r="II47" s="13"/>
      <c r="IJ47" s="13"/>
      <c r="IK47" s="13"/>
      <c r="IL47" s="13"/>
      <c r="IM47" s="13"/>
      <c r="IN47" s="13"/>
      <c r="IO47" s="13"/>
    </row>
    <row r="48" spans="1:249" x14ac:dyDescent="0.2">
      <c r="A48" s="33"/>
      <c r="B48" s="13"/>
      <c r="C48" s="249"/>
      <c r="D48" s="542"/>
      <c r="E48" s="543"/>
      <c r="F48" s="544"/>
      <c r="G48" s="544"/>
      <c r="H48" s="544"/>
      <c r="I48" s="544"/>
      <c r="J48" s="544"/>
      <c r="K48" s="545"/>
      <c r="L48" s="544"/>
      <c r="M48" s="544"/>
      <c r="N48" s="544"/>
      <c r="O48" s="544"/>
      <c r="P48" s="546"/>
      <c r="Q48" s="546"/>
      <c r="R48" s="546"/>
      <c r="S48" s="546"/>
      <c r="T48" s="546"/>
      <c r="U48" s="546"/>
      <c r="V48" s="546"/>
      <c r="W48" s="546"/>
      <c r="X48" s="544"/>
      <c r="Y48" s="544"/>
      <c r="Z48" s="544"/>
      <c r="AA48" s="544"/>
      <c r="AB48" s="547">
        <f t="shared" si="2"/>
        <v>0</v>
      </c>
      <c r="AC48" s="548">
        <f t="shared" si="3"/>
        <v>0</v>
      </c>
      <c r="AD48" s="549">
        <f t="shared" si="4"/>
        <v>0</v>
      </c>
      <c r="AE48" s="550">
        <f t="shared" si="5"/>
        <v>0</v>
      </c>
      <c r="AF48" s="549"/>
      <c r="AG48" s="550"/>
      <c r="AH48" s="549"/>
      <c r="AI48" s="550"/>
      <c r="AJ48" s="551" t="str">
        <f>'F.  Other Cap Asset Entries'!D242</f>
        <v>F.2</v>
      </c>
      <c r="AK48" s="552">
        <f>'F.  Other Cap Asset Entries'!M244</f>
        <v>0</v>
      </c>
      <c r="AL48" s="548"/>
      <c r="AM48" s="551"/>
      <c r="AN48" s="552"/>
      <c r="AO48" s="553"/>
      <c r="AP48" s="552"/>
      <c r="AQ48" s="548"/>
      <c r="AR48" s="551"/>
      <c r="AS48" s="554"/>
      <c r="AT48" s="525"/>
      <c r="AU48" s="526"/>
      <c r="AV48" s="552">
        <f t="shared" si="10"/>
        <v>0</v>
      </c>
      <c r="AW48" s="552">
        <f t="shared" si="11"/>
        <v>0</v>
      </c>
      <c r="AX48" s="549"/>
      <c r="AY48" s="550"/>
      <c r="AZ48" s="552"/>
      <c r="BA48" s="554"/>
      <c r="BB48" s="1047"/>
      <c r="BC48" s="1047"/>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3"/>
      <c r="GG48" s="13"/>
      <c r="GH48" s="13"/>
      <c r="GI48" s="13"/>
      <c r="GJ48" s="13"/>
      <c r="GK48" s="13"/>
      <c r="GL48" s="13"/>
      <c r="GM48" s="13"/>
      <c r="GN48" s="13"/>
      <c r="GO48" s="13"/>
      <c r="GP48" s="13"/>
      <c r="GQ48" s="13"/>
      <c r="GR48" s="13"/>
      <c r="GS48" s="13"/>
      <c r="GT48" s="13"/>
      <c r="GU48" s="13"/>
      <c r="GV48" s="13"/>
      <c r="GW48" s="13"/>
      <c r="GX48" s="13"/>
      <c r="GY48" s="13"/>
      <c r="GZ48" s="13"/>
      <c r="HA48" s="13"/>
      <c r="HB48" s="13"/>
      <c r="HC48" s="13"/>
      <c r="HD48" s="13"/>
      <c r="HE48" s="13"/>
      <c r="HF48" s="13"/>
      <c r="HG48" s="13"/>
      <c r="HH48" s="13"/>
      <c r="HI48" s="13"/>
      <c r="HJ48" s="13"/>
      <c r="HK48" s="13"/>
      <c r="HL48" s="13"/>
      <c r="HM48" s="13"/>
      <c r="HN48" s="13"/>
      <c r="HO48" s="13"/>
      <c r="HP48" s="13"/>
      <c r="HQ48" s="13"/>
      <c r="HR48" s="13"/>
      <c r="HS48" s="13"/>
      <c r="HT48" s="13"/>
      <c r="HU48" s="13"/>
      <c r="HV48" s="13"/>
      <c r="HW48" s="13"/>
      <c r="HX48" s="13"/>
      <c r="HY48" s="13"/>
      <c r="HZ48" s="13"/>
      <c r="IA48" s="13"/>
      <c r="IB48" s="13"/>
      <c r="IC48" s="13"/>
      <c r="ID48" s="13"/>
      <c r="IE48" s="13"/>
      <c r="IF48" s="13"/>
      <c r="IG48" s="13"/>
      <c r="IH48" s="13"/>
      <c r="II48" s="13"/>
      <c r="IJ48" s="13"/>
      <c r="IK48" s="13"/>
      <c r="IL48" s="13"/>
      <c r="IM48" s="13"/>
      <c r="IN48" s="13"/>
      <c r="IO48" s="13"/>
    </row>
    <row r="49" spans="1:249" x14ac:dyDescent="0.2">
      <c r="A49" s="33"/>
      <c r="B49" s="29"/>
      <c r="C49" s="13" t="s">
        <v>135</v>
      </c>
      <c r="D49" s="533"/>
      <c r="E49" s="534"/>
      <c r="F49" s="530"/>
      <c r="G49" s="530"/>
      <c r="H49" s="530"/>
      <c r="I49" s="530"/>
      <c r="J49" s="530"/>
      <c r="K49" s="535"/>
      <c r="L49" s="530"/>
      <c r="M49" s="530"/>
      <c r="N49" s="530"/>
      <c r="O49" s="530"/>
      <c r="P49" s="529"/>
      <c r="Q49" s="529"/>
      <c r="R49" s="529"/>
      <c r="S49" s="529"/>
      <c r="T49" s="529"/>
      <c r="U49" s="529"/>
      <c r="V49" s="529"/>
      <c r="W49" s="529"/>
      <c r="X49" s="530"/>
      <c r="Y49" s="530"/>
      <c r="Z49" s="530"/>
      <c r="AA49" s="530"/>
      <c r="AB49" s="531">
        <f t="shared" si="2"/>
        <v>0</v>
      </c>
      <c r="AC49" s="505">
        <f t="shared" si="3"/>
        <v>0</v>
      </c>
      <c r="AD49" s="508">
        <f t="shared" si="4"/>
        <v>0</v>
      </c>
      <c r="AE49" s="521">
        <f t="shared" si="5"/>
        <v>0</v>
      </c>
      <c r="AF49" s="536"/>
      <c r="AG49" s="537"/>
      <c r="AH49" s="536"/>
      <c r="AI49" s="537"/>
      <c r="AJ49" s="538" t="str">
        <f>'F.  Other Cap Asset Entries'!D220</f>
        <v>F.1</v>
      </c>
      <c r="AK49" s="434">
        <f>'F.  Other Cap Asset Entries'!M221</f>
        <v>0</v>
      </c>
      <c r="AL49" s="539"/>
      <c r="AM49" s="538" t="str">
        <f>'D. Depreciation'!A54</f>
        <v>D.1</v>
      </c>
      <c r="AN49" s="434">
        <f>'D. Depreciation'!L65</f>
        <v>0</v>
      </c>
      <c r="AO49" s="541"/>
      <c r="AP49" s="434"/>
      <c r="AQ49" s="539"/>
      <c r="AR49" s="538"/>
      <c r="AS49" s="540"/>
      <c r="AT49" s="525"/>
      <c r="AU49" s="526"/>
      <c r="AV49" s="467">
        <f t="shared" si="10"/>
        <v>0</v>
      </c>
      <c r="AW49" s="467">
        <f t="shared" si="11"/>
        <v>0</v>
      </c>
      <c r="AX49" s="536"/>
      <c r="AY49" s="537"/>
      <c r="AZ49" s="506" t="str">
        <f>IF(AV49-AW49&lt;=0," ",AV49-AW49)</f>
        <v xml:space="preserve"> </v>
      </c>
      <c r="BA49" s="524">
        <f>IF(AV49-AW49&gt;0," ",AW49-AV49)</f>
        <v>0</v>
      </c>
      <c r="BB49" s="1047"/>
      <c r="BC49" s="1047"/>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13"/>
      <c r="FQ49" s="13"/>
      <c r="FR49" s="13"/>
      <c r="FS49" s="13"/>
      <c r="FT49" s="13"/>
      <c r="FU49" s="13"/>
      <c r="FV49" s="13"/>
      <c r="FW49" s="13"/>
      <c r="FX49" s="13"/>
      <c r="FY49" s="13"/>
      <c r="FZ49" s="13"/>
      <c r="GA49" s="13"/>
      <c r="GB49" s="13"/>
      <c r="GC49" s="13"/>
      <c r="GD49" s="13"/>
      <c r="GE49" s="13"/>
      <c r="GF49" s="13"/>
      <c r="GG49" s="13"/>
      <c r="GH49" s="13"/>
      <c r="GI49" s="13"/>
      <c r="GJ49" s="13"/>
      <c r="GK49" s="13"/>
      <c r="GL49" s="13"/>
      <c r="GM49" s="13"/>
      <c r="GN49" s="13"/>
      <c r="GO49" s="13"/>
      <c r="GP49" s="13"/>
      <c r="GQ49" s="13"/>
      <c r="GR49" s="13"/>
      <c r="GS49" s="13"/>
      <c r="GT49" s="13"/>
      <c r="GU49" s="13"/>
      <c r="GV49" s="13"/>
      <c r="GW49" s="13"/>
      <c r="GX49" s="13"/>
      <c r="GY49" s="13"/>
      <c r="GZ49" s="13"/>
      <c r="HA49" s="13"/>
      <c r="HB49" s="13"/>
      <c r="HC49" s="13"/>
      <c r="HD49" s="13"/>
      <c r="HE49" s="13"/>
      <c r="HF49" s="13"/>
      <c r="HG49" s="13"/>
      <c r="HH49" s="13"/>
      <c r="HI49" s="13"/>
      <c r="HJ49" s="13"/>
      <c r="HK49" s="13"/>
      <c r="HL49" s="13"/>
      <c r="HM49" s="13"/>
      <c r="HN49" s="13"/>
      <c r="HO49" s="13"/>
      <c r="HP49" s="13"/>
      <c r="HQ49" s="13"/>
      <c r="HR49" s="13"/>
      <c r="HS49" s="13"/>
      <c r="HT49" s="13"/>
      <c r="HU49" s="13"/>
      <c r="HV49" s="13"/>
      <c r="HW49" s="13"/>
      <c r="HX49" s="13"/>
      <c r="HY49" s="13"/>
      <c r="HZ49" s="13"/>
      <c r="IA49" s="13"/>
      <c r="IB49" s="13"/>
      <c r="IC49" s="13"/>
      <c r="ID49" s="13"/>
      <c r="IE49" s="13"/>
      <c r="IF49" s="13"/>
      <c r="IG49" s="13"/>
      <c r="IH49" s="13"/>
      <c r="II49" s="13"/>
      <c r="IJ49" s="13"/>
      <c r="IK49" s="13"/>
      <c r="IL49" s="13"/>
      <c r="IM49" s="13"/>
      <c r="IN49" s="13"/>
      <c r="IO49" s="13"/>
    </row>
    <row r="50" spans="1:249" x14ac:dyDescent="0.2">
      <c r="A50" s="33"/>
      <c r="B50" s="29"/>
      <c r="C50" s="249" t="s">
        <v>71</v>
      </c>
      <c r="D50" s="542"/>
      <c r="E50" s="543"/>
      <c r="F50" s="544"/>
      <c r="G50" s="544"/>
      <c r="H50" s="544"/>
      <c r="I50" s="544"/>
      <c r="J50" s="544"/>
      <c r="K50" s="545"/>
      <c r="L50" s="544"/>
      <c r="M50" s="544"/>
      <c r="N50" s="544"/>
      <c r="O50" s="544"/>
      <c r="P50" s="546"/>
      <c r="Q50" s="546"/>
      <c r="R50" s="546"/>
      <c r="S50" s="546"/>
      <c r="T50" s="546"/>
      <c r="U50" s="546"/>
      <c r="V50" s="546"/>
      <c r="W50" s="546"/>
      <c r="X50" s="544"/>
      <c r="Y50" s="544"/>
      <c r="Z50" s="544"/>
      <c r="AA50" s="544"/>
      <c r="AB50" s="547">
        <f t="shared" si="2"/>
        <v>0</v>
      </c>
      <c r="AC50" s="548">
        <f t="shared" si="3"/>
        <v>0</v>
      </c>
      <c r="AD50" s="549">
        <f t="shared" si="4"/>
        <v>0</v>
      </c>
      <c r="AE50" s="550">
        <f t="shared" si="5"/>
        <v>0</v>
      </c>
      <c r="AF50" s="549"/>
      <c r="AG50" s="550"/>
      <c r="AH50" s="549"/>
      <c r="AI50" s="550"/>
      <c r="AJ50" s="551" t="str">
        <f>'E. Capital Outlay'!D52</f>
        <v>E.1</v>
      </c>
      <c r="AK50" s="552">
        <f>'E. Capital Outlay'!L56</f>
        <v>0</v>
      </c>
      <c r="AL50" s="548"/>
      <c r="AM50" s="551" t="str">
        <f>'F.  Other Cap Asset Entries'!D220</f>
        <v>F.1</v>
      </c>
      <c r="AN50" s="552">
        <f>'F.  Other Cap Asset Entries'!O234</f>
        <v>0</v>
      </c>
      <c r="AO50" s="555" t="s">
        <v>646</v>
      </c>
      <c r="AP50" s="552">
        <f>'K.1  Int. Service Fd Allocation'!E170+'K.2  Int. Service Fd Alloca'!E165+'K.3 Int. Service Fd Alloca'!E167</f>
        <v>0</v>
      </c>
      <c r="AQ50" s="548"/>
      <c r="AR50" s="551"/>
      <c r="AS50" s="554"/>
      <c r="AT50" s="525"/>
      <c r="AU50" s="526"/>
      <c r="AV50" s="552">
        <f t="shared" si="10"/>
        <v>0</v>
      </c>
      <c r="AW50" s="552">
        <f t="shared" si="11"/>
        <v>0</v>
      </c>
      <c r="AX50" s="549"/>
      <c r="AY50" s="550"/>
      <c r="AZ50" s="552" t="str">
        <f>IF((AV50+AV51+AV52)-(AW50+AW51+AW52)&lt;=0," ",(AV50+AV51+AV52)-(AW50+AW51+AW52))</f>
        <v xml:space="preserve"> </v>
      </c>
      <c r="BA50" s="554">
        <f>IF((AV50+AV51+AV52)-(AW50+AW51+AW52)&gt;0," ",(AW50+AW51+AW52)-(AV50+AV51+AV52))</f>
        <v>0</v>
      </c>
      <c r="BB50" s="1047"/>
      <c r="BC50" s="1047"/>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3"/>
      <c r="GG50" s="13"/>
      <c r="GH50" s="13"/>
      <c r="GI50" s="13"/>
      <c r="GJ50" s="13"/>
      <c r="GK50" s="13"/>
      <c r="GL50" s="13"/>
      <c r="GM50" s="13"/>
      <c r="GN50" s="13"/>
      <c r="GO50" s="13"/>
      <c r="GP50" s="13"/>
      <c r="GQ50" s="13"/>
      <c r="GR50" s="13"/>
      <c r="GS50" s="13"/>
      <c r="GT50" s="13"/>
      <c r="GU50" s="13"/>
      <c r="GV50" s="13"/>
      <c r="GW50" s="13"/>
      <c r="GX50" s="13"/>
      <c r="GY50" s="13"/>
      <c r="GZ50" s="13"/>
      <c r="HA50" s="13"/>
      <c r="HB50" s="13"/>
      <c r="HC50" s="13"/>
      <c r="HD50" s="13"/>
      <c r="HE50" s="13"/>
      <c r="HF50" s="13"/>
      <c r="HG50" s="13"/>
      <c r="HH50" s="13"/>
      <c r="HI50" s="13"/>
      <c r="HJ50" s="13"/>
      <c r="HK50" s="13"/>
      <c r="HL50" s="13"/>
      <c r="HM50" s="13"/>
      <c r="HN50" s="13"/>
      <c r="HO50" s="13"/>
      <c r="HP50" s="13"/>
      <c r="HQ50" s="13"/>
      <c r="HR50" s="13"/>
      <c r="HS50" s="13"/>
      <c r="HT50" s="13"/>
      <c r="HU50" s="13"/>
      <c r="HV50" s="13"/>
      <c r="HW50" s="13"/>
      <c r="HX50" s="13"/>
      <c r="HY50" s="13"/>
      <c r="HZ50" s="13"/>
      <c r="IA50" s="13"/>
      <c r="IB50" s="13"/>
      <c r="IC50" s="13"/>
      <c r="ID50" s="13"/>
      <c r="IE50" s="13"/>
      <c r="IF50" s="13"/>
      <c r="IG50" s="13"/>
      <c r="IH50" s="13"/>
      <c r="II50" s="13"/>
      <c r="IJ50" s="13"/>
      <c r="IK50" s="13"/>
      <c r="IL50" s="13"/>
      <c r="IM50" s="13"/>
      <c r="IN50" s="13"/>
      <c r="IO50" s="13"/>
    </row>
    <row r="51" spans="1:249" x14ac:dyDescent="0.2">
      <c r="A51" s="33"/>
      <c r="B51" s="29"/>
      <c r="C51" s="249"/>
      <c r="D51" s="542"/>
      <c r="E51" s="543"/>
      <c r="F51" s="544"/>
      <c r="G51" s="544"/>
      <c r="H51" s="544"/>
      <c r="I51" s="544"/>
      <c r="J51" s="544"/>
      <c r="K51" s="545"/>
      <c r="L51" s="544"/>
      <c r="M51" s="544"/>
      <c r="N51" s="544"/>
      <c r="O51" s="544"/>
      <c r="P51" s="546"/>
      <c r="Q51" s="546"/>
      <c r="R51" s="546"/>
      <c r="S51" s="546"/>
      <c r="T51" s="546"/>
      <c r="U51" s="546"/>
      <c r="V51" s="546"/>
      <c r="W51" s="546"/>
      <c r="X51" s="544"/>
      <c r="Y51" s="544"/>
      <c r="Z51" s="544"/>
      <c r="AA51" s="544"/>
      <c r="AB51" s="547">
        <f t="shared" si="2"/>
        <v>0</v>
      </c>
      <c r="AC51" s="548">
        <f t="shared" si="3"/>
        <v>0</v>
      </c>
      <c r="AD51" s="549">
        <f t="shared" si="4"/>
        <v>0</v>
      </c>
      <c r="AE51" s="550">
        <f t="shared" si="5"/>
        <v>0</v>
      </c>
      <c r="AF51" s="549"/>
      <c r="AG51" s="550"/>
      <c r="AH51" s="549"/>
      <c r="AI51" s="550"/>
      <c r="AJ51" s="551" t="str">
        <f>'F.  Other Cap Asset Entries'!D220</f>
        <v>F.1</v>
      </c>
      <c r="AK51" s="552">
        <f>'F.  Other Cap Asset Entries'!M234</f>
        <v>0</v>
      </c>
      <c r="AL51" s="548"/>
      <c r="AM51" s="551" t="s">
        <v>633</v>
      </c>
      <c r="AN51" s="552">
        <f>'F.  Other Cap Asset Entries'!O268</f>
        <v>0</v>
      </c>
      <c r="AO51" s="553"/>
      <c r="AP51" s="552"/>
      <c r="AQ51" s="548"/>
      <c r="AR51" s="551"/>
      <c r="AS51" s="554"/>
      <c r="AT51" s="525"/>
      <c r="AU51" s="526"/>
      <c r="AV51" s="552">
        <f t="shared" si="10"/>
        <v>0</v>
      </c>
      <c r="AW51" s="552">
        <f t="shared" si="11"/>
        <v>0</v>
      </c>
      <c r="AX51" s="549"/>
      <c r="AY51" s="550"/>
      <c r="AZ51" s="552"/>
      <c r="BA51" s="554"/>
      <c r="BB51" s="1047"/>
      <c r="BC51" s="1047"/>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3"/>
      <c r="GG51" s="13"/>
      <c r="GH51" s="13"/>
      <c r="GI51" s="13"/>
      <c r="GJ51" s="13"/>
      <c r="GK51" s="13"/>
      <c r="GL51" s="13"/>
      <c r="GM51" s="13"/>
      <c r="GN51" s="13"/>
      <c r="GO51" s="13"/>
      <c r="GP51" s="13"/>
      <c r="GQ51" s="13"/>
      <c r="GR51" s="13"/>
      <c r="GS51" s="13"/>
      <c r="GT51" s="13"/>
      <c r="GU51" s="13"/>
      <c r="GV51" s="13"/>
      <c r="GW51" s="13"/>
      <c r="GX51" s="13"/>
      <c r="GY51" s="13"/>
      <c r="GZ51" s="13"/>
      <c r="HA51" s="13"/>
      <c r="HB51" s="13"/>
      <c r="HC51" s="13"/>
      <c r="HD51" s="13"/>
      <c r="HE51" s="13"/>
      <c r="HF51" s="13"/>
      <c r="HG51" s="13"/>
      <c r="HH51" s="13"/>
      <c r="HI51" s="13"/>
      <c r="HJ51" s="13"/>
      <c r="HK51" s="13"/>
      <c r="HL51" s="13"/>
      <c r="HM51" s="13"/>
      <c r="HN51" s="13"/>
      <c r="HO51" s="13"/>
      <c r="HP51" s="13"/>
      <c r="HQ51" s="13"/>
      <c r="HR51" s="13"/>
      <c r="HS51" s="13"/>
      <c r="HT51" s="13"/>
      <c r="HU51" s="13"/>
      <c r="HV51" s="13"/>
      <c r="HW51" s="13"/>
      <c r="HX51" s="13"/>
      <c r="HY51" s="13"/>
      <c r="HZ51" s="13"/>
      <c r="IA51" s="13"/>
      <c r="IB51" s="13"/>
      <c r="IC51" s="13"/>
      <c r="ID51" s="13"/>
      <c r="IE51" s="13"/>
      <c r="IF51" s="13"/>
      <c r="IG51" s="13"/>
      <c r="IH51" s="13"/>
      <c r="II51" s="13"/>
      <c r="IJ51" s="13"/>
      <c r="IK51" s="13"/>
      <c r="IL51" s="13"/>
      <c r="IM51" s="13"/>
      <c r="IN51" s="13"/>
      <c r="IO51" s="13"/>
    </row>
    <row r="52" spans="1:249" x14ac:dyDescent="0.2">
      <c r="A52" s="33"/>
      <c r="B52" s="29"/>
      <c r="C52" s="249"/>
      <c r="D52" s="542"/>
      <c r="E52" s="543"/>
      <c r="F52" s="544"/>
      <c r="G52" s="544"/>
      <c r="H52" s="544"/>
      <c r="I52" s="544"/>
      <c r="J52" s="544"/>
      <c r="K52" s="545"/>
      <c r="L52" s="544"/>
      <c r="M52" s="544"/>
      <c r="N52" s="544"/>
      <c r="O52" s="544"/>
      <c r="P52" s="546"/>
      <c r="Q52" s="546"/>
      <c r="R52" s="546"/>
      <c r="S52" s="546"/>
      <c r="T52" s="546"/>
      <c r="U52" s="546"/>
      <c r="V52" s="546"/>
      <c r="W52" s="546"/>
      <c r="X52" s="544"/>
      <c r="Y52" s="544"/>
      <c r="Z52" s="544"/>
      <c r="AA52" s="544"/>
      <c r="AB52" s="547">
        <f t="shared" si="2"/>
        <v>0</v>
      </c>
      <c r="AC52" s="548">
        <f t="shared" si="3"/>
        <v>0</v>
      </c>
      <c r="AD52" s="549">
        <f t="shared" si="4"/>
        <v>0</v>
      </c>
      <c r="AE52" s="550">
        <f t="shared" si="5"/>
        <v>0</v>
      </c>
      <c r="AF52" s="549"/>
      <c r="AG52" s="550"/>
      <c r="AH52" s="549"/>
      <c r="AI52" s="550"/>
      <c r="AJ52" s="551" t="str">
        <f>'F.  Other Cap Asset Entries'!D242</f>
        <v>F.2</v>
      </c>
      <c r="AK52" s="552">
        <f>'F.  Other Cap Asset Entries'!M245</f>
        <v>0</v>
      </c>
      <c r="AL52" s="548"/>
      <c r="AM52" s="551"/>
      <c r="AN52" s="552"/>
      <c r="AO52" s="553"/>
      <c r="AP52" s="552"/>
      <c r="AQ52" s="548"/>
      <c r="AR52" s="551"/>
      <c r="AS52" s="554"/>
      <c r="AT52" s="525"/>
      <c r="AU52" s="526"/>
      <c r="AV52" s="552">
        <f t="shared" si="10"/>
        <v>0</v>
      </c>
      <c r="AW52" s="552">
        <f t="shared" si="11"/>
        <v>0</v>
      </c>
      <c r="AX52" s="549"/>
      <c r="AY52" s="550"/>
      <c r="AZ52" s="552"/>
      <c r="BA52" s="554"/>
      <c r="BB52" s="1047"/>
      <c r="BC52" s="1047"/>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13"/>
      <c r="FQ52" s="13"/>
      <c r="FR52" s="13"/>
      <c r="FS52" s="13"/>
      <c r="FT52" s="13"/>
      <c r="FU52" s="13"/>
      <c r="FV52" s="13"/>
      <c r="FW52" s="13"/>
      <c r="FX52" s="13"/>
      <c r="FY52" s="13"/>
      <c r="FZ52" s="13"/>
      <c r="GA52" s="13"/>
      <c r="GB52" s="13"/>
      <c r="GC52" s="13"/>
      <c r="GD52" s="13"/>
      <c r="GE52" s="13"/>
      <c r="GF52" s="13"/>
      <c r="GG52" s="13"/>
      <c r="GH52" s="13"/>
      <c r="GI52" s="13"/>
      <c r="GJ52" s="13"/>
      <c r="GK52" s="13"/>
      <c r="GL52" s="13"/>
      <c r="GM52" s="13"/>
      <c r="GN52" s="13"/>
      <c r="GO52" s="13"/>
      <c r="GP52" s="13"/>
      <c r="GQ52" s="13"/>
      <c r="GR52" s="13"/>
      <c r="GS52" s="13"/>
      <c r="GT52" s="13"/>
      <c r="GU52" s="13"/>
      <c r="GV52" s="13"/>
      <c r="GW52" s="13"/>
      <c r="GX52" s="13"/>
      <c r="GY52" s="13"/>
      <c r="GZ52" s="13"/>
      <c r="HA52" s="13"/>
      <c r="HB52" s="13"/>
      <c r="HC52" s="13"/>
      <c r="HD52" s="13"/>
      <c r="HE52" s="13"/>
      <c r="HF52" s="13"/>
      <c r="HG52" s="13"/>
      <c r="HH52" s="13"/>
      <c r="HI52" s="13"/>
      <c r="HJ52" s="13"/>
      <c r="HK52" s="13"/>
      <c r="HL52" s="13"/>
      <c r="HM52" s="13"/>
      <c r="HN52" s="13"/>
      <c r="HO52" s="13"/>
      <c r="HP52" s="13"/>
      <c r="HQ52" s="13"/>
      <c r="HR52" s="13"/>
      <c r="HS52" s="13"/>
      <c r="HT52" s="13"/>
      <c r="HU52" s="13"/>
      <c r="HV52" s="13"/>
      <c r="HW52" s="13"/>
      <c r="HX52" s="13"/>
      <c r="HY52" s="13"/>
      <c r="HZ52" s="13"/>
      <c r="IA52" s="13"/>
      <c r="IB52" s="13"/>
      <c r="IC52" s="13"/>
      <c r="ID52" s="13"/>
      <c r="IE52" s="13"/>
      <c r="IF52" s="13"/>
      <c r="IG52" s="13"/>
      <c r="IH52" s="13"/>
      <c r="II52" s="13"/>
      <c r="IJ52" s="13"/>
      <c r="IK52" s="13"/>
      <c r="IL52" s="13"/>
      <c r="IM52" s="13"/>
      <c r="IN52" s="13"/>
      <c r="IO52" s="13"/>
    </row>
    <row r="53" spans="1:249" x14ac:dyDescent="0.2">
      <c r="A53" s="33"/>
      <c r="B53" s="29"/>
      <c r="C53" s="13" t="s">
        <v>72</v>
      </c>
      <c r="D53" s="533"/>
      <c r="E53" s="534"/>
      <c r="F53" s="530"/>
      <c r="G53" s="530"/>
      <c r="H53" s="530"/>
      <c r="I53" s="530"/>
      <c r="J53" s="530"/>
      <c r="K53" s="535"/>
      <c r="L53" s="530"/>
      <c r="M53" s="530"/>
      <c r="N53" s="530"/>
      <c r="O53" s="530"/>
      <c r="P53" s="529"/>
      <c r="Q53" s="529"/>
      <c r="R53" s="529"/>
      <c r="S53" s="529"/>
      <c r="T53" s="529"/>
      <c r="U53" s="529"/>
      <c r="V53" s="529"/>
      <c r="W53" s="529"/>
      <c r="X53" s="530"/>
      <c r="Y53" s="530"/>
      <c r="Z53" s="530"/>
      <c r="AA53" s="530"/>
      <c r="AB53" s="531">
        <f t="shared" si="2"/>
        <v>0</v>
      </c>
      <c r="AC53" s="505">
        <f t="shared" si="3"/>
        <v>0</v>
      </c>
      <c r="AD53" s="508">
        <f t="shared" si="4"/>
        <v>0</v>
      </c>
      <c r="AE53" s="521">
        <f t="shared" si="5"/>
        <v>0</v>
      </c>
      <c r="AF53" s="536"/>
      <c r="AG53" s="537"/>
      <c r="AH53" s="536"/>
      <c r="AI53" s="537"/>
      <c r="AJ53" s="538" t="str">
        <f>'F.  Other Cap Asset Entries'!D220</f>
        <v>F.1</v>
      </c>
      <c r="AK53" s="434">
        <f>'F.  Other Cap Asset Entries'!M222</f>
        <v>0</v>
      </c>
      <c r="AL53" s="539"/>
      <c r="AM53" s="538" t="str">
        <f>'D. Depreciation'!A54</f>
        <v>D.1</v>
      </c>
      <c r="AN53" s="434">
        <f>'D. Depreciation'!L66</f>
        <v>0</v>
      </c>
      <c r="AO53" s="541"/>
      <c r="AP53" s="434"/>
      <c r="AQ53" s="563"/>
      <c r="AR53" s="532" t="s">
        <v>646</v>
      </c>
      <c r="AS53" s="434">
        <f>'K.1  Int. Service Fd Allocation'!G181+'K.2  Int. Service Fd Alloca'!G176+'K.3 Int. Service Fd Alloca'!G179</f>
        <v>0</v>
      </c>
      <c r="AT53" s="557"/>
      <c r="AU53" s="526"/>
      <c r="AV53" s="467">
        <f t="shared" si="10"/>
        <v>0</v>
      </c>
      <c r="AW53" s="467">
        <f t="shared" si="11"/>
        <v>0</v>
      </c>
      <c r="AX53" s="536"/>
      <c r="AY53" s="537"/>
      <c r="AZ53" s="506" t="str">
        <f>IF(AV53-AW53&lt;=0," ",AV53-AW53)</f>
        <v xml:space="preserve"> </v>
      </c>
      <c r="BA53" s="524">
        <f>IF(AV53-AW53&gt;0," ",AW53-AV53)</f>
        <v>0</v>
      </c>
      <c r="BB53" s="1047"/>
      <c r="BC53" s="1047"/>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3"/>
      <c r="GE53" s="13"/>
      <c r="GF53" s="13"/>
      <c r="GG53" s="13"/>
      <c r="GH53" s="13"/>
      <c r="GI53" s="13"/>
      <c r="GJ53" s="13"/>
      <c r="GK53" s="13"/>
      <c r="GL53" s="13"/>
      <c r="GM53" s="13"/>
      <c r="GN53" s="13"/>
      <c r="GO53" s="13"/>
      <c r="GP53" s="13"/>
      <c r="GQ53" s="13"/>
      <c r="GR53" s="13"/>
      <c r="GS53" s="13"/>
      <c r="GT53" s="13"/>
      <c r="GU53" s="13"/>
      <c r="GV53" s="13"/>
      <c r="GW53" s="13"/>
      <c r="GX53" s="13"/>
      <c r="GY53" s="13"/>
      <c r="GZ53" s="13"/>
      <c r="HA53" s="13"/>
      <c r="HB53" s="13"/>
      <c r="HC53" s="13"/>
      <c r="HD53" s="13"/>
      <c r="HE53" s="13"/>
      <c r="HF53" s="13"/>
      <c r="HG53" s="13"/>
      <c r="HH53" s="13"/>
      <c r="HI53" s="13"/>
      <c r="HJ53" s="13"/>
      <c r="HK53" s="13"/>
      <c r="HL53" s="13"/>
      <c r="HM53" s="13"/>
      <c r="HN53" s="13"/>
      <c r="HO53" s="13"/>
      <c r="HP53" s="13"/>
      <c r="HQ53" s="13"/>
      <c r="HR53" s="13"/>
      <c r="HS53" s="13"/>
      <c r="HT53" s="13"/>
      <c r="HU53" s="13"/>
      <c r="HV53" s="13"/>
      <c r="HW53" s="13"/>
      <c r="HX53" s="13"/>
      <c r="HY53" s="13"/>
      <c r="HZ53" s="13"/>
      <c r="IA53" s="13"/>
      <c r="IB53" s="13"/>
      <c r="IC53" s="13"/>
      <c r="ID53" s="13"/>
      <c r="IE53" s="13"/>
      <c r="IF53" s="13"/>
      <c r="IG53" s="13"/>
      <c r="IH53" s="13"/>
      <c r="II53" s="13"/>
      <c r="IJ53" s="13"/>
      <c r="IK53" s="13"/>
      <c r="IL53" s="13"/>
      <c r="IM53" s="13"/>
      <c r="IN53" s="13"/>
      <c r="IO53" s="13"/>
    </row>
    <row r="54" spans="1:249" x14ac:dyDescent="0.2">
      <c r="A54" s="33"/>
      <c r="B54" s="29"/>
      <c r="C54" s="249" t="s">
        <v>836</v>
      </c>
      <c r="D54" s="542"/>
      <c r="E54" s="543"/>
      <c r="F54" s="544"/>
      <c r="G54" s="544"/>
      <c r="H54" s="544"/>
      <c r="I54" s="544"/>
      <c r="J54" s="544"/>
      <c r="K54" s="545"/>
      <c r="L54" s="544"/>
      <c r="M54" s="544"/>
      <c r="N54" s="544"/>
      <c r="O54" s="544"/>
      <c r="P54" s="546"/>
      <c r="Q54" s="546"/>
      <c r="R54" s="546"/>
      <c r="S54" s="546"/>
      <c r="T54" s="546"/>
      <c r="U54" s="546"/>
      <c r="V54" s="546"/>
      <c r="W54" s="546"/>
      <c r="X54" s="544"/>
      <c r="Y54" s="544"/>
      <c r="Z54" s="544"/>
      <c r="AA54" s="544"/>
      <c r="AB54" s="547">
        <f t="shared" si="2"/>
        <v>0</v>
      </c>
      <c r="AC54" s="548">
        <f t="shared" si="3"/>
        <v>0</v>
      </c>
      <c r="AD54" s="549">
        <f t="shared" si="4"/>
        <v>0</v>
      </c>
      <c r="AE54" s="550">
        <f t="shared" si="5"/>
        <v>0</v>
      </c>
      <c r="AF54" s="549"/>
      <c r="AG54" s="550"/>
      <c r="AH54" s="549"/>
      <c r="AI54" s="550"/>
      <c r="AJ54" s="551" t="str">
        <f>'E. Capital Outlay'!D52</f>
        <v>E.1</v>
      </c>
      <c r="AK54" s="552">
        <f>'E. Capital Outlay'!L57</f>
        <v>0</v>
      </c>
      <c r="AL54" s="548"/>
      <c r="AM54" s="551" t="str">
        <f>'F.  Other Cap Asset Entries'!D220</f>
        <v>F.1</v>
      </c>
      <c r="AN54" s="552">
        <f>'F.  Other Cap Asset Entries'!O235</f>
        <v>0</v>
      </c>
      <c r="AO54" s="553" t="s">
        <v>646</v>
      </c>
      <c r="AP54" s="552">
        <f>'K.1  Int. Service Fd Allocation'!E171+'K.2  Int. Service Fd Alloca'!E166+'K.3 Int. Service Fd Alloca'!E168</f>
        <v>0</v>
      </c>
      <c r="AQ54" s="548"/>
      <c r="AR54" s="551"/>
      <c r="AS54" s="554"/>
      <c r="AT54" s="525"/>
      <c r="AU54" s="526"/>
      <c r="AV54" s="552">
        <f t="shared" si="10"/>
        <v>0</v>
      </c>
      <c r="AW54" s="552">
        <f t="shared" si="11"/>
        <v>0</v>
      </c>
      <c r="AX54" s="549"/>
      <c r="AY54" s="550"/>
      <c r="AZ54" s="552" t="str">
        <f>IF((AV54+AV55+AV56)-(AW54+AW55+AW56)&lt;=0," ",(AV54+AV55+AV56)-(AW54+AW55+AW56))</f>
        <v xml:space="preserve"> </v>
      </c>
      <c r="BA54" s="554">
        <f>IF((AV54+AV55+AV56)-(AW54+AW55+AW56)&gt;0," ",(AW54+AW55+AW56)-(AV54+AV55+AV56))</f>
        <v>0</v>
      </c>
      <c r="BB54" s="1047"/>
      <c r="BC54" s="1047"/>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c r="CL54" s="13"/>
      <c r="CM54" s="13"/>
      <c r="CN54" s="13"/>
      <c r="CO54" s="13"/>
      <c r="CP54" s="13"/>
      <c r="CQ54" s="13"/>
      <c r="CR54" s="13"/>
      <c r="CS54" s="13"/>
      <c r="CT54" s="13"/>
      <c r="CU54" s="13"/>
      <c r="CV54" s="13"/>
      <c r="CW54" s="13"/>
      <c r="CX54" s="13"/>
      <c r="CY54" s="13"/>
      <c r="CZ54" s="13"/>
      <c r="DA54" s="13"/>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3"/>
      <c r="EQ54" s="13"/>
      <c r="ER54" s="13"/>
      <c r="ES54" s="13"/>
      <c r="ET54" s="13"/>
      <c r="EU54" s="13"/>
      <c r="EV54" s="13"/>
      <c r="EW54" s="13"/>
      <c r="EX54" s="13"/>
      <c r="EY54" s="13"/>
      <c r="EZ54" s="13"/>
      <c r="FA54" s="13"/>
      <c r="FB54" s="13"/>
      <c r="FC54" s="13"/>
      <c r="FD54" s="13"/>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3"/>
      <c r="GE54" s="13"/>
      <c r="GF54" s="13"/>
      <c r="GG54" s="13"/>
      <c r="GH54" s="13"/>
      <c r="GI54" s="13"/>
      <c r="GJ54" s="13"/>
      <c r="GK54" s="13"/>
      <c r="GL54" s="13"/>
      <c r="GM54" s="13"/>
      <c r="GN54" s="13"/>
      <c r="GO54" s="13"/>
      <c r="GP54" s="13"/>
      <c r="GQ54" s="13"/>
      <c r="GR54" s="13"/>
      <c r="GS54" s="13"/>
      <c r="GT54" s="13"/>
      <c r="GU54" s="13"/>
      <c r="GV54" s="13"/>
      <c r="GW54" s="13"/>
      <c r="GX54" s="13"/>
      <c r="GY54" s="13"/>
      <c r="GZ54" s="13"/>
      <c r="HA54" s="13"/>
      <c r="HB54" s="13"/>
      <c r="HC54" s="13"/>
      <c r="HD54" s="13"/>
      <c r="HE54" s="13"/>
      <c r="HF54" s="13"/>
      <c r="HG54" s="13"/>
      <c r="HH54" s="13"/>
      <c r="HI54" s="13"/>
      <c r="HJ54" s="13"/>
      <c r="HK54" s="13"/>
      <c r="HL54" s="13"/>
      <c r="HM54" s="13"/>
      <c r="HN54" s="13"/>
      <c r="HO54" s="13"/>
      <c r="HP54" s="13"/>
      <c r="HQ54" s="13"/>
      <c r="HR54" s="13"/>
      <c r="HS54" s="13"/>
      <c r="HT54" s="13"/>
      <c r="HU54" s="13"/>
      <c r="HV54" s="13"/>
      <c r="HW54" s="13"/>
      <c r="HX54" s="13"/>
      <c r="HY54" s="13"/>
      <c r="HZ54" s="13"/>
      <c r="IA54" s="13"/>
      <c r="IB54" s="13"/>
      <c r="IC54" s="13"/>
      <c r="ID54" s="13"/>
      <c r="IE54" s="13"/>
      <c r="IF54" s="13"/>
      <c r="IG54" s="13"/>
      <c r="IH54" s="13"/>
      <c r="II54" s="13"/>
      <c r="IJ54" s="13"/>
      <c r="IK54" s="13"/>
      <c r="IL54" s="13"/>
      <c r="IM54" s="13"/>
      <c r="IN54" s="13"/>
      <c r="IO54" s="13"/>
    </row>
    <row r="55" spans="1:249" x14ac:dyDescent="0.2">
      <c r="A55" s="33"/>
      <c r="B55" s="29"/>
      <c r="C55" s="249"/>
      <c r="D55" s="542"/>
      <c r="E55" s="543"/>
      <c r="F55" s="544"/>
      <c r="G55" s="544"/>
      <c r="H55" s="544"/>
      <c r="I55" s="544"/>
      <c r="J55" s="544"/>
      <c r="K55" s="545"/>
      <c r="L55" s="544"/>
      <c r="M55" s="544"/>
      <c r="N55" s="544"/>
      <c r="O55" s="544"/>
      <c r="P55" s="546"/>
      <c r="Q55" s="546"/>
      <c r="R55" s="546"/>
      <c r="S55" s="546"/>
      <c r="T55" s="546"/>
      <c r="U55" s="546"/>
      <c r="V55" s="546"/>
      <c r="W55" s="546"/>
      <c r="X55" s="544"/>
      <c r="Y55" s="544"/>
      <c r="Z55" s="544"/>
      <c r="AA55" s="544"/>
      <c r="AB55" s="547">
        <f t="shared" si="2"/>
        <v>0</v>
      </c>
      <c r="AC55" s="548">
        <f t="shared" si="3"/>
        <v>0</v>
      </c>
      <c r="AD55" s="549">
        <f t="shared" si="4"/>
        <v>0</v>
      </c>
      <c r="AE55" s="550">
        <f t="shared" si="5"/>
        <v>0</v>
      </c>
      <c r="AF55" s="549"/>
      <c r="AG55" s="550"/>
      <c r="AH55" s="549"/>
      <c r="AI55" s="550"/>
      <c r="AJ55" s="551" t="str">
        <f>'F.  Other Cap Asset Entries'!D220</f>
        <v>F.1</v>
      </c>
      <c r="AK55" s="552">
        <f>'F.  Other Cap Asset Entries'!M235</f>
        <v>0</v>
      </c>
      <c r="AL55" s="548"/>
      <c r="AM55" s="551" t="s">
        <v>633</v>
      </c>
      <c r="AN55" s="552">
        <f>'F.  Other Cap Asset Entries'!O269</f>
        <v>0</v>
      </c>
      <c r="AO55" s="553"/>
      <c r="AP55" s="552"/>
      <c r="AQ55" s="548"/>
      <c r="AR55" s="551"/>
      <c r="AS55" s="554"/>
      <c r="AT55" s="525"/>
      <c r="AU55" s="526"/>
      <c r="AV55" s="552">
        <f t="shared" si="10"/>
        <v>0</v>
      </c>
      <c r="AW55" s="552">
        <f t="shared" si="11"/>
        <v>0</v>
      </c>
      <c r="AX55" s="549"/>
      <c r="AY55" s="550"/>
      <c r="AZ55" s="552"/>
      <c r="BA55" s="554"/>
      <c r="BB55" s="1047"/>
      <c r="BC55" s="1047"/>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3"/>
      <c r="GG55" s="13"/>
      <c r="GH55" s="13"/>
      <c r="GI55" s="13"/>
      <c r="GJ55" s="13"/>
      <c r="GK55" s="13"/>
      <c r="GL55" s="13"/>
      <c r="GM55" s="13"/>
      <c r="GN55" s="13"/>
      <c r="GO55" s="13"/>
      <c r="GP55" s="13"/>
      <c r="GQ55" s="13"/>
      <c r="GR55" s="13"/>
      <c r="GS55" s="13"/>
      <c r="GT55" s="13"/>
      <c r="GU55" s="13"/>
      <c r="GV55" s="13"/>
      <c r="GW55" s="13"/>
      <c r="GX55" s="13"/>
      <c r="GY55" s="13"/>
      <c r="GZ55" s="13"/>
      <c r="HA55" s="13"/>
      <c r="HB55" s="13"/>
      <c r="HC55" s="13"/>
      <c r="HD55" s="13"/>
      <c r="HE55" s="13"/>
      <c r="HF55" s="13"/>
      <c r="HG55" s="13"/>
      <c r="HH55" s="13"/>
      <c r="HI55" s="13"/>
      <c r="HJ55" s="13"/>
      <c r="HK55" s="13"/>
      <c r="HL55" s="13"/>
      <c r="HM55" s="13"/>
      <c r="HN55" s="13"/>
      <c r="HO55" s="13"/>
      <c r="HP55" s="13"/>
      <c r="HQ55" s="13"/>
      <c r="HR55" s="13"/>
      <c r="HS55" s="13"/>
      <c r="HT55" s="13"/>
      <c r="HU55" s="13"/>
      <c r="HV55" s="13"/>
      <c r="HW55" s="13"/>
      <c r="HX55" s="13"/>
      <c r="HY55" s="13"/>
      <c r="HZ55" s="13"/>
      <c r="IA55" s="13"/>
      <c r="IB55" s="13"/>
      <c r="IC55" s="13"/>
      <c r="ID55" s="13"/>
      <c r="IE55" s="13"/>
      <c r="IF55" s="13"/>
      <c r="IG55" s="13"/>
      <c r="IH55" s="13"/>
      <c r="II55" s="13"/>
      <c r="IJ55" s="13"/>
      <c r="IK55" s="13"/>
      <c r="IL55" s="13"/>
      <c r="IM55" s="13"/>
      <c r="IN55" s="13"/>
      <c r="IO55" s="13"/>
    </row>
    <row r="56" spans="1:249" x14ac:dyDescent="0.2">
      <c r="A56" s="33"/>
      <c r="B56" s="29"/>
      <c r="C56" s="249"/>
      <c r="D56" s="542"/>
      <c r="E56" s="543"/>
      <c r="F56" s="544"/>
      <c r="G56" s="544"/>
      <c r="H56" s="544"/>
      <c r="I56" s="544"/>
      <c r="J56" s="544"/>
      <c r="K56" s="545"/>
      <c r="L56" s="544"/>
      <c r="M56" s="544"/>
      <c r="N56" s="544"/>
      <c r="O56" s="544"/>
      <c r="P56" s="546"/>
      <c r="Q56" s="546"/>
      <c r="R56" s="546"/>
      <c r="S56" s="546"/>
      <c r="T56" s="546"/>
      <c r="U56" s="546"/>
      <c r="V56" s="546"/>
      <c r="W56" s="546"/>
      <c r="X56" s="544"/>
      <c r="Y56" s="544"/>
      <c r="Z56" s="544"/>
      <c r="AA56" s="544"/>
      <c r="AB56" s="547">
        <f t="shared" si="2"/>
        <v>0</v>
      </c>
      <c r="AC56" s="548">
        <f t="shared" si="3"/>
        <v>0</v>
      </c>
      <c r="AD56" s="549">
        <f t="shared" si="4"/>
        <v>0</v>
      </c>
      <c r="AE56" s="550">
        <f t="shared" si="5"/>
        <v>0</v>
      </c>
      <c r="AF56" s="549"/>
      <c r="AG56" s="550"/>
      <c r="AH56" s="549"/>
      <c r="AI56" s="550"/>
      <c r="AJ56" s="551" t="str">
        <f>'F.  Other Cap Asset Entries'!D242</f>
        <v>F.2</v>
      </c>
      <c r="AK56" s="552">
        <f>'F.  Other Cap Asset Entries'!M246</f>
        <v>0</v>
      </c>
      <c r="AL56" s="548"/>
      <c r="AM56" s="551"/>
      <c r="AN56" s="552"/>
      <c r="AO56" s="553"/>
      <c r="AP56" s="552"/>
      <c r="AQ56" s="548"/>
      <c r="AR56" s="551"/>
      <c r="AS56" s="554"/>
      <c r="AT56" s="525"/>
      <c r="AU56" s="526"/>
      <c r="AV56" s="552">
        <f t="shared" si="10"/>
        <v>0</v>
      </c>
      <c r="AW56" s="552">
        <f t="shared" si="11"/>
        <v>0</v>
      </c>
      <c r="AX56" s="549"/>
      <c r="AY56" s="550"/>
      <c r="AZ56" s="552"/>
      <c r="BA56" s="554"/>
      <c r="BB56" s="1047"/>
      <c r="BC56" s="1047"/>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3"/>
      <c r="GE56" s="13"/>
      <c r="GF56" s="13"/>
      <c r="GG56" s="13"/>
      <c r="GH56" s="13"/>
      <c r="GI56" s="13"/>
      <c r="GJ56" s="13"/>
      <c r="GK56" s="13"/>
      <c r="GL56" s="13"/>
      <c r="GM56" s="13"/>
      <c r="GN56" s="13"/>
      <c r="GO56" s="13"/>
      <c r="GP56" s="13"/>
      <c r="GQ56" s="13"/>
      <c r="GR56" s="13"/>
      <c r="GS56" s="13"/>
      <c r="GT56" s="13"/>
      <c r="GU56" s="13"/>
      <c r="GV56" s="13"/>
      <c r="GW56" s="13"/>
      <c r="GX56" s="13"/>
      <c r="GY56" s="13"/>
      <c r="GZ56" s="13"/>
      <c r="HA56" s="13"/>
      <c r="HB56" s="13"/>
      <c r="HC56" s="13"/>
      <c r="HD56" s="13"/>
      <c r="HE56" s="13"/>
      <c r="HF56" s="13"/>
      <c r="HG56" s="13"/>
      <c r="HH56" s="13"/>
      <c r="HI56" s="13"/>
      <c r="HJ56" s="13"/>
      <c r="HK56" s="13"/>
      <c r="HL56" s="13"/>
      <c r="HM56" s="13"/>
      <c r="HN56" s="13"/>
      <c r="HO56" s="13"/>
      <c r="HP56" s="13"/>
      <c r="HQ56" s="13"/>
      <c r="HR56" s="13"/>
      <c r="HS56" s="13"/>
      <c r="HT56" s="13"/>
      <c r="HU56" s="13"/>
      <c r="HV56" s="13"/>
      <c r="HW56" s="13"/>
      <c r="HX56" s="13"/>
      <c r="HY56" s="13"/>
      <c r="HZ56" s="13"/>
      <c r="IA56" s="13"/>
      <c r="IB56" s="13"/>
      <c r="IC56" s="13"/>
      <c r="ID56" s="13"/>
      <c r="IE56" s="13"/>
      <c r="IF56" s="13"/>
      <c r="IG56" s="13"/>
      <c r="IH56" s="13"/>
      <c r="II56" s="13"/>
      <c r="IJ56" s="13"/>
      <c r="IK56" s="13"/>
      <c r="IL56" s="13"/>
      <c r="IM56" s="13"/>
      <c r="IN56" s="13"/>
      <c r="IO56" s="13"/>
    </row>
    <row r="57" spans="1:249" x14ac:dyDescent="0.2">
      <c r="A57" s="33"/>
      <c r="B57" s="29"/>
      <c r="C57" s="13" t="s">
        <v>865</v>
      </c>
      <c r="D57" s="533"/>
      <c r="E57" s="534"/>
      <c r="F57" s="530"/>
      <c r="G57" s="530"/>
      <c r="H57" s="530"/>
      <c r="I57" s="530"/>
      <c r="J57" s="530"/>
      <c r="K57" s="535"/>
      <c r="L57" s="530"/>
      <c r="M57" s="530"/>
      <c r="N57" s="530"/>
      <c r="O57" s="530"/>
      <c r="P57" s="529"/>
      <c r="Q57" s="529"/>
      <c r="R57" s="529"/>
      <c r="S57" s="529"/>
      <c r="T57" s="529"/>
      <c r="U57" s="529"/>
      <c r="V57" s="529"/>
      <c r="W57" s="529"/>
      <c r="X57" s="530"/>
      <c r="Y57" s="530"/>
      <c r="Z57" s="530"/>
      <c r="AA57" s="530"/>
      <c r="AB57" s="531">
        <f t="shared" si="2"/>
        <v>0</v>
      </c>
      <c r="AC57" s="505">
        <f t="shared" si="3"/>
        <v>0</v>
      </c>
      <c r="AD57" s="508">
        <f t="shared" si="4"/>
        <v>0</v>
      </c>
      <c r="AE57" s="521">
        <f t="shared" si="5"/>
        <v>0</v>
      </c>
      <c r="AF57" s="536"/>
      <c r="AG57" s="537"/>
      <c r="AH57" s="536"/>
      <c r="AI57" s="537"/>
      <c r="AJ57" s="538" t="str">
        <f>'F.  Other Cap Asset Entries'!D220</f>
        <v>F.1</v>
      </c>
      <c r="AK57" s="434">
        <f>'F.  Other Cap Asset Entries'!M223</f>
        <v>0</v>
      </c>
      <c r="AL57" s="539"/>
      <c r="AM57" s="538" t="str">
        <f>'D. Depreciation'!A54</f>
        <v>D.1</v>
      </c>
      <c r="AN57" s="434">
        <f>'D. Depreciation'!L67</f>
        <v>0</v>
      </c>
      <c r="AO57" s="541"/>
      <c r="AP57" s="434"/>
      <c r="AQ57" s="539"/>
      <c r="AR57" s="532" t="s">
        <v>646</v>
      </c>
      <c r="AS57" s="434">
        <f>'K.1  Int. Service Fd Allocation'!G182+'K.2  Int. Service Fd Alloca'!G177+'K.3 Int. Service Fd Alloca'!G180</f>
        <v>0</v>
      </c>
      <c r="AT57" s="557"/>
      <c r="AU57" s="526"/>
      <c r="AV57" s="467">
        <f t="shared" si="10"/>
        <v>0</v>
      </c>
      <c r="AW57" s="467">
        <f t="shared" si="11"/>
        <v>0</v>
      </c>
      <c r="AX57" s="536"/>
      <c r="AY57" s="537"/>
      <c r="AZ57" s="506" t="str">
        <f>IF(AV57-AW57&lt;=0," ",AV57-AW57)</f>
        <v xml:space="preserve"> </v>
      </c>
      <c r="BA57" s="524">
        <f>IF(AV57-AW57&gt;0," ",AW57-AV57)</f>
        <v>0</v>
      </c>
      <c r="BB57" s="1047"/>
      <c r="BC57" s="1047"/>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3"/>
      <c r="GG57" s="13"/>
      <c r="GH57" s="13"/>
      <c r="GI57" s="13"/>
      <c r="GJ57" s="13"/>
      <c r="GK57" s="13"/>
      <c r="GL57" s="13"/>
      <c r="GM57" s="13"/>
      <c r="GN57" s="13"/>
      <c r="GO57" s="13"/>
      <c r="GP57" s="13"/>
      <c r="GQ57" s="13"/>
      <c r="GR57" s="13"/>
      <c r="GS57" s="13"/>
      <c r="GT57" s="13"/>
      <c r="GU57" s="13"/>
      <c r="GV57" s="13"/>
      <c r="GW57" s="13"/>
      <c r="GX57" s="13"/>
      <c r="GY57" s="13"/>
      <c r="GZ57" s="13"/>
      <c r="HA57" s="13"/>
      <c r="HB57" s="13"/>
      <c r="HC57" s="13"/>
      <c r="HD57" s="13"/>
      <c r="HE57" s="13"/>
      <c r="HF57" s="13"/>
      <c r="HG57" s="13"/>
      <c r="HH57" s="13"/>
      <c r="HI57" s="13"/>
      <c r="HJ57" s="13"/>
      <c r="HK57" s="13"/>
      <c r="HL57" s="13"/>
      <c r="HM57" s="13"/>
      <c r="HN57" s="13"/>
      <c r="HO57" s="13"/>
      <c r="HP57" s="13"/>
      <c r="HQ57" s="13"/>
      <c r="HR57" s="13"/>
      <c r="HS57" s="13"/>
      <c r="HT57" s="13"/>
      <c r="HU57" s="13"/>
      <c r="HV57" s="13"/>
      <c r="HW57" s="13"/>
      <c r="HX57" s="13"/>
      <c r="HY57" s="13"/>
      <c r="HZ57" s="13"/>
      <c r="IA57" s="13"/>
      <c r="IB57" s="13"/>
      <c r="IC57" s="13"/>
      <c r="ID57" s="13"/>
      <c r="IE57" s="13"/>
      <c r="IF57" s="13"/>
      <c r="IG57" s="13"/>
      <c r="IH57" s="13"/>
      <c r="II57" s="13"/>
      <c r="IJ57" s="13"/>
      <c r="IK57" s="13"/>
      <c r="IL57" s="13"/>
      <c r="IM57" s="13"/>
      <c r="IN57" s="13"/>
      <c r="IO57" s="13"/>
    </row>
    <row r="58" spans="1:249" x14ac:dyDescent="0.2">
      <c r="A58" s="33"/>
      <c r="B58" s="13"/>
      <c r="C58" s="249" t="s">
        <v>825</v>
      </c>
      <c r="D58" s="542"/>
      <c r="E58" s="543"/>
      <c r="F58" s="544"/>
      <c r="G58" s="544"/>
      <c r="H58" s="544"/>
      <c r="I58" s="544"/>
      <c r="J58" s="544"/>
      <c r="K58" s="545"/>
      <c r="L58" s="544"/>
      <c r="M58" s="544"/>
      <c r="N58" s="544"/>
      <c r="O58" s="544"/>
      <c r="P58" s="546"/>
      <c r="Q58" s="546"/>
      <c r="R58" s="546"/>
      <c r="S58" s="546"/>
      <c r="T58" s="546"/>
      <c r="U58" s="546"/>
      <c r="V58" s="546"/>
      <c r="W58" s="546"/>
      <c r="X58" s="544"/>
      <c r="Y58" s="544"/>
      <c r="Z58" s="544"/>
      <c r="AA58" s="544"/>
      <c r="AB58" s="547">
        <f t="shared" si="2"/>
        <v>0</v>
      </c>
      <c r="AC58" s="548">
        <f t="shared" si="3"/>
        <v>0</v>
      </c>
      <c r="AD58" s="549">
        <f t="shared" si="4"/>
        <v>0</v>
      </c>
      <c r="AE58" s="550">
        <f t="shared" si="5"/>
        <v>0</v>
      </c>
      <c r="AF58" s="549"/>
      <c r="AG58" s="550"/>
      <c r="AH58" s="549"/>
      <c r="AI58" s="550"/>
      <c r="AJ58" s="551" t="str">
        <f>'E. Capital Outlay'!D52</f>
        <v>E.1</v>
      </c>
      <c r="AK58" s="552">
        <f>'E. Capital Outlay'!L58</f>
        <v>0</v>
      </c>
      <c r="AL58" s="548"/>
      <c r="AM58" s="551" t="str">
        <f>'F.  Other Cap Asset Entries'!D220</f>
        <v>F.1</v>
      </c>
      <c r="AN58" s="552">
        <f>'F.  Other Cap Asset Entries'!O236</f>
        <v>0</v>
      </c>
      <c r="AO58" s="553"/>
      <c r="AP58" s="552"/>
      <c r="AQ58" s="548"/>
      <c r="AR58" s="551"/>
      <c r="AS58" s="554"/>
      <c r="AT58" s="525"/>
      <c r="AU58" s="526"/>
      <c r="AV58" s="552">
        <f t="shared" si="10"/>
        <v>0</v>
      </c>
      <c r="AW58" s="552">
        <f t="shared" si="11"/>
        <v>0</v>
      </c>
      <c r="AX58" s="549"/>
      <c r="AY58" s="550"/>
      <c r="AZ58" s="552" t="str">
        <f>IF((AV58+AV59+AV60)-(AW58+AW59+AW60)&lt;=0," ",(AV58+AV59+AV60)-(AW58+AW59+AW60))</f>
        <v xml:space="preserve"> </v>
      </c>
      <c r="BA58" s="554">
        <f>IF((AV58+AV59+AV60)-(AW58+AW59+AW60)&gt;0," ",(AW58+AW59+AW60)-(AV58+AV59+AV60))</f>
        <v>0</v>
      </c>
      <c r="BB58" s="1047"/>
      <c r="BC58" s="1047"/>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3"/>
      <c r="GG58" s="13"/>
      <c r="GH58" s="13"/>
      <c r="GI58" s="13"/>
      <c r="GJ58" s="13"/>
      <c r="GK58" s="13"/>
      <c r="GL58" s="13"/>
      <c r="GM58" s="13"/>
      <c r="GN58" s="13"/>
      <c r="GO58" s="13"/>
      <c r="GP58" s="13"/>
      <c r="GQ58" s="13"/>
      <c r="GR58" s="13"/>
      <c r="GS58" s="13"/>
      <c r="GT58" s="13"/>
      <c r="GU58" s="13"/>
      <c r="GV58" s="13"/>
      <c r="GW58" s="13"/>
      <c r="GX58" s="13"/>
      <c r="GY58" s="13"/>
      <c r="GZ58" s="13"/>
      <c r="HA58" s="13"/>
      <c r="HB58" s="13"/>
      <c r="HC58" s="13"/>
      <c r="HD58" s="13"/>
      <c r="HE58" s="13"/>
      <c r="HF58" s="13"/>
      <c r="HG58" s="13"/>
      <c r="HH58" s="13"/>
      <c r="HI58" s="13"/>
      <c r="HJ58" s="13"/>
      <c r="HK58" s="13"/>
      <c r="HL58" s="13"/>
      <c r="HM58" s="13"/>
      <c r="HN58" s="13"/>
      <c r="HO58" s="13"/>
      <c r="HP58" s="13"/>
      <c r="HQ58" s="13"/>
      <c r="HR58" s="13"/>
      <c r="HS58" s="13"/>
      <c r="HT58" s="13"/>
      <c r="HU58" s="13"/>
      <c r="HV58" s="13"/>
      <c r="HW58" s="13"/>
      <c r="HX58" s="13"/>
      <c r="HY58" s="13"/>
      <c r="HZ58" s="13"/>
      <c r="IA58" s="13"/>
      <c r="IB58" s="13"/>
      <c r="IC58" s="13"/>
      <c r="ID58" s="13"/>
      <c r="IE58" s="13"/>
      <c r="IF58" s="13"/>
      <c r="IG58" s="13"/>
      <c r="IH58" s="13"/>
      <c r="II58" s="13"/>
      <c r="IJ58" s="13"/>
      <c r="IK58" s="13"/>
      <c r="IL58" s="13"/>
      <c r="IM58" s="13"/>
      <c r="IN58" s="13"/>
      <c r="IO58" s="13"/>
    </row>
    <row r="59" spans="1:249" x14ac:dyDescent="0.2">
      <c r="A59" s="33"/>
      <c r="B59" s="13"/>
      <c r="C59" s="249"/>
      <c r="D59" s="542"/>
      <c r="E59" s="543"/>
      <c r="F59" s="544"/>
      <c r="G59" s="544"/>
      <c r="H59" s="544"/>
      <c r="I59" s="544"/>
      <c r="J59" s="544"/>
      <c r="K59" s="545"/>
      <c r="L59" s="544"/>
      <c r="M59" s="544"/>
      <c r="N59" s="544"/>
      <c r="O59" s="544"/>
      <c r="P59" s="546"/>
      <c r="Q59" s="546"/>
      <c r="R59" s="546"/>
      <c r="S59" s="546"/>
      <c r="T59" s="546"/>
      <c r="U59" s="546"/>
      <c r="V59" s="546"/>
      <c r="W59" s="546"/>
      <c r="X59" s="544"/>
      <c r="Y59" s="544"/>
      <c r="Z59" s="544"/>
      <c r="AA59" s="544"/>
      <c r="AB59" s="547">
        <f t="shared" si="2"/>
        <v>0</v>
      </c>
      <c r="AC59" s="548">
        <f t="shared" si="3"/>
        <v>0</v>
      </c>
      <c r="AD59" s="549">
        <f t="shared" si="4"/>
        <v>0</v>
      </c>
      <c r="AE59" s="550">
        <f t="shared" si="5"/>
        <v>0</v>
      </c>
      <c r="AF59" s="549"/>
      <c r="AG59" s="550"/>
      <c r="AH59" s="549"/>
      <c r="AI59" s="550"/>
      <c r="AJ59" s="551" t="str">
        <f>'F.  Other Cap Asset Entries'!D220</f>
        <v>F.1</v>
      </c>
      <c r="AK59" s="552">
        <f>'F.  Other Cap Asset Entries'!M236</f>
        <v>0</v>
      </c>
      <c r="AL59" s="548"/>
      <c r="AM59" s="551" t="s">
        <v>633</v>
      </c>
      <c r="AN59" s="552">
        <f>'F.  Other Cap Asset Entries'!O270</f>
        <v>0</v>
      </c>
      <c r="AO59" s="553"/>
      <c r="AP59" s="552"/>
      <c r="AQ59" s="548"/>
      <c r="AR59" s="551"/>
      <c r="AS59" s="554"/>
      <c r="AT59" s="525"/>
      <c r="AU59" s="526"/>
      <c r="AV59" s="552">
        <f t="shared" si="10"/>
        <v>0</v>
      </c>
      <c r="AW59" s="552">
        <f t="shared" si="11"/>
        <v>0</v>
      </c>
      <c r="AX59" s="549"/>
      <c r="AY59" s="550"/>
      <c r="AZ59" s="552"/>
      <c r="BA59" s="554"/>
      <c r="BB59" s="1047"/>
      <c r="BC59" s="1047"/>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13"/>
      <c r="FQ59" s="13"/>
      <c r="FR59" s="13"/>
      <c r="FS59" s="13"/>
      <c r="FT59" s="13"/>
      <c r="FU59" s="13"/>
      <c r="FV59" s="13"/>
      <c r="FW59" s="13"/>
      <c r="FX59" s="13"/>
      <c r="FY59" s="13"/>
      <c r="FZ59" s="13"/>
      <c r="GA59" s="13"/>
      <c r="GB59" s="13"/>
      <c r="GC59" s="13"/>
      <c r="GD59" s="13"/>
      <c r="GE59" s="13"/>
      <c r="GF59" s="13"/>
      <c r="GG59" s="13"/>
      <c r="GH59" s="13"/>
      <c r="GI59" s="13"/>
      <c r="GJ59" s="13"/>
      <c r="GK59" s="13"/>
      <c r="GL59" s="13"/>
      <c r="GM59" s="13"/>
      <c r="GN59" s="13"/>
      <c r="GO59" s="13"/>
      <c r="GP59" s="13"/>
      <c r="GQ59" s="13"/>
      <c r="GR59" s="13"/>
      <c r="GS59" s="13"/>
      <c r="GT59" s="13"/>
      <c r="GU59" s="13"/>
      <c r="GV59" s="13"/>
      <c r="GW59" s="13"/>
      <c r="GX59" s="13"/>
      <c r="GY59" s="13"/>
      <c r="GZ59" s="13"/>
      <c r="HA59" s="13"/>
      <c r="HB59" s="13"/>
      <c r="HC59" s="13"/>
      <c r="HD59" s="13"/>
      <c r="HE59" s="13"/>
      <c r="HF59" s="13"/>
      <c r="HG59" s="13"/>
      <c r="HH59" s="13"/>
      <c r="HI59" s="13"/>
      <c r="HJ59" s="13"/>
      <c r="HK59" s="13"/>
      <c r="HL59" s="13"/>
      <c r="HM59" s="13"/>
      <c r="HN59" s="13"/>
      <c r="HO59" s="13"/>
      <c r="HP59" s="13"/>
      <c r="HQ59" s="13"/>
      <c r="HR59" s="13"/>
      <c r="HS59" s="13"/>
      <c r="HT59" s="13"/>
      <c r="HU59" s="13"/>
      <c r="HV59" s="13"/>
      <c r="HW59" s="13"/>
      <c r="HX59" s="13"/>
      <c r="HY59" s="13"/>
      <c r="HZ59" s="13"/>
      <c r="IA59" s="13"/>
      <c r="IB59" s="13"/>
      <c r="IC59" s="13"/>
      <c r="ID59" s="13"/>
      <c r="IE59" s="13"/>
      <c r="IF59" s="13"/>
      <c r="IG59" s="13"/>
      <c r="IH59" s="13"/>
      <c r="II59" s="13"/>
      <c r="IJ59" s="13"/>
      <c r="IK59" s="13"/>
      <c r="IL59" s="13"/>
      <c r="IM59" s="13"/>
      <c r="IN59" s="13"/>
      <c r="IO59" s="13"/>
    </row>
    <row r="60" spans="1:249" x14ac:dyDescent="0.2">
      <c r="A60" s="33"/>
      <c r="B60" s="13"/>
      <c r="C60" s="249"/>
      <c r="D60" s="542"/>
      <c r="E60" s="543"/>
      <c r="F60" s="544"/>
      <c r="G60" s="544"/>
      <c r="H60" s="544"/>
      <c r="I60" s="544"/>
      <c r="J60" s="544"/>
      <c r="K60" s="545"/>
      <c r="L60" s="544"/>
      <c r="M60" s="544"/>
      <c r="N60" s="544"/>
      <c r="O60" s="544"/>
      <c r="P60" s="546"/>
      <c r="Q60" s="546"/>
      <c r="R60" s="546"/>
      <c r="S60" s="546"/>
      <c r="T60" s="546"/>
      <c r="U60" s="546"/>
      <c r="V60" s="546"/>
      <c r="W60" s="546"/>
      <c r="X60" s="544"/>
      <c r="Y60" s="544"/>
      <c r="Z60" s="544"/>
      <c r="AA60" s="544"/>
      <c r="AB60" s="547">
        <f t="shared" si="2"/>
        <v>0</v>
      </c>
      <c r="AC60" s="548">
        <f t="shared" si="3"/>
        <v>0</v>
      </c>
      <c r="AD60" s="549">
        <f t="shared" si="4"/>
        <v>0</v>
      </c>
      <c r="AE60" s="550">
        <f t="shared" si="5"/>
        <v>0</v>
      </c>
      <c r="AF60" s="549"/>
      <c r="AG60" s="550"/>
      <c r="AH60" s="549"/>
      <c r="AI60" s="550"/>
      <c r="AJ60" s="551" t="str">
        <f>'F.  Other Cap Asset Entries'!D242</f>
        <v>F.2</v>
      </c>
      <c r="AK60" s="552">
        <f>'F.  Other Cap Asset Entries'!M247</f>
        <v>0</v>
      </c>
      <c r="AL60" s="548"/>
      <c r="AM60" s="551"/>
      <c r="AN60" s="552"/>
      <c r="AO60" s="553"/>
      <c r="AP60" s="552"/>
      <c r="AQ60" s="548"/>
      <c r="AR60" s="551"/>
      <c r="AS60" s="554"/>
      <c r="AT60" s="525"/>
      <c r="AU60" s="526"/>
      <c r="AV60" s="552">
        <f t="shared" si="10"/>
        <v>0</v>
      </c>
      <c r="AW60" s="552">
        <f t="shared" si="11"/>
        <v>0</v>
      </c>
      <c r="AX60" s="549"/>
      <c r="AY60" s="550"/>
      <c r="AZ60" s="552"/>
      <c r="BA60" s="554"/>
      <c r="BB60" s="1047"/>
      <c r="BC60" s="1047"/>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13"/>
      <c r="CQ60" s="13"/>
      <c r="CR60" s="13"/>
      <c r="CS60" s="13"/>
      <c r="CT60" s="13"/>
      <c r="CU60" s="13"/>
      <c r="CV60" s="13"/>
      <c r="CW60" s="13"/>
      <c r="CX60" s="13"/>
      <c r="CY60" s="13"/>
      <c r="CZ60" s="13"/>
      <c r="DA60" s="13"/>
      <c r="DB60" s="13"/>
      <c r="DC60" s="13"/>
      <c r="DD60" s="13"/>
      <c r="DE60" s="13"/>
      <c r="DF60" s="13"/>
      <c r="DG60" s="13"/>
      <c r="DH60" s="13"/>
      <c r="DI60" s="13"/>
      <c r="DJ60" s="13"/>
      <c r="DK60" s="13"/>
      <c r="DL60" s="13"/>
      <c r="DM60" s="13"/>
      <c r="DN60" s="13"/>
      <c r="DO60" s="13"/>
      <c r="DP60" s="13"/>
      <c r="DQ60" s="13"/>
      <c r="DR60" s="13"/>
      <c r="DS60" s="13"/>
      <c r="DT60" s="13"/>
      <c r="DU60" s="13"/>
      <c r="DV60" s="13"/>
      <c r="DW60" s="13"/>
      <c r="DX60" s="13"/>
      <c r="DY60" s="13"/>
      <c r="DZ60" s="13"/>
      <c r="EA60" s="13"/>
      <c r="EB60" s="13"/>
      <c r="EC60" s="13"/>
      <c r="ED60" s="13"/>
      <c r="EE60" s="13"/>
      <c r="EF60" s="13"/>
      <c r="EG60" s="13"/>
      <c r="EH60" s="13"/>
      <c r="EI60" s="13"/>
      <c r="EJ60" s="13"/>
      <c r="EK60" s="13"/>
      <c r="EL60" s="13"/>
      <c r="EM60" s="13"/>
      <c r="EN60" s="13"/>
      <c r="EO60" s="13"/>
      <c r="EP60" s="13"/>
      <c r="EQ60" s="13"/>
      <c r="ER60" s="13"/>
      <c r="ES60" s="13"/>
      <c r="ET60" s="13"/>
      <c r="EU60" s="13"/>
      <c r="EV60" s="13"/>
      <c r="EW60" s="13"/>
      <c r="EX60" s="13"/>
      <c r="EY60" s="13"/>
      <c r="EZ60" s="13"/>
      <c r="FA60" s="13"/>
      <c r="FB60" s="13"/>
      <c r="FC60" s="13"/>
      <c r="FD60" s="13"/>
      <c r="FE60" s="13"/>
      <c r="FF60" s="13"/>
      <c r="FG60" s="13"/>
      <c r="FH60" s="13"/>
      <c r="FI60" s="13"/>
      <c r="FJ60" s="13"/>
      <c r="FK60" s="13"/>
      <c r="FL60" s="13"/>
      <c r="FM60" s="13"/>
      <c r="FN60" s="13"/>
      <c r="FO60" s="13"/>
      <c r="FP60" s="13"/>
      <c r="FQ60" s="13"/>
      <c r="FR60" s="13"/>
      <c r="FS60" s="13"/>
      <c r="FT60" s="13"/>
      <c r="FU60" s="13"/>
      <c r="FV60" s="13"/>
      <c r="FW60" s="13"/>
      <c r="FX60" s="13"/>
      <c r="FY60" s="13"/>
      <c r="FZ60" s="13"/>
      <c r="GA60" s="13"/>
      <c r="GB60" s="13"/>
      <c r="GC60" s="13"/>
      <c r="GD60" s="13"/>
      <c r="GE60" s="13"/>
      <c r="GF60" s="13"/>
      <c r="GG60" s="13"/>
      <c r="GH60" s="13"/>
      <c r="GI60" s="13"/>
      <c r="GJ60" s="13"/>
      <c r="GK60" s="13"/>
      <c r="GL60" s="13"/>
      <c r="GM60" s="13"/>
      <c r="GN60" s="13"/>
      <c r="GO60" s="13"/>
      <c r="GP60" s="13"/>
      <c r="GQ60" s="13"/>
      <c r="GR60" s="13"/>
      <c r="GS60" s="13"/>
      <c r="GT60" s="13"/>
      <c r="GU60" s="13"/>
      <c r="GV60" s="13"/>
      <c r="GW60" s="13"/>
      <c r="GX60" s="13"/>
      <c r="GY60" s="13"/>
      <c r="GZ60" s="13"/>
      <c r="HA60" s="13"/>
      <c r="HB60" s="13"/>
      <c r="HC60" s="13"/>
      <c r="HD60" s="13"/>
      <c r="HE60" s="13"/>
      <c r="HF60" s="13"/>
      <c r="HG60" s="13"/>
      <c r="HH60" s="13"/>
      <c r="HI60" s="13"/>
      <c r="HJ60" s="13"/>
      <c r="HK60" s="13"/>
      <c r="HL60" s="13"/>
      <c r="HM60" s="13"/>
      <c r="HN60" s="13"/>
      <c r="HO60" s="13"/>
      <c r="HP60" s="13"/>
      <c r="HQ60" s="13"/>
      <c r="HR60" s="13"/>
      <c r="HS60" s="13"/>
      <c r="HT60" s="13"/>
      <c r="HU60" s="13"/>
      <c r="HV60" s="13"/>
      <c r="HW60" s="13"/>
      <c r="HX60" s="13"/>
      <c r="HY60" s="13"/>
      <c r="HZ60" s="13"/>
      <c r="IA60" s="13"/>
      <c r="IB60" s="13"/>
      <c r="IC60" s="13"/>
      <c r="ID60" s="13"/>
      <c r="IE60" s="13"/>
      <c r="IF60" s="13"/>
      <c r="IG60" s="13"/>
      <c r="IH60" s="13"/>
      <c r="II60" s="13"/>
      <c r="IJ60" s="13"/>
      <c r="IK60" s="13"/>
      <c r="IL60" s="13"/>
      <c r="IM60" s="13"/>
      <c r="IN60" s="13"/>
      <c r="IO60" s="13"/>
    </row>
    <row r="61" spans="1:249" x14ac:dyDescent="0.2">
      <c r="A61" s="25"/>
      <c r="C61" s="13" t="s">
        <v>137</v>
      </c>
      <c r="D61" s="527"/>
      <c r="E61" s="528"/>
      <c r="F61" s="518"/>
      <c r="G61" s="518"/>
      <c r="H61" s="518"/>
      <c r="I61" s="518"/>
      <c r="J61" s="518"/>
      <c r="K61" s="519"/>
      <c r="L61" s="518"/>
      <c r="M61" s="518"/>
      <c r="N61" s="518"/>
      <c r="O61" s="518"/>
      <c r="P61" s="520"/>
      <c r="Q61" s="520"/>
      <c r="R61" s="520"/>
      <c r="S61" s="520"/>
      <c r="T61" s="520"/>
      <c r="U61" s="520"/>
      <c r="V61" s="520"/>
      <c r="W61" s="520"/>
      <c r="X61" s="518"/>
      <c r="Y61" s="518"/>
      <c r="Z61" s="518"/>
      <c r="AA61" s="518"/>
      <c r="AB61" s="531">
        <f t="shared" si="2"/>
        <v>0</v>
      </c>
      <c r="AC61" s="505">
        <f t="shared" si="3"/>
        <v>0</v>
      </c>
      <c r="AD61" s="508">
        <f t="shared" si="4"/>
        <v>0</v>
      </c>
      <c r="AE61" s="521">
        <f t="shared" si="5"/>
        <v>0</v>
      </c>
      <c r="AF61" s="508"/>
      <c r="AG61" s="521"/>
      <c r="AH61" s="508"/>
      <c r="AI61" s="521"/>
      <c r="AJ61" s="522" t="str">
        <f>'F.  Other Cap Asset Entries'!D220</f>
        <v>F.1</v>
      </c>
      <c r="AK61" s="506">
        <f>'F.  Other Cap Asset Entries'!M226</f>
        <v>0</v>
      </c>
      <c r="AL61" s="505"/>
      <c r="AM61" s="522" t="str">
        <f>'D. Depreciation'!A54</f>
        <v>D.1</v>
      </c>
      <c r="AN61" s="506">
        <f>'D. Depreciation'!L68</f>
        <v>0</v>
      </c>
      <c r="AO61" s="523"/>
      <c r="AP61" s="506"/>
      <c r="AQ61" s="505"/>
      <c r="AR61" s="522"/>
      <c r="AS61" s="524"/>
      <c r="AT61" s="525"/>
      <c r="AU61" s="526"/>
      <c r="AV61" s="467">
        <f t="shared" si="10"/>
        <v>0</v>
      </c>
      <c r="AW61" s="467">
        <f t="shared" si="11"/>
        <v>0</v>
      </c>
      <c r="AX61" s="508"/>
      <c r="AY61" s="521"/>
      <c r="AZ61" s="506" t="str">
        <f>IF(AV61-AW61&lt;=0," ",AV61-AW61)</f>
        <v xml:space="preserve"> </v>
      </c>
      <c r="BA61" s="524">
        <f>IF(AV61-AW61&gt;0," ",AW61-AV61)</f>
        <v>0</v>
      </c>
    </row>
    <row r="62" spans="1:249" x14ac:dyDescent="0.2">
      <c r="A62" s="25"/>
      <c r="C62" s="642" t="s">
        <v>1058</v>
      </c>
      <c r="D62" s="542"/>
      <c r="E62" s="543"/>
      <c r="F62" s="544"/>
      <c r="G62" s="544"/>
      <c r="H62" s="544"/>
      <c r="I62" s="544"/>
      <c r="J62" s="544"/>
      <c r="K62" s="545"/>
      <c r="L62" s="544"/>
      <c r="M62" s="544"/>
      <c r="N62" s="544"/>
      <c r="O62" s="544"/>
      <c r="P62" s="546"/>
      <c r="Q62" s="546"/>
      <c r="R62" s="546"/>
      <c r="S62" s="546"/>
      <c r="T62" s="546"/>
      <c r="U62" s="546"/>
      <c r="V62" s="546"/>
      <c r="W62" s="546"/>
      <c r="X62" s="544"/>
      <c r="Y62" s="544"/>
      <c r="Z62" s="544"/>
      <c r="AA62" s="544"/>
      <c r="AB62" s="547">
        <f t="shared" si="2"/>
        <v>0</v>
      </c>
      <c r="AC62" s="548">
        <f t="shared" si="3"/>
        <v>0</v>
      </c>
      <c r="AD62" s="549">
        <f t="shared" si="4"/>
        <v>0</v>
      </c>
      <c r="AE62" s="550">
        <f t="shared" si="5"/>
        <v>0</v>
      </c>
      <c r="AF62" s="549"/>
      <c r="AG62" s="550"/>
      <c r="AH62" s="549"/>
      <c r="AI62" s="550"/>
      <c r="AJ62" s="551" t="str">
        <f>'E. Capital Outlay'!D52</f>
        <v>E.1</v>
      </c>
      <c r="AK62" s="552">
        <f>'E. Capital Outlay'!L59</f>
        <v>0</v>
      </c>
      <c r="AL62" s="548"/>
      <c r="AM62" s="551" t="str">
        <f>'F.  Other Cap Asset Entries'!D220</f>
        <v>F.1</v>
      </c>
      <c r="AN62" s="552">
        <f>'F.  Other Cap Asset Entries'!O237</f>
        <v>0</v>
      </c>
      <c r="AO62" s="553"/>
      <c r="AP62" s="552"/>
      <c r="AQ62" s="548"/>
      <c r="AR62" s="551"/>
      <c r="AS62" s="554"/>
      <c r="AT62" s="525"/>
      <c r="AU62" s="526"/>
      <c r="AV62" s="552">
        <f t="shared" si="10"/>
        <v>0</v>
      </c>
      <c r="AW62" s="552">
        <f t="shared" si="11"/>
        <v>0</v>
      </c>
      <c r="AX62" s="549"/>
      <c r="AY62" s="550"/>
      <c r="AZ62" s="552" t="str">
        <f>IF((AV62+AV63+AV64)-(AW62+AW63+AW64)&lt;=0," ",(AV62+AV63+AV64)-(AW62+AW63+AW64))</f>
        <v xml:space="preserve"> </v>
      </c>
      <c r="BA62" s="554">
        <f>IF((AV62+AV63+AV64)-(AW62+AW63+AW64)&gt;0," ",(AW62+AW63+AW64)-(AV62+AV63+AV64))</f>
        <v>0</v>
      </c>
    </row>
    <row r="63" spans="1:249" x14ac:dyDescent="0.2">
      <c r="A63" s="25"/>
      <c r="C63" s="249"/>
      <c r="D63" s="542"/>
      <c r="E63" s="543"/>
      <c r="F63" s="544"/>
      <c r="G63" s="544"/>
      <c r="H63" s="544"/>
      <c r="I63" s="544"/>
      <c r="J63" s="544"/>
      <c r="K63" s="545"/>
      <c r="L63" s="544"/>
      <c r="M63" s="544"/>
      <c r="N63" s="544"/>
      <c r="O63" s="544"/>
      <c r="P63" s="546"/>
      <c r="Q63" s="546"/>
      <c r="R63" s="546"/>
      <c r="S63" s="546"/>
      <c r="T63" s="546"/>
      <c r="U63" s="546"/>
      <c r="V63" s="546"/>
      <c r="W63" s="546"/>
      <c r="X63" s="544"/>
      <c r="Y63" s="544"/>
      <c r="Z63" s="544"/>
      <c r="AA63" s="544"/>
      <c r="AB63" s="547">
        <f t="shared" si="2"/>
        <v>0</v>
      </c>
      <c r="AC63" s="548">
        <f t="shared" si="3"/>
        <v>0</v>
      </c>
      <c r="AD63" s="549">
        <f t="shared" si="4"/>
        <v>0</v>
      </c>
      <c r="AE63" s="550">
        <f t="shared" si="5"/>
        <v>0</v>
      </c>
      <c r="AF63" s="549"/>
      <c r="AG63" s="550"/>
      <c r="AH63" s="549"/>
      <c r="AI63" s="550"/>
      <c r="AJ63" s="551" t="str">
        <f>'F.  Other Cap Asset Entries'!D220</f>
        <v>F.1</v>
      </c>
      <c r="AK63" s="552">
        <f>'F.  Other Cap Asset Entries'!M237</f>
        <v>0</v>
      </c>
      <c r="AL63" s="548"/>
      <c r="AM63" s="551" t="s">
        <v>633</v>
      </c>
      <c r="AN63" s="552">
        <f>'F.  Other Cap Asset Entries'!O271</f>
        <v>0</v>
      </c>
      <c r="AO63" s="553"/>
      <c r="AP63" s="552"/>
      <c r="AQ63" s="548"/>
      <c r="AR63" s="551"/>
      <c r="AS63" s="554"/>
      <c r="AT63" s="525"/>
      <c r="AU63" s="526"/>
      <c r="AV63" s="552">
        <f t="shared" si="10"/>
        <v>0</v>
      </c>
      <c r="AW63" s="552">
        <f t="shared" si="11"/>
        <v>0</v>
      </c>
      <c r="AX63" s="549"/>
      <c r="AY63" s="550"/>
      <c r="AZ63" s="552"/>
      <c r="BA63" s="554"/>
    </row>
    <row r="64" spans="1:249" x14ac:dyDescent="0.2">
      <c r="A64" s="25"/>
      <c r="C64" s="249"/>
      <c r="D64" s="542"/>
      <c r="E64" s="543"/>
      <c r="F64" s="544"/>
      <c r="G64" s="544"/>
      <c r="H64" s="544"/>
      <c r="I64" s="544"/>
      <c r="J64" s="544"/>
      <c r="K64" s="545"/>
      <c r="L64" s="544"/>
      <c r="M64" s="544"/>
      <c r="N64" s="544"/>
      <c r="O64" s="544"/>
      <c r="P64" s="546"/>
      <c r="Q64" s="546"/>
      <c r="R64" s="546"/>
      <c r="S64" s="546"/>
      <c r="T64" s="546"/>
      <c r="U64" s="546"/>
      <c r="V64" s="546"/>
      <c r="W64" s="546"/>
      <c r="X64" s="544"/>
      <c r="Y64" s="544"/>
      <c r="Z64" s="544"/>
      <c r="AA64" s="544"/>
      <c r="AB64" s="547">
        <f t="shared" si="2"/>
        <v>0</v>
      </c>
      <c r="AC64" s="548">
        <f t="shared" si="3"/>
        <v>0</v>
      </c>
      <c r="AD64" s="549">
        <f t="shared" si="4"/>
        <v>0</v>
      </c>
      <c r="AE64" s="550">
        <f t="shared" si="5"/>
        <v>0</v>
      </c>
      <c r="AF64" s="549"/>
      <c r="AG64" s="550"/>
      <c r="AH64" s="549"/>
      <c r="AI64" s="550"/>
      <c r="AJ64" s="551" t="str">
        <f>'F.  Other Cap Asset Entries'!D242</f>
        <v>F.2</v>
      </c>
      <c r="AK64" s="552">
        <f>'F.  Other Cap Asset Entries'!M248</f>
        <v>0</v>
      </c>
      <c r="AL64" s="548"/>
      <c r="AM64" s="551"/>
      <c r="AN64" s="552"/>
      <c r="AO64" s="553"/>
      <c r="AP64" s="552"/>
      <c r="AQ64" s="548"/>
      <c r="AR64" s="551"/>
      <c r="AS64" s="554"/>
      <c r="AT64" s="525"/>
      <c r="AU64" s="526"/>
      <c r="AV64" s="552">
        <f t="shared" si="10"/>
        <v>0</v>
      </c>
      <c r="AW64" s="552">
        <f t="shared" si="11"/>
        <v>0</v>
      </c>
      <c r="AX64" s="549"/>
      <c r="AY64" s="550"/>
      <c r="AZ64" s="552"/>
      <c r="BA64" s="554"/>
    </row>
    <row r="65" spans="1:55" x14ac:dyDescent="0.2">
      <c r="A65" s="25"/>
      <c r="C65" s="643" t="s">
        <v>1059</v>
      </c>
      <c r="D65" s="527"/>
      <c r="E65" s="528"/>
      <c r="F65" s="518"/>
      <c r="G65" s="518"/>
      <c r="H65" s="518"/>
      <c r="I65" s="518"/>
      <c r="J65" s="518"/>
      <c r="K65" s="519"/>
      <c r="L65" s="518"/>
      <c r="M65" s="518"/>
      <c r="N65" s="518"/>
      <c r="O65" s="518"/>
      <c r="P65" s="520"/>
      <c r="Q65" s="520"/>
      <c r="R65" s="520"/>
      <c r="S65" s="520"/>
      <c r="T65" s="520"/>
      <c r="U65" s="520"/>
      <c r="V65" s="520"/>
      <c r="W65" s="520"/>
      <c r="X65" s="518"/>
      <c r="Y65" s="518"/>
      <c r="Z65" s="518"/>
      <c r="AA65" s="518"/>
      <c r="AB65" s="531">
        <f t="shared" si="2"/>
        <v>0</v>
      </c>
      <c r="AC65" s="505">
        <f t="shared" si="3"/>
        <v>0</v>
      </c>
      <c r="AD65" s="508">
        <f t="shared" si="4"/>
        <v>0</v>
      </c>
      <c r="AE65" s="521">
        <f t="shared" si="5"/>
        <v>0</v>
      </c>
      <c r="AF65" s="508"/>
      <c r="AG65" s="521"/>
      <c r="AH65" s="508"/>
      <c r="AI65" s="521"/>
      <c r="AJ65" s="522" t="str">
        <f>'F.  Other Cap Asset Entries'!D220</f>
        <v>F.1</v>
      </c>
      <c r="AK65" s="506">
        <f>'F.  Other Cap Asset Entries'!M224</f>
        <v>0</v>
      </c>
      <c r="AL65" s="505"/>
      <c r="AM65" s="522" t="str">
        <f>'D. Depreciation'!A54</f>
        <v>D.1</v>
      </c>
      <c r="AN65" s="506">
        <f>'D. Depreciation'!L69</f>
        <v>0</v>
      </c>
      <c r="AO65" s="523"/>
      <c r="AP65" s="506"/>
      <c r="AQ65" s="505"/>
      <c r="AR65" s="522"/>
      <c r="AS65" s="524"/>
      <c r="AT65" s="525"/>
      <c r="AU65" s="526"/>
      <c r="AV65" s="467">
        <f t="shared" si="10"/>
        <v>0</v>
      </c>
      <c r="AW65" s="467">
        <f t="shared" si="11"/>
        <v>0</v>
      </c>
      <c r="AX65" s="508"/>
      <c r="AY65" s="521"/>
      <c r="AZ65" s="506" t="str">
        <f>IF(AV65-AW65&lt;=0," ",AV65-AW65)</f>
        <v xml:space="preserve"> </v>
      </c>
      <c r="BA65" s="524">
        <f>IF(AV65-AW65&gt;0," ",AW65-AV65)</f>
        <v>0</v>
      </c>
    </row>
    <row r="66" spans="1:55" x14ac:dyDescent="0.2">
      <c r="A66" s="25"/>
      <c r="C66" s="642" t="s">
        <v>913</v>
      </c>
      <c r="D66" s="542"/>
      <c r="E66" s="543"/>
      <c r="F66" s="544"/>
      <c r="G66" s="544"/>
      <c r="H66" s="544"/>
      <c r="I66" s="544"/>
      <c r="J66" s="544"/>
      <c r="K66" s="545"/>
      <c r="L66" s="544"/>
      <c r="M66" s="544"/>
      <c r="N66" s="544"/>
      <c r="O66" s="544"/>
      <c r="P66" s="546"/>
      <c r="Q66" s="546"/>
      <c r="R66" s="546"/>
      <c r="S66" s="546"/>
      <c r="T66" s="546"/>
      <c r="U66" s="546"/>
      <c r="V66" s="546"/>
      <c r="W66" s="546"/>
      <c r="X66" s="544"/>
      <c r="Y66" s="544"/>
      <c r="Z66" s="544"/>
      <c r="AA66" s="544"/>
      <c r="AB66" s="547">
        <f t="shared" si="2"/>
        <v>0</v>
      </c>
      <c r="AC66" s="548">
        <f t="shared" si="3"/>
        <v>0</v>
      </c>
      <c r="AD66" s="549">
        <f t="shared" si="4"/>
        <v>0</v>
      </c>
      <c r="AE66" s="550">
        <f t="shared" si="5"/>
        <v>0</v>
      </c>
      <c r="AF66" s="549"/>
      <c r="AG66" s="550"/>
      <c r="AH66" s="549"/>
      <c r="AI66" s="550"/>
      <c r="AJ66" s="551" t="str">
        <f>'E. Capital Outlay'!D52</f>
        <v>E.1</v>
      </c>
      <c r="AK66" s="552">
        <f>'E. Capital Outlay'!L60</f>
        <v>0</v>
      </c>
      <c r="AL66" s="548"/>
      <c r="AM66" s="551" t="str">
        <f>'F.  Other Cap Asset Entries'!D220</f>
        <v>F.1</v>
      </c>
      <c r="AN66" s="552">
        <f>'F.  Other Cap Asset Entries'!O238</f>
        <v>0</v>
      </c>
      <c r="AO66" s="553"/>
      <c r="AP66" s="552"/>
      <c r="AQ66" s="548"/>
      <c r="AR66" s="551"/>
      <c r="AS66" s="554"/>
      <c r="AT66" s="525"/>
      <c r="AU66" s="526"/>
      <c r="AV66" s="552">
        <f t="shared" si="10"/>
        <v>0</v>
      </c>
      <c r="AW66" s="552">
        <f t="shared" si="11"/>
        <v>0</v>
      </c>
      <c r="AX66" s="549"/>
      <c r="AY66" s="550"/>
      <c r="AZ66" s="552" t="str">
        <f>IF((AV66+AV67+AV68)-(AW66+AW67+AW68)&lt;=0," ",(AV66+AV67+AV68)-(AW66+AW67+AW68))</f>
        <v xml:space="preserve"> </v>
      </c>
      <c r="BA66" s="554">
        <f>IF((AV66+AV67+AV68)-(AW66+AW67+AW68)&gt;0," ",(AW66+AW67+AW68)-(AV66+AV67+AV68))</f>
        <v>0</v>
      </c>
    </row>
    <row r="67" spans="1:55" x14ac:dyDescent="0.2">
      <c r="A67" s="25"/>
      <c r="C67" s="249"/>
      <c r="D67" s="542"/>
      <c r="E67" s="543"/>
      <c r="F67" s="544"/>
      <c r="G67" s="544"/>
      <c r="H67" s="544"/>
      <c r="I67" s="544"/>
      <c r="J67" s="544"/>
      <c r="K67" s="545"/>
      <c r="L67" s="544"/>
      <c r="M67" s="544"/>
      <c r="N67" s="544"/>
      <c r="O67" s="544"/>
      <c r="P67" s="546"/>
      <c r="Q67" s="546"/>
      <c r="R67" s="546"/>
      <c r="S67" s="546"/>
      <c r="T67" s="546"/>
      <c r="U67" s="546"/>
      <c r="V67" s="546"/>
      <c r="W67" s="546"/>
      <c r="X67" s="544"/>
      <c r="Y67" s="544"/>
      <c r="Z67" s="544"/>
      <c r="AA67" s="544"/>
      <c r="AB67" s="547">
        <f t="shared" si="2"/>
        <v>0</v>
      </c>
      <c r="AC67" s="548">
        <f t="shared" si="3"/>
        <v>0</v>
      </c>
      <c r="AD67" s="549">
        <f t="shared" si="4"/>
        <v>0</v>
      </c>
      <c r="AE67" s="550">
        <f t="shared" si="5"/>
        <v>0</v>
      </c>
      <c r="AF67" s="549"/>
      <c r="AG67" s="550"/>
      <c r="AH67" s="549"/>
      <c r="AI67" s="550"/>
      <c r="AJ67" s="551" t="str">
        <f>'F.  Other Cap Asset Entries'!D220</f>
        <v>F.1</v>
      </c>
      <c r="AK67" s="552">
        <f>'F.  Other Cap Asset Entries'!M238</f>
        <v>0</v>
      </c>
      <c r="AL67" s="548"/>
      <c r="AM67" s="551" t="s">
        <v>633</v>
      </c>
      <c r="AN67" s="552">
        <f>'F.  Other Cap Asset Entries'!O272</f>
        <v>0</v>
      </c>
      <c r="AO67" s="553"/>
      <c r="AP67" s="552"/>
      <c r="AQ67" s="548"/>
      <c r="AR67" s="551"/>
      <c r="AS67" s="554"/>
      <c r="AT67" s="525"/>
      <c r="AU67" s="526"/>
      <c r="AV67" s="552">
        <f t="shared" si="10"/>
        <v>0</v>
      </c>
      <c r="AW67" s="552">
        <f t="shared" si="11"/>
        <v>0</v>
      </c>
      <c r="AX67" s="549"/>
      <c r="AY67" s="550"/>
      <c r="AZ67" s="552"/>
      <c r="BA67" s="554"/>
    </row>
    <row r="68" spans="1:55" x14ac:dyDescent="0.2">
      <c r="A68" s="25"/>
      <c r="C68" s="249"/>
      <c r="D68" s="542"/>
      <c r="E68" s="543"/>
      <c r="F68" s="544"/>
      <c r="G68" s="544"/>
      <c r="H68" s="544"/>
      <c r="I68" s="544"/>
      <c r="J68" s="544"/>
      <c r="K68" s="545"/>
      <c r="L68" s="544"/>
      <c r="M68" s="544"/>
      <c r="N68" s="544"/>
      <c r="O68" s="544"/>
      <c r="P68" s="546"/>
      <c r="Q68" s="546"/>
      <c r="R68" s="546"/>
      <c r="S68" s="546"/>
      <c r="T68" s="546"/>
      <c r="U68" s="546"/>
      <c r="V68" s="546"/>
      <c r="W68" s="546"/>
      <c r="X68" s="544"/>
      <c r="Y68" s="544"/>
      <c r="Z68" s="544"/>
      <c r="AA68" s="544"/>
      <c r="AB68" s="547">
        <f t="shared" si="2"/>
        <v>0</v>
      </c>
      <c r="AC68" s="548">
        <f t="shared" si="3"/>
        <v>0</v>
      </c>
      <c r="AD68" s="549">
        <f t="shared" si="4"/>
        <v>0</v>
      </c>
      <c r="AE68" s="550">
        <f t="shared" si="5"/>
        <v>0</v>
      </c>
      <c r="AF68" s="549"/>
      <c r="AG68" s="550"/>
      <c r="AH68" s="549"/>
      <c r="AI68" s="550"/>
      <c r="AJ68" s="551" t="str">
        <f>'F.  Other Cap Asset Entries'!D242</f>
        <v>F.2</v>
      </c>
      <c r="AK68" s="552">
        <f>'F.  Other Cap Asset Entries'!M249</f>
        <v>0</v>
      </c>
      <c r="AL68" s="548"/>
      <c r="AM68" s="551"/>
      <c r="AN68" s="552"/>
      <c r="AO68" s="553"/>
      <c r="AP68" s="552"/>
      <c r="AQ68" s="548"/>
      <c r="AR68" s="551"/>
      <c r="AS68" s="554"/>
      <c r="AT68" s="525"/>
      <c r="AU68" s="526"/>
      <c r="AV68" s="552">
        <f t="shared" si="10"/>
        <v>0</v>
      </c>
      <c r="AW68" s="552">
        <f t="shared" si="11"/>
        <v>0</v>
      </c>
      <c r="AX68" s="549"/>
      <c r="AY68" s="550"/>
      <c r="AZ68" s="552"/>
      <c r="BA68" s="554"/>
    </row>
    <row r="69" spans="1:55" x14ac:dyDescent="0.2">
      <c r="A69" s="25"/>
      <c r="C69" s="643" t="s">
        <v>1060</v>
      </c>
      <c r="D69" s="527"/>
      <c r="E69" s="528"/>
      <c r="F69" s="518"/>
      <c r="G69" s="518"/>
      <c r="H69" s="518"/>
      <c r="I69" s="518"/>
      <c r="J69" s="518"/>
      <c r="K69" s="519"/>
      <c r="L69" s="518"/>
      <c r="M69" s="518"/>
      <c r="N69" s="518"/>
      <c r="O69" s="518"/>
      <c r="P69" s="520"/>
      <c r="Q69" s="520"/>
      <c r="R69" s="520"/>
      <c r="S69" s="520"/>
      <c r="T69" s="520"/>
      <c r="U69" s="520"/>
      <c r="V69" s="520"/>
      <c r="W69" s="520"/>
      <c r="X69" s="518"/>
      <c r="Y69" s="518"/>
      <c r="Z69" s="518"/>
      <c r="AA69" s="518"/>
      <c r="AB69" s="531">
        <f t="shared" si="2"/>
        <v>0</v>
      </c>
      <c r="AC69" s="505">
        <f t="shared" si="3"/>
        <v>0</v>
      </c>
      <c r="AD69" s="508">
        <f t="shared" si="4"/>
        <v>0</v>
      </c>
      <c r="AE69" s="521">
        <f t="shared" si="5"/>
        <v>0</v>
      </c>
      <c r="AF69" s="518"/>
      <c r="AG69" s="518"/>
      <c r="AH69" s="508"/>
      <c r="AI69" s="521"/>
      <c r="AJ69" s="522" t="str">
        <f>'F.  Other Cap Asset Entries'!D220</f>
        <v>F.1</v>
      </c>
      <c r="AK69" s="506">
        <f>'F.  Other Cap Asset Entries'!M225</f>
        <v>0</v>
      </c>
      <c r="AL69" s="505"/>
      <c r="AM69" s="522" t="str">
        <f>'D. Depreciation'!A54</f>
        <v>D.1</v>
      </c>
      <c r="AN69" s="506">
        <f>'D. Depreciation'!L70</f>
        <v>0</v>
      </c>
      <c r="AO69" s="523"/>
      <c r="AP69" s="506"/>
      <c r="AQ69" s="505"/>
      <c r="AR69" s="522"/>
      <c r="AS69" s="524"/>
      <c r="AT69" s="525"/>
      <c r="AU69" s="526"/>
      <c r="AV69" s="467">
        <f t="shared" si="10"/>
        <v>0</v>
      </c>
      <c r="AW69" s="467">
        <f t="shared" si="11"/>
        <v>0</v>
      </c>
      <c r="AX69" s="508"/>
      <c r="AY69" s="521"/>
      <c r="AZ69" s="506" t="str">
        <f>IF(AV69-AW69&lt;=0," ",AV69-AW69)</f>
        <v xml:space="preserve"> </v>
      </c>
      <c r="BA69" s="524">
        <f>IF(AV69-AW69&gt;0," ",AW69-AV69)</f>
        <v>0</v>
      </c>
    </row>
    <row r="70" spans="1:55" x14ac:dyDescent="0.2">
      <c r="A70" s="25"/>
      <c r="C70" s="13" t="s">
        <v>743</v>
      </c>
      <c r="D70" s="527"/>
      <c r="E70" s="528"/>
      <c r="F70" s="518"/>
      <c r="G70" s="518"/>
      <c r="H70" s="518"/>
      <c r="I70" s="518"/>
      <c r="J70" s="518"/>
      <c r="K70" s="519"/>
      <c r="L70" s="518"/>
      <c r="M70" s="518"/>
      <c r="N70" s="518"/>
      <c r="O70" s="518"/>
      <c r="P70" s="520"/>
      <c r="Q70" s="520"/>
      <c r="R70" s="520"/>
      <c r="S70" s="520"/>
      <c r="T70" s="520"/>
      <c r="U70" s="520"/>
      <c r="V70" s="520"/>
      <c r="W70" s="520"/>
      <c r="X70" s="518"/>
      <c r="Y70" s="518"/>
      <c r="Z70" s="518"/>
      <c r="AA70" s="518"/>
      <c r="AB70" s="531">
        <f t="shared" si="2"/>
        <v>0</v>
      </c>
      <c r="AC70" s="505">
        <f t="shared" si="3"/>
        <v>0</v>
      </c>
      <c r="AD70" s="508">
        <f t="shared" si="4"/>
        <v>0</v>
      </c>
      <c r="AE70" s="521">
        <f t="shared" si="5"/>
        <v>0</v>
      </c>
      <c r="AF70" s="518"/>
      <c r="AG70" s="518"/>
      <c r="AH70" s="508"/>
      <c r="AI70" s="521"/>
      <c r="AJ70" s="560" t="str">
        <f>'I.  Other Asset Entries'!B108</f>
        <v>I.1</v>
      </c>
      <c r="AK70" s="506">
        <f>'I.  Other Asset Entries'!L108</f>
        <v>0</v>
      </c>
      <c r="AL70" s="505"/>
      <c r="AM70" s="522"/>
      <c r="AN70" s="506"/>
      <c r="AO70" s="523"/>
      <c r="AP70" s="506"/>
      <c r="AQ70" s="505"/>
      <c r="AR70" s="522"/>
      <c r="AS70" s="524"/>
      <c r="AT70" s="525"/>
      <c r="AU70" s="526"/>
      <c r="AV70" s="467">
        <f t="shared" si="10"/>
        <v>0</v>
      </c>
      <c r="AW70" s="467">
        <f t="shared" si="11"/>
        <v>0</v>
      </c>
      <c r="AX70" s="508"/>
      <c r="AY70" s="521"/>
      <c r="AZ70" s="506" t="str">
        <f>IF(AV70-AW70&lt;=0," ",AV70-AW70)</f>
        <v xml:space="preserve"> </v>
      </c>
      <c r="BA70" s="524">
        <f>IF(AV70-AW70&gt;0," ",AW70-AV70)</f>
        <v>0</v>
      </c>
    </row>
    <row r="71" spans="1:55" s="13" customFormat="1" ht="5.25" customHeight="1" x14ac:dyDescent="0.2">
      <c r="A71" s="33"/>
      <c r="D71" s="533"/>
      <c r="E71" s="534"/>
      <c r="F71" s="530"/>
      <c r="G71" s="530"/>
      <c r="H71" s="530"/>
      <c r="I71" s="530"/>
      <c r="J71" s="530"/>
      <c r="K71" s="535"/>
      <c r="L71" s="530"/>
      <c r="M71" s="530"/>
      <c r="N71" s="530"/>
      <c r="O71" s="530"/>
      <c r="P71" s="529"/>
      <c r="Q71" s="529"/>
      <c r="R71" s="529"/>
      <c r="S71" s="529"/>
      <c r="T71" s="529"/>
      <c r="U71" s="529"/>
      <c r="V71" s="529"/>
      <c r="W71" s="529"/>
      <c r="X71" s="530"/>
      <c r="Y71" s="530"/>
      <c r="Z71" s="530"/>
      <c r="AA71" s="530"/>
      <c r="AB71" s="531"/>
      <c r="AC71" s="539"/>
      <c r="AD71" s="536"/>
      <c r="AE71" s="537"/>
      <c r="AF71" s="530"/>
      <c r="AG71" s="530"/>
      <c r="AH71" s="536"/>
      <c r="AI71" s="537"/>
      <c r="AJ71" s="538"/>
      <c r="AK71" s="434"/>
      <c r="AL71" s="539"/>
      <c r="AM71" s="538"/>
      <c r="AN71" s="434"/>
      <c r="AO71" s="541"/>
      <c r="AP71" s="434"/>
      <c r="AQ71" s="539"/>
      <c r="AR71" s="538"/>
      <c r="AS71" s="540"/>
      <c r="AT71" s="525"/>
      <c r="AU71" s="526"/>
      <c r="AV71" s="434"/>
      <c r="AW71" s="434"/>
      <c r="AX71" s="536"/>
      <c r="AY71" s="537"/>
      <c r="AZ71" s="434"/>
      <c r="BA71" s="540"/>
      <c r="BB71" s="1047"/>
      <c r="BC71" s="1047"/>
    </row>
    <row r="72" spans="1:55" s="13" customFormat="1" ht="12.75" customHeight="1" x14ac:dyDescent="0.2">
      <c r="A72" s="33"/>
      <c r="B72" s="147" t="s">
        <v>1073</v>
      </c>
      <c r="D72" s="533"/>
      <c r="E72" s="534"/>
      <c r="F72" s="530"/>
      <c r="G72" s="530"/>
      <c r="H72" s="530"/>
      <c r="I72" s="530"/>
      <c r="J72" s="530"/>
      <c r="K72" s="535"/>
      <c r="L72" s="530"/>
      <c r="M72" s="530"/>
      <c r="N72" s="530"/>
      <c r="O72" s="530"/>
      <c r="P72" s="529"/>
      <c r="Q72" s="529"/>
      <c r="R72" s="529"/>
      <c r="S72" s="529"/>
      <c r="T72" s="529"/>
      <c r="U72" s="529"/>
      <c r="V72" s="529"/>
      <c r="W72" s="529"/>
      <c r="X72" s="530"/>
      <c r="Y72" s="530"/>
      <c r="Z72" s="530"/>
      <c r="AA72" s="530"/>
      <c r="AB72" s="531"/>
      <c r="AC72" s="539"/>
      <c r="AD72" s="536"/>
      <c r="AE72" s="537"/>
      <c r="AF72" s="530"/>
      <c r="AG72" s="530"/>
      <c r="AH72" s="536"/>
      <c r="AI72" s="537"/>
      <c r="AJ72" s="538"/>
      <c r="AK72" s="434"/>
      <c r="AL72" s="539"/>
      <c r="AM72" s="538"/>
      <c r="AN72" s="434"/>
      <c r="AO72" s="541"/>
      <c r="AP72" s="434"/>
      <c r="AQ72" s="539"/>
      <c r="AR72" s="538"/>
      <c r="AS72" s="540"/>
      <c r="AT72" s="525"/>
      <c r="AU72" s="526"/>
      <c r="AV72" s="434"/>
      <c r="AW72" s="434"/>
      <c r="AX72" s="536"/>
      <c r="AY72" s="537"/>
      <c r="AZ72" s="434"/>
      <c r="BA72" s="540"/>
      <c r="BB72" s="1047"/>
      <c r="BC72" s="1047"/>
    </row>
    <row r="73" spans="1:55" x14ac:dyDescent="0.2">
      <c r="A73" s="25"/>
      <c r="C73" s="13" t="s">
        <v>479</v>
      </c>
      <c r="D73" s="533"/>
      <c r="E73" s="534"/>
      <c r="F73" s="530"/>
      <c r="G73" s="530"/>
      <c r="H73" s="530"/>
      <c r="I73" s="530"/>
      <c r="J73" s="530"/>
      <c r="K73" s="535"/>
      <c r="L73" s="530"/>
      <c r="M73" s="530"/>
      <c r="N73" s="530"/>
      <c r="O73" s="530"/>
      <c r="P73" s="652"/>
      <c r="Q73" s="652"/>
      <c r="R73" s="652"/>
      <c r="S73" s="652"/>
      <c r="T73" s="652"/>
      <c r="U73" s="652"/>
      <c r="V73" s="652"/>
      <c r="W73" s="652"/>
      <c r="X73" s="530"/>
      <c r="Y73" s="530"/>
      <c r="Z73" s="530"/>
      <c r="AA73" s="530"/>
      <c r="AB73" s="531">
        <f>L73+N73+P73+R73+T73+V73+X73+Z73</f>
        <v>0</v>
      </c>
      <c r="AC73" s="539">
        <f>M73+O73+Q73+S73+U73+W73+Y73+AA73</f>
        <v>0</v>
      </c>
      <c r="AD73" s="536">
        <f>D73+F73+H73+J73+AB73</f>
        <v>0</v>
      </c>
      <c r="AE73" s="537">
        <f>E73+G73+I73+K73+AC73</f>
        <v>0</v>
      </c>
      <c r="AF73" s="530"/>
      <c r="AG73" s="530"/>
      <c r="AH73" s="536"/>
      <c r="AI73" s="537"/>
      <c r="AJ73" s="538" t="str">
        <f>'H. Debt Issues'!D77</f>
        <v>H.1</v>
      </c>
      <c r="AK73" s="653">
        <f>'H. Debt Issues'!L83</f>
        <v>0</v>
      </c>
      <c r="AL73" s="539"/>
      <c r="AM73" s="538" t="str">
        <f>'H. Debt Issues'!D77</f>
        <v>H.1</v>
      </c>
      <c r="AN73" s="653">
        <f>'H. Debt Issues'!N83</f>
        <v>0</v>
      </c>
      <c r="AO73" s="541"/>
      <c r="AP73" s="653"/>
      <c r="AQ73" s="539"/>
      <c r="AR73" s="538"/>
      <c r="AS73" s="654"/>
      <c r="AT73" s="525"/>
      <c r="AU73" s="526"/>
      <c r="AV73" s="467">
        <f>ROUND(AD73+AF73+AH73+AK73+AP73+AT73,0)</f>
        <v>0</v>
      </c>
      <c r="AW73" s="467">
        <f>ROUND(AE73+AG73+AI73+AN73+AS73+AU73,0)</f>
        <v>0</v>
      </c>
      <c r="AX73" s="536"/>
      <c r="AY73" s="537"/>
      <c r="AZ73" s="434" t="str">
        <f>IF(AV73-AW73&lt;=0," ",AV73-AW73)</f>
        <v xml:space="preserve"> </v>
      </c>
      <c r="BA73" s="540">
        <f>IF(AV73-AW73&gt;0," ",AW73-AV73)</f>
        <v>0</v>
      </c>
      <c r="BB73" s="436"/>
    </row>
    <row r="74" spans="1:55" s="673" customFormat="1" x14ac:dyDescent="0.2">
      <c r="A74" s="25"/>
      <c r="C74" s="1068" t="s">
        <v>2069</v>
      </c>
      <c r="D74" s="882"/>
      <c r="E74" s="883"/>
      <c r="F74" s="884"/>
      <c r="G74" s="884"/>
      <c r="H74" s="884"/>
      <c r="I74" s="884"/>
      <c r="J74" s="884"/>
      <c r="K74" s="885"/>
      <c r="L74" s="884"/>
      <c r="M74" s="884"/>
      <c r="N74" s="884"/>
      <c r="O74" s="884"/>
      <c r="P74" s="886"/>
      <c r="Q74" s="886"/>
      <c r="R74" s="886"/>
      <c r="S74" s="886"/>
      <c r="T74" s="886"/>
      <c r="U74" s="886"/>
      <c r="V74" s="886"/>
      <c r="W74" s="886"/>
      <c r="X74" s="884"/>
      <c r="Y74" s="884"/>
      <c r="Z74" s="884"/>
      <c r="AA74" s="884"/>
      <c r="AB74" s="887">
        <f t="shared" ref="AB74:AB95" si="13">L74+N74+P74+R74+T74+V74+X74+Z74</f>
        <v>0</v>
      </c>
      <c r="AC74" s="888">
        <f t="shared" ref="AC74:AC95" si="14">M74+O74+Q74+S74+U74+W74+Y74+AA74</f>
        <v>0</v>
      </c>
      <c r="AD74" s="878">
        <f t="shared" ref="AD74:AD95" si="15">D74+F74+H74+J74+AB74</f>
        <v>0</v>
      </c>
      <c r="AE74" s="879">
        <f t="shared" ref="AE74:AE95" si="16">E74+G74+I74+K74+AC74</f>
        <v>0</v>
      </c>
      <c r="AF74" s="884">
        <f>'N.1 GASB 68 LGERS'!C75*'N.1 GASB 68 LGERS'!C17+'N.2 GASB 68 ROD'!C63*'N.2 GASB 68 ROD'!C16+'O. GASB 73 LEO Entries'!D76</f>
        <v>0</v>
      </c>
      <c r="AG74" s="884"/>
      <c r="AH74" s="878"/>
      <c r="AI74" s="879"/>
      <c r="AJ74" s="889" t="s">
        <v>482</v>
      </c>
      <c r="AK74" s="890">
        <f>'J. Other Liability &amp; Expenses'!L215</f>
        <v>0</v>
      </c>
      <c r="AL74" s="888"/>
      <c r="AM74" s="889" t="s">
        <v>2074</v>
      </c>
      <c r="AN74" s="892">
        <f>'N.1 GASB 68 LGERS'!D114</f>
        <v>0</v>
      </c>
      <c r="AO74" s="1153" t="s">
        <v>646</v>
      </c>
      <c r="AP74" s="890">
        <f>'K.1  Int. Service Fd Allocation'!E172+'K.2  Int. Service Fd Alloca'!E167+'K.3 Int. Service Fd Alloca'!E169</f>
        <v>0</v>
      </c>
      <c r="AQ74" s="888"/>
      <c r="AR74" s="889"/>
      <c r="AS74" s="892"/>
      <c r="AT74" s="525"/>
      <c r="AU74" s="526"/>
      <c r="AV74" s="877">
        <f>ROUND(AD74+AF74+AH74+AK74+AP74+AT74,0)</f>
        <v>0</v>
      </c>
      <c r="AW74" s="877">
        <f>ROUND(AE74+AG74+AI74+AN74+AS74+AU74,0)</f>
        <v>0</v>
      </c>
      <c r="AX74" s="878"/>
      <c r="AY74" s="879"/>
      <c r="AZ74" s="877" t="str">
        <f>IF(SUM(AV74:AV76)-SUM(AW74:AW76)&lt;=0," ",SUM(AV74:AV76)-SUM(AW74:AW76))</f>
        <v xml:space="preserve"> </v>
      </c>
      <c r="BA74" s="880">
        <f>IF(SUM(AV74:AV76)-SUM(AW74:AW76)&gt;0," ",SUM(AW74:AW76)-SUM(AV74:AV76))</f>
        <v>0</v>
      </c>
      <c r="BB74" s="94"/>
      <c r="BC74" s="1045"/>
    </row>
    <row r="75" spans="1:55" s="756" customFormat="1" x14ac:dyDescent="0.2">
      <c r="A75" s="25"/>
      <c r="C75" s="881"/>
      <c r="D75" s="882"/>
      <c r="E75" s="883"/>
      <c r="F75" s="884"/>
      <c r="G75" s="884"/>
      <c r="H75" s="884"/>
      <c r="I75" s="884"/>
      <c r="J75" s="884"/>
      <c r="K75" s="885"/>
      <c r="L75" s="884"/>
      <c r="M75" s="884"/>
      <c r="N75" s="884"/>
      <c r="O75" s="884"/>
      <c r="P75" s="886"/>
      <c r="Q75" s="886"/>
      <c r="R75" s="886"/>
      <c r="S75" s="886"/>
      <c r="T75" s="886"/>
      <c r="U75" s="886"/>
      <c r="V75" s="886"/>
      <c r="W75" s="886"/>
      <c r="X75" s="884"/>
      <c r="Y75" s="884"/>
      <c r="Z75" s="884"/>
      <c r="AA75" s="884"/>
      <c r="AB75" s="887">
        <f t="shared" si="13"/>
        <v>0</v>
      </c>
      <c r="AC75" s="888">
        <f t="shared" si="14"/>
        <v>0</v>
      </c>
      <c r="AD75" s="878">
        <f t="shared" si="15"/>
        <v>0</v>
      </c>
      <c r="AE75" s="879">
        <f t="shared" si="16"/>
        <v>0</v>
      </c>
      <c r="AF75" s="884"/>
      <c r="AG75" s="884"/>
      <c r="AH75" s="878"/>
      <c r="AI75" s="879"/>
      <c r="AJ75" s="889" t="s">
        <v>482</v>
      </c>
      <c r="AK75" s="890">
        <f>'J. Other Liability &amp; Expenses'!L216</f>
        <v>0</v>
      </c>
      <c r="AL75" s="888"/>
      <c r="AM75" s="889" t="s">
        <v>2075</v>
      </c>
      <c r="AN75" s="892">
        <f>'N.2 GASB 68 ROD'!D86</f>
        <v>0</v>
      </c>
      <c r="AO75" s="881"/>
      <c r="AP75" s="881"/>
      <c r="AQ75" s="888"/>
      <c r="AR75" s="889"/>
      <c r="AS75" s="892"/>
      <c r="AT75" s="525"/>
      <c r="AU75" s="526"/>
      <c r="AV75" s="877">
        <f>ROUND(AD75+AF75+AH75+AK75+AP77+AT75,0)</f>
        <v>0</v>
      </c>
      <c r="AW75" s="877">
        <f t="shared" ref="AW75:AW94" si="17">ROUND(AE75+AG75+AI75+AN75+AS75+AU75,0)</f>
        <v>0</v>
      </c>
      <c r="AX75" s="878"/>
      <c r="AY75" s="879"/>
      <c r="AZ75" s="877"/>
      <c r="BA75" s="880"/>
      <c r="BB75" s="436"/>
      <c r="BC75" s="1045"/>
    </row>
    <row r="76" spans="1:55" s="846" customFormat="1" x14ac:dyDescent="0.2">
      <c r="A76" s="25"/>
      <c r="C76" s="881"/>
      <c r="D76" s="882"/>
      <c r="E76" s="883"/>
      <c r="F76" s="884"/>
      <c r="G76" s="884"/>
      <c r="H76" s="884"/>
      <c r="I76" s="884"/>
      <c r="J76" s="884"/>
      <c r="K76" s="885"/>
      <c r="L76" s="884"/>
      <c r="M76" s="884"/>
      <c r="N76" s="884"/>
      <c r="O76" s="884"/>
      <c r="P76" s="886"/>
      <c r="Q76" s="886"/>
      <c r="R76" s="886"/>
      <c r="S76" s="886"/>
      <c r="T76" s="886"/>
      <c r="U76" s="886"/>
      <c r="V76" s="886"/>
      <c r="W76" s="886"/>
      <c r="X76" s="884"/>
      <c r="Y76" s="884"/>
      <c r="Z76" s="884"/>
      <c r="AA76" s="884"/>
      <c r="AB76" s="887"/>
      <c r="AC76" s="888"/>
      <c r="AD76" s="878"/>
      <c r="AE76" s="879"/>
      <c r="AF76" s="884"/>
      <c r="AG76" s="884"/>
      <c r="AH76" s="878"/>
      <c r="AI76" s="879"/>
      <c r="AJ76" s="889" t="s">
        <v>3639</v>
      </c>
      <c r="AK76" s="890">
        <f>'O. GASB 73 LEO Entries'!C76+'O. GASB 73 LEO Entries'!C77</f>
        <v>0</v>
      </c>
      <c r="AL76" s="888"/>
      <c r="AM76" s="889" t="s">
        <v>3639</v>
      </c>
      <c r="AN76" s="890">
        <f>'O. GASB 73 LEO Entries'!D76+'O. GASB 73 LEO Entries'!D77</f>
        <v>0</v>
      </c>
      <c r="AO76" s="891"/>
      <c r="AP76" s="890"/>
      <c r="AQ76" s="888"/>
      <c r="AR76" s="889"/>
      <c r="AS76" s="892"/>
      <c r="AT76" s="525"/>
      <c r="AU76" s="526"/>
      <c r="AV76" s="877">
        <f>ROUND(AD76+AF76+AH76+AK76+AP76+AT76,0)</f>
        <v>0</v>
      </c>
      <c r="AW76" s="877">
        <f>ROUND(AE76+AG76+AI76+AN76+AS76+AU76,0)</f>
        <v>0</v>
      </c>
      <c r="AX76" s="878"/>
      <c r="AY76" s="879"/>
      <c r="AZ76" s="877"/>
      <c r="BA76" s="880"/>
      <c r="BB76" s="1047"/>
      <c r="BC76" s="1045"/>
    </row>
    <row r="77" spans="1:55" s="1032" customFormat="1" x14ac:dyDescent="0.2">
      <c r="A77" s="25"/>
      <c r="C77" s="1068" t="s">
        <v>3988</v>
      </c>
      <c r="D77" s="882"/>
      <c r="E77" s="883"/>
      <c r="F77" s="884"/>
      <c r="G77" s="884"/>
      <c r="H77" s="884"/>
      <c r="I77" s="884"/>
      <c r="J77" s="884"/>
      <c r="K77" s="885"/>
      <c r="L77" s="884"/>
      <c r="M77" s="884"/>
      <c r="N77" s="884"/>
      <c r="O77" s="884"/>
      <c r="P77" s="886"/>
      <c r="Q77" s="886"/>
      <c r="R77" s="886"/>
      <c r="S77" s="886"/>
      <c r="T77" s="886"/>
      <c r="U77" s="886"/>
      <c r="V77" s="886"/>
      <c r="W77" s="886"/>
      <c r="X77" s="884"/>
      <c r="Y77" s="884"/>
      <c r="Z77" s="884"/>
      <c r="AA77" s="884"/>
      <c r="AB77" s="887">
        <f t="shared" ref="AB77:AB78" si="18">L77+N77+P77+R77+T77+V77+X77+Z77</f>
        <v>0</v>
      </c>
      <c r="AC77" s="888">
        <f t="shared" ref="AC77" si="19">M77+O77+Q77+S77+U77+W77+Y77+AA77</f>
        <v>0</v>
      </c>
      <c r="AD77" s="878">
        <f t="shared" ref="AD77:AD78" si="20">D77+F77+H77+J77+AB77</f>
        <v>0</v>
      </c>
      <c r="AE77" s="879">
        <f t="shared" ref="AE77" si="21">E77+G77+I77+K77+AC77</f>
        <v>0</v>
      </c>
      <c r="AF77" s="890"/>
      <c r="AG77" s="890"/>
      <c r="AH77" s="878"/>
      <c r="AI77" s="879"/>
      <c r="AJ77" s="889" t="s">
        <v>4030</v>
      </c>
      <c r="AK77" s="890">
        <f>'P.1 GASB 75 OPEB  - 1'!C134+'P.1 GASB 75 OPEB  - 1'!C135</f>
        <v>0</v>
      </c>
      <c r="AL77" s="888"/>
      <c r="AM77" s="889"/>
      <c r="AN77" s="890"/>
      <c r="AO77" s="891" t="s">
        <v>646</v>
      </c>
      <c r="AP77" s="890">
        <f>'K.1  Int. Service Fd Allocation'!E177+'K.2  Int. Service Fd Alloca'!E172+'K.2  Int. Service Fd Alloca'!E172</f>
        <v>0</v>
      </c>
      <c r="AQ77" s="888"/>
      <c r="AR77" s="889"/>
      <c r="AS77" s="892"/>
      <c r="AT77" s="525"/>
      <c r="AU77" s="526"/>
      <c r="AV77" s="877">
        <f>ROUND(AD77+AF77+AH77+AK77+AP77+AT77,0)</f>
        <v>0</v>
      </c>
      <c r="AW77" s="877">
        <f>ROUND(AE77+AG77+AI77+AN77+AS77+AU77,0)</f>
        <v>0</v>
      </c>
      <c r="AX77" s="878"/>
      <c r="AY77" s="879"/>
      <c r="AZ77" s="877" t="str">
        <f>IF(SUM(AV77:AV79)-SUM(AW77:AW79)&lt;=0," ",SUM(AV77:AV79)-SUM(AW77:AW79))</f>
        <v xml:space="preserve"> </v>
      </c>
      <c r="BA77" s="880">
        <f>IF(SUM(AV77:AV79)-SUM(AW77:AW79)&gt;0," ",SUM(AW77:AW79)-SUM(AV77:AV79))</f>
        <v>0</v>
      </c>
      <c r="BB77" s="1047"/>
      <c r="BC77" s="1045"/>
    </row>
    <row r="78" spans="1:55" s="1103" customFormat="1" x14ac:dyDescent="0.2">
      <c r="A78" s="25"/>
      <c r="C78" s="881"/>
      <c r="D78" s="882"/>
      <c r="E78" s="883"/>
      <c r="F78" s="884"/>
      <c r="G78" s="884"/>
      <c r="H78" s="884"/>
      <c r="I78" s="884"/>
      <c r="J78" s="884"/>
      <c r="K78" s="885"/>
      <c r="L78" s="884"/>
      <c r="M78" s="884"/>
      <c r="N78" s="884"/>
      <c r="O78" s="884"/>
      <c r="P78" s="886"/>
      <c r="Q78" s="886"/>
      <c r="R78" s="886"/>
      <c r="S78" s="886"/>
      <c r="T78" s="886"/>
      <c r="U78" s="886"/>
      <c r="V78" s="886"/>
      <c r="W78" s="886"/>
      <c r="X78" s="884"/>
      <c r="Y78" s="884"/>
      <c r="Z78" s="884"/>
      <c r="AA78" s="884"/>
      <c r="AB78" s="887">
        <f t="shared" si="18"/>
        <v>0</v>
      </c>
      <c r="AC78" s="888">
        <f>M78+O78+Q78+S78+U78+W78+Y78+AA78</f>
        <v>0</v>
      </c>
      <c r="AD78" s="878">
        <f t="shared" si="20"/>
        <v>0</v>
      </c>
      <c r="AE78" s="879">
        <f>E78+G78+I78+K78+AC78</f>
        <v>0</v>
      </c>
      <c r="AF78" s="890"/>
      <c r="AG78" s="890"/>
      <c r="AH78" s="878"/>
      <c r="AI78" s="879"/>
      <c r="AJ78" s="889" t="s">
        <v>4031</v>
      </c>
      <c r="AK78" s="890">
        <f>'P.2 GASB 75 OPEB - 2'!C134+'P.2 GASB 75 OPEB - 2'!C135</f>
        <v>0</v>
      </c>
      <c r="AL78" s="888"/>
      <c r="AM78" s="889"/>
      <c r="AN78" s="890"/>
      <c r="AO78" s="891"/>
      <c r="AP78" s="890"/>
      <c r="AQ78" s="888"/>
      <c r="AR78" s="889"/>
      <c r="AS78" s="892"/>
      <c r="AT78" s="525"/>
      <c r="AU78" s="526"/>
      <c r="AV78" s="877">
        <f t="shared" ref="AV78:AV79" si="22">ROUND(AD78+AF78+AH78+AK78+AP78+AT78,0)</f>
        <v>0</v>
      </c>
      <c r="AW78" s="877">
        <f t="shared" ref="AW78:AW79" si="23">ROUND(AE78+AG78+AI78+AN78+AS78+AU78,0)</f>
        <v>0</v>
      </c>
      <c r="AX78" s="878"/>
      <c r="AY78" s="879"/>
      <c r="AZ78" s="877"/>
      <c r="BA78" s="880"/>
      <c r="BB78" s="1104"/>
    </row>
    <row r="79" spans="1:55" s="1103" customFormat="1" x14ac:dyDescent="0.2">
      <c r="A79" s="25"/>
      <c r="C79" s="881"/>
      <c r="D79" s="882"/>
      <c r="E79" s="883"/>
      <c r="F79" s="884"/>
      <c r="G79" s="884"/>
      <c r="H79" s="884"/>
      <c r="I79" s="884"/>
      <c r="J79" s="884"/>
      <c r="K79" s="885"/>
      <c r="L79" s="884"/>
      <c r="M79" s="884"/>
      <c r="N79" s="884"/>
      <c r="O79" s="884"/>
      <c r="P79" s="886"/>
      <c r="Q79" s="886"/>
      <c r="R79" s="886"/>
      <c r="S79" s="886"/>
      <c r="T79" s="886"/>
      <c r="U79" s="886"/>
      <c r="V79" s="886"/>
      <c r="W79" s="886"/>
      <c r="X79" s="884"/>
      <c r="Y79" s="884"/>
      <c r="Z79" s="884"/>
      <c r="AA79" s="884"/>
      <c r="AB79" s="887">
        <f t="shared" ref="AB79" si="24">L79+N79+P79+R79+T79+V79+X79+Z79</f>
        <v>0</v>
      </c>
      <c r="AC79" s="888">
        <f>M79+O79+Q79+S79+U79+W79+Y79+AA79</f>
        <v>0</v>
      </c>
      <c r="AD79" s="878">
        <f t="shared" ref="AD79" si="25">D79+F79+H79+J79+AB79</f>
        <v>0</v>
      </c>
      <c r="AE79" s="879">
        <f>E79+G79+I79+K79+AC79</f>
        <v>0</v>
      </c>
      <c r="AF79" s="890"/>
      <c r="AG79" s="890"/>
      <c r="AH79" s="878"/>
      <c r="AI79" s="879"/>
      <c r="AJ79" s="889" t="s">
        <v>4032</v>
      </c>
      <c r="AK79" s="890">
        <f>'P.3 GASB 75 OPEB - 3'!C134+'P.3 GASB 75 OPEB - 3'!C135</f>
        <v>0</v>
      </c>
      <c r="AL79" s="888"/>
      <c r="AM79" s="889"/>
      <c r="AN79" s="890"/>
      <c r="AO79" s="891"/>
      <c r="AP79" s="890"/>
      <c r="AQ79" s="888"/>
      <c r="AR79" s="889"/>
      <c r="AS79" s="892"/>
      <c r="AT79" s="525"/>
      <c r="AU79" s="526"/>
      <c r="AV79" s="877">
        <f t="shared" si="22"/>
        <v>0</v>
      </c>
      <c r="AW79" s="877">
        <f t="shared" si="23"/>
        <v>0</v>
      </c>
      <c r="AX79" s="878"/>
      <c r="AY79" s="879"/>
      <c r="AZ79" s="877"/>
      <c r="BA79" s="880"/>
      <c r="BB79" s="1104"/>
    </row>
    <row r="80" spans="1:55" s="673" customFormat="1" ht="38.25" x14ac:dyDescent="0.2">
      <c r="A80" s="25"/>
      <c r="C80" s="1056" t="s">
        <v>4024</v>
      </c>
      <c r="D80" s="533"/>
      <c r="E80" s="534"/>
      <c r="F80" s="530"/>
      <c r="G80" s="530"/>
      <c r="H80" s="530"/>
      <c r="I80" s="530"/>
      <c r="J80" s="530"/>
      <c r="K80" s="535"/>
      <c r="L80" s="530"/>
      <c r="M80" s="530"/>
      <c r="N80" s="530"/>
      <c r="O80" s="530"/>
      <c r="P80" s="652"/>
      <c r="Q80" s="652"/>
      <c r="R80" s="652"/>
      <c r="S80" s="652"/>
      <c r="T80" s="652"/>
      <c r="U80" s="652"/>
      <c r="V80" s="652"/>
      <c r="W80" s="652"/>
      <c r="X80" s="530"/>
      <c r="Y80" s="530"/>
      <c r="Z80" s="530"/>
      <c r="AA80" s="530"/>
      <c r="AB80" s="531">
        <f t="shared" si="13"/>
        <v>0</v>
      </c>
      <c r="AC80" s="539">
        <f t="shared" si="14"/>
        <v>0</v>
      </c>
      <c r="AD80" s="536">
        <f t="shared" si="15"/>
        <v>0</v>
      </c>
      <c r="AE80" s="537">
        <f t="shared" si="16"/>
        <v>0</v>
      </c>
      <c r="AF80" s="530">
        <f>'N.1 GASB 68 LGERS'!C75*'N.1 GASB 68 LGERS'!M39+'N.2 GASB 68 ROD'!C63*'N.2 GASB 68 ROD'!M28</f>
        <v>0</v>
      </c>
      <c r="AG80" s="530"/>
      <c r="AH80" s="536"/>
      <c r="AI80" s="537"/>
      <c r="AJ80" s="538" t="s">
        <v>2074</v>
      </c>
      <c r="AK80" s="653">
        <f>'N.1 GASB 68 LGERS'!C109</f>
        <v>0</v>
      </c>
      <c r="AL80" s="539"/>
      <c r="AM80" s="538" t="s">
        <v>2074</v>
      </c>
      <c r="AN80" s="653">
        <f>'N.1 GASB 68 LGERS'!D109</f>
        <v>0</v>
      </c>
      <c r="AO80" s="559" t="s">
        <v>646</v>
      </c>
      <c r="AP80" s="653">
        <f>'K.1  Int. Service Fd Allocation'!E173+'K.2  Int. Service Fd Alloca'!E168+'K.3 Int. Service Fd Alloca'!E170</f>
        <v>0</v>
      </c>
      <c r="AQ80" s="539"/>
      <c r="AR80" s="538"/>
      <c r="AS80" s="654"/>
      <c r="AT80" s="525"/>
      <c r="AU80" s="526"/>
      <c r="AV80" s="467">
        <f t="shared" ref="AV80:AV94" si="26">ROUND(AD80+AF80+AH80+AK80+AP80+AT80,0)</f>
        <v>0</v>
      </c>
      <c r="AW80" s="467">
        <f t="shared" si="17"/>
        <v>0</v>
      </c>
      <c r="AX80" s="536"/>
      <c r="AY80" s="537"/>
      <c r="AZ80" s="434" t="str">
        <f>IF(SUM(AV80:AV81)-SUM(AW80:AW81)&lt;=0," ",SUM(AV80:AV81)-SUM(AW80:AW81))</f>
        <v xml:space="preserve"> </v>
      </c>
      <c r="BA80" s="540">
        <f>IF(SUM(AV80:AV81)-SUM(AW80:AW81)&gt;0," ",SUM(AW80:AW81)-SUM(AV80:AV81))</f>
        <v>0</v>
      </c>
      <c r="BB80" s="1047"/>
      <c r="BC80" s="1045"/>
    </row>
    <row r="81" spans="1:55" s="756" customFormat="1" x14ac:dyDescent="0.2">
      <c r="A81" s="25"/>
      <c r="C81" s="755"/>
      <c r="D81" s="533"/>
      <c r="E81" s="534"/>
      <c r="F81" s="530"/>
      <c r="G81" s="530"/>
      <c r="H81" s="530"/>
      <c r="I81" s="530"/>
      <c r="J81" s="530"/>
      <c r="K81" s="535"/>
      <c r="L81" s="530"/>
      <c r="M81" s="530"/>
      <c r="N81" s="530"/>
      <c r="O81" s="530"/>
      <c r="P81" s="652"/>
      <c r="Q81" s="652"/>
      <c r="R81" s="652"/>
      <c r="S81" s="652"/>
      <c r="T81" s="652"/>
      <c r="U81" s="652"/>
      <c r="V81" s="652"/>
      <c r="W81" s="652"/>
      <c r="X81" s="530"/>
      <c r="Y81" s="530"/>
      <c r="Z81" s="530"/>
      <c r="AA81" s="530"/>
      <c r="AB81" s="531">
        <f t="shared" si="13"/>
        <v>0</v>
      </c>
      <c r="AC81" s="539">
        <f t="shared" si="14"/>
        <v>0</v>
      </c>
      <c r="AD81" s="536">
        <f t="shared" si="15"/>
        <v>0</v>
      </c>
      <c r="AE81" s="537">
        <f t="shared" si="16"/>
        <v>0</v>
      </c>
      <c r="AF81" s="530"/>
      <c r="AG81" s="530"/>
      <c r="AH81" s="536"/>
      <c r="AI81" s="537"/>
      <c r="AJ81" s="538" t="s">
        <v>2075</v>
      </c>
      <c r="AK81" s="653">
        <f>'N.2 GASB 68 ROD'!C81</f>
        <v>0</v>
      </c>
      <c r="AL81" s="539"/>
      <c r="AM81" s="538" t="s">
        <v>2075</v>
      </c>
      <c r="AN81" s="653">
        <f>'N.2 GASB 68 ROD'!D81</f>
        <v>0</v>
      </c>
      <c r="AO81" s="559"/>
      <c r="AP81" s="653"/>
      <c r="AQ81" s="539"/>
      <c r="AR81" s="538"/>
      <c r="AS81" s="654"/>
      <c r="AT81" s="525"/>
      <c r="AU81" s="526"/>
      <c r="AV81" s="467">
        <f t="shared" si="26"/>
        <v>0</v>
      </c>
      <c r="AW81" s="467">
        <f t="shared" si="17"/>
        <v>0</v>
      </c>
      <c r="AX81" s="536"/>
      <c r="AY81" s="537"/>
      <c r="AZ81" s="434"/>
      <c r="BA81" s="540"/>
      <c r="BB81" s="1047"/>
      <c r="BC81" s="1045"/>
    </row>
    <row r="82" spans="1:55" s="673" customFormat="1" ht="25.5" x14ac:dyDescent="0.2">
      <c r="A82" s="25"/>
      <c r="C82" s="1069" t="s">
        <v>4026</v>
      </c>
      <c r="D82" s="882"/>
      <c r="E82" s="883"/>
      <c r="F82" s="884"/>
      <c r="G82" s="884"/>
      <c r="H82" s="884"/>
      <c r="I82" s="884"/>
      <c r="J82" s="884"/>
      <c r="K82" s="885"/>
      <c r="L82" s="884"/>
      <c r="M82" s="884"/>
      <c r="N82" s="884"/>
      <c r="O82" s="884"/>
      <c r="P82" s="886"/>
      <c r="Q82" s="886"/>
      <c r="R82" s="886"/>
      <c r="S82" s="886"/>
      <c r="T82" s="886"/>
      <c r="U82" s="886"/>
      <c r="V82" s="886"/>
      <c r="W82" s="886"/>
      <c r="X82" s="884"/>
      <c r="Y82" s="884"/>
      <c r="Z82" s="884"/>
      <c r="AA82" s="884"/>
      <c r="AB82" s="887">
        <f t="shared" si="13"/>
        <v>0</v>
      </c>
      <c r="AC82" s="888">
        <f t="shared" si="14"/>
        <v>0</v>
      </c>
      <c r="AD82" s="878">
        <f t="shared" si="15"/>
        <v>0</v>
      </c>
      <c r="AE82" s="879">
        <f t="shared" si="16"/>
        <v>0</v>
      </c>
      <c r="AF82" s="884">
        <f>'N.1 GASB 68 LGERS'!C75*'N.1 GASB 68 LGERS'!J39+'N.2 GASB 68 ROD'!C63*'N.2 GASB 68 ROD'!J28+'O. GASB 73 LEO Entries'!D19</f>
        <v>0</v>
      </c>
      <c r="AG82" s="884"/>
      <c r="AH82" s="878"/>
      <c r="AI82" s="879"/>
      <c r="AJ82" s="889" t="s">
        <v>2074</v>
      </c>
      <c r="AK82" s="890">
        <f>'N.1 GASB 68 LGERS'!C106</f>
        <v>0</v>
      </c>
      <c r="AL82" s="888"/>
      <c r="AM82" s="889" t="s">
        <v>2074</v>
      </c>
      <c r="AN82" s="890">
        <f>'N.1 GASB 68 LGERS'!D106</f>
        <v>0</v>
      </c>
      <c r="AO82" s="891" t="s">
        <v>646</v>
      </c>
      <c r="AP82" s="890">
        <f>'K.1  Int. Service Fd Allocation'!E174+'K.2  Int. Service Fd Alloca'!E169+'K.3 Int. Service Fd Alloca'!E171</f>
        <v>0</v>
      </c>
      <c r="AQ82" s="888"/>
      <c r="AR82" s="889"/>
      <c r="AS82" s="892"/>
      <c r="AT82" s="525"/>
      <c r="AU82" s="526"/>
      <c r="AV82" s="877">
        <f t="shared" si="26"/>
        <v>0</v>
      </c>
      <c r="AW82" s="877">
        <f t="shared" si="17"/>
        <v>0</v>
      </c>
      <c r="AX82" s="878"/>
      <c r="AY82" s="879"/>
      <c r="AZ82" s="877" t="str">
        <f>IF(SUM(AV82:AV84)-SUM(AW82:AW84)&lt;=0," ",SUM(AV82:AV84)-SUM(AW82:AW84))</f>
        <v xml:space="preserve"> </v>
      </c>
      <c r="BA82" s="880">
        <f>IF(SUM(AV82:AV84)-SUM(AW82:AW84)&gt;0," ",SUM(AW82:AW84)-SUM(AV82:AV84))</f>
        <v>0</v>
      </c>
      <c r="BB82" s="1047"/>
      <c r="BC82" s="1045"/>
    </row>
    <row r="83" spans="1:55" s="756" customFormat="1" x14ac:dyDescent="0.2">
      <c r="A83" s="25"/>
      <c r="C83" s="893"/>
      <c r="D83" s="882"/>
      <c r="E83" s="883"/>
      <c r="F83" s="884"/>
      <c r="G83" s="884"/>
      <c r="H83" s="884"/>
      <c r="I83" s="884"/>
      <c r="J83" s="884"/>
      <c r="K83" s="885"/>
      <c r="L83" s="884"/>
      <c r="M83" s="884"/>
      <c r="N83" s="884"/>
      <c r="O83" s="884"/>
      <c r="P83" s="886"/>
      <c r="Q83" s="886"/>
      <c r="R83" s="886"/>
      <c r="S83" s="886"/>
      <c r="T83" s="886"/>
      <c r="U83" s="886"/>
      <c r="V83" s="886"/>
      <c r="W83" s="886"/>
      <c r="X83" s="884"/>
      <c r="Y83" s="884"/>
      <c r="Z83" s="884"/>
      <c r="AA83" s="884"/>
      <c r="AB83" s="887">
        <f t="shared" si="13"/>
        <v>0</v>
      </c>
      <c r="AC83" s="888">
        <f t="shared" si="14"/>
        <v>0</v>
      </c>
      <c r="AD83" s="878">
        <f t="shared" si="15"/>
        <v>0</v>
      </c>
      <c r="AE83" s="879">
        <f t="shared" si="16"/>
        <v>0</v>
      </c>
      <c r="AF83" s="884"/>
      <c r="AG83" s="884"/>
      <c r="AH83" s="878"/>
      <c r="AI83" s="879"/>
      <c r="AJ83" s="889" t="s">
        <v>2075</v>
      </c>
      <c r="AK83" s="890">
        <f>'N.2 GASB 68 ROD'!C78</f>
        <v>0</v>
      </c>
      <c r="AL83" s="888"/>
      <c r="AM83" s="889" t="s">
        <v>2075</v>
      </c>
      <c r="AN83" s="890">
        <f>'N.2 GASB 68 ROD'!D78</f>
        <v>0</v>
      </c>
      <c r="AO83" s="891"/>
      <c r="AP83" s="890"/>
      <c r="AQ83" s="888"/>
      <c r="AR83" s="889"/>
      <c r="AS83" s="892"/>
      <c r="AT83" s="525"/>
      <c r="AU83" s="526"/>
      <c r="AV83" s="877">
        <f t="shared" si="26"/>
        <v>0</v>
      </c>
      <c r="AW83" s="877">
        <f t="shared" si="17"/>
        <v>0</v>
      </c>
      <c r="AX83" s="878"/>
      <c r="AY83" s="879"/>
      <c r="AZ83" s="877"/>
      <c r="BA83" s="880"/>
      <c r="BB83" s="1047"/>
      <c r="BC83" s="1045"/>
    </row>
    <row r="84" spans="1:55" s="695" customFormat="1" x14ac:dyDescent="0.2">
      <c r="A84" s="25"/>
      <c r="C84" s="893"/>
      <c r="D84" s="882"/>
      <c r="E84" s="883"/>
      <c r="F84" s="884"/>
      <c r="G84" s="884"/>
      <c r="H84" s="884"/>
      <c r="I84" s="884"/>
      <c r="J84" s="884"/>
      <c r="K84" s="885"/>
      <c r="L84" s="884"/>
      <c r="M84" s="884"/>
      <c r="N84" s="884"/>
      <c r="O84" s="884"/>
      <c r="P84" s="886"/>
      <c r="Q84" s="886"/>
      <c r="R84" s="886"/>
      <c r="S84" s="886"/>
      <c r="T84" s="886"/>
      <c r="U84" s="886"/>
      <c r="V84" s="886"/>
      <c r="W84" s="886"/>
      <c r="X84" s="884"/>
      <c r="Y84" s="884"/>
      <c r="Z84" s="884"/>
      <c r="AA84" s="884"/>
      <c r="AB84" s="887">
        <f t="shared" si="13"/>
        <v>0</v>
      </c>
      <c r="AC84" s="888">
        <f t="shared" si="14"/>
        <v>0</v>
      </c>
      <c r="AD84" s="878">
        <f t="shared" si="15"/>
        <v>0</v>
      </c>
      <c r="AE84" s="879">
        <f t="shared" si="16"/>
        <v>0</v>
      </c>
      <c r="AF84" s="884"/>
      <c r="AG84" s="884"/>
      <c r="AH84" s="878"/>
      <c r="AI84" s="879"/>
      <c r="AJ84" s="889" t="s">
        <v>3639</v>
      </c>
      <c r="AK84" s="890">
        <f>'O. GASB 73 LEO Entries'!C72</f>
        <v>0</v>
      </c>
      <c r="AL84" s="888"/>
      <c r="AM84" s="889" t="s">
        <v>3639</v>
      </c>
      <c r="AN84" s="890">
        <f>'O. GASB 73 LEO Entries'!D72</f>
        <v>0</v>
      </c>
      <c r="AO84" s="891"/>
      <c r="AP84" s="890"/>
      <c r="AQ84" s="888"/>
      <c r="AR84" s="889"/>
      <c r="AS84" s="892"/>
      <c r="AT84" s="525"/>
      <c r="AU84" s="526"/>
      <c r="AV84" s="877">
        <f t="shared" si="26"/>
        <v>0</v>
      </c>
      <c r="AW84" s="877">
        <f t="shared" si="17"/>
        <v>0</v>
      </c>
      <c r="AX84" s="878"/>
      <c r="AY84" s="879"/>
      <c r="AZ84" s="877"/>
      <c r="BA84" s="880"/>
      <c r="BB84" s="1047"/>
      <c r="BC84" s="1045"/>
    </row>
    <row r="85" spans="1:55" s="1049" customFormat="1" ht="25.5" x14ac:dyDescent="0.2">
      <c r="A85" s="25"/>
      <c r="C85" s="1069" t="s">
        <v>4025</v>
      </c>
      <c r="D85" s="882"/>
      <c r="E85" s="883"/>
      <c r="F85" s="884"/>
      <c r="G85" s="884"/>
      <c r="H85" s="884"/>
      <c r="I85" s="884"/>
      <c r="J85" s="884"/>
      <c r="K85" s="885"/>
      <c r="L85" s="884"/>
      <c r="M85" s="884"/>
      <c r="N85" s="884"/>
      <c r="O85" s="884"/>
      <c r="P85" s="886"/>
      <c r="Q85" s="886"/>
      <c r="R85" s="886"/>
      <c r="S85" s="886"/>
      <c r="T85" s="886"/>
      <c r="U85" s="886"/>
      <c r="V85" s="886"/>
      <c r="W85" s="886"/>
      <c r="X85" s="884"/>
      <c r="Y85" s="884"/>
      <c r="Z85" s="884"/>
      <c r="AA85" s="884"/>
      <c r="AB85" s="887">
        <f t="shared" ref="AB85" si="27">L85+N85+P85+R85+T85+V85+X85+Z85</f>
        <v>0</v>
      </c>
      <c r="AC85" s="888">
        <f t="shared" ref="AC85" si="28">M85+O85+Q85+S85+U85+W85+Y85+AA85</f>
        <v>0</v>
      </c>
      <c r="AD85" s="878">
        <f t="shared" ref="AD85" si="29">D85+F85+H85+J85+AB85</f>
        <v>0</v>
      </c>
      <c r="AE85" s="879">
        <f t="shared" ref="AE85" si="30">E85+G85+I85+K85+AC85</f>
        <v>0</v>
      </c>
      <c r="AF85" s="890"/>
      <c r="AG85" s="890"/>
      <c r="AH85" s="878"/>
      <c r="AI85" s="879"/>
      <c r="AJ85" s="889" t="s">
        <v>4030</v>
      </c>
      <c r="AK85" s="890">
        <f>'P.1 GASB 75 OPEB  - 1'!C130</f>
        <v>0</v>
      </c>
      <c r="AL85" s="888"/>
      <c r="AM85" s="889"/>
      <c r="AN85" s="890"/>
      <c r="AO85" s="891" t="s">
        <v>646</v>
      </c>
      <c r="AP85" s="890">
        <f>'K.1  Int. Service Fd Allocation'!E178+'K.2  Int. Service Fd Alloca'!E173+'K.3 Int. Service Fd Alloca'!E175</f>
        <v>0</v>
      </c>
      <c r="AQ85" s="888"/>
      <c r="AR85" s="889"/>
      <c r="AS85" s="892"/>
      <c r="AT85" s="525"/>
      <c r="AU85" s="526"/>
      <c r="AV85" s="877">
        <f t="shared" ref="AV85:AV87" si="31">ROUND(AD85+AF85+AH85+AK85+AP85+AT85,0)</f>
        <v>0</v>
      </c>
      <c r="AW85" s="877">
        <f t="shared" ref="AW85:AW87" si="32">ROUND(AE85+AG85+AI85+AN85+AS85+AU85,0)</f>
        <v>0</v>
      </c>
      <c r="AX85" s="878"/>
      <c r="AY85" s="879"/>
      <c r="AZ85" s="877" t="str">
        <f>IF(SUM(AV85:AV87)-SUM(AW85:AW87)&lt;=0," ",SUM(AV85:AV87)-SUM(AW85:AW87))</f>
        <v xml:space="preserve"> </v>
      </c>
      <c r="BA85" s="880">
        <f>IF(SUM(AV85:AV87)-SUM(AW85:AW87)&gt;0," ",SUM(AW85:AW87)-SUM(AV85:AV87))</f>
        <v>0</v>
      </c>
      <c r="BB85" s="1051"/>
    </row>
    <row r="86" spans="1:55" s="1103" customFormat="1" x14ac:dyDescent="0.2">
      <c r="A86" s="25"/>
      <c r="C86" s="893"/>
      <c r="D86" s="882"/>
      <c r="E86" s="883"/>
      <c r="F86" s="884"/>
      <c r="G86" s="884"/>
      <c r="H86" s="884"/>
      <c r="I86" s="884"/>
      <c r="J86" s="884"/>
      <c r="K86" s="885"/>
      <c r="L86" s="884"/>
      <c r="M86" s="884"/>
      <c r="N86" s="884"/>
      <c r="O86" s="884"/>
      <c r="P86" s="886"/>
      <c r="Q86" s="886"/>
      <c r="R86" s="886"/>
      <c r="S86" s="886"/>
      <c r="T86" s="886"/>
      <c r="U86" s="886"/>
      <c r="V86" s="886"/>
      <c r="W86" s="886"/>
      <c r="X86" s="884"/>
      <c r="Y86" s="884"/>
      <c r="Z86" s="884"/>
      <c r="AA86" s="884"/>
      <c r="AB86" s="887">
        <f t="shared" ref="AB86:AB87" si="33">L86+N86+P86+R86+T86+V86+X86+Z86</f>
        <v>0</v>
      </c>
      <c r="AC86" s="888">
        <f t="shared" ref="AC86:AC87" si="34">M86+O86+Q86+S86+U86+W86+Y86+AA86</f>
        <v>0</v>
      </c>
      <c r="AD86" s="878">
        <f t="shared" ref="AD86:AD87" si="35">D86+F86+H86+J86+AB86</f>
        <v>0</v>
      </c>
      <c r="AE86" s="879">
        <f t="shared" ref="AE86:AE87" si="36">E86+G86+I86+K86+AC86</f>
        <v>0</v>
      </c>
      <c r="AF86" s="890"/>
      <c r="AG86" s="890"/>
      <c r="AH86" s="878"/>
      <c r="AI86" s="879"/>
      <c r="AJ86" s="889" t="s">
        <v>4031</v>
      </c>
      <c r="AK86" s="890">
        <f>'P.2 GASB 75 OPEB - 2'!C130</f>
        <v>0</v>
      </c>
      <c r="AL86" s="888"/>
      <c r="AM86" s="889"/>
      <c r="AN86" s="890"/>
      <c r="AO86" s="891"/>
      <c r="AP86" s="890"/>
      <c r="AQ86" s="888"/>
      <c r="AR86" s="889"/>
      <c r="AS86" s="892"/>
      <c r="AT86" s="525"/>
      <c r="AU86" s="526"/>
      <c r="AV86" s="877">
        <f t="shared" si="31"/>
        <v>0</v>
      </c>
      <c r="AW86" s="877">
        <f t="shared" si="32"/>
        <v>0</v>
      </c>
      <c r="AX86" s="878"/>
      <c r="AY86" s="879"/>
      <c r="AZ86" s="877"/>
      <c r="BA86" s="880"/>
      <c r="BB86" s="1104"/>
    </row>
    <row r="87" spans="1:55" s="1103" customFormat="1" x14ac:dyDescent="0.2">
      <c r="A87" s="25"/>
      <c r="C87" s="893"/>
      <c r="D87" s="882"/>
      <c r="E87" s="883"/>
      <c r="F87" s="884"/>
      <c r="G87" s="884"/>
      <c r="H87" s="884"/>
      <c r="I87" s="884"/>
      <c r="J87" s="884"/>
      <c r="K87" s="885"/>
      <c r="L87" s="884"/>
      <c r="M87" s="884"/>
      <c r="N87" s="884"/>
      <c r="O87" s="884"/>
      <c r="P87" s="886"/>
      <c r="Q87" s="886"/>
      <c r="R87" s="886"/>
      <c r="S87" s="886"/>
      <c r="T87" s="886"/>
      <c r="U87" s="886"/>
      <c r="V87" s="886"/>
      <c r="W87" s="886"/>
      <c r="X87" s="884"/>
      <c r="Y87" s="884"/>
      <c r="Z87" s="884"/>
      <c r="AA87" s="884"/>
      <c r="AB87" s="887">
        <f t="shared" si="33"/>
        <v>0</v>
      </c>
      <c r="AC87" s="888">
        <f t="shared" si="34"/>
        <v>0</v>
      </c>
      <c r="AD87" s="878">
        <f t="shared" si="35"/>
        <v>0</v>
      </c>
      <c r="AE87" s="879">
        <f t="shared" si="36"/>
        <v>0</v>
      </c>
      <c r="AF87" s="890"/>
      <c r="AG87" s="890"/>
      <c r="AH87" s="878"/>
      <c r="AI87" s="879"/>
      <c r="AJ87" s="889" t="s">
        <v>4032</v>
      </c>
      <c r="AK87" s="890">
        <f>'P.3 GASB 75 OPEB - 3'!C130</f>
        <v>0</v>
      </c>
      <c r="AL87" s="888"/>
      <c r="AM87" s="889"/>
      <c r="AN87" s="890"/>
      <c r="AO87" s="891"/>
      <c r="AP87" s="890"/>
      <c r="AQ87" s="888"/>
      <c r="AR87" s="889"/>
      <c r="AS87" s="892"/>
      <c r="AT87" s="525"/>
      <c r="AU87" s="526"/>
      <c r="AV87" s="877">
        <f t="shared" si="31"/>
        <v>0</v>
      </c>
      <c r="AW87" s="877">
        <f t="shared" si="32"/>
        <v>0</v>
      </c>
      <c r="AX87" s="878"/>
      <c r="AY87" s="879"/>
      <c r="AZ87" s="877"/>
      <c r="BA87" s="880"/>
      <c r="BB87" s="1104"/>
    </row>
    <row r="88" spans="1:55" s="673" customFormat="1" x14ac:dyDescent="0.2">
      <c r="A88" s="25"/>
      <c r="C88" s="1056" t="s">
        <v>4027</v>
      </c>
      <c r="D88" s="533"/>
      <c r="E88" s="534"/>
      <c r="F88" s="530"/>
      <c r="G88" s="530"/>
      <c r="H88" s="530"/>
      <c r="I88" s="530"/>
      <c r="J88" s="530"/>
      <c r="K88" s="535"/>
      <c r="L88" s="530"/>
      <c r="M88" s="530"/>
      <c r="N88" s="530"/>
      <c r="O88" s="530"/>
      <c r="P88" s="652"/>
      <c r="Q88" s="652"/>
      <c r="R88" s="652"/>
      <c r="S88" s="652"/>
      <c r="T88" s="652"/>
      <c r="U88" s="652"/>
      <c r="V88" s="652"/>
      <c r="W88" s="652"/>
      <c r="X88" s="530"/>
      <c r="Y88" s="530"/>
      <c r="Z88" s="530"/>
      <c r="AA88" s="530"/>
      <c r="AB88" s="531">
        <f t="shared" si="13"/>
        <v>0</v>
      </c>
      <c r="AC88" s="539">
        <f t="shared" si="14"/>
        <v>0</v>
      </c>
      <c r="AD88" s="536">
        <f t="shared" si="15"/>
        <v>0</v>
      </c>
      <c r="AE88" s="537">
        <f t="shared" si="16"/>
        <v>0</v>
      </c>
      <c r="AF88" s="530">
        <f>'N.1 GASB 68 LGERS'!C75*'N.1 GASB 68 LGERS'!L39+'N.2 GASB 68 ROD'!C63*'N.2 GASB 68 ROD'!L28</f>
        <v>0</v>
      </c>
      <c r="AG88" s="530"/>
      <c r="AH88" s="536"/>
      <c r="AI88" s="537"/>
      <c r="AJ88" s="538" t="s">
        <v>2074</v>
      </c>
      <c r="AK88" s="653">
        <f>'N.1 GASB 68 LGERS'!C108</f>
        <v>0</v>
      </c>
      <c r="AL88" s="539"/>
      <c r="AM88" s="538" t="s">
        <v>2074</v>
      </c>
      <c r="AN88" s="653">
        <f>'N.1 GASB 68 LGERS'!D108</f>
        <v>0</v>
      </c>
      <c r="AO88" s="559" t="s">
        <v>646</v>
      </c>
      <c r="AP88" s="653">
        <f>'K.1  Int. Service Fd Allocation'!E175+'K.2  Int. Service Fd Alloca'!E170+'K.3 Int. Service Fd Alloca'!E172</f>
        <v>0</v>
      </c>
      <c r="AQ88" s="539"/>
      <c r="AR88" s="538"/>
      <c r="AS88" s="654"/>
      <c r="AT88" s="525"/>
      <c r="AU88" s="526"/>
      <c r="AV88" s="467">
        <f t="shared" si="26"/>
        <v>0</v>
      </c>
      <c r="AW88" s="467">
        <f t="shared" si="17"/>
        <v>0</v>
      </c>
      <c r="AX88" s="536"/>
      <c r="AY88" s="537"/>
      <c r="AZ88" s="434" t="str">
        <f>IF(SUM(AV88:AV90)-SUM(AW88:AW90)&lt;=0," ",SUM(AV88:AV90)-SUM(AW88:AW90))</f>
        <v xml:space="preserve"> </v>
      </c>
      <c r="BA88" s="540">
        <f>IF(SUM(AV88:AV90)-SUM(AW88:AW90)&gt;0," ",SUM(AW88:AW90)-SUM(AV88:AV90))</f>
        <v>0</v>
      </c>
      <c r="BB88" s="1047"/>
      <c r="BC88" s="1045"/>
    </row>
    <row r="89" spans="1:55" s="756" customFormat="1" x14ac:dyDescent="0.2">
      <c r="A89" s="25"/>
      <c r="C89" s="755"/>
      <c r="D89" s="533"/>
      <c r="E89" s="534"/>
      <c r="F89" s="530"/>
      <c r="G89" s="530"/>
      <c r="H89" s="530"/>
      <c r="I89" s="530"/>
      <c r="J89" s="530"/>
      <c r="K89" s="535"/>
      <c r="L89" s="530"/>
      <c r="M89" s="530"/>
      <c r="N89" s="530"/>
      <c r="O89" s="530"/>
      <c r="P89" s="652"/>
      <c r="Q89" s="652"/>
      <c r="R89" s="652"/>
      <c r="S89" s="652"/>
      <c r="T89" s="652"/>
      <c r="U89" s="652"/>
      <c r="V89" s="652"/>
      <c r="W89" s="652"/>
      <c r="X89" s="530"/>
      <c r="Y89" s="530"/>
      <c r="Z89" s="530"/>
      <c r="AA89" s="530"/>
      <c r="AB89" s="531">
        <f t="shared" si="13"/>
        <v>0</v>
      </c>
      <c r="AC89" s="539">
        <f t="shared" si="14"/>
        <v>0</v>
      </c>
      <c r="AD89" s="536">
        <f t="shared" si="15"/>
        <v>0</v>
      </c>
      <c r="AE89" s="537">
        <f t="shared" si="16"/>
        <v>0</v>
      </c>
      <c r="AF89" s="530"/>
      <c r="AG89" s="530"/>
      <c r="AH89" s="536"/>
      <c r="AI89" s="537"/>
      <c r="AJ89" s="538" t="s">
        <v>2075</v>
      </c>
      <c r="AK89" s="653">
        <f>'N.2 GASB 68 ROD'!C80</f>
        <v>0</v>
      </c>
      <c r="AL89" s="539"/>
      <c r="AM89" s="538" t="s">
        <v>2075</v>
      </c>
      <c r="AN89" s="653">
        <f>'N.2 GASB 68 ROD'!D80</f>
        <v>0</v>
      </c>
      <c r="AO89" s="559"/>
      <c r="AP89" s="653"/>
      <c r="AQ89" s="539"/>
      <c r="AR89" s="538"/>
      <c r="AS89" s="654"/>
      <c r="AT89" s="525"/>
      <c r="AU89" s="526"/>
      <c r="AV89" s="467">
        <f t="shared" si="26"/>
        <v>0</v>
      </c>
      <c r="AW89" s="467">
        <f t="shared" si="17"/>
        <v>0</v>
      </c>
      <c r="AX89" s="536"/>
      <c r="AY89" s="537"/>
      <c r="AZ89" s="434"/>
      <c r="BA89" s="540"/>
      <c r="BB89" s="1047"/>
      <c r="BC89" s="1045"/>
    </row>
    <row r="90" spans="1:55" s="695" customFormat="1" x14ac:dyDescent="0.2">
      <c r="A90" s="25"/>
      <c r="C90" s="755"/>
      <c r="D90" s="533"/>
      <c r="E90" s="534"/>
      <c r="F90" s="530"/>
      <c r="G90" s="530"/>
      <c r="H90" s="530"/>
      <c r="I90" s="530"/>
      <c r="J90" s="530"/>
      <c r="K90" s="535"/>
      <c r="L90" s="530"/>
      <c r="M90" s="530"/>
      <c r="N90" s="530"/>
      <c r="O90" s="530"/>
      <c r="P90" s="652"/>
      <c r="Q90" s="652"/>
      <c r="R90" s="652"/>
      <c r="S90" s="652"/>
      <c r="T90" s="652"/>
      <c r="U90" s="652"/>
      <c r="V90" s="652"/>
      <c r="W90" s="652"/>
      <c r="X90" s="530"/>
      <c r="Y90" s="530"/>
      <c r="Z90" s="530"/>
      <c r="AA90" s="530"/>
      <c r="AB90" s="531">
        <f t="shared" si="13"/>
        <v>0</v>
      </c>
      <c r="AC90" s="539">
        <f t="shared" si="14"/>
        <v>0</v>
      </c>
      <c r="AD90" s="536">
        <f t="shared" si="15"/>
        <v>0</v>
      </c>
      <c r="AE90" s="537">
        <f t="shared" si="16"/>
        <v>0</v>
      </c>
      <c r="AF90" s="530"/>
      <c r="AG90" s="530"/>
      <c r="AH90" s="536"/>
      <c r="AI90" s="537"/>
      <c r="AJ90" s="538" t="s">
        <v>3639</v>
      </c>
      <c r="AK90" s="653">
        <f>'O. GASB 73 LEO Entries'!C73</f>
        <v>0</v>
      </c>
      <c r="AL90" s="539"/>
      <c r="AM90" s="538" t="s">
        <v>3639</v>
      </c>
      <c r="AN90" s="653">
        <f>'O. GASB 73 LEO Entries'!D73</f>
        <v>0</v>
      </c>
      <c r="AO90" s="559"/>
      <c r="AP90" s="653"/>
      <c r="AQ90" s="539"/>
      <c r="AR90" s="538"/>
      <c r="AS90" s="654"/>
      <c r="AT90" s="525"/>
      <c r="AU90" s="526"/>
      <c r="AV90" s="467">
        <f t="shared" si="26"/>
        <v>0</v>
      </c>
      <c r="AW90" s="467">
        <f t="shared" si="17"/>
        <v>0</v>
      </c>
      <c r="AX90" s="536"/>
      <c r="AY90" s="537"/>
      <c r="AZ90" s="434"/>
      <c r="BA90" s="540"/>
      <c r="BB90" s="1047"/>
      <c r="BC90" s="1045"/>
    </row>
    <row r="91" spans="1:55" s="1049" customFormat="1" x14ac:dyDescent="0.2">
      <c r="A91" s="25"/>
      <c r="C91" s="1135" t="s">
        <v>4028</v>
      </c>
      <c r="D91" s="533"/>
      <c r="E91" s="534"/>
      <c r="F91" s="530"/>
      <c r="G91" s="530"/>
      <c r="H91" s="530"/>
      <c r="I91" s="530"/>
      <c r="J91" s="530"/>
      <c r="K91" s="535"/>
      <c r="L91" s="530"/>
      <c r="M91" s="530"/>
      <c r="N91" s="530"/>
      <c r="O91" s="530"/>
      <c r="P91" s="652"/>
      <c r="Q91" s="652"/>
      <c r="R91" s="652"/>
      <c r="S91" s="652"/>
      <c r="T91" s="652"/>
      <c r="U91" s="652"/>
      <c r="V91" s="652"/>
      <c r="W91" s="652"/>
      <c r="X91" s="530"/>
      <c r="Y91" s="530"/>
      <c r="Z91" s="530"/>
      <c r="AA91" s="530"/>
      <c r="AB91" s="531"/>
      <c r="AC91" s="539"/>
      <c r="AD91" s="536"/>
      <c r="AE91" s="537"/>
      <c r="AG91" s="653"/>
      <c r="AH91" s="536"/>
      <c r="AI91" s="537"/>
      <c r="AJ91" s="538" t="s">
        <v>4030</v>
      </c>
      <c r="AK91" s="653">
        <f>'P.1 GASB 75 OPEB  - 1'!C131</f>
        <v>0</v>
      </c>
      <c r="AL91" s="539"/>
      <c r="AM91" s="538"/>
      <c r="AN91" s="653"/>
      <c r="AO91" s="559" t="s">
        <v>646</v>
      </c>
      <c r="AP91" s="653">
        <f>'K.1  Int. Service Fd Allocation'!E179+'K.2  Int. Service Fd Alloca'!E174+'K.3 Int. Service Fd Alloca'!E176</f>
        <v>0</v>
      </c>
      <c r="AQ91" s="539"/>
      <c r="AR91" s="538"/>
      <c r="AS91" s="654"/>
      <c r="AT91" s="525"/>
      <c r="AU91" s="526"/>
      <c r="AV91" s="467">
        <f t="shared" si="26"/>
        <v>0</v>
      </c>
      <c r="AW91" s="467">
        <f t="shared" ref="AW91:AW93" si="37">ROUND(AE91+AG91+AI91+AN91+AS91+AU91,0)</f>
        <v>0</v>
      </c>
      <c r="AX91" s="536"/>
      <c r="AY91" s="537"/>
      <c r="AZ91" s="434" t="str">
        <f>IF(SUM(AV91:AV93)-SUM(AW91:AW93)&lt;=0," ",SUM(AV91:AV93)-SUM(AW91:AW93))</f>
        <v xml:space="preserve"> </v>
      </c>
      <c r="BA91" s="540">
        <f>IF(SUM(AV91:AV93)-SUM(AW91:AW93)&gt;0," ",SUM(AW91:AW93)-SUM(AV91:AV93))</f>
        <v>0</v>
      </c>
      <c r="BB91" s="1051"/>
    </row>
    <row r="92" spans="1:55" s="1103" customFormat="1" x14ac:dyDescent="0.2">
      <c r="A92" s="25"/>
      <c r="C92" s="1102"/>
      <c r="D92" s="533"/>
      <c r="E92" s="534"/>
      <c r="F92" s="530"/>
      <c r="G92" s="530"/>
      <c r="H92" s="530"/>
      <c r="I92" s="530"/>
      <c r="J92" s="530"/>
      <c r="K92" s="535"/>
      <c r="L92" s="530"/>
      <c r="M92" s="530"/>
      <c r="N92" s="530"/>
      <c r="O92" s="530"/>
      <c r="P92" s="652"/>
      <c r="Q92" s="652"/>
      <c r="R92" s="652"/>
      <c r="S92" s="652"/>
      <c r="T92" s="652"/>
      <c r="U92" s="652"/>
      <c r="V92" s="652"/>
      <c r="W92" s="652"/>
      <c r="X92" s="530"/>
      <c r="Y92" s="530"/>
      <c r="Z92" s="530"/>
      <c r="AA92" s="530"/>
      <c r="AB92" s="531"/>
      <c r="AC92" s="539"/>
      <c r="AD92" s="536"/>
      <c r="AE92" s="537"/>
      <c r="AG92" s="653"/>
      <c r="AH92" s="536"/>
      <c r="AI92" s="537"/>
      <c r="AJ92" s="538" t="s">
        <v>4031</v>
      </c>
      <c r="AK92" s="653">
        <f>'P.2 GASB 75 OPEB - 2'!C131</f>
        <v>0</v>
      </c>
      <c r="AL92" s="539"/>
      <c r="AM92" s="538"/>
      <c r="AN92" s="653"/>
      <c r="AO92" s="559"/>
      <c r="AP92" s="653"/>
      <c r="AQ92" s="539"/>
      <c r="AR92" s="538"/>
      <c r="AS92" s="654"/>
      <c r="AT92" s="525"/>
      <c r="AU92" s="526"/>
      <c r="AV92" s="467">
        <f t="shared" si="26"/>
        <v>0</v>
      </c>
      <c r="AW92" s="467">
        <f t="shared" si="37"/>
        <v>0</v>
      </c>
      <c r="AX92" s="536"/>
      <c r="AY92" s="537"/>
      <c r="AZ92" s="434"/>
      <c r="BA92" s="540"/>
      <c r="BB92" s="1104"/>
    </row>
    <row r="93" spans="1:55" s="1103" customFormat="1" x14ac:dyDescent="0.2">
      <c r="A93" s="25"/>
      <c r="C93" s="1102"/>
      <c r="D93" s="533"/>
      <c r="E93" s="534"/>
      <c r="F93" s="530"/>
      <c r="G93" s="530"/>
      <c r="H93" s="530"/>
      <c r="I93" s="530"/>
      <c r="J93" s="530"/>
      <c r="K93" s="535"/>
      <c r="L93" s="530"/>
      <c r="M93" s="530"/>
      <c r="N93" s="530"/>
      <c r="O93" s="530"/>
      <c r="P93" s="652"/>
      <c r="Q93" s="652"/>
      <c r="R93" s="652"/>
      <c r="S93" s="652"/>
      <c r="T93" s="652"/>
      <c r="U93" s="652"/>
      <c r="V93" s="652"/>
      <c r="W93" s="652"/>
      <c r="X93" s="530"/>
      <c r="Y93" s="530"/>
      <c r="Z93" s="530"/>
      <c r="AA93" s="530"/>
      <c r="AB93" s="531"/>
      <c r="AC93" s="539"/>
      <c r="AD93" s="536"/>
      <c r="AE93" s="537"/>
      <c r="AG93" s="653"/>
      <c r="AH93" s="536"/>
      <c r="AI93" s="537"/>
      <c r="AJ93" s="538" t="s">
        <v>4032</v>
      </c>
      <c r="AK93" s="653">
        <f>'P.3 GASB 75 OPEB - 3'!C131</f>
        <v>0</v>
      </c>
      <c r="AL93" s="539"/>
      <c r="AM93" s="538"/>
      <c r="AN93" s="653"/>
      <c r="AO93" s="559"/>
      <c r="AP93" s="653"/>
      <c r="AQ93" s="539"/>
      <c r="AR93" s="538"/>
      <c r="AS93" s="654"/>
      <c r="AT93" s="525"/>
      <c r="AU93" s="526"/>
      <c r="AV93" s="467">
        <f t="shared" si="26"/>
        <v>0</v>
      </c>
      <c r="AW93" s="467">
        <f t="shared" si="37"/>
        <v>0</v>
      </c>
      <c r="AX93" s="536"/>
      <c r="AY93" s="537"/>
      <c r="AZ93" s="434"/>
      <c r="BA93" s="540"/>
      <c r="BB93" s="1104"/>
    </row>
    <row r="94" spans="1:55" s="756" customFormat="1" ht="25.5" x14ac:dyDescent="0.2">
      <c r="A94" s="25"/>
      <c r="C94" s="1069" t="s">
        <v>4029</v>
      </c>
      <c r="D94" s="882"/>
      <c r="E94" s="883"/>
      <c r="F94" s="884"/>
      <c r="G94" s="884"/>
      <c r="H94" s="884"/>
      <c r="I94" s="884"/>
      <c r="J94" s="884"/>
      <c r="K94" s="885"/>
      <c r="L94" s="884"/>
      <c r="M94" s="884"/>
      <c r="N94" s="884"/>
      <c r="O94" s="884"/>
      <c r="P94" s="886"/>
      <c r="Q94" s="886"/>
      <c r="R94" s="886"/>
      <c r="S94" s="886"/>
      <c r="T94" s="886"/>
      <c r="U94" s="886"/>
      <c r="V94" s="886"/>
      <c r="W94" s="886"/>
      <c r="X94" s="884"/>
      <c r="Y94" s="884"/>
      <c r="Z94" s="884"/>
      <c r="AA94" s="884"/>
      <c r="AB94" s="887">
        <f>L94+N94+P94+R94+T94+V94+X94+Z94</f>
        <v>0</v>
      </c>
      <c r="AC94" s="888">
        <f t="shared" si="14"/>
        <v>0</v>
      </c>
      <c r="AD94" s="878">
        <f t="shared" si="15"/>
        <v>0</v>
      </c>
      <c r="AE94" s="879">
        <f t="shared" si="16"/>
        <v>0</v>
      </c>
      <c r="AF94" s="884">
        <f>IF('N.1 GASB 68 LGERS'!K43&gt;0,'N.1 GASB 68 LGERS'!K43*'N.1 GASB 68 LGERS'!C75,0)</f>
        <v>0</v>
      </c>
      <c r="AG94" s="884"/>
      <c r="AH94" s="878"/>
      <c r="AI94" s="879"/>
      <c r="AJ94" s="889" t="s">
        <v>2074</v>
      </c>
      <c r="AK94" s="890">
        <f>'N.1 GASB 68 LGERS'!C107</f>
        <v>0</v>
      </c>
      <c r="AL94" s="888"/>
      <c r="AM94" s="889" t="s">
        <v>2074</v>
      </c>
      <c r="AN94" s="890">
        <f>'N.1 GASB 68 LGERS'!D107</f>
        <v>0</v>
      </c>
      <c r="AO94" s="891"/>
      <c r="AP94" s="890"/>
      <c r="AQ94" s="888"/>
      <c r="AR94" s="889"/>
      <c r="AS94" s="892"/>
      <c r="AT94" s="525"/>
      <c r="AU94" s="526"/>
      <c r="AV94" s="877">
        <f t="shared" si="26"/>
        <v>0</v>
      </c>
      <c r="AW94" s="877">
        <f t="shared" si="17"/>
        <v>0</v>
      </c>
      <c r="AX94" s="878"/>
      <c r="AY94" s="879"/>
      <c r="AZ94" s="877" t="str">
        <f>IF(SUM(AV94:AV95)-SUM(AW94:AW95)&lt;=0," ",SUM(AV94:AV95)-SUM(AW94:AW95))</f>
        <v xml:space="preserve"> </v>
      </c>
      <c r="BA94" s="880">
        <f>IF(SUM(AV94:AV95)-SUM(AW94:AW95)&gt;0," ",SUM(AW94:AW95)-SUM(AV94:AV95))</f>
        <v>0</v>
      </c>
      <c r="BB94" s="1047"/>
      <c r="BC94" s="1045"/>
    </row>
    <row r="95" spans="1:55" s="1025" customFormat="1" x14ac:dyDescent="0.2">
      <c r="A95" s="33"/>
      <c r="C95" s="893"/>
      <c r="D95" s="882"/>
      <c r="E95" s="883"/>
      <c r="F95" s="884"/>
      <c r="G95" s="884"/>
      <c r="H95" s="884"/>
      <c r="I95" s="884"/>
      <c r="J95" s="884"/>
      <c r="K95" s="885"/>
      <c r="L95" s="884"/>
      <c r="M95" s="884"/>
      <c r="N95" s="884"/>
      <c r="O95" s="884"/>
      <c r="P95" s="886"/>
      <c r="Q95" s="886"/>
      <c r="R95" s="886"/>
      <c r="S95" s="886"/>
      <c r="T95" s="886"/>
      <c r="U95" s="886"/>
      <c r="V95" s="886"/>
      <c r="W95" s="886"/>
      <c r="X95" s="884"/>
      <c r="Y95" s="884"/>
      <c r="Z95" s="884"/>
      <c r="AA95" s="884"/>
      <c r="AB95" s="887">
        <f t="shared" si="13"/>
        <v>0</v>
      </c>
      <c r="AC95" s="888">
        <f t="shared" si="14"/>
        <v>0</v>
      </c>
      <c r="AD95" s="878">
        <f t="shared" si="15"/>
        <v>0</v>
      </c>
      <c r="AE95" s="879">
        <f t="shared" si="16"/>
        <v>0</v>
      </c>
      <c r="AF95" s="884">
        <f>IF('N.2 GASB 68 ROD'!K32&gt;0,'N.2 GASB 68 ROD'!K32*'N.2 GASB 68 ROD'!C63,0)</f>
        <v>0</v>
      </c>
      <c r="AG95" s="884"/>
      <c r="AH95" s="878"/>
      <c r="AI95" s="879"/>
      <c r="AJ95" s="889" t="s">
        <v>2075</v>
      </c>
      <c r="AK95" s="890">
        <f>'N.2 GASB 68 ROD'!C79</f>
        <v>0</v>
      </c>
      <c r="AL95" s="888"/>
      <c r="AM95" s="889" t="s">
        <v>2075</v>
      </c>
      <c r="AN95" s="890">
        <f>'N.2 GASB 68 ROD'!D79</f>
        <v>0</v>
      </c>
      <c r="AO95" s="891" t="s">
        <v>646</v>
      </c>
      <c r="AP95" s="890">
        <f>'K.1  Int. Service Fd Allocation'!E176+'K.2  Int. Service Fd Alloca'!E171+'K.3 Int. Service Fd Alloca'!E173</f>
        <v>0</v>
      </c>
      <c r="AQ95" s="888"/>
      <c r="AR95" s="889"/>
      <c r="AS95" s="892"/>
      <c r="AT95" s="1027"/>
      <c r="AU95" s="1028"/>
      <c r="AV95" s="877">
        <f>ROUND(AD95+AF95+AH95+AK95+AP95+AT95,0)</f>
        <v>0</v>
      </c>
      <c r="AW95" s="877">
        <f>ROUND(AE95+AG95+AI95+AN95+AS95+AU95,0)</f>
        <v>0</v>
      </c>
      <c r="AX95" s="878"/>
      <c r="AY95" s="879"/>
      <c r="AZ95" s="877"/>
      <c r="BA95" s="880"/>
      <c r="BB95" s="1047"/>
      <c r="BC95" s="1047"/>
    </row>
    <row r="96" spans="1:55" s="13" customFormat="1" ht="12.75" customHeight="1" x14ac:dyDescent="0.2">
      <c r="A96" s="33"/>
      <c r="D96" s="533"/>
      <c r="E96" s="534"/>
      <c r="F96" s="530"/>
      <c r="G96" s="530"/>
      <c r="H96" s="530"/>
      <c r="I96" s="530"/>
      <c r="J96" s="530"/>
      <c r="K96" s="535"/>
      <c r="L96" s="530"/>
      <c r="M96" s="530"/>
      <c r="N96" s="530"/>
      <c r="O96" s="530"/>
      <c r="P96" s="529"/>
      <c r="Q96" s="529"/>
      <c r="R96" s="529"/>
      <c r="S96" s="529"/>
      <c r="T96" s="529"/>
      <c r="U96" s="529"/>
      <c r="V96" s="529"/>
      <c r="W96" s="529"/>
      <c r="X96" s="530"/>
      <c r="Y96" s="530"/>
      <c r="Z96" s="530"/>
      <c r="AA96" s="530"/>
      <c r="AB96" s="531"/>
      <c r="AC96" s="539"/>
      <c r="AD96" s="536"/>
      <c r="AE96" s="537"/>
      <c r="AF96" s="530"/>
      <c r="AG96" s="530"/>
      <c r="AH96" s="536"/>
      <c r="AI96" s="537"/>
      <c r="AJ96" s="538"/>
      <c r="AK96" s="434"/>
      <c r="AL96" s="539"/>
      <c r="AM96" s="538"/>
      <c r="AN96" s="434"/>
      <c r="AO96" s="541"/>
      <c r="AP96" s="434"/>
      <c r="AQ96" s="539"/>
      <c r="AR96" s="538"/>
      <c r="AS96" s="540"/>
      <c r="AT96" s="525"/>
      <c r="AU96" s="526"/>
      <c r="AV96" s="434"/>
      <c r="AW96" s="434"/>
      <c r="AX96" s="536"/>
      <c r="AY96" s="537"/>
      <c r="AZ96" s="434"/>
      <c r="BA96" s="540"/>
      <c r="BB96" s="1047"/>
      <c r="BC96" s="1047"/>
    </row>
    <row r="97" spans="1:54" ht="12.75" customHeight="1" x14ac:dyDescent="0.2">
      <c r="A97" s="25"/>
      <c r="B97" s="4" t="s">
        <v>654</v>
      </c>
      <c r="C97" s="13"/>
      <c r="D97" s="527"/>
      <c r="E97" s="528"/>
      <c r="F97" s="518"/>
      <c r="G97" s="518"/>
      <c r="H97" s="518"/>
      <c r="I97" s="518"/>
      <c r="J97" s="518"/>
      <c r="K97" s="519"/>
      <c r="L97" s="518"/>
      <c r="M97" s="518"/>
      <c r="N97" s="518"/>
      <c r="O97" s="518"/>
      <c r="P97" s="520"/>
      <c r="Q97" s="520"/>
      <c r="R97" s="520"/>
      <c r="S97" s="520"/>
      <c r="T97" s="520"/>
      <c r="U97" s="520"/>
      <c r="V97" s="520"/>
      <c r="W97" s="520"/>
      <c r="X97" s="518"/>
      <c r="Y97" s="518"/>
      <c r="Z97" s="518"/>
      <c r="AA97" s="518"/>
      <c r="AB97" s="531">
        <f t="shared" si="2"/>
        <v>0</v>
      </c>
      <c r="AC97" s="505">
        <f t="shared" si="3"/>
        <v>0</v>
      </c>
      <c r="AD97" s="508">
        <f t="shared" si="4"/>
        <v>0</v>
      </c>
      <c r="AE97" s="521">
        <f t="shared" si="5"/>
        <v>0</v>
      </c>
      <c r="AF97" s="518"/>
      <c r="AG97" s="518"/>
      <c r="AH97" s="508"/>
      <c r="AI97" s="521"/>
      <c r="AJ97" s="522"/>
      <c r="AK97" s="506"/>
      <c r="AL97" s="505"/>
      <c r="AM97" s="522"/>
      <c r="AN97" s="506"/>
      <c r="AO97" s="523"/>
      <c r="AP97" s="506"/>
      <c r="AQ97" s="505"/>
      <c r="AR97" s="522"/>
      <c r="AS97" s="524"/>
      <c r="AT97" s="525"/>
      <c r="AU97" s="526"/>
      <c r="AV97" s="467">
        <f t="shared" ref="AV97:AV103" si="38">ROUND(AD97+AF97+AH97+AK97+AP97+AT97,0)</f>
        <v>0</v>
      </c>
      <c r="AW97" s="467">
        <f t="shared" ref="AW97:AW103" si="39">ROUND(AE97+AG97+AI97+AN97+AS97+AU97,0)</f>
        <v>0</v>
      </c>
      <c r="AX97" s="508"/>
      <c r="AY97" s="521"/>
      <c r="AZ97" s="506" t="str">
        <f>IF(AV97-AW97&lt;=0," ",AV97-AW97)</f>
        <v xml:space="preserve"> </v>
      </c>
      <c r="BA97" s="524"/>
    </row>
    <row r="98" spans="1:54" x14ac:dyDescent="0.2">
      <c r="A98" s="25"/>
      <c r="C98" t="s">
        <v>227</v>
      </c>
      <c r="D98" s="527"/>
      <c r="E98" s="528"/>
      <c r="F98" s="518"/>
      <c r="G98" s="518"/>
      <c r="H98" s="518"/>
      <c r="I98" s="518"/>
      <c r="J98" s="518"/>
      <c r="K98" s="519"/>
      <c r="L98" s="518"/>
      <c r="M98" s="518"/>
      <c r="N98" s="518"/>
      <c r="O98" s="518"/>
      <c r="P98" s="520"/>
      <c r="Q98" s="520"/>
      <c r="R98" s="520"/>
      <c r="S98" s="520"/>
      <c r="T98" s="520"/>
      <c r="U98" s="520"/>
      <c r="V98" s="520"/>
      <c r="W98" s="520"/>
      <c r="X98" s="518"/>
      <c r="Y98" s="518"/>
      <c r="Z98" s="518"/>
      <c r="AA98" s="518"/>
      <c r="AB98" s="531">
        <f t="shared" si="2"/>
        <v>0</v>
      </c>
      <c r="AC98" s="505">
        <f t="shared" si="3"/>
        <v>0</v>
      </c>
      <c r="AD98" s="508">
        <f t="shared" si="4"/>
        <v>0</v>
      </c>
      <c r="AE98" s="521">
        <f t="shared" si="5"/>
        <v>0</v>
      </c>
      <c r="AF98" s="518"/>
      <c r="AG98" s="518"/>
      <c r="AH98" s="508"/>
      <c r="AI98" s="521"/>
      <c r="AJ98" s="522"/>
      <c r="AK98" s="506"/>
      <c r="AL98" s="505"/>
      <c r="AM98" s="522"/>
      <c r="AN98" s="506"/>
      <c r="AO98" s="523"/>
      <c r="AP98" s="506"/>
      <c r="AQ98" s="505"/>
      <c r="AR98" s="532" t="s">
        <v>646</v>
      </c>
      <c r="AS98" s="434">
        <f>'K.1  Int. Service Fd Allocation'!G183+'K.2  Int. Service Fd Alloca'!G178+'K.3 Int. Service Fd Alloca'!G181</f>
        <v>0</v>
      </c>
      <c r="AT98" s="557"/>
      <c r="AU98" s="526"/>
      <c r="AV98" s="467">
        <f t="shared" si="38"/>
        <v>0</v>
      </c>
      <c r="AW98" s="467">
        <f t="shared" si="39"/>
        <v>0</v>
      </c>
      <c r="AX98" s="508"/>
      <c r="AY98" s="521"/>
      <c r="AZ98" s="506" t="str">
        <f t="shared" ref="AZ98:AZ193" si="40">IF(AV98-AW98&lt;=0," ",AV98-AW98)</f>
        <v xml:space="preserve"> </v>
      </c>
      <c r="BA98" s="524">
        <f>IF(AV98-AW98&gt;0," ",AW98-AV98)</f>
        <v>0</v>
      </c>
      <c r="BB98" s="578"/>
    </row>
    <row r="99" spans="1:54" x14ac:dyDescent="0.2">
      <c r="A99" s="25"/>
      <c r="C99" s="21" t="s">
        <v>222</v>
      </c>
      <c r="D99" s="527"/>
      <c r="E99" s="528"/>
      <c r="F99" s="518"/>
      <c r="G99" s="518"/>
      <c r="H99" s="518"/>
      <c r="I99" s="518"/>
      <c r="J99" s="518"/>
      <c r="K99" s="519"/>
      <c r="L99" s="518"/>
      <c r="M99" s="518"/>
      <c r="N99" s="518"/>
      <c r="O99" s="518"/>
      <c r="P99" s="520"/>
      <c r="Q99" s="520"/>
      <c r="R99" s="520"/>
      <c r="S99" s="520"/>
      <c r="T99" s="520"/>
      <c r="U99" s="520"/>
      <c r="V99" s="520"/>
      <c r="W99" s="520"/>
      <c r="X99" s="518"/>
      <c r="Y99" s="518"/>
      <c r="Z99" s="518"/>
      <c r="AA99" s="518"/>
      <c r="AB99" s="531">
        <f t="shared" si="2"/>
        <v>0</v>
      </c>
      <c r="AC99" s="505">
        <f t="shared" si="3"/>
        <v>0</v>
      </c>
      <c r="AD99" s="508">
        <f t="shared" si="4"/>
        <v>0</v>
      </c>
      <c r="AE99" s="521">
        <f t="shared" si="5"/>
        <v>0</v>
      </c>
      <c r="AF99" s="518"/>
      <c r="AG99" s="518"/>
      <c r="AH99" s="508"/>
      <c r="AI99" s="521"/>
      <c r="AJ99" s="522"/>
      <c r="AK99" s="506"/>
      <c r="AL99" s="505"/>
      <c r="AM99" s="522"/>
      <c r="AN99" s="506"/>
      <c r="AO99" s="523"/>
      <c r="AP99" s="506"/>
      <c r="AQ99" s="505"/>
      <c r="AR99" s="522"/>
      <c r="AS99" s="524"/>
      <c r="AT99" s="525"/>
      <c r="AU99" s="526"/>
      <c r="AV99" s="467">
        <f t="shared" si="38"/>
        <v>0</v>
      </c>
      <c r="AW99" s="467">
        <f t="shared" si="39"/>
        <v>0</v>
      </c>
      <c r="AX99" s="508"/>
      <c r="AY99" s="521"/>
      <c r="AZ99" s="506" t="str">
        <f t="shared" si="40"/>
        <v xml:space="preserve"> </v>
      </c>
      <c r="BA99" s="524">
        <f>IF(AV99-AW99&gt;0," ",AW99-AV99)</f>
        <v>0</v>
      </c>
      <c r="BB99" s="36"/>
    </row>
    <row r="100" spans="1:54" x14ac:dyDescent="0.2">
      <c r="A100" s="25"/>
      <c r="C100" s="21" t="s">
        <v>226</v>
      </c>
      <c r="D100" s="527"/>
      <c r="E100" s="528"/>
      <c r="F100" s="518"/>
      <c r="G100" s="518"/>
      <c r="H100" s="518"/>
      <c r="I100" s="518"/>
      <c r="J100" s="518"/>
      <c r="K100" s="519"/>
      <c r="L100" s="518"/>
      <c r="M100" s="518"/>
      <c r="N100" s="518"/>
      <c r="O100" s="518"/>
      <c r="P100" s="520"/>
      <c r="Q100" s="520"/>
      <c r="R100" s="520"/>
      <c r="S100" s="520"/>
      <c r="T100" s="520"/>
      <c r="U100" s="520"/>
      <c r="V100" s="520"/>
      <c r="W100" s="520"/>
      <c r="X100" s="518"/>
      <c r="Y100" s="518"/>
      <c r="Z100" s="518"/>
      <c r="AA100" s="518"/>
      <c r="AB100" s="531">
        <f t="shared" ref="AB100:AB202" si="41">L100+N100+P100+R100+T100+V100+X100+Z100</f>
        <v>0</v>
      </c>
      <c r="AC100" s="505">
        <f t="shared" ref="AC100:AC202" si="42">M100+O100+Q100+S100+U100+W100+Y100+AA100</f>
        <v>0</v>
      </c>
      <c r="AD100" s="508">
        <f t="shared" si="4"/>
        <v>0</v>
      </c>
      <c r="AE100" s="521">
        <f>E100+G100+I100+K100+AC100</f>
        <v>0</v>
      </c>
      <c r="AF100" s="518"/>
      <c r="AG100" s="518"/>
      <c r="AH100" s="508"/>
      <c r="AI100" s="521"/>
      <c r="AJ100" s="522"/>
      <c r="AK100" s="506"/>
      <c r="AL100" s="505"/>
      <c r="AM100" s="522"/>
      <c r="AN100" s="506"/>
      <c r="AO100" s="523"/>
      <c r="AP100" s="506"/>
      <c r="AQ100" s="505"/>
      <c r="AR100" s="522"/>
      <c r="AS100" s="524"/>
      <c r="AT100" s="525"/>
      <c r="AU100" s="526"/>
      <c r="AV100" s="467">
        <f t="shared" si="38"/>
        <v>0</v>
      </c>
      <c r="AW100" s="467">
        <f>ROUND(AE100+AG100+AI100+AN100+AS100+AU100,0)</f>
        <v>0</v>
      </c>
      <c r="AX100" s="508"/>
      <c r="AY100" s="521"/>
      <c r="AZ100" s="506" t="str">
        <f t="shared" si="40"/>
        <v xml:space="preserve"> </v>
      </c>
      <c r="BA100" s="524">
        <f>IF(AV100-AW100&gt;0," ",AW100-AV100)</f>
        <v>0</v>
      </c>
      <c r="BB100" s="578"/>
    </row>
    <row r="101" spans="1:54" x14ac:dyDescent="0.2">
      <c r="A101" s="25"/>
      <c r="B101" s="14"/>
      <c r="C101" s="247" t="s">
        <v>59</v>
      </c>
      <c r="D101" s="542"/>
      <c r="E101" s="543"/>
      <c r="F101" s="544"/>
      <c r="G101" s="544"/>
      <c r="H101" s="544"/>
      <c r="I101" s="544"/>
      <c r="J101" s="544"/>
      <c r="K101" s="545"/>
      <c r="L101" s="544"/>
      <c r="M101" s="544"/>
      <c r="N101" s="544"/>
      <c r="O101" s="544"/>
      <c r="P101" s="546"/>
      <c r="Q101" s="546"/>
      <c r="R101" s="546"/>
      <c r="S101" s="546"/>
      <c r="T101" s="546"/>
      <c r="U101" s="546"/>
      <c r="V101" s="546"/>
      <c r="W101" s="546"/>
      <c r="X101" s="544"/>
      <c r="Y101" s="544"/>
      <c r="Z101" s="544"/>
      <c r="AA101" s="544"/>
      <c r="AB101" s="547">
        <f t="shared" si="41"/>
        <v>0</v>
      </c>
      <c r="AC101" s="548">
        <f t="shared" si="42"/>
        <v>0</v>
      </c>
      <c r="AD101" s="549">
        <f t="shared" si="4"/>
        <v>0</v>
      </c>
      <c r="AE101" s="550">
        <f t="shared" si="5"/>
        <v>0</v>
      </c>
      <c r="AF101" s="544"/>
      <c r="AG101" s="544"/>
      <c r="AH101" s="549"/>
      <c r="AI101" s="550"/>
      <c r="AJ101" s="551"/>
      <c r="AK101" s="552"/>
      <c r="AL101" s="548"/>
      <c r="AM101" s="551"/>
      <c r="AN101" s="552"/>
      <c r="AO101" s="553" t="str">
        <f>'L. Eliminations-Consolidations'!A199</f>
        <v>L.2</v>
      </c>
      <c r="AP101" s="552">
        <f>'L. Eliminations-Consolidations'!J199</f>
        <v>0</v>
      </c>
      <c r="AQ101" s="548"/>
      <c r="AR101" s="556" t="s">
        <v>646</v>
      </c>
      <c r="AS101" s="552">
        <f>'K.1  Int. Service Fd Allocation'!G184+'K.2  Int. Service Fd Alloca'!G179+'K.3 Int. Service Fd Alloca'!G182</f>
        <v>0</v>
      </c>
      <c r="AT101" s="557"/>
      <c r="AU101" s="526"/>
      <c r="AV101" s="552">
        <f t="shared" si="38"/>
        <v>0</v>
      </c>
      <c r="AW101" s="552">
        <f t="shared" si="39"/>
        <v>0</v>
      </c>
      <c r="AX101" s="549"/>
      <c r="AY101" s="550"/>
      <c r="AZ101" s="552" t="str">
        <f>IF((AV101+AV102+AV103)-(AW101+AW102+AW103)&lt;=0," ",(AV101+AV102+AV103)-(AW101+AW102+AW103))</f>
        <v xml:space="preserve"> </v>
      </c>
      <c r="BA101" s="554">
        <f>IF((AV101+AV102+AV103)-(AW101+AW102+AW103)&gt;0," ",(AW101+AW102+AW103)-(AV101+AV102+AV103))</f>
        <v>0</v>
      </c>
    </row>
    <row r="102" spans="1:54" x14ac:dyDescent="0.2">
      <c r="A102" s="25"/>
      <c r="B102" s="14"/>
      <c r="C102" s="247"/>
      <c r="D102" s="542"/>
      <c r="E102" s="543"/>
      <c r="F102" s="544"/>
      <c r="G102" s="544"/>
      <c r="H102" s="544"/>
      <c r="I102" s="544"/>
      <c r="J102" s="544"/>
      <c r="K102" s="545"/>
      <c r="L102" s="544"/>
      <c r="M102" s="544"/>
      <c r="N102" s="544"/>
      <c r="O102" s="544"/>
      <c r="P102" s="546"/>
      <c r="Q102" s="546"/>
      <c r="R102" s="546"/>
      <c r="S102" s="546"/>
      <c r="T102" s="546"/>
      <c r="U102" s="546"/>
      <c r="V102" s="546"/>
      <c r="W102" s="546"/>
      <c r="X102" s="544"/>
      <c r="Y102" s="544"/>
      <c r="Z102" s="544"/>
      <c r="AA102" s="544"/>
      <c r="AB102" s="547">
        <f t="shared" si="41"/>
        <v>0</v>
      </c>
      <c r="AC102" s="548">
        <f t="shared" si="42"/>
        <v>0</v>
      </c>
      <c r="AD102" s="549">
        <f t="shared" si="4"/>
        <v>0</v>
      </c>
      <c r="AE102" s="550">
        <f t="shared" si="5"/>
        <v>0</v>
      </c>
      <c r="AF102" s="544"/>
      <c r="AG102" s="544"/>
      <c r="AH102" s="549"/>
      <c r="AI102" s="550"/>
      <c r="AJ102" s="551"/>
      <c r="AK102" s="552"/>
      <c r="AL102" s="548"/>
      <c r="AM102" s="551"/>
      <c r="AN102" s="552"/>
      <c r="AO102" s="553" t="str">
        <f>'L. Eliminations-Consolidations'!A204</f>
        <v>L.3</v>
      </c>
      <c r="AP102" s="552">
        <f>'L. Eliminations-Consolidations'!J205</f>
        <v>0</v>
      </c>
      <c r="AQ102" s="548"/>
      <c r="AR102" s="551"/>
      <c r="AS102" s="554"/>
      <c r="AT102" s="525"/>
      <c r="AU102" s="526"/>
      <c r="AV102" s="552">
        <f t="shared" si="38"/>
        <v>0</v>
      </c>
      <c r="AW102" s="552">
        <f t="shared" si="39"/>
        <v>0</v>
      </c>
      <c r="AX102" s="549"/>
      <c r="AY102" s="550"/>
      <c r="AZ102" s="552"/>
      <c r="BA102" s="554"/>
    </row>
    <row r="103" spans="1:54" x14ac:dyDescent="0.2">
      <c r="A103" s="25"/>
      <c r="B103" s="14"/>
      <c r="C103" s="247"/>
      <c r="D103" s="542"/>
      <c r="E103" s="543"/>
      <c r="F103" s="544"/>
      <c r="G103" s="544"/>
      <c r="H103" s="544"/>
      <c r="I103" s="544"/>
      <c r="J103" s="544"/>
      <c r="K103" s="545"/>
      <c r="L103" s="544"/>
      <c r="M103" s="544"/>
      <c r="N103" s="544"/>
      <c r="O103" s="544"/>
      <c r="P103" s="546"/>
      <c r="Q103" s="546"/>
      <c r="R103" s="546"/>
      <c r="S103" s="546"/>
      <c r="T103" s="546"/>
      <c r="U103" s="546"/>
      <c r="V103" s="546"/>
      <c r="W103" s="546"/>
      <c r="X103" s="544"/>
      <c r="Y103" s="544"/>
      <c r="Z103" s="544"/>
      <c r="AA103" s="544"/>
      <c r="AB103" s="547">
        <f t="shared" si="41"/>
        <v>0</v>
      </c>
      <c r="AC103" s="548">
        <f t="shared" si="42"/>
        <v>0</v>
      </c>
      <c r="AD103" s="549">
        <f t="shared" ref="AD103:AD206" si="43">D103+F103+H103+J103+AB103</f>
        <v>0</v>
      </c>
      <c r="AE103" s="550">
        <f t="shared" ref="AE103:AE206" si="44">E103+G103+I103+K103+AC103</f>
        <v>0</v>
      </c>
      <c r="AF103" s="544"/>
      <c r="AG103" s="544"/>
      <c r="AH103" s="549"/>
      <c r="AI103" s="550"/>
      <c r="AJ103" s="551"/>
      <c r="AK103" s="552"/>
      <c r="AL103" s="548"/>
      <c r="AM103" s="551"/>
      <c r="AN103" s="552"/>
      <c r="AO103" s="553" t="str">
        <f>'L. Eliminations-Consolidations'!A210</f>
        <v>L.4</v>
      </c>
      <c r="AP103" s="552">
        <f>'L. Eliminations-Consolidations'!J212</f>
        <v>0</v>
      </c>
      <c r="AQ103" s="548"/>
      <c r="AR103" s="551"/>
      <c r="AS103" s="554"/>
      <c r="AT103" s="525"/>
      <c r="AU103" s="526"/>
      <c r="AV103" s="552">
        <f t="shared" si="38"/>
        <v>0</v>
      </c>
      <c r="AW103" s="552">
        <f t="shared" si="39"/>
        <v>0</v>
      </c>
      <c r="AX103" s="549"/>
      <c r="AY103" s="550"/>
      <c r="AZ103" s="552"/>
      <c r="BA103" s="554"/>
    </row>
    <row r="104" spans="1:54" ht="5.25" customHeight="1" x14ac:dyDescent="0.2">
      <c r="A104" s="25"/>
      <c r="B104" s="14"/>
      <c r="C104" s="21"/>
      <c r="D104" s="527"/>
      <c r="E104" s="528"/>
      <c r="F104" s="518"/>
      <c r="G104" s="518"/>
      <c r="H104" s="518"/>
      <c r="I104" s="518"/>
      <c r="J104" s="518"/>
      <c r="K104" s="519"/>
      <c r="L104" s="518"/>
      <c r="M104" s="518"/>
      <c r="N104" s="518"/>
      <c r="O104" s="518"/>
      <c r="P104" s="520"/>
      <c r="Q104" s="520"/>
      <c r="R104" s="520"/>
      <c r="S104" s="520"/>
      <c r="T104" s="520"/>
      <c r="U104" s="520"/>
      <c r="V104" s="520"/>
      <c r="W104" s="520"/>
      <c r="X104" s="518"/>
      <c r="Y104" s="518"/>
      <c r="Z104" s="518"/>
      <c r="AA104" s="518"/>
      <c r="AB104" s="531"/>
      <c r="AC104" s="505"/>
      <c r="AD104" s="508"/>
      <c r="AE104" s="521"/>
      <c r="AF104" s="518"/>
      <c r="AG104" s="518"/>
      <c r="AH104" s="508"/>
      <c r="AI104" s="521"/>
      <c r="AJ104" s="522"/>
      <c r="AK104" s="506"/>
      <c r="AL104" s="505"/>
      <c r="AM104" s="522"/>
      <c r="AN104" s="506"/>
      <c r="AO104" s="523"/>
      <c r="AP104" s="506"/>
      <c r="AQ104" s="505"/>
      <c r="AR104" s="522"/>
      <c r="AS104" s="524"/>
      <c r="AT104" s="525"/>
      <c r="AU104" s="526"/>
      <c r="AV104" s="434"/>
      <c r="AW104" s="434"/>
      <c r="AX104" s="508"/>
      <c r="AY104" s="521"/>
      <c r="AZ104" s="506"/>
      <c r="BA104" s="524"/>
    </row>
    <row r="105" spans="1:54" ht="38.25" x14ac:dyDescent="0.2">
      <c r="A105" s="25"/>
      <c r="C105" s="745" t="s">
        <v>1168</v>
      </c>
      <c r="D105" s="542"/>
      <c r="E105" s="543"/>
      <c r="F105" s="544"/>
      <c r="G105" s="544"/>
      <c r="H105" s="544"/>
      <c r="I105" s="544"/>
      <c r="J105" s="544"/>
      <c r="K105" s="545"/>
      <c r="L105" s="544"/>
      <c r="M105" s="544"/>
      <c r="N105" s="544"/>
      <c r="O105" s="544"/>
      <c r="P105" s="546"/>
      <c r="Q105" s="546"/>
      <c r="R105" s="546"/>
      <c r="S105" s="546"/>
      <c r="T105" s="546"/>
      <c r="U105" s="546"/>
      <c r="V105" s="546"/>
      <c r="W105" s="546"/>
      <c r="X105" s="544"/>
      <c r="Y105" s="544"/>
      <c r="Z105" s="544"/>
      <c r="AA105" s="544"/>
      <c r="AB105" s="547">
        <f t="shared" ref="AB105:AC107" si="45">L105+N105+P105+R105+T105+V105+X105+Z105</f>
        <v>0</v>
      </c>
      <c r="AC105" s="548">
        <f t="shared" si="45"/>
        <v>0</v>
      </c>
      <c r="AD105" s="549">
        <f t="shared" ref="AD105:AE107" si="46">D105+F105+H105+J105+AB105</f>
        <v>0</v>
      </c>
      <c r="AE105" s="550">
        <f t="shared" si="46"/>
        <v>0</v>
      </c>
      <c r="AF105" s="544"/>
      <c r="AG105" s="544"/>
      <c r="AH105" s="549"/>
      <c r="AI105" s="550"/>
      <c r="AJ105" s="551"/>
      <c r="AK105" s="552"/>
      <c r="AL105" s="548"/>
      <c r="AM105" s="551"/>
      <c r="AN105" s="552"/>
      <c r="AO105" s="553"/>
      <c r="AP105" s="552"/>
      <c r="AQ105" s="548"/>
      <c r="AR105" s="551"/>
      <c r="AS105" s="554"/>
      <c r="AT105" s="525"/>
      <c r="AU105" s="526"/>
      <c r="AV105" s="552">
        <f>ROUND(AD105+AF105+AH105+AK105+AP105+AT105,0)</f>
        <v>0</v>
      </c>
      <c r="AW105" s="552">
        <f>ROUND(AE105+AG105+AI105+AN105+AS105+AU105,0)</f>
        <v>0</v>
      </c>
      <c r="AX105" s="549"/>
      <c r="AY105" s="550"/>
      <c r="AZ105" s="552" t="str">
        <f>IF((AV105+AV106+AV107)-(AW105+AW106+AW107)&lt;=0," ",(AV105+AV106+AV107)-(AW105+AW106+AW107))</f>
        <v xml:space="preserve"> </v>
      </c>
      <c r="BA105" s="554">
        <f>IF((AV105+AV106+AV107)-(AW105+AW106+AW107)&gt;0," ",(AW105+AW106+AW107)-(AV105+AV106+AV107))</f>
        <v>0</v>
      </c>
    </row>
    <row r="106" spans="1:54" x14ac:dyDescent="0.2">
      <c r="A106" s="25"/>
      <c r="B106" s="14"/>
      <c r="C106" s="248"/>
      <c r="D106" s="542"/>
      <c r="E106" s="543"/>
      <c r="F106" s="544"/>
      <c r="G106" s="544"/>
      <c r="H106" s="544"/>
      <c r="I106" s="544"/>
      <c r="J106" s="544"/>
      <c r="K106" s="545"/>
      <c r="L106" s="544"/>
      <c r="M106" s="544"/>
      <c r="N106" s="544"/>
      <c r="O106" s="544"/>
      <c r="P106" s="546"/>
      <c r="Q106" s="546"/>
      <c r="R106" s="546"/>
      <c r="S106" s="546"/>
      <c r="T106" s="546"/>
      <c r="U106" s="546"/>
      <c r="V106" s="546"/>
      <c r="W106" s="546"/>
      <c r="X106" s="544"/>
      <c r="Y106" s="544"/>
      <c r="Z106" s="544"/>
      <c r="AA106" s="544"/>
      <c r="AB106" s="547">
        <f t="shared" si="45"/>
        <v>0</v>
      </c>
      <c r="AC106" s="548">
        <f t="shared" si="45"/>
        <v>0</v>
      </c>
      <c r="AD106" s="549">
        <f t="shared" si="46"/>
        <v>0</v>
      </c>
      <c r="AE106" s="550">
        <f t="shared" si="46"/>
        <v>0</v>
      </c>
      <c r="AF106" s="544"/>
      <c r="AG106" s="544"/>
      <c r="AH106" s="549"/>
      <c r="AI106" s="550"/>
      <c r="AJ106" s="551"/>
      <c r="AK106" s="552"/>
      <c r="AL106" s="548"/>
      <c r="AM106" s="551"/>
      <c r="AN106" s="552"/>
      <c r="AO106" s="553"/>
      <c r="AP106" s="552"/>
      <c r="AQ106" s="548"/>
      <c r="AR106" s="551"/>
      <c r="AS106" s="554"/>
      <c r="AT106" s="525"/>
      <c r="AU106" s="526"/>
      <c r="AV106" s="552">
        <f>ROUND(AD106+AF106+AH106+AK106+AP106+AT106,0)</f>
        <v>0</v>
      </c>
      <c r="AW106" s="552">
        <f>ROUND(AE106+AG106+AI106+AN106+AS106+AU106,0)</f>
        <v>0</v>
      </c>
      <c r="AX106" s="549"/>
      <c r="AY106" s="550"/>
      <c r="AZ106" s="552"/>
      <c r="BA106" s="554"/>
    </row>
    <row r="107" spans="1:54" x14ac:dyDescent="0.2">
      <c r="A107" s="25"/>
      <c r="B107" s="14"/>
      <c r="C107" s="248"/>
      <c r="D107" s="542"/>
      <c r="E107" s="543"/>
      <c r="F107" s="544"/>
      <c r="G107" s="544"/>
      <c r="H107" s="544"/>
      <c r="I107" s="544"/>
      <c r="J107" s="544"/>
      <c r="K107" s="545"/>
      <c r="L107" s="544"/>
      <c r="M107" s="544"/>
      <c r="N107" s="544"/>
      <c r="O107" s="544"/>
      <c r="P107" s="546"/>
      <c r="Q107" s="546"/>
      <c r="R107" s="546"/>
      <c r="S107" s="546"/>
      <c r="T107" s="546"/>
      <c r="U107" s="546"/>
      <c r="V107" s="546"/>
      <c r="W107" s="546"/>
      <c r="X107" s="544"/>
      <c r="Y107" s="544"/>
      <c r="Z107" s="544"/>
      <c r="AA107" s="544"/>
      <c r="AB107" s="547">
        <f t="shared" si="45"/>
        <v>0</v>
      </c>
      <c r="AC107" s="548">
        <f t="shared" si="45"/>
        <v>0</v>
      </c>
      <c r="AD107" s="549">
        <f t="shared" si="46"/>
        <v>0</v>
      </c>
      <c r="AE107" s="550">
        <f t="shared" si="46"/>
        <v>0</v>
      </c>
      <c r="AF107" s="544"/>
      <c r="AG107" s="544"/>
      <c r="AH107" s="549"/>
      <c r="AI107" s="550"/>
      <c r="AJ107" s="551"/>
      <c r="AK107" s="552"/>
      <c r="AL107" s="548"/>
      <c r="AM107" s="551"/>
      <c r="AN107" s="552"/>
      <c r="AO107" s="553"/>
      <c r="AP107" s="552"/>
      <c r="AQ107" s="548"/>
      <c r="AR107" s="551"/>
      <c r="AS107" s="554"/>
      <c r="AT107" s="525"/>
      <c r="AU107" s="526"/>
      <c r="AV107" s="552">
        <f>ROUND(AD107+AF107+AH107+AK107+AP107+AT107,0)</f>
        <v>0</v>
      </c>
      <c r="AW107" s="552">
        <f>ROUND(AE107+AG107+AI107+AN107+AS107+AU107,0)</f>
        <v>0</v>
      </c>
      <c r="AX107" s="549"/>
      <c r="AY107" s="550"/>
      <c r="AZ107" s="552"/>
      <c r="BA107" s="554"/>
    </row>
    <row r="108" spans="1:54" x14ac:dyDescent="0.2">
      <c r="A108" s="25"/>
      <c r="B108" s="14"/>
      <c r="C108" s="14" t="s">
        <v>60</v>
      </c>
      <c r="D108" s="527"/>
      <c r="E108" s="528"/>
      <c r="F108" s="518"/>
      <c r="G108" s="518"/>
      <c r="H108" s="518"/>
      <c r="I108" s="518"/>
      <c r="J108" s="518"/>
      <c r="K108" s="519"/>
      <c r="L108" s="518"/>
      <c r="M108" s="518"/>
      <c r="N108" s="518"/>
      <c r="O108" s="518"/>
      <c r="P108" s="520"/>
      <c r="Q108" s="520"/>
      <c r="R108" s="520"/>
      <c r="S108" s="520"/>
      <c r="T108" s="520"/>
      <c r="U108" s="520"/>
      <c r="V108" s="520"/>
      <c r="W108" s="520"/>
      <c r="X108" s="518"/>
      <c r="Y108" s="518"/>
      <c r="Z108" s="518"/>
      <c r="AA108" s="518"/>
      <c r="AB108" s="531">
        <f t="shared" si="41"/>
        <v>0</v>
      </c>
      <c r="AC108" s="505">
        <f t="shared" si="42"/>
        <v>0</v>
      </c>
      <c r="AD108" s="508">
        <f t="shared" si="43"/>
        <v>0</v>
      </c>
      <c r="AE108" s="521">
        <f t="shared" si="44"/>
        <v>0</v>
      </c>
      <c r="AF108" s="518"/>
      <c r="AG108" s="518"/>
      <c r="AH108" s="508"/>
      <c r="AI108" s="521"/>
      <c r="AJ108" s="522"/>
      <c r="AK108" s="506"/>
      <c r="AL108" s="505"/>
      <c r="AM108" s="522"/>
      <c r="AN108" s="506"/>
      <c r="AO108" s="523"/>
      <c r="AP108" s="506"/>
      <c r="AQ108" s="505"/>
      <c r="AR108" s="522"/>
      <c r="AS108" s="524"/>
      <c r="AT108" s="525"/>
      <c r="AU108" s="526"/>
      <c r="AV108" s="467">
        <f t="shared" ref="AV108:AV113" si="47">ROUND(AD108+AF108+AH108+AK108+AP108+AT108,0)</f>
        <v>0</v>
      </c>
      <c r="AW108" s="467">
        <f t="shared" ref="AW108:AW113" si="48">ROUND(AE108+AG108+AI108+AN108+AS108+AU108,0)</f>
        <v>0</v>
      </c>
      <c r="AX108" s="508"/>
      <c r="AY108" s="521"/>
      <c r="AZ108" s="506" t="str">
        <f t="shared" si="40"/>
        <v xml:space="preserve"> </v>
      </c>
      <c r="BA108" s="524">
        <f>IF(AV108-AW108&gt;0," ",AW108-AV108)</f>
        <v>0</v>
      </c>
    </row>
    <row r="109" spans="1:54" x14ac:dyDescent="0.2">
      <c r="A109" s="25"/>
      <c r="B109" s="14"/>
      <c r="C109" s="14" t="s">
        <v>143</v>
      </c>
      <c r="D109" s="527"/>
      <c r="E109" s="528"/>
      <c r="F109" s="518"/>
      <c r="G109" s="518"/>
      <c r="H109" s="518"/>
      <c r="I109" s="518"/>
      <c r="J109" s="518"/>
      <c r="K109" s="519"/>
      <c r="L109" s="518"/>
      <c r="M109" s="518"/>
      <c r="N109" s="518"/>
      <c r="O109" s="518"/>
      <c r="P109" s="520"/>
      <c r="Q109" s="520"/>
      <c r="R109" s="520"/>
      <c r="S109" s="520"/>
      <c r="T109" s="520"/>
      <c r="U109" s="520"/>
      <c r="V109" s="520"/>
      <c r="W109" s="520"/>
      <c r="X109" s="518"/>
      <c r="Y109" s="518"/>
      <c r="Z109" s="518"/>
      <c r="AA109" s="518"/>
      <c r="AB109" s="531">
        <f t="shared" si="41"/>
        <v>0</v>
      </c>
      <c r="AC109" s="505">
        <f t="shared" si="42"/>
        <v>0</v>
      </c>
      <c r="AD109" s="508">
        <f t="shared" si="43"/>
        <v>0</v>
      </c>
      <c r="AE109" s="521">
        <f t="shared" si="44"/>
        <v>0</v>
      </c>
      <c r="AF109" s="518"/>
      <c r="AG109" s="518"/>
      <c r="AH109" s="508"/>
      <c r="AI109" s="521"/>
      <c r="AJ109" s="522"/>
      <c r="AK109" s="506"/>
      <c r="AL109" s="505"/>
      <c r="AM109" s="522"/>
      <c r="AN109" s="506"/>
      <c r="AO109" s="523"/>
      <c r="AP109" s="506"/>
      <c r="AQ109" s="505"/>
      <c r="AR109" s="522"/>
      <c r="AS109" s="524"/>
      <c r="AT109" s="525"/>
      <c r="AU109" s="526"/>
      <c r="AV109" s="467">
        <f t="shared" si="47"/>
        <v>0</v>
      </c>
      <c r="AW109" s="467">
        <f t="shared" si="48"/>
        <v>0</v>
      </c>
      <c r="AX109" s="508"/>
      <c r="AY109" s="521"/>
      <c r="AZ109" s="506" t="str">
        <f t="shared" si="40"/>
        <v xml:space="preserve"> </v>
      </c>
      <c r="BA109" s="524">
        <f>IF(AV109-AW109&gt;0," ",AW109-AV109)</f>
        <v>0</v>
      </c>
      <c r="BB109" s="578"/>
    </row>
    <row r="110" spans="1:54" x14ac:dyDescent="0.2">
      <c r="A110" s="25"/>
      <c r="B110" s="14"/>
      <c r="C110" s="14" t="s">
        <v>289</v>
      </c>
      <c r="D110" s="527"/>
      <c r="E110" s="528"/>
      <c r="F110" s="518"/>
      <c r="G110" s="518"/>
      <c r="H110" s="518"/>
      <c r="I110" s="518"/>
      <c r="J110" s="518"/>
      <c r="K110" s="519"/>
      <c r="L110" s="518"/>
      <c r="M110" s="518"/>
      <c r="N110" s="518"/>
      <c r="O110" s="518"/>
      <c r="P110" s="520"/>
      <c r="Q110" s="520"/>
      <c r="R110" s="520"/>
      <c r="S110" s="520"/>
      <c r="T110" s="520"/>
      <c r="U110" s="520"/>
      <c r="V110" s="520"/>
      <c r="W110" s="520"/>
      <c r="X110" s="518"/>
      <c r="Y110" s="518"/>
      <c r="Z110" s="518"/>
      <c r="AA110" s="518"/>
      <c r="AB110" s="531">
        <f t="shared" si="41"/>
        <v>0</v>
      </c>
      <c r="AC110" s="505">
        <f t="shared" si="42"/>
        <v>0</v>
      </c>
      <c r="AD110" s="508">
        <f t="shared" si="43"/>
        <v>0</v>
      </c>
      <c r="AE110" s="521">
        <f t="shared" si="44"/>
        <v>0</v>
      </c>
      <c r="AF110" s="518"/>
      <c r="AG110" s="518"/>
      <c r="AH110" s="508"/>
      <c r="AI110" s="521"/>
      <c r="AJ110" s="522"/>
      <c r="AK110" s="506"/>
      <c r="AL110" s="505"/>
      <c r="AM110" s="522"/>
      <c r="AN110" s="506"/>
      <c r="AO110" s="523"/>
      <c r="AP110" s="506"/>
      <c r="AQ110" s="505"/>
      <c r="AR110" s="522" t="str">
        <f>'L. Eliminations-Consolidations'!A210</f>
        <v>L.4</v>
      </c>
      <c r="AS110" s="524">
        <f>'L. Eliminations-Consolidations'!L213</f>
        <v>0</v>
      </c>
      <c r="AT110" s="525"/>
      <c r="AU110" s="526"/>
      <c r="AV110" s="467">
        <f t="shared" si="47"/>
        <v>0</v>
      </c>
      <c r="AW110" s="467">
        <f t="shared" si="48"/>
        <v>0</v>
      </c>
      <c r="AX110" s="508"/>
      <c r="AY110" s="521"/>
      <c r="AZ110" s="506" t="str">
        <f t="shared" si="40"/>
        <v xml:space="preserve"> </v>
      </c>
      <c r="BA110" s="524">
        <f>IF(AV110-AW110&gt;0," ",AW110-AV110)</f>
        <v>0</v>
      </c>
      <c r="BB110" s="36"/>
    </row>
    <row r="111" spans="1:54" x14ac:dyDescent="0.2">
      <c r="A111" s="25"/>
      <c r="B111" s="14"/>
      <c r="C111" s="14" t="s">
        <v>61</v>
      </c>
      <c r="D111" s="527"/>
      <c r="E111" s="528"/>
      <c r="F111" s="518"/>
      <c r="G111" s="518"/>
      <c r="H111" s="518"/>
      <c r="I111" s="518"/>
      <c r="J111" s="518"/>
      <c r="K111" s="519"/>
      <c r="L111" s="518"/>
      <c r="M111" s="518"/>
      <c r="N111" s="518"/>
      <c r="O111" s="518"/>
      <c r="P111" s="520"/>
      <c r="Q111" s="520"/>
      <c r="R111" s="520"/>
      <c r="S111" s="520"/>
      <c r="T111" s="520"/>
      <c r="U111" s="520"/>
      <c r="V111" s="520"/>
      <c r="W111" s="520"/>
      <c r="X111" s="518"/>
      <c r="Y111" s="518"/>
      <c r="Z111" s="518"/>
      <c r="AA111" s="518"/>
      <c r="AB111" s="531">
        <f t="shared" si="41"/>
        <v>0</v>
      </c>
      <c r="AC111" s="505">
        <f t="shared" si="42"/>
        <v>0</v>
      </c>
      <c r="AD111" s="508">
        <f t="shared" si="43"/>
        <v>0</v>
      </c>
      <c r="AE111" s="521">
        <f t="shared" si="44"/>
        <v>0</v>
      </c>
      <c r="AF111" s="518"/>
      <c r="AG111" s="518"/>
      <c r="AH111" s="508"/>
      <c r="AI111" s="521"/>
      <c r="AJ111" s="522"/>
      <c r="AK111" s="506"/>
      <c r="AL111" s="505"/>
      <c r="AM111" s="522"/>
      <c r="AN111" s="506"/>
      <c r="AO111" s="523"/>
      <c r="AP111" s="506"/>
      <c r="AQ111" s="505"/>
      <c r="AR111" s="522"/>
      <c r="AS111" s="524"/>
      <c r="AT111" s="525"/>
      <c r="AU111" s="526"/>
      <c r="AV111" s="467">
        <f t="shared" si="47"/>
        <v>0</v>
      </c>
      <c r="AW111" s="467">
        <f t="shared" si="48"/>
        <v>0</v>
      </c>
      <c r="AX111" s="508"/>
      <c r="AY111" s="521"/>
      <c r="AZ111" s="506" t="str">
        <f t="shared" si="40"/>
        <v xml:space="preserve"> </v>
      </c>
      <c r="BA111" s="524">
        <f>IF(AV111-AW111&gt;0," ",AW111-AV111)</f>
        <v>0</v>
      </c>
      <c r="BB111" s="578"/>
    </row>
    <row r="112" spans="1:54" x14ac:dyDescent="0.2">
      <c r="A112" s="25"/>
      <c r="B112" s="14"/>
      <c r="C112" s="248" t="s">
        <v>849</v>
      </c>
      <c r="D112" s="542"/>
      <c r="E112" s="543"/>
      <c r="F112" s="544"/>
      <c r="G112" s="544"/>
      <c r="H112" s="544"/>
      <c r="I112" s="544"/>
      <c r="J112" s="544"/>
      <c r="K112" s="545"/>
      <c r="L112" s="544"/>
      <c r="M112" s="544"/>
      <c r="N112" s="544"/>
      <c r="O112" s="544"/>
      <c r="P112" s="546"/>
      <c r="Q112" s="546"/>
      <c r="R112" s="546"/>
      <c r="S112" s="546"/>
      <c r="T112" s="546"/>
      <c r="U112" s="546"/>
      <c r="V112" s="546"/>
      <c r="W112" s="546"/>
      <c r="X112" s="544"/>
      <c r="Y112" s="544"/>
      <c r="Z112" s="544"/>
      <c r="AA112" s="544"/>
      <c r="AB112" s="547">
        <f t="shared" si="41"/>
        <v>0</v>
      </c>
      <c r="AC112" s="548">
        <f t="shared" si="42"/>
        <v>0</v>
      </c>
      <c r="AD112" s="549">
        <f t="shared" si="43"/>
        <v>0</v>
      </c>
      <c r="AE112" s="550">
        <f t="shared" si="44"/>
        <v>0</v>
      </c>
      <c r="AF112" s="544"/>
      <c r="AG112" s="544"/>
      <c r="AH112" s="549"/>
      <c r="AI112" s="550"/>
      <c r="AJ112" s="551"/>
      <c r="AK112" s="552"/>
      <c r="AL112" s="548"/>
      <c r="AM112" s="551"/>
      <c r="AN112" s="552"/>
      <c r="AO112" s="553" t="str">
        <f>'L. Eliminations-Consolidations'!A199</f>
        <v>L.2</v>
      </c>
      <c r="AP112" s="552">
        <f>'L. Eliminations-Consolidations'!J200</f>
        <v>0</v>
      </c>
      <c r="AQ112" s="548"/>
      <c r="AR112" s="556" t="s">
        <v>646</v>
      </c>
      <c r="AS112" s="552">
        <f>'K.1  Int. Service Fd Allocation'!G185+'K.2  Int. Service Fd Alloca'!G180+'K.3 Int. Service Fd Alloca'!G183</f>
        <v>0</v>
      </c>
      <c r="AT112" s="557"/>
      <c r="AU112" s="526"/>
      <c r="AV112" s="552">
        <f t="shared" si="47"/>
        <v>0</v>
      </c>
      <c r="AW112" s="552">
        <f t="shared" si="48"/>
        <v>0</v>
      </c>
      <c r="AX112" s="549"/>
      <c r="AY112" s="550"/>
      <c r="AZ112" s="552" t="str">
        <f>IF((AV112+AV113)-(AW112+AW113)&lt;=0," ",(AV112+AV113)-(AW112+AW113))</f>
        <v xml:space="preserve"> </v>
      </c>
      <c r="BA112" s="554">
        <f>IF((AV112+AV113)-(AW112+AW113)&gt;0," ",(AW112+AW113)-(AV112+AV113))</f>
        <v>0</v>
      </c>
    </row>
    <row r="113" spans="1:54" x14ac:dyDescent="0.2">
      <c r="A113" s="25"/>
      <c r="B113" s="14"/>
      <c r="C113" s="248"/>
      <c r="D113" s="542"/>
      <c r="E113" s="543"/>
      <c r="F113" s="544"/>
      <c r="G113" s="544"/>
      <c r="H113" s="544"/>
      <c r="I113" s="544"/>
      <c r="J113" s="544"/>
      <c r="K113" s="545"/>
      <c r="L113" s="544"/>
      <c r="M113" s="544"/>
      <c r="N113" s="544"/>
      <c r="O113" s="544"/>
      <c r="P113" s="546"/>
      <c r="Q113" s="546"/>
      <c r="R113" s="546"/>
      <c r="S113" s="546"/>
      <c r="T113" s="546"/>
      <c r="U113" s="546"/>
      <c r="V113" s="546"/>
      <c r="W113" s="546"/>
      <c r="X113" s="544"/>
      <c r="Y113" s="544"/>
      <c r="Z113" s="544"/>
      <c r="AA113" s="544"/>
      <c r="AB113" s="547">
        <f t="shared" si="41"/>
        <v>0</v>
      </c>
      <c r="AC113" s="548">
        <f t="shared" si="42"/>
        <v>0</v>
      </c>
      <c r="AD113" s="549">
        <f t="shared" si="43"/>
        <v>0</v>
      </c>
      <c r="AE113" s="550">
        <f t="shared" si="44"/>
        <v>0</v>
      </c>
      <c r="AF113" s="544"/>
      <c r="AG113" s="544"/>
      <c r="AH113" s="549"/>
      <c r="AI113" s="550"/>
      <c r="AJ113" s="551"/>
      <c r="AK113" s="552"/>
      <c r="AL113" s="548"/>
      <c r="AM113" s="551"/>
      <c r="AN113" s="552"/>
      <c r="AO113" s="553" t="str">
        <f>'L. Eliminations-Consolidations'!A204</f>
        <v>L.3</v>
      </c>
      <c r="AP113" s="552">
        <f>'L. Eliminations-Consolidations'!J204</f>
        <v>0</v>
      </c>
      <c r="AQ113" s="548"/>
      <c r="AR113" s="551"/>
      <c r="AS113" s="554"/>
      <c r="AT113" s="525"/>
      <c r="AU113" s="526"/>
      <c r="AV113" s="552">
        <f t="shared" si="47"/>
        <v>0</v>
      </c>
      <c r="AW113" s="552">
        <f t="shared" si="48"/>
        <v>0</v>
      </c>
      <c r="AX113" s="549"/>
      <c r="AY113" s="550"/>
      <c r="AZ113" s="552"/>
      <c r="BA113" s="554"/>
    </row>
    <row r="114" spans="1:54" x14ac:dyDescent="0.2">
      <c r="A114" s="25"/>
      <c r="B114" s="14"/>
      <c r="C114" s="14" t="s">
        <v>169</v>
      </c>
      <c r="D114" s="527"/>
      <c r="E114" s="528"/>
      <c r="F114" s="518"/>
      <c r="G114" s="518"/>
      <c r="H114" s="518"/>
      <c r="I114" s="518"/>
      <c r="J114" s="518"/>
      <c r="K114" s="519"/>
      <c r="L114" s="518"/>
      <c r="M114" s="518"/>
      <c r="N114" s="518"/>
      <c r="O114" s="518"/>
      <c r="P114" s="520"/>
      <c r="Q114" s="520"/>
      <c r="R114" s="520"/>
      <c r="S114" s="520"/>
      <c r="T114" s="520"/>
      <c r="U114" s="520"/>
      <c r="V114" s="520"/>
      <c r="W114" s="520"/>
      <c r="X114" s="518"/>
      <c r="Y114" s="518"/>
      <c r="Z114" s="518"/>
      <c r="AA114" s="518"/>
      <c r="AB114" s="531">
        <f t="shared" si="41"/>
        <v>0</v>
      </c>
      <c r="AC114" s="505">
        <f t="shared" si="42"/>
        <v>0</v>
      </c>
      <c r="AD114" s="508">
        <f t="shared" si="43"/>
        <v>0</v>
      </c>
      <c r="AE114" s="521">
        <f t="shared" si="44"/>
        <v>0</v>
      </c>
      <c r="AF114" s="518"/>
      <c r="AG114" s="518"/>
      <c r="AH114" s="508"/>
      <c r="AI114" s="521"/>
      <c r="AJ114" s="522" t="str">
        <f>'G. Debt Service'!D55</f>
        <v>G.3</v>
      </c>
      <c r="AK114" s="506">
        <f>'G. Debt Service'!L55</f>
        <v>0</v>
      </c>
      <c r="AL114" s="505"/>
      <c r="AM114" s="522" t="str">
        <f>'G. Debt Service'!D52</f>
        <v>G.2</v>
      </c>
      <c r="AN114" s="506">
        <f>'G. Debt Service'!N53</f>
        <v>0</v>
      </c>
      <c r="AO114" s="523"/>
      <c r="AP114" s="506"/>
      <c r="AQ114" s="505"/>
      <c r="AR114" s="522"/>
      <c r="AS114" s="524"/>
      <c r="AT114" s="525"/>
      <c r="AU114" s="526"/>
      <c r="AV114" s="467">
        <f t="shared" ref="AV114:AV123" si="49">ROUND(AD114+AF114+AH114+AK114+AP114+AT114,0)</f>
        <v>0</v>
      </c>
      <c r="AW114" s="467">
        <f t="shared" ref="AW114:AW122" si="50">ROUND(AE114+AG114+AI114+AN114+AS114+AU114,0)</f>
        <v>0</v>
      </c>
      <c r="AX114" s="508"/>
      <c r="AY114" s="521"/>
      <c r="AZ114" s="506" t="str">
        <f t="shared" si="40"/>
        <v xml:space="preserve"> </v>
      </c>
      <c r="BA114" s="540">
        <f t="shared" ref="BA114:BA122" si="51">IF(AV114-AW114&gt;0," ",AW114-AV114)</f>
        <v>0</v>
      </c>
    </row>
    <row r="115" spans="1:54" x14ac:dyDescent="0.2">
      <c r="A115" s="25"/>
      <c r="B115" s="14"/>
      <c r="C115" s="14" t="s">
        <v>670</v>
      </c>
      <c r="D115" s="527"/>
      <c r="E115" s="528"/>
      <c r="F115" s="518"/>
      <c r="G115" s="518"/>
      <c r="H115" s="518"/>
      <c r="I115" s="518"/>
      <c r="J115" s="518"/>
      <c r="K115" s="519"/>
      <c r="L115" s="518"/>
      <c r="M115" s="518"/>
      <c r="N115" s="518"/>
      <c r="O115" s="518"/>
      <c r="P115" s="520"/>
      <c r="Q115" s="520"/>
      <c r="R115" s="520"/>
      <c r="S115" s="520"/>
      <c r="T115" s="520"/>
      <c r="U115" s="520"/>
      <c r="V115" s="520"/>
      <c r="W115" s="520"/>
      <c r="X115" s="518"/>
      <c r="Y115" s="518"/>
      <c r="Z115" s="518"/>
      <c r="AA115" s="518"/>
      <c r="AB115" s="531">
        <f t="shared" si="41"/>
        <v>0</v>
      </c>
      <c r="AC115" s="505">
        <f t="shared" si="42"/>
        <v>0</v>
      </c>
      <c r="AD115" s="508">
        <f t="shared" si="43"/>
        <v>0</v>
      </c>
      <c r="AE115" s="521">
        <f t="shared" si="44"/>
        <v>0</v>
      </c>
      <c r="AF115" s="518"/>
      <c r="AG115" s="518"/>
      <c r="AH115" s="508"/>
      <c r="AI115" s="521"/>
      <c r="AJ115" s="522"/>
      <c r="AK115" s="506"/>
      <c r="AL115" s="505"/>
      <c r="AM115" s="522"/>
      <c r="AN115" s="506"/>
      <c r="AO115" s="523"/>
      <c r="AP115" s="506"/>
      <c r="AQ115" s="505"/>
      <c r="AR115" s="522" t="str">
        <f>'L. Eliminations-Consolidations'!A220</f>
        <v>L.6</v>
      </c>
      <c r="AS115" s="524">
        <f>'L. Eliminations-Consolidations'!L228</f>
        <v>0</v>
      </c>
      <c r="AT115" s="525"/>
      <c r="AU115" s="526"/>
      <c r="AV115" s="467">
        <f t="shared" si="49"/>
        <v>0</v>
      </c>
      <c r="AW115" s="467">
        <f t="shared" si="50"/>
        <v>0</v>
      </c>
      <c r="AX115" s="508"/>
      <c r="AY115" s="521"/>
      <c r="AZ115" s="506" t="str">
        <f t="shared" si="40"/>
        <v xml:space="preserve"> </v>
      </c>
      <c r="BA115" s="540">
        <f t="shared" si="51"/>
        <v>0</v>
      </c>
    </row>
    <row r="116" spans="1:54" x14ac:dyDescent="0.2">
      <c r="A116" s="25"/>
      <c r="B116" s="14"/>
      <c r="C116" s="14" t="s">
        <v>671</v>
      </c>
      <c r="D116" s="527"/>
      <c r="E116" s="528"/>
      <c r="F116" s="518"/>
      <c r="G116" s="518"/>
      <c r="H116" s="518"/>
      <c r="I116" s="518"/>
      <c r="J116" s="518"/>
      <c r="K116" s="519"/>
      <c r="L116" s="518"/>
      <c r="M116" s="518"/>
      <c r="N116" s="518"/>
      <c r="O116" s="518"/>
      <c r="P116" s="520"/>
      <c r="Q116" s="520"/>
      <c r="R116" s="520"/>
      <c r="S116" s="520"/>
      <c r="T116" s="520"/>
      <c r="U116" s="520"/>
      <c r="V116" s="520"/>
      <c r="W116" s="520"/>
      <c r="X116" s="518"/>
      <c r="Y116" s="518"/>
      <c r="Z116" s="518"/>
      <c r="AA116" s="518"/>
      <c r="AB116" s="531">
        <f t="shared" si="41"/>
        <v>0</v>
      </c>
      <c r="AC116" s="505">
        <f t="shared" si="42"/>
        <v>0</v>
      </c>
      <c r="AD116" s="508">
        <f t="shared" si="43"/>
        <v>0</v>
      </c>
      <c r="AE116" s="521">
        <f t="shared" si="44"/>
        <v>0</v>
      </c>
      <c r="AF116" s="518"/>
      <c r="AG116" s="518"/>
      <c r="AH116" s="508"/>
      <c r="AI116" s="521"/>
      <c r="AJ116" s="522"/>
      <c r="AK116" s="506"/>
      <c r="AL116" s="505"/>
      <c r="AM116" s="522"/>
      <c r="AN116" s="506"/>
      <c r="AO116" s="523"/>
      <c r="AP116" s="506"/>
      <c r="AQ116" s="505"/>
      <c r="AR116" s="522" t="str">
        <f>'L. Eliminations-Consolidations'!A220</f>
        <v>L.6</v>
      </c>
      <c r="AS116" s="524">
        <f>'L. Eliminations-Consolidations'!L229</f>
        <v>0</v>
      </c>
      <c r="AT116" s="525"/>
      <c r="AU116" s="526"/>
      <c r="AV116" s="467">
        <f t="shared" si="49"/>
        <v>0</v>
      </c>
      <c r="AW116" s="467">
        <f t="shared" si="50"/>
        <v>0</v>
      </c>
      <c r="AX116" s="508"/>
      <c r="AY116" s="521"/>
      <c r="AZ116" s="434" t="str">
        <f t="shared" si="40"/>
        <v xml:space="preserve"> </v>
      </c>
      <c r="BA116" s="540">
        <f t="shared" si="51"/>
        <v>0</v>
      </c>
    </row>
    <row r="117" spans="1:54" x14ac:dyDescent="0.2">
      <c r="A117" s="25"/>
      <c r="B117" s="14"/>
      <c r="C117" s="14" t="s">
        <v>672</v>
      </c>
      <c r="D117" s="527"/>
      <c r="E117" s="528"/>
      <c r="F117" s="518"/>
      <c r="G117" s="518"/>
      <c r="H117" s="518"/>
      <c r="I117" s="518"/>
      <c r="J117" s="518"/>
      <c r="K117" s="519"/>
      <c r="L117" s="518"/>
      <c r="M117" s="518"/>
      <c r="N117" s="518"/>
      <c r="O117" s="518"/>
      <c r="P117" s="520"/>
      <c r="Q117" s="520"/>
      <c r="R117" s="520"/>
      <c r="S117" s="520"/>
      <c r="T117" s="520"/>
      <c r="U117" s="520"/>
      <c r="V117" s="520"/>
      <c r="W117" s="520"/>
      <c r="X117" s="518"/>
      <c r="Y117" s="518"/>
      <c r="Z117" s="518"/>
      <c r="AA117" s="518"/>
      <c r="AB117" s="531">
        <f t="shared" si="41"/>
        <v>0</v>
      </c>
      <c r="AC117" s="505">
        <f t="shared" si="42"/>
        <v>0</v>
      </c>
      <c r="AD117" s="508">
        <f t="shared" si="43"/>
        <v>0</v>
      </c>
      <c r="AE117" s="521">
        <f t="shared" si="44"/>
        <v>0</v>
      </c>
      <c r="AF117" s="518"/>
      <c r="AG117" s="518"/>
      <c r="AH117" s="508"/>
      <c r="AI117" s="521"/>
      <c r="AJ117" s="522"/>
      <c r="AK117" s="506"/>
      <c r="AL117" s="505"/>
      <c r="AM117" s="522"/>
      <c r="AN117" s="506"/>
      <c r="AO117" s="523"/>
      <c r="AP117" s="506"/>
      <c r="AQ117" s="505"/>
      <c r="AR117" s="522" t="str">
        <f>'L. Eliminations-Consolidations'!A220</f>
        <v>L.6</v>
      </c>
      <c r="AS117" s="524">
        <f>'L. Eliminations-Consolidations'!L230</f>
        <v>0</v>
      </c>
      <c r="AT117" s="525"/>
      <c r="AU117" s="526"/>
      <c r="AV117" s="467">
        <f t="shared" si="49"/>
        <v>0</v>
      </c>
      <c r="AW117" s="467">
        <f t="shared" si="50"/>
        <v>0</v>
      </c>
      <c r="AX117" s="508"/>
      <c r="AY117" s="521"/>
      <c r="AZ117" s="434" t="str">
        <f t="shared" si="40"/>
        <v xml:space="preserve"> </v>
      </c>
      <c r="BA117" s="540">
        <f t="shared" si="51"/>
        <v>0</v>
      </c>
    </row>
    <row r="118" spans="1:54" x14ac:dyDescent="0.2">
      <c r="A118" s="25"/>
      <c r="B118" s="14"/>
      <c r="C118" s="14" t="s">
        <v>673</v>
      </c>
      <c r="D118" s="527"/>
      <c r="E118" s="528"/>
      <c r="F118" s="518"/>
      <c r="G118" s="518"/>
      <c r="H118" s="518"/>
      <c r="I118" s="518"/>
      <c r="J118" s="518"/>
      <c r="K118" s="519"/>
      <c r="L118" s="518"/>
      <c r="M118" s="518"/>
      <c r="N118" s="518"/>
      <c r="O118" s="518"/>
      <c r="P118" s="520"/>
      <c r="Q118" s="520"/>
      <c r="R118" s="520"/>
      <c r="S118" s="520"/>
      <c r="T118" s="520"/>
      <c r="U118" s="520"/>
      <c r="V118" s="520"/>
      <c r="W118" s="520"/>
      <c r="X118" s="518"/>
      <c r="Y118" s="518"/>
      <c r="Z118" s="518"/>
      <c r="AA118" s="518"/>
      <c r="AB118" s="531">
        <f t="shared" si="41"/>
        <v>0</v>
      </c>
      <c r="AC118" s="505">
        <f t="shared" si="42"/>
        <v>0</v>
      </c>
      <c r="AD118" s="508">
        <f t="shared" si="43"/>
        <v>0</v>
      </c>
      <c r="AE118" s="521">
        <f t="shared" si="44"/>
        <v>0</v>
      </c>
      <c r="AF118" s="518"/>
      <c r="AG118" s="518"/>
      <c r="AH118" s="508"/>
      <c r="AI118" s="521"/>
      <c r="AJ118" s="522"/>
      <c r="AK118" s="506"/>
      <c r="AL118" s="505"/>
      <c r="AM118" s="522"/>
      <c r="AN118" s="506"/>
      <c r="AO118" s="523"/>
      <c r="AP118" s="506"/>
      <c r="AQ118" s="505"/>
      <c r="AR118" s="522" t="str">
        <f>'L. Eliminations-Consolidations'!A220</f>
        <v>L.6</v>
      </c>
      <c r="AS118" s="524">
        <f>'L. Eliminations-Consolidations'!L231</f>
        <v>0</v>
      </c>
      <c r="AT118" s="525"/>
      <c r="AU118" s="526"/>
      <c r="AV118" s="467">
        <f t="shared" si="49"/>
        <v>0</v>
      </c>
      <c r="AW118" s="467">
        <f t="shared" si="50"/>
        <v>0</v>
      </c>
      <c r="AX118" s="508"/>
      <c r="AY118" s="521"/>
      <c r="AZ118" s="434" t="str">
        <f t="shared" si="40"/>
        <v xml:space="preserve"> </v>
      </c>
      <c r="BA118" s="540">
        <f t="shared" si="51"/>
        <v>0</v>
      </c>
    </row>
    <row r="119" spans="1:54" x14ac:dyDescent="0.2">
      <c r="A119" s="25"/>
      <c r="B119" s="14"/>
      <c r="C119" s="14" t="s">
        <v>674</v>
      </c>
      <c r="D119" s="527"/>
      <c r="E119" s="528"/>
      <c r="F119" s="518"/>
      <c r="G119" s="518"/>
      <c r="H119" s="518"/>
      <c r="I119" s="518"/>
      <c r="J119" s="518"/>
      <c r="K119" s="519"/>
      <c r="L119" s="518"/>
      <c r="M119" s="518"/>
      <c r="N119" s="518"/>
      <c r="O119" s="518"/>
      <c r="P119" s="520"/>
      <c r="Q119" s="520"/>
      <c r="R119" s="520"/>
      <c r="S119" s="520"/>
      <c r="T119" s="520"/>
      <c r="U119" s="520"/>
      <c r="V119" s="520"/>
      <c r="W119" s="520"/>
      <c r="X119" s="518"/>
      <c r="Y119" s="518"/>
      <c r="Z119" s="518"/>
      <c r="AA119" s="518"/>
      <c r="AB119" s="531">
        <f t="shared" si="41"/>
        <v>0</v>
      </c>
      <c r="AC119" s="505">
        <f t="shared" si="42"/>
        <v>0</v>
      </c>
      <c r="AD119" s="508">
        <f t="shared" si="43"/>
        <v>0</v>
      </c>
      <c r="AE119" s="521">
        <f t="shared" si="44"/>
        <v>0</v>
      </c>
      <c r="AF119" s="518"/>
      <c r="AG119" s="518"/>
      <c r="AH119" s="508"/>
      <c r="AI119" s="521"/>
      <c r="AJ119" s="522"/>
      <c r="AK119" s="506"/>
      <c r="AL119" s="505"/>
      <c r="AM119" s="522"/>
      <c r="AN119" s="506"/>
      <c r="AO119" s="523"/>
      <c r="AP119" s="506"/>
      <c r="AQ119" s="505"/>
      <c r="AR119" s="522" t="str">
        <f>'L. Eliminations-Consolidations'!A220</f>
        <v>L.6</v>
      </c>
      <c r="AS119" s="524">
        <f>'L. Eliminations-Consolidations'!L232</f>
        <v>0</v>
      </c>
      <c r="AT119" s="525"/>
      <c r="AU119" s="526"/>
      <c r="AV119" s="467">
        <f t="shared" si="49"/>
        <v>0</v>
      </c>
      <c r="AW119" s="467">
        <f t="shared" si="50"/>
        <v>0</v>
      </c>
      <c r="AX119" s="508"/>
      <c r="AY119" s="521"/>
      <c r="AZ119" s="434" t="str">
        <f t="shared" si="40"/>
        <v xml:space="preserve"> </v>
      </c>
      <c r="BA119" s="540">
        <f t="shared" si="51"/>
        <v>0</v>
      </c>
      <c r="BB119" s="5"/>
    </row>
    <row r="120" spans="1:54" x14ac:dyDescent="0.2">
      <c r="A120" s="25"/>
      <c r="B120" s="14"/>
      <c r="C120" s="14" t="s">
        <v>893</v>
      </c>
      <c r="D120" s="527"/>
      <c r="E120" s="528"/>
      <c r="F120" s="518"/>
      <c r="G120" s="518"/>
      <c r="H120" s="518"/>
      <c r="I120" s="518"/>
      <c r="J120" s="518"/>
      <c r="K120" s="519"/>
      <c r="L120" s="518"/>
      <c r="M120" s="518"/>
      <c r="N120" s="518"/>
      <c r="O120" s="518"/>
      <c r="P120" s="520"/>
      <c r="Q120" s="520"/>
      <c r="R120" s="520"/>
      <c r="S120" s="520"/>
      <c r="T120" s="520"/>
      <c r="U120" s="520"/>
      <c r="V120" s="520"/>
      <c r="W120" s="520"/>
      <c r="X120" s="518"/>
      <c r="Y120" s="518"/>
      <c r="Z120" s="518"/>
      <c r="AA120" s="518"/>
      <c r="AB120" s="531">
        <f t="shared" si="41"/>
        <v>0</v>
      </c>
      <c r="AC120" s="505">
        <f t="shared" si="42"/>
        <v>0</v>
      </c>
      <c r="AD120" s="508">
        <f t="shared" si="43"/>
        <v>0</v>
      </c>
      <c r="AE120" s="521">
        <f t="shared" si="44"/>
        <v>0</v>
      </c>
      <c r="AF120" s="518"/>
      <c r="AG120" s="518"/>
      <c r="AH120" s="508"/>
      <c r="AI120" s="521"/>
      <c r="AJ120" s="522"/>
      <c r="AK120" s="506"/>
      <c r="AL120" s="505"/>
      <c r="AM120" s="522"/>
      <c r="AN120" s="506"/>
      <c r="AO120" s="523"/>
      <c r="AP120" s="506"/>
      <c r="AQ120" s="505"/>
      <c r="AR120" s="522" t="str">
        <f>'L. Eliminations-Consolidations'!A220</f>
        <v>L.6</v>
      </c>
      <c r="AS120" s="524">
        <f>'L. Eliminations-Consolidations'!L233</f>
        <v>0</v>
      </c>
      <c r="AT120" s="525"/>
      <c r="AU120" s="526"/>
      <c r="AV120" s="467">
        <f t="shared" si="49"/>
        <v>0</v>
      </c>
      <c r="AW120" s="467">
        <f t="shared" si="50"/>
        <v>0</v>
      </c>
      <c r="AX120" s="508"/>
      <c r="AY120" s="521"/>
      <c r="AZ120" s="434" t="str">
        <f t="shared" si="40"/>
        <v xml:space="preserve"> </v>
      </c>
      <c r="BA120" s="540">
        <f t="shared" si="51"/>
        <v>0</v>
      </c>
    </row>
    <row r="121" spans="1:54" x14ac:dyDescent="0.2">
      <c r="A121" s="25"/>
      <c r="B121" s="14"/>
      <c r="C121" s="336" t="s">
        <v>676</v>
      </c>
      <c r="D121" s="527"/>
      <c r="E121" s="528"/>
      <c r="F121" s="518"/>
      <c r="G121" s="518"/>
      <c r="H121" s="518"/>
      <c r="I121" s="518"/>
      <c r="J121" s="518"/>
      <c r="K121" s="519"/>
      <c r="L121" s="518"/>
      <c r="M121" s="518"/>
      <c r="N121" s="518"/>
      <c r="O121" s="518"/>
      <c r="P121" s="520"/>
      <c r="Q121" s="520"/>
      <c r="R121" s="520"/>
      <c r="S121" s="520"/>
      <c r="T121" s="520"/>
      <c r="U121" s="520"/>
      <c r="V121" s="520"/>
      <c r="W121" s="520"/>
      <c r="X121" s="518"/>
      <c r="Y121" s="518"/>
      <c r="Z121" s="518"/>
      <c r="AA121" s="518"/>
      <c r="AB121" s="531">
        <f t="shared" si="41"/>
        <v>0</v>
      </c>
      <c r="AC121" s="505">
        <f t="shared" si="42"/>
        <v>0</v>
      </c>
      <c r="AD121" s="508">
        <f t="shared" si="43"/>
        <v>0</v>
      </c>
      <c r="AE121" s="521">
        <f t="shared" si="44"/>
        <v>0</v>
      </c>
      <c r="AF121" s="518"/>
      <c r="AG121" s="518"/>
      <c r="AH121" s="508"/>
      <c r="AI121" s="521"/>
      <c r="AJ121" s="522"/>
      <c r="AK121" s="506"/>
      <c r="AL121" s="505"/>
      <c r="AM121" s="522"/>
      <c r="AN121" s="506"/>
      <c r="AO121" s="523"/>
      <c r="AP121" s="506"/>
      <c r="AQ121" s="505"/>
      <c r="AR121" s="522" t="str">
        <f>'L. Eliminations-Consolidations'!A220</f>
        <v>L.6</v>
      </c>
      <c r="AS121" s="524">
        <f>'L. Eliminations-Consolidations'!L234</f>
        <v>0</v>
      </c>
      <c r="AT121" s="525"/>
      <c r="AU121" s="526"/>
      <c r="AV121" s="467">
        <f t="shared" si="49"/>
        <v>0</v>
      </c>
      <c r="AW121" s="467">
        <f t="shared" si="50"/>
        <v>0</v>
      </c>
      <c r="AX121" s="508"/>
      <c r="AY121" s="521"/>
      <c r="AZ121" s="434" t="str">
        <f t="shared" si="40"/>
        <v xml:space="preserve"> </v>
      </c>
      <c r="BA121" s="540">
        <f t="shared" si="51"/>
        <v>0</v>
      </c>
    </row>
    <row r="122" spans="1:54" x14ac:dyDescent="0.2">
      <c r="A122" s="25"/>
      <c r="B122" s="14"/>
      <c r="C122" s="336" t="s">
        <v>675</v>
      </c>
      <c r="D122" s="527"/>
      <c r="E122" s="528"/>
      <c r="F122" s="518"/>
      <c r="G122" s="518"/>
      <c r="H122" s="518"/>
      <c r="I122" s="518"/>
      <c r="J122" s="518"/>
      <c r="K122" s="519"/>
      <c r="L122" s="518"/>
      <c r="M122" s="518"/>
      <c r="N122" s="518"/>
      <c r="O122" s="518"/>
      <c r="P122" s="520"/>
      <c r="Q122" s="520"/>
      <c r="R122" s="520"/>
      <c r="S122" s="520"/>
      <c r="T122" s="520"/>
      <c r="U122" s="520"/>
      <c r="V122" s="520"/>
      <c r="W122" s="520"/>
      <c r="X122" s="518"/>
      <c r="Y122" s="518"/>
      <c r="Z122" s="518"/>
      <c r="AA122" s="518"/>
      <c r="AB122" s="531">
        <f t="shared" si="41"/>
        <v>0</v>
      </c>
      <c r="AC122" s="505">
        <f t="shared" si="42"/>
        <v>0</v>
      </c>
      <c r="AD122" s="508">
        <f t="shared" si="43"/>
        <v>0</v>
      </c>
      <c r="AE122" s="521">
        <f t="shared" si="44"/>
        <v>0</v>
      </c>
      <c r="AF122" s="518"/>
      <c r="AG122" s="518"/>
      <c r="AH122" s="508"/>
      <c r="AI122" s="521"/>
      <c r="AJ122" s="522"/>
      <c r="AK122" s="506"/>
      <c r="AL122" s="505"/>
      <c r="AM122" s="522"/>
      <c r="AN122" s="506"/>
      <c r="AO122" s="523"/>
      <c r="AP122" s="506"/>
      <c r="AQ122" s="505"/>
      <c r="AR122" s="522" t="str">
        <f>'L. Eliminations-Consolidations'!A220</f>
        <v>L.6</v>
      </c>
      <c r="AS122" s="524">
        <f>'L. Eliminations-Consolidations'!L235</f>
        <v>0</v>
      </c>
      <c r="AT122" s="525"/>
      <c r="AU122" s="526"/>
      <c r="AV122" s="467">
        <f t="shared" si="49"/>
        <v>0</v>
      </c>
      <c r="AW122" s="467">
        <f t="shared" si="50"/>
        <v>0</v>
      </c>
      <c r="AX122" s="508"/>
      <c r="AY122" s="521"/>
      <c r="AZ122" s="434" t="str">
        <f t="shared" si="40"/>
        <v xml:space="preserve"> </v>
      </c>
      <c r="BA122" s="540">
        <f t="shared" si="51"/>
        <v>0</v>
      </c>
    </row>
    <row r="123" spans="1:54" x14ac:dyDescent="0.2">
      <c r="A123" s="25"/>
      <c r="B123" s="14"/>
      <c r="C123" s="31" t="s">
        <v>916</v>
      </c>
      <c r="D123" s="527"/>
      <c r="E123" s="528"/>
      <c r="F123" s="518"/>
      <c r="G123" s="518"/>
      <c r="H123" s="518"/>
      <c r="I123" s="518"/>
      <c r="J123" s="518"/>
      <c r="K123" s="519"/>
      <c r="L123" s="518"/>
      <c r="M123" s="518"/>
      <c r="N123" s="518"/>
      <c r="O123" s="518"/>
      <c r="P123" s="520"/>
      <c r="Q123" s="520"/>
      <c r="R123" s="520"/>
      <c r="S123" s="520"/>
      <c r="T123" s="520"/>
      <c r="U123" s="520"/>
      <c r="V123" s="520"/>
      <c r="W123" s="520"/>
      <c r="X123" s="518"/>
      <c r="Y123" s="518"/>
      <c r="Z123" s="518"/>
      <c r="AA123" s="518"/>
      <c r="AB123" s="531">
        <f t="shared" si="41"/>
        <v>0</v>
      </c>
      <c r="AC123" s="505">
        <f t="shared" si="42"/>
        <v>0</v>
      </c>
      <c r="AD123" s="508">
        <f t="shared" si="43"/>
        <v>0</v>
      </c>
      <c r="AE123" s="521">
        <f>E123+G123+I123+K123+AC123</f>
        <v>0</v>
      </c>
      <c r="AF123" s="518"/>
      <c r="AG123" s="518"/>
      <c r="AH123" s="508"/>
      <c r="AI123" s="521"/>
      <c r="AJ123" s="522"/>
      <c r="AK123" s="506"/>
      <c r="AL123" s="505"/>
      <c r="AM123" s="522"/>
      <c r="AN123" s="506"/>
      <c r="AO123" s="523"/>
      <c r="AP123" s="506"/>
      <c r="AQ123" s="505"/>
      <c r="AR123" s="522"/>
      <c r="AS123" s="524"/>
      <c r="AT123" s="525"/>
      <c r="AU123" s="526"/>
      <c r="AV123" s="467">
        <f t="shared" si="49"/>
        <v>0</v>
      </c>
      <c r="AW123" s="467">
        <f t="shared" ref="AW123:AW138" si="52">ROUND(AE123+AG123+AI123+AN123+AS123+AU123,0)</f>
        <v>0</v>
      </c>
      <c r="AX123" s="508"/>
      <c r="AY123" s="521"/>
      <c r="AZ123" s="434" t="str">
        <f t="shared" si="40"/>
        <v xml:space="preserve"> </v>
      </c>
      <c r="BA123" s="540">
        <f>IF(AV123-AW123&gt;0," ",AW123-AV123)</f>
        <v>0</v>
      </c>
    </row>
    <row r="124" spans="1:54" x14ac:dyDescent="0.2">
      <c r="A124" s="25"/>
      <c r="B124" s="267"/>
      <c r="C124" s="248" t="s">
        <v>62</v>
      </c>
      <c r="D124" s="542"/>
      <c r="E124" s="543"/>
      <c r="F124" s="544"/>
      <c r="G124" s="544"/>
      <c r="H124" s="544"/>
      <c r="I124" s="544"/>
      <c r="J124" s="544"/>
      <c r="K124" s="545"/>
      <c r="L124" s="544"/>
      <c r="M124" s="544"/>
      <c r="N124" s="544"/>
      <c r="O124" s="544"/>
      <c r="P124" s="546"/>
      <c r="Q124" s="546"/>
      <c r="R124" s="546"/>
      <c r="S124" s="546"/>
      <c r="T124" s="546"/>
      <c r="U124" s="546"/>
      <c r="V124" s="546"/>
      <c r="W124" s="546"/>
      <c r="X124" s="544"/>
      <c r="Y124" s="544"/>
      <c r="Z124" s="544"/>
      <c r="AA124" s="544"/>
      <c r="AB124" s="547">
        <f t="shared" si="41"/>
        <v>0</v>
      </c>
      <c r="AC124" s="548">
        <f t="shared" si="42"/>
        <v>0</v>
      </c>
      <c r="AD124" s="549">
        <f t="shared" si="43"/>
        <v>0</v>
      </c>
      <c r="AE124" s="550">
        <f t="shared" si="44"/>
        <v>0</v>
      </c>
      <c r="AF124" s="544"/>
      <c r="AG124" s="544"/>
      <c r="AH124" s="549"/>
      <c r="AI124" s="550"/>
      <c r="AJ124" s="551" t="str">
        <f>'G. Debt Service'!D46</f>
        <v>G.1</v>
      </c>
      <c r="AK124" s="552">
        <f>'G. Debt Service'!L46</f>
        <v>0</v>
      </c>
      <c r="AL124" s="548"/>
      <c r="AM124" s="551"/>
      <c r="AN124" s="552"/>
      <c r="AO124" s="553" t="str">
        <f>'L. Eliminations-Consolidations'!A220</f>
        <v>L.6</v>
      </c>
      <c r="AP124" s="552">
        <f>'L. Eliminations-Consolidations'!J222</f>
        <v>0</v>
      </c>
      <c r="AQ124" s="548"/>
      <c r="AR124" s="551"/>
      <c r="AS124" s="554"/>
      <c r="AT124" s="525"/>
      <c r="AU124" s="526"/>
      <c r="AV124" s="552">
        <f t="shared" ref="AV124:AV139" si="53">ROUND(AD124+AF124+AH124+AK124+AP124+AT124,0)</f>
        <v>0</v>
      </c>
      <c r="AW124" s="552">
        <f t="shared" si="52"/>
        <v>0</v>
      </c>
      <c r="AX124" s="549"/>
      <c r="AY124" s="550"/>
      <c r="AZ124" s="1109" t="str">
        <f>IF((AV124+AV125)-(AW124+AW125)&lt;=0," ",(AV124+AV125)-(AW124+AW125))</f>
        <v xml:space="preserve"> </v>
      </c>
      <c r="BA124" s="1110">
        <f>IF((AV124+AV125)-(AW124+AW125)&gt;0," ",(AW124+AW125)-(AV124+AV125))</f>
        <v>0</v>
      </c>
    </row>
    <row r="125" spans="1:54" x14ac:dyDescent="0.2">
      <c r="A125" s="25"/>
      <c r="B125" s="267"/>
      <c r="C125" s="248"/>
      <c r="D125" s="542"/>
      <c r="E125" s="543"/>
      <c r="F125" s="544"/>
      <c r="G125" s="544"/>
      <c r="H125" s="544"/>
      <c r="I125" s="544"/>
      <c r="J125" s="544"/>
      <c r="K125" s="545"/>
      <c r="L125" s="544"/>
      <c r="M125" s="544"/>
      <c r="N125" s="544"/>
      <c r="O125" s="544"/>
      <c r="P125" s="546"/>
      <c r="Q125" s="546"/>
      <c r="R125" s="546"/>
      <c r="S125" s="546"/>
      <c r="T125" s="546"/>
      <c r="U125" s="546"/>
      <c r="V125" s="546"/>
      <c r="W125" s="546"/>
      <c r="X125" s="544"/>
      <c r="Y125" s="544"/>
      <c r="Z125" s="544"/>
      <c r="AA125" s="544"/>
      <c r="AB125" s="547">
        <f t="shared" si="41"/>
        <v>0</v>
      </c>
      <c r="AC125" s="548">
        <f t="shared" si="42"/>
        <v>0</v>
      </c>
      <c r="AD125" s="549">
        <f t="shared" si="43"/>
        <v>0</v>
      </c>
      <c r="AE125" s="550">
        <f t="shared" si="44"/>
        <v>0</v>
      </c>
      <c r="AF125" s="544"/>
      <c r="AG125" s="544"/>
      <c r="AH125" s="549"/>
      <c r="AI125" s="550"/>
      <c r="AJ125" s="551" t="str">
        <f>'H. Debt Issues'!D77</f>
        <v>H.1</v>
      </c>
      <c r="AK125" s="552">
        <f>'H. Debt Issues'!L92</f>
        <v>0</v>
      </c>
      <c r="AL125" s="548"/>
      <c r="AM125" s="551" t="str">
        <f>'H. Debt Issues'!D77</f>
        <v>H.1</v>
      </c>
      <c r="AN125" s="552">
        <f>'H. Debt Issues'!N92</f>
        <v>0</v>
      </c>
      <c r="AO125" s="553"/>
      <c r="AP125" s="552"/>
      <c r="AQ125" s="548"/>
      <c r="AR125" s="551"/>
      <c r="AS125" s="554"/>
      <c r="AT125" s="525"/>
      <c r="AU125" s="526"/>
      <c r="AV125" s="552">
        <f t="shared" si="53"/>
        <v>0</v>
      </c>
      <c r="AW125" s="552">
        <f t="shared" si="52"/>
        <v>0</v>
      </c>
      <c r="AX125" s="549"/>
      <c r="AY125" s="550"/>
      <c r="AZ125" s="1109"/>
      <c r="BA125" s="1110"/>
    </row>
    <row r="126" spans="1:54" x14ac:dyDescent="0.2">
      <c r="A126" s="25"/>
      <c r="B126" s="267"/>
      <c r="C126" s="31" t="s">
        <v>481</v>
      </c>
      <c r="D126" s="527"/>
      <c r="E126" s="528"/>
      <c r="F126" s="518"/>
      <c r="G126" s="518"/>
      <c r="H126" s="518"/>
      <c r="I126" s="518"/>
      <c r="J126" s="518"/>
      <c r="K126" s="519"/>
      <c r="L126" s="518"/>
      <c r="M126" s="518"/>
      <c r="N126" s="518"/>
      <c r="O126" s="518"/>
      <c r="P126" s="520"/>
      <c r="Q126" s="520"/>
      <c r="R126" s="520"/>
      <c r="S126" s="520"/>
      <c r="T126" s="520"/>
      <c r="U126" s="520"/>
      <c r="V126" s="520"/>
      <c r="W126" s="520"/>
      <c r="X126" s="518"/>
      <c r="Y126" s="518"/>
      <c r="Z126" s="518"/>
      <c r="AA126" s="518"/>
      <c r="AB126" s="531">
        <f t="shared" si="41"/>
        <v>0</v>
      </c>
      <c r="AC126" s="505">
        <f t="shared" si="42"/>
        <v>0</v>
      </c>
      <c r="AD126" s="508">
        <f t="shared" si="43"/>
        <v>0</v>
      </c>
      <c r="AE126" s="521">
        <f t="shared" si="44"/>
        <v>0</v>
      </c>
      <c r="AF126" s="518"/>
      <c r="AG126" s="518"/>
      <c r="AH126" s="508"/>
      <c r="AI126" s="521"/>
      <c r="AJ126" s="522" t="str">
        <f>'H. Debt Issues'!D77</f>
        <v>H.1</v>
      </c>
      <c r="AK126" s="506">
        <f>'H. Debt Issues'!L91</f>
        <v>0</v>
      </c>
      <c r="AL126" s="505"/>
      <c r="AM126" s="522" t="str">
        <f>'H. Debt Issues'!D77</f>
        <v>H.1</v>
      </c>
      <c r="AN126" s="506">
        <f>'H. Debt Issues'!N91</f>
        <v>0</v>
      </c>
      <c r="AO126" s="523"/>
      <c r="AP126" s="506"/>
      <c r="AQ126" s="505"/>
      <c r="AR126" s="522"/>
      <c r="AS126" s="524"/>
      <c r="AT126" s="525"/>
      <c r="AU126" s="526"/>
      <c r="AV126" s="467">
        <f t="shared" si="53"/>
        <v>0</v>
      </c>
      <c r="AW126" s="467">
        <f t="shared" si="52"/>
        <v>0</v>
      </c>
      <c r="AX126" s="508"/>
      <c r="AY126" s="521"/>
      <c r="AZ126" s="434" t="str">
        <f t="shared" si="40"/>
        <v xml:space="preserve"> </v>
      </c>
      <c r="BA126" s="540">
        <f t="shared" ref="BA126:BA135" si="54">IF(AV126-AW126&gt;0," ",AW126-AV126)</f>
        <v>0</v>
      </c>
    </row>
    <row r="127" spans="1:54" x14ac:dyDescent="0.2">
      <c r="A127" s="25"/>
      <c r="B127" s="267"/>
      <c r="C127" s="31" t="s">
        <v>1053</v>
      </c>
      <c r="D127" s="527"/>
      <c r="E127" s="528"/>
      <c r="F127" s="518"/>
      <c r="G127" s="518"/>
      <c r="H127" s="518"/>
      <c r="I127" s="518"/>
      <c r="J127" s="518"/>
      <c r="K127" s="519"/>
      <c r="L127" s="518"/>
      <c r="M127" s="518"/>
      <c r="N127" s="518"/>
      <c r="O127" s="518"/>
      <c r="P127" s="520"/>
      <c r="Q127" s="520"/>
      <c r="R127" s="520"/>
      <c r="S127" s="520"/>
      <c r="T127" s="520"/>
      <c r="U127" s="520"/>
      <c r="V127" s="520"/>
      <c r="W127" s="520"/>
      <c r="X127" s="518"/>
      <c r="Y127" s="518"/>
      <c r="Z127" s="518"/>
      <c r="AA127" s="518"/>
      <c r="AB127" s="531">
        <f t="shared" si="41"/>
        <v>0</v>
      </c>
      <c r="AC127" s="505">
        <f t="shared" si="42"/>
        <v>0</v>
      </c>
      <c r="AD127" s="508">
        <f t="shared" si="43"/>
        <v>0</v>
      </c>
      <c r="AE127" s="521">
        <f t="shared" si="44"/>
        <v>0</v>
      </c>
      <c r="AF127" s="518"/>
      <c r="AG127" s="518"/>
      <c r="AH127" s="508"/>
      <c r="AI127" s="521"/>
      <c r="AJ127" s="522" t="str">
        <f>'H. Debt Issues'!D77</f>
        <v>H.1</v>
      </c>
      <c r="AK127" s="506">
        <f>'H. Debt Issues'!L81</f>
        <v>0</v>
      </c>
      <c r="AL127" s="505"/>
      <c r="AM127" s="522" t="str">
        <f>'H. Debt Issues'!D77</f>
        <v>H.1</v>
      </c>
      <c r="AN127" s="506">
        <f>'H. Debt Issues'!N81</f>
        <v>0</v>
      </c>
      <c r="AO127" s="523"/>
      <c r="AP127" s="506"/>
      <c r="AQ127" s="505"/>
      <c r="AR127" s="522"/>
      <c r="AS127" s="524"/>
      <c r="AT127" s="525"/>
      <c r="AU127" s="526"/>
      <c r="AV127" s="467">
        <f t="shared" si="53"/>
        <v>0</v>
      </c>
      <c r="AW127" s="467">
        <f t="shared" si="52"/>
        <v>0</v>
      </c>
      <c r="AX127" s="508"/>
      <c r="AY127" s="521"/>
      <c r="AZ127" s="434" t="str">
        <f t="shared" si="40"/>
        <v xml:space="preserve"> </v>
      </c>
      <c r="BA127" s="540">
        <f t="shared" si="54"/>
        <v>0</v>
      </c>
    </row>
    <row r="128" spans="1:54" x14ac:dyDescent="0.2">
      <c r="A128" s="25"/>
      <c r="B128" s="14"/>
      <c r="C128" s="31" t="s">
        <v>63</v>
      </c>
      <c r="D128" s="527"/>
      <c r="E128" s="528"/>
      <c r="F128" s="518"/>
      <c r="G128" s="518"/>
      <c r="H128" s="518"/>
      <c r="I128" s="518"/>
      <c r="J128" s="518"/>
      <c r="K128" s="519"/>
      <c r="L128" s="518"/>
      <c r="M128" s="518"/>
      <c r="N128" s="518"/>
      <c r="O128" s="518"/>
      <c r="P128" s="520"/>
      <c r="Q128" s="520"/>
      <c r="R128" s="520"/>
      <c r="S128" s="520"/>
      <c r="T128" s="520"/>
      <c r="U128" s="520"/>
      <c r="V128" s="520"/>
      <c r="W128" s="520"/>
      <c r="X128" s="518"/>
      <c r="Y128" s="518"/>
      <c r="Z128" s="518"/>
      <c r="AA128" s="518"/>
      <c r="AB128" s="531">
        <f t="shared" si="41"/>
        <v>0</v>
      </c>
      <c r="AC128" s="505">
        <f t="shared" si="42"/>
        <v>0</v>
      </c>
      <c r="AD128" s="508">
        <f t="shared" si="43"/>
        <v>0</v>
      </c>
      <c r="AE128" s="521">
        <f t="shared" si="44"/>
        <v>0</v>
      </c>
      <c r="AF128" s="518"/>
      <c r="AG128" s="518"/>
      <c r="AH128" s="508"/>
      <c r="AI128" s="521"/>
      <c r="AJ128" s="522" t="str">
        <f>'G. Debt Service'!D46</f>
        <v>G.1</v>
      </c>
      <c r="AK128" s="506">
        <f>'G. Debt Service'!L47</f>
        <v>0</v>
      </c>
      <c r="AL128" s="505"/>
      <c r="AM128" s="522" t="str">
        <f>'H. Debt Issues'!D77</f>
        <v>H.1</v>
      </c>
      <c r="AN128" s="506">
        <f>'H. Debt Issues'!N93</f>
        <v>0</v>
      </c>
      <c r="AO128" s="523"/>
      <c r="AP128" s="506"/>
      <c r="AQ128" s="505"/>
      <c r="AR128" s="522"/>
      <c r="AS128" s="524"/>
      <c r="AT128" s="525"/>
      <c r="AU128" s="526"/>
      <c r="AV128" s="467">
        <f t="shared" si="53"/>
        <v>0</v>
      </c>
      <c r="AW128" s="467">
        <f t="shared" si="52"/>
        <v>0</v>
      </c>
      <c r="AX128" s="508"/>
      <c r="AY128" s="521"/>
      <c r="AZ128" s="434" t="str">
        <f t="shared" si="40"/>
        <v xml:space="preserve"> </v>
      </c>
      <c r="BA128" s="540">
        <f t="shared" si="54"/>
        <v>0</v>
      </c>
    </row>
    <row r="129" spans="1:55" x14ac:dyDescent="0.2">
      <c r="A129" s="25"/>
      <c r="B129" s="14"/>
      <c r="C129" s="31" t="s">
        <v>476</v>
      </c>
      <c r="D129" s="527"/>
      <c r="E129" s="528"/>
      <c r="F129" s="518"/>
      <c r="G129" s="518"/>
      <c r="H129" s="518"/>
      <c r="I129" s="518"/>
      <c r="J129" s="518"/>
      <c r="K129" s="519"/>
      <c r="L129" s="518"/>
      <c r="M129" s="518"/>
      <c r="N129" s="518"/>
      <c r="O129" s="518"/>
      <c r="P129" s="520"/>
      <c r="Q129" s="520"/>
      <c r="R129" s="520"/>
      <c r="S129" s="520"/>
      <c r="T129" s="520"/>
      <c r="U129" s="520"/>
      <c r="V129" s="520"/>
      <c r="W129" s="520"/>
      <c r="X129" s="518"/>
      <c r="Y129" s="518"/>
      <c r="Z129" s="518"/>
      <c r="AA129" s="518"/>
      <c r="AB129" s="531">
        <f t="shared" si="41"/>
        <v>0</v>
      </c>
      <c r="AC129" s="505">
        <f t="shared" si="42"/>
        <v>0</v>
      </c>
      <c r="AD129" s="508">
        <f t="shared" si="43"/>
        <v>0</v>
      </c>
      <c r="AE129" s="521">
        <f t="shared" si="44"/>
        <v>0</v>
      </c>
      <c r="AF129" s="518"/>
      <c r="AG129" s="518"/>
      <c r="AH129" s="508"/>
      <c r="AI129" s="521"/>
      <c r="AJ129" s="522" t="str">
        <f>'G. Debt Service'!D46</f>
        <v>G.1</v>
      </c>
      <c r="AK129" s="506">
        <f>'G. Debt Service'!L48</f>
        <v>0</v>
      </c>
      <c r="AL129" s="505"/>
      <c r="AM129" s="522" t="str">
        <f>'H. Debt Issues'!D77</f>
        <v>H.1</v>
      </c>
      <c r="AN129" s="506">
        <f>'H. Debt Issues'!N94</f>
        <v>0</v>
      </c>
      <c r="AO129" s="523" t="str">
        <f>'L. Eliminations-Consolidations'!A220</f>
        <v>L.6</v>
      </c>
      <c r="AP129" s="506">
        <f>'L. Eliminations-Consolidations'!J221</f>
        <v>0</v>
      </c>
      <c r="AQ129" s="505"/>
      <c r="AR129" s="522"/>
      <c r="AS129" s="524"/>
      <c r="AT129" s="525"/>
      <c r="AU129" s="526"/>
      <c r="AV129" s="467">
        <f t="shared" si="53"/>
        <v>0</v>
      </c>
      <c r="AW129" s="467">
        <f t="shared" si="52"/>
        <v>0</v>
      </c>
      <c r="AX129" s="508"/>
      <c r="AY129" s="521"/>
      <c r="AZ129" s="434" t="str">
        <f t="shared" si="40"/>
        <v xml:space="preserve"> </v>
      </c>
      <c r="BA129" s="540">
        <f t="shared" si="54"/>
        <v>0</v>
      </c>
    </row>
    <row r="130" spans="1:55" x14ac:dyDescent="0.2">
      <c r="A130" s="25"/>
      <c r="B130" s="14"/>
      <c r="C130" s="31" t="s">
        <v>918</v>
      </c>
      <c r="D130" s="527"/>
      <c r="E130" s="528"/>
      <c r="F130" s="518"/>
      <c r="G130" s="518"/>
      <c r="H130" s="518"/>
      <c r="I130" s="518"/>
      <c r="J130" s="518"/>
      <c r="K130" s="519"/>
      <c r="L130" s="518"/>
      <c r="M130" s="518"/>
      <c r="N130" s="518"/>
      <c r="O130" s="518"/>
      <c r="P130" s="520"/>
      <c r="Q130" s="520"/>
      <c r="R130" s="520"/>
      <c r="S130" s="520"/>
      <c r="T130" s="520"/>
      <c r="U130" s="520"/>
      <c r="V130" s="520"/>
      <c r="W130" s="520"/>
      <c r="X130" s="518"/>
      <c r="Y130" s="518"/>
      <c r="Z130" s="518"/>
      <c r="AA130" s="518"/>
      <c r="AB130" s="531">
        <f t="shared" si="41"/>
        <v>0</v>
      </c>
      <c r="AC130" s="505">
        <f t="shared" si="42"/>
        <v>0</v>
      </c>
      <c r="AD130" s="508">
        <f t="shared" si="43"/>
        <v>0</v>
      </c>
      <c r="AE130" s="521">
        <f t="shared" si="44"/>
        <v>0</v>
      </c>
      <c r="AF130" s="518"/>
      <c r="AG130" s="518"/>
      <c r="AH130" s="508"/>
      <c r="AI130" s="521"/>
      <c r="AJ130" s="522" t="str">
        <f>'G. Debt Service'!D46</f>
        <v>G.1</v>
      </c>
      <c r="AK130" s="506">
        <f>'G. Debt Service'!L49</f>
        <v>0</v>
      </c>
      <c r="AL130" s="505"/>
      <c r="AM130" s="522" t="str">
        <f>'H. Debt Issues'!D77</f>
        <v>H.1</v>
      </c>
      <c r="AN130" s="506">
        <f>'H. Debt Issues'!N95</f>
        <v>0</v>
      </c>
      <c r="AO130" s="523" t="str">
        <f>'L. Eliminations-Consolidations'!A220</f>
        <v>L.6</v>
      </c>
      <c r="AP130" s="506">
        <f>'L. Eliminations-Consolidations'!J224</f>
        <v>0</v>
      </c>
      <c r="AQ130" s="505"/>
      <c r="AR130" s="522"/>
      <c r="AS130" s="524"/>
      <c r="AT130" s="525"/>
      <c r="AU130" s="526"/>
      <c r="AV130" s="467">
        <f t="shared" si="53"/>
        <v>0</v>
      </c>
      <c r="AW130" s="467">
        <f t="shared" si="52"/>
        <v>0</v>
      </c>
      <c r="AX130" s="508"/>
      <c r="AY130" s="521"/>
      <c r="AZ130" s="434" t="str">
        <f t="shared" si="40"/>
        <v xml:space="preserve"> </v>
      </c>
      <c r="BA130" s="540">
        <f t="shared" si="54"/>
        <v>0</v>
      </c>
      <c r="BC130" s="578"/>
    </row>
    <row r="131" spans="1:55" x14ac:dyDescent="0.2">
      <c r="A131" s="25"/>
      <c r="B131" s="14"/>
      <c r="C131" s="31" t="s">
        <v>484</v>
      </c>
      <c r="D131" s="527"/>
      <c r="E131" s="528"/>
      <c r="F131" s="518"/>
      <c r="G131" s="518"/>
      <c r="H131" s="518"/>
      <c r="I131" s="518"/>
      <c r="J131" s="518"/>
      <c r="K131" s="519"/>
      <c r="L131" s="518"/>
      <c r="M131" s="518"/>
      <c r="N131" s="518"/>
      <c r="O131" s="518"/>
      <c r="P131" s="520"/>
      <c r="Q131" s="520"/>
      <c r="R131" s="520"/>
      <c r="S131" s="520"/>
      <c r="T131" s="520"/>
      <c r="U131" s="520"/>
      <c r="V131" s="520"/>
      <c r="W131" s="520"/>
      <c r="X131" s="518"/>
      <c r="Y131" s="518"/>
      <c r="Z131" s="518"/>
      <c r="AA131" s="518"/>
      <c r="AB131" s="531">
        <f t="shared" si="41"/>
        <v>0</v>
      </c>
      <c r="AC131" s="505">
        <f t="shared" si="42"/>
        <v>0</v>
      </c>
      <c r="AD131" s="508">
        <f t="shared" si="43"/>
        <v>0</v>
      </c>
      <c r="AE131" s="521">
        <f t="shared" si="44"/>
        <v>0</v>
      </c>
      <c r="AF131" s="518"/>
      <c r="AG131" s="518"/>
      <c r="AH131" s="508"/>
      <c r="AI131" s="521"/>
      <c r="AJ131" s="522"/>
      <c r="AK131" s="506"/>
      <c r="AL131" s="505"/>
      <c r="AM131" s="522"/>
      <c r="AN131" s="506"/>
      <c r="AO131" s="523" t="str">
        <f>'L. Eliminations-Consolidations'!A220</f>
        <v>L.6</v>
      </c>
      <c r="AP131" s="506">
        <f>'L. Eliminations-Consolidations'!J223</f>
        <v>0</v>
      </c>
      <c r="AQ131" s="505"/>
      <c r="AR131" s="532" t="s">
        <v>646</v>
      </c>
      <c r="AS131" s="434">
        <f>'K.1  Int. Service Fd Allocation'!G189+'K.2  Int. Service Fd Alloca'!G184+'K.3 Int. Service Fd Alloca'!G187</f>
        <v>0</v>
      </c>
      <c r="AT131" s="557"/>
      <c r="AU131" s="526"/>
      <c r="AV131" s="467">
        <f t="shared" si="53"/>
        <v>0</v>
      </c>
      <c r="AW131" s="467">
        <f t="shared" si="52"/>
        <v>0</v>
      </c>
      <c r="AX131" s="508"/>
      <c r="AY131" s="521"/>
      <c r="AZ131" s="434" t="str">
        <f t="shared" si="40"/>
        <v xml:space="preserve"> </v>
      </c>
      <c r="BA131" s="540">
        <f t="shared" si="54"/>
        <v>0</v>
      </c>
    </row>
    <row r="132" spans="1:55" x14ac:dyDescent="0.2">
      <c r="A132" s="25"/>
      <c r="B132" s="14"/>
      <c r="C132" s="31" t="s">
        <v>917</v>
      </c>
      <c r="D132" s="527"/>
      <c r="E132" s="528"/>
      <c r="F132" s="518"/>
      <c r="G132" s="518"/>
      <c r="H132" s="518"/>
      <c r="I132" s="518"/>
      <c r="J132" s="518"/>
      <c r="K132" s="519"/>
      <c r="L132" s="518"/>
      <c r="M132" s="518"/>
      <c r="N132" s="518"/>
      <c r="O132" s="518"/>
      <c r="P132" s="520"/>
      <c r="Q132" s="520"/>
      <c r="R132" s="520"/>
      <c r="S132" s="520"/>
      <c r="T132" s="520"/>
      <c r="U132" s="520"/>
      <c r="V132" s="520"/>
      <c r="W132" s="520"/>
      <c r="X132" s="518"/>
      <c r="Y132" s="518"/>
      <c r="Z132" s="518"/>
      <c r="AA132" s="518"/>
      <c r="AB132" s="531">
        <f t="shared" si="41"/>
        <v>0</v>
      </c>
      <c r="AC132" s="505">
        <f t="shared" si="42"/>
        <v>0</v>
      </c>
      <c r="AD132" s="508">
        <f t="shared" si="43"/>
        <v>0</v>
      </c>
      <c r="AE132" s="521">
        <f t="shared" si="44"/>
        <v>0</v>
      </c>
      <c r="AF132" s="518"/>
      <c r="AG132" s="518"/>
      <c r="AH132" s="508"/>
      <c r="AI132" s="521"/>
      <c r="AJ132" s="522" t="str">
        <f>'J. Other Liability &amp; Expenses'!D203</f>
        <v>J.1</v>
      </c>
      <c r="AK132" s="506">
        <f>'J. Other Liability &amp; Expenses'!L214</f>
        <v>0</v>
      </c>
      <c r="AL132" s="505"/>
      <c r="AM132" s="522" t="str">
        <f>'J. Other Liability &amp; Expenses'!D203</f>
        <v>J.1</v>
      </c>
      <c r="AN132" s="506">
        <f>'J. Other Liability &amp; Expenses'!N214</f>
        <v>0</v>
      </c>
      <c r="AO132" s="523" t="str">
        <f>'L. Eliminations-Consolidations'!A220</f>
        <v>L.6</v>
      </c>
      <c r="AP132" s="506">
        <f>'L. Eliminations-Consolidations'!J225</f>
        <v>0</v>
      </c>
      <c r="AQ132" s="505"/>
      <c r="AR132" s="532" t="s">
        <v>646</v>
      </c>
      <c r="AS132" s="434">
        <f>'K.1  Int. Service Fd Allocation'!G186+'K.2  Int. Service Fd Alloca'!G181+'K.3 Int. Service Fd Alloca'!G184</f>
        <v>0</v>
      </c>
      <c r="AT132" s="557"/>
      <c r="AU132" s="526"/>
      <c r="AV132" s="467">
        <f t="shared" si="53"/>
        <v>0</v>
      </c>
      <c r="AW132" s="467">
        <f t="shared" si="52"/>
        <v>0</v>
      </c>
      <c r="AX132" s="508"/>
      <c r="AY132" s="521"/>
      <c r="AZ132" s="434" t="str">
        <f t="shared" si="40"/>
        <v xml:space="preserve"> </v>
      </c>
      <c r="BA132" s="540">
        <f t="shared" si="54"/>
        <v>0</v>
      </c>
      <c r="BB132" s="5"/>
      <c r="BC132" s="578"/>
    </row>
    <row r="133" spans="1:55" x14ac:dyDescent="0.2">
      <c r="A133" s="25"/>
      <c r="B133" s="14"/>
      <c r="C133" s="31" t="s">
        <v>206</v>
      </c>
      <c r="D133" s="527"/>
      <c r="E133" s="528"/>
      <c r="F133" s="518"/>
      <c r="G133" s="518"/>
      <c r="H133" s="518"/>
      <c r="I133" s="518"/>
      <c r="J133" s="518"/>
      <c r="K133" s="519"/>
      <c r="L133" s="518"/>
      <c r="M133" s="518"/>
      <c r="N133" s="518"/>
      <c r="O133" s="518"/>
      <c r="P133" s="520"/>
      <c r="Q133" s="520"/>
      <c r="R133" s="520"/>
      <c r="S133" s="520"/>
      <c r="T133" s="520"/>
      <c r="U133" s="520"/>
      <c r="V133" s="520"/>
      <c r="W133" s="520"/>
      <c r="X133" s="518"/>
      <c r="Y133" s="518"/>
      <c r="Z133" s="518"/>
      <c r="AA133" s="518"/>
      <c r="AB133" s="531">
        <f t="shared" si="41"/>
        <v>0</v>
      </c>
      <c r="AC133" s="505">
        <f t="shared" si="42"/>
        <v>0</v>
      </c>
      <c r="AD133" s="508">
        <f t="shared" si="43"/>
        <v>0</v>
      </c>
      <c r="AE133" s="521">
        <f t="shared" si="44"/>
        <v>0</v>
      </c>
      <c r="AF133" s="518"/>
      <c r="AG133" s="518"/>
      <c r="AH133" s="508"/>
      <c r="AI133" s="521"/>
      <c r="AJ133" s="522"/>
      <c r="AK133" s="506"/>
      <c r="AL133" s="505"/>
      <c r="AM133" s="522" t="str">
        <f>'J. Other Liability &amp; Expenses'!D203</f>
        <v>J.1</v>
      </c>
      <c r="AN133" s="506">
        <f>'J. Other Liability &amp; Expenses'!N217</f>
        <v>0</v>
      </c>
      <c r="AO133" s="523" t="str">
        <f>'L. Eliminations-Consolidations'!A220</f>
        <v>L.6</v>
      </c>
      <c r="AP133" s="506">
        <f>'L. Eliminations-Consolidations'!J220</f>
        <v>0</v>
      </c>
      <c r="AQ133" s="505"/>
      <c r="AR133" s="532" t="s">
        <v>646</v>
      </c>
      <c r="AS133" s="434">
        <f>'K.1  Int. Service Fd Allocation'!G187+'K.2  Int. Service Fd Alloca'!G182+'K.3 Int. Service Fd Alloca'!G185</f>
        <v>0</v>
      </c>
      <c r="AT133" s="557"/>
      <c r="AU133" s="526"/>
      <c r="AV133" s="467">
        <f t="shared" si="53"/>
        <v>0</v>
      </c>
      <c r="AW133" s="467">
        <f t="shared" si="52"/>
        <v>0</v>
      </c>
      <c r="AX133" s="508"/>
      <c r="AY133" s="521"/>
      <c r="AZ133" s="434" t="str">
        <f t="shared" si="40"/>
        <v xml:space="preserve"> </v>
      </c>
      <c r="BA133" s="540">
        <f t="shared" si="54"/>
        <v>0</v>
      </c>
    </row>
    <row r="134" spans="1:55" x14ac:dyDescent="0.2">
      <c r="A134" s="25"/>
      <c r="B134" s="14"/>
      <c r="C134" s="336" t="s">
        <v>664</v>
      </c>
      <c r="D134" s="527"/>
      <c r="E134" s="528"/>
      <c r="F134" s="518"/>
      <c r="G134" s="518"/>
      <c r="H134" s="518"/>
      <c r="I134" s="518"/>
      <c r="J134" s="518"/>
      <c r="K134" s="519"/>
      <c r="L134" s="518"/>
      <c r="M134" s="518"/>
      <c r="N134" s="518"/>
      <c r="O134" s="518"/>
      <c r="P134" s="520"/>
      <c r="Q134" s="520"/>
      <c r="R134" s="520"/>
      <c r="S134" s="520"/>
      <c r="T134" s="520"/>
      <c r="U134" s="520"/>
      <c r="V134" s="520"/>
      <c r="W134" s="520"/>
      <c r="X134" s="518"/>
      <c r="Y134" s="518"/>
      <c r="Z134" s="518"/>
      <c r="AA134" s="518"/>
      <c r="AB134" s="531">
        <f t="shared" si="41"/>
        <v>0</v>
      </c>
      <c r="AC134" s="505">
        <f t="shared" si="42"/>
        <v>0</v>
      </c>
      <c r="AD134" s="508">
        <f t="shared" si="43"/>
        <v>0</v>
      </c>
      <c r="AE134" s="521">
        <f t="shared" si="44"/>
        <v>0</v>
      </c>
      <c r="AF134" s="518"/>
      <c r="AG134" s="518"/>
      <c r="AH134" s="508"/>
      <c r="AI134" s="521"/>
      <c r="AJ134" s="522" t="str">
        <f>'J. Other Liability &amp; Expenses'!D203</f>
        <v>J.1</v>
      </c>
      <c r="AK134" s="506">
        <f>'J. Other Liability &amp; Expenses'!L218</f>
        <v>0</v>
      </c>
      <c r="AL134" s="505"/>
      <c r="AM134" s="522" t="str">
        <f>'J. Other Liability &amp; Expenses'!D203</f>
        <v>J.1</v>
      </c>
      <c r="AN134" s="506">
        <f>'J. Other Liability &amp; Expenses'!N218</f>
        <v>0</v>
      </c>
      <c r="AO134" s="523" t="str">
        <f>'L. Eliminations-Consolidations'!A220</f>
        <v>L.6</v>
      </c>
      <c r="AP134" s="506">
        <f>'L. Eliminations-Consolidations'!J226</f>
        <v>0</v>
      </c>
      <c r="AQ134" s="505"/>
      <c r="AR134" s="522"/>
      <c r="AS134" s="524"/>
      <c r="AT134" s="525"/>
      <c r="AU134" s="526"/>
      <c r="AV134" s="467">
        <f t="shared" si="53"/>
        <v>0</v>
      </c>
      <c r="AW134" s="467">
        <f t="shared" si="52"/>
        <v>0</v>
      </c>
      <c r="AX134" s="508"/>
      <c r="AY134" s="521"/>
      <c r="AZ134" s="434" t="str">
        <f t="shared" si="40"/>
        <v xml:space="preserve"> </v>
      </c>
      <c r="BA134" s="540">
        <f t="shared" si="54"/>
        <v>0</v>
      </c>
    </row>
    <row r="135" spans="1:55" x14ac:dyDescent="0.2">
      <c r="A135" s="25"/>
      <c r="B135" s="14"/>
      <c r="C135" s="336" t="s">
        <v>665</v>
      </c>
      <c r="D135" s="527"/>
      <c r="E135" s="528"/>
      <c r="F135" s="518"/>
      <c r="G135" s="518"/>
      <c r="H135" s="518"/>
      <c r="I135" s="518"/>
      <c r="J135" s="518"/>
      <c r="K135" s="519"/>
      <c r="L135" s="518"/>
      <c r="M135" s="518"/>
      <c r="N135" s="518"/>
      <c r="O135" s="518"/>
      <c r="P135" s="520"/>
      <c r="Q135" s="520"/>
      <c r="R135" s="520"/>
      <c r="S135" s="520"/>
      <c r="T135" s="520"/>
      <c r="U135" s="520"/>
      <c r="V135" s="520"/>
      <c r="W135" s="520"/>
      <c r="X135" s="518"/>
      <c r="Y135" s="518"/>
      <c r="Z135" s="518"/>
      <c r="AA135" s="518"/>
      <c r="AB135" s="531">
        <f t="shared" si="41"/>
        <v>0</v>
      </c>
      <c r="AC135" s="505">
        <f t="shared" si="42"/>
        <v>0</v>
      </c>
      <c r="AD135" s="508">
        <f t="shared" si="43"/>
        <v>0</v>
      </c>
      <c r="AE135" s="521">
        <f t="shared" si="44"/>
        <v>0</v>
      </c>
      <c r="AF135" s="518"/>
      <c r="AG135" s="518"/>
      <c r="AH135" s="508"/>
      <c r="AI135" s="521"/>
      <c r="AJ135" s="522" t="str">
        <f>'J. Other Liability &amp; Expenses'!D203</f>
        <v>J.1</v>
      </c>
      <c r="AK135" s="506">
        <f>'J. Other Liability &amp; Expenses'!L219</f>
        <v>0</v>
      </c>
      <c r="AL135" s="505"/>
      <c r="AM135" s="522" t="str">
        <f>'J. Other Liability &amp; Expenses'!D203</f>
        <v>J.1</v>
      </c>
      <c r="AN135" s="506">
        <f>'J. Other Liability &amp; Expenses'!N219</f>
        <v>0</v>
      </c>
      <c r="AO135" s="523" t="str">
        <f>'L. Eliminations-Consolidations'!A220</f>
        <v>L.6</v>
      </c>
      <c r="AP135" s="506">
        <f>'L. Eliminations-Consolidations'!J227</f>
        <v>0</v>
      </c>
      <c r="AQ135" s="505"/>
      <c r="AR135" s="522"/>
      <c r="AS135" s="524"/>
      <c r="AT135" s="525"/>
      <c r="AU135" s="526"/>
      <c r="AV135" s="467">
        <f t="shared" si="53"/>
        <v>0</v>
      </c>
      <c r="AW135" s="467">
        <f t="shared" si="52"/>
        <v>0</v>
      </c>
      <c r="AX135" s="508"/>
      <c r="AY135" s="521"/>
      <c r="AZ135" s="434" t="str">
        <f t="shared" si="40"/>
        <v xml:space="preserve"> </v>
      </c>
      <c r="BA135" s="540">
        <f t="shared" si="54"/>
        <v>0</v>
      </c>
    </row>
    <row r="136" spans="1:55" x14ac:dyDescent="0.2">
      <c r="A136" s="25"/>
      <c r="B136" s="14"/>
      <c r="C136" s="31" t="s">
        <v>2640</v>
      </c>
      <c r="D136" s="527"/>
      <c r="E136" s="528"/>
      <c r="F136" s="518"/>
      <c r="G136" s="518"/>
      <c r="H136" s="518"/>
      <c r="I136" s="518"/>
      <c r="J136" s="518"/>
      <c r="K136" s="519"/>
      <c r="L136" s="518"/>
      <c r="M136" s="518"/>
      <c r="N136" s="518"/>
      <c r="O136" s="518"/>
      <c r="P136" s="520"/>
      <c r="Q136" s="520"/>
      <c r="R136" s="520"/>
      <c r="S136" s="520"/>
      <c r="T136" s="520"/>
      <c r="U136" s="520"/>
      <c r="V136" s="520"/>
      <c r="W136" s="520"/>
      <c r="X136" s="518"/>
      <c r="Y136" s="518"/>
      <c r="Z136" s="518"/>
      <c r="AA136" s="518"/>
      <c r="AB136" s="531">
        <f t="shared" si="41"/>
        <v>0</v>
      </c>
      <c r="AC136" s="505">
        <f t="shared" si="42"/>
        <v>0</v>
      </c>
      <c r="AD136" s="508">
        <f t="shared" si="43"/>
        <v>0</v>
      </c>
      <c r="AE136" s="521">
        <f t="shared" si="44"/>
        <v>0</v>
      </c>
      <c r="AF136" s="518"/>
      <c r="AG136" s="518">
        <f>'N.1 GASB 68 LGERS'!C75*'N.1 GASB 68 LGERS'!H39</f>
        <v>0</v>
      </c>
      <c r="AH136" s="508"/>
      <c r="AI136" s="521"/>
      <c r="AJ136" s="522" t="s">
        <v>2074</v>
      </c>
      <c r="AK136" s="506">
        <f>'N.1 GASB 68 LGERS'!C96</f>
        <v>0</v>
      </c>
      <c r="AL136" s="505" t="s">
        <v>2074</v>
      </c>
      <c r="AM136" s="522"/>
      <c r="AN136" s="506">
        <f>'N.1 GASB 68 LGERS'!D96</f>
        <v>0</v>
      </c>
      <c r="AO136" s="523"/>
      <c r="AP136" s="506"/>
      <c r="AQ136" s="505"/>
      <c r="AR136" s="522"/>
      <c r="AS136" s="524"/>
      <c r="AT136" s="525"/>
      <c r="AU136" s="526"/>
      <c r="AV136" s="467">
        <f t="shared" si="53"/>
        <v>0</v>
      </c>
      <c r="AW136" s="467">
        <f t="shared" si="52"/>
        <v>0</v>
      </c>
      <c r="AX136" s="508"/>
      <c r="AY136" s="521"/>
      <c r="AZ136" s="506" t="str">
        <f t="shared" si="40"/>
        <v xml:space="preserve"> </v>
      </c>
      <c r="BA136" s="540">
        <f>IF(AV136-AW136&gt;0," ",AW136-AV136)</f>
        <v>0</v>
      </c>
    </row>
    <row r="137" spans="1:55" s="756" customFormat="1" ht="12.75" hidden="1" customHeight="1" x14ac:dyDescent="0.2">
      <c r="A137" s="25"/>
      <c r="B137" s="14"/>
      <c r="C137" s="758" t="s">
        <v>2641</v>
      </c>
      <c r="D137" s="527"/>
      <c r="E137" s="528"/>
      <c r="F137" s="518"/>
      <c r="G137" s="518"/>
      <c r="H137" s="518"/>
      <c r="I137" s="518"/>
      <c r="J137" s="518"/>
      <c r="K137" s="519"/>
      <c r="L137" s="518"/>
      <c r="M137" s="518"/>
      <c r="N137" s="518"/>
      <c r="O137" s="518"/>
      <c r="P137" s="520"/>
      <c r="Q137" s="520"/>
      <c r="R137" s="520"/>
      <c r="S137" s="520"/>
      <c r="T137" s="520"/>
      <c r="U137" s="520"/>
      <c r="V137" s="520"/>
      <c r="W137" s="520"/>
      <c r="X137" s="518"/>
      <c r="Y137" s="518"/>
      <c r="Z137" s="518"/>
      <c r="AA137" s="518"/>
      <c r="AB137" s="531"/>
      <c r="AC137" s="505"/>
      <c r="AD137" s="508"/>
      <c r="AE137" s="521"/>
      <c r="AG137" s="518">
        <f>'J. Other Liability &amp; Expenses'!N87</f>
        <v>0</v>
      </c>
      <c r="AH137" s="508"/>
      <c r="AI137" s="521"/>
      <c r="AJ137" s="522" t="s">
        <v>482</v>
      </c>
      <c r="AK137" s="506">
        <f>'J. Other Liability &amp; Expenses'!L220</f>
        <v>0</v>
      </c>
      <c r="AL137" s="505"/>
      <c r="AM137" s="522" t="str">
        <f>'J. Other Liability &amp; Expenses'!D203</f>
        <v>J.1</v>
      </c>
      <c r="AN137" s="506">
        <f>'J. Other Liability &amp; Expenses'!N220</f>
        <v>0</v>
      </c>
      <c r="AO137" s="523"/>
      <c r="AP137" s="506"/>
      <c r="AQ137" s="505"/>
      <c r="AR137" s="522"/>
      <c r="AS137" s="524"/>
      <c r="AT137" s="525"/>
      <c r="AU137" s="526"/>
      <c r="AV137" s="1041">
        <f t="shared" si="53"/>
        <v>0</v>
      </c>
      <c r="AW137" s="1041">
        <f t="shared" si="52"/>
        <v>0</v>
      </c>
      <c r="AX137" s="508"/>
      <c r="AY137" s="521"/>
      <c r="AZ137" s="506" t="str">
        <f>IF(AV137-AW137&lt;=0," ",AV137-AW137)</f>
        <v xml:space="preserve"> </v>
      </c>
      <c r="BA137" s="540">
        <f>IF(AV137-AW137&gt;0," ",AW137-AV137)</f>
        <v>0</v>
      </c>
      <c r="BB137" s="1045"/>
      <c r="BC137" s="1045"/>
    </row>
    <row r="138" spans="1:55" s="1031" customFormat="1" x14ac:dyDescent="0.2">
      <c r="A138" s="33"/>
      <c r="B138" s="1030"/>
      <c r="C138" s="1030" t="s">
        <v>3603</v>
      </c>
      <c r="D138" s="533"/>
      <c r="E138" s="534"/>
      <c r="F138" s="530"/>
      <c r="G138" s="530"/>
      <c r="H138" s="530"/>
      <c r="I138" s="530"/>
      <c r="J138" s="530"/>
      <c r="K138" s="535"/>
      <c r="L138" s="530"/>
      <c r="M138" s="530"/>
      <c r="N138" s="530"/>
      <c r="O138" s="530"/>
      <c r="P138" s="529"/>
      <c r="Q138" s="529"/>
      <c r="R138" s="529"/>
      <c r="S138" s="529"/>
      <c r="T138" s="529"/>
      <c r="U138" s="529"/>
      <c r="V138" s="529"/>
      <c r="W138" s="529"/>
      <c r="X138" s="530"/>
      <c r="Y138" s="530"/>
      <c r="Z138" s="530"/>
      <c r="AA138" s="530"/>
      <c r="AB138" s="531"/>
      <c r="AC138" s="539"/>
      <c r="AD138" s="536"/>
      <c r="AE138" s="537"/>
      <c r="AF138" s="530"/>
      <c r="AG138" s="530">
        <f>'O. GASB 73 LEO Entries'!D13</f>
        <v>0</v>
      </c>
      <c r="AH138" s="536"/>
      <c r="AI138" s="537"/>
      <c r="AJ138" s="538" t="s">
        <v>3639</v>
      </c>
      <c r="AK138" s="434">
        <f>'O. GASB 73 LEO Entries'!C70</f>
        <v>0</v>
      </c>
      <c r="AL138" s="539"/>
      <c r="AM138" s="538" t="s">
        <v>3639</v>
      </c>
      <c r="AN138" s="434">
        <f>'O. GASB 73 LEO Entries'!D70</f>
        <v>0</v>
      </c>
      <c r="AO138" s="541"/>
      <c r="AP138" s="434"/>
      <c r="AQ138" s="539"/>
      <c r="AR138" s="538"/>
      <c r="AS138" s="540"/>
      <c r="AT138" s="1027"/>
      <c r="AU138" s="1028"/>
      <c r="AV138" s="1041">
        <f t="shared" si="53"/>
        <v>0</v>
      </c>
      <c r="AW138" s="1041">
        <f t="shared" si="52"/>
        <v>0</v>
      </c>
      <c r="AX138" s="536"/>
      <c r="AY138" s="537"/>
      <c r="AZ138" s="573">
        <f>IF(AW138-AV138&gt;0," ",AV138-AW138)</f>
        <v>0</v>
      </c>
      <c r="BA138" s="540">
        <f>IF(AV138-AW138&gt;0," ",AW138-AV138)</f>
        <v>0</v>
      </c>
      <c r="BB138" s="1047"/>
      <c r="BC138" s="1047"/>
    </row>
    <row r="139" spans="1:55" s="1037" customFormat="1" x14ac:dyDescent="0.2">
      <c r="A139" s="33"/>
      <c r="B139" s="1035"/>
      <c r="C139" s="864" t="s">
        <v>4081</v>
      </c>
      <c r="D139" s="533"/>
      <c r="E139" s="534"/>
      <c r="F139" s="530"/>
      <c r="G139" s="530"/>
      <c r="H139" s="530"/>
      <c r="I139" s="530"/>
      <c r="J139" s="530"/>
      <c r="K139" s="535"/>
      <c r="L139" s="530"/>
      <c r="M139" s="530"/>
      <c r="N139" s="530"/>
      <c r="O139" s="530"/>
      <c r="P139" s="529"/>
      <c r="Q139" s="529"/>
      <c r="R139" s="529"/>
      <c r="S139" s="529"/>
      <c r="T139" s="529"/>
      <c r="U139" s="529"/>
      <c r="V139" s="529"/>
      <c r="W139" s="529"/>
      <c r="X139" s="530"/>
      <c r="Y139" s="530"/>
      <c r="Z139" s="530"/>
      <c r="AA139" s="530"/>
      <c r="AB139" s="531">
        <f>L139+N139+P139+R139+T139+V139+X139+Z139</f>
        <v>0</v>
      </c>
      <c r="AC139" s="539">
        <f>M139+O139+Q139+S139+U139+W139+Y139+AA139</f>
        <v>0</v>
      </c>
      <c r="AD139" s="536">
        <f>D139+F139+H139+J139+AB139</f>
        <v>0</v>
      </c>
      <c r="AE139" s="537">
        <f>E139+G139+I139+K139+AC139</f>
        <v>0</v>
      </c>
      <c r="AF139" s="530"/>
      <c r="AG139" s="530">
        <f>'J. Other Liability &amp; Expenses'!N221</f>
        <v>0</v>
      </c>
      <c r="AH139" s="536"/>
      <c r="AI139" s="537"/>
      <c r="AJ139" s="538" t="s">
        <v>482</v>
      </c>
      <c r="AK139" s="434">
        <f>'J. Other Liability &amp; Expenses'!L222</f>
        <v>0</v>
      </c>
      <c r="AL139" s="539"/>
      <c r="AM139" s="538" t="str">
        <f>'J. Other Liability &amp; Expenses'!D203</f>
        <v>J.1</v>
      </c>
      <c r="AN139" s="434">
        <f>'J. Other Liability &amp; Expenses'!N222</f>
        <v>0</v>
      </c>
      <c r="AO139" s="541"/>
      <c r="AP139" s="434"/>
      <c r="AQ139" s="539"/>
      <c r="AR139" s="576"/>
      <c r="AS139" s="434"/>
      <c r="AT139" s="1043"/>
      <c r="AU139" s="1028"/>
      <c r="AV139" s="1041">
        <f t="shared" si="53"/>
        <v>0</v>
      </c>
      <c r="AW139" s="1041">
        <f>ROUND(AE139+AG139+AI139+AN139+AS139+AU139,0)</f>
        <v>0</v>
      </c>
      <c r="AX139" s="536"/>
      <c r="AY139" s="537"/>
      <c r="AZ139" s="434" t="str">
        <f>IF(AV139-AW139&lt;=0," ",AV139-AW139)</f>
        <v xml:space="preserve"> </v>
      </c>
      <c r="BA139" s="540">
        <f>IF(AV139-AW139&gt;0," ",AW139-AV139)</f>
        <v>0</v>
      </c>
      <c r="BB139" s="1047"/>
      <c r="BC139" s="436"/>
    </row>
    <row r="140" spans="1:55" s="1165" customFormat="1" x14ac:dyDescent="0.2">
      <c r="A140" s="33"/>
      <c r="B140" s="1164"/>
      <c r="C140" s="864" t="s">
        <v>4087</v>
      </c>
      <c r="D140" s="533"/>
      <c r="E140" s="534"/>
      <c r="F140" s="530"/>
      <c r="G140" s="530"/>
      <c r="H140" s="530"/>
      <c r="I140" s="530"/>
      <c r="J140" s="530"/>
      <c r="K140" s="535"/>
      <c r="L140" s="530"/>
      <c r="M140" s="530"/>
      <c r="N140" s="530"/>
      <c r="O140" s="530"/>
      <c r="P140" s="529"/>
      <c r="Q140" s="529"/>
      <c r="R140" s="529"/>
      <c r="S140" s="529"/>
      <c r="T140" s="529"/>
      <c r="U140" s="529"/>
      <c r="V140" s="529"/>
      <c r="W140" s="529"/>
      <c r="X140" s="530"/>
      <c r="Y140" s="530"/>
      <c r="Z140" s="530"/>
      <c r="AA140" s="530"/>
      <c r="AB140" s="531"/>
      <c r="AC140" s="539"/>
      <c r="AD140" s="536"/>
      <c r="AE140" s="537"/>
      <c r="AF140" s="530"/>
      <c r="AG140" s="530"/>
      <c r="AH140" s="536"/>
      <c r="AI140" s="537"/>
      <c r="AJ140" s="538" t="s">
        <v>4030</v>
      </c>
      <c r="AK140" s="434"/>
      <c r="AL140" s="539"/>
      <c r="AM140" s="538" t="s">
        <v>4030</v>
      </c>
      <c r="AN140" s="434">
        <f>'P.1 GASB 75 OPEB  - 1'!D102</f>
        <v>0</v>
      </c>
      <c r="AO140" s="541"/>
      <c r="AP140" s="434"/>
      <c r="AQ140" s="539"/>
      <c r="AR140" s="576" t="s">
        <v>646</v>
      </c>
      <c r="AS140" s="434">
        <f>'K.1  Int. Service Fd Allocation'!G188+'K.2  Int. Service Fd Alloca'!G183+'K.3 Int. Service Fd Alloca'!G186</f>
        <v>0</v>
      </c>
      <c r="AT140" s="1166"/>
      <c r="AU140" s="564"/>
      <c r="AV140" s="434">
        <f>ROUND(AD140+AF140+AH140+AK140+AP140+AT140,0)</f>
        <v>0</v>
      </c>
      <c r="AW140" s="434">
        <f>ROUND(AE140+AG140+AI140+AN140+AS140+AU140,0)</f>
        <v>0</v>
      </c>
      <c r="AX140" s="536"/>
      <c r="AY140" s="537"/>
      <c r="AZ140" s="434"/>
      <c r="BA140" s="540">
        <f>IF(AV140-AW140&gt;0," ",AW140-AV140)</f>
        <v>0</v>
      </c>
    </row>
    <row r="141" spans="1:55" s="1165" customFormat="1" x14ac:dyDescent="0.2">
      <c r="A141" s="33"/>
      <c r="B141" s="1164"/>
      <c r="C141" s="864" t="s">
        <v>4088</v>
      </c>
      <c r="D141" s="533"/>
      <c r="E141" s="534"/>
      <c r="F141" s="530"/>
      <c r="G141" s="530"/>
      <c r="H141" s="530"/>
      <c r="I141" s="530"/>
      <c r="J141" s="530"/>
      <c r="K141" s="535"/>
      <c r="L141" s="530"/>
      <c r="M141" s="530"/>
      <c r="N141" s="530"/>
      <c r="O141" s="530"/>
      <c r="P141" s="529"/>
      <c r="Q141" s="529"/>
      <c r="R141" s="529"/>
      <c r="S141" s="529"/>
      <c r="T141" s="529"/>
      <c r="U141" s="529"/>
      <c r="V141" s="529"/>
      <c r="W141" s="529"/>
      <c r="X141" s="530"/>
      <c r="Y141" s="530"/>
      <c r="Z141" s="530"/>
      <c r="AA141" s="530"/>
      <c r="AB141" s="531"/>
      <c r="AC141" s="539"/>
      <c r="AD141" s="536"/>
      <c r="AE141" s="537"/>
      <c r="AF141" s="530"/>
      <c r="AG141" s="530"/>
      <c r="AH141" s="536"/>
      <c r="AI141" s="537"/>
      <c r="AJ141" s="538" t="s">
        <v>4031</v>
      </c>
      <c r="AK141" s="434"/>
      <c r="AL141" s="539"/>
      <c r="AM141" s="538" t="s">
        <v>4031</v>
      </c>
      <c r="AN141" s="434">
        <f>'P.2 GASB 75 OPEB - 2'!D102</f>
        <v>0</v>
      </c>
      <c r="AO141" s="541"/>
      <c r="AP141" s="434"/>
      <c r="AQ141" s="539"/>
      <c r="AR141" s="576"/>
      <c r="AS141" s="434"/>
      <c r="AT141" s="1166"/>
      <c r="AU141" s="564"/>
      <c r="AV141" s="434">
        <f t="shared" ref="AV141:AV142" si="55">ROUND(AD141+AF141+AH141+AK141+AP141+AT141,0)</f>
        <v>0</v>
      </c>
      <c r="AW141" s="434">
        <f t="shared" ref="AW141" si="56">ROUND(AE141+AG141+AI141+AN141+AS141+AU141,0)</f>
        <v>0</v>
      </c>
      <c r="AX141" s="536"/>
      <c r="AY141" s="537"/>
      <c r="AZ141" s="434"/>
      <c r="BA141" s="540">
        <f t="shared" ref="BA141" si="57">IF(AV141-AW141&gt;0," ",AW141-AV141)</f>
        <v>0</v>
      </c>
    </row>
    <row r="142" spans="1:55" s="1165" customFormat="1" x14ac:dyDescent="0.2">
      <c r="A142" s="33"/>
      <c r="B142" s="1164"/>
      <c r="C142" s="864" t="s">
        <v>4089</v>
      </c>
      <c r="D142" s="533"/>
      <c r="E142" s="534"/>
      <c r="F142" s="530"/>
      <c r="G142" s="530"/>
      <c r="H142" s="530"/>
      <c r="I142" s="530"/>
      <c r="J142" s="530"/>
      <c r="K142" s="535"/>
      <c r="L142" s="530"/>
      <c r="M142" s="530"/>
      <c r="N142" s="530"/>
      <c r="O142" s="530"/>
      <c r="P142" s="529"/>
      <c r="Q142" s="529"/>
      <c r="R142" s="529"/>
      <c r="S142" s="529"/>
      <c r="T142" s="529"/>
      <c r="U142" s="529"/>
      <c r="V142" s="529"/>
      <c r="W142" s="529"/>
      <c r="X142" s="530"/>
      <c r="Y142" s="530"/>
      <c r="Z142" s="530"/>
      <c r="AA142" s="530"/>
      <c r="AB142" s="531"/>
      <c r="AC142" s="539"/>
      <c r="AD142" s="536"/>
      <c r="AE142" s="537"/>
      <c r="AF142" s="530"/>
      <c r="AG142" s="530"/>
      <c r="AH142" s="536"/>
      <c r="AI142" s="537"/>
      <c r="AJ142" s="538" t="s">
        <v>4032</v>
      </c>
      <c r="AK142" s="434"/>
      <c r="AL142" s="539"/>
      <c r="AM142" s="538" t="s">
        <v>4032</v>
      </c>
      <c r="AN142" s="434">
        <f>'P.3 GASB 75 OPEB - 3'!D102</f>
        <v>0</v>
      </c>
      <c r="AO142" s="541"/>
      <c r="AP142" s="434"/>
      <c r="AQ142" s="539"/>
      <c r="AR142" s="576"/>
      <c r="AS142" s="434"/>
      <c r="AT142" s="1166"/>
      <c r="AU142" s="564"/>
      <c r="AV142" s="434">
        <f t="shared" si="55"/>
        <v>0</v>
      </c>
      <c r="AW142" s="434">
        <f>ROUND(AE142+AG142+AI142+AN142+AS142+AU142,0)</f>
        <v>0</v>
      </c>
      <c r="AX142" s="536"/>
      <c r="AY142" s="537"/>
      <c r="AZ142" s="434"/>
      <c r="BA142" s="540">
        <f>IF(AV142-AW142&gt;0," ",AW142-AV142)</f>
        <v>0</v>
      </c>
    </row>
    <row r="143" spans="1:55" x14ac:dyDescent="0.2">
      <c r="A143" s="25"/>
      <c r="B143" s="44" t="s">
        <v>1167</v>
      </c>
      <c r="C143" s="31"/>
      <c r="D143" s="527"/>
      <c r="E143" s="528"/>
      <c r="F143" s="518"/>
      <c r="G143" s="518"/>
      <c r="H143" s="518"/>
      <c r="I143" s="518"/>
      <c r="J143" s="518"/>
      <c r="K143" s="519"/>
      <c r="L143" s="518"/>
      <c r="M143" s="518"/>
      <c r="N143" s="518"/>
      <c r="O143" s="518"/>
      <c r="P143" s="520"/>
      <c r="Q143" s="520"/>
      <c r="R143" s="520"/>
      <c r="S143" s="520"/>
      <c r="T143" s="520"/>
      <c r="U143" s="520"/>
      <c r="V143" s="520"/>
      <c r="W143" s="520"/>
      <c r="X143" s="518"/>
      <c r="Y143" s="518"/>
      <c r="Z143" s="518"/>
      <c r="AA143" s="518"/>
      <c r="AB143" s="531"/>
      <c r="AC143" s="505"/>
      <c r="AD143" s="508"/>
      <c r="AE143" s="521"/>
      <c r="AF143" s="518"/>
      <c r="AG143" s="518"/>
      <c r="AH143" s="508"/>
      <c r="AI143" s="521"/>
      <c r="AJ143" s="522"/>
      <c r="AK143" s="506"/>
      <c r="AL143" s="505"/>
      <c r="AM143" s="522"/>
      <c r="AN143" s="434"/>
      <c r="AO143" s="523"/>
      <c r="AP143" s="506"/>
      <c r="AQ143" s="505"/>
      <c r="AR143" s="532"/>
      <c r="AS143" s="434"/>
      <c r="AT143" s="557"/>
      <c r="AU143" s="526"/>
      <c r="AV143" s="1041"/>
      <c r="AW143" s="1041"/>
      <c r="AX143" s="508"/>
      <c r="AY143" s="521"/>
      <c r="AZ143" s="506"/>
      <c r="BA143" s="524"/>
      <c r="BB143" s="1047"/>
      <c r="BC143" s="436"/>
    </row>
    <row r="144" spans="1:55" x14ac:dyDescent="0.2">
      <c r="A144" s="25"/>
      <c r="B144" s="14"/>
      <c r="C144" s="659" t="s">
        <v>551</v>
      </c>
      <c r="D144" s="660"/>
      <c r="E144" s="661"/>
      <c r="F144" s="662"/>
      <c r="G144" s="662"/>
      <c r="H144" s="662"/>
      <c r="I144" s="662"/>
      <c r="J144" s="662"/>
      <c r="K144" s="663"/>
      <c r="L144" s="662"/>
      <c r="M144" s="662"/>
      <c r="N144" s="662"/>
      <c r="O144" s="662"/>
      <c r="P144" s="664"/>
      <c r="Q144" s="664"/>
      <c r="R144" s="664"/>
      <c r="S144" s="664"/>
      <c r="T144" s="664"/>
      <c r="U144" s="664"/>
      <c r="V144" s="664"/>
      <c r="W144" s="664"/>
      <c r="X144" s="662"/>
      <c r="Y144" s="662"/>
      <c r="Z144" s="662"/>
      <c r="AA144" s="662"/>
      <c r="AB144" s="665">
        <f>L144+N144+P144+R144+T144+V144+X144+Z144</f>
        <v>0</v>
      </c>
      <c r="AC144" s="666">
        <f>M144+O144+Q144+S144+U144+W144+Y144+AA144</f>
        <v>0</v>
      </c>
      <c r="AD144" s="667">
        <f>D144+F144+H144+J144+AB144</f>
        <v>0</v>
      </c>
      <c r="AE144" s="668">
        <f>E144+G144+I144+K144+AC144</f>
        <v>0</v>
      </c>
      <c r="AF144" s="662"/>
      <c r="AG144" s="662"/>
      <c r="AH144" s="667"/>
      <c r="AI144" s="668"/>
      <c r="AJ144" s="551"/>
      <c r="AK144" s="552"/>
      <c r="AL144" s="548"/>
      <c r="AM144" s="561"/>
      <c r="AN144" s="562"/>
      <c r="AO144" s="671"/>
      <c r="AP144" s="670"/>
      <c r="AQ144" s="666"/>
      <c r="AR144" s="669"/>
      <c r="AS144" s="672"/>
      <c r="AT144" s="557"/>
      <c r="AU144" s="526"/>
      <c r="AV144" s="467">
        <f>ROUND(AD144+AF144+AH144+AK144+AP144+AT144,0)</f>
        <v>0</v>
      </c>
      <c r="AW144" s="467">
        <f>ROUND(AE144+AG144+AI144+AN144+AS144+AU144,0)</f>
        <v>0</v>
      </c>
      <c r="AX144" s="667"/>
      <c r="AY144" s="668"/>
      <c r="AZ144" s="670" t="str">
        <f>IF(AV144-AW144&lt;=0," ",AV144-AW144)</f>
        <v xml:space="preserve"> </v>
      </c>
      <c r="BA144" s="672">
        <f>IF(AV144-AW144&gt;0," ",AW144-AV144)</f>
        <v>0</v>
      </c>
      <c r="BB144" s="436"/>
      <c r="BC144" s="1047"/>
    </row>
    <row r="145" spans="1:55" x14ac:dyDescent="0.2">
      <c r="A145" s="25"/>
      <c r="B145" s="14"/>
      <c r="C145" s="847" t="s">
        <v>1074</v>
      </c>
      <c r="D145" s="533"/>
      <c r="E145" s="534"/>
      <c r="F145" s="530"/>
      <c r="G145" s="530"/>
      <c r="H145" s="530"/>
      <c r="I145" s="530"/>
      <c r="J145" s="530"/>
      <c r="K145" s="535"/>
      <c r="L145" s="530"/>
      <c r="M145" s="530"/>
      <c r="N145" s="530"/>
      <c r="O145" s="530"/>
      <c r="P145" s="652"/>
      <c r="Q145" s="652"/>
      <c r="R145" s="652"/>
      <c r="S145" s="652"/>
      <c r="T145" s="652"/>
      <c r="U145" s="652"/>
      <c r="V145" s="652"/>
      <c r="W145" s="652"/>
      <c r="X145" s="530"/>
      <c r="Y145" s="530"/>
      <c r="Z145" s="530"/>
      <c r="AA145" s="530"/>
      <c r="AB145" s="531">
        <f t="shared" ref="AB145:AB162" si="58">L145+N145+P145+R145+T145+V145+X145+Z145</f>
        <v>0</v>
      </c>
      <c r="AC145" s="539">
        <f t="shared" ref="AC145:AC162" si="59">M145+O145+Q145+S145+U145+W145+Y145+AA145</f>
        <v>0</v>
      </c>
      <c r="AD145" s="536">
        <f t="shared" ref="AD145:AD162" si="60">D145+F145+H145+J145+AB145</f>
        <v>0</v>
      </c>
      <c r="AE145" s="537">
        <f t="shared" ref="AE145:AE162" si="61">E145+G145+I145+K145+AC145</f>
        <v>0</v>
      </c>
      <c r="AF145" s="530"/>
      <c r="AG145" s="530"/>
      <c r="AH145" s="536"/>
      <c r="AI145" s="537"/>
      <c r="AJ145" s="538" t="str">
        <f>'B.  Property Taxes'!A57</f>
        <v>B.2</v>
      </c>
      <c r="AK145" s="539">
        <f>'B.  Property Taxes'!J57</f>
        <v>0</v>
      </c>
      <c r="AL145" s="539"/>
      <c r="AM145" s="538" t="str">
        <f>'C. Other Revenues'!B207</f>
        <v>C.1</v>
      </c>
      <c r="AN145" s="434">
        <f>'C. Other Revenues'!M208</f>
        <v>0</v>
      </c>
      <c r="AO145" s="541"/>
      <c r="AP145" s="653"/>
      <c r="AQ145" s="539"/>
      <c r="AR145" s="538"/>
      <c r="AS145" s="653"/>
      <c r="AT145" s="557"/>
      <c r="AU145" s="526"/>
      <c r="AV145" s="467">
        <f t="shared" ref="AV145:AV162" si="62">ROUND(AD145+AF145+AH145+AK145+AP145+AT145,0)</f>
        <v>0</v>
      </c>
      <c r="AW145" s="467">
        <f t="shared" ref="AW145:AW162" si="63">ROUND(AE145+AG145+AI145+AN145+AS145+AU145,0)</f>
        <v>0</v>
      </c>
      <c r="AX145" s="536"/>
      <c r="AY145" s="537"/>
      <c r="AZ145" s="434" t="str">
        <f>IF(SUM(AV145:AV146)-SUM(AW145:AW146)&lt;=0," ",SUM(AV145:AV146)-SUM(AW145:AW146))</f>
        <v xml:space="preserve"> </v>
      </c>
      <c r="BA145" s="540">
        <f>IF(SUM(AV145:AV146)-SUM(AW145:AW146)&gt;0," ",SUM(AW145:AW146)-SUM(AV145:AV146))</f>
        <v>0</v>
      </c>
      <c r="BB145" s="94"/>
      <c r="BC145" s="1047"/>
    </row>
    <row r="146" spans="1:55" x14ac:dyDescent="0.2">
      <c r="A146" s="25"/>
      <c r="B146" s="14"/>
      <c r="C146" s="847"/>
      <c r="D146" s="533"/>
      <c r="E146" s="535"/>
      <c r="F146" s="530"/>
      <c r="G146" s="530"/>
      <c r="H146" s="530"/>
      <c r="I146" s="530"/>
      <c r="J146" s="530"/>
      <c r="K146" s="535"/>
      <c r="L146" s="530"/>
      <c r="M146" s="530"/>
      <c r="N146" s="530"/>
      <c r="O146" s="530"/>
      <c r="P146" s="652"/>
      <c r="Q146" s="652"/>
      <c r="R146" s="652"/>
      <c r="S146" s="652"/>
      <c r="T146" s="652"/>
      <c r="U146" s="652"/>
      <c r="V146" s="652"/>
      <c r="W146" s="652"/>
      <c r="X146" s="530"/>
      <c r="Y146" s="530"/>
      <c r="Z146" s="530"/>
      <c r="AA146" s="530"/>
      <c r="AB146" s="531">
        <f t="shared" si="58"/>
        <v>0</v>
      </c>
      <c r="AC146" s="539">
        <f t="shared" si="59"/>
        <v>0</v>
      </c>
      <c r="AD146" s="536">
        <f t="shared" si="60"/>
        <v>0</v>
      </c>
      <c r="AE146" s="537">
        <f t="shared" si="61"/>
        <v>0</v>
      </c>
      <c r="AF146" s="530"/>
      <c r="AG146" s="530"/>
      <c r="AH146" s="536"/>
      <c r="AI146" s="537"/>
      <c r="AJ146" s="538" t="str">
        <f>'C. Other Revenues'!B207</f>
        <v>C.1</v>
      </c>
      <c r="AK146" s="539">
        <f>'C. Other Revenues'!K208</f>
        <v>0</v>
      </c>
      <c r="AL146" s="539"/>
      <c r="AM146" s="582"/>
      <c r="AN146" s="582"/>
      <c r="AO146" s="541"/>
      <c r="AP146" s="653"/>
      <c r="AQ146" s="539"/>
      <c r="AR146" s="538"/>
      <c r="AS146" s="653"/>
      <c r="AT146" s="557"/>
      <c r="AU146" s="526"/>
      <c r="AV146" s="467">
        <f t="shared" si="62"/>
        <v>0</v>
      </c>
      <c r="AW146" s="467">
        <f>ROUND(AE146+AG146+AI146+AN146+AS146+AU146,0)</f>
        <v>0</v>
      </c>
      <c r="AX146" s="536"/>
      <c r="AY146" s="537"/>
      <c r="AZ146" s="653" t="str">
        <f>IF(AV146+AV145-AW146-AW145&lt;=0," ",AV146+AV145-AW146-AW145)</f>
        <v xml:space="preserve"> </v>
      </c>
      <c r="BA146" s="654">
        <f>IF(AV146-AW146&gt;0," ",AW146-AV146)</f>
        <v>0</v>
      </c>
      <c r="BB146" s="436"/>
      <c r="BC146" s="1047"/>
    </row>
    <row r="147" spans="1:55" s="673" customFormat="1" ht="38.25" x14ac:dyDescent="0.2">
      <c r="A147" s="25"/>
      <c r="B147" s="14"/>
      <c r="C147" s="1070" t="s">
        <v>4019</v>
      </c>
      <c r="D147" s="660"/>
      <c r="E147" s="663"/>
      <c r="F147" s="662"/>
      <c r="G147" s="662"/>
      <c r="H147" s="662"/>
      <c r="I147" s="662"/>
      <c r="J147" s="662"/>
      <c r="K147" s="663"/>
      <c r="L147" s="662"/>
      <c r="M147" s="662"/>
      <c r="N147" s="662"/>
      <c r="O147" s="662"/>
      <c r="P147" s="664"/>
      <c r="Q147" s="664"/>
      <c r="R147" s="664"/>
      <c r="S147" s="664"/>
      <c r="T147" s="664"/>
      <c r="U147" s="664"/>
      <c r="V147" s="664"/>
      <c r="W147" s="664"/>
      <c r="X147" s="662"/>
      <c r="Y147" s="662"/>
      <c r="Z147" s="662"/>
      <c r="AA147" s="662"/>
      <c r="AB147" s="665">
        <f t="shared" si="58"/>
        <v>0</v>
      </c>
      <c r="AC147" s="666">
        <f t="shared" si="59"/>
        <v>0</v>
      </c>
      <c r="AD147" s="667">
        <f t="shared" si="60"/>
        <v>0</v>
      </c>
      <c r="AE147" s="668">
        <f t="shared" si="61"/>
        <v>0</v>
      </c>
      <c r="AF147" s="662"/>
      <c r="AG147" s="662">
        <f>'N.1 GASB 68 LGERS'!C75*'N.1 GASB 68 LGERS'!R39+'N.2 GASB 68 ROD'!C63*'N.2 GASB 68 ROD'!R28</f>
        <v>0</v>
      </c>
      <c r="AH147" s="667"/>
      <c r="AI147" s="668"/>
      <c r="AJ147" s="551" t="s">
        <v>2074</v>
      </c>
      <c r="AK147" s="548">
        <f>'N.1 GASB 68 LGERS'!C113</f>
        <v>0</v>
      </c>
      <c r="AL147" s="548"/>
      <c r="AM147" s="562" t="s">
        <v>2074</v>
      </c>
      <c r="AN147" s="562">
        <f>'N.1 GASB 68 LGERS'!D113</f>
        <v>0</v>
      </c>
      <c r="AO147" s="671"/>
      <c r="AP147" s="670"/>
      <c r="AQ147" s="666"/>
      <c r="AR147" s="669" t="s">
        <v>2105</v>
      </c>
      <c r="AS147" s="670">
        <f>'K.1  Int. Service Fd Allocation'!G190+'K.2  Int. Service Fd Alloca'!G185+'K.3 Int. Service Fd Alloca'!G188</f>
        <v>0</v>
      </c>
      <c r="AT147" s="557"/>
      <c r="AU147" s="526"/>
      <c r="AV147" s="467">
        <f t="shared" si="62"/>
        <v>0</v>
      </c>
      <c r="AW147" s="467">
        <f t="shared" si="63"/>
        <v>0</v>
      </c>
      <c r="AX147" s="667"/>
      <c r="AY147" s="668"/>
      <c r="AZ147" s="875" t="str">
        <f>IF(SUM(AV147:AV148)-SUM(AW147:AW148)&lt;=0," ",SUM(AV147:AV148)-SUM(AW147:AW148))</f>
        <v xml:space="preserve"> </v>
      </c>
      <c r="BA147" s="876">
        <f>IF(SUM(AV147:AV148)-SUM(AW147:AW148)&gt;0," ",SUM(AW147:AW148)-SUM(AV147:AV148))</f>
        <v>0</v>
      </c>
      <c r="BB147" s="1047"/>
      <c r="BC147" s="1047"/>
    </row>
    <row r="148" spans="1:55" s="673" customFormat="1" x14ac:dyDescent="0.2">
      <c r="A148" s="25"/>
      <c r="B148" s="14"/>
      <c r="C148" s="709"/>
      <c r="D148" s="660"/>
      <c r="E148" s="663"/>
      <c r="F148" s="662"/>
      <c r="G148" s="662"/>
      <c r="H148" s="662"/>
      <c r="I148" s="662"/>
      <c r="J148" s="662"/>
      <c r="K148" s="663"/>
      <c r="L148" s="662"/>
      <c r="M148" s="662"/>
      <c r="N148" s="662"/>
      <c r="O148" s="662"/>
      <c r="P148" s="664"/>
      <c r="Q148" s="664"/>
      <c r="R148" s="664"/>
      <c r="S148" s="664"/>
      <c r="T148" s="664"/>
      <c r="U148" s="664"/>
      <c r="V148" s="664"/>
      <c r="W148" s="664"/>
      <c r="X148" s="662"/>
      <c r="Y148" s="662"/>
      <c r="Z148" s="662"/>
      <c r="AA148" s="662"/>
      <c r="AB148" s="665">
        <f t="shared" si="58"/>
        <v>0</v>
      </c>
      <c r="AC148" s="666">
        <f t="shared" si="59"/>
        <v>0</v>
      </c>
      <c r="AD148" s="667">
        <f t="shared" si="60"/>
        <v>0</v>
      </c>
      <c r="AE148" s="668">
        <f t="shared" si="61"/>
        <v>0</v>
      </c>
      <c r="AF148" s="662"/>
      <c r="AG148" s="662"/>
      <c r="AH148" s="667"/>
      <c r="AI148" s="668"/>
      <c r="AJ148" s="551" t="s">
        <v>2075</v>
      </c>
      <c r="AK148" s="548">
        <f>'N.2 GASB 68 ROD'!C85</f>
        <v>0</v>
      </c>
      <c r="AL148" s="548"/>
      <c r="AM148" s="562" t="s">
        <v>2075</v>
      </c>
      <c r="AN148" s="562">
        <f>'N.2 GASB 68 ROD'!D85</f>
        <v>0</v>
      </c>
      <c r="AO148" s="671"/>
      <c r="AP148" s="670"/>
      <c r="AQ148" s="666"/>
      <c r="AR148" s="669"/>
      <c r="AS148" s="670"/>
      <c r="AT148" s="557"/>
      <c r="AU148" s="526"/>
      <c r="AV148" s="467">
        <f t="shared" si="62"/>
        <v>0</v>
      </c>
      <c r="AW148" s="467">
        <f t="shared" si="63"/>
        <v>0</v>
      </c>
      <c r="AX148" s="667"/>
      <c r="AY148" s="668"/>
      <c r="AZ148" s="670"/>
      <c r="BA148" s="672"/>
      <c r="BB148" s="1047"/>
      <c r="BC148" s="1047"/>
    </row>
    <row r="149" spans="1:55" s="673" customFormat="1" ht="25.5" x14ac:dyDescent="0.2">
      <c r="A149" s="25"/>
      <c r="B149" s="14"/>
      <c r="C149" s="851" t="s">
        <v>4026</v>
      </c>
      <c r="D149" s="533"/>
      <c r="E149" s="535"/>
      <c r="F149" s="530"/>
      <c r="G149" s="530"/>
      <c r="H149" s="530"/>
      <c r="I149" s="530"/>
      <c r="J149" s="530"/>
      <c r="K149" s="535"/>
      <c r="L149" s="530"/>
      <c r="M149" s="530"/>
      <c r="N149" s="530"/>
      <c r="O149" s="530"/>
      <c r="P149" s="652"/>
      <c r="Q149" s="652"/>
      <c r="R149" s="652"/>
      <c r="S149" s="652"/>
      <c r="T149" s="652"/>
      <c r="U149" s="652"/>
      <c r="V149" s="652"/>
      <c r="W149" s="652"/>
      <c r="X149" s="530"/>
      <c r="Y149" s="530"/>
      <c r="Z149" s="530"/>
      <c r="AA149" s="530"/>
      <c r="AB149" s="531">
        <f t="shared" si="58"/>
        <v>0</v>
      </c>
      <c r="AC149" s="539">
        <f t="shared" si="59"/>
        <v>0</v>
      </c>
      <c r="AD149" s="536">
        <f t="shared" si="60"/>
        <v>0</v>
      </c>
      <c r="AE149" s="537">
        <f t="shared" si="61"/>
        <v>0</v>
      </c>
      <c r="AF149" s="530"/>
      <c r="AG149" s="530">
        <f>'N.1 GASB 68 LGERS'!C75*'N.1 GASB 68 LGERS'!O39+'N.2 GASB 68 ROD'!C63*'N.2 GASB 68 ROD'!O28</f>
        <v>0</v>
      </c>
      <c r="AH149" s="536"/>
      <c r="AI149" s="537"/>
      <c r="AJ149" s="538" t="s">
        <v>2074</v>
      </c>
      <c r="AK149" s="539">
        <f>'N.1 GASB 68 LGERS'!C110</f>
        <v>0</v>
      </c>
      <c r="AL149" s="539"/>
      <c r="AM149" s="582" t="s">
        <v>2074</v>
      </c>
      <c r="AN149" s="582">
        <f>'N.1 GASB 68 LGERS'!D110</f>
        <v>0</v>
      </c>
      <c r="AO149" s="541"/>
      <c r="AP149" s="653"/>
      <c r="AQ149" s="539"/>
      <c r="AR149" s="699" t="s">
        <v>2105</v>
      </c>
      <c r="AS149" s="653">
        <f>'K.1  Int. Service Fd Allocation'!G191+'K.2  Int. Service Fd Alloca'!G186+'K.3 Int. Service Fd Alloca'!G189</f>
        <v>0</v>
      </c>
      <c r="AT149" s="557"/>
      <c r="AU149" s="526"/>
      <c r="AV149" s="467">
        <f t="shared" si="62"/>
        <v>0</v>
      </c>
      <c r="AW149" s="467">
        <f>ROUND(AE149+AG149+AI149+AN149+AS149+AU149,0)</f>
        <v>0</v>
      </c>
      <c r="AX149" s="536"/>
      <c r="AY149" s="537"/>
      <c r="AZ149" s="434" t="str">
        <f>IF(SUM(AV149:AV151)-SUM(AW149:AW151)&lt;=0," ",SUM(AV149:AV151)-SUM(AW149:AW151))</f>
        <v xml:space="preserve"> </v>
      </c>
      <c r="BA149" s="540">
        <f>IF(SUM(AV149:AV151)-SUM(AW149:AW151)&gt;0," ",SUM(AW149:AW151)-SUM(AV149:AV151))</f>
        <v>0</v>
      </c>
      <c r="BB149" s="1047"/>
      <c r="BC149" s="1047"/>
    </row>
    <row r="150" spans="1:55" s="756" customFormat="1" x14ac:dyDescent="0.2">
      <c r="A150" s="25"/>
      <c r="B150" s="14"/>
      <c r="C150" s="848"/>
      <c r="D150" s="533"/>
      <c r="E150" s="535"/>
      <c r="F150" s="530"/>
      <c r="G150" s="530"/>
      <c r="H150" s="530"/>
      <c r="I150" s="530"/>
      <c r="J150" s="530"/>
      <c r="K150" s="535"/>
      <c r="L150" s="530"/>
      <c r="M150" s="530"/>
      <c r="N150" s="530"/>
      <c r="O150" s="530"/>
      <c r="P150" s="652"/>
      <c r="Q150" s="652"/>
      <c r="R150" s="652"/>
      <c r="S150" s="652"/>
      <c r="T150" s="652"/>
      <c r="U150" s="652"/>
      <c r="V150" s="652"/>
      <c r="W150" s="652"/>
      <c r="X150" s="530"/>
      <c r="Y150" s="530"/>
      <c r="Z150" s="530"/>
      <c r="AA150" s="530"/>
      <c r="AB150" s="531">
        <f t="shared" si="58"/>
        <v>0</v>
      </c>
      <c r="AC150" s="539">
        <f t="shared" si="59"/>
        <v>0</v>
      </c>
      <c r="AD150" s="536">
        <f t="shared" si="60"/>
        <v>0</v>
      </c>
      <c r="AE150" s="537">
        <f t="shared" si="61"/>
        <v>0</v>
      </c>
      <c r="AF150" s="530"/>
      <c r="AG150" s="530"/>
      <c r="AH150" s="536"/>
      <c r="AI150" s="537"/>
      <c r="AJ150" s="538" t="s">
        <v>2075</v>
      </c>
      <c r="AK150" s="539">
        <f>'N.2 GASB 68 ROD'!C82</f>
        <v>0</v>
      </c>
      <c r="AL150" s="539"/>
      <c r="AM150" s="582" t="s">
        <v>2075</v>
      </c>
      <c r="AN150" s="582">
        <f>'N.2 GASB 68 ROD'!D82</f>
        <v>0</v>
      </c>
      <c r="AO150" s="541"/>
      <c r="AP150" s="653"/>
      <c r="AQ150" s="539"/>
      <c r="AR150" s="538"/>
      <c r="AS150" s="653"/>
      <c r="AT150" s="557"/>
      <c r="AU150" s="526"/>
      <c r="AV150" s="467">
        <f t="shared" si="62"/>
        <v>0</v>
      </c>
      <c r="AW150" s="467">
        <f t="shared" si="63"/>
        <v>0</v>
      </c>
      <c r="AX150" s="536"/>
      <c r="AY150" s="537"/>
      <c r="AZ150" s="653"/>
      <c r="BA150" s="654"/>
      <c r="BB150" s="1047"/>
      <c r="BC150" s="1047"/>
    </row>
    <row r="151" spans="1:55" s="756" customFormat="1" x14ac:dyDescent="0.2">
      <c r="A151" s="25"/>
      <c r="B151" s="14"/>
      <c r="C151" s="848"/>
      <c r="D151" s="533"/>
      <c r="E151" s="535"/>
      <c r="F151" s="530"/>
      <c r="G151" s="530"/>
      <c r="H151" s="530"/>
      <c r="I151" s="530"/>
      <c r="J151" s="530"/>
      <c r="K151" s="535"/>
      <c r="L151" s="530"/>
      <c r="M151" s="530"/>
      <c r="N151" s="530"/>
      <c r="O151" s="530"/>
      <c r="P151" s="652"/>
      <c r="Q151" s="652"/>
      <c r="R151" s="652"/>
      <c r="S151" s="652"/>
      <c r="T151" s="652"/>
      <c r="U151" s="652"/>
      <c r="V151" s="652"/>
      <c r="W151" s="652"/>
      <c r="X151" s="530"/>
      <c r="Y151" s="530"/>
      <c r="Z151" s="530"/>
      <c r="AA151" s="530"/>
      <c r="AB151" s="531">
        <f t="shared" si="58"/>
        <v>0</v>
      </c>
      <c r="AC151" s="539">
        <f t="shared" si="59"/>
        <v>0</v>
      </c>
      <c r="AD151" s="536">
        <f t="shared" si="60"/>
        <v>0</v>
      </c>
      <c r="AE151" s="537">
        <f t="shared" si="61"/>
        <v>0</v>
      </c>
      <c r="AF151" s="530"/>
      <c r="AG151" s="530"/>
      <c r="AH151" s="536"/>
      <c r="AI151" s="537"/>
      <c r="AJ151" s="538" t="s">
        <v>3639</v>
      </c>
      <c r="AK151" s="539">
        <f>'O. GASB 73 LEO Entries'!C74</f>
        <v>0</v>
      </c>
      <c r="AL151" s="539"/>
      <c r="AM151" s="582" t="s">
        <v>3639</v>
      </c>
      <c r="AN151" s="582">
        <f>'O. GASB 73 LEO Entries'!D74</f>
        <v>0</v>
      </c>
      <c r="AO151" s="541"/>
      <c r="AP151" s="653"/>
      <c r="AQ151" s="539"/>
      <c r="AR151" s="538"/>
      <c r="AS151" s="653"/>
      <c r="AT151" s="557"/>
      <c r="AU151" s="526"/>
      <c r="AV151" s="467">
        <f t="shared" si="62"/>
        <v>0</v>
      </c>
      <c r="AW151" s="467">
        <f t="shared" si="63"/>
        <v>0</v>
      </c>
      <c r="AX151" s="536"/>
      <c r="AY151" s="537"/>
      <c r="AZ151" s="653"/>
      <c r="BA151" s="654"/>
      <c r="BB151" s="1047"/>
      <c r="BC151" s="1047"/>
    </row>
    <row r="152" spans="1:55" s="1032" customFormat="1" ht="25.5" x14ac:dyDescent="0.2">
      <c r="A152" s="25"/>
      <c r="B152" s="14"/>
      <c r="C152" s="851" t="s">
        <v>4025</v>
      </c>
      <c r="D152" s="533"/>
      <c r="E152" s="535"/>
      <c r="F152" s="530"/>
      <c r="G152" s="530"/>
      <c r="H152" s="530"/>
      <c r="I152" s="530"/>
      <c r="J152" s="530"/>
      <c r="K152" s="535"/>
      <c r="L152" s="530"/>
      <c r="M152" s="530"/>
      <c r="N152" s="530"/>
      <c r="O152" s="530"/>
      <c r="P152" s="652"/>
      <c r="Q152" s="652"/>
      <c r="R152" s="652"/>
      <c r="S152" s="652"/>
      <c r="T152" s="652"/>
      <c r="U152" s="652"/>
      <c r="V152" s="652"/>
      <c r="W152" s="652"/>
      <c r="X152" s="530"/>
      <c r="Y152" s="530"/>
      <c r="Z152" s="530"/>
      <c r="AA152" s="530"/>
      <c r="AB152" s="531"/>
      <c r="AC152" s="539"/>
      <c r="AD152" s="536"/>
      <c r="AE152" s="537"/>
      <c r="AF152" s="582"/>
      <c r="AG152" s="582"/>
      <c r="AH152" s="536"/>
      <c r="AI152" s="537"/>
      <c r="AJ152" s="538"/>
      <c r="AK152" s="582"/>
      <c r="AL152" s="582"/>
      <c r="AM152" s="538" t="s">
        <v>4030</v>
      </c>
      <c r="AN152" s="582">
        <f>'P.1 GASB 75 OPEB  - 1'!D132</f>
        <v>0</v>
      </c>
      <c r="AO152" s="541"/>
      <c r="AP152" s="653"/>
      <c r="AQ152" s="539"/>
      <c r="AR152" s="699" t="s">
        <v>2105</v>
      </c>
      <c r="AS152" s="653">
        <f>'K.1  Int. Service Fd Allocation'!G194+'K.2  Int. Service Fd Alloca'!G189+'K.3 Int. Service Fd Alloca'!G192</f>
        <v>0</v>
      </c>
      <c r="AT152" s="557"/>
      <c r="AU152" s="526"/>
      <c r="AV152" s="467">
        <f>ROUND(AD152+AF152+AH152+AK152+AP152+AT152,0)</f>
        <v>0</v>
      </c>
      <c r="AW152" s="467">
        <f>ROUND(AE152+AG152+AI152+AN152+AS152+AU152,0)</f>
        <v>0</v>
      </c>
      <c r="AX152" s="536"/>
      <c r="AY152" s="537"/>
      <c r="AZ152" s="653" t="str">
        <f>IF(SUM(AV152:AV154)-SUM(AW152:AW154)&lt;=0," ",SUM(AV152:AV154)-SUM(AW152:AW154))</f>
        <v xml:space="preserve"> </v>
      </c>
      <c r="BA152" s="654">
        <f>IF(SUM(AV152:AV154)-SUM(AW152:AW154)&gt;0," ",SUM(AW152:AW154)-SUM(AV152:AV154))</f>
        <v>0</v>
      </c>
      <c r="BB152" s="1047"/>
      <c r="BC152" s="1047"/>
    </row>
    <row r="153" spans="1:55" s="1103" customFormat="1" x14ac:dyDescent="0.2">
      <c r="A153" s="25"/>
      <c r="B153" s="14"/>
      <c r="C153" s="1105"/>
      <c r="D153" s="533"/>
      <c r="E153" s="535"/>
      <c r="F153" s="530"/>
      <c r="G153" s="530"/>
      <c r="H153" s="530"/>
      <c r="I153" s="530"/>
      <c r="J153" s="530"/>
      <c r="K153" s="535"/>
      <c r="L153" s="530"/>
      <c r="M153" s="530"/>
      <c r="N153" s="530"/>
      <c r="O153" s="530"/>
      <c r="P153" s="652"/>
      <c r="Q153" s="652"/>
      <c r="R153" s="652"/>
      <c r="S153" s="652"/>
      <c r="T153" s="652"/>
      <c r="U153" s="652"/>
      <c r="V153" s="652"/>
      <c r="W153" s="652"/>
      <c r="X153" s="530"/>
      <c r="Y153" s="530"/>
      <c r="Z153" s="530"/>
      <c r="AA153" s="530"/>
      <c r="AB153" s="531"/>
      <c r="AC153" s="539"/>
      <c r="AD153" s="536"/>
      <c r="AE153" s="537"/>
      <c r="AF153" s="582"/>
      <c r="AG153" s="582"/>
      <c r="AH153" s="536"/>
      <c r="AI153" s="537"/>
      <c r="AJ153" s="538"/>
      <c r="AK153" s="582"/>
      <c r="AL153" s="582"/>
      <c r="AM153" s="538" t="s">
        <v>4031</v>
      </c>
      <c r="AN153" s="582">
        <f>'P.2 GASB 75 OPEB - 2'!D132</f>
        <v>0</v>
      </c>
      <c r="AO153" s="541"/>
      <c r="AP153" s="653"/>
      <c r="AQ153" s="539"/>
      <c r="AR153" s="538"/>
      <c r="AS153" s="653"/>
      <c r="AT153" s="557"/>
      <c r="AU153" s="526"/>
      <c r="AV153" s="467">
        <f t="shared" ref="AV153" si="64">ROUND(AD153+AF153+AH153+AK153+AP153+AT153,0)</f>
        <v>0</v>
      </c>
      <c r="AW153" s="467">
        <f t="shared" ref="AW153" si="65">ROUND(AE153+AG153+AI153+AN153+AS153+AU153,0)</f>
        <v>0</v>
      </c>
      <c r="AX153" s="536"/>
      <c r="AY153" s="537"/>
      <c r="AZ153" s="653"/>
      <c r="BA153" s="654"/>
      <c r="BB153" s="1104"/>
      <c r="BC153" s="1104"/>
    </row>
    <row r="154" spans="1:55" s="1103" customFormat="1" x14ac:dyDescent="0.2">
      <c r="A154" s="25"/>
      <c r="B154" s="14"/>
      <c r="C154" s="1105"/>
      <c r="D154" s="533"/>
      <c r="E154" s="535"/>
      <c r="F154" s="530"/>
      <c r="G154" s="530"/>
      <c r="H154" s="530"/>
      <c r="I154" s="530"/>
      <c r="J154" s="530"/>
      <c r="K154" s="535"/>
      <c r="L154" s="530"/>
      <c r="M154" s="530"/>
      <c r="N154" s="530"/>
      <c r="O154" s="530"/>
      <c r="P154" s="652"/>
      <c r="Q154" s="652"/>
      <c r="R154" s="652"/>
      <c r="S154" s="652"/>
      <c r="T154" s="652"/>
      <c r="U154" s="652"/>
      <c r="V154" s="652"/>
      <c r="W154" s="652"/>
      <c r="X154" s="530"/>
      <c r="Y154" s="530"/>
      <c r="Z154" s="530"/>
      <c r="AA154" s="530"/>
      <c r="AB154" s="531"/>
      <c r="AC154" s="539"/>
      <c r="AD154" s="536"/>
      <c r="AE154" s="537"/>
      <c r="AF154" s="582"/>
      <c r="AG154" s="582"/>
      <c r="AH154" s="536"/>
      <c r="AI154" s="537"/>
      <c r="AJ154" s="538"/>
      <c r="AK154" s="582"/>
      <c r="AL154" s="582"/>
      <c r="AM154" s="538" t="s">
        <v>4032</v>
      </c>
      <c r="AN154" s="582">
        <f>'P.3 GASB 75 OPEB - 3'!D132</f>
        <v>0</v>
      </c>
      <c r="AO154" s="541"/>
      <c r="AP154" s="653"/>
      <c r="AQ154" s="539"/>
      <c r="AR154" s="538"/>
      <c r="AS154" s="653"/>
      <c r="AT154" s="557"/>
      <c r="AU154" s="526"/>
      <c r="AV154" s="467">
        <f>ROUND(AD154+AF154+AH154+AK154+AP154+AT154,0)</f>
        <v>0</v>
      </c>
      <c r="AW154" s="467">
        <f>ROUND(AE154+AG154+AI154+AN154+AS154+AU154,0)</f>
        <v>0</v>
      </c>
      <c r="AX154" s="536"/>
      <c r="AY154" s="537"/>
      <c r="AZ154" s="653"/>
      <c r="BA154" s="654"/>
      <c r="BB154" s="1104"/>
      <c r="BC154" s="1104"/>
    </row>
    <row r="155" spans="1:55" s="1103" customFormat="1" x14ac:dyDescent="0.2">
      <c r="A155" s="25"/>
      <c r="B155" s="14"/>
      <c r="C155" s="1105"/>
      <c r="D155" s="533"/>
      <c r="E155" s="535"/>
      <c r="F155" s="530"/>
      <c r="G155" s="530"/>
      <c r="H155" s="530"/>
      <c r="I155" s="530"/>
      <c r="J155" s="530"/>
      <c r="K155" s="535"/>
      <c r="L155" s="530"/>
      <c r="M155" s="530"/>
      <c r="N155" s="530"/>
      <c r="O155" s="530"/>
      <c r="P155" s="652"/>
      <c r="Q155" s="652"/>
      <c r="R155" s="652"/>
      <c r="S155" s="652"/>
      <c r="T155" s="652"/>
      <c r="U155" s="652"/>
      <c r="V155" s="652"/>
      <c r="W155" s="652"/>
      <c r="X155" s="530"/>
      <c r="Y155" s="530"/>
      <c r="Z155" s="530"/>
      <c r="AA155" s="530"/>
      <c r="AB155" s="531"/>
      <c r="AC155" s="539"/>
      <c r="AD155" s="536"/>
      <c r="AE155" s="537"/>
      <c r="AF155" s="530"/>
      <c r="AG155" s="530"/>
      <c r="AH155" s="536"/>
      <c r="AI155" s="537"/>
      <c r="AJ155" s="538"/>
      <c r="AK155" s="582"/>
      <c r="AL155" s="582"/>
      <c r="AM155" s="538"/>
      <c r="AN155" s="582"/>
      <c r="AO155" s="541"/>
      <c r="AP155" s="653"/>
      <c r="AQ155" s="539"/>
      <c r="AR155" s="538"/>
      <c r="AS155" s="653"/>
      <c r="AT155" s="557"/>
      <c r="AU155" s="526"/>
      <c r="AV155" s="467"/>
      <c r="AW155" s="467"/>
      <c r="AX155" s="536"/>
      <c r="AY155" s="537"/>
      <c r="AZ155" s="653"/>
      <c r="BA155" s="654"/>
      <c r="BB155" s="1104"/>
      <c r="BC155" s="1104"/>
    </row>
    <row r="156" spans="1:55" s="756" customFormat="1" x14ac:dyDescent="0.2">
      <c r="A156" s="25"/>
      <c r="B156" s="14"/>
      <c r="C156" s="1070" t="s">
        <v>4027</v>
      </c>
      <c r="D156" s="660"/>
      <c r="E156" s="663"/>
      <c r="F156" s="662"/>
      <c r="G156" s="662"/>
      <c r="H156" s="662"/>
      <c r="I156" s="662"/>
      <c r="J156" s="662"/>
      <c r="K156" s="663"/>
      <c r="L156" s="662"/>
      <c r="M156" s="662"/>
      <c r="N156" s="662"/>
      <c r="O156" s="662"/>
      <c r="P156" s="664"/>
      <c r="Q156" s="664"/>
      <c r="R156" s="664"/>
      <c r="S156" s="664"/>
      <c r="T156" s="664"/>
      <c r="U156" s="664"/>
      <c r="V156" s="664"/>
      <c r="W156" s="664"/>
      <c r="X156" s="662"/>
      <c r="Y156" s="662"/>
      <c r="Z156" s="662"/>
      <c r="AA156" s="662"/>
      <c r="AB156" s="665">
        <f t="shared" si="58"/>
        <v>0</v>
      </c>
      <c r="AC156" s="666">
        <f t="shared" si="59"/>
        <v>0</v>
      </c>
      <c r="AD156" s="667">
        <f t="shared" si="60"/>
        <v>0</v>
      </c>
      <c r="AE156" s="668">
        <f t="shared" si="61"/>
        <v>0</v>
      </c>
      <c r="AF156" s="662"/>
      <c r="AG156" s="662">
        <f>'N.1 GASB 68 LGERS'!C75*'N.1 GASB 68 LGERS'!Q39+'N.2 GASB 68 ROD'!C63*'N.2 GASB 68 ROD'!Q28</f>
        <v>0</v>
      </c>
      <c r="AH156" s="667"/>
      <c r="AI156" s="668"/>
      <c r="AJ156" s="551" t="s">
        <v>2074</v>
      </c>
      <c r="AK156" s="548">
        <f>'N.1 GASB 68 LGERS'!C112</f>
        <v>0</v>
      </c>
      <c r="AL156" s="548"/>
      <c r="AM156" s="562" t="s">
        <v>2074</v>
      </c>
      <c r="AN156" s="562">
        <f>'N.1 GASB 68 LGERS'!D112</f>
        <v>0</v>
      </c>
      <c r="AO156" s="671"/>
      <c r="AP156" s="670"/>
      <c r="AQ156" s="666"/>
      <c r="AR156" s="669" t="s">
        <v>2105</v>
      </c>
      <c r="AS156" s="670">
        <f>'K.1  Int. Service Fd Allocation'!G192+'K.2  Int. Service Fd Alloca'!G187+'K.3 Int. Service Fd Alloca'!G190</f>
        <v>0</v>
      </c>
      <c r="AT156" s="557"/>
      <c r="AU156" s="526"/>
      <c r="AV156" s="467">
        <f t="shared" si="62"/>
        <v>0</v>
      </c>
      <c r="AW156" s="467">
        <f>ROUND(AE156+AG156+AI156+AN156+AS156+AU156,0)</f>
        <v>0</v>
      </c>
      <c r="AX156" s="667"/>
      <c r="AY156" s="668"/>
      <c r="AZ156" s="875" t="str">
        <f>IF(SUM(AV156:AV158)-SUM(AW156:AW158)&lt;=0," ",SUM(AV156:AV158)-SUM(AW156:AW158))</f>
        <v xml:space="preserve"> </v>
      </c>
      <c r="BA156" s="876">
        <f>IF(SUM(AV156:AV158)-SUM(AW156:AW158)&gt;0," ",SUM(AW156:AW158)-SUM(AV156:AV158))</f>
        <v>0</v>
      </c>
      <c r="BB156" s="1047"/>
      <c r="BC156" s="1047"/>
    </row>
    <row r="157" spans="1:55" s="756" customFormat="1" x14ac:dyDescent="0.2">
      <c r="A157" s="25"/>
      <c r="B157" s="14"/>
      <c r="C157" s="709"/>
      <c r="D157" s="660"/>
      <c r="E157" s="663"/>
      <c r="F157" s="662"/>
      <c r="G157" s="662"/>
      <c r="H157" s="662"/>
      <c r="I157" s="662"/>
      <c r="J157" s="662"/>
      <c r="K157" s="663"/>
      <c r="L157" s="662"/>
      <c r="M157" s="662"/>
      <c r="N157" s="662"/>
      <c r="O157" s="662"/>
      <c r="P157" s="664"/>
      <c r="Q157" s="664"/>
      <c r="R157" s="664"/>
      <c r="S157" s="664"/>
      <c r="T157" s="664"/>
      <c r="U157" s="664"/>
      <c r="V157" s="664"/>
      <c r="W157" s="664"/>
      <c r="X157" s="662"/>
      <c r="Y157" s="662"/>
      <c r="Z157" s="662"/>
      <c r="AA157" s="662"/>
      <c r="AB157" s="665">
        <f t="shared" si="58"/>
        <v>0</v>
      </c>
      <c r="AC157" s="666">
        <f t="shared" si="59"/>
        <v>0</v>
      </c>
      <c r="AD157" s="667">
        <f t="shared" si="60"/>
        <v>0</v>
      </c>
      <c r="AE157" s="668">
        <f t="shared" si="61"/>
        <v>0</v>
      </c>
      <c r="AF157" s="662"/>
      <c r="AG157" s="662"/>
      <c r="AH157" s="667"/>
      <c r="AI157" s="668"/>
      <c r="AJ157" s="551" t="s">
        <v>2075</v>
      </c>
      <c r="AK157" s="548">
        <f>'N.2 GASB 68 ROD'!C84</f>
        <v>0</v>
      </c>
      <c r="AL157" s="548"/>
      <c r="AM157" s="562" t="s">
        <v>2075</v>
      </c>
      <c r="AN157" s="562">
        <f>'N.2 GASB 68 ROD'!D84</f>
        <v>0</v>
      </c>
      <c r="AO157" s="671"/>
      <c r="AP157" s="670"/>
      <c r="AQ157" s="666"/>
      <c r="AR157" s="669"/>
      <c r="AS157" s="670"/>
      <c r="AT157" s="557"/>
      <c r="AU157" s="526"/>
      <c r="AV157" s="467">
        <f t="shared" si="62"/>
        <v>0</v>
      </c>
      <c r="AW157" s="467">
        <f t="shared" si="63"/>
        <v>0</v>
      </c>
      <c r="AX157" s="667"/>
      <c r="AY157" s="668"/>
      <c r="AZ157" s="670"/>
      <c r="BA157" s="672"/>
      <c r="BB157" s="1047"/>
      <c r="BC157" s="1047"/>
    </row>
    <row r="158" spans="1:55" s="756" customFormat="1" x14ac:dyDescent="0.2">
      <c r="A158" s="25"/>
      <c r="B158" s="14"/>
      <c r="C158" s="709"/>
      <c r="D158" s="660"/>
      <c r="E158" s="663"/>
      <c r="F158" s="662"/>
      <c r="G158" s="662"/>
      <c r="H158" s="662"/>
      <c r="I158" s="662"/>
      <c r="J158" s="662"/>
      <c r="K158" s="663"/>
      <c r="L158" s="662"/>
      <c r="M158" s="662"/>
      <c r="N158" s="662"/>
      <c r="O158" s="662"/>
      <c r="P158" s="664"/>
      <c r="Q158" s="664"/>
      <c r="R158" s="664"/>
      <c r="S158" s="664"/>
      <c r="T158" s="664"/>
      <c r="U158" s="664"/>
      <c r="V158" s="664"/>
      <c r="W158" s="664"/>
      <c r="X158" s="662"/>
      <c r="Y158" s="662"/>
      <c r="Z158" s="662"/>
      <c r="AA158" s="662"/>
      <c r="AB158" s="665">
        <f t="shared" si="58"/>
        <v>0</v>
      </c>
      <c r="AC158" s="666">
        <f t="shared" si="59"/>
        <v>0</v>
      </c>
      <c r="AD158" s="667">
        <f t="shared" si="60"/>
        <v>0</v>
      </c>
      <c r="AE158" s="668">
        <f t="shared" si="61"/>
        <v>0</v>
      </c>
      <c r="AF158" s="662"/>
      <c r="AG158" s="662">
        <f>-'O. GASB 73 LEO Entries'!D20</f>
        <v>0</v>
      </c>
      <c r="AH158" s="667"/>
      <c r="AI158" s="668"/>
      <c r="AJ158" s="551" t="s">
        <v>3639</v>
      </c>
      <c r="AK158" s="548">
        <f>'O. GASB 73 LEO Entries'!C75</f>
        <v>0</v>
      </c>
      <c r="AL158" s="548"/>
      <c r="AM158" s="562" t="s">
        <v>3639</v>
      </c>
      <c r="AN158" s="562">
        <f>'O. GASB 73 LEO Entries'!D75</f>
        <v>0</v>
      </c>
      <c r="AO158" s="671"/>
      <c r="AP158" s="670"/>
      <c r="AQ158" s="666"/>
      <c r="AR158" s="669"/>
      <c r="AS158" s="670"/>
      <c r="AT158" s="557"/>
      <c r="AU158" s="526"/>
      <c r="AV158" s="467">
        <f t="shared" si="62"/>
        <v>0</v>
      </c>
      <c r="AW158" s="467">
        <f>ROUND(AE158+AG158+AI158+AN158+AS158+AU158,0)</f>
        <v>0</v>
      </c>
      <c r="AX158" s="667"/>
      <c r="AY158" s="668"/>
      <c r="AZ158" s="670"/>
      <c r="BA158" s="672"/>
      <c r="BB158" s="1047"/>
      <c r="BC158" s="1047"/>
    </row>
    <row r="159" spans="1:55" s="1032" customFormat="1" x14ac:dyDescent="0.2">
      <c r="A159" s="25"/>
      <c r="B159" s="14"/>
      <c r="C159" s="1070" t="s">
        <v>4028</v>
      </c>
      <c r="D159" s="660"/>
      <c r="E159" s="663"/>
      <c r="F159" s="662"/>
      <c r="G159" s="662"/>
      <c r="H159" s="662"/>
      <c r="I159" s="662"/>
      <c r="J159" s="662"/>
      <c r="K159" s="663"/>
      <c r="L159" s="662"/>
      <c r="M159" s="662"/>
      <c r="N159" s="662"/>
      <c r="O159" s="662"/>
      <c r="P159" s="664"/>
      <c r="Q159" s="664"/>
      <c r="R159" s="664"/>
      <c r="S159" s="664"/>
      <c r="T159" s="664"/>
      <c r="U159" s="664"/>
      <c r="V159" s="664"/>
      <c r="W159" s="664"/>
      <c r="X159" s="662"/>
      <c r="Y159" s="662"/>
      <c r="Z159" s="662"/>
      <c r="AA159" s="662"/>
      <c r="AB159" s="665"/>
      <c r="AC159" s="666"/>
      <c r="AD159" s="667"/>
      <c r="AE159" s="668"/>
      <c r="AF159" s="662"/>
      <c r="AG159" s="662"/>
      <c r="AH159" s="667"/>
      <c r="AI159" s="668"/>
      <c r="AJ159" s="551"/>
      <c r="AK159" s="1039"/>
      <c r="AL159" s="548"/>
      <c r="AM159" s="562" t="s">
        <v>4030</v>
      </c>
      <c r="AN159" s="562">
        <f>'P.1 GASB 75 OPEB  - 1'!D133</f>
        <v>0</v>
      </c>
      <c r="AO159" s="671"/>
      <c r="AP159" s="670"/>
      <c r="AQ159" s="666"/>
      <c r="AR159" s="669" t="s">
        <v>2105</v>
      </c>
      <c r="AS159" s="670">
        <f>'K.1  Int. Service Fd Allocation'!G195+'K.2  Int. Service Fd Alloca'!G190+'K.3 Int. Service Fd Alloca'!G193</f>
        <v>0</v>
      </c>
      <c r="AT159" s="557"/>
      <c r="AU159" s="526"/>
      <c r="AV159" s="467">
        <f>ROUND(AD159+AF159+AH159+AK159+AP159+AT159,0)</f>
        <v>0</v>
      </c>
      <c r="AW159" s="467">
        <f>ROUND(AE159+AG159+AI159+AN159+AS159+AU159,0)</f>
        <v>0</v>
      </c>
      <c r="AX159" s="667"/>
      <c r="AY159" s="668"/>
      <c r="AZ159" s="670" t="str">
        <f>IF(SUM(AV159:AV161)-SUM(AW159:AW161)&lt;=0," ",SUM(AV159:AV161)-SUM(AW159:AW161))</f>
        <v xml:space="preserve"> </v>
      </c>
      <c r="BA159" s="672">
        <f>IF(SUM(AV159:AV161)-SUM(AW159:AW161)&gt;0," ",SUM(AW159:AW161)-SUM(AV159:AV161))</f>
        <v>0</v>
      </c>
      <c r="BB159" s="1047"/>
      <c r="BC159" s="1047"/>
    </row>
    <row r="160" spans="1:55" s="1103" customFormat="1" x14ac:dyDescent="0.2">
      <c r="A160" s="25"/>
      <c r="B160" s="14"/>
      <c r="C160" s="709"/>
      <c r="D160" s="660"/>
      <c r="E160" s="663"/>
      <c r="F160" s="662"/>
      <c r="G160" s="662"/>
      <c r="H160" s="662"/>
      <c r="I160" s="662"/>
      <c r="J160" s="662"/>
      <c r="K160" s="663"/>
      <c r="L160" s="662"/>
      <c r="M160" s="662"/>
      <c r="N160" s="662"/>
      <c r="O160" s="662"/>
      <c r="P160" s="664"/>
      <c r="Q160" s="664"/>
      <c r="R160" s="664"/>
      <c r="S160" s="664"/>
      <c r="T160" s="664"/>
      <c r="U160" s="664"/>
      <c r="V160" s="664"/>
      <c r="W160" s="664"/>
      <c r="X160" s="662"/>
      <c r="Y160" s="662"/>
      <c r="Z160" s="662"/>
      <c r="AA160" s="662"/>
      <c r="AB160" s="665"/>
      <c r="AC160" s="666"/>
      <c r="AD160" s="667"/>
      <c r="AE160" s="668"/>
      <c r="AF160" s="662"/>
      <c r="AG160" s="662"/>
      <c r="AH160" s="667"/>
      <c r="AI160" s="668"/>
      <c r="AJ160" s="551"/>
      <c r="AK160" s="1039"/>
      <c r="AL160" s="548"/>
      <c r="AM160" s="562" t="s">
        <v>4031</v>
      </c>
      <c r="AN160" s="562">
        <f>'P.2 GASB 75 OPEB - 2'!D133</f>
        <v>0</v>
      </c>
      <c r="AO160" s="671"/>
      <c r="AP160" s="670"/>
      <c r="AQ160" s="666"/>
      <c r="AR160" s="669"/>
      <c r="AS160" s="670"/>
      <c r="AT160" s="557"/>
      <c r="AU160" s="526"/>
      <c r="AV160" s="467">
        <f t="shared" ref="AV160:AV161" si="66">ROUND(AD160+AF160+AH160+AK160+AP160+AT160,0)</f>
        <v>0</v>
      </c>
      <c r="AW160" s="467">
        <f t="shared" ref="AW160:AW161" si="67">ROUND(AE160+AG160+AI160+AN160+AS160+AU160,0)</f>
        <v>0</v>
      </c>
      <c r="AX160" s="667"/>
      <c r="AY160" s="668"/>
      <c r="AZ160" s="670"/>
      <c r="BA160" s="672"/>
      <c r="BB160" s="1104"/>
      <c r="BC160" s="1104"/>
    </row>
    <row r="161" spans="1:57" s="1103" customFormat="1" x14ac:dyDescent="0.2">
      <c r="A161" s="25"/>
      <c r="B161" s="14"/>
      <c r="C161" s="709"/>
      <c r="D161" s="660"/>
      <c r="E161" s="663"/>
      <c r="F161" s="662"/>
      <c r="G161" s="662"/>
      <c r="H161" s="662"/>
      <c r="I161" s="662"/>
      <c r="J161" s="662"/>
      <c r="K161" s="663"/>
      <c r="L161" s="662"/>
      <c r="M161" s="662"/>
      <c r="N161" s="662"/>
      <c r="O161" s="662"/>
      <c r="P161" s="664"/>
      <c r="Q161" s="664"/>
      <c r="R161" s="664"/>
      <c r="S161" s="664"/>
      <c r="T161" s="664"/>
      <c r="U161" s="664"/>
      <c r="V161" s="664"/>
      <c r="W161" s="664"/>
      <c r="X161" s="662"/>
      <c r="Y161" s="662"/>
      <c r="Z161" s="662"/>
      <c r="AA161" s="662"/>
      <c r="AB161" s="665"/>
      <c r="AC161" s="666"/>
      <c r="AD161" s="667"/>
      <c r="AE161" s="668"/>
      <c r="AF161" s="662"/>
      <c r="AG161" s="662"/>
      <c r="AH161" s="667"/>
      <c r="AI161" s="668"/>
      <c r="AJ161" s="551"/>
      <c r="AK161" s="1039"/>
      <c r="AL161" s="548"/>
      <c r="AM161" s="562" t="s">
        <v>4032</v>
      </c>
      <c r="AN161" s="562">
        <f>'P.3 GASB 75 OPEB - 3'!D133</f>
        <v>0</v>
      </c>
      <c r="AO161" s="671"/>
      <c r="AP161" s="670"/>
      <c r="AQ161" s="666"/>
      <c r="AR161" s="669"/>
      <c r="AS161" s="670"/>
      <c r="AT161" s="557"/>
      <c r="AU161" s="526"/>
      <c r="AV161" s="467">
        <f t="shared" si="66"/>
        <v>0</v>
      </c>
      <c r="AW161" s="467">
        <f t="shared" si="67"/>
        <v>0</v>
      </c>
      <c r="AX161" s="667"/>
      <c r="AY161" s="668"/>
      <c r="AZ161" s="670"/>
      <c r="BA161" s="672"/>
      <c r="BB161" s="1104"/>
      <c r="BC161" s="1104"/>
    </row>
    <row r="162" spans="1:57" s="756" customFormat="1" ht="25.5" x14ac:dyDescent="0.2">
      <c r="A162" s="25"/>
      <c r="B162" s="14"/>
      <c r="C162" s="851" t="s">
        <v>4029</v>
      </c>
      <c r="D162" s="533"/>
      <c r="E162" s="535"/>
      <c r="F162" s="530"/>
      <c r="G162" s="530"/>
      <c r="H162" s="530"/>
      <c r="I162" s="530"/>
      <c r="J162" s="530"/>
      <c r="K162" s="535"/>
      <c r="L162" s="530"/>
      <c r="M162" s="530"/>
      <c r="N162" s="530"/>
      <c r="O162" s="530"/>
      <c r="P162" s="652"/>
      <c r="Q162" s="652"/>
      <c r="R162" s="652"/>
      <c r="S162" s="652"/>
      <c r="T162" s="652"/>
      <c r="U162" s="652"/>
      <c r="V162" s="652"/>
      <c r="W162" s="652"/>
      <c r="X162" s="530"/>
      <c r="Y162" s="530"/>
      <c r="Z162" s="530"/>
      <c r="AA162" s="530"/>
      <c r="AB162" s="531">
        <f t="shared" si="58"/>
        <v>0</v>
      </c>
      <c r="AC162" s="539">
        <f t="shared" si="59"/>
        <v>0</v>
      </c>
      <c r="AD162" s="536">
        <f t="shared" si="60"/>
        <v>0</v>
      </c>
      <c r="AE162" s="537">
        <f t="shared" si="61"/>
        <v>0</v>
      </c>
      <c r="AF162" s="530"/>
      <c r="AG162" s="530">
        <f>IF('N.1 GASB 68 LGERS'!K43&lt;0,-'N.1 GASB 68 LGERS'!K43*'N.1 GASB 68 LGERS'!C75,0)</f>
        <v>0</v>
      </c>
      <c r="AH162" s="536"/>
      <c r="AI162" s="537"/>
      <c r="AJ162" s="538" t="s">
        <v>2074</v>
      </c>
      <c r="AK162" s="539">
        <f>'N.1 GASB 68 LGERS'!C111</f>
        <v>0</v>
      </c>
      <c r="AL162" s="539"/>
      <c r="AM162" s="582" t="s">
        <v>2074</v>
      </c>
      <c r="AN162" s="582">
        <f>'N.1 GASB 68 LGERS'!D111</f>
        <v>0</v>
      </c>
      <c r="AO162" s="541"/>
      <c r="AP162" s="653"/>
      <c r="AQ162" s="539"/>
      <c r="AR162" s="538" t="s">
        <v>2105</v>
      </c>
      <c r="AS162" s="653">
        <f>'K.1  Int. Service Fd Allocation'!G193+'K.2  Int. Service Fd Alloca'!G188+'K.3 Int. Service Fd Alloca'!G191</f>
        <v>0</v>
      </c>
      <c r="AT162" s="557"/>
      <c r="AU162" s="526"/>
      <c r="AV162" s="467">
        <f t="shared" si="62"/>
        <v>0</v>
      </c>
      <c r="AW162" s="467">
        <f t="shared" si="63"/>
        <v>0</v>
      </c>
      <c r="AX162" s="536"/>
      <c r="AY162" s="537"/>
      <c r="AZ162" s="434" t="str">
        <f>IF(SUM(AV162:AV163)-SUM(AW162:AW163)&lt;=0," ",SUM(AV162:AV163)-SUM(AW162:AW163))</f>
        <v xml:space="preserve"> </v>
      </c>
      <c r="BA162" s="540">
        <f>IF(SUM(AV162:AV163)-SUM(AW162:AW163)&gt;0," ",SUM(AW162:AW163)-SUM(AV162:AV163))</f>
        <v>0</v>
      </c>
      <c r="BB162" s="1047"/>
      <c r="BC162" s="1047"/>
    </row>
    <row r="163" spans="1:57" s="673" customFormat="1" x14ac:dyDescent="0.2">
      <c r="A163" s="25"/>
      <c r="B163" s="14"/>
      <c r="C163" s="848"/>
      <c r="D163" s="533"/>
      <c r="E163" s="535"/>
      <c r="F163" s="530"/>
      <c r="G163" s="530"/>
      <c r="H163" s="530"/>
      <c r="I163" s="530"/>
      <c r="J163" s="530"/>
      <c r="K163" s="535"/>
      <c r="L163" s="530"/>
      <c r="M163" s="530"/>
      <c r="N163" s="530"/>
      <c r="O163" s="530"/>
      <c r="P163" s="652"/>
      <c r="Q163" s="652"/>
      <c r="R163" s="652"/>
      <c r="S163" s="652"/>
      <c r="T163" s="652"/>
      <c r="U163" s="652"/>
      <c r="V163" s="652"/>
      <c r="W163" s="652"/>
      <c r="X163" s="530"/>
      <c r="Y163" s="530"/>
      <c r="Z163" s="530"/>
      <c r="AA163" s="530"/>
      <c r="AB163" s="531">
        <f>L163+N163+P163+R163+T163+V163+X163+Z163</f>
        <v>0</v>
      </c>
      <c r="AC163" s="539">
        <f>M163+O163+Q163+S163+U163+W163+Y163+AA163</f>
        <v>0</v>
      </c>
      <c r="AD163" s="536">
        <f>D163+F163+H163+J163+AB163</f>
        <v>0</v>
      </c>
      <c r="AE163" s="537">
        <f>E163+G163+I163+K163+AC163</f>
        <v>0</v>
      </c>
      <c r="AF163" s="530"/>
      <c r="AG163" s="530">
        <f>IF('N.2 GASB 68 ROD'!K32&lt;0,-'N.2 GASB 68 ROD'!K32*'N.2 GASB 68 ROD'!C63,0)</f>
        <v>0</v>
      </c>
      <c r="AH163" s="536"/>
      <c r="AI163" s="537"/>
      <c r="AJ163" s="538" t="s">
        <v>2075</v>
      </c>
      <c r="AK163" s="539">
        <f>'N.2 GASB 68 ROD'!C83</f>
        <v>0</v>
      </c>
      <c r="AL163" s="539"/>
      <c r="AM163" s="582" t="s">
        <v>2075</v>
      </c>
      <c r="AN163" s="582">
        <f>'N.2 GASB 68 ROD'!D83</f>
        <v>0</v>
      </c>
      <c r="AO163" s="541"/>
      <c r="AP163" s="653"/>
      <c r="AQ163" s="539"/>
      <c r="AS163" s="653"/>
      <c r="AT163" s="557"/>
      <c r="AU163" s="526"/>
      <c r="AV163" s="467">
        <f>ROUND(AD163+AF163+AH163+AK163+AP163+AT163,0)</f>
        <v>0</v>
      </c>
      <c r="AW163" s="467">
        <f>ROUND(AE163+AG163+AI163+AN163+AS163+AU163,0)</f>
        <v>0</v>
      </c>
      <c r="AX163" s="536"/>
      <c r="AY163" s="537"/>
      <c r="AZ163" s="653"/>
      <c r="BA163" s="654"/>
      <c r="BB163" s="1047"/>
      <c r="BC163" s="1047"/>
    </row>
    <row r="164" spans="1:57" x14ac:dyDescent="0.2">
      <c r="A164" s="25"/>
      <c r="B164" s="14"/>
      <c r="C164" s="31"/>
      <c r="D164" s="527"/>
      <c r="E164" s="528"/>
      <c r="F164" s="518"/>
      <c r="G164" s="518"/>
      <c r="H164" s="518"/>
      <c r="I164" s="518"/>
      <c r="J164" s="518"/>
      <c r="K164" s="519"/>
      <c r="L164" s="518"/>
      <c r="M164" s="518"/>
      <c r="N164" s="518"/>
      <c r="O164" s="518"/>
      <c r="P164" s="520"/>
      <c r="Q164" s="520"/>
      <c r="R164" s="520"/>
      <c r="S164" s="520"/>
      <c r="T164" s="520"/>
      <c r="U164" s="520"/>
      <c r="V164" s="520"/>
      <c r="W164" s="520"/>
      <c r="X164" s="518"/>
      <c r="Y164" s="518"/>
      <c r="Z164" s="518"/>
      <c r="AA164" s="518"/>
      <c r="AB164" s="531"/>
      <c r="AC164" s="505"/>
      <c r="AD164" s="508"/>
      <c r="AE164" s="521"/>
      <c r="AF164" s="518"/>
      <c r="AG164" s="518"/>
      <c r="AH164" s="508"/>
      <c r="AI164" s="521"/>
      <c r="AJ164" s="522"/>
      <c r="AK164" s="506"/>
      <c r="AL164" s="505"/>
      <c r="AM164" s="522"/>
      <c r="AN164" s="434"/>
      <c r="AO164" s="523"/>
      <c r="AP164" s="506"/>
      <c r="AQ164" s="505"/>
      <c r="AR164" s="532"/>
      <c r="AS164" s="434"/>
      <c r="AT164" s="557"/>
      <c r="AU164" s="526"/>
      <c r="AV164" s="1041"/>
      <c r="AW164" s="1041"/>
      <c r="AX164" s="508"/>
      <c r="AY164" s="521"/>
      <c r="AZ164" s="506"/>
      <c r="BA164" s="524"/>
      <c r="BB164" s="1047"/>
      <c r="BC164" s="1047"/>
    </row>
    <row r="165" spans="1:57" x14ac:dyDescent="0.2">
      <c r="A165" s="33"/>
      <c r="B165" s="31"/>
      <c r="C165" s="248" t="s">
        <v>866</v>
      </c>
      <c r="D165" s="542"/>
      <c r="E165" s="543"/>
      <c r="F165" s="544"/>
      <c r="G165" s="544"/>
      <c r="H165" s="544"/>
      <c r="I165" s="544"/>
      <c r="J165" s="544"/>
      <c r="K165" s="545"/>
      <c r="L165" s="544"/>
      <c r="M165" s="544"/>
      <c r="N165" s="544"/>
      <c r="O165" s="546"/>
      <c r="P165" s="546"/>
      <c r="Q165" s="546"/>
      <c r="R165" s="546"/>
      <c r="S165" s="546"/>
      <c r="T165" s="546"/>
      <c r="U165" s="546"/>
      <c r="V165" s="546"/>
      <c r="W165" s="546"/>
      <c r="X165" s="544"/>
      <c r="Y165" s="544"/>
      <c r="Z165" s="544"/>
      <c r="AA165" s="544"/>
      <c r="AB165" s="547">
        <f t="shared" si="41"/>
        <v>0</v>
      </c>
      <c r="AC165" s="548">
        <f t="shared" si="42"/>
        <v>0</v>
      </c>
      <c r="AD165" s="549">
        <f t="shared" si="43"/>
        <v>0</v>
      </c>
      <c r="AE165" s="550">
        <f t="shared" si="44"/>
        <v>0</v>
      </c>
      <c r="AF165" s="544"/>
      <c r="AG165" s="544"/>
      <c r="AH165" s="549"/>
      <c r="AI165" s="550"/>
      <c r="AJ165" s="551" t="str">
        <f>'G. Debt Service'!D52</f>
        <v>G.2</v>
      </c>
      <c r="AK165" s="552">
        <f>'G. Debt Service'!L52</f>
        <v>0</v>
      </c>
      <c r="AL165" s="548"/>
      <c r="AM165" s="551" t="str">
        <f>'B.  Property Taxes'!A53</f>
        <v>B.1</v>
      </c>
      <c r="AN165" s="552">
        <f>'B.  Property Taxes'!L55</f>
        <v>0</v>
      </c>
      <c r="AO165" s="553"/>
      <c r="AP165" s="552"/>
      <c r="AQ165" s="548"/>
      <c r="AR165" s="556" t="s">
        <v>646</v>
      </c>
      <c r="AS165" s="552">
        <f>'K.1  Int. Service Fd Allocation'!G196+'K.2  Int. Service Fd Alloca'!G191+'K.3 Int. Service Fd Alloca'!G195</f>
        <v>0</v>
      </c>
      <c r="AT165" s="557"/>
      <c r="AU165" s="526"/>
      <c r="AV165" s="552">
        <f t="shared" ref="AV165:AV176" si="68">ROUND(AD165+AF165+AH165+AK165+AP165+AT165,0)</f>
        <v>0</v>
      </c>
      <c r="AW165" s="552">
        <f t="shared" ref="AW165:AW176" si="69">ROUND(AE165+AG165+AI165+AN165+AS165+AU165,0)</f>
        <v>0</v>
      </c>
      <c r="AX165" s="549"/>
      <c r="AY165" s="550"/>
      <c r="AZ165" s="782">
        <f>IF(SUM(AV165:AV172)+AV174-SUM(AW165:AW172)-AW174&gt;0,SUM(AV165:AV172)+AV174-SUM(AW165:AW172)-AW174,0)</f>
        <v>0</v>
      </c>
      <c r="BA165" s="554">
        <f>IF(SUM(AW165:AW172)+AW174-SUM(AV165:AV172)-AV174&gt;0,SUM(AW165:AW172)+AW174-SUM(AV165:AV172)-AV174,0)</f>
        <v>0</v>
      </c>
      <c r="BB165" s="436"/>
      <c r="BC165" s="436"/>
      <c r="BD165" s="578"/>
    </row>
    <row r="166" spans="1:57" x14ac:dyDescent="0.2">
      <c r="A166" s="33"/>
      <c r="B166" s="31"/>
      <c r="C166" s="248"/>
      <c r="D166" s="542"/>
      <c r="E166" s="543"/>
      <c r="F166" s="544"/>
      <c r="G166" s="544"/>
      <c r="H166" s="544"/>
      <c r="I166" s="544"/>
      <c r="J166" s="544"/>
      <c r="K166" s="545"/>
      <c r="L166" s="544"/>
      <c r="M166" s="544"/>
      <c r="N166" s="544"/>
      <c r="O166" s="544"/>
      <c r="P166" s="546"/>
      <c r="Q166" s="546"/>
      <c r="R166" s="546"/>
      <c r="S166" s="546"/>
      <c r="T166" s="546"/>
      <c r="U166" s="546"/>
      <c r="V166" s="546"/>
      <c r="W166" s="546"/>
      <c r="X166" s="544"/>
      <c r="Y166" s="544"/>
      <c r="Z166" s="544"/>
      <c r="AA166" s="544"/>
      <c r="AB166" s="547">
        <f t="shared" si="41"/>
        <v>0</v>
      </c>
      <c r="AC166" s="548">
        <f t="shared" si="42"/>
        <v>0</v>
      </c>
      <c r="AD166" s="549">
        <f t="shared" si="43"/>
        <v>0</v>
      </c>
      <c r="AE166" s="550">
        <f t="shared" si="44"/>
        <v>0</v>
      </c>
      <c r="AF166" s="565"/>
      <c r="AG166" s="565"/>
      <c r="AH166" s="549"/>
      <c r="AI166" s="550"/>
      <c r="AJ166" s="551" t="s">
        <v>3639</v>
      </c>
      <c r="AK166" s="552"/>
      <c r="AL166" s="548"/>
      <c r="AM166" s="551" t="str">
        <f>'C. Other Revenues'!B207</f>
        <v>C.1</v>
      </c>
      <c r="AN166" s="552">
        <f>'C. Other Revenues'!M246</f>
        <v>0</v>
      </c>
      <c r="AO166" s="553" t="str">
        <f>'L. Eliminations-Consolidations'!B267</f>
        <v>L.8</v>
      </c>
      <c r="AP166" s="552">
        <f>'L. Eliminations-Consolidations'!J277</f>
        <v>0</v>
      </c>
      <c r="AQ166" s="548"/>
      <c r="AR166" s="551" t="str">
        <f>'L. Eliminations-Consolidations'!B267</f>
        <v>L.8</v>
      </c>
      <c r="AS166" s="554">
        <f>'L. Eliminations-Consolidations'!L277</f>
        <v>0</v>
      </c>
      <c r="AT166" s="525"/>
      <c r="AU166" s="526"/>
      <c r="AV166" s="552">
        <f t="shared" si="68"/>
        <v>0</v>
      </c>
      <c r="AW166" s="552">
        <f t="shared" si="69"/>
        <v>0</v>
      </c>
      <c r="AX166" s="549"/>
      <c r="AY166" s="550"/>
      <c r="AZ166" s="552"/>
      <c r="BA166" s="554"/>
      <c r="BB166" s="436"/>
      <c r="BC166" s="94"/>
    </row>
    <row r="167" spans="1:57" x14ac:dyDescent="0.2">
      <c r="A167" s="33"/>
      <c r="B167" s="31"/>
      <c r="C167" s="248"/>
      <c r="D167" s="542"/>
      <c r="E167" s="543"/>
      <c r="F167" s="544"/>
      <c r="G167" s="544"/>
      <c r="H167" s="544"/>
      <c r="I167" s="544"/>
      <c r="J167" s="544"/>
      <c r="K167" s="545"/>
      <c r="L167" s="544"/>
      <c r="M167" s="544"/>
      <c r="N167" s="544"/>
      <c r="O167" s="544"/>
      <c r="P167" s="546"/>
      <c r="Q167" s="546"/>
      <c r="R167" s="546"/>
      <c r="S167" s="546"/>
      <c r="T167" s="546"/>
      <c r="U167" s="546"/>
      <c r="V167" s="546"/>
      <c r="W167" s="546"/>
      <c r="X167" s="544"/>
      <c r="Y167" s="544"/>
      <c r="Z167" s="544"/>
      <c r="AA167" s="544"/>
      <c r="AB167" s="547">
        <f>L167+N167+P167+R167+T167+V167+X167+Z167</f>
        <v>0</v>
      </c>
      <c r="AC167" s="548">
        <f>M167+O167+Q167+S167+U167+W167+Y167+AA167</f>
        <v>0</v>
      </c>
      <c r="AD167" s="549">
        <f>D167+F167+H167+J167+AB167</f>
        <v>0</v>
      </c>
      <c r="AE167" s="550">
        <f>E167+G167+I167+K167+AC167</f>
        <v>0</v>
      </c>
      <c r="AF167" s="565"/>
      <c r="AG167" s="565"/>
      <c r="AH167" s="549"/>
      <c r="AI167" s="550"/>
      <c r="AJ167" s="551"/>
      <c r="AK167" s="552"/>
      <c r="AL167" s="548"/>
      <c r="AM167" s="894" t="str">
        <f>'I.  Other Asset Entries'!B108</f>
        <v>I.1</v>
      </c>
      <c r="AN167" s="552">
        <f>'I.  Other Asset Entries'!N123</f>
        <v>0</v>
      </c>
      <c r="AO167" s="553"/>
      <c r="AP167" s="552"/>
      <c r="AQ167" s="548"/>
      <c r="AR167" s="551"/>
      <c r="AS167" s="554"/>
      <c r="AT167" s="525"/>
      <c r="AU167" s="526"/>
      <c r="AV167" s="552">
        <f t="shared" si="68"/>
        <v>0</v>
      </c>
      <c r="AW167" s="552">
        <f t="shared" si="69"/>
        <v>0</v>
      </c>
      <c r="AX167" s="549"/>
      <c r="AY167" s="550"/>
      <c r="AZ167" s="552"/>
      <c r="BA167" s="554"/>
      <c r="BB167" s="436"/>
      <c r="BC167" s="436"/>
    </row>
    <row r="168" spans="1:57" s="695" customFormat="1" ht="25.5" x14ac:dyDescent="0.2">
      <c r="A168" s="33"/>
      <c r="B168" s="696"/>
      <c r="C168" s="781" t="s">
        <v>4058</v>
      </c>
      <c r="D168" s="542"/>
      <c r="E168" s="543"/>
      <c r="F168" s="544"/>
      <c r="G168" s="544"/>
      <c r="H168" s="544"/>
      <c r="I168" s="544"/>
      <c r="J168" s="544"/>
      <c r="K168" s="545"/>
      <c r="L168" s="544"/>
      <c r="M168" s="544"/>
      <c r="N168" s="544"/>
      <c r="O168" s="544"/>
      <c r="P168" s="546"/>
      <c r="Q168" s="546"/>
      <c r="R168" s="546"/>
      <c r="S168" s="546"/>
      <c r="T168" s="546"/>
      <c r="U168" s="546"/>
      <c r="V168" s="546"/>
      <c r="W168" s="546"/>
      <c r="X168" s="544"/>
      <c r="Y168" s="544"/>
      <c r="Z168" s="544"/>
      <c r="AA168" s="544"/>
      <c r="AB168" s="547"/>
      <c r="AC168" s="548"/>
      <c r="AD168" s="549"/>
      <c r="AE168" s="550"/>
      <c r="AF168" s="565">
        <f>AG138</f>
        <v>0</v>
      </c>
      <c r="AG168" s="565"/>
      <c r="AH168" s="549"/>
      <c r="AI168" s="550"/>
      <c r="AJ168" s="551"/>
      <c r="AK168" s="552"/>
      <c r="AL168" s="548"/>
      <c r="AM168" s="1152"/>
      <c r="AN168" s="1152"/>
      <c r="AO168" s="553"/>
      <c r="AP168" s="552"/>
      <c r="AQ168" s="548"/>
      <c r="AR168" s="551"/>
      <c r="AS168" s="554"/>
      <c r="AT168" s="525"/>
      <c r="AU168" s="526"/>
      <c r="AV168" s="552">
        <f t="shared" ref="AV168:AV169" si="70">ROUND(AD168+AF168+AH168+AK168+AP168+AT168,0)</f>
        <v>0</v>
      </c>
      <c r="AW168" s="552">
        <f t="shared" ref="AW168:AW169" si="71">ROUND(AE168+AG168+AI168+AN168+AS168+AU168,0)</f>
        <v>0</v>
      </c>
      <c r="AX168" s="549"/>
      <c r="AY168" s="550"/>
      <c r="AZ168" s="552"/>
      <c r="BA168" s="554"/>
      <c r="BB168" s="436"/>
      <c r="BC168" s="1047"/>
    </row>
    <row r="169" spans="1:57" s="1144" customFormat="1" x14ac:dyDescent="0.2">
      <c r="A169" s="33"/>
      <c r="B169" s="1146"/>
      <c r="C169" s="781"/>
      <c r="D169" s="542"/>
      <c r="E169" s="543"/>
      <c r="F169" s="544"/>
      <c r="G169" s="544"/>
      <c r="H169" s="544"/>
      <c r="I169" s="544"/>
      <c r="J169" s="544"/>
      <c r="K169" s="545"/>
      <c r="L169" s="544"/>
      <c r="M169" s="544"/>
      <c r="N169" s="544"/>
      <c r="O169" s="544"/>
      <c r="P169" s="546"/>
      <c r="Q169" s="546"/>
      <c r="R169" s="546"/>
      <c r="S169" s="546"/>
      <c r="T169" s="546"/>
      <c r="U169" s="546"/>
      <c r="V169" s="546"/>
      <c r="W169" s="546"/>
      <c r="X169" s="544"/>
      <c r="Y169" s="544"/>
      <c r="Z169" s="544"/>
      <c r="AA169" s="544"/>
      <c r="AB169" s="547"/>
      <c r="AC169" s="548"/>
      <c r="AD169" s="549"/>
      <c r="AE169" s="550"/>
      <c r="AF169" s="565"/>
      <c r="AG169" s="565"/>
      <c r="AH169" s="549"/>
      <c r="AI169" s="550"/>
      <c r="AJ169" s="551"/>
      <c r="AK169" s="552"/>
      <c r="AL169" s="548"/>
      <c r="AM169" s="551" t="s">
        <v>482</v>
      </c>
      <c r="AN169" s="552">
        <f>'J. Other Liability &amp; Expenses'!N221</f>
        <v>0</v>
      </c>
      <c r="AO169" s="553"/>
      <c r="AP169" s="552"/>
      <c r="AQ169" s="548"/>
      <c r="AR169" s="551"/>
      <c r="AS169" s="554"/>
      <c r="AT169" s="525"/>
      <c r="AU169" s="526"/>
      <c r="AV169" s="552">
        <f t="shared" si="70"/>
        <v>0</v>
      </c>
      <c r="AW169" s="552">
        <f t="shared" si="71"/>
        <v>0</v>
      </c>
      <c r="AX169" s="549"/>
      <c r="AY169" s="550"/>
      <c r="AZ169" s="552"/>
      <c r="BA169" s="554"/>
      <c r="BB169" s="436"/>
      <c r="BC169" s="1145"/>
    </row>
    <row r="170" spans="1:57" s="1106" customFormat="1" ht="25.5" x14ac:dyDescent="0.2">
      <c r="A170" s="33"/>
      <c r="B170" s="1107"/>
      <c r="C170" s="1162" t="s">
        <v>4090</v>
      </c>
      <c r="D170" s="542"/>
      <c r="E170" s="543"/>
      <c r="F170" s="544"/>
      <c r="G170" s="544"/>
      <c r="H170" s="544"/>
      <c r="I170" s="544"/>
      <c r="J170" s="544"/>
      <c r="K170" s="545"/>
      <c r="L170" s="544"/>
      <c r="M170" s="544"/>
      <c r="N170" s="544"/>
      <c r="O170" s="544"/>
      <c r="P170" s="546"/>
      <c r="Q170" s="546"/>
      <c r="R170" s="546"/>
      <c r="S170" s="546"/>
      <c r="T170" s="546"/>
      <c r="U170" s="546"/>
      <c r="V170" s="546"/>
      <c r="W170" s="546"/>
      <c r="X170" s="544"/>
      <c r="Y170" s="544"/>
      <c r="Z170" s="544"/>
      <c r="AA170" s="544"/>
      <c r="AB170" s="547"/>
      <c r="AC170" s="548"/>
      <c r="AD170" s="549"/>
      <c r="AE170" s="550"/>
      <c r="AF170" s="782"/>
      <c r="AG170" s="782"/>
      <c r="AH170" s="549"/>
      <c r="AI170" s="550"/>
      <c r="AJ170" s="551" t="s">
        <v>4030</v>
      </c>
      <c r="AK170" s="552">
        <f>'P.1 GASB 75 OPEB  - 1'!C101</f>
        <v>0</v>
      </c>
      <c r="AL170" s="548"/>
      <c r="AM170" s="551" t="s">
        <v>4030</v>
      </c>
      <c r="AN170" s="552">
        <f>'P.1 GASB 75 OPEB  - 1'!D101</f>
        <v>0</v>
      </c>
      <c r="AO170" s="553"/>
      <c r="AP170" s="552"/>
      <c r="AQ170" s="548"/>
      <c r="AR170" s="551"/>
      <c r="AS170" s="554"/>
      <c r="AT170" s="525"/>
      <c r="AU170" s="526"/>
      <c r="AV170" s="552">
        <f t="shared" ref="AV170" si="72">ROUND(AD170+AF170+AH170+AK170+AP170+AT170,0)</f>
        <v>0</v>
      </c>
      <c r="AW170" s="552">
        <f t="shared" ref="AW170:AW171" si="73">ROUND(AE170+AG170+AI170+AN170+AS170+AU170,0)</f>
        <v>0</v>
      </c>
      <c r="AX170" s="549"/>
      <c r="AY170" s="550"/>
      <c r="AZ170" s="552"/>
      <c r="BA170" s="554"/>
      <c r="BB170" s="436"/>
      <c r="BC170" s="1108"/>
    </row>
    <row r="171" spans="1:57" s="1106" customFormat="1" ht="25.5" x14ac:dyDescent="0.2">
      <c r="A171" s="33"/>
      <c r="B171" s="1107"/>
      <c r="C171" s="1162" t="s">
        <v>4091</v>
      </c>
      <c r="D171" s="542"/>
      <c r="E171" s="543"/>
      <c r="F171" s="544"/>
      <c r="G171" s="544"/>
      <c r="H171" s="544"/>
      <c r="I171" s="544"/>
      <c r="J171" s="544"/>
      <c r="K171" s="545"/>
      <c r="L171" s="544"/>
      <c r="M171" s="544"/>
      <c r="N171" s="544"/>
      <c r="O171" s="544"/>
      <c r="P171" s="546"/>
      <c r="Q171" s="546"/>
      <c r="R171" s="546"/>
      <c r="S171" s="546"/>
      <c r="T171" s="546"/>
      <c r="U171" s="546"/>
      <c r="V171" s="546"/>
      <c r="W171" s="546"/>
      <c r="X171" s="544"/>
      <c r="Y171" s="544"/>
      <c r="Z171" s="544"/>
      <c r="AA171" s="544"/>
      <c r="AB171" s="547"/>
      <c r="AC171" s="548"/>
      <c r="AD171" s="549"/>
      <c r="AE171" s="550"/>
      <c r="AF171" s="782"/>
      <c r="AG171" s="552"/>
      <c r="AH171" s="549"/>
      <c r="AI171" s="550"/>
      <c r="AJ171" s="551" t="s">
        <v>4031</v>
      </c>
      <c r="AK171" s="552">
        <f>'P.2 GASB 75 OPEB - 2'!C101</f>
        <v>0</v>
      </c>
      <c r="AL171" s="548"/>
      <c r="AM171" s="551" t="s">
        <v>4031</v>
      </c>
      <c r="AN171" s="552">
        <f>'P.2 GASB 75 OPEB - 2'!D101</f>
        <v>0</v>
      </c>
      <c r="AO171" s="553"/>
      <c r="AP171" s="552"/>
      <c r="AQ171" s="548"/>
      <c r="AR171" s="551"/>
      <c r="AS171" s="554"/>
      <c r="AT171" s="525"/>
      <c r="AU171" s="526"/>
      <c r="AV171" s="552">
        <f>ROUND(AD171+AF171+AH171+AK171+AP171+AT171,0)</f>
        <v>0</v>
      </c>
      <c r="AW171" s="552">
        <f t="shared" si="73"/>
        <v>0</v>
      </c>
      <c r="AX171" s="549"/>
      <c r="AY171" s="550"/>
      <c r="AZ171" s="552"/>
      <c r="BA171" s="554"/>
      <c r="BB171" s="436"/>
      <c r="BC171" s="1108"/>
    </row>
    <row r="172" spans="1:57" s="1106" customFormat="1" ht="25.5" x14ac:dyDescent="0.2">
      <c r="A172" s="33"/>
      <c r="B172" s="1107"/>
      <c r="C172" s="1162" t="s">
        <v>4092</v>
      </c>
      <c r="D172" s="542"/>
      <c r="E172" s="543"/>
      <c r="F172" s="544"/>
      <c r="G172" s="544"/>
      <c r="H172" s="544"/>
      <c r="I172" s="544"/>
      <c r="J172" s="544"/>
      <c r="K172" s="545"/>
      <c r="L172" s="544"/>
      <c r="M172" s="544"/>
      <c r="N172" s="544"/>
      <c r="O172" s="544"/>
      <c r="P172" s="546"/>
      <c r="Q172" s="546"/>
      <c r="R172" s="546"/>
      <c r="S172" s="546"/>
      <c r="T172" s="546"/>
      <c r="U172" s="546"/>
      <c r="V172" s="546"/>
      <c r="W172" s="546"/>
      <c r="X172" s="544"/>
      <c r="Y172" s="544"/>
      <c r="Z172" s="544"/>
      <c r="AA172" s="544"/>
      <c r="AB172" s="547"/>
      <c r="AC172" s="548"/>
      <c r="AD172" s="549"/>
      <c r="AE172" s="550"/>
      <c r="AF172" s="782"/>
      <c r="AG172" s="552"/>
      <c r="AH172" s="549"/>
      <c r="AI172" s="550"/>
      <c r="AJ172" s="551" t="s">
        <v>4032</v>
      </c>
      <c r="AK172" s="552">
        <f>'P.3 GASB 75 OPEB - 3'!C101</f>
        <v>0</v>
      </c>
      <c r="AL172" s="548"/>
      <c r="AM172" s="551" t="s">
        <v>4032</v>
      </c>
      <c r="AN172" s="552">
        <f>'P.3 GASB 75 OPEB - 3'!D101</f>
        <v>0</v>
      </c>
      <c r="AO172" s="553"/>
      <c r="AP172" s="552"/>
      <c r="AQ172" s="548"/>
      <c r="AR172" s="551"/>
      <c r="AS172" s="554"/>
      <c r="AT172" s="525"/>
      <c r="AU172" s="526"/>
      <c r="AV172" s="552">
        <f>ROUND(AD172+AF172+AH172+AK172+AP172+AT172,0)</f>
        <v>0</v>
      </c>
      <c r="AW172" s="552">
        <f>ROUND(AE172+AG172+AI172+AN172+AS172+AU172,0)</f>
        <v>0</v>
      </c>
      <c r="AX172" s="549"/>
      <c r="AY172" s="550"/>
      <c r="AZ172" s="552"/>
      <c r="BA172" s="554"/>
      <c r="BB172" s="436"/>
      <c r="BC172" s="1108"/>
    </row>
    <row r="173" spans="1:57" x14ac:dyDescent="0.2">
      <c r="A173" s="33"/>
      <c r="B173" s="31"/>
      <c r="C173" s="248"/>
      <c r="D173" s="542"/>
      <c r="E173" s="543"/>
      <c r="F173" s="544"/>
      <c r="G173" s="544"/>
      <c r="H173" s="544"/>
      <c r="I173" s="544"/>
      <c r="J173" s="544"/>
      <c r="K173" s="545"/>
      <c r="L173" s="544"/>
      <c r="M173" s="544"/>
      <c r="N173" s="544"/>
      <c r="O173" s="544"/>
      <c r="P173" s="546"/>
      <c r="Q173" s="546"/>
      <c r="R173" s="546"/>
      <c r="S173" s="546"/>
      <c r="T173" s="546"/>
      <c r="U173" s="546"/>
      <c r="V173" s="546"/>
      <c r="W173" s="546"/>
      <c r="X173" s="544"/>
      <c r="Y173" s="544"/>
      <c r="Z173" s="544"/>
      <c r="AA173" s="544"/>
      <c r="AB173" s="547">
        <f t="shared" si="41"/>
        <v>0</v>
      </c>
      <c r="AC173" s="548">
        <f t="shared" si="42"/>
        <v>0</v>
      </c>
      <c r="AD173" s="549">
        <f t="shared" si="43"/>
        <v>0</v>
      </c>
      <c r="AE173" s="550">
        <f t="shared" si="44"/>
        <v>0</v>
      </c>
      <c r="AF173" s="565"/>
      <c r="AG173" s="565"/>
      <c r="AH173" s="549"/>
      <c r="AI173" s="550"/>
      <c r="AJ173" s="551"/>
      <c r="AK173" s="552"/>
      <c r="AL173" s="548"/>
      <c r="AM173" s="561"/>
      <c r="AN173" s="562"/>
      <c r="AO173" s="553" t="str">
        <f>'L. Eliminations-Consolidations'!B283</f>
        <v>L.9</v>
      </c>
      <c r="AP173" s="552">
        <f>'L. Eliminations-Consolidations'!J283</f>
        <v>0</v>
      </c>
      <c r="AQ173" s="548"/>
      <c r="AR173" s="551"/>
      <c r="AS173" s="554"/>
      <c r="AT173" s="525"/>
      <c r="AU173" s="526"/>
      <c r="AV173" s="552">
        <f>ROUND(AD173+AF173+AH173+AK173+AP173+AT173,0)</f>
        <v>0</v>
      </c>
      <c r="AW173" s="552">
        <f t="shared" si="69"/>
        <v>0</v>
      </c>
      <c r="AX173" s="549"/>
      <c r="AY173" s="550"/>
      <c r="AZ173" s="552"/>
      <c r="BA173" s="554"/>
      <c r="BB173" s="578"/>
    </row>
    <row r="174" spans="1:57" s="779" customFormat="1" ht="25.5" x14ac:dyDescent="0.2">
      <c r="A174" s="33"/>
      <c r="B174" s="780"/>
      <c r="C174" s="781" t="s">
        <v>2644</v>
      </c>
      <c r="D174" s="542"/>
      <c r="E174" s="543"/>
      <c r="F174" s="544"/>
      <c r="G174" s="544"/>
      <c r="H174" s="544"/>
      <c r="I174" s="544"/>
      <c r="J174" s="544"/>
      <c r="K174" s="545"/>
      <c r="L174" s="544"/>
      <c r="M174" s="544"/>
      <c r="N174" s="544"/>
      <c r="O174" s="544"/>
      <c r="P174" s="546"/>
      <c r="Q174" s="546"/>
      <c r="R174" s="546"/>
      <c r="S174" s="546"/>
      <c r="T174" s="546"/>
      <c r="U174" s="546"/>
      <c r="V174" s="546"/>
      <c r="W174" s="546"/>
      <c r="X174" s="544"/>
      <c r="Y174" s="544"/>
      <c r="Z174" s="544"/>
      <c r="AA174" s="544"/>
      <c r="AB174" s="547">
        <f>L174+N174+P174+R174+T174+V174+X174+Z174</f>
        <v>0</v>
      </c>
      <c r="AC174" s="548">
        <f>M174+O174+Q174+S174+U174+W174+Y174+AA174</f>
        <v>0</v>
      </c>
      <c r="AD174" s="549">
        <f>D174+F174+H174+J174+AB174</f>
        <v>0</v>
      </c>
      <c r="AE174" s="550">
        <f>E174+G174+I174+K174+AC174</f>
        <v>0</v>
      </c>
      <c r="AF174" s="542">
        <f>AG163+AG162+AG158+AG157+AG156+AG151+AG150+AG149+AG148+AG147+AG136</f>
        <v>0</v>
      </c>
      <c r="AG174" s="543">
        <f>AF95+AF94+AF90+AF89+AF88+AF84+AF83+AF82+AF81+AF80+AF75+AF74+AF31+AF30</f>
        <v>0</v>
      </c>
      <c r="AH174" s="549"/>
      <c r="AI174" s="550"/>
      <c r="AJ174" s="551"/>
      <c r="AK174" s="552"/>
      <c r="AL174" s="548"/>
      <c r="AM174" s="561"/>
      <c r="AN174" s="562"/>
      <c r="AO174" s="553"/>
      <c r="AP174" s="552"/>
      <c r="AQ174" s="548"/>
      <c r="AR174" s="551"/>
      <c r="AS174" s="554"/>
      <c r="AT174" s="525"/>
      <c r="AU174" s="526"/>
      <c r="AV174" s="552">
        <f t="shared" si="68"/>
        <v>0</v>
      </c>
      <c r="AW174" s="552">
        <f t="shared" si="69"/>
        <v>0</v>
      </c>
      <c r="AX174" s="549"/>
      <c r="AY174" s="550"/>
      <c r="AZ174" s="552"/>
      <c r="BA174" s="554"/>
      <c r="BB174" s="1045"/>
      <c r="BC174" s="1045"/>
    </row>
    <row r="175" spans="1:57" x14ac:dyDescent="0.2">
      <c r="A175" s="25"/>
      <c r="B175" s="14"/>
      <c r="C175" s="655" t="s">
        <v>1164</v>
      </c>
      <c r="D175" s="542"/>
      <c r="E175" s="543"/>
      <c r="F175" s="544"/>
      <c r="G175" s="544"/>
      <c r="H175" s="567"/>
      <c r="I175" s="567"/>
      <c r="J175" s="567"/>
      <c r="K175" s="543"/>
      <c r="L175" s="544"/>
      <c r="M175" s="544"/>
      <c r="N175" s="544"/>
      <c r="O175" s="544"/>
      <c r="P175" s="546"/>
      <c r="Q175" s="546"/>
      <c r="R175" s="546"/>
      <c r="S175" s="546"/>
      <c r="T175" s="546"/>
      <c r="U175" s="546"/>
      <c r="V175" s="546"/>
      <c r="W175" s="546"/>
      <c r="X175" s="544"/>
      <c r="Y175" s="544"/>
      <c r="Z175" s="544"/>
      <c r="AA175" s="544"/>
      <c r="AB175" s="547">
        <f t="shared" si="41"/>
        <v>0</v>
      </c>
      <c r="AC175" s="548">
        <f t="shared" si="42"/>
        <v>0</v>
      </c>
      <c r="AD175" s="549">
        <f t="shared" si="43"/>
        <v>0</v>
      </c>
      <c r="AE175" s="550">
        <f t="shared" si="44"/>
        <v>0</v>
      </c>
      <c r="AF175" s="544"/>
      <c r="AG175" s="544"/>
      <c r="AH175" s="549"/>
      <c r="AI175" s="550"/>
      <c r="AJ175" s="551"/>
      <c r="AK175" s="552"/>
      <c r="AL175" s="548"/>
      <c r="AM175" s="561"/>
      <c r="AN175" s="562"/>
      <c r="AO175" s="553"/>
      <c r="AP175" s="552"/>
      <c r="AQ175" s="548"/>
      <c r="AR175" s="551"/>
      <c r="AS175" s="554"/>
      <c r="AT175" s="525"/>
      <c r="AU175" s="526"/>
      <c r="AV175" s="552">
        <f t="shared" si="68"/>
        <v>0</v>
      </c>
      <c r="AW175" s="552">
        <f t="shared" si="69"/>
        <v>0</v>
      </c>
      <c r="AX175" s="549"/>
      <c r="AY175" s="550"/>
      <c r="AZ175" s="552">
        <f>AY385</f>
        <v>0</v>
      </c>
      <c r="BA175" s="554">
        <f>AX385</f>
        <v>0</v>
      </c>
      <c r="BB175" s="1026"/>
      <c r="BC175" s="578"/>
      <c r="BE175" s="578"/>
    </row>
    <row r="176" spans="1:57" x14ac:dyDescent="0.2">
      <c r="A176" s="25"/>
      <c r="B176" s="14"/>
      <c r="C176" s="655" t="s">
        <v>1165</v>
      </c>
      <c r="D176" s="542"/>
      <c r="E176" s="543"/>
      <c r="F176" s="544"/>
      <c r="G176" s="544"/>
      <c r="H176" s="567"/>
      <c r="I176" s="567"/>
      <c r="J176" s="567"/>
      <c r="K176" s="543"/>
      <c r="L176" s="544"/>
      <c r="M176" s="544"/>
      <c r="N176" s="544"/>
      <c r="O176" s="544"/>
      <c r="P176" s="546"/>
      <c r="Q176" s="546"/>
      <c r="R176" s="546"/>
      <c r="S176" s="546"/>
      <c r="T176" s="546"/>
      <c r="U176" s="546"/>
      <c r="V176" s="546"/>
      <c r="W176" s="546"/>
      <c r="X176" s="544"/>
      <c r="Y176" s="544"/>
      <c r="Z176" s="544"/>
      <c r="AA176" s="544"/>
      <c r="AB176" s="547">
        <f t="shared" si="41"/>
        <v>0</v>
      </c>
      <c r="AC176" s="548">
        <f t="shared" si="42"/>
        <v>0</v>
      </c>
      <c r="AD176" s="549">
        <f t="shared" si="43"/>
        <v>0</v>
      </c>
      <c r="AE176" s="550">
        <f t="shared" si="44"/>
        <v>0</v>
      </c>
      <c r="AF176" s="544"/>
      <c r="AG176" s="544"/>
      <c r="AH176" s="549"/>
      <c r="AI176" s="550"/>
      <c r="AJ176" s="551"/>
      <c r="AK176" s="552"/>
      <c r="AL176" s="548"/>
      <c r="AM176" s="561"/>
      <c r="AN176" s="562"/>
      <c r="AO176" s="553"/>
      <c r="AP176" s="552"/>
      <c r="AQ176" s="548"/>
      <c r="AR176" s="551"/>
      <c r="AS176" s="554"/>
      <c r="AT176" s="525"/>
      <c r="AU176" s="526"/>
      <c r="AV176" s="552">
        <f t="shared" si="68"/>
        <v>0</v>
      </c>
      <c r="AW176" s="552">
        <f t="shared" si="69"/>
        <v>0</v>
      </c>
      <c r="AX176" s="549"/>
      <c r="AY176" s="550"/>
      <c r="AZ176" s="552">
        <f>AV173</f>
        <v>0</v>
      </c>
      <c r="BA176" s="554"/>
      <c r="BB176" s="286"/>
      <c r="BC176" s="5"/>
    </row>
    <row r="177" spans="1:55" x14ac:dyDescent="0.2">
      <c r="A177" s="25"/>
      <c r="B177" s="14"/>
      <c r="C177" s="14"/>
      <c r="D177" s="527"/>
      <c r="E177" s="528"/>
      <c r="F177" s="518"/>
      <c r="G177" s="518"/>
      <c r="H177" s="568"/>
      <c r="I177" s="568"/>
      <c r="J177" s="568"/>
      <c r="K177" s="528"/>
      <c r="L177" s="518"/>
      <c r="M177" s="518"/>
      <c r="N177" s="518"/>
      <c r="O177" s="518"/>
      <c r="P177" s="520"/>
      <c r="Q177" s="520"/>
      <c r="R177" s="520"/>
      <c r="S177" s="520"/>
      <c r="T177" s="520"/>
      <c r="U177" s="520"/>
      <c r="V177" s="520"/>
      <c r="W177" s="520"/>
      <c r="X177" s="518"/>
      <c r="Y177" s="518"/>
      <c r="Z177" s="518"/>
      <c r="AA177" s="518"/>
      <c r="AB177" s="531">
        <f t="shared" si="41"/>
        <v>0</v>
      </c>
      <c r="AC177" s="505">
        <f t="shared" si="42"/>
        <v>0</v>
      </c>
      <c r="AD177" s="508">
        <f t="shared" si="43"/>
        <v>0</v>
      </c>
      <c r="AE177" s="521">
        <f t="shared" si="44"/>
        <v>0</v>
      </c>
      <c r="AF177" s="505"/>
      <c r="AG177" s="505"/>
      <c r="AH177" s="508"/>
      <c r="AI177" s="521"/>
      <c r="AJ177" s="522"/>
      <c r="AK177" s="506"/>
      <c r="AL177" s="505"/>
      <c r="AO177" s="523"/>
      <c r="AP177" s="506"/>
      <c r="AQ177" s="505"/>
      <c r="AR177" s="522"/>
      <c r="AS177" s="524"/>
      <c r="AT177" s="525"/>
      <c r="AU177" s="526"/>
      <c r="AV177" s="434"/>
      <c r="AW177" s="434"/>
      <c r="AX177" s="508"/>
      <c r="AY177" s="521"/>
      <c r="AZ177" s="506"/>
      <c r="BA177" s="524"/>
    </row>
    <row r="178" spans="1:55" x14ac:dyDescent="0.2">
      <c r="A178" s="25"/>
      <c r="B178" s="44" t="s">
        <v>1117</v>
      </c>
      <c r="C178" s="31"/>
      <c r="D178" s="527"/>
      <c r="E178" s="528"/>
      <c r="F178" s="518"/>
      <c r="G178" s="518"/>
      <c r="H178" s="568"/>
      <c r="I178" s="568"/>
      <c r="J178" s="568"/>
      <c r="K178" s="528"/>
      <c r="L178" s="518"/>
      <c r="M178" s="518"/>
      <c r="N178" s="518"/>
      <c r="O178" s="518"/>
      <c r="P178" s="520"/>
      <c r="Q178" s="520"/>
      <c r="R178" s="520"/>
      <c r="S178" s="520"/>
      <c r="T178" s="520"/>
      <c r="U178" s="520"/>
      <c r="V178" s="520"/>
      <c r="W178" s="520"/>
      <c r="X178" s="518"/>
      <c r="Y178" s="518"/>
      <c r="Z178" s="518"/>
      <c r="AA178" s="518"/>
      <c r="AB178" s="531">
        <f t="shared" si="41"/>
        <v>0</v>
      </c>
      <c r="AC178" s="505">
        <f t="shared" si="42"/>
        <v>0</v>
      </c>
      <c r="AD178" s="508">
        <f t="shared" si="43"/>
        <v>0</v>
      </c>
      <c r="AE178" s="521">
        <f t="shared" si="44"/>
        <v>0</v>
      </c>
      <c r="AF178" s="505"/>
      <c r="AG178" s="505"/>
      <c r="AH178" s="508"/>
      <c r="AI178" s="521"/>
      <c r="AJ178" s="522"/>
      <c r="AK178" s="506"/>
      <c r="AL178" s="505"/>
      <c r="AO178" s="523"/>
      <c r="AP178" s="506"/>
      <c r="AQ178" s="505"/>
      <c r="AR178" s="522"/>
      <c r="AS178" s="524"/>
      <c r="AT178" s="525"/>
      <c r="AU178" s="526"/>
      <c r="AV178" s="434"/>
      <c r="AW178" s="434"/>
      <c r="AX178" s="508"/>
      <c r="AY178" s="521"/>
      <c r="AZ178" s="506" t="str">
        <f t="shared" si="40"/>
        <v xml:space="preserve"> </v>
      </c>
      <c r="BA178" s="524"/>
    </row>
    <row r="179" spans="1:55" ht="14.25" customHeight="1" x14ac:dyDescent="0.2">
      <c r="A179" s="25"/>
      <c r="B179" s="1448" t="s">
        <v>571</v>
      </c>
      <c r="C179" s="405" t="s">
        <v>1079</v>
      </c>
      <c r="D179" s="527"/>
      <c r="E179" s="528"/>
      <c r="F179" s="518"/>
      <c r="G179" s="518"/>
      <c r="H179" s="568"/>
      <c r="I179" s="568"/>
      <c r="J179" s="568"/>
      <c r="K179" s="528"/>
      <c r="L179" s="518"/>
      <c r="M179" s="518"/>
      <c r="N179" s="518"/>
      <c r="O179" s="518"/>
      <c r="P179" s="520"/>
      <c r="Q179" s="520"/>
      <c r="R179" s="520"/>
      <c r="S179" s="520"/>
      <c r="T179" s="520"/>
      <c r="U179" s="520"/>
      <c r="V179" s="520"/>
      <c r="W179" s="520"/>
      <c r="X179" s="518"/>
      <c r="Y179" s="518"/>
      <c r="Z179" s="518"/>
      <c r="AA179" s="518"/>
      <c r="AB179" s="531">
        <f t="shared" si="41"/>
        <v>0</v>
      </c>
      <c r="AC179" s="505">
        <f t="shared" si="42"/>
        <v>0</v>
      </c>
      <c r="AD179" s="508">
        <f t="shared" si="43"/>
        <v>0</v>
      </c>
      <c r="AE179" s="521">
        <f t="shared" si="44"/>
        <v>0</v>
      </c>
      <c r="AF179" s="505"/>
      <c r="AG179" s="505"/>
      <c r="AH179" s="508"/>
      <c r="AI179" s="521"/>
      <c r="AJ179" s="522"/>
      <c r="AK179" s="506"/>
      <c r="AL179" s="505"/>
      <c r="AO179" s="523"/>
      <c r="AP179" s="506"/>
      <c r="AQ179" s="505"/>
      <c r="AR179" s="522" t="str">
        <f>'L. Eliminations-Consolidations'!B283</f>
        <v>L.9</v>
      </c>
      <c r="AS179" s="524">
        <f>'L. Eliminations-Consolidations'!L284</f>
        <v>0</v>
      </c>
      <c r="AT179" s="525"/>
      <c r="AU179" s="526"/>
      <c r="AV179" s="467">
        <f t="shared" ref="AV179:AV192" si="74">ROUND(AD179+AF179+AH179+AK179+AP179+AT179,0)</f>
        <v>0</v>
      </c>
      <c r="AW179" s="467">
        <f t="shared" ref="AW179:AW192" si="75">ROUND(AE179+AG179+AI179+AN179+AS179+AU179,0)</f>
        <v>0</v>
      </c>
      <c r="AX179" s="508"/>
      <c r="AY179" s="521"/>
      <c r="AZ179" s="506" t="str">
        <f t="shared" si="40"/>
        <v xml:space="preserve"> </v>
      </c>
      <c r="BA179" s="524">
        <f t="shared" ref="BA179:BA193" si="76">IF(AV179-AW179&gt;0," ",AW179-AV179)</f>
        <v>0</v>
      </c>
      <c r="BB179" s="578"/>
    </row>
    <row r="180" spans="1:55" ht="14.25" customHeight="1" x14ac:dyDescent="0.2">
      <c r="A180" s="25"/>
      <c r="B180" s="1448"/>
      <c r="C180" s="14" t="s">
        <v>108</v>
      </c>
      <c r="D180" s="527"/>
      <c r="E180" s="528"/>
      <c r="F180" s="518"/>
      <c r="G180" s="518"/>
      <c r="H180" s="568"/>
      <c r="I180" s="568"/>
      <c r="J180" s="568"/>
      <c r="K180" s="528"/>
      <c r="L180" s="518"/>
      <c r="M180" s="518"/>
      <c r="N180" s="518"/>
      <c r="O180" s="518"/>
      <c r="P180" s="520"/>
      <c r="Q180" s="520"/>
      <c r="R180" s="520"/>
      <c r="S180" s="520"/>
      <c r="T180" s="520"/>
      <c r="U180" s="520"/>
      <c r="V180" s="520"/>
      <c r="W180" s="520"/>
      <c r="X180" s="518"/>
      <c r="Y180" s="518"/>
      <c r="Z180" s="518"/>
      <c r="AA180" s="518"/>
      <c r="AB180" s="531">
        <f t="shared" si="41"/>
        <v>0</v>
      </c>
      <c r="AC180" s="505">
        <f t="shared" si="42"/>
        <v>0</v>
      </c>
      <c r="AD180" s="508">
        <f t="shared" si="43"/>
        <v>0</v>
      </c>
      <c r="AE180" s="521">
        <f t="shared" si="44"/>
        <v>0</v>
      </c>
      <c r="AF180" s="505"/>
      <c r="AG180" s="505"/>
      <c r="AH180" s="508"/>
      <c r="AI180" s="521"/>
      <c r="AJ180" s="522"/>
      <c r="AK180" s="506"/>
      <c r="AL180" s="505"/>
      <c r="AO180" s="523"/>
      <c r="AP180" s="506"/>
      <c r="AQ180" s="505"/>
      <c r="AR180" s="522" t="str">
        <f>'L. Eliminations-Consolidations'!B283</f>
        <v>L.9</v>
      </c>
      <c r="AS180" s="524">
        <f>'L. Eliminations-Consolidations'!L285</f>
        <v>0</v>
      </c>
      <c r="AT180" s="525"/>
      <c r="AU180" s="526"/>
      <c r="AV180" s="467">
        <f t="shared" si="74"/>
        <v>0</v>
      </c>
      <c r="AW180" s="467">
        <f t="shared" si="75"/>
        <v>0</v>
      </c>
      <c r="AX180" s="508"/>
      <c r="AY180" s="521"/>
      <c r="AZ180" s="506" t="str">
        <f t="shared" si="40"/>
        <v xml:space="preserve"> </v>
      </c>
      <c r="BA180" s="524">
        <f t="shared" si="76"/>
        <v>0</v>
      </c>
    </row>
    <row r="181" spans="1:55" ht="14.25" customHeight="1" x14ac:dyDescent="0.2">
      <c r="A181" s="25"/>
      <c r="B181" s="1448"/>
      <c r="C181" s="14" t="s">
        <v>1017</v>
      </c>
      <c r="D181" s="527"/>
      <c r="E181" s="528"/>
      <c r="F181" s="518"/>
      <c r="G181" s="518"/>
      <c r="H181" s="568"/>
      <c r="I181" s="568"/>
      <c r="J181" s="568"/>
      <c r="K181" s="528"/>
      <c r="L181" s="518"/>
      <c r="M181" s="518"/>
      <c r="N181" s="518"/>
      <c r="O181" s="518"/>
      <c r="P181" s="520"/>
      <c r="Q181" s="520"/>
      <c r="R181" s="520"/>
      <c r="S181" s="520"/>
      <c r="T181" s="520"/>
      <c r="U181" s="520"/>
      <c r="V181" s="520"/>
      <c r="W181" s="520"/>
      <c r="X181" s="518"/>
      <c r="Y181" s="518"/>
      <c r="Z181" s="518"/>
      <c r="AA181" s="518"/>
      <c r="AB181" s="531">
        <f t="shared" si="41"/>
        <v>0</v>
      </c>
      <c r="AC181" s="505">
        <f t="shared" si="42"/>
        <v>0</v>
      </c>
      <c r="AD181" s="508">
        <f t="shared" si="43"/>
        <v>0</v>
      </c>
      <c r="AE181" s="521">
        <f t="shared" si="44"/>
        <v>0</v>
      </c>
      <c r="AF181" s="505"/>
      <c r="AG181" s="505"/>
      <c r="AH181" s="508"/>
      <c r="AI181" s="521"/>
      <c r="AJ181" s="522"/>
      <c r="AK181" s="506"/>
      <c r="AL181" s="505"/>
      <c r="AO181" s="523"/>
      <c r="AP181" s="506"/>
      <c r="AQ181" s="505"/>
      <c r="AR181" s="522" t="str">
        <f>'L. Eliminations-Consolidations'!B283</f>
        <v>L.9</v>
      </c>
      <c r="AS181" s="524">
        <f>'L. Eliminations-Consolidations'!L286</f>
        <v>0</v>
      </c>
      <c r="AT181" s="525"/>
      <c r="AU181" s="526"/>
      <c r="AV181" s="467">
        <f t="shared" si="74"/>
        <v>0</v>
      </c>
      <c r="AW181" s="467">
        <f t="shared" si="75"/>
        <v>0</v>
      </c>
      <c r="AX181" s="508"/>
      <c r="AY181" s="521"/>
      <c r="AZ181" s="506" t="str">
        <f t="shared" si="40"/>
        <v xml:space="preserve"> </v>
      </c>
      <c r="BA181" s="524">
        <f t="shared" si="76"/>
        <v>0</v>
      </c>
      <c r="BB181" s="578"/>
    </row>
    <row r="182" spans="1:55" ht="14.25" customHeight="1" x14ac:dyDescent="0.2">
      <c r="A182" s="25"/>
      <c r="B182" s="1448"/>
      <c r="C182" s="14" t="s">
        <v>1018</v>
      </c>
      <c r="D182" s="527"/>
      <c r="E182" s="528"/>
      <c r="F182" s="518"/>
      <c r="G182" s="518"/>
      <c r="H182" s="568"/>
      <c r="I182" s="568"/>
      <c r="J182" s="568"/>
      <c r="K182" s="528"/>
      <c r="L182" s="518"/>
      <c r="M182" s="518"/>
      <c r="N182" s="518"/>
      <c r="O182" s="518"/>
      <c r="P182" s="520"/>
      <c r="Q182" s="520"/>
      <c r="R182" s="520"/>
      <c r="S182" s="520"/>
      <c r="T182" s="520"/>
      <c r="U182" s="520"/>
      <c r="V182" s="520"/>
      <c r="W182" s="520"/>
      <c r="X182" s="518"/>
      <c r="Y182" s="518"/>
      <c r="Z182" s="518"/>
      <c r="AA182" s="518"/>
      <c r="AB182" s="531">
        <f t="shared" si="41"/>
        <v>0</v>
      </c>
      <c r="AC182" s="505">
        <f t="shared" si="42"/>
        <v>0</v>
      </c>
      <c r="AD182" s="508">
        <f t="shared" si="43"/>
        <v>0</v>
      </c>
      <c r="AE182" s="521">
        <f t="shared" si="44"/>
        <v>0</v>
      </c>
      <c r="AF182" s="505"/>
      <c r="AG182" s="505"/>
      <c r="AH182" s="508"/>
      <c r="AI182" s="521"/>
      <c r="AJ182" s="522"/>
      <c r="AK182" s="506"/>
      <c r="AL182" s="505"/>
      <c r="AO182" s="523"/>
      <c r="AP182" s="506"/>
      <c r="AQ182" s="505"/>
      <c r="AR182" s="522" t="str">
        <f>'L. Eliminations-Consolidations'!B283</f>
        <v>L.9</v>
      </c>
      <c r="AS182" s="524">
        <f>'L. Eliminations-Consolidations'!L287</f>
        <v>0</v>
      </c>
      <c r="AT182" s="525"/>
      <c r="AU182" s="526"/>
      <c r="AV182" s="467">
        <f t="shared" si="74"/>
        <v>0</v>
      </c>
      <c r="AW182" s="467">
        <f t="shared" si="75"/>
        <v>0</v>
      </c>
      <c r="AX182" s="508"/>
      <c r="AY182" s="521"/>
      <c r="AZ182" s="506" t="str">
        <f t="shared" si="40"/>
        <v xml:space="preserve"> </v>
      </c>
      <c r="BA182" s="524">
        <f t="shared" si="76"/>
        <v>0</v>
      </c>
    </row>
    <row r="183" spans="1:55" ht="14.25" customHeight="1" x14ac:dyDescent="0.2">
      <c r="A183" s="25"/>
      <c r="B183" s="1448"/>
      <c r="C183" s="14" t="s">
        <v>1019</v>
      </c>
      <c r="D183" s="527"/>
      <c r="E183" s="528"/>
      <c r="F183" s="518"/>
      <c r="G183" s="518"/>
      <c r="H183" s="568"/>
      <c r="I183" s="568"/>
      <c r="J183" s="568"/>
      <c r="K183" s="528"/>
      <c r="L183" s="518"/>
      <c r="M183" s="518"/>
      <c r="N183" s="518"/>
      <c r="O183" s="518"/>
      <c r="P183" s="520"/>
      <c r="Q183" s="520"/>
      <c r="R183" s="520"/>
      <c r="S183" s="520"/>
      <c r="T183" s="520"/>
      <c r="U183" s="520"/>
      <c r="V183" s="520"/>
      <c r="W183" s="520"/>
      <c r="X183" s="518"/>
      <c r="Y183" s="518"/>
      <c r="Z183" s="518"/>
      <c r="AA183" s="518"/>
      <c r="AB183" s="531">
        <f t="shared" si="41"/>
        <v>0</v>
      </c>
      <c r="AC183" s="505">
        <f t="shared" si="42"/>
        <v>0</v>
      </c>
      <c r="AD183" s="508">
        <f t="shared" si="43"/>
        <v>0</v>
      </c>
      <c r="AE183" s="521">
        <f t="shared" si="44"/>
        <v>0</v>
      </c>
      <c r="AF183" s="505"/>
      <c r="AG183" s="505"/>
      <c r="AH183" s="508"/>
      <c r="AI183" s="521"/>
      <c r="AJ183" s="522"/>
      <c r="AK183" s="506"/>
      <c r="AL183" s="505"/>
      <c r="AO183" s="523"/>
      <c r="AP183" s="506"/>
      <c r="AQ183" s="505"/>
      <c r="AR183" s="522" t="str">
        <f>'L. Eliminations-Consolidations'!B283</f>
        <v>L.9</v>
      </c>
      <c r="AS183" s="524">
        <f>'L. Eliminations-Consolidations'!L288</f>
        <v>0</v>
      </c>
      <c r="AT183" s="525"/>
      <c r="AU183" s="526"/>
      <c r="AV183" s="467">
        <f t="shared" si="74"/>
        <v>0</v>
      </c>
      <c r="AW183" s="467">
        <f t="shared" si="75"/>
        <v>0</v>
      </c>
      <c r="AX183" s="508"/>
      <c r="AY183" s="521"/>
      <c r="AZ183" s="506" t="str">
        <f t="shared" si="40"/>
        <v xml:space="preserve"> </v>
      </c>
      <c r="BA183" s="524">
        <f t="shared" si="76"/>
        <v>0</v>
      </c>
    </row>
    <row r="184" spans="1:55" ht="14.25" customHeight="1" x14ac:dyDescent="0.2">
      <c r="A184" s="25"/>
      <c r="B184" s="1448"/>
      <c r="C184" s="14" t="s">
        <v>566</v>
      </c>
      <c r="D184" s="527"/>
      <c r="E184" s="528"/>
      <c r="F184" s="518"/>
      <c r="G184" s="518"/>
      <c r="H184" s="568"/>
      <c r="I184" s="568"/>
      <c r="J184" s="568"/>
      <c r="K184" s="528"/>
      <c r="L184" s="518"/>
      <c r="M184" s="518"/>
      <c r="N184" s="518"/>
      <c r="O184" s="518"/>
      <c r="P184" s="520"/>
      <c r="Q184" s="520"/>
      <c r="R184" s="520"/>
      <c r="S184" s="520"/>
      <c r="T184" s="520"/>
      <c r="U184" s="520"/>
      <c r="V184" s="520"/>
      <c r="W184" s="520"/>
      <c r="X184" s="518"/>
      <c r="Y184" s="518"/>
      <c r="Z184" s="518"/>
      <c r="AA184" s="518"/>
      <c r="AB184" s="531">
        <f t="shared" si="41"/>
        <v>0</v>
      </c>
      <c r="AC184" s="505">
        <f t="shared" si="42"/>
        <v>0</v>
      </c>
      <c r="AD184" s="508">
        <f t="shared" si="43"/>
        <v>0</v>
      </c>
      <c r="AE184" s="521">
        <f t="shared" si="44"/>
        <v>0</v>
      </c>
      <c r="AF184" s="505"/>
      <c r="AG184" s="505"/>
      <c r="AH184" s="508"/>
      <c r="AI184" s="521"/>
      <c r="AJ184" s="522"/>
      <c r="AK184" s="506"/>
      <c r="AL184" s="505"/>
      <c r="AO184" s="523"/>
      <c r="AP184" s="506"/>
      <c r="AQ184" s="505"/>
      <c r="AR184" s="522" t="str">
        <f>'L. Eliminations-Consolidations'!B283</f>
        <v>L.9</v>
      </c>
      <c r="AS184" s="524">
        <f>'L. Eliminations-Consolidations'!L289</f>
        <v>0</v>
      </c>
      <c r="AT184" s="525"/>
      <c r="AU184" s="526"/>
      <c r="AV184" s="467">
        <f t="shared" si="74"/>
        <v>0</v>
      </c>
      <c r="AW184" s="467">
        <f t="shared" si="75"/>
        <v>0</v>
      </c>
      <c r="AX184" s="508"/>
      <c r="AY184" s="521"/>
      <c r="AZ184" s="506" t="str">
        <f t="shared" si="40"/>
        <v xml:space="preserve"> </v>
      </c>
      <c r="BA184" s="524">
        <f t="shared" si="76"/>
        <v>0</v>
      </c>
    </row>
    <row r="185" spans="1:55" ht="14.25" customHeight="1" x14ac:dyDescent="0.2">
      <c r="A185" s="25"/>
      <c r="B185" s="1448"/>
      <c r="C185" s="31" t="s">
        <v>219</v>
      </c>
      <c r="D185" s="527"/>
      <c r="E185" s="528"/>
      <c r="F185" s="518"/>
      <c r="G185" s="518"/>
      <c r="H185" s="568"/>
      <c r="I185" s="568"/>
      <c r="J185" s="568"/>
      <c r="K185" s="528"/>
      <c r="L185" s="518"/>
      <c r="M185" s="518"/>
      <c r="N185" s="518"/>
      <c r="O185" s="518"/>
      <c r="P185" s="520"/>
      <c r="Q185" s="520"/>
      <c r="R185" s="520"/>
      <c r="S185" s="520"/>
      <c r="T185" s="520"/>
      <c r="U185" s="520"/>
      <c r="V185" s="520"/>
      <c r="W185" s="520"/>
      <c r="X185" s="518"/>
      <c r="Y185" s="518"/>
      <c r="Z185" s="518"/>
      <c r="AA185" s="518"/>
      <c r="AB185" s="531">
        <f t="shared" si="41"/>
        <v>0</v>
      </c>
      <c r="AC185" s="505">
        <f t="shared" si="42"/>
        <v>0</v>
      </c>
      <c r="AD185" s="508">
        <f t="shared" si="43"/>
        <v>0</v>
      </c>
      <c r="AE185" s="521">
        <f t="shared" si="44"/>
        <v>0</v>
      </c>
      <c r="AF185" s="505"/>
      <c r="AG185" s="505"/>
      <c r="AH185" s="508"/>
      <c r="AI185" s="521"/>
      <c r="AJ185" s="522"/>
      <c r="AK185" s="506"/>
      <c r="AL185" s="505"/>
      <c r="AO185" s="523"/>
      <c r="AP185" s="506"/>
      <c r="AQ185" s="505"/>
      <c r="AR185" s="522" t="str">
        <f>'L. Eliminations-Consolidations'!B283</f>
        <v>L.9</v>
      </c>
      <c r="AS185" s="540">
        <f>'L. Eliminations-Consolidations'!L290</f>
        <v>0</v>
      </c>
      <c r="AT185" s="525"/>
      <c r="AU185" s="526"/>
      <c r="AV185" s="467">
        <f t="shared" si="74"/>
        <v>0</v>
      </c>
      <c r="AW185" s="467">
        <f t="shared" si="75"/>
        <v>0</v>
      </c>
      <c r="AX185" s="508"/>
      <c r="AY185" s="521"/>
      <c r="AZ185" s="506" t="str">
        <f t="shared" si="40"/>
        <v xml:space="preserve"> </v>
      </c>
      <c r="BA185" s="524">
        <f t="shared" si="76"/>
        <v>0</v>
      </c>
    </row>
    <row r="186" spans="1:55" ht="14.25" customHeight="1" x14ac:dyDescent="0.2">
      <c r="A186" s="25"/>
      <c r="B186" s="1448"/>
      <c r="C186" s="31" t="s">
        <v>220</v>
      </c>
      <c r="D186" s="527"/>
      <c r="E186" s="528"/>
      <c r="F186" s="518"/>
      <c r="G186" s="518"/>
      <c r="H186" s="568"/>
      <c r="I186" s="568"/>
      <c r="J186" s="568"/>
      <c r="K186" s="528"/>
      <c r="L186" s="518"/>
      <c r="M186" s="518"/>
      <c r="N186" s="518"/>
      <c r="O186" s="518"/>
      <c r="P186" s="520"/>
      <c r="Q186" s="520"/>
      <c r="R186" s="520"/>
      <c r="S186" s="520"/>
      <c r="T186" s="520"/>
      <c r="U186" s="520"/>
      <c r="V186" s="520"/>
      <c r="W186" s="520"/>
      <c r="X186" s="518"/>
      <c r="Y186" s="518"/>
      <c r="Z186" s="518"/>
      <c r="AA186" s="518"/>
      <c r="AB186" s="531">
        <f t="shared" si="41"/>
        <v>0</v>
      </c>
      <c r="AC186" s="505">
        <f t="shared" si="42"/>
        <v>0</v>
      </c>
      <c r="AD186" s="508">
        <f t="shared" si="43"/>
        <v>0</v>
      </c>
      <c r="AE186" s="521">
        <f t="shared" si="44"/>
        <v>0</v>
      </c>
      <c r="AF186" s="505"/>
      <c r="AG186" s="505"/>
      <c r="AH186" s="508"/>
      <c r="AI186" s="521"/>
      <c r="AJ186" s="522"/>
      <c r="AK186" s="506"/>
      <c r="AL186" s="505"/>
      <c r="AO186" s="523"/>
      <c r="AP186" s="506"/>
      <c r="AQ186" s="505"/>
      <c r="AR186" s="522" t="str">
        <f>'L. Eliminations-Consolidations'!B283</f>
        <v>L.9</v>
      </c>
      <c r="AS186" s="540">
        <f>'L. Eliminations-Consolidations'!L291</f>
        <v>0</v>
      </c>
      <c r="AT186" s="525"/>
      <c r="AU186" s="526"/>
      <c r="AV186" s="467">
        <f t="shared" si="74"/>
        <v>0</v>
      </c>
      <c r="AW186" s="467">
        <f t="shared" si="75"/>
        <v>0</v>
      </c>
      <c r="AX186" s="508"/>
      <c r="AY186" s="521"/>
      <c r="AZ186" s="506" t="str">
        <f t="shared" si="40"/>
        <v xml:space="preserve"> </v>
      </c>
      <c r="BA186" s="524">
        <f t="shared" si="76"/>
        <v>0</v>
      </c>
    </row>
    <row r="187" spans="1:55" ht="14.25" customHeight="1" x14ac:dyDescent="0.2">
      <c r="A187" s="25"/>
      <c r="B187" s="1448"/>
      <c r="C187" s="31" t="s">
        <v>265</v>
      </c>
      <c r="D187" s="527"/>
      <c r="E187" s="528"/>
      <c r="F187" s="518"/>
      <c r="G187" s="518"/>
      <c r="H187" s="568"/>
      <c r="I187" s="568"/>
      <c r="J187" s="568"/>
      <c r="K187" s="528"/>
      <c r="L187" s="518"/>
      <c r="M187" s="518"/>
      <c r="N187" s="518"/>
      <c r="O187" s="518"/>
      <c r="P187" s="520"/>
      <c r="Q187" s="520"/>
      <c r="R187" s="520"/>
      <c r="S187" s="520"/>
      <c r="T187" s="520"/>
      <c r="U187" s="520"/>
      <c r="V187" s="520"/>
      <c r="W187" s="520"/>
      <c r="X187" s="518"/>
      <c r="Y187" s="518"/>
      <c r="Z187" s="518"/>
      <c r="AA187" s="518"/>
      <c r="AB187" s="531">
        <f t="shared" si="41"/>
        <v>0</v>
      </c>
      <c r="AC187" s="505">
        <f t="shared" si="42"/>
        <v>0</v>
      </c>
      <c r="AD187" s="508">
        <f t="shared" si="43"/>
        <v>0</v>
      </c>
      <c r="AE187" s="521">
        <f t="shared" si="44"/>
        <v>0</v>
      </c>
      <c r="AF187" s="505"/>
      <c r="AG187" s="505"/>
      <c r="AH187" s="508"/>
      <c r="AI187" s="521"/>
      <c r="AJ187" s="522"/>
      <c r="AK187" s="506"/>
      <c r="AL187" s="505"/>
      <c r="AO187" s="523"/>
      <c r="AP187" s="506"/>
      <c r="AQ187" s="505"/>
      <c r="AR187" s="522" t="str">
        <f>'L. Eliminations-Consolidations'!B283</f>
        <v>L.9</v>
      </c>
      <c r="AS187" s="540">
        <f>'L. Eliminations-Consolidations'!L292</f>
        <v>0</v>
      </c>
      <c r="AT187" s="525"/>
      <c r="AU187" s="526"/>
      <c r="AV187" s="467">
        <f t="shared" si="74"/>
        <v>0</v>
      </c>
      <c r="AW187" s="467">
        <f t="shared" si="75"/>
        <v>0</v>
      </c>
      <c r="AX187" s="508"/>
      <c r="AY187" s="521"/>
      <c r="AZ187" s="506" t="str">
        <f t="shared" si="40"/>
        <v xml:space="preserve"> </v>
      </c>
      <c r="BA187" s="524">
        <f t="shared" si="76"/>
        <v>0</v>
      </c>
    </row>
    <row r="188" spans="1:55" ht="14.25" customHeight="1" x14ac:dyDescent="0.2">
      <c r="A188" s="25"/>
      <c r="B188" s="1448"/>
      <c r="C188" s="31" t="s">
        <v>1061</v>
      </c>
      <c r="D188" s="527"/>
      <c r="E188" s="528"/>
      <c r="F188" s="518"/>
      <c r="G188" s="518"/>
      <c r="H188" s="568"/>
      <c r="I188" s="568"/>
      <c r="J188" s="568"/>
      <c r="K188" s="528"/>
      <c r="L188" s="518"/>
      <c r="M188" s="518"/>
      <c r="N188" s="518"/>
      <c r="O188" s="518"/>
      <c r="P188" s="520"/>
      <c r="Q188" s="520"/>
      <c r="R188" s="520"/>
      <c r="S188" s="520"/>
      <c r="T188" s="520"/>
      <c r="U188" s="520"/>
      <c r="V188" s="520"/>
      <c r="W188" s="520"/>
      <c r="X188" s="518"/>
      <c r="Y188" s="518"/>
      <c r="Z188" s="518"/>
      <c r="AA188" s="518"/>
      <c r="AB188" s="531">
        <f>L188+N188+P188+R188+T188+V188+X188+Z188</f>
        <v>0</v>
      </c>
      <c r="AC188" s="505">
        <f>M188+O188+Q188+S188+U188+W188+Y188+AA188</f>
        <v>0</v>
      </c>
      <c r="AD188" s="508">
        <f>D188+F188+H188+J188+AB188</f>
        <v>0</v>
      </c>
      <c r="AE188" s="521">
        <f>E188+G188+I188+K188+AC188</f>
        <v>0</v>
      </c>
      <c r="AF188" s="505"/>
      <c r="AG188" s="505"/>
      <c r="AH188" s="508"/>
      <c r="AI188" s="521"/>
      <c r="AJ188" s="522"/>
      <c r="AK188" s="506"/>
      <c r="AL188" s="505"/>
      <c r="AO188" s="523"/>
      <c r="AP188" s="506"/>
      <c r="AQ188" s="505"/>
      <c r="AR188" s="522" t="str">
        <f>'L. Eliminations-Consolidations'!B283</f>
        <v>L.9</v>
      </c>
      <c r="AS188" s="540">
        <f>'L. Eliminations-Consolidations'!L293</f>
        <v>0</v>
      </c>
      <c r="AT188" s="525"/>
      <c r="AU188" s="526"/>
      <c r="AV188" s="467">
        <f>ROUND(AD188+AF188+AH188+AK188+AP188+AT188,0)</f>
        <v>0</v>
      </c>
      <c r="AW188" s="467">
        <f>ROUND(AE188+AG188+AI188+AN188+AS188+AU188,0)</f>
        <v>0</v>
      </c>
      <c r="AX188" s="508"/>
      <c r="AY188" s="521"/>
      <c r="AZ188" s="506"/>
      <c r="BA188" s="540">
        <f t="shared" si="76"/>
        <v>0</v>
      </c>
      <c r="BC188" s="578"/>
    </row>
    <row r="189" spans="1:55" ht="14.25" customHeight="1" x14ac:dyDescent="0.2">
      <c r="A189" s="25"/>
      <c r="B189" s="1448"/>
      <c r="C189" s="1156" t="s">
        <v>3642</v>
      </c>
      <c r="D189" s="533"/>
      <c r="E189" s="534"/>
      <c r="F189" s="530"/>
      <c r="G189" s="530"/>
      <c r="H189" s="1155"/>
      <c r="I189" s="1155"/>
      <c r="J189" s="1155"/>
      <c r="K189" s="534"/>
      <c r="L189" s="530"/>
      <c r="M189" s="530"/>
      <c r="N189" s="530"/>
      <c r="O189" s="530"/>
      <c r="P189" s="529"/>
      <c r="Q189" s="529"/>
      <c r="R189" s="529"/>
      <c r="S189" s="529"/>
      <c r="T189" s="529"/>
      <c r="U189" s="529"/>
      <c r="V189" s="529"/>
      <c r="W189" s="529"/>
      <c r="X189" s="530"/>
      <c r="Y189" s="530"/>
      <c r="Z189" s="530"/>
      <c r="AA189" s="530"/>
      <c r="AB189" s="531">
        <f t="shared" si="41"/>
        <v>0</v>
      </c>
      <c r="AC189" s="539">
        <f t="shared" si="42"/>
        <v>0</v>
      </c>
      <c r="AD189" s="536">
        <f t="shared" si="43"/>
        <v>0</v>
      </c>
      <c r="AE189" s="537">
        <f t="shared" si="44"/>
        <v>0</v>
      </c>
      <c r="AF189" s="539"/>
      <c r="AG189" s="539"/>
      <c r="AH189" s="536"/>
      <c r="AI189" s="537"/>
      <c r="AJ189" s="538"/>
      <c r="AK189" s="434"/>
      <c r="AL189" s="539"/>
      <c r="AM189" s="581"/>
      <c r="AN189" s="582"/>
      <c r="AO189" s="541"/>
      <c r="AP189" s="434"/>
      <c r="AQ189" s="539"/>
      <c r="AR189" s="538" t="str">
        <f>'L. Eliminations-Consolidations'!B283</f>
        <v>L.9</v>
      </c>
      <c r="AS189" s="540">
        <f>'L. Eliminations-Consolidations'!L294</f>
        <v>0</v>
      </c>
      <c r="AT189" s="525"/>
      <c r="AU189" s="526"/>
      <c r="AV189" s="467">
        <f t="shared" si="74"/>
        <v>0</v>
      </c>
      <c r="AW189" s="467">
        <f t="shared" si="75"/>
        <v>0</v>
      </c>
      <c r="AX189" s="536"/>
      <c r="AY189" s="537"/>
      <c r="AZ189" s="434" t="str">
        <f t="shared" si="40"/>
        <v xml:space="preserve"> </v>
      </c>
      <c r="BA189" s="540">
        <f>IF(AV189-AW189&gt;0," ",AW189-AV189)</f>
        <v>0</v>
      </c>
    </row>
    <row r="190" spans="1:55" ht="13.5" customHeight="1" x14ac:dyDescent="0.2">
      <c r="A190" s="25"/>
      <c r="B190" s="1448"/>
      <c r="C190" s="904" t="s">
        <v>567</v>
      </c>
      <c r="D190" s="527"/>
      <c r="E190" s="528"/>
      <c r="F190" s="518"/>
      <c r="G190" s="518"/>
      <c r="H190" s="568"/>
      <c r="I190" s="568"/>
      <c r="J190" s="568"/>
      <c r="K190" s="528"/>
      <c r="L190" s="518"/>
      <c r="M190" s="518"/>
      <c r="N190" s="518"/>
      <c r="O190" s="518"/>
      <c r="P190" s="520"/>
      <c r="Q190" s="520"/>
      <c r="R190" s="520"/>
      <c r="S190" s="520"/>
      <c r="T190" s="520"/>
      <c r="U190" s="520"/>
      <c r="V190" s="520"/>
      <c r="W190" s="520"/>
      <c r="X190" s="518"/>
      <c r="Y190" s="518"/>
      <c r="Z190" s="518"/>
      <c r="AA190" s="518"/>
      <c r="AB190" s="531">
        <f t="shared" si="41"/>
        <v>0</v>
      </c>
      <c r="AC190" s="505">
        <f t="shared" si="42"/>
        <v>0</v>
      </c>
      <c r="AD190" s="508">
        <f t="shared" si="43"/>
        <v>0</v>
      </c>
      <c r="AE190" s="521">
        <f t="shared" si="44"/>
        <v>0</v>
      </c>
      <c r="AF190" s="505"/>
      <c r="AG190" s="505"/>
      <c r="AH190" s="508"/>
      <c r="AI190" s="521"/>
      <c r="AJ190" s="522"/>
      <c r="AK190" s="506"/>
      <c r="AL190" s="505"/>
      <c r="AO190" s="523"/>
      <c r="AP190" s="506"/>
      <c r="AQ190" s="505"/>
      <c r="AR190" s="522" t="str">
        <f>'L. Eliminations-Consolidations'!B283</f>
        <v>L.9</v>
      </c>
      <c r="AS190" s="524">
        <f>'L. Eliminations-Consolidations'!L295</f>
        <v>0</v>
      </c>
      <c r="AT190" s="525"/>
      <c r="AU190" s="526"/>
      <c r="AV190" s="467">
        <f t="shared" si="74"/>
        <v>0</v>
      </c>
      <c r="AW190" s="467">
        <f t="shared" si="75"/>
        <v>0</v>
      </c>
      <c r="AX190" s="508"/>
      <c r="AY190" s="521"/>
      <c r="AZ190" s="506" t="str">
        <f t="shared" si="40"/>
        <v xml:space="preserve"> </v>
      </c>
      <c r="BA190" s="524">
        <f t="shared" si="76"/>
        <v>0</v>
      </c>
    </row>
    <row r="191" spans="1:55" ht="13.5" customHeight="1" x14ac:dyDescent="0.2">
      <c r="A191" s="25"/>
      <c r="B191" s="1448"/>
      <c r="C191" s="904" t="s">
        <v>568</v>
      </c>
      <c r="D191" s="527"/>
      <c r="E191" s="528"/>
      <c r="F191" s="518"/>
      <c r="G191" s="518"/>
      <c r="H191" s="568"/>
      <c r="I191" s="568"/>
      <c r="J191" s="568"/>
      <c r="K191" s="528"/>
      <c r="L191" s="518"/>
      <c r="M191" s="518"/>
      <c r="N191" s="518"/>
      <c r="O191" s="518"/>
      <c r="P191" s="520"/>
      <c r="Q191" s="520"/>
      <c r="R191" s="520"/>
      <c r="S191" s="520"/>
      <c r="T191" s="520"/>
      <c r="U191" s="520"/>
      <c r="V191" s="520"/>
      <c r="W191" s="520"/>
      <c r="X191" s="518"/>
      <c r="Y191" s="518"/>
      <c r="Z191" s="518"/>
      <c r="AA191" s="518"/>
      <c r="AB191" s="531">
        <f t="shared" si="41"/>
        <v>0</v>
      </c>
      <c r="AC191" s="505">
        <f t="shared" si="42"/>
        <v>0</v>
      </c>
      <c r="AD191" s="508">
        <f t="shared" si="43"/>
        <v>0</v>
      </c>
      <c r="AE191" s="521">
        <f t="shared" si="44"/>
        <v>0</v>
      </c>
      <c r="AF191" s="505"/>
      <c r="AG191" s="505"/>
      <c r="AH191" s="508"/>
      <c r="AI191" s="521"/>
      <c r="AJ191" s="522"/>
      <c r="AK191" s="506"/>
      <c r="AL191" s="505"/>
      <c r="AO191" s="523"/>
      <c r="AP191" s="506"/>
      <c r="AQ191" s="505"/>
      <c r="AR191" s="522" t="str">
        <f>'L. Eliminations-Consolidations'!B283</f>
        <v>L.9</v>
      </c>
      <c r="AS191" s="524">
        <f>'L. Eliminations-Consolidations'!L296</f>
        <v>0</v>
      </c>
      <c r="AT191" s="525"/>
      <c r="AU191" s="526"/>
      <c r="AV191" s="467">
        <f t="shared" si="74"/>
        <v>0</v>
      </c>
      <c r="AW191" s="467">
        <f t="shared" si="75"/>
        <v>0</v>
      </c>
      <c r="AX191" s="508"/>
      <c r="AY191" s="521"/>
      <c r="AZ191" s="506" t="str">
        <f t="shared" si="40"/>
        <v xml:space="preserve"> </v>
      </c>
      <c r="BA191" s="524">
        <f t="shared" si="76"/>
        <v>0</v>
      </c>
    </row>
    <row r="192" spans="1:55" x14ac:dyDescent="0.2">
      <c r="A192" s="25"/>
      <c r="B192" s="1448"/>
      <c r="C192" s="758" t="s">
        <v>973</v>
      </c>
      <c r="D192" s="533"/>
      <c r="E192" s="534"/>
      <c r="F192" s="518"/>
      <c r="G192" s="518"/>
      <c r="H192" s="568"/>
      <c r="I192" s="568"/>
      <c r="J192" s="568"/>
      <c r="K192" s="528"/>
      <c r="L192" s="518"/>
      <c r="M192" s="518"/>
      <c r="N192" s="518"/>
      <c r="O192" s="518"/>
      <c r="P192" s="520"/>
      <c r="Q192" s="520"/>
      <c r="R192" s="520"/>
      <c r="S192" s="520"/>
      <c r="T192" s="520"/>
      <c r="U192" s="520"/>
      <c r="V192" s="520"/>
      <c r="W192" s="520"/>
      <c r="X192" s="518"/>
      <c r="Y192" s="518"/>
      <c r="Z192" s="518"/>
      <c r="AA192" s="518"/>
      <c r="AB192" s="531">
        <f t="shared" si="41"/>
        <v>0</v>
      </c>
      <c r="AC192" s="505">
        <f t="shared" si="42"/>
        <v>0</v>
      </c>
      <c r="AD192" s="508">
        <f t="shared" si="43"/>
        <v>0</v>
      </c>
      <c r="AE192" s="521">
        <f t="shared" si="44"/>
        <v>0</v>
      </c>
      <c r="AF192" s="505"/>
      <c r="AG192" s="505"/>
      <c r="AH192" s="508"/>
      <c r="AI192" s="521"/>
      <c r="AJ192" s="522"/>
      <c r="AK192" s="506"/>
      <c r="AL192" s="505"/>
      <c r="AO192" s="523"/>
      <c r="AP192" s="506"/>
      <c r="AQ192" s="505"/>
      <c r="AR192" s="522" t="str">
        <f>'L. Eliminations-Consolidations'!B283</f>
        <v>L.9</v>
      </c>
      <c r="AS192" s="524">
        <f>'L. Eliminations-Consolidations'!L297</f>
        <v>0</v>
      </c>
      <c r="AT192" s="525"/>
      <c r="AU192" s="526"/>
      <c r="AV192" s="467">
        <f t="shared" si="74"/>
        <v>0</v>
      </c>
      <c r="AW192" s="467">
        <f t="shared" si="75"/>
        <v>0</v>
      </c>
      <c r="AX192" s="508"/>
      <c r="AY192" s="521"/>
      <c r="AZ192" s="506" t="str">
        <f t="shared" si="40"/>
        <v xml:space="preserve"> </v>
      </c>
      <c r="BA192" s="524">
        <f t="shared" si="76"/>
        <v>0</v>
      </c>
    </row>
    <row r="193" spans="1:55" x14ac:dyDescent="0.2">
      <c r="A193" s="272"/>
      <c r="B193" s="14"/>
      <c r="C193" s="14"/>
      <c r="D193" s="527"/>
      <c r="E193" s="528"/>
      <c r="F193" s="518"/>
      <c r="G193" s="518"/>
      <c r="H193" s="568"/>
      <c r="I193" s="568"/>
      <c r="J193" s="568"/>
      <c r="K193" s="528"/>
      <c r="L193" s="518"/>
      <c r="M193" s="518"/>
      <c r="N193" s="518"/>
      <c r="O193" s="518"/>
      <c r="P193" s="520"/>
      <c r="Q193" s="520"/>
      <c r="R193" s="520"/>
      <c r="S193" s="520"/>
      <c r="T193" s="520"/>
      <c r="U193" s="520"/>
      <c r="V193" s="520"/>
      <c r="W193" s="520"/>
      <c r="X193" s="518"/>
      <c r="Y193" s="518"/>
      <c r="Z193" s="518"/>
      <c r="AA193" s="518"/>
      <c r="AB193" s="531">
        <f t="shared" si="41"/>
        <v>0</v>
      </c>
      <c r="AC193" s="505">
        <f t="shared" si="42"/>
        <v>0</v>
      </c>
      <c r="AD193" s="508">
        <f t="shared" si="43"/>
        <v>0</v>
      </c>
      <c r="AE193" s="521">
        <f t="shared" si="44"/>
        <v>0</v>
      </c>
      <c r="AF193" s="505"/>
      <c r="AG193" s="505"/>
      <c r="AH193" s="508"/>
      <c r="AI193" s="521"/>
      <c r="AJ193" s="522"/>
      <c r="AK193" s="506"/>
      <c r="AL193" s="505"/>
      <c r="AO193" s="523"/>
      <c r="AP193" s="506"/>
      <c r="AQ193" s="505"/>
      <c r="AR193" s="522"/>
      <c r="AS193" s="524"/>
      <c r="AT193" s="525"/>
      <c r="AU193" s="526"/>
      <c r="AV193" s="434"/>
      <c r="AW193" s="434"/>
      <c r="AX193" s="508"/>
      <c r="AY193" s="521"/>
      <c r="AZ193" s="506" t="str">
        <f t="shared" si="40"/>
        <v xml:space="preserve"> </v>
      </c>
      <c r="BA193" s="524">
        <f t="shared" si="76"/>
        <v>0</v>
      </c>
    </row>
    <row r="194" spans="1:55" ht="18" customHeight="1" x14ac:dyDescent="0.2">
      <c r="A194" s="266" t="s">
        <v>919</v>
      </c>
      <c r="B194" s="23"/>
      <c r="C194" s="23"/>
      <c r="D194" s="527"/>
      <c r="E194" s="528"/>
      <c r="F194" s="518"/>
      <c r="G194" s="518"/>
      <c r="H194" s="518"/>
      <c r="I194" s="518"/>
      <c r="J194" s="518"/>
      <c r="K194" s="519"/>
      <c r="L194" s="518"/>
      <c r="M194" s="518"/>
      <c r="N194" s="518"/>
      <c r="O194" s="518"/>
      <c r="P194" s="520"/>
      <c r="Q194" s="520"/>
      <c r="R194" s="520"/>
      <c r="S194" s="520"/>
      <c r="T194" s="520"/>
      <c r="U194" s="520"/>
      <c r="V194" s="520"/>
      <c r="W194" s="520"/>
      <c r="X194" s="518"/>
      <c r="Y194" s="518"/>
      <c r="Z194" s="518"/>
      <c r="AA194" s="518"/>
      <c r="AB194" s="531">
        <f t="shared" si="41"/>
        <v>0</v>
      </c>
      <c r="AC194" s="505">
        <f t="shared" si="42"/>
        <v>0</v>
      </c>
      <c r="AD194" s="508">
        <f t="shared" si="43"/>
        <v>0</v>
      </c>
      <c r="AE194" s="521">
        <f t="shared" si="44"/>
        <v>0</v>
      </c>
      <c r="AF194" s="505"/>
      <c r="AG194" s="505"/>
      <c r="AH194" s="508"/>
      <c r="AI194" s="521"/>
      <c r="AJ194" s="522"/>
      <c r="AK194" s="506"/>
      <c r="AL194" s="505"/>
      <c r="AM194" s="522"/>
      <c r="AN194" s="506"/>
      <c r="AO194" s="523"/>
      <c r="AP194" s="506"/>
      <c r="AQ194" s="505"/>
      <c r="AR194" s="522"/>
      <c r="AS194" s="524"/>
      <c r="AT194" s="525"/>
      <c r="AU194" s="526"/>
      <c r="AV194" s="434"/>
      <c r="AW194" s="434"/>
      <c r="AX194" s="1446" t="s">
        <v>1163</v>
      </c>
      <c r="AY194" s="1447"/>
      <c r="AZ194" s="571">
        <f>SUM(AZ7:AZ193)</f>
        <v>0</v>
      </c>
      <c r="BA194" s="572">
        <f>SUM(BA7:BA193)</f>
        <v>0</v>
      </c>
      <c r="BB194" s="25"/>
      <c r="BC194" s="578"/>
    </row>
    <row r="195" spans="1:55" s="13" customFormat="1" ht="4.5" customHeight="1" x14ac:dyDescent="0.2">
      <c r="A195" s="270"/>
      <c r="B195" s="31"/>
      <c r="C195" s="31"/>
      <c r="D195" s="533"/>
      <c r="E195" s="534"/>
      <c r="F195" s="530"/>
      <c r="G195" s="530"/>
      <c r="H195" s="530"/>
      <c r="I195" s="530"/>
      <c r="J195" s="530"/>
      <c r="K195" s="535"/>
      <c r="L195" s="530"/>
      <c r="M195" s="530"/>
      <c r="N195" s="530"/>
      <c r="O195" s="530"/>
      <c r="P195" s="529"/>
      <c r="Q195" s="529"/>
      <c r="R195" s="529"/>
      <c r="S195" s="529"/>
      <c r="T195" s="529"/>
      <c r="U195" s="529"/>
      <c r="V195" s="529"/>
      <c r="W195" s="529"/>
      <c r="X195" s="530"/>
      <c r="Y195" s="530"/>
      <c r="Z195" s="530"/>
      <c r="AA195" s="530"/>
      <c r="AB195" s="531"/>
      <c r="AC195" s="539"/>
      <c r="AD195" s="536"/>
      <c r="AE195" s="537"/>
      <c r="AF195" s="539"/>
      <c r="AG195" s="539"/>
      <c r="AH195" s="536"/>
      <c r="AI195" s="537"/>
      <c r="AJ195" s="538"/>
      <c r="AK195" s="434"/>
      <c r="AL195" s="539"/>
      <c r="AM195" s="538"/>
      <c r="AN195" s="434"/>
      <c r="AO195" s="541"/>
      <c r="AP195" s="434"/>
      <c r="AQ195" s="539"/>
      <c r="AR195" s="538"/>
      <c r="AS195" s="540"/>
      <c r="AT195" s="352"/>
      <c r="AU195" s="525"/>
      <c r="AV195" s="573"/>
      <c r="AW195" s="540"/>
      <c r="AX195" s="536"/>
      <c r="AY195" s="574"/>
      <c r="AZ195" s="434"/>
      <c r="BA195" s="434"/>
      <c r="BB195" s="33"/>
      <c r="BC195" s="1047"/>
    </row>
    <row r="196" spans="1:55" x14ac:dyDescent="0.2">
      <c r="A196" s="25"/>
      <c r="B196" s="156"/>
      <c r="C196" s="14" t="s">
        <v>1033</v>
      </c>
      <c r="D196" s="527"/>
      <c r="E196" s="519"/>
      <c r="F196" s="518"/>
      <c r="G196" s="518"/>
      <c r="H196" s="518"/>
      <c r="I196" s="518"/>
      <c r="J196" s="518"/>
      <c r="K196" s="519"/>
      <c r="L196" s="518"/>
      <c r="M196" s="518"/>
      <c r="N196" s="518"/>
      <c r="O196" s="518"/>
      <c r="P196" s="520"/>
      <c r="Q196" s="520"/>
      <c r="R196" s="520"/>
      <c r="S196" s="520"/>
      <c r="T196" s="520"/>
      <c r="U196" s="520"/>
      <c r="V196" s="520"/>
      <c r="W196" s="520"/>
      <c r="X196" s="518"/>
      <c r="Y196" s="518"/>
      <c r="Z196" s="518"/>
      <c r="AA196" s="518"/>
      <c r="AB196" s="531">
        <f t="shared" si="41"/>
        <v>0</v>
      </c>
      <c r="AC196" s="505">
        <f t="shared" si="42"/>
        <v>0</v>
      </c>
      <c r="AD196" s="508">
        <f t="shared" si="43"/>
        <v>0</v>
      </c>
      <c r="AE196" s="521">
        <f t="shared" si="44"/>
        <v>0</v>
      </c>
      <c r="AF196" s="505"/>
      <c r="AG196" s="505"/>
      <c r="AH196" s="508"/>
      <c r="AI196" s="521"/>
      <c r="AJ196" s="522" t="str">
        <f>'B.  Property Taxes'!A53</f>
        <v>B.1</v>
      </c>
      <c r="AK196" s="506">
        <f>'B.  Property Taxes'!J53</f>
        <v>0</v>
      </c>
      <c r="AL196" s="505"/>
      <c r="AM196" s="522" t="str">
        <f>'B.  Property Taxes'!A57</f>
        <v>B.2</v>
      </c>
      <c r="AN196" s="506">
        <f>'B.  Property Taxes'!L59</f>
        <v>0</v>
      </c>
      <c r="AO196" s="523"/>
      <c r="AP196" s="506"/>
      <c r="AQ196" s="505"/>
      <c r="AR196" s="522"/>
      <c r="AS196" s="524"/>
      <c r="AT196" s="525"/>
      <c r="AU196" s="526"/>
      <c r="AV196" s="467">
        <f t="shared" ref="AV196:AV208" si="77">ROUND(AD196+AF196+AH196+AK196+AP196+AT196,0)</f>
        <v>0</v>
      </c>
      <c r="AW196" s="467">
        <f t="shared" ref="AW196:AW208" si="78">ROUND(AE196+AG196+AI196+AN196+AS196+AU196,0)</f>
        <v>0</v>
      </c>
      <c r="AX196" s="575" t="str">
        <f>IF(AV196-AW196&lt;=0," ",AV196-AW196)</f>
        <v xml:space="preserve"> </v>
      </c>
      <c r="AY196" s="524">
        <f>IF(AV196-AW196&gt;0," ",AW196-AV196)</f>
        <v>0</v>
      </c>
      <c r="AZ196" s="506"/>
      <c r="BA196" s="524"/>
    </row>
    <row r="197" spans="1:55" x14ac:dyDescent="0.2">
      <c r="A197" s="25"/>
      <c r="B197" s="156"/>
      <c r="C197" s="14" t="s">
        <v>223</v>
      </c>
      <c r="D197" s="527"/>
      <c r="E197" s="519"/>
      <c r="F197" s="518"/>
      <c r="G197" s="518"/>
      <c r="H197" s="518"/>
      <c r="I197" s="518"/>
      <c r="J197" s="518"/>
      <c r="K197" s="519"/>
      <c r="L197" s="518"/>
      <c r="M197" s="518"/>
      <c r="N197" s="518"/>
      <c r="O197" s="518"/>
      <c r="P197" s="520"/>
      <c r="Q197" s="520"/>
      <c r="R197" s="520"/>
      <c r="S197" s="520"/>
      <c r="T197" s="520"/>
      <c r="U197" s="520"/>
      <c r="V197" s="520"/>
      <c r="W197" s="520"/>
      <c r="X197" s="518"/>
      <c r="Y197" s="518"/>
      <c r="Z197" s="518"/>
      <c r="AA197" s="518"/>
      <c r="AB197" s="531">
        <f t="shared" si="41"/>
        <v>0</v>
      </c>
      <c r="AC197" s="505">
        <f t="shared" si="42"/>
        <v>0</v>
      </c>
      <c r="AD197" s="508">
        <f t="shared" si="43"/>
        <v>0</v>
      </c>
      <c r="AE197" s="521">
        <f>E197+G197+I197+K197+AC197</f>
        <v>0</v>
      </c>
      <c r="AF197" s="505"/>
      <c r="AG197" s="505"/>
      <c r="AH197" s="508"/>
      <c r="AI197" s="521"/>
      <c r="AJ197" s="522"/>
      <c r="AK197" s="506"/>
      <c r="AL197" s="505"/>
      <c r="AM197" s="522"/>
      <c r="AN197" s="506"/>
      <c r="AO197" s="523"/>
      <c r="AP197" s="506"/>
      <c r="AQ197" s="505"/>
      <c r="AR197" s="522"/>
      <c r="AS197" s="524"/>
      <c r="AT197" s="525"/>
      <c r="AU197" s="526"/>
      <c r="AV197" s="467">
        <f t="shared" si="77"/>
        <v>0</v>
      </c>
      <c r="AW197" s="467">
        <f t="shared" si="78"/>
        <v>0</v>
      </c>
      <c r="AX197" s="575" t="str">
        <f>IF(AV197-AW197&lt;=0," ",AV197-AW197)</f>
        <v xml:space="preserve"> </v>
      </c>
      <c r="AY197" s="524">
        <f>IF(AV197-AW197&gt;0," ",AW197-AV197)</f>
        <v>0</v>
      </c>
      <c r="AZ197" s="506"/>
      <c r="BA197" s="524"/>
    </row>
    <row r="198" spans="1:55" x14ac:dyDescent="0.2">
      <c r="A198" s="25"/>
      <c r="B198" s="156"/>
      <c r="C198" s="14" t="s">
        <v>1034</v>
      </c>
      <c r="D198" s="527"/>
      <c r="E198" s="519"/>
      <c r="F198" s="518"/>
      <c r="G198" s="518"/>
      <c r="H198" s="518"/>
      <c r="I198" s="518"/>
      <c r="J198" s="518"/>
      <c r="K198" s="519"/>
      <c r="L198" s="518"/>
      <c r="M198" s="518"/>
      <c r="N198" s="518"/>
      <c r="O198" s="518"/>
      <c r="P198" s="520"/>
      <c r="Q198" s="520"/>
      <c r="R198" s="520"/>
      <c r="S198" s="520"/>
      <c r="T198" s="520"/>
      <c r="U198" s="520"/>
      <c r="V198" s="520"/>
      <c r="W198" s="520"/>
      <c r="X198" s="518"/>
      <c r="Y198" s="518"/>
      <c r="Z198" s="518"/>
      <c r="AA198" s="518"/>
      <c r="AB198" s="531">
        <f t="shared" si="41"/>
        <v>0</v>
      </c>
      <c r="AC198" s="505">
        <f t="shared" si="42"/>
        <v>0</v>
      </c>
      <c r="AD198" s="508">
        <f t="shared" si="43"/>
        <v>0</v>
      </c>
      <c r="AE198" s="521">
        <f t="shared" si="44"/>
        <v>0</v>
      </c>
      <c r="AF198" s="505"/>
      <c r="AG198" s="505"/>
      <c r="AH198" s="508">
        <f>'A. Revenue by function'!L100</f>
        <v>0</v>
      </c>
      <c r="AI198" s="521"/>
      <c r="AJ198" s="522" t="str">
        <f>'C. Other Revenues'!B207</f>
        <v>C.1</v>
      </c>
      <c r="AK198" s="506">
        <f>'C. Other Revenues'!K209</f>
        <v>0</v>
      </c>
      <c r="AL198" s="505"/>
      <c r="AM198" s="522" t="str">
        <f>'C. Other Revenues'!B207</f>
        <v>C.1</v>
      </c>
      <c r="AN198" s="506">
        <f>'C. Other Revenues'!M209</f>
        <v>0</v>
      </c>
      <c r="AO198" s="523"/>
      <c r="AP198" s="506"/>
      <c r="AQ198" s="505"/>
      <c r="AR198" s="522"/>
      <c r="AS198" s="524"/>
      <c r="AT198" s="525"/>
      <c r="AU198" s="526"/>
      <c r="AV198" s="467">
        <f t="shared" si="77"/>
        <v>0</v>
      </c>
      <c r="AW198" s="467">
        <f t="shared" si="78"/>
        <v>0</v>
      </c>
      <c r="AX198" s="575" t="str">
        <f t="shared" ref="AX198:AX259" si="79">IF(AV198-AW198&lt;=0," ",AV198-AW198)</f>
        <v xml:space="preserve"> </v>
      </c>
      <c r="AY198" s="540">
        <f t="shared" ref="AY198:AY256" si="80">IF(AV198-AW198&gt;0," ",AW198-AV198)</f>
        <v>0</v>
      </c>
      <c r="AZ198" s="506"/>
      <c r="BA198" s="524"/>
    </row>
    <row r="199" spans="1:55" x14ac:dyDescent="0.2">
      <c r="A199" s="25"/>
      <c r="B199" s="156"/>
      <c r="C199" s="14" t="s">
        <v>224</v>
      </c>
      <c r="D199" s="527"/>
      <c r="E199" s="519"/>
      <c r="F199" s="518"/>
      <c r="G199" s="518"/>
      <c r="H199" s="518"/>
      <c r="I199" s="518"/>
      <c r="J199" s="518"/>
      <c r="K199" s="519"/>
      <c r="L199" s="518"/>
      <c r="M199" s="518"/>
      <c r="N199" s="518"/>
      <c r="O199" s="518"/>
      <c r="P199" s="520"/>
      <c r="Q199" s="520"/>
      <c r="R199" s="520"/>
      <c r="S199" s="520"/>
      <c r="T199" s="520"/>
      <c r="U199" s="520"/>
      <c r="V199" s="520"/>
      <c r="W199" s="520"/>
      <c r="X199" s="518"/>
      <c r="Y199" s="518"/>
      <c r="Z199" s="518"/>
      <c r="AA199" s="518"/>
      <c r="AB199" s="531">
        <f t="shared" si="41"/>
        <v>0</v>
      </c>
      <c r="AC199" s="505">
        <f t="shared" si="42"/>
        <v>0</v>
      </c>
      <c r="AD199" s="508">
        <f t="shared" si="43"/>
        <v>0</v>
      </c>
      <c r="AE199" s="521">
        <f t="shared" si="44"/>
        <v>0</v>
      </c>
      <c r="AF199" s="505"/>
      <c r="AG199" s="505"/>
      <c r="AH199" s="508">
        <f>'A. Revenue by function'!L101</f>
        <v>0</v>
      </c>
      <c r="AI199" s="521"/>
      <c r="AJ199" s="522" t="str">
        <f>'C. Other Revenues'!B207</f>
        <v>C.1</v>
      </c>
      <c r="AK199" s="506">
        <f>'C. Other Revenues'!K210</f>
        <v>0</v>
      </c>
      <c r="AL199" s="505"/>
      <c r="AM199" s="522" t="str">
        <f>'C. Other Revenues'!B207</f>
        <v>C.1</v>
      </c>
      <c r="AN199" s="506">
        <f>'C. Other Revenues'!M210</f>
        <v>0</v>
      </c>
      <c r="AO199" s="523"/>
      <c r="AP199" s="506"/>
      <c r="AQ199" s="505"/>
      <c r="AR199" s="522"/>
      <c r="AS199" s="524"/>
      <c r="AT199" s="525"/>
      <c r="AU199" s="526"/>
      <c r="AV199" s="467">
        <f t="shared" si="77"/>
        <v>0</v>
      </c>
      <c r="AW199" s="467">
        <f t="shared" si="78"/>
        <v>0</v>
      </c>
      <c r="AX199" s="575" t="str">
        <f t="shared" si="79"/>
        <v xml:space="preserve"> </v>
      </c>
      <c r="AY199" s="524">
        <f t="shared" si="80"/>
        <v>0</v>
      </c>
      <c r="AZ199" s="506"/>
      <c r="BA199" s="524"/>
    </row>
    <row r="200" spans="1:55" x14ac:dyDescent="0.2">
      <c r="A200" s="25"/>
      <c r="B200" s="156"/>
      <c r="C200" s="14" t="s">
        <v>225</v>
      </c>
      <c r="D200" s="527"/>
      <c r="E200" s="519"/>
      <c r="F200" s="518"/>
      <c r="G200" s="518"/>
      <c r="H200" s="518"/>
      <c r="I200" s="518"/>
      <c r="J200" s="518"/>
      <c r="K200" s="519"/>
      <c r="L200" s="518"/>
      <c r="M200" s="518"/>
      <c r="N200" s="518"/>
      <c r="O200" s="518"/>
      <c r="P200" s="520"/>
      <c r="Q200" s="520"/>
      <c r="R200" s="520"/>
      <c r="S200" s="520"/>
      <c r="T200" s="520"/>
      <c r="U200" s="520"/>
      <c r="V200" s="520"/>
      <c r="W200" s="520"/>
      <c r="X200" s="518"/>
      <c r="Y200" s="518"/>
      <c r="Z200" s="518"/>
      <c r="AA200" s="518"/>
      <c r="AB200" s="531">
        <f t="shared" si="41"/>
        <v>0</v>
      </c>
      <c r="AC200" s="505">
        <f t="shared" si="42"/>
        <v>0</v>
      </c>
      <c r="AD200" s="508">
        <f t="shared" si="43"/>
        <v>0</v>
      </c>
      <c r="AE200" s="521">
        <f t="shared" si="44"/>
        <v>0</v>
      </c>
      <c r="AF200" s="505"/>
      <c r="AG200" s="505"/>
      <c r="AH200" s="508">
        <f>'A. Revenue by function'!L102</f>
        <v>0</v>
      </c>
      <c r="AI200" s="521"/>
      <c r="AJ200" s="522" t="str">
        <f>'C. Other Revenues'!B207</f>
        <v>C.1</v>
      </c>
      <c r="AK200" s="506">
        <f>'C. Other Revenues'!K211</f>
        <v>0</v>
      </c>
      <c r="AL200" s="505"/>
      <c r="AM200" s="522" t="str">
        <f>'C. Other Revenues'!B207</f>
        <v>C.1</v>
      </c>
      <c r="AN200" s="506">
        <f>'C. Other Revenues'!M211</f>
        <v>0</v>
      </c>
      <c r="AO200" s="523"/>
      <c r="AP200" s="506"/>
      <c r="AQ200" s="505"/>
      <c r="AR200" s="522"/>
      <c r="AS200" s="524"/>
      <c r="AT200" s="525"/>
      <c r="AU200" s="526"/>
      <c r="AV200" s="467">
        <f t="shared" si="77"/>
        <v>0</v>
      </c>
      <c r="AW200" s="467">
        <f t="shared" si="78"/>
        <v>0</v>
      </c>
      <c r="AX200" s="575" t="str">
        <f t="shared" si="79"/>
        <v xml:space="preserve"> </v>
      </c>
      <c r="AY200" s="524">
        <f t="shared" si="80"/>
        <v>0</v>
      </c>
      <c r="AZ200" s="506"/>
      <c r="BA200" s="524"/>
    </row>
    <row r="201" spans="1:55" x14ac:dyDescent="0.2">
      <c r="A201" s="25"/>
      <c r="B201" s="156"/>
      <c r="C201" s="14" t="s">
        <v>1035</v>
      </c>
      <c r="D201" s="527"/>
      <c r="E201" s="519"/>
      <c r="F201" s="518"/>
      <c r="G201" s="518"/>
      <c r="H201" s="518"/>
      <c r="I201" s="518"/>
      <c r="J201" s="518"/>
      <c r="K201" s="519"/>
      <c r="L201" s="518"/>
      <c r="M201" s="518"/>
      <c r="N201" s="518"/>
      <c r="O201" s="518"/>
      <c r="P201" s="520"/>
      <c r="Q201" s="520"/>
      <c r="R201" s="520"/>
      <c r="S201" s="520"/>
      <c r="T201" s="520"/>
      <c r="U201" s="520"/>
      <c r="V201" s="520"/>
      <c r="W201" s="520"/>
      <c r="X201" s="518"/>
      <c r="Y201" s="518"/>
      <c r="Z201" s="518"/>
      <c r="AA201" s="518"/>
      <c r="AB201" s="531">
        <f t="shared" si="41"/>
        <v>0</v>
      </c>
      <c r="AC201" s="505">
        <f t="shared" si="42"/>
        <v>0</v>
      </c>
      <c r="AD201" s="508">
        <f t="shared" si="43"/>
        <v>0</v>
      </c>
      <c r="AE201" s="521">
        <f t="shared" si="44"/>
        <v>0</v>
      </c>
      <c r="AF201" s="505"/>
      <c r="AG201" s="505"/>
      <c r="AH201" s="508">
        <f>'A. Revenue by function'!L103</f>
        <v>0</v>
      </c>
      <c r="AI201" s="521"/>
      <c r="AJ201" s="522" t="str">
        <f>'C. Other Revenues'!B207</f>
        <v>C.1</v>
      </c>
      <c r="AK201" s="506">
        <f>'C. Other Revenues'!K212</f>
        <v>0</v>
      </c>
      <c r="AL201" s="505"/>
      <c r="AM201" s="522" t="str">
        <f>'C. Other Revenues'!B207</f>
        <v>C.1</v>
      </c>
      <c r="AN201" s="506">
        <f>'C. Other Revenues'!M212</f>
        <v>0</v>
      </c>
      <c r="AO201" s="523"/>
      <c r="AP201" s="506"/>
      <c r="AQ201" s="505"/>
      <c r="AR201" s="522"/>
      <c r="AS201" s="524"/>
      <c r="AT201" s="525"/>
      <c r="AU201" s="526"/>
      <c r="AV201" s="467">
        <f t="shared" si="77"/>
        <v>0</v>
      </c>
      <c r="AW201" s="467">
        <f t="shared" si="78"/>
        <v>0</v>
      </c>
      <c r="AX201" s="575" t="str">
        <f t="shared" si="79"/>
        <v xml:space="preserve"> </v>
      </c>
      <c r="AY201" s="524">
        <f t="shared" si="80"/>
        <v>0</v>
      </c>
      <c r="AZ201" s="506"/>
      <c r="BA201" s="524"/>
    </row>
    <row r="202" spans="1:55" x14ac:dyDescent="0.2">
      <c r="A202" s="25"/>
      <c r="B202" s="156"/>
      <c r="C202" s="14" t="s">
        <v>1032</v>
      </c>
      <c r="D202" s="527"/>
      <c r="E202" s="519"/>
      <c r="F202" s="518"/>
      <c r="G202" s="518"/>
      <c r="H202" s="518"/>
      <c r="I202" s="518"/>
      <c r="J202" s="518"/>
      <c r="K202" s="519"/>
      <c r="L202" s="518"/>
      <c r="M202" s="518"/>
      <c r="N202" s="518"/>
      <c r="O202" s="518"/>
      <c r="P202" s="520"/>
      <c r="Q202" s="520"/>
      <c r="R202" s="520"/>
      <c r="S202" s="520"/>
      <c r="T202" s="520"/>
      <c r="U202" s="520"/>
      <c r="V202" s="520"/>
      <c r="W202" s="520"/>
      <c r="X202" s="518"/>
      <c r="Y202" s="518"/>
      <c r="Z202" s="518"/>
      <c r="AA202" s="518"/>
      <c r="AB202" s="531">
        <f t="shared" si="41"/>
        <v>0</v>
      </c>
      <c r="AC202" s="505">
        <f t="shared" si="42"/>
        <v>0</v>
      </c>
      <c r="AD202" s="508">
        <f t="shared" si="43"/>
        <v>0</v>
      </c>
      <c r="AE202" s="521">
        <f t="shared" si="44"/>
        <v>0</v>
      </c>
      <c r="AF202" s="505"/>
      <c r="AG202" s="505"/>
      <c r="AH202" s="508">
        <f>'A. Revenue by function'!L104</f>
        <v>0</v>
      </c>
      <c r="AI202" s="521"/>
      <c r="AJ202" s="522" t="str">
        <f>'C. Other Revenues'!B207</f>
        <v>C.1</v>
      </c>
      <c r="AK202" s="506">
        <f>'C. Other Revenues'!K213</f>
        <v>0</v>
      </c>
      <c r="AL202" s="505"/>
      <c r="AM202" s="522" t="str">
        <f>'C. Other Revenues'!B207</f>
        <v>C.1</v>
      </c>
      <c r="AN202" s="506">
        <f>'C. Other Revenues'!M213</f>
        <v>0</v>
      </c>
      <c r="AO202" s="523"/>
      <c r="AP202" s="506"/>
      <c r="AQ202" s="505"/>
      <c r="AR202" s="522"/>
      <c r="AS202" s="524"/>
      <c r="AT202" s="525"/>
      <c r="AU202" s="526"/>
      <c r="AV202" s="467">
        <f t="shared" si="77"/>
        <v>0</v>
      </c>
      <c r="AW202" s="467">
        <f t="shared" si="78"/>
        <v>0</v>
      </c>
      <c r="AX202" s="575" t="str">
        <f t="shared" si="79"/>
        <v xml:space="preserve"> </v>
      </c>
      <c r="AY202" s="524">
        <f t="shared" si="80"/>
        <v>0</v>
      </c>
      <c r="AZ202" s="506"/>
      <c r="BA202" s="524"/>
    </row>
    <row r="203" spans="1:55" x14ac:dyDescent="0.2">
      <c r="A203" s="25"/>
      <c r="B203" s="156"/>
      <c r="C203" s="21" t="s">
        <v>1036</v>
      </c>
      <c r="D203" s="527"/>
      <c r="E203" s="519"/>
      <c r="F203" s="518"/>
      <c r="G203" s="518"/>
      <c r="H203" s="518"/>
      <c r="I203" s="518"/>
      <c r="J203" s="518"/>
      <c r="K203" s="519"/>
      <c r="L203" s="518"/>
      <c r="M203" s="518"/>
      <c r="N203" s="518"/>
      <c r="O203" s="518"/>
      <c r="P203" s="520"/>
      <c r="Q203" s="520"/>
      <c r="R203" s="520"/>
      <c r="S203" s="520"/>
      <c r="T203" s="520"/>
      <c r="U203" s="520"/>
      <c r="V203" s="520"/>
      <c r="W203" s="520"/>
      <c r="X203" s="518"/>
      <c r="Y203" s="518"/>
      <c r="Z203" s="518"/>
      <c r="AA203" s="518"/>
      <c r="AB203" s="531">
        <f t="shared" ref="AB203:AB273" si="81">L203+N203+P203+R203+T203+V203+X203+Z203</f>
        <v>0</v>
      </c>
      <c r="AC203" s="505">
        <f t="shared" ref="AC203:AC273" si="82">M203+O203+Q203+S203+U203+W203+Y203+AA203</f>
        <v>0</v>
      </c>
      <c r="AD203" s="508">
        <f t="shared" si="43"/>
        <v>0</v>
      </c>
      <c r="AE203" s="521">
        <f t="shared" si="44"/>
        <v>0</v>
      </c>
      <c r="AF203" s="505"/>
      <c r="AG203" s="505"/>
      <c r="AH203" s="508">
        <f>'A. Revenue by function'!L105</f>
        <v>0</v>
      </c>
      <c r="AI203" s="521"/>
      <c r="AJ203" s="522" t="str">
        <f>'C. Other Revenues'!B207</f>
        <v>C.1</v>
      </c>
      <c r="AK203" s="506">
        <f>'C. Other Revenues'!K215</f>
        <v>0</v>
      </c>
      <c r="AL203" s="505"/>
      <c r="AM203" s="522" t="str">
        <f>'C. Other Revenues'!B207</f>
        <v>C.1</v>
      </c>
      <c r="AN203" s="506">
        <f>'C. Other Revenues'!M215</f>
        <v>0</v>
      </c>
      <c r="AO203" s="523" t="str">
        <f>'L. Eliminations-Consolidations'!A237</f>
        <v>L.7</v>
      </c>
      <c r="AP203" s="506">
        <f>'L. Eliminations-Consolidations'!J247</f>
        <v>0</v>
      </c>
      <c r="AQ203" s="505"/>
      <c r="AR203" s="576" t="s">
        <v>646</v>
      </c>
      <c r="AS203" s="434">
        <f>'K.1  Int. Service Fd Allocation'!G198+'K.2  Int. Service Fd Alloca'!G193+'K.3 Int. Service Fd Alloca'!G197</f>
        <v>0</v>
      </c>
      <c r="AT203" s="557"/>
      <c r="AU203" s="526"/>
      <c r="AV203" s="467">
        <f t="shared" si="77"/>
        <v>0</v>
      </c>
      <c r="AW203" s="467">
        <f t="shared" si="78"/>
        <v>0</v>
      </c>
      <c r="AX203" s="575" t="str">
        <f t="shared" si="79"/>
        <v xml:space="preserve"> </v>
      </c>
      <c r="AY203" s="524">
        <f t="shared" si="80"/>
        <v>0</v>
      </c>
      <c r="AZ203" s="506"/>
      <c r="BA203" s="524"/>
    </row>
    <row r="204" spans="1:55" x14ac:dyDescent="0.2">
      <c r="A204" s="25"/>
      <c r="B204" s="268"/>
      <c r="C204" s="248" t="s">
        <v>813</v>
      </c>
      <c r="D204" s="542"/>
      <c r="E204" s="545"/>
      <c r="F204" s="544"/>
      <c r="G204" s="544"/>
      <c r="H204" s="544"/>
      <c r="I204" s="544"/>
      <c r="J204" s="544"/>
      <c r="K204" s="545"/>
      <c r="L204" s="544"/>
      <c r="M204" s="544"/>
      <c r="N204" s="544"/>
      <c r="O204" s="544"/>
      <c r="P204" s="546"/>
      <c r="Q204" s="546"/>
      <c r="R204" s="546"/>
      <c r="S204" s="546"/>
      <c r="T204" s="546"/>
      <c r="U204" s="546"/>
      <c r="V204" s="546"/>
      <c r="W204" s="546"/>
      <c r="X204" s="544"/>
      <c r="Y204" s="544"/>
      <c r="Z204" s="544"/>
      <c r="AA204" s="544"/>
      <c r="AB204" s="547">
        <f t="shared" si="81"/>
        <v>0</v>
      </c>
      <c r="AC204" s="548">
        <f t="shared" si="82"/>
        <v>0</v>
      </c>
      <c r="AD204" s="549">
        <f t="shared" si="43"/>
        <v>0</v>
      </c>
      <c r="AE204" s="550">
        <f t="shared" si="44"/>
        <v>0</v>
      </c>
      <c r="AF204" s="548"/>
      <c r="AG204" s="548"/>
      <c r="AH204" s="549">
        <f>'A. Revenue by function'!L106</f>
        <v>0</v>
      </c>
      <c r="AI204" s="550"/>
      <c r="AJ204" s="551" t="str">
        <f>'C. Other Revenues'!B207</f>
        <v>C.1</v>
      </c>
      <c r="AK204" s="552">
        <f>'C. Other Revenues'!K214</f>
        <v>0</v>
      </c>
      <c r="AL204" s="548"/>
      <c r="AM204" s="551" t="str">
        <f>'C. Other Revenues'!B207</f>
        <v>C.1</v>
      </c>
      <c r="AN204" s="552">
        <f>'C. Other Revenues'!M214</f>
        <v>0</v>
      </c>
      <c r="AO204" s="553"/>
      <c r="AP204" s="552"/>
      <c r="AQ204" s="548"/>
      <c r="AR204" s="551" t="str">
        <f>'L. Eliminations-Consolidations'!B279</f>
        <v>L.10</v>
      </c>
      <c r="AS204" s="554">
        <f>'L. Eliminations-Consolidations'!L281</f>
        <v>0</v>
      </c>
      <c r="AT204" s="525"/>
      <c r="AU204" s="526"/>
      <c r="AV204" s="552">
        <f t="shared" si="77"/>
        <v>0</v>
      </c>
      <c r="AW204" s="552">
        <f t="shared" si="78"/>
        <v>0</v>
      </c>
      <c r="AX204" s="577" t="str">
        <f>IF((AV204+AV205+AV206+AV207+AV208)-(AW204+AW205+AW206+AW207+AW208)&lt;=0," ",(AV204+AV205+AV206+AV207+AV208)-(AW204+AW205+AW206+AW207+AW208))</f>
        <v xml:space="preserve"> </v>
      </c>
      <c r="AY204" s="554" t="str">
        <f>IF((AV204+AV205+AV206+AV207+AV208)-(AW204+AW205+AW206+AW207+AV208)&gt;=0," ",(AW204+AW205+AW206+AW207+AW208)-(AV204+AV205+AV206+AV207+AV208))</f>
        <v xml:space="preserve"> </v>
      </c>
      <c r="AZ204" s="506"/>
      <c r="BA204" s="524"/>
      <c r="BB204" s="578"/>
    </row>
    <row r="205" spans="1:55" x14ac:dyDescent="0.2">
      <c r="A205" s="25"/>
      <c r="B205" s="268"/>
      <c r="C205" s="248"/>
      <c r="D205" s="542"/>
      <c r="E205" s="545"/>
      <c r="F205" s="544"/>
      <c r="G205" s="544"/>
      <c r="H205" s="544"/>
      <c r="I205" s="544"/>
      <c r="J205" s="544"/>
      <c r="K205" s="545"/>
      <c r="L205" s="544"/>
      <c r="M205" s="544"/>
      <c r="N205" s="544"/>
      <c r="O205" s="544"/>
      <c r="P205" s="546"/>
      <c r="Q205" s="546"/>
      <c r="R205" s="546"/>
      <c r="S205" s="546"/>
      <c r="T205" s="546"/>
      <c r="U205" s="546"/>
      <c r="V205" s="546"/>
      <c r="W205" s="546"/>
      <c r="X205" s="544"/>
      <c r="Y205" s="544"/>
      <c r="Z205" s="544"/>
      <c r="AA205" s="544"/>
      <c r="AB205" s="547">
        <f t="shared" si="81"/>
        <v>0</v>
      </c>
      <c r="AC205" s="548">
        <f t="shared" si="82"/>
        <v>0</v>
      </c>
      <c r="AD205" s="549">
        <f t="shared" si="43"/>
        <v>0</v>
      </c>
      <c r="AE205" s="550">
        <f t="shared" si="44"/>
        <v>0</v>
      </c>
      <c r="AF205" s="548"/>
      <c r="AG205" s="548"/>
      <c r="AH205" s="549"/>
      <c r="AI205" s="550"/>
      <c r="AJ205" s="551" t="str">
        <f>'F.  Other Cap Asset Entries'!D220</f>
        <v>F.1</v>
      </c>
      <c r="AK205" s="552">
        <f>'F.  Other Cap Asset Entries'!M228</f>
        <v>0</v>
      </c>
      <c r="AL205" s="548"/>
      <c r="AM205" s="551" t="str">
        <f>'F.  Other Cap Asset Entries'!D220</f>
        <v>F.1</v>
      </c>
      <c r="AN205" s="552">
        <f>'F.  Other Cap Asset Entries'!O239</f>
        <v>0</v>
      </c>
      <c r="AO205" s="553"/>
      <c r="AP205" s="552"/>
      <c r="AQ205" s="548"/>
      <c r="AR205" s="551"/>
      <c r="AS205" s="554"/>
      <c r="AT205" s="525"/>
      <c r="AU205" s="526"/>
      <c r="AV205" s="552">
        <f t="shared" si="77"/>
        <v>0</v>
      </c>
      <c r="AW205" s="552">
        <f t="shared" si="78"/>
        <v>0</v>
      </c>
      <c r="AX205" s="577"/>
      <c r="AY205" s="554"/>
      <c r="AZ205" s="506"/>
      <c r="BA205" s="524"/>
    </row>
    <row r="206" spans="1:55" x14ac:dyDescent="0.2">
      <c r="A206" s="25"/>
      <c r="B206" s="268"/>
      <c r="C206" s="248"/>
      <c r="D206" s="542"/>
      <c r="E206" s="545"/>
      <c r="F206" s="544"/>
      <c r="G206" s="544"/>
      <c r="H206" s="544"/>
      <c r="I206" s="544"/>
      <c r="J206" s="544"/>
      <c r="K206" s="545"/>
      <c r="L206" s="544"/>
      <c r="M206" s="544"/>
      <c r="N206" s="544"/>
      <c r="O206" s="544"/>
      <c r="P206" s="546"/>
      <c r="Q206" s="546"/>
      <c r="R206" s="546"/>
      <c r="S206" s="546"/>
      <c r="T206" s="546"/>
      <c r="U206" s="546"/>
      <c r="V206" s="546"/>
      <c r="W206" s="546"/>
      <c r="X206" s="544"/>
      <c r="Y206" s="544"/>
      <c r="Z206" s="544"/>
      <c r="AA206" s="544"/>
      <c r="AB206" s="547">
        <f t="shared" si="81"/>
        <v>0</v>
      </c>
      <c r="AC206" s="548">
        <f t="shared" si="82"/>
        <v>0</v>
      </c>
      <c r="AD206" s="549">
        <f t="shared" si="43"/>
        <v>0</v>
      </c>
      <c r="AE206" s="550">
        <f t="shared" si="44"/>
        <v>0</v>
      </c>
      <c r="AF206" s="548"/>
      <c r="AG206" s="548"/>
      <c r="AH206" s="549"/>
      <c r="AI206" s="550"/>
      <c r="AJ206" s="551" t="str">
        <f>'F.  Other Cap Asset Entries'!D220</f>
        <v>F.1</v>
      </c>
      <c r="AK206" s="552">
        <f>'F.  Other Cap Asset Entries'!M239</f>
        <v>0</v>
      </c>
      <c r="AL206" s="548"/>
      <c r="AM206" s="551" t="str">
        <f>'F.  Other Cap Asset Entries'!D242</f>
        <v>F.2</v>
      </c>
      <c r="AN206" s="552">
        <f>'F.  Other Cap Asset Entries'!O250</f>
        <v>0</v>
      </c>
      <c r="AO206" s="553"/>
      <c r="AP206" s="552"/>
      <c r="AQ206" s="548"/>
      <c r="AR206" s="551"/>
      <c r="AS206" s="554"/>
      <c r="AT206" s="525"/>
      <c r="AU206" s="526"/>
      <c r="AV206" s="552">
        <f t="shared" si="77"/>
        <v>0</v>
      </c>
      <c r="AW206" s="552">
        <f t="shared" si="78"/>
        <v>0</v>
      </c>
      <c r="AX206" s="577"/>
      <c r="AY206" s="554"/>
      <c r="AZ206" s="506"/>
      <c r="BA206" s="524"/>
    </row>
    <row r="207" spans="1:55" x14ac:dyDescent="0.2">
      <c r="A207" s="25"/>
      <c r="B207" s="268"/>
      <c r="C207" s="248"/>
      <c r="D207" s="542"/>
      <c r="E207" s="545"/>
      <c r="F207" s="544"/>
      <c r="G207" s="544"/>
      <c r="H207" s="544"/>
      <c r="I207" s="544"/>
      <c r="J207" s="544"/>
      <c r="K207" s="545"/>
      <c r="L207" s="544"/>
      <c r="M207" s="544"/>
      <c r="N207" s="544"/>
      <c r="O207" s="544"/>
      <c r="P207" s="546"/>
      <c r="Q207" s="546"/>
      <c r="R207" s="546"/>
      <c r="S207" s="546"/>
      <c r="T207" s="546"/>
      <c r="U207" s="546"/>
      <c r="V207" s="546"/>
      <c r="W207" s="546"/>
      <c r="X207" s="544"/>
      <c r="Y207" s="544"/>
      <c r="Z207" s="544"/>
      <c r="AA207" s="544"/>
      <c r="AB207" s="547">
        <f t="shared" si="81"/>
        <v>0</v>
      </c>
      <c r="AC207" s="548">
        <f t="shared" si="82"/>
        <v>0</v>
      </c>
      <c r="AD207" s="549">
        <f t="shared" ref="AD207:AD284" si="83">D207+F207+H207+J207+AB207</f>
        <v>0</v>
      </c>
      <c r="AE207" s="550">
        <f t="shared" ref="AE207:AE284" si="84">E207+G207+I207+K207+AC207</f>
        <v>0</v>
      </c>
      <c r="AF207" s="548"/>
      <c r="AG207" s="548"/>
      <c r="AH207" s="549"/>
      <c r="AI207" s="550"/>
      <c r="AJ207" s="566" t="str">
        <f>'I.  Other Asset Entries'!B108</f>
        <v>I.1</v>
      </c>
      <c r="AK207" s="552">
        <f>'I.  Other Asset Entries'!L109</f>
        <v>0</v>
      </c>
      <c r="AL207" s="548"/>
      <c r="AM207" s="551" t="s">
        <v>633</v>
      </c>
      <c r="AN207" s="552">
        <f>'F.  Other Cap Asset Entries'!O273</f>
        <v>0</v>
      </c>
      <c r="AO207" s="553"/>
      <c r="AP207" s="552"/>
      <c r="AQ207" s="548"/>
      <c r="AR207" s="551"/>
      <c r="AS207" s="554"/>
      <c r="AT207" s="525"/>
      <c r="AU207" s="526"/>
      <c r="AV207" s="552">
        <f t="shared" si="77"/>
        <v>0</v>
      </c>
      <c r="AW207" s="552">
        <f t="shared" si="78"/>
        <v>0</v>
      </c>
      <c r="AX207" s="577"/>
      <c r="AY207" s="554"/>
      <c r="AZ207" s="506"/>
      <c r="BA207" s="524"/>
    </row>
    <row r="208" spans="1:55" x14ac:dyDescent="0.2">
      <c r="A208" s="25"/>
      <c r="B208" s="268"/>
      <c r="C208" s="248"/>
      <c r="D208" s="542"/>
      <c r="E208" s="545"/>
      <c r="F208" s="544"/>
      <c r="G208" s="544"/>
      <c r="H208" s="544"/>
      <c r="I208" s="544"/>
      <c r="J208" s="544"/>
      <c r="K208" s="545"/>
      <c r="L208" s="544"/>
      <c r="M208" s="544"/>
      <c r="N208" s="544"/>
      <c r="O208" s="544"/>
      <c r="P208" s="546"/>
      <c r="Q208" s="546"/>
      <c r="R208" s="546"/>
      <c r="S208" s="546"/>
      <c r="T208" s="546"/>
      <c r="U208" s="546"/>
      <c r="V208" s="546"/>
      <c r="W208" s="546"/>
      <c r="X208" s="544"/>
      <c r="Y208" s="544"/>
      <c r="Z208" s="544"/>
      <c r="AA208" s="544"/>
      <c r="AB208" s="547">
        <f t="shared" si="81"/>
        <v>0</v>
      </c>
      <c r="AC208" s="548">
        <f t="shared" si="82"/>
        <v>0</v>
      </c>
      <c r="AD208" s="549">
        <f t="shared" si="83"/>
        <v>0</v>
      </c>
      <c r="AE208" s="550">
        <f t="shared" si="84"/>
        <v>0</v>
      </c>
      <c r="AF208" s="548"/>
      <c r="AG208" s="548"/>
      <c r="AH208" s="549"/>
      <c r="AI208" s="550"/>
      <c r="AJ208" s="566" t="str">
        <f>'I.  Other Asset Entries'!B108</f>
        <v>I.1</v>
      </c>
      <c r="AK208" s="552">
        <f>'I.  Other Asset Entries'!L122</f>
        <v>0</v>
      </c>
      <c r="AL208" s="548"/>
      <c r="AM208" s="566" t="str">
        <f>'I.  Other Asset Entries'!B108</f>
        <v>I.1</v>
      </c>
      <c r="AN208" s="552">
        <f>'I.  Other Asset Entries'!N122</f>
        <v>0</v>
      </c>
      <c r="AO208" s="553"/>
      <c r="AP208" s="552"/>
      <c r="AQ208" s="548"/>
      <c r="AR208" s="551"/>
      <c r="AS208" s="554"/>
      <c r="AT208" s="525"/>
      <c r="AU208" s="526"/>
      <c r="AV208" s="552">
        <f t="shared" si="77"/>
        <v>0</v>
      </c>
      <c r="AW208" s="552">
        <f t="shared" si="78"/>
        <v>0</v>
      </c>
      <c r="AX208" s="577"/>
      <c r="AY208" s="554"/>
      <c r="AZ208" s="506"/>
      <c r="BA208" s="524"/>
    </row>
    <row r="209" spans="1:55" x14ac:dyDescent="0.2">
      <c r="A209" s="25"/>
      <c r="B209" s="14"/>
      <c r="C209" s="336" t="s">
        <v>734</v>
      </c>
      <c r="D209" s="527"/>
      <c r="E209" s="528"/>
      <c r="F209" s="518"/>
      <c r="G209" s="518"/>
      <c r="H209" s="518"/>
      <c r="I209" s="518"/>
      <c r="J209" s="518"/>
      <c r="K209" s="519"/>
      <c r="L209" s="518"/>
      <c r="M209" s="518"/>
      <c r="N209" s="518"/>
      <c r="O209" s="518"/>
      <c r="P209" s="520"/>
      <c r="Q209" s="520"/>
      <c r="R209" s="520"/>
      <c r="S209" s="520"/>
      <c r="T209" s="520"/>
      <c r="U209" s="520"/>
      <c r="V209" s="520"/>
      <c r="W209" s="520"/>
      <c r="X209" s="518"/>
      <c r="Y209" s="518"/>
      <c r="Z209" s="518"/>
      <c r="AA209" s="518"/>
      <c r="AB209" s="531">
        <f t="shared" si="81"/>
        <v>0</v>
      </c>
      <c r="AC209" s="505">
        <f t="shared" si="82"/>
        <v>0</v>
      </c>
      <c r="AD209" s="508">
        <f t="shared" si="83"/>
        <v>0</v>
      </c>
      <c r="AE209" s="521">
        <f t="shared" si="84"/>
        <v>0</v>
      </c>
      <c r="AF209" s="505"/>
      <c r="AG209" s="505"/>
      <c r="AH209" s="508">
        <f>'A. Revenue by function'!L107</f>
        <v>0</v>
      </c>
      <c r="AI209" s="521"/>
      <c r="AO209" s="523"/>
      <c r="AP209" s="506"/>
      <c r="AQ209" s="505"/>
      <c r="AR209" s="522"/>
      <c r="AS209" s="524"/>
      <c r="AT209" s="525"/>
      <c r="AU209" s="526"/>
      <c r="AV209" s="467">
        <f>ROUND(AD209+AF209+AH209+AK209+AP209+AT209,0)</f>
        <v>0</v>
      </c>
      <c r="AW209" s="467">
        <f>ROUND(AE209+AG209+AI209+AN209+AS209+AU209,0)</f>
        <v>0</v>
      </c>
      <c r="AX209" s="575" t="str">
        <f t="shared" si="79"/>
        <v xml:space="preserve"> </v>
      </c>
      <c r="AY209" s="524">
        <f t="shared" si="80"/>
        <v>0</v>
      </c>
      <c r="AZ209" s="506"/>
      <c r="BA209" s="524"/>
    </row>
    <row r="210" spans="1:55" ht="12" customHeight="1" x14ac:dyDescent="0.2">
      <c r="A210" s="25"/>
      <c r="B210" s="14"/>
      <c r="C210" s="336" t="s">
        <v>735</v>
      </c>
      <c r="D210" s="527"/>
      <c r="E210" s="528"/>
      <c r="F210" s="518"/>
      <c r="G210" s="518"/>
      <c r="H210" s="518"/>
      <c r="I210" s="518"/>
      <c r="J210" s="518"/>
      <c r="K210" s="519"/>
      <c r="L210" s="518"/>
      <c r="M210" s="518"/>
      <c r="N210" s="518"/>
      <c r="O210" s="518"/>
      <c r="P210" s="520"/>
      <c r="Q210" s="520"/>
      <c r="R210" s="520"/>
      <c r="S210" s="520"/>
      <c r="T210" s="520"/>
      <c r="U210" s="520"/>
      <c r="V210" s="520"/>
      <c r="W210" s="520"/>
      <c r="X210" s="518"/>
      <c r="Y210" s="518"/>
      <c r="Z210" s="518"/>
      <c r="AA210" s="518"/>
      <c r="AB210" s="531">
        <f t="shared" si="81"/>
        <v>0</v>
      </c>
      <c r="AC210" s="505">
        <f t="shared" si="82"/>
        <v>0</v>
      </c>
      <c r="AD210" s="508">
        <f t="shared" si="83"/>
        <v>0</v>
      </c>
      <c r="AE210" s="521">
        <f t="shared" si="84"/>
        <v>0</v>
      </c>
      <c r="AF210" s="505"/>
      <c r="AG210" s="505"/>
      <c r="AH210" s="508">
        <f>'A. Revenue by function'!L108</f>
        <v>0</v>
      </c>
      <c r="AI210" s="521"/>
      <c r="AJ210" s="522"/>
      <c r="AK210" s="506"/>
      <c r="AL210" s="505"/>
      <c r="AM210" s="522"/>
      <c r="AN210" s="506"/>
      <c r="AO210" s="523"/>
      <c r="AP210" s="506"/>
      <c r="AQ210" s="505"/>
      <c r="AR210" s="522"/>
      <c r="AS210" s="524"/>
      <c r="AT210" s="525"/>
      <c r="AU210" s="526"/>
      <c r="AV210" s="467">
        <f>ROUND(AD210+AF210+AH210+AK210+AP210+AT210,0)</f>
        <v>0</v>
      </c>
      <c r="AW210" s="467">
        <f>ROUND(AE210+AG210+AI210+AN210+AS210+AU210,0)</f>
        <v>0</v>
      </c>
      <c r="AX210" s="575" t="str">
        <f t="shared" si="79"/>
        <v xml:space="preserve"> </v>
      </c>
      <c r="AY210" s="524">
        <f t="shared" si="80"/>
        <v>0</v>
      </c>
      <c r="AZ210" s="506"/>
      <c r="BA210" s="524"/>
    </row>
    <row r="211" spans="1:55" ht="12.75" customHeight="1" x14ac:dyDescent="0.2">
      <c r="A211" s="25"/>
      <c r="B211" s="14"/>
      <c r="C211" s="14"/>
      <c r="D211" s="527"/>
      <c r="E211" s="528"/>
      <c r="F211" s="518"/>
      <c r="G211" s="518"/>
      <c r="H211" s="518"/>
      <c r="I211" s="518"/>
      <c r="J211" s="518"/>
      <c r="K211" s="519"/>
      <c r="L211" s="518"/>
      <c r="M211" s="518"/>
      <c r="N211" s="518"/>
      <c r="O211" s="518"/>
      <c r="P211" s="520"/>
      <c r="Q211" s="520"/>
      <c r="R211" s="520"/>
      <c r="S211" s="520"/>
      <c r="T211" s="520"/>
      <c r="U211" s="520"/>
      <c r="V211" s="520"/>
      <c r="W211" s="520"/>
      <c r="X211" s="518"/>
      <c r="Y211" s="518"/>
      <c r="Z211" s="518"/>
      <c r="AA211" s="518"/>
      <c r="AB211" s="531">
        <f t="shared" si="81"/>
        <v>0</v>
      </c>
      <c r="AC211" s="505">
        <f t="shared" si="82"/>
        <v>0</v>
      </c>
      <c r="AD211" s="508">
        <f t="shared" si="83"/>
        <v>0</v>
      </c>
      <c r="AE211" s="521">
        <f t="shared" si="84"/>
        <v>0</v>
      </c>
      <c r="AF211" s="505"/>
      <c r="AG211" s="505"/>
      <c r="AH211" s="508"/>
      <c r="AI211" s="521"/>
      <c r="AJ211" s="522"/>
      <c r="AK211" s="506"/>
      <c r="AL211" s="505"/>
      <c r="AM211" s="522"/>
      <c r="AN211" s="506"/>
      <c r="AO211" s="523"/>
      <c r="AP211" s="506"/>
      <c r="AQ211" s="505"/>
      <c r="AR211" s="522"/>
      <c r="AS211" s="524"/>
      <c r="AT211" s="525"/>
      <c r="AU211" s="526"/>
      <c r="AV211" s="434"/>
      <c r="AW211" s="434"/>
      <c r="AX211" s="575"/>
      <c r="AY211" s="524"/>
      <c r="AZ211" s="506"/>
      <c r="BA211" s="524"/>
    </row>
    <row r="212" spans="1:55" x14ac:dyDescent="0.2">
      <c r="A212" s="25"/>
      <c r="B212" s="163" t="s">
        <v>920</v>
      </c>
      <c r="C212" s="14"/>
      <c r="D212" s="527"/>
      <c r="E212" s="528"/>
      <c r="F212" s="518"/>
      <c r="G212" s="518"/>
      <c r="H212" s="518"/>
      <c r="I212" s="518"/>
      <c r="J212" s="518"/>
      <c r="K212" s="519"/>
      <c r="L212" s="518"/>
      <c r="M212" s="518"/>
      <c r="N212" s="518"/>
      <c r="O212" s="518"/>
      <c r="P212" s="520"/>
      <c r="Q212" s="520"/>
      <c r="R212" s="520"/>
      <c r="S212" s="520"/>
      <c r="T212" s="520"/>
      <c r="U212" s="520"/>
      <c r="V212" s="520"/>
      <c r="W212" s="520"/>
      <c r="X212" s="518"/>
      <c r="Y212" s="518"/>
      <c r="Z212" s="518"/>
      <c r="AA212" s="518"/>
      <c r="AB212" s="531">
        <f t="shared" si="81"/>
        <v>0</v>
      </c>
      <c r="AC212" s="505">
        <f t="shared" si="82"/>
        <v>0</v>
      </c>
      <c r="AD212" s="508">
        <f t="shared" si="83"/>
        <v>0</v>
      </c>
      <c r="AE212" s="521">
        <f t="shared" si="84"/>
        <v>0</v>
      </c>
      <c r="AF212" s="505"/>
      <c r="AG212" s="505"/>
      <c r="AH212" s="508"/>
      <c r="AI212" s="521"/>
      <c r="AJ212" s="522"/>
      <c r="AK212" s="506"/>
      <c r="AL212" s="505"/>
      <c r="AM212" s="522"/>
      <c r="AN212" s="506"/>
      <c r="AO212" s="523"/>
      <c r="AP212" s="506"/>
      <c r="AQ212" s="505"/>
      <c r="AR212" s="522"/>
      <c r="AS212" s="524"/>
      <c r="AT212" s="525"/>
      <c r="AU212" s="526"/>
      <c r="AV212" s="434"/>
      <c r="AW212" s="434"/>
      <c r="AX212" s="575"/>
      <c r="AY212" s="524"/>
      <c r="AZ212" s="506"/>
      <c r="BA212" s="524"/>
    </row>
    <row r="213" spans="1:55" x14ac:dyDescent="0.2">
      <c r="A213" s="25"/>
      <c r="B213" s="1460" t="s">
        <v>972</v>
      </c>
      <c r="C213" s="14" t="s">
        <v>921</v>
      </c>
      <c r="D213" s="527"/>
      <c r="E213" s="528"/>
      <c r="F213" s="518"/>
      <c r="G213" s="518"/>
      <c r="H213" s="518"/>
      <c r="I213" s="518"/>
      <c r="J213" s="518"/>
      <c r="K213" s="519"/>
      <c r="L213" s="518"/>
      <c r="M213" s="518"/>
      <c r="N213" s="518"/>
      <c r="O213" s="518"/>
      <c r="P213" s="520"/>
      <c r="Q213" s="520"/>
      <c r="R213" s="520"/>
      <c r="S213" s="520"/>
      <c r="T213" s="520"/>
      <c r="U213" s="520"/>
      <c r="V213" s="520"/>
      <c r="W213" s="520"/>
      <c r="X213" s="518"/>
      <c r="Y213" s="518"/>
      <c r="Z213" s="518"/>
      <c r="AA213" s="518"/>
      <c r="AB213" s="531">
        <f t="shared" si="81"/>
        <v>0</v>
      </c>
      <c r="AC213" s="505">
        <f t="shared" si="82"/>
        <v>0</v>
      </c>
      <c r="AD213" s="508">
        <f t="shared" si="83"/>
        <v>0</v>
      </c>
      <c r="AE213" s="521">
        <f t="shared" si="84"/>
        <v>0</v>
      </c>
      <c r="AF213" s="505"/>
      <c r="AG213" s="505"/>
      <c r="AH213" s="508"/>
      <c r="AI213" s="521">
        <f>'A. Revenue by function'!N111</f>
        <v>0</v>
      </c>
      <c r="AJ213" s="522" t="str">
        <f>'C. Other Revenues'!B207</f>
        <v>C.1</v>
      </c>
      <c r="AK213" s="570">
        <f>'C. Other Revenues'!K217</f>
        <v>0</v>
      </c>
      <c r="AM213" s="522" t="str">
        <f>'C. Other Revenues'!B207</f>
        <v>C.1</v>
      </c>
      <c r="AN213" s="506">
        <f>'C. Other Revenues'!M217</f>
        <v>0</v>
      </c>
      <c r="AO213" s="523" t="str">
        <f>'L. Eliminations-Consolidations'!A215</f>
        <v>L.5</v>
      </c>
      <c r="AP213" s="506">
        <f>'L. Eliminations-Consolidations'!J215</f>
        <v>0</v>
      </c>
      <c r="AQ213" s="505"/>
      <c r="AR213" s="576" t="s">
        <v>646</v>
      </c>
      <c r="AS213" s="434">
        <f>'K.1  Int. Service Fd Allocation'!G199+'K.2  Int. Service Fd Alloca'!G194+'K.3 Int. Service Fd Alloca'!G198</f>
        <v>0</v>
      </c>
      <c r="AT213" s="557"/>
      <c r="AU213" s="526"/>
      <c r="AV213" s="467">
        <f>ROUND(AD213+AF213+AH213+AK213+AP213+AT213,0)</f>
        <v>0</v>
      </c>
      <c r="AW213" s="467">
        <f>ROUND(AE213+AG213+AI213+AN213+AS213+AU213,0)</f>
        <v>0</v>
      </c>
      <c r="AX213" s="575" t="str">
        <f t="shared" si="79"/>
        <v xml:space="preserve"> </v>
      </c>
      <c r="AY213" s="524">
        <f>IF(AV213-AW213&gt;0," ",AW213-AV213)</f>
        <v>0</v>
      </c>
      <c r="AZ213" s="506"/>
      <c r="BA213" s="524"/>
    </row>
    <row r="214" spans="1:55" x14ac:dyDescent="0.2">
      <c r="A214" s="25"/>
      <c r="B214" s="1460"/>
      <c r="C214" s="14" t="s">
        <v>1007</v>
      </c>
      <c r="D214" s="527"/>
      <c r="E214" s="528"/>
      <c r="F214" s="518"/>
      <c r="G214" s="518"/>
      <c r="H214" s="518"/>
      <c r="I214" s="518"/>
      <c r="J214" s="518"/>
      <c r="K214" s="519"/>
      <c r="L214" s="518"/>
      <c r="M214" s="518"/>
      <c r="N214" s="518"/>
      <c r="O214" s="518"/>
      <c r="P214" s="520"/>
      <c r="Q214" s="520"/>
      <c r="R214" s="520"/>
      <c r="S214" s="520"/>
      <c r="T214" s="520"/>
      <c r="U214" s="520"/>
      <c r="V214" s="520"/>
      <c r="W214" s="520"/>
      <c r="X214" s="518"/>
      <c r="Y214" s="518"/>
      <c r="Z214" s="518"/>
      <c r="AA214" s="518"/>
      <c r="AB214" s="531">
        <f t="shared" si="81"/>
        <v>0</v>
      </c>
      <c r="AC214" s="505">
        <f t="shared" si="82"/>
        <v>0</v>
      </c>
      <c r="AD214" s="508">
        <f t="shared" si="83"/>
        <v>0</v>
      </c>
      <c r="AE214" s="521">
        <f t="shared" si="84"/>
        <v>0</v>
      </c>
      <c r="AF214" s="505"/>
      <c r="AG214" s="505"/>
      <c r="AH214" s="508"/>
      <c r="AI214" s="521">
        <f>'A. Revenue by function'!N112</f>
        <v>0</v>
      </c>
      <c r="AJ214" s="522" t="str">
        <f>'C. Other Revenues'!B207</f>
        <v>C.1</v>
      </c>
      <c r="AK214" s="506">
        <f>'C. Other Revenues'!K227</f>
        <v>0</v>
      </c>
      <c r="AL214" s="505"/>
      <c r="AM214" s="522" t="str">
        <f>'C. Other Revenues'!B207</f>
        <v>C.1</v>
      </c>
      <c r="AN214" s="506">
        <f>'C. Other Revenues'!M227</f>
        <v>0</v>
      </c>
      <c r="AO214" s="523"/>
      <c r="AP214" s="506"/>
      <c r="AQ214" s="505"/>
      <c r="AR214" s="522" t="str">
        <f>'L. Eliminations-Consolidations'!A237</f>
        <v>L.7</v>
      </c>
      <c r="AS214" s="524">
        <f>'L. Eliminations-Consolidations'!L248</f>
        <v>0</v>
      </c>
      <c r="AT214" s="525"/>
      <c r="AU214" s="526"/>
      <c r="AV214" s="467">
        <f>ROUND(AD214+AF214+AH214+AK214+AP214+AT214,0)</f>
        <v>0</v>
      </c>
      <c r="AW214" s="467">
        <f>ROUND(AE214+AG214+AI214+AN214+AS214+AU214,0)</f>
        <v>0</v>
      </c>
      <c r="AX214" s="575" t="str">
        <f t="shared" si="79"/>
        <v xml:space="preserve"> </v>
      </c>
      <c r="AY214" s="524">
        <f t="shared" si="80"/>
        <v>0</v>
      </c>
      <c r="AZ214" s="506"/>
      <c r="BA214" s="524"/>
    </row>
    <row r="215" spans="1:55" ht="15.75" customHeight="1" x14ac:dyDescent="0.2">
      <c r="A215" s="25"/>
      <c r="B215" s="1460"/>
      <c r="C215" s="14" t="s">
        <v>1008</v>
      </c>
      <c r="D215" s="527"/>
      <c r="E215" s="528"/>
      <c r="F215" s="518"/>
      <c r="G215" s="518"/>
      <c r="H215" s="518"/>
      <c r="I215" s="518"/>
      <c r="J215" s="518"/>
      <c r="K215" s="519"/>
      <c r="L215" s="518"/>
      <c r="M215" s="518"/>
      <c r="N215" s="518"/>
      <c r="O215" s="518"/>
      <c r="P215" s="520"/>
      <c r="Q215" s="520"/>
      <c r="R215" s="520"/>
      <c r="S215" s="520"/>
      <c r="T215" s="520"/>
      <c r="U215" s="520"/>
      <c r="V215" s="520"/>
      <c r="W215" s="520"/>
      <c r="X215" s="518"/>
      <c r="Y215" s="518"/>
      <c r="Z215" s="518"/>
      <c r="AA215" s="518"/>
      <c r="AB215" s="531">
        <f t="shared" si="81"/>
        <v>0</v>
      </c>
      <c r="AC215" s="505">
        <f t="shared" si="82"/>
        <v>0</v>
      </c>
      <c r="AD215" s="508">
        <f t="shared" si="83"/>
        <v>0</v>
      </c>
      <c r="AE215" s="521">
        <f t="shared" si="84"/>
        <v>0</v>
      </c>
      <c r="AF215" s="505"/>
      <c r="AG215" s="505"/>
      <c r="AH215" s="508"/>
      <c r="AI215" s="521">
        <f>'A. Revenue by function'!N113</f>
        <v>0</v>
      </c>
      <c r="AJ215" s="522" t="str">
        <f>'C. Other Revenues'!B207</f>
        <v>C.1</v>
      </c>
      <c r="AK215" s="506">
        <f>'C. Other Revenues'!K237</f>
        <v>0</v>
      </c>
      <c r="AL215" s="505"/>
      <c r="AM215" s="522" t="str">
        <f>'C. Other Revenues'!B207</f>
        <v>C.1</v>
      </c>
      <c r="AN215" s="506">
        <f>'C. Other Revenues'!M237</f>
        <v>0</v>
      </c>
      <c r="AO215" s="523"/>
      <c r="AP215" s="506"/>
      <c r="AQ215" s="505"/>
      <c r="AR215" s="522" t="str">
        <f>'L. Eliminations-Consolidations'!A237</f>
        <v>L.7</v>
      </c>
      <c r="AS215" s="524">
        <f>'L. Eliminations-Consolidations'!L257</f>
        <v>0</v>
      </c>
      <c r="AT215" s="525"/>
      <c r="AU215" s="526"/>
      <c r="AV215" s="467">
        <f>ROUND(AD215+AF215+AH215+AK215+AP215+AT215,0)</f>
        <v>0</v>
      </c>
      <c r="AW215" s="467">
        <f>ROUND(AE215+AG215+AI215+AN215+AS215+AU215,0)</f>
        <v>0</v>
      </c>
      <c r="AX215" s="575" t="str">
        <f t="shared" si="79"/>
        <v xml:space="preserve"> </v>
      </c>
      <c r="AY215" s="524">
        <f t="shared" si="80"/>
        <v>0</v>
      </c>
      <c r="AZ215" s="506"/>
      <c r="BA215" s="524"/>
    </row>
    <row r="216" spans="1:55" x14ac:dyDescent="0.2">
      <c r="A216" s="25"/>
      <c r="B216" s="14"/>
      <c r="C216" s="14"/>
      <c r="D216" s="527"/>
      <c r="E216" s="528"/>
      <c r="F216" s="518"/>
      <c r="G216" s="518"/>
      <c r="H216" s="518"/>
      <c r="I216" s="518"/>
      <c r="J216" s="518"/>
      <c r="K216" s="519"/>
      <c r="L216" s="518"/>
      <c r="M216" s="518"/>
      <c r="N216" s="518"/>
      <c r="O216" s="518"/>
      <c r="P216" s="520"/>
      <c r="Q216" s="520"/>
      <c r="R216" s="520"/>
      <c r="S216" s="520"/>
      <c r="T216" s="520"/>
      <c r="U216" s="520"/>
      <c r="V216" s="520"/>
      <c r="W216" s="520"/>
      <c r="X216" s="518"/>
      <c r="Y216" s="518"/>
      <c r="Z216" s="518"/>
      <c r="AA216" s="518"/>
      <c r="AB216" s="531">
        <f t="shared" si="81"/>
        <v>0</v>
      </c>
      <c r="AC216" s="505">
        <f t="shared" si="82"/>
        <v>0</v>
      </c>
      <c r="AD216" s="508">
        <f t="shared" si="83"/>
        <v>0</v>
      </c>
      <c r="AE216" s="521">
        <f t="shared" si="84"/>
        <v>0</v>
      </c>
      <c r="AF216" s="505"/>
      <c r="AG216" s="505"/>
      <c r="AH216" s="508"/>
      <c r="AI216" s="521"/>
      <c r="AJ216" s="522"/>
      <c r="AK216" s="506"/>
      <c r="AL216" s="505"/>
      <c r="AO216" s="523"/>
      <c r="AP216" s="506"/>
      <c r="AQ216" s="505"/>
      <c r="AR216" s="522"/>
      <c r="AS216" s="524"/>
      <c r="AT216" s="525"/>
      <c r="AU216" s="526"/>
      <c r="AV216" s="434"/>
      <c r="AW216" s="434"/>
      <c r="AX216" s="575" t="str">
        <f t="shared" si="79"/>
        <v xml:space="preserve"> </v>
      </c>
      <c r="AY216" s="524"/>
      <c r="AZ216" s="506"/>
      <c r="BA216" s="524"/>
    </row>
    <row r="217" spans="1:55" x14ac:dyDescent="0.2">
      <c r="A217" s="25"/>
      <c r="B217" s="163" t="s">
        <v>1009</v>
      </c>
      <c r="C217" s="14"/>
      <c r="D217" s="527"/>
      <c r="E217" s="528"/>
      <c r="F217" s="518"/>
      <c r="G217" s="518"/>
      <c r="H217" s="518"/>
      <c r="I217" s="518"/>
      <c r="J217" s="518"/>
      <c r="K217" s="519"/>
      <c r="L217" s="518"/>
      <c r="M217" s="518"/>
      <c r="N217" s="518"/>
      <c r="O217" s="518"/>
      <c r="P217" s="520"/>
      <c r="Q217" s="520"/>
      <c r="R217" s="520"/>
      <c r="S217" s="520"/>
      <c r="T217" s="520"/>
      <c r="U217" s="520"/>
      <c r="V217" s="520"/>
      <c r="W217" s="520"/>
      <c r="X217" s="518"/>
      <c r="Y217" s="518"/>
      <c r="Z217" s="518"/>
      <c r="AA217" s="518"/>
      <c r="AB217" s="531">
        <f t="shared" si="81"/>
        <v>0</v>
      </c>
      <c r="AC217" s="505">
        <f t="shared" si="82"/>
        <v>0</v>
      </c>
      <c r="AD217" s="508">
        <f t="shared" si="83"/>
        <v>0</v>
      </c>
      <c r="AE217" s="521">
        <f t="shared" si="84"/>
        <v>0</v>
      </c>
      <c r="AF217" s="505"/>
      <c r="AG217" s="505"/>
      <c r="AH217" s="508"/>
      <c r="AI217" s="521"/>
      <c r="AO217" s="523"/>
      <c r="AP217" s="506"/>
      <c r="AQ217" s="505"/>
      <c r="AR217" s="522"/>
      <c r="AS217" s="524"/>
      <c r="AT217" s="525"/>
      <c r="AU217" s="526"/>
      <c r="AV217" s="434"/>
      <c r="AW217" s="434"/>
      <c r="AX217" s="575" t="str">
        <f t="shared" si="79"/>
        <v xml:space="preserve"> </v>
      </c>
      <c r="AY217" s="524"/>
      <c r="AZ217" s="506"/>
      <c r="BA217" s="524"/>
    </row>
    <row r="218" spans="1:55" x14ac:dyDescent="0.2">
      <c r="A218" s="25"/>
      <c r="B218" s="1460" t="s">
        <v>972</v>
      </c>
      <c r="C218" s="14" t="s">
        <v>921</v>
      </c>
      <c r="D218" s="527"/>
      <c r="E218" s="528"/>
      <c r="F218" s="518"/>
      <c r="G218" s="518"/>
      <c r="H218" s="518"/>
      <c r="I218" s="518"/>
      <c r="J218" s="518"/>
      <c r="K218" s="579"/>
      <c r="L218" s="580"/>
      <c r="M218" s="580"/>
      <c r="N218" s="518"/>
      <c r="O218" s="518"/>
      <c r="P218" s="520"/>
      <c r="Q218" s="520"/>
      <c r="R218" s="520"/>
      <c r="S218" s="520"/>
      <c r="T218" s="520"/>
      <c r="U218" s="520"/>
      <c r="V218" s="520"/>
      <c r="W218" s="520"/>
      <c r="X218" s="518"/>
      <c r="Y218" s="518"/>
      <c r="Z218" s="518"/>
      <c r="AA218" s="518"/>
      <c r="AB218" s="531">
        <f t="shared" si="81"/>
        <v>0</v>
      </c>
      <c r="AC218" s="505">
        <f t="shared" si="82"/>
        <v>0</v>
      </c>
      <c r="AD218" s="508">
        <f t="shared" si="83"/>
        <v>0</v>
      </c>
      <c r="AE218" s="521">
        <f t="shared" si="84"/>
        <v>0</v>
      </c>
      <c r="AF218" s="505"/>
      <c r="AG218" s="505"/>
      <c r="AH218" s="508"/>
      <c r="AI218" s="521">
        <f>'A. Revenue by function'!N114</f>
        <v>0</v>
      </c>
      <c r="AJ218" s="522" t="str">
        <f>'C. Other Revenues'!B207</f>
        <v>C.1</v>
      </c>
      <c r="AK218" s="506">
        <f>'C. Other Revenues'!K218</f>
        <v>0</v>
      </c>
      <c r="AL218" s="505"/>
      <c r="AM218" s="522" t="str">
        <f>'C. Other Revenues'!B207</f>
        <v>C.1</v>
      </c>
      <c r="AN218" s="506">
        <f>'C. Other Revenues'!M218</f>
        <v>0</v>
      </c>
      <c r="AO218" s="523"/>
      <c r="AP218" s="506"/>
      <c r="AQ218" s="505"/>
      <c r="AR218" s="522"/>
      <c r="AS218" s="524"/>
      <c r="AT218" s="525"/>
      <c r="AU218" s="526"/>
      <c r="AV218" s="467">
        <f>ROUND(AD218+AF218+AH218+AK218+AP218+AT218,0)</f>
        <v>0</v>
      </c>
      <c r="AW218" s="467">
        <f>ROUND(AE218+AG218+AI218+AN218+AS218+AU218,0)</f>
        <v>0</v>
      </c>
      <c r="AX218" s="575" t="str">
        <f t="shared" si="79"/>
        <v xml:space="preserve"> </v>
      </c>
      <c r="AY218" s="524">
        <f t="shared" si="80"/>
        <v>0</v>
      </c>
      <c r="AZ218" s="506"/>
      <c r="BA218" s="524"/>
    </row>
    <row r="219" spans="1:55" x14ac:dyDescent="0.2">
      <c r="A219" s="25"/>
      <c r="B219" s="1460"/>
      <c r="C219" s="14" t="s">
        <v>1007</v>
      </c>
      <c r="D219" s="527"/>
      <c r="E219" s="528"/>
      <c r="F219" s="518"/>
      <c r="G219" s="518"/>
      <c r="H219" s="518"/>
      <c r="I219" s="518"/>
      <c r="J219" s="518"/>
      <c r="K219" s="579"/>
      <c r="L219" s="580"/>
      <c r="M219" s="580"/>
      <c r="N219" s="518"/>
      <c r="O219" s="518"/>
      <c r="P219" s="520"/>
      <c r="Q219" s="520"/>
      <c r="R219" s="520"/>
      <c r="S219" s="520"/>
      <c r="T219" s="520"/>
      <c r="U219" s="520"/>
      <c r="V219" s="520"/>
      <c r="W219" s="520"/>
      <c r="X219" s="518"/>
      <c r="Y219" s="518"/>
      <c r="Z219" s="518"/>
      <c r="AA219" s="518"/>
      <c r="AB219" s="531">
        <f t="shared" si="81"/>
        <v>0</v>
      </c>
      <c r="AC219" s="505">
        <f t="shared" si="82"/>
        <v>0</v>
      </c>
      <c r="AD219" s="508">
        <f t="shared" si="83"/>
        <v>0</v>
      </c>
      <c r="AE219" s="521">
        <f t="shared" si="84"/>
        <v>0</v>
      </c>
      <c r="AF219" s="505"/>
      <c r="AG219" s="505"/>
      <c r="AH219" s="508"/>
      <c r="AI219" s="521">
        <f>'A. Revenue by function'!N115</f>
        <v>0</v>
      </c>
      <c r="AJ219" s="522" t="str">
        <f>'C. Other Revenues'!B207</f>
        <v>C.1</v>
      </c>
      <c r="AK219" s="506">
        <f>'C. Other Revenues'!K228</f>
        <v>0</v>
      </c>
      <c r="AL219" s="505"/>
      <c r="AM219" s="522" t="str">
        <f>'C. Other Revenues'!B207</f>
        <v>C.1</v>
      </c>
      <c r="AN219" s="506">
        <f>'C. Other Revenues'!M228</f>
        <v>0</v>
      </c>
      <c r="AO219" s="523"/>
      <c r="AP219" s="506"/>
      <c r="AQ219" s="505"/>
      <c r="AR219" s="522" t="str">
        <f>'L. Eliminations-Consolidations'!A237</f>
        <v>L.7</v>
      </c>
      <c r="AS219" s="524">
        <f>'L. Eliminations-Consolidations'!L249</f>
        <v>0</v>
      </c>
      <c r="AT219" s="525"/>
      <c r="AU219" s="526"/>
      <c r="AV219" s="467">
        <f>ROUND(AD219+AF219+AH219+AK219+AP219+AT219,0)</f>
        <v>0</v>
      </c>
      <c r="AW219" s="467">
        <f>ROUND(AE219+AG219+AI219+AN219+AS219+AU219,0)</f>
        <v>0</v>
      </c>
      <c r="AX219" s="575" t="str">
        <f>IF(AV219+AV220-AW219-AW220&lt;=0," ",AV219+AV220-AW219-AW220)</f>
        <v xml:space="preserve"> </v>
      </c>
      <c r="AY219" s="524">
        <f>IF(AV219+AV220-AW219-AW220&gt;0," ",AW219+AW220-AV219-AV220)</f>
        <v>360</v>
      </c>
      <c r="AZ219" s="506"/>
      <c r="BA219" s="524"/>
    </row>
    <row r="220" spans="1:55" s="695" customFormat="1" x14ac:dyDescent="0.2">
      <c r="A220" s="25"/>
      <c r="B220" s="1460"/>
      <c r="C220" s="14"/>
      <c r="D220" s="527"/>
      <c r="E220" s="528"/>
      <c r="F220" s="518"/>
      <c r="G220" s="518"/>
      <c r="H220" s="518"/>
      <c r="I220" s="518"/>
      <c r="J220" s="518"/>
      <c r="K220" s="579"/>
      <c r="L220" s="580"/>
      <c r="M220" s="580"/>
      <c r="N220" s="518"/>
      <c r="O220" s="518"/>
      <c r="P220" s="520"/>
      <c r="Q220" s="520"/>
      <c r="R220" s="520"/>
      <c r="S220" s="520"/>
      <c r="T220" s="520"/>
      <c r="U220" s="520"/>
      <c r="V220" s="520"/>
      <c r="W220" s="520"/>
      <c r="X220" s="518"/>
      <c r="Y220" s="518"/>
      <c r="Z220" s="518"/>
      <c r="AA220" s="518"/>
      <c r="AB220" s="531"/>
      <c r="AC220" s="505"/>
      <c r="AD220" s="508"/>
      <c r="AE220" s="521"/>
      <c r="AF220" s="505"/>
      <c r="AG220" s="505"/>
      <c r="AH220" s="508"/>
      <c r="AI220" s="521"/>
      <c r="AJ220" s="522" t="s">
        <v>2076</v>
      </c>
      <c r="AK220" s="506">
        <f>'N.3 GASB 68 FRSWPF'!C28</f>
        <v>0</v>
      </c>
      <c r="AL220" s="505"/>
      <c r="AM220" s="522" t="s">
        <v>2076</v>
      </c>
      <c r="AN220" s="506">
        <f>'N.3 GASB 68 FRSWPF'!D28</f>
        <v>360</v>
      </c>
      <c r="AO220" s="523"/>
      <c r="AP220" s="506"/>
      <c r="AQ220" s="505"/>
      <c r="AR220" s="522"/>
      <c r="AS220" s="524"/>
      <c r="AT220" s="525"/>
      <c r="AU220" s="526"/>
      <c r="AV220" s="467">
        <f>ROUND(AD220+AF220+AH220+AK220+AP220+AT220,0)</f>
        <v>0</v>
      </c>
      <c r="AW220" s="467">
        <f>ROUND(AE220+AG220+AI220+AN220+AS220+AU220,0)</f>
        <v>360</v>
      </c>
      <c r="AX220" s="575"/>
      <c r="AY220" s="524"/>
      <c r="AZ220" s="506"/>
      <c r="BA220" s="524"/>
      <c r="BB220" s="1045"/>
      <c r="BC220" s="1045"/>
    </row>
    <row r="221" spans="1:55" ht="15" customHeight="1" x14ac:dyDescent="0.2">
      <c r="A221" s="25"/>
      <c r="B221" s="1460"/>
      <c r="C221" s="14" t="s">
        <v>1008</v>
      </c>
      <c r="D221" s="527"/>
      <c r="E221" s="528"/>
      <c r="F221" s="518"/>
      <c r="G221" s="518"/>
      <c r="H221" s="518"/>
      <c r="I221" s="518"/>
      <c r="J221" s="518"/>
      <c r="K221" s="579"/>
      <c r="L221" s="580"/>
      <c r="M221" s="580"/>
      <c r="N221" s="518"/>
      <c r="O221" s="518"/>
      <c r="P221" s="520"/>
      <c r="Q221" s="520"/>
      <c r="R221" s="520"/>
      <c r="S221" s="520"/>
      <c r="T221" s="520"/>
      <c r="U221" s="520"/>
      <c r="V221" s="520"/>
      <c r="W221" s="520"/>
      <c r="X221" s="518"/>
      <c r="Y221" s="518"/>
      <c r="Z221" s="518"/>
      <c r="AA221" s="518"/>
      <c r="AB221" s="531">
        <f t="shared" si="81"/>
        <v>0</v>
      </c>
      <c r="AC221" s="505">
        <f t="shared" si="82"/>
        <v>0</v>
      </c>
      <c r="AD221" s="508">
        <f t="shared" si="83"/>
        <v>0</v>
      </c>
      <c r="AE221" s="521">
        <f t="shared" si="84"/>
        <v>0</v>
      </c>
      <c r="AF221" s="505"/>
      <c r="AG221" s="505"/>
      <c r="AH221" s="508"/>
      <c r="AI221" s="521">
        <f>'A. Revenue by function'!N116</f>
        <v>0</v>
      </c>
      <c r="AJ221" s="522" t="str">
        <f>'C. Other Revenues'!B207</f>
        <v>C.1</v>
      </c>
      <c r="AK221" s="506">
        <f>'C. Other Revenues'!K238</f>
        <v>0</v>
      </c>
      <c r="AL221" s="505"/>
      <c r="AM221" s="522" t="str">
        <f>'C. Other Revenues'!B207</f>
        <v>C.1</v>
      </c>
      <c r="AN221" s="506">
        <f>'C. Other Revenues'!M238</f>
        <v>0</v>
      </c>
      <c r="AO221" s="523"/>
      <c r="AP221" s="506"/>
      <c r="AQ221" s="505"/>
      <c r="AR221" s="522" t="str">
        <f>'L. Eliminations-Consolidations'!A237</f>
        <v>L.7</v>
      </c>
      <c r="AS221" s="524">
        <f>'L. Eliminations-Consolidations'!L258</f>
        <v>0</v>
      </c>
      <c r="AT221" s="525"/>
      <c r="AU221" s="526"/>
      <c r="AV221" s="467">
        <f>ROUND(AD221+AF221+AH221+AK221+AP221+AT221,0)</f>
        <v>0</v>
      </c>
      <c r="AW221" s="467">
        <f>ROUND(AE221+AG221+AI221+AN221+AS221+AU221,0)</f>
        <v>0</v>
      </c>
      <c r="AX221" s="575" t="str">
        <f t="shared" si="79"/>
        <v xml:space="preserve"> </v>
      </c>
      <c r="AY221" s="524">
        <f t="shared" si="80"/>
        <v>0</v>
      </c>
      <c r="AZ221" s="506"/>
      <c r="BA221" s="524"/>
    </row>
    <row r="222" spans="1:55" x14ac:dyDescent="0.2">
      <c r="A222" s="25"/>
      <c r="B222" s="14"/>
      <c r="C222" s="14"/>
      <c r="D222" s="527"/>
      <c r="E222" s="528"/>
      <c r="F222" s="518"/>
      <c r="G222" s="518"/>
      <c r="H222" s="518"/>
      <c r="I222" s="518"/>
      <c r="J222" s="518"/>
      <c r="K222" s="519"/>
      <c r="L222" s="518"/>
      <c r="M222" s="518"/>
      <c r="N222" s="518"/>
      <c r="O222" s="518"/>
      <c r="P222" s="520"/>
      <c r="Q222" s="520"/>
      <c r="R222" s="520"/>
      <c r="S222" s="520"/>
      <c r="T222" s="520"/>
      <c r="U222" s="520"/>
      <c r="V222" s="520"/>
      <c r="W222" s="520"/>
      <c r="X222" s="518"/>
      <c r="Y222" s="518"/>
      <c r="Z222" s="518"/>
      <c r="AA222" s="518"/>
      <c r="AB222" s="531">
        <f t="shared" si="81"/>
        <v>0</v>
      </c>
      <c r="AC222" s="505">
        <f t="shared" si="82"/>
        <v>0</v>
      </c>
      <c r="AD222" s="508">
        <f t="shared" si="83"/>
        <v>0</v>
      </c>
      <c r="AE222" s="521">
        <f t="shared" si="84"/>
        <v>0</v>
      </c>
      <c r="AF222" s="505"/>
      <c r="AG222" s="505"/>
      <c r="AH222" s="508"/>
      <c r="AI222" s="521"/>
      <c r="AJ222" s="522"/>
      <c r="AK222" s="506"/>
      <c r="AL222" s="505"/>
      <c r="AO222" s="523"/>
      <c r="AP222" s="506"/>
      <c r="AQ222" s="505"/>
      <c r="AR222" s="522"/>
      <c r="AS222" s="524"/>
      <c r="AT222" s="525"/>
      <c r="AU222" s="526"/>
      <c r="AV222" s="434"/>
      <c r="AW222" s="434"/>
      <c r="AX222" s="575" t="str">
        <f t="shared" si="79"/>
        <v xml:space="preserve"> </v>
      </c>
      <c r="AY222" s="524"/>
      <c r="AZ222" s="506"/>
      <c r="BA222" s="524"/>
    </row>
    <row r="223" spans="1:55" x14ac:dyDescent="0.2">
      <c r="A223" s="25"/>
      <c r="B223" s="163" t="s">
        <v>1010</v>
      </c>
      <c r="C223" s="14"/>
      <c r="D223" s="527"/>
      <c r="E223" s="528"/>
      <c r="F223" s="518"/>
      <c r="G223" s="518"/>
      <c r="H223" s="518"/>
      <c r="I223" s="518"/>
      <c r="J223" s="518"/>
      <c r="K223" s="519"/>
      <c r="L223" s="518"/>
      <c r="M223" s="518"/>
      <c r="N223" s="518"/>
      <c r="O223" s="518"/>
      <c r="P223" s="520"/>
      <c r="Q223" s="520"/>
      <c r="R223" s="520"/>
      <c r="S223" s="520"/>
      <c r="T223" s="520"/>
      <c r="U223" s="520"/>
      <c r="V223" s="520"/>
      <c r="W223" s="520"/>
      <c r="X223" s="518"/>
      <c r="Y223" s="518"/>
      <c r="Z223" s="518"/>
      <c r="AA223" s="518"/>
      <c r="AB223" s="531">
        <f t="shared" si="81"/>
        <v>0</v>
      </c>
      <c r="AC223" s="505">
        <f t="shared" si="82"/>
        <v>0</v>
      </c>
      <c r="AD223" s="508">
        <f t="shared" si="83"/>
        <v>0</v>
      </c>
      <c r="AE223" s="521">
        <f t="shared" si="84"/>
        <v>0</v>
      </c>
      <c r="AF223" s="505"/>
      <c r="AG223" s="505"/>
      <c r="AH223" s="508"/>
      <c r="AI223" s="521"/>
      <c r="AJ223" s="522"/>
      <c r="AK223" s="506"/>
      <c r="AL223" s="505"/>
      <c r="AM223" s="522"/>
      <c r="AN223" s="506"/>
      <c r="AO223" s="523"/>
      <c r="AP223" s="506"/>
      <c r="AQ223" s="505"/>
      <c r="AR223" s="522"/>
      <c r="AS223" s="524"/>
      <c r="AT223" s="525"/>
      <c r="AU223" s="526"/>
      <c r="AV223" s="434"/>
      <c r="AW223" s="434"/>
      <c r="AX223" s="575" t="str">
        <f t="shared" si="79"/>
        <v xml:space="preserve"> </v>
      </c>
      <c r="AY223" s="524"/>
      <c r="AZ223" s="506"/>
      <c r="BA223" s="524"/>
    </row>
    <row r="224" spans="1:55" x14ac:dyDescent="0.2">
      <c r="A224" s="25"/>
      <c r="B224" s="1460" t="s">
        <v>972</v>
      </c>
      <c r="C224" s="14" t="s">
        <v>921</v>
      </c>
      <c r="D224" s="527"/>
      <c r="E224" s="528"/>
      <c r="F224" s="518"/>
      <c r="G224" s="518"/>
      <c r="H224" s="518"/>
      <c r="I224" s="518"/>
      <c r="J224" s="518"/>
      <c r="K224" s="519"/>
      <c r="L224" s="518"/>
      <c r="M224" s="518"/>
      <c r="N224" s="518"/>
      <c r="O224" s="518"/>
      <c r="P224" s="520"/>
      <c r="Q224" s="520"/>
      <c r="R224" s="520"/>
      <c r="S224" s="520"/>
      <c r="T224" s="520"/>
      <c r="U224" s="520"/>
      <c r="V224" s="520"/>
      <c r="W224" s="520"/>
      <c r="X224" s="518"/>
      <c r="Y224" s="518"/>
      <c r="Z224" s="518"/>
      <c r="AA224" s="518"/>
      <c r="AB224" s="531">
        <f t="shared" si="81"/>
        <v>0</v>
      </c>
      <c r="AC224" s="505">
        <f t="shared" si="82"/>
        <v>0</v>
      </c>
      <c r="AD224" s="508">
        <f t="shared" si="83"/>
        <v>0</v>
      </c>
      <c r="AE224" s="521">
        <f t="shared" si="84"/>
        <v>0</v>
      </c>
      <c r="AF224" s="505"/>
      <c r="AG224" s="505"/>
      <c r="AH224" s="508"/>
      <c r="AI224" s="521">
        <f>'A. Revenue by function'!N117</f>
        <v>0</v>
      </c>
      <c r="AJ224" s="522" t="str">
        <f>'C. Other Revenues'!B207</f>
        <v>C.1</v>
      </c>
      <c r="AK224" s="506">
        <f>'C. Other Revenues'!K219</f>
        <v>0</v>
      </c>
      <c r="AL224" s="505"/>
      <c r="AM224" s="522" t="str">
        <f>'C. Other Revenues'!B207</f>
        <v>C.1</v>
      </c>
      <c r="AN224" s="506">
        <f>'C. Other Revenues'!M219</f>
        <v>0</v>
      </c>
      <c r="AO224" s="523" t="str">
        <f>'L. Eliminations-Consolidations'!A215</f>
        <v>L.5</v>
      </c>
      <c r="AP224" s="506">
        <f>'L. Eliminations-Consolidations'!J216</f>
        <v>0</v>
      </c>
      <c r="AQ224" s="505"/>
      <c r="AR224" s="522"/>
      <c r="AS224" s="524"/>
      <c r="AT224" s="525"/>
      <c r="AU224" s="526"/>
      <c r="AV224" s="467">
        <f>ROUND(AD224+AF224+AH224+AK224+AP224+AT224,0)</f>
        <v>0</v>
      </c>
      <c r="AW224" s="467">
        <f>ROUND(AE224+AG224+AI224+AN224+AS224+AU224,0)</f>
        <v>0</v>
      </c>
      <c r="AX224" s="575" t="str">
        <f t="shared" si="79"/>
        <v xml:space="preserve"> </v>
      </c>
      <c r="AY224" s="524">
        <f t="shared" si="80"/>
        <v>0</v>
      </c>
      <c r="AZ224" s="506"/>
      <c r="BA224" s="524"/>
    </row>
    <row r="225" spans="1:53" x14ac:dyDescent="0.2">
      <c r="A225" s="25"/>
      <c r="B225" s="1460"/>
      <c r="C225" s="14" t="s">
        <v>1007</v>
      </c>
      <c r="D225" s="527"/>
      <c r="E225" s="528"/>
      <c r="F225" s="518"/>
      <c r="G225" s="518"/>
      <c r="H225" s="518"/>
      <c r="I225" s="518"/>
      <c r="J225" s="518"/>
      <c r="K225" s="519"/>
      <c r="L225" s="518"/>
      <c r="M225" s="518"/>
      <c r="N225" s="518"/>
      <c r="O225" s="518"/>
      <c r="P225" s="520"/>
      <c r="Q225" s="520"/>
      <c r="R225" s="520"/>
      <c r="S225" s="520"/>
      <c r="T225" s="520"/>
      <c r="U225" s="520"/>
      <c r="V225" s="520"/>
      <c r="W225" s="520"/>
      <c r="X225" s="518"/>
      <c r="Y225" s="518"/>
      <c r="Z225" s="518"/>
      <c r="AA225" s="518"/>
      <c r="AB225" s="531">
        <f t="shared" si="81"/>
        <v>0</v>
      </c>
      <c r="AC225" s="505">
        <f t="shared" si="82"/>
        <v>0</v>
      </c>
      <c r="AD225" s="508">
        <f t="shared" si="83"/>
        <v>0</v>
      </c>
      <c r="AE225" s="521">
        <f t="shared" si="84"/>
        <v>0</v>
      </c>
      <c r="AF225" s="505"/>
      <c r="AG225" s="505"/>
      <c r="AH225" s="508"/>
      <c r="AI225" s="521">
        <f>'A. Revenue by function'!N118</f>
        <v>0</v>
      </c>
      <c r="AJ225" s="522" t="str">
        <f>'C. Other Revenues'!B207</f>
        <v>C.1</v>
      </c>
      <c r="AK225" s="506">
        <f>'C. Other Revenues'!K229</f>
        <v>0</v>
      </c>
      <c r="AL225" s="505"/>
      <c r="AM225" s="522" t="str">
        <f>'C. Other Revenues'!B207</f>
        <v>C.1</v>
      </c>
      <c r="AN225" s="506">
        <f>'C. Other Revenues'!M229</f>
        <v>0</v>
      </c>
      <c r="AO225" s="523"/>
      <c r="AP225" s="506"/>
      <c r="AQ225" s="505"/>
      <c r="AR225" s="522" t="str">
        <f>'L. Eliminations-Consolidations'!A237</f>
        <v>L.7</v>
      </c>
      <c r="AS225" s="524">
        <f>'L. Eliminations-Consolidations'!L250</f>
        <v>0</v>
      </c>
      <c r="AT225" s="525"/>
      <c r="AU225" s="526"/>
      <c r="AV225" s="467">
        <f>ROUND(AD225+AF225+AH225+AK225+AP225+AT225,0)</f>
        <v>0</v>
      </c>
      <c r="AW225" s="467">
        <f>ROUND(AE225+AG225+AI225+AN225+AS225+AU225,0)</f>
        <v>0</v>
      </c>
      <c r="AX225" s="575" t="str">
        <f t="shared" si="79"/>
        <v xml:space="preserve"> </v>
      </c>
      <c r="AY225" s="524">
        <f t="shared" si="80"/>
        <v>0</v>
      </c>
      <c r="AZ225" s="506"/>
      <c r="BA225" s="524"/>
    </row>
    <row r="226" spans="1:53" ht="15" customHeight="1" x14ac:dyDescent="0.2">
      <c r="A226" s="25"/>
      <c r="B226" s="1460"/>
      <c r="C226" s="14" t="s">
        <v>1008</v>
      </c>
      <c r="D226" s="527"/>
      <c r="E226" s="528"/>
      <c r="F226" s="518"/>
      <c r="G226" s="518"/>
      <c r="H226" s="518"/>
      <c r="I226" s="518"/>
      <c r="J226" s="518"/>
      <c r="K226" s="519"/>
      <c r="L226" s="518"/>
      <c r="M226" s="518"/>
      <c r="N226" s="518"/>
      <c r="O226" s="518"/>
      <c r="P226" s="520"/>
      <c r="Q226" s="520"/>
      <c r="R226" s="520"/>
      <c r="S226" s="520"/>
      <c r="T226" s="520"/>
      <c r="U226" s="520"/>
      <c r="V226" s="520"/>
      <c r="W226" s="520"/>
      <c r="X226" s="518"/>
      <c r="Y226" s="518"/>
      <c r="Z226" s="518"/>
      <c r="AA226" s="518"/>
      <c r="AB226" s="531">
        <f t="shared" si="81"/>
        <v>0</v>
      </c>
      <c r="AC226" s="505">
        <f t="shared" si="82"/>
        <v>0</v>
      </c>
      <c r="AD226" s="508">
        <f t="shared" si="83"/>
        <v>0</v>
      </c>
      <c r="AE226" s="521">
        <f t="shared" si="84"/>
        <v>0</v>
      </c>
      <c r="AF226" s="505"/>
      <c r="AG226" s="505"/>
      <c r="AH226" s="508"/>
      <c r="AI226" s="521">
        <f>'A. Revenue by function'!N119</f>
        <v>0</v>
      </c>
      <c r="AJ226" s="522" t="str">
        <f>'C. Other Revenues'!B207</f>
        <v>C.1</v>
      </c>
      <c r="AK226" s="506">
        <f>'C. Other Revenues'!K239</f>
        <v>0</v>
      </c>
      <c r="AL226" s="505"/>
      <c r="AM226" s="522" t="str">
        <f>'C. Other Revenues'!B207</f>
        <v>C.1</v>
      </c>
      <c r="AN226" s="506">
        <f>'C. Other Revenues'!M239</f>
        <v>0</v>
      </c>
      <c r="AO226" s="523"/>
      <c r="AP226" s="506"/>
      <c r="AQ226" s="505"/>
      <c r="AR226" s="522" t="str">
        <f>'L. Eliminations-Consolidations'!A237</f>
        <v>L.7</v>
      </c>
      <c r="AS226" s="524">
        <f>'L. Eliminations-Consolidations'!L259</f>
        <v>0</v>
      </c>
      <c r="AT226" s="525"/>
      <c r="AU226" s="526"/>
      <c r="AV226" s="467">
        <f>ROUND(AD226+AF226+AH226+AK226+AP226+AT226,0)</f>
        <v>0</v>
      </c>
      <c r="AW226" s="467">
        <f>ROUND(AE226+AG226+AI226+AN226+AS226+AU226,0)</f>
        <v>0</v>
      </c>
      <c r="AX226" s="575" t="str">
        <f t="shared" si="79"/>
        <v xml:space="preserve"> </v>
      </c>
      <c r="AY226" s="524">
        <f t="shared" si="80"/>
        <v>0</v>
      </c>
      <c r="AZ226" s="506"/>
      <c r="BA226" s="524"/>
    </row>
    <row r="227" spans="1:53" x14ac:dyDescent="0.2">
      <c r="A227" s="25"/>
      <c r="B227" s="14"/>
      <c r="C227" s="14"/>
      <c r="D227" s="527"/>
      <c r="E227" s="528"/>
      <c r="F227" s="518"/>
      <c r="G227" s="518"/>
      <c r="H227" s="518"/>
      <c r="I227" s="518"/>
      <c r="J227" s="518"/>
      <c r="K227" s="519"/>
      <c r="L227" s="518"/>
      <c r="M227" s="518"/>
      <c r="N227" s="518"/>
      <c r="O227" s="518"/>
      <c r="P227" s="520"/>
      <c r="Q227" s="520"/>
      <c r="R227" s="520"/>
      <c r="S227" s="520"/>
      <c r="T227" s="520"/>
      <c r="U227" s="520"/>
      <c r="V227" s="520"/>
      <c r="W227" s="520"/>
      <c r="X227" s="518"/>
      <c r="Y227" s="518"/>
      <c r="Z227" s="518"/>
      <c r="AA227" s="518"/>
      <c r="AB227" s="531">
        <f t="shared" si="81"/>
        <v>0</v>
      </c>
      <c r="AC227" s="505">
        <f t="shared" si="82"/>
        <v>0</v>
      </c>
      <c r="AD227" s="508">
        <f t="shared" si="83"/>
        <v>0</v>
      </c>
      <c r="AE227" s="521">
        <f t="shared" si="84"/>
        <v>0</v>
      </c>
      <c r="AF227" s="505"/>
      <c r="AG227" s="505"/>
      <c r="AH227" s="508"/>
      <c r="AI227" s="521"/>
      <c r="AJ227" s="522"/>
      <c r="AK227" s="506"/>
      <c r="AL227" s="505"/>
      <c r="AO227" s="523"/>
      <c r="AP227" s="506"/>
      <c r="AQ227" s="505"/>
      <c r="AR227" s="522"/>
      <c r="AS227" s="524"/>
      <c r="AT227" s="525"/>
      <c r="AU227" s="526"/>
      <c r="AV227" s="434"/>
      <c r="AW227" s="434"/>
      <c r="AX227" s="575" t="str">
        <f t="shared" si="79"/>
        <v xml:space="preserve"> </v>
      </c>
      <c r="AY227" s="524"/>
      <c r="AZ227" s="506"/>
      <c r="BA227" s="524"/>
    </row>
    <row r="228" spans="1:53" x14ac:dyDescent="0.2">
      <c r="A228" s="25"/>
      <c r="B228" s="163" t="s">
        <v>830</v>
      </c>
      <c r="C228" s="14"/>
      <c r="D228" s="527"/>
      <c r="E228" s="528"/>
      <c r="F228" s="518"/>
      <c r="G228" s="518"/>
      <c r="H228" s="518"/>
      <c r="I228" s="518"/>
      <c r="J228" s="518"/>
      <c r="K228" s="519"/>
      <c r="L228" s="518"/>
      <c r="M228" s="518"/>
      <c r="N228" s="518"/>
      <c r="O228" s="518"/>
      <c r="P228" s="520"/>
      <c r="Q228" s="520"/>
      <c r="R228" s="520"/>
      <c r="S228" s="520"/>
      <c r="T228" s="520"/>
      <c r="U228" s="520"/>
      <c r="V228" s="520"/>
      <c r="W228" s="520"/>
      <c r="X228" s="518"/>
      <c r="Y228" s="518"/>
      <c r="Z228" s="518"/>
      <c r="AA228" s="518"/>
      <c r="AB228" s="531">
        <f t="shared" si="81"/>
        <v>0</v>
      </c>
      <c r="AC228" s="505">
        <f t="shared" si="82"/>
        <v>0</v>
      </c>
      <c r="AD228" s="508">
        <f t="shared" si="83"/>
        <v>0</v>
      </c>
      <c r="AE228" s="521">
        <f t="shared" si="84"/>
        <v>0</v>
      </c>
      <c r="AF228" s="505"/>
      <c r="AG228" s="505"/>
      <c r="AH228" s="508"/>
      <c r="AI228" s="521"/>
      <c r="AJ228" s="522"/>
      <c r="AK228" s="506"/>
      <c r="AL228" s="505"/>
      <c r="AM228" s="522"/>
      <c r="AN228" s="506"/>
      <c r="AO228" s="523"/>
      <c r="AP228" s="506"/>
      <c r="AQ228" s="505"/>
      <c r="AR228" s="522"/>
      <c r="AS228" s="524"/>
      <c r="AT228" s="525"/>
      <c r="AU228" s="526"/>
      <c r="AV228" s="434"/>
      <c r="AW228" s="434"/>
      <c r="AX228" s="575" t="str">
        <f t="shared" si="79"/>
        <v xml:space="preserve"> </v>
      </c>
      <c r="AY228" s="524"/>
      <c r="AZ228" s="506"/>
      <c r="BA228" s="524"/>
    </row>
    <row r="229" spans="1:53" x14ac:dyDescent="0.2">
      <c r="A229" s="25"/>
      <c r="B229" s="1460" t="s">
        <v>972</v>
      </c>
      <c r="C229" s="14" t="s">
        <v>921</v>
      </c>
      <c r="D229" s="527"/>
      <c r="E229" s="528"/>
      <c r="F229" s="518"/>
      <c r="G229" s="518"/>
      <c r="H229" s="518"/>
      <c r="I229" s="518"/>
      <c r="J229" s="518"/>
      <c r="K229" s="519"/>
      <c r="L229" s="518"/>
      <c r="M229" s="518"/>
      <c r="N229" s="518"/>
      <c r="O229" s="518"/>
      <c r="P229" s="520"/>
      <c r="Q229" s="520"/>
      <c r="R229" s="520"/>
      <c r="S229" s="520"/>
      <c r="T229" s="520"/>
      <c r="U229" s="520"/>
      <c r="V229" s="520"/>
      <c r="W229" s="520"/>
      <c r="X229" s="518"/>
      <c r="Y229" s="518"/>
      <c r="Z229" s="518"/>
      <c r="AA229" s="518"/>
      <c r="AB229" s="531">
        <f t="shared" si="81"/>
        <v>0</v>
      </c>
      <c r="AC229" s="505">
        <f t="shared" si="82"/>
        <v>0</v>
      </c>
      <c r="AD229" s="508">
        <f t="shared" si="83"/>
        <v>0</v>
      </c>
      <c r="AE229" s="521">
        <f t="shared" si="84"/>
        <v>0</v>
      </c>
      <c r="AF229" s="505"/>
      <c r="AG229" s="505"/>
      <c r="AH229" s="508"/>
      <c r="AI229" s="521">
        <f>'A. Revenue by function'!N120</f>
        <v>0</v>
      </c>
      <c r="AJ229" s="522" t="str">
        <f>'C. Other Revenues'!B207</f>
        <v>C.1</v>
      </c>
      <c r="AK229" s="506">
        <f>'C. Other Revenues'!K220</f>
        <v>0</v>
      </c>
      <c r="AL229" s="505"/>
      <c r="AM229" s="522" t="str">
        <f>'C. Other Revenues'!B207</f>
        <v>C.1</v>
      </c>
      <c r="AN229" s="506">
        <f>'C. Other Revenues'!M220</f>
        <v>0</v>
      </c>
      <c r="AO229" s="523"/>
      <c r="AP229" s="506"/>
      <c r="AQ229" s="505"/>
      <c r="AR229" s="522"/>
      <c r="AS229" s="524"/>
      <c r="AT229" s="525"/>
      <c r="AU229" s="526"/>
      <c r="AV229" s="467">
        <f>ROUND(AD229+AF229+AH229+AK229+AP229+AT229,0)</f>
        <v>0</v>
      </c>
      <c r="AW229" s="467">
        <f>ROUND(AE229+AG229+AI229+AN229+AS229+AU229,0)</f>
        <v>0</v>
      </c>
      <c r="AX229" s="575" t="str">
        <f t="shared" si="79"/>
        <v xml:space="preserve"> </v>
      </c>
      <c r="AY229" s="524">
        <f t="shared" si="80"/>
        <v>0</v>
      </c>
      <c r="AZ229" s="506"/>
      <c r="BA229" s="524"/>
    </row>
    <row r="230" spans="1:53" x14ac:dyDescent="0.2">
      <c r="A230" s="25"/>
      <c r="B230" s="1460"/>
      <c r="C230" s="14" t="s">
        <v>1007</v>
      </c>
      <c r="D230" s="527"/>
      <c r="E230" s="528"/>
      <c r="F230" s="518"/>
      <c r="G230" s="518"/>
      <c r="H230" s="518"/>
      <c r="I230" s="518"/>
      <c r="J230" s="518"/>
      <c r="K230" s="519"/>
      <c r="L230" s="518"/>
      <c r="M230" s="518"/>
      <c r="N230" s="518"/>
      <c r="O230" s="518"/>
      <c r="P230" s="520"/>
      <c r="Q230" s="520"/>
      <c r="R230" s="520"/>
      <c r="S230" s="520"/>
      <c r="T230" s="520"/>
      <c r="U230" s="520"/>
      <c r="V230" s="520"/>
      <c r="W230" s="520"/>
      <c r="X230" s="518"/>
      <c r="Y230" s="518"/>
      <c r="Z230" s="518"/>
      <c r="AA230" s="518"/>
      <c r="AB230" s="531">
        <f t="shared" si="81"/>
        <v>0</v>
      </c>
      <c r="AC230" s="505">
        <f t="shared" si="82"/>
        <v>0</v>
      </c>
      <c r="AD230" s="508">
        <f t="shared" si="83"/>
        <v>0</v>
      </c>
      <c r="AE230" s="521">
        <f t="shared" si="84"/>
        <v>0</v>
      </c>
      <c r="AF230" s="505"/>
      <c r="AG230" s="505"/>
      <c r="AH230" s="508"/>
      <c r="AI230" s="521">
        <f>'A. Revenue by function'!N121</f>
        <v>0</v>
      </c>
      <c r="AJ230" s="522" t="str">
        <f>'C. Other Revenues'!B207</f>
        <v>C.1</v>
      </c>
      <c r="AK230" s="506">
        <f>'C. Other Revenues'!K230</f>
        <v>0</v>
      </c>
      <c r="AL230" s="505"/>
      <c r="AM230" s="522" t="str">
        <f>'C. Other Revenues'!B207</f>
        <v>C.1</v>
      </c>
      <c r="AN230" s="506">
        <f>'C. Other Revenues'!M230</f>
        <v>0</v>
      </c>
      <c r="AO230" s="523"/>
      <c r="AP230" s="506"/>
      <c r="AQ230" s="505"/>
      <c r="AR230" s="522" t="str">
        <f>'L. Eliminations-Consolidations'!A237</f>
        <v>L.7</v>
      </c>
      <c r="AS230" s="524">
        <f>'L. Eliminations-Consolidations'!L251</f>
        <v>0</v>
      </c>
      <c r="AT230" s="525"/>
      <c r="AU230" s="526"/>
      <c r="AV230" s="467">
        <f>ROUND(AD230+AF230+AH230+AK230+AP230+AT230,0)</f>
        <v>0</v>
      </c>
      <c r="AW230" s="467">
        <f>ROUND(AE230+AG230+AI230+AN230+AS230+AU230,0)</f>
        <v>0</v>
      </c>
      <c r="AX230" s="575" t="str">
        <f t="shared" si="79"/>
        <v xml:space="preserve"> </v>
      </c>
      <c r="AY230" s="524">
        <f t="shared" si="80"/>
        <v>0</v>
      </c>
      <c r="AZ230" s="506"/>
      <c r="BA230" s="524"/>
    </row>
    <row r="231" spans="1:53" ht="15.75" customHeight="1" x14ac:dyDescent="0.2">
      <c r="A231" s="25"/>
      <c r="B231" s="1460"/>
      <c r="C231" s="14" t="s">
        <v>1008</v>
      </c>
      <c r="D231" s="527"/>
      <c r="E231" s="528"/>
      <c r="F231" s="518"/>
      <c r="G231" s="518"/>
      <c r="H231" s="518"/>
      <c r="I231" s="518"/>
      <c r="J231" s="518"/>
      <c r="K231" s="519"/>
      <c r="L231" s="518"/>
      <c r="M231" s="518"/>
      <c r="N231" s="518"/>
      <c r="O231" s="518"/>
      <c r="P231" s="520"/>
      <c r="Q231" s="520"/>
      <c r="R231" s="520"/>
      <c r="S231" s="520"/>
      <c r="T231" s="520"/>
      <c r="U231" s="520"/>
      <c r="V231" s="520"/>
      <c r="W231" s="520"/>
      <c r="X231" s="518"/>
      <c r="Y231" s="518"/>
      <c r="Z231" s="518"/>
      <c r="AA231" s="518"/>
      <c r="AB231" s="531">
        <f t="shared" si="81"/>
        <v>0</v>
      </c>
      <c r="AC231" s="505">
        <f t="shared" si="82"/>
        <v>0</v>
      </c>
      <c r="AD231" s="508">
        <f t="shared" si="83"/>
        <v>0</v>
      </c>
      <c r="AE231" s="521">
        <f t="shared" si="84"/>
        <v>0</v>
      </c>
      <c r="AF231" s="505"/>
      <c r="AG231" s="505"/>
      <c r="AH231" s="508"/>
      <c r="AI231" s="521">
        <f>'A. Revenue by function'!N122</f>
        <v>0</v>
      </c>
      <c r="AJ231" s="522" t="str">
        <f>'C. Other Revenues'!B207</f>
        <v>C.1</v>
      </c>
      <c r="AK231" s="506">
        <f>'C. Other Revenues'!K240</f>
        <v>0</v>
      </c>
      <c r="AL231" s="505"/>
      <c r="AM231" s="522" t="str">
        <f>'C. Other Revenues'!B207</f>
        <v>C.1</v>
      </c>
      <c r="AN231" s="506">
        <f>'C. Other Revenues'!M240</f>
        <v>0</v>
      </c>
      <c r="AO231" s="523"/>
      <c r="AP231" s="506"/>
      <c r="AQ231" s="505"/>
      <c r="AR231" s="522" t="str">
        <f>'L. Eliminations-Consolidations'!A237</f>
        <v>L.7</v>
      </c>
      <c r="AS231" s="524">
        <f>'L. Eliminations-Consolidations'!L260</f>
        <v>0</v>
      </c>
      <c r="AT231" s="525"/>
      <c r="AU231" s="526"/>
      <c r="AV231" s="467">
        <f>ROUND(AD231+AF231+AH231+AK231+AP231+AT231,0)</f>
        <v>0</v>
      </c>
      <c r="AW231" s="467">
        <f>ROUND(AE231+AG231+AI231+AN231+AS231+AU231,0)</f>
        <v>0</v>
      </c>
      <c r="AX231" s="575" t="str">
        <f t="shared" si="79"/>
        <v xml:space="preserve"> </v>
      </c>
      <c r="AY231" s="524">
        <f t="shared" si="80"/>
        <v>0</v>
      </c>
      <c r="AZ231" s="506"/>
      <c r="BA231" s="524"/>
    </row>
    <row r="232" spans="1:53" x14ac:dyDescent="0.2">
      <c r="A232" s="25"/>
      <c r="B232" s="14"/>
      <c r="C232" s="14"/>
      <c r="D232" s="527"/>
      <c r="E232" s="528"/>
      <c r="F232" s="518"/>
      <c r="G232" s="518"/>
      <c r="H232" s="518"/>
      <c r="I232" s="518"/>
      <c r="J232" s="518"/>
      <c r="K232" s="519"/>
      <c r="L232" s="518"/>
      <c r="M232" s="518"/>
      <c r="N232" s="518"/>
      <c r="O232" s="518"/>
      <c r="P232" s="520"/>
      <c r="Q232" s="520"/>
      <c r="R232" s="520"/>
      <c r="S232" s="520"/>
      <c r="T232" s="520"/>
      <c r="U232" s="520"/>
      <c r="V232" s="520"/>
      <c r="W232" s="520"/>
      <c r="X232" s="518"/>
      <c r="Y232" s="518"/>
      <c r="Z232" s="518"/>
      <c r="AA232" s="518"/>
      <c r="AB232" s="531">
        <f t="shared" si="81"/>
        <v>0</v>
      </c>
      <c r="AC232" s="505">
        <f t="shared" si="82"/>
        <v>0</v>
      </c>
      <c r="AD232" s="508">
        <f t="shared" si="83"/>
        <v>0</v>
      </c>
      <c r="AE232" s="521">
        <f t="shared" si="84"/>
        <v>0</v>
      </c>
      <c r="AF232" s="505"/>
      <c r="AG232" s="505"/>
      <c r="AH232" s="508"/>
      <c r="AI232" s="521"/>
      <c r="AJ232" s="522"/>
      <c r="AK232" s="506"/>
      <c r="AL232" s="505"/>
      <c r="AO232" s="523"/>
      <c r="AP232" s="506"/>
      <c r="AQ232" s="505"/>
      <c r="AR232" s="522"/>
      <c r="AS232" s="524"/>
      <c r="AT232" s="525"/>
      <c r="AU232" s="526"/>
      <c r="AV232" s="434"/>
      <c r="AW232" s="434"/>
      <c r="AX232" s="575" t="str">
        <f t="shared" si="79"/>
        <v xml:space="preserve"> </v>
      </c>
      <c r="AY232" s="524"/>
      <c r="AZ232" s="506"/>
      <c r="BA232" s="524"/>
    </row>
    <row r="233" spans="1:53" x14ac:dyDescent="0.2">
      <c r="A233" s="25"/>
      <c r="B233" s="163" t="s">
        <v>185</v>
      </c>
      <c r="C233" s="14"/>
      <c r="D233" s="527"/>
      <c r="E233" s="528"/>
      <c r="F233" s="518"/>
      <c r="G233" s="518"/>
      <c r="H233" s="518"/>
      <c r="I233" s="518"/>
      <c r="J233" s="518"/>
      <c r="K233" s="519"/>
      <c r="L233" s="518"/>
      <c r="M233" s="518"/>
      <c r="N233" s="518"/>
      <c r="O233" s="518"/>
      <c r="P233" s="520"/>
      <c r="Q233" s="520"/>
      <c r="R233" s="520"/>
      <c r="S233" s="520"/>
      <c r="T233" s="520"/>
      <c r="U233" s="520"/>
      <c r="V233" s="520"/>
      <c r="W233" s="520"/>
      <c r="X233" s="518"/>
      <c r="Y233" s="518"/>
      <c r="Z233" s="518"/>
      <c r="AA233" s="518"/>
      <c r="AB233" s="531">
        <f t="shared" si="81"/>
        <v>0</v>
      </c>
      <c r="AC233" s="505">
        <f t="shared" si="82"/>
        <v>0</v>
      </c>
      <c r="AD233" s="508">
        <f t="shared" si="83"/>
        <v>0</v>
      </c>
      <c r="AE233" s="521">
        <f t="shared" si="84"/>
        <v>0</v>
      </c>
      <c r="AF233" s="505"/>
      <c r="AG233" s="505"/>
      <c r="AH233" s="508"/>
      <c r="AI233" s="521"/>
      <c r="AJ233" s="522"/>
      <c r="AK233" s="506"/>
      <c r="AL233" s="505"/>
      <c r="AM233" s="522"/>
      <c r="AN233" s="506"/>
      <c r="AO233" s="523"/>
      <c r="AP233" s="506"/>
      <c r="AQ233" s="505"/>
      <c r="AR233" s="522"/>
      <c r="AS233" s="524"/>
      <c r="AT233" s="525"/>
      <c r="AU233" s="526"/>
      <c r="AV233" s="434"/>
      <c r="AW233" s="434"/>
      <c r="AX233" s="575" t="str">
        <f t="shared" si="79"/>
        <v xml:space="preserve"> </v>
      </c>
      <c r="AY233" s="524"/>
      <c r="AZ233" s="506"/>
      <c r="BA233" s="524"/>
    </row>
    <row r="234" spans="1:53" x14ac:dyDescent="0.2">
      <c r="A234" s="25"/>
      <c r="B234" s="1460" t="s">
        <v>972</v>
      </c>
      <c r="C234" s="14" t="s">
        <v>921</v>
      </c>
      <c r="D234" s="527"/>
      <c r="E234" s="528"/>
      <c r="F234" s="518"/>
      <c r="G234" s="518"/>
      <c r="H234" s="518"/>
      <c r="I234" s="518"/>
      <c r="J234" s="518"/>
      <c r="K234" s="519"/>
      <c r="L234" s="518"/>
      <c r="M234" s="518"/>
      <c r="N234" s="518"/>
      <c r="O234" s="518"/>
      <c r="P234" s="520"/>
      <c r="Q234" s="520"/>
      <c r="R234" s="520"/>
      <c r="S234" s="520"/>
      <c r="T234" s="520"/>
      <c r="U234" s="520"/>
      <c r="V234" s="520"/>
      <c r="W234" s="520"/>
      <c r="X234" s="518"/>
      <c r="Y234" s="518"/>
      <c r="Z234" s="518"/>
      <c r="AA234" s="518"/>
      <c r="AB234" s="531">
        <f t="shared" si="81"/>
        <v>0</v>
      </c>
      <c r="AC234" s="505">
        <f t="shared" si="82"/>
        <v>0</v>
      </c>
      <c r="AD234" s="508">
        <f t="shared" si="83"/>
        <v>0</v>
      </c>
      <c r="AE234" s="521">
        <f t="shared" si="84"/>
        <v>0</v>
      </c>
      <c r="AF234" s="505"/>
      <c r="AG234" s="505"/>
      <c r="AH234" s="508"/>
      <c r="AI234" s="521">
        <f>'A. Revenue by function'!N123</f>
        <v>0</v>
      </c>
      <c r="AJ234" s="522" t="str">
        <f>'C. Other Revenues'!B207</f>
        <v>C.1</v>
      </c>
      <c r="AK234" s="506">
        <f>'C. Other Revenues'!K221</f>
        <v>0</v>
      </c>
      <c r="AL234" s="505"/>
      <c r="AM234" s="522" t="str">
        <f>'C. Other Revenues'!B207</f>
        <v>C.1</v>
      </c>
      <c r="AN234" s="506">
        <f>'C. Other Revenues'!M221</f>
        <v>0</v>
      </c>
      <c r="AO234" s="523"/>
      <c r="AP234" s="506"/>
      <c r="AQ234" s="505"/>
      <c r="AR234" s="522"/>
      <c r="AS234" s="524"/>
      <c r="AT234" s="525"/>
      <c r="AU234" s="526"/>
      <c r="AV234" s="467">
        <f>ROUND(AD234+AF234+AH234+AK234+AP234+AT234,0)</f>
        <v>0</v>
      </c>
      <c r="AW234" s="467">
        <f>ROUND(AE234+AG234+AI234+AN234+AS234+AU234,0)</f>
        <v>0</v>
      </c>
      <c r="AX234" s="575" t="str">
        <f t="shared" si="79"/>
        <v xml:space="preserve"> </v>
      </c>
      <c r="AY234" s="524">
        <f t="shared" si="80"/>
        <v>0</v>
      </c>
      <c r="AZ234" s="506"/>
      <c r="BA234" s="524"/>
    </row>
    <row r="235" spans="1:53" x14ac:dyDescent="0.2">
      <c r="A235" s="25"/>
      <c r="B235" s="1460"/>
      <c r="C235" s="14" t="s">
        <v>1007</v>
      </c>
      <c r="D235" s="527"/>
      <c r="E235" s="528"/>
      <c r="F235" s="518"/>
      <c r="G235" s="518"/>
      <c r="H235" s="518"/>
      <c r="I235" s="518"/>
      <c r="J235" s="518"/>
      <c r="K235" s="519"/>
      <c r="L235" s="518"/>
      <c r="M235" s="518"/>
      <c r="N235" s="518"/>
      <c r="O235" s="518"/>
      <c r="P235" s="520"/>
      <c r="Q235" s="520"/>
      <c r="R235" s="520"/>
      <c r="S235" s="520"/>
      <c r="T235" s="520"/>
      <c r="U235" s="520"/>
      <c r="V235" s="520"/>
      <c r="W235" s="520"/>
      <c r="X235" s="518"/>
      <c r="Y235" s="518"/>
      <c r="Z235" s="518"/>
      <c r="AA235" s="518"/>
      <c r="AB235" s="531">
        <f t="shared" si="81"/>
        <v>0</v>
      </c>
      <c r="AC235" s="505">
        <f t="shared" si="82"/>
        <v>0</v>
      </c>
      <c r="AD235" s="508">
        <f t="shared" si="83"/>
        <v>0</v>
      </c>
      <c r="AE235" s="521">
        <f t="shared" si="84"/>
        <v>0</v>
      </c>
      <c r="AF235" s="505"/>
      <c r="AG235" s="505"/>
      <c r="AH235" s="508"/>
      <c r="AI235" s="521">
        <f>'A. Revenue by function'!N124</f>
        <v>0</v>
      </c>
      <c r="AJ235" s="522" t="str">
        <f>'C. Other Revenues'!B207</f>
        <v>C.1</v>
      </c>
      <c r="AK235" s="506">
        <f>'C. Other Revenues'!K231</f>
        <v>0</v>
      </c>
      <c r="AL235" s="505"/>
      <c r="AM235" s="522" t="str">
        <f>'C. Other Revenues'!B207</f>
        <v>C.1</v>
      </c>
      <c r="AN235" s="506">
        <f>'C. Other Revenues'!M231</f>
        <v>0</v>
      </c>
      <c r="AO235" s="523"/>
      <c r="AP235" s="506"/>
      <c r="AQ235" s="505"/>
      <c r="AR235" s="522" t="str">
        <f>'L. Eliminations-Consolidations'!A237</f>
        <v>L.7</v>
      </c>
      <c r="AS235" s="524">
        <f>'L. Eliminations-Consolidations'!L252</f>
        <v>0</v>
      </c>
      <c r="AT235" s="525"/>
      <c r="AU235" s="526"/>
      <c r="AV235" s="467">
        <f>ROUND(AD235+AF235+AH235+AK235+AP235+AT235,0)</f>
        <v>0</v>
      </c>
      <c r="AW235" s="467">
        <f>ROUND(AE235+AG235+AI235+AN235+AS235+AU235,0)</f>
        <v>0</v>
      </c>
      <c r="AX235" s="575" t="str">
        <f t="shared" si="79"/>
        <v xml:space="preserve"> </v>
      </c>
      <c r="AY235" s="524">
        <f t="shared" si="80"/>
        <v>0</v>
      </c>
      <c r="AZ235" s="506"/>
      <c r="BA235" s="524"/>
    </row>
    <row r="236" spans="1:53" ht="15.75" customHeight="1" x14ac:dyDescent="0.2">
      <c r="A236" s="25"/>
      <c r="B236" s="1460"/>
      <c r="C236" s="14" t="s">
        <v>1008</v>
      </c>
      <c r="D236" s="527"/>
      <c r="E236" s="528"/>
      <c r="F236" s="518"/>
      <c r="G236" s="518"/>
      <c r="H236" s="518"/>
      <c r="I236" s="518"/>
      <c r="J236" s="518"/>
      <c r="K236" s="519"/>
      <c r="L236" s="518"/>
      <c r="M236" s="518"/>
      <c r="N236" s="518"/>
      <c r="O236" s="518"/>
      <c r="P236" s="520"/>
      <c r="Q236" s="520"/>
      <c r="R236" s="520"/>
      <c r="S236" s="520"/>
      <c r="T236" s="520"/>
      <c r="U236" s="520"/>
      <c r="V236" s="520"/>
      <c r="W236" s="520"/>
      <c r="X236" s="518"/>
      <c r="Y236" s="518"/>
      <c r="Z236" s="518"/>
      <c r="AA236" s="518"/>
      <c r="AB236" s="531">
        <f t="shared" si="81"/>
        <v>0</v>
      </c>
      <c r="AC236" s="505">
        <f t="shared" si="82"/>
        <v>0</v>
      </c>
      <c r="AD236" s="508">
        <f t="shared" si="83"/>
        <v>0</v>
      </c>
      <c r="AE236" s="521">
        <f t="shared" si="84"/>
        <v>0</v>
      </c>
      <c r="AF236" s="505"/>
      <c r="AG236" s="505"/>
      <c r="AH236" s="508"/>
      <c r="AI236" s="521">
        <f>'A. Revenue by function'!N125</f>
        <v>0</v>
      </c>
      <c r="AJ236" s="522" t="str">
        <f>'C. Other Revenues'!B207</f>
        <v>C.1</v>
      </c>
      <c r="AK236" s="506">
        <f>'C. Other Revenues'!K241</f>
        <v>0</v>
      </c>
      <c r="AL236" s="505"/>
      <c r="AM236" s="522" t="str">
        <f>'C. Other Revenues'!B207</f>
        <v>C.1</v>
      </c>
      <c r="AN236" s="506">
        <f>'C. Other Revenues'!M241</f>
        <v>0</v>
      </c>
      <c r="AO236" s="523"/>
      <c r="AP236" s="506"/>
      <c r="AQ236" s="505"/>
      <c r="AR236" s="522" t="str">
        <f>'L. Eliminations-Consolidations'!A237</f>
        <v>L.7</v>
      </c>
      <c r="AS236" s="524">
        <f>'L. Eliminations-Consolidations'!L261</f>
        <v>0</v>
      </c>
      <c r="AT236" s="525"/>
      <c r="AU236" s="526"/>
      <c r="AV236" s="467">
        <f>ROUND(AD236+AF236+AH236+AK236+AP236+AT236,0)</f>
        <v>0</v>
      </c>
      <c r="AW236" s="467">
        <f>ROUND(AE236+AG236+AI236+AN236+AS236+AU236,0)</f>
        <v>0</v>
      </c>
      <c r="AX236" s="575" t="str">
        <f t="shared" si="79"/>
        <v xml:space="preserve"> </v>
      </c>
      <c r="AY236" s="524">
        <f t="shared" si="80"/>
        <v>0</v>
      </c>
      <c r="AZ236" s="506"/>
      <c r="BA236" s="524"/>
    </row>
    <row r="237" spans="1:53" x14ac:dyDescent="0.2">
      <c r="A237" s="25"/>
      <c r="B237" s="14"/>
      <c r="C237" s="14"/>
      <c r="D237" s="527"/>
      <c r="E237" s="528"/>
      <c r="F237" s="518"/>
      <c r="G237" s="518"/>
      <c r="H237" s="518"/>
      <c r="I237" s="518"/>
      <c r="J237" s="518"/>
      <c r="K237" s="519"/>
      <c r="L237" s="518"/>
      <c r="M237" s="518"/>
      <c r="N237" s="518"/>
      <c r="O237" s="518"/>
      <c r="P237" s="520"/>
      <c r="Q237" s="520"/>
      <c r="R237" s="520"/>
      <c r="S237" s="520"/>
      <c r="T237" s="520"/>
      <c r="U237" s="520"/>
      <c r="V237" s="520"/>
      <c r="W237" s="520"/>
      <c r="X237" s="518"/>
      <c r="Y237" s="518"/>
      <c r="Z237" s="518"/>
      <c r="AA237" s="518"/>
      <c r="AB237" s="531">
        <f t="shared" si="81"/>
        <v>0</v>
      </c>
      <c r="AC237" s="505">
        <f t="shared" si="82"/>
        <v>0</v>
      </c>
      <c r="AD237" s="508">
        <f t="shared" si="83"/>
        <v>0</v>
      </c>
      <c r="AE237" s="521">
        <f t="shared" si="84"/>
        <v>0</v>
      </c>
      <c r="AF237" s="505"/>
      <c r="AG237" s="505"/>
      <c r="AH237" s="508"/>
      <c r="AI237" s="521"/>
      <c r="AJ237" s="522"/>
      <c r="AK237" s="506"/>
      <c r="AL237" s="505"/>
      <c r="AO237" s="523"/>
      <c r="AP237" s="506"/>
      <c r="AQ237" s="505"/>
      <c r="AR237" s="522"/>
      <c r="AS237" s="524"/>
      <c r="AT237" s="525"/>
      <c r="AU237" s="526"/>
      <c r="AV237" s="434"/>
      <c r="AW237" s="434"/>
      <c r="AX237" s="575" t="str">
        <f t="shared" si="79"/>
        <v xml:space="preserve"> </v>
      </c>
      <c r="AY237" s="524"/>
      <c r="AZ237" s="506"/>
      <c r="BA237" s="524"/>
    </row>
    <row r="238" spans="1:53" x14ac:dyDescent="0.2">
      <c r="A238" s="25"/>
      <c r="B238" s="163" t="s">
        <v>309</v>
      </c>
      <c r="C238" s="14"/>
      <c r="D238" s="527"/>
      <c r="E238" s="528"/>
      <c r="F238" s="518"/>
      <c r="G238" s="518"/>
      <c r="H238" s="518"/>
      <c r="I238" s="518"/>
      <c r="J238" s="518"/>
      <c r="K238" s="519"/>
      <c r="L238" s="518"/>
      <c r="M238" s="518"/>
      <c r="N238" s="518"/>
      <c r="O238" s="518"/>
      <c r="P238" s="520"/>
      <c r="Q238" s="520"/>
      <c r="R238" s="520"/>
      <c r="S238" s="520"/>
      <c r="T238" s="520"/>
      <c r="U238" s="520"/>
      <c r="V238" s="520"/>
      <c r="W238" s="520"/>
      <c r="X238" s="518"/>
      <c r="Y238" s="518"/>
      <c r="Z238" s="518"/>
      <c r="AA238" s="518"/>
      <c r="AB238" s="531">
        <f t="shared" si="81"/>
        <v>0</v>
      </c>
      <c r="AC238" s="505">
        <f t="shared" si="82"/>
        <v>0</v>
      </c>
      <c r="AD238" s="508">
        <f t="shared" si="83"/>
        <v>0</v>
      </c>
      <c r="AE238" s="521">
        <f t="shared" si="84"/>
        <v>0</v>
      </c>
      <c r="AF238" s="505"/>
      <c r="AG238" s="505"/>
      <c r="AH238" s="508"/>
      <c r="AI238" s="521"/>
      <c r="AJ238" s="522"/>
      <c r="AK238" s="506"/>
      <c r="AL238" s="505"/>
      <c r="AM238" s="522"/>
      <c r="AN238" s="506"/>
      <c r="AO238" s="523"/>
      <c r="AP238" s="506"/>
      <c r="AQ238" s="505"/>
      <c r="AR238" s="522"/>
      <c r="AS238" s="524"/>
      <c r="AT238" s="525"/>
      <c r="AU238" s="526"/>
      <c r="AV238" s="434"/>
      <c r="AW238" s="434"/>
      <c r="AX238" s="575" t="str">
        <f t="shared" si="79"/>
        <v xml:space="preserve"> </v>
      </c>
      <c r="AY238" s="524"/>
      <c r="AZ238" s="506"/>
      <c r="BA238" s="524"/>
    </row>
    <row r="239" spans="1:53" x14ac:dyDescent="0.2">
      <c r="A239" s="25"/>
      <c r="B239" s="1460" t="s">
        <v>972</v>
      </c>
      <c r="C239" s="14" t="s">
        <v>921</v>
      </c>
      <c r="D239" s="527"/>
      <c r="E239" s="528"/>
      <c r="F239" s="518"/>
      <c r="G239" s="518"/>
      <c r="H239" s="518"/>
      <c r="I239" s="518"/>
      <c r="J239" s="518"/>
      <c r="K239" s="519"/>
      <c r="L239" s="518"/>
      <c r="M239" s="518"/>
      <c r="N239" s="518"/>
      <c r="O239" s="518"/>
      <c r="P239" s="520"/>
      <c r="Q239" s="520"/>
      <c r="R239" s="520"/>
      <c r="S239" s="520"/>
      <c r="T239" s="520"/>
      <c r="U239" s="520"/>
      <c r="V239" s="520"/>
      <c r="W239" s="520"/>
      <c r="X239" s="518"/>
      <c r="Y239" s="518"/>
      <c r="Z239" s="518"/>
      <c r="AA239" s="518"/>
      <c r="AB239" s="531">
        <f t="shared" si="81"/>
        <v>0</v>
      </c>
      <c r="AC239" s="505">
        <f t="shared" si="82"/>
        <v>0</v>
      </c>
      <c r="AD239" s="508">
        <f t="shared" si="83"/>
        <v>0</v>
      </c>
      <c r="AE239" s="521">
        <f t="shared" si="84"/>
        <v>0</v>
      </c>
      <c r="AF239" s="505"/>
      <c r="AG239" s="505"/>
      <c r="AH239" s="508"/>
      <c r="AI239" s="521">
        <f>'A. Revenue by function'!H71</f>
        <v>0</v>
      </c>
      <c r="AJ239" s="522" t="str">
        <f>'C. Other Revenues'!B207</f>
        <v>C.1</v>
      </c>
      <c r="AK239" s="506">
        <f>'C. Other Revenues'!K222</f>
        <v>0</v>
      </c>
      <c r="AL239" s="505"/>
      <c r="AM239" s="522" t="str">
        <f>'C. Other Revenues'!B207</f>
        <v>C.1</v>
      </c>
      <c r="AN239" s="506">
        <f>'C. Other Revenues'!M222</f>
        <v>0</v>
      </c>
      <c r="AO239" s="523"/>
      <c r="AP239" s="506"/>
      <c r="AQ239" s="505"/>
      <c r="AR239" s="522"/>
      <c r="AS239" s="524"/>
      <c r="AT239" s="525"/>
      <c r="AU239" s="526"/>
      <c r="AV239" s="467">
        <f>ROUND(AD239+AF239+AH239+AK239+AP239+AT239,0)</f>
        <v>0</v>
      </c>
      <c r="AW239" s="467">
        <f>ROUND(AE239+AG239+AI239+AN239+AS239+AU239,0)</f>
        <v>0</v>
      </c>
      <c r="AX239" s="575" t="str">
        <f t="shared" si="79"/>
        <v xml:space="preserve"> </v>
      </c>
      <c r="AY239" s="524">
        <f t="shared" si="80"/>
        <v>0</v>
      </c>
      <c r="AZ239" s="506"/>
      <c r="BA239" s="524"/>
    </row>
    <row r="240" spans="1:53" x14ac:dyDescent="0.2">
      <c r="A240" s="25"/>
      <c r="B240" s="1460"/>
      <c r="C240" s="14" t="s">
        <v>1007</v>
      </c>
      <c r="D240" s="527"/>
      <c r="E240" s="528"/>
      <c r="F240" s="518"/>
      <c r="G240" s="518"/>
      <c r="H240" s="518"/>
      <c r="I240" s="518"/>
      <c r="J240" s="518"/>
      <c r="K240" s="519"/>
      <c r="L240" s="518"/>
      <c r="M240" s="518"/>
      <c r="N240" s="518"/>
      <c r="O240" s="518"/>
      <c r="P240" s="520"/>
      <c r="Q240" s="520"/>
      <c r="R240" s="520"/>
      <c r="S240" s="520"/>
      <c r="T240" s="520"/>
      <c r="U240" s="520"/>
      <c r="V240" s="520"/>
      <c r="W240" s="520"/>
      <c r="X240" s="518"/>
      <c r="Y240" s="518"/>
      <c r="Z240" s="518"/>
      <c r="AA240" s="518"/>
      <c r="AB240" s="531">
        <f t="shared" si="81"/>
        <v>0</v>
      </c>
      <c r="AC240" s="505">
        <f t="shared" si="82"/>
        <v>0</v>
      </c>
      <c r="AD240" s="508">
        <f t="shared" si="83"/>
        <v>0</v>
      </c>
      <c r="AE240" s="521">
        <f t="shared" si="84"/>
        <v>0</v>
      </c>
      <c r="AF240" s="505"/>
      <c r="AG240" s="505"/>
      <c r="AH240" s="508"/>
      <c r="AI240" s="521">
        <f>'A. Revenue by function'!H72</f>
        <v>0</v>
      </c>
      <c r="AJ240" s="522" t="str">
        <f>'C. Other Revenues'!B207</f>
        <v>C.1</v>
      </c>
      <c r="AK240" s="506">
        <f>'C. Other Revenues'!K232</f>
        <v>0</v>
      </c>
      <c r="AL240" s="505"/>
      <c r="AM240" s="522" t="str">
        <f>'C. Other Revenues'!B207</f>
        <v>C.1</v>
      </c>
      <c r="AN240" s="506">
        <f>'C. Other Revenues'!M232</f>
        <v>0</v>
      </c>
      <c r="AO240" s="523"/>
      <c r="AP240" s="506"/>
      <c r="AQ240" s="505"/>
      <c r="AR240" s="522" t="str">
        <f>'L. Eliminations-Consolidations'!A237</f>
        <v>L.7</v>
      </c>
      <c r="AS240" s="524">
        <f>'L. Eliminations-Consolidations'!L253</f>
        <v>0</v>
      </c>
      <c r="AT240" s="525"/>
      <c r="AU240" s="526"/>
      <c r="AV240" s="467">
        <f>ROUND(AD240+AF240+AH240+AK240+AP240+AT240,0)</f>
        <v>0</v>
      </c>
      <c r="AW240" s="467">
        <f>ROUND(AE240+AG240+AI240+AN240+AS240+AU240,0)</f>
        <v>0</v>
      </c>
      <c r="AX240" s="575" t="str">
        <f t="shared" si="79"/>
        <v xml:space="preserve"> </v>
      </c>
      <c r="AY240" s="524">
        <f t="shared" si="80"/>
        <v>0</v>
      </c>
      <c r="AZ240" s="506"/>
      <c r="BA240" s="524"/>
    </row>
    <row r="241" spans="1:53" ht="15.75" customHeight="1" x14ac:dyDescent="0.2">
      <c r="A241" s="25"/>
      <c r="B241" s="1460"/>
      <c r="C241" s="14" t="s">
        <v>1008</v>
      </c>
      <c r="D241" s="527"/>
      <c r="E241" s="528"/>
      <c r="F241" s="518"/>
      <c r="G241" s="518"/>
      <c r="H241" s="518"/>
      <c r="I241" s="518"/>
      <c r="J241" s="518"/>
      <c r="K241" s="519"/>
      <c r="L241" s="518"/>
      <c r="M241" s="518"/>
      <c r="N241" s="518"/>
      <c r="O241" s="518"/>
      <c r="P241" s="520"/>
      <c r="Q241" s="520"/>
      <c r="R241" s="520"/>
      <c r="S241" s="520"/>
      <c r="T241" s="520"/>
      <c r="U241" s="520"/>
      <c r="V241" s="520"/>
      <c r="W241" s="520"/>
      <c r="X241" s="518"/>
      <c r="Y241" s="518"/>
      <c r="Z241" s="518"/>
      <c r="AA241" s="518"/>
      <c r="AB241" s="531">
        <f t="shared" si="81"/>
        <v>0</v>
      </c>
      <c r="AC241" s="505">
        <f t="shared" si="82"/>
        <v>0</v>
      </c>
      <c r="AD241" s="508">
        <f t="shared" si="83"/>
        <v>0</v>
      </c>
      <c r="AE241" s="521">
        <f t="shared" si="84"/>
        <v>0</v>
      </c>
      <c r="AF241" s="505"/>
      <c r="AG241" s="505"/>
      <c r="AH241" s="508"/>
      <c r="AI241" s="521">
        <f>'A. Revenue by function'!H73</f>
        <v>0</v>
      </c>
      <c r="AJ241" s="522" t="str">
        <f>'C. Other Revenues'!B207</f>
        <v>C.1</v>
      </c>
      <c r="AK241" s="506">
        <f>'C. Other Revenues'!K242</f>
        <v>0</v>
      </c>
      <c r="AL241" s="505"/>
      <c r="AM241" s="522" t="str">
        <f>'C. Other Revenues'!B207</f>
        <v>C.1</v>
      </c>
      <c r="AN241" s="506">
        <f>'C. Other Revenues'!M242</f>
        <v>0</v>
      </c>
      <c r="AO241" s="523"/>
      <c r="AP241" s="506"/>
      <c r="AQ241" s="505"/>
      <c r="AR241" s="522" t="str">
        <f>'L. Eliminations-Consolidations'!A237</f>
        <v>L.7</v>
      </c>
      <c r="AS241" s="524">
        <f>'L. Eliminations-Consolidations'!L262</f>
        <v>0</v>
      </c>
      <c r="AT241" s="525"/>
      <c r="AU241" s="526"/>
      <c r="AV241" s="467">
        <f>ROUND(AD241+AF241+AH241+AK241+AP241+AT241,0)</f>
        <v>0</v>
      </c>
      <c r="AW241" s="467">
        <f>ROUND(AE241+AG241+AI241+AN241+AS241+AU241,0)</f>
        <v>0</v>
      </c>
      <c r="AX241" s="575" t="str">
        <f t="shared" si="79"/>
        <v xml:space="preserve"> </v>
      </c>
      <c r="AY241" s="524">
        <f t="shared" si="80"/>
        <v>0</v>
      </c>
      <c r="AZ241" s="506"/>
      <c r="BA241" s="524"/>
    </row>
    <row r="242" spans="1:53" x14ac:dyDescent="0.2">
      <c r="A242" s="25"/>
      <c r="B242" s="14"/>
      <c r="C242" s="14"/>
      <c r="D242" s="527"/>
      <c r="E242" s="528"/>
      <c r="F242" s="518"/>
      <c r="G242" s="518"/>
      <c r="H242" s="518"/>
      <c r="I242" s="518"/>
      <c r="J242" s="518"/>
      <c r="K242" s="519"/>
      <c r="L242" s="518"/>
      <c r="M242" s="518"/>
      <c r="N242" s="518"/>
      <c r="O242" s="518"/>
      <c r="P242" s="520"/>
      <c r="Q242" s="520"/>
      <c r="R242" s="520"/>
      <c r="S242" s="520"/>
      <c r="T242" s="520"/>
      <c r="U242" s="520"/>
      <c r="V242" s="520"/>
      <c r="W242" s="520"/>
      <c r="X242" s="518"/>
      <c r="Y242" s="518"/>
      <c r="Z242" s="518"/>
      <c r="AA242" s="518"/>
      <c r="AB242" s="531">
        <f t="shared" si="81"/>
        <v>0</v>
      </c>
      <c r="AC242" s="505">
        <f t="shared" si="82"/>
        <v>0</v>
      </c>
      <c r="AD242" s="508">
        <f t="shared" si="83"/>
        <v>0</v>
      </c>
      <c r="AE242" s="521">
        <f t="shared" si="84"/>
        <v>0</v>
      </c>
      <c r="AF242" s="505"/>
      <c r="AG242" s="505"/>
      <c r="AH242" s="508"/>
      <c r="AI242" s="521"/>
      <c r="AJ242" s="522"/>
      <c r="AK242" s="506"/>
      <c r="AL242" s="505"/>
      <c r="AM242" s="522"/>
      <c r="AN242" s="506"/>
      <c r="AO242" s="523"/>
      <c r="AP242" s="506"/>
      <c r="AQ242" s="505"/>
      <c r="AR242" s="522"/>
      <c r="AS242" s="524"/>
      <c r="AT242" s="525"/>
      <c r="AU242" s="526"/>
      <c r="AV242" s="434"/>
      <c r="AW242" s="434"/>
      <c r="AX242" s="575" t="str">
        <f t="shared" si="79"/>
        <v xml:space="preserve"> </v>
      </c>
      <c r="AY242" s="524"/>
      <c r="AZ242" s="506"/>
      <c r="BA242" s="524"/>
    </row>
    <row r="243" spans="1:53" x14ac:dyDescent="0.2">
      <c r="A243" s="25"/>
      <c r="B243" s="163" t="s">
        <v>131</v>
      </c>
      <c r="C243" s="14"/>
      <c r="D243" s="527"/>
      <c r="E243" s="528"/>
      <c r="F243" s="518"/>
      <c r="G243" s="518"/>
      <c r="H243" s="518"/>
      <c r="I243" s="518"/>
      <c r="J243" s="518"/>
      <c r="K243" s="519"/>
      <c r="L243" s="518"/>
      <c r="M243" s="518"/>
      <c r="N243" s="518"/>
      <c r="O243" s="518"/>
      <c r="P243" s="520"/>
      <c r="Q243" s="520"/>
      <c r="R243" s="520"/>
      <c r="S243" s="520"/>
      <c r="T243" s="520"/>
      <c r="U243" s="520"/>
      <c r="V243" s="520"/>
      <c r="W243" s="520"/>
      <c r="X243" s="518"/>
      <c r="Y243" s="518"/>
      <c r="Z243" s="518"/>
      <c r="AA243" s="518"/>
      <c r="AB243" s="531">
        <f t="shared" si="81"/>
        <v>0</v>
      </c>
      <c r="AC243" s="505">
        <f t="shared" si="82"/>
        <v>0</v>
      </c>
      <c r="AD243" s="508">
        <f t="shared" si="83"/>
        <v>0</v>
      </c>
      <c r="AE243" s="521">
        <f t="shared" si="84"/>
        <v>0</v>
      </c>
      <c r="AF243" s="505"/>
      <c r="AG243" s="505"/>
      <c r="AH243" s="508"/>
      <c r="AI243" s="521"/>
      <c r="AJ243" s="522"/>
      <c r="AK243" s="506"/>
      <c r="AL243" s="505"/>
      <c r="AM243" s="522"/>
      <c r="AN243" s="506"/>
      <c r="AO243" s="523"/>
      <c r="AP243" s="506"/>
      <c r="AQ243" s="505"/>
      <c r="AR243" s="522"/>
      <c r="AS243" s="524"/>
      <c r="AT243" s="525"/>
      <c r="AU243" s="526"/>
      <c r="AV243" s="434"/>
      <c r="AW243" s="434"/>
      <c r="AX243" s="575" t="str">
        <f t="shared" si="79"/>
        <v xml:space="preserve"> </v>
      </c>
      <c r="AY243" s="524"/>
      <c r="AZ243" s="506"/>
      <c r="BA243" s="524"/>
    </row>
    <row r="244" spans="1:53" x14ac:dyDescent="0.2">
      <c r="A244" s="25"/>
      <c r="B244" s="1460" t="s">
        <v>972</v>
      </c>
      <c r="C244" s="14" t="s">
        <v>921</v>
      </c>
      <c r="D244" s="527"/>
      <c r="E244" s="528"/>
      <c r="F244" s="518"/>
      <c r="G244" s="518"/>
      <c r="H244" s="518"/>
      <c r="I244" s="518"/>
      <c r="J244" s="518"/>
      <c r="K244" s="519"/>
      <c r="L244" s="518"/>
      <c r="M244" s="518"/>
      <c r="N244" s="518"/>
      <c r="O244" s="518"/>
      <c r="P244" s="520"/>
      <c r="Q244" s="520"/>
      <c r="R244" s="520"/>
      <c r="S244" s="520"/>
      <c r="T244" s="520"/>
      <c r="U244" s="520"/>
      <c r="V244" s="520"/>
      <c r="W244" s="520"/>
      <c r="X244" s="518"/>
      <c r="Y244" s="518"/>
      <c r="Z244" s="518"/>
      <c r="AA244" s="518"/>
      <c r="AB244" s="531">
        <f t="shared" si="81"/>
        <v>0</v>
      </c>
      <c r="AC244" s="505">
        <f t="shared" si="82"/>
        <v>0</v>
      </c>
      <c r="AD244" s="508">
        <f t="shared" si="83"/>
        <v>0</v>
      </c>
      <c r="AE244" s="521">
        <f t="shared" si="84"/>
        <v>0</v>
      </c>
      <c r="AF244" s="505"/>
      <c r="AG244" s="505"/>
      <c r="AH244" s="508"/>
      <c r="AI244" s="521">
        <f>'A. Revenue by function'!N129</f>
        <v>0</v>
      </c>
      <c r="AJ244" s="522" t="str">
        <f>'C. Other Revenues'!B207</f>
        <v>C.1</v>
      </c>
      <c r="AK244" s="506">
        <f>'C. Other Revenues'!K223</f>
        <v>0</v>
      </c>
      <c r="AL244" s="505"/>
      <c r="AM244" s="522" t="str">
        <f>'C. Other Revenues'!B207</f>
        <v>C.1</v>
      </c>
      <c r="AN244" s="506">
        <f>'C. Other Revenues'!M223</f>
        <v>0</v>
      </c>
      <c r="AO244" s="523"/>
      <c r="AP244" s="506"/>
      <c r="AQ244" s="505"/>
      <c r="AR244" s="522"/>
      <c r="AS244" s="524"/>
      <c r="AT244" s="525"/>
      <c r="AU244" s="526"/>
      <c r="AV244" s="467">
        <f>ROUND(AD244+AF244+AH244+AK244+AP244+AT244,0)</f>
        <v>0</v>
      </c>
      <c r="AW244" s="467">
        <f>ROUND(AE244+AG244+AI244+AN244+AS244+AU244,0)</f>
        <v>0</v>
      </c>
      <c r="AX244" s="575" t="str">
        <f t="shared" si="79"/>
        <v xml:space="preserve"> </v>
      </c>
      <c r="AY244" s="524">
        <f t="shared" si="80"/>
        <v>0</v>
      </c>
      <c r="AZ244" s="506"/>
      <c r="BA244" s="524"/>
    </row>
    <row r="245" spans="1:53" x14ac:dyDescent="0.2">
      <c r="A245" s="25"/>
      <c r="B245" s="1460"/>
      <c r="C245" s="14" t="s">
        <v>1007</v>
      </c>
      <c r="D245" s="527"/>
      <c r="E245" s="528"/>
      <c r="F245" s="518"/>
      <c r="G245" s="518"/>
      <c r="H245" s="518"/>
      <c r="I245" s="518"/>
      <c r="J245" s="518"/>
      <c r="K245" s="519"/>
      <c r="L245" s="518"/>
      <c r="M245" s="518"/>
      <c r="N245" s="518"/>
      <c r="O245" s="518"/>
      <c r="P245" s="520"/>
      <c r="Q245" s="520"/>
      <c r="R245" s="520"/>
      <c r="S245" s="520"/>
      <c r="T245" s="520"/>
      <c r="U245" s="520"/>
      <c r="V245" s="520"/>
      <c r="W245" s="520"/>
      <c r="X245" s="518"/>
      <c r="Y245" s="518"/>
      <c r="Z245" s="518"/>
      <c r="AA245" s="518"/>
      <c r="AB245" s="531">
        <f t="shared" si="81"/>
        <v>0</v>
      </c>
      <c r="AC245" s="505">
        <f t="shared" si="82"/>
        <v>0</v>
      </c>
      <c r="AD245" s="508">
        <f t="shared" si="83"/>
        <v>0</v>
      </c>
      <c r="AE245" s="521">
        <f t="shared" si="84"/>
        <v>0</v>
      </c>
      <c r="AF245" s="505"/>
      <c r="AG245" s="505"/>
      <c r="AH245" s="508"/>
      <c r="AI245" s="521">
        <f>'A. Revenue by function'!N130</f>
        <v>0</v>
      </c>
      <c r="AJ245" s="522" t="str">
        <f>'C. Other Revenues'!B207</f>
        <v>C.1</v>
      </c>
      <c r="AK245" s="506">
        <f>'C. Other Revenues'!K233</f>
        <v>0</v>
      </c>
      <c r="AL245" s="505"/>
      <c r="AM245" s="522" t="str">
        <f>'C. Other Revenues'!B207</f>
        <v>C.1</v>
      </c>
      <c r="AN245" s="506">
        <f>'C. Other Revenues'!M233</f>
        <v>0</v>
      </c>
      <c r="AO245" s="523"/>
      <c r="AP245" s="506"/>
      <c r="AQ245" s="505"/>
      <c r="AR245" s="522" t="str">
        <f>'L. Eliminations-Consolidations'!A237</f>
        <v>L.7</v>
      </c>
      <c r="AS245" s="524">
        <f>'L. Eliminations-Consolidations'!L254</f>
        <v>0</v>
      </c>
      <c r="AT245" s="525"/>
      <c r="AU245" s="526"/>
      <c r="AV245" s="467">
        <f>ROUND(AD245+AF245+AH245+AK245+AP245+AT245,0)</f>
        <v>0</v>
      </c>
      <c r="AW245" s="467">
        <f>ROUND(AE245+AG245+AI245+AN245+AS245+AU245,0)</f>
        <v>0</v>
      </c>
      <c r="AX245" s="575" t="str">
        <f t="shared" si="79"/>
        <v xml:space="preserve"> </v>
      </c>
      <c r="AY245" s="524">
        <f t="shared" si="80"/>
        <v>0</v>
      </c>
      <c r="AZ245" s="506"/>
      <c r="BA245" s="524"/>
    </row>
    <row r="246" spans="1:53" ht="15" customHeight="1" x14ac:dyDescent="0.2">
      <c r="A246" s="25"/>
      <c r="B246" s="1460"/>
      <c r="C246" s="14" t="s">
        <v>1008</v>
      </c>
      <c r="D246" s="527"/>
      <c r="E246" s="528"/>
      <c r="F246" s="518"/>
      <c r="G246" s="518"/>
      <c r="H246" s="518"/>
      <c r="I246" s="518"/>
      <c r="J246" s="518"/>
      <c r="K246" s="519"/>
      <c r="L246" s="518"/>
      <c r="M246" s="518"/>
      <c r="N246" s="518"/>
      <c r="O246" s="518"/>
      <c r="P246" s="520"/>
      <c r="Q246" s="520"/>
      <c r="R246" s="520"/>
      <c r="S246" s="520"/>
      <c r="T246" s="520"/>
      <c r="U246" s="520"/>
      <c r="V246" s="520"/>
      <c r="W246" s="520"/>
      <c r="X246" s="518"/>
      <c r="Y246" s="518"/>
      <c r="Z246" s="518"/>
      <c r="AA246" s="518"/>
      <c r="AB246" s="531">
        <f t="shared" si="81"/>
        <v>0</v>
      </c>
      <c r="AC246" s="505">
        <f t="shared" si="82"/>
        <v>0</v>
      </c>
      <c r="AD246" s="508">
        <f t="shared" si="83"/>
        <v>0</v>
      </c>
      <c r="AE246" s="521">
        <f t="shared" si="84"/>
        <v>0</v>
      </c>
      <c r="AF246" s="505"/>
      <c r="AG246" s="505"/>
      <c r="AH246" s="508"/>
      <c r="AI246" s="521">
        <f>'A. Revenue by function'!N131</f>
        <v>0</v>
      </c>
      <c r="AJ246" s="522" t="str">
        <f>'C. Other Revenues'!B207</f>
        <v>C.1</v>
      </c>
      <c r="AK246" s="506">
        <f>'C. Other Revenues'!K243</f>
        <v>0</v>
      </c>
      <c r="AL246" s="505"/>
      <c r="AM246" s="522" t="str">
        <f>'C. Other Revenues'!B207</f>
        <v>C.1</v>
      </c>
      <c r="AN246" s="506">
        <f>'C. Other Revenues'!M243</f>
        <v>0</v>
      </c>
      <c r="AO246" s="523"/>
      <c r="AP246" s="506"/>
      <c r="AQ246" s="505"/>
      <c r="AR246" s="522" t="str">
        <f>'L. Eliminations-Consolidations'!A237</f>
        <v>L.7</v>
      </c>
      <c r="AS246" s="524">
        <f>'L. Eliminations-Consolidations'!L263</f>
        <v>0</v>
      </c>
      <c r="AT246" s="525"/>
      <c r="AU246" s="526"/>
      <c r="AV246" s="467">
        <f>ROUND(AD246+AF246+AH246+AK246+AP246+AT246,0)</f>
        <v>0</v>
      </c>
      <c r="AW246" s="467">
        <f>ROUND(AE246+AG246+AI246+AN246+AS246+AU246,0)</f>
        <v>0</v>
      </c>
      <c r="AX246" s="575" t="str">
        <f t="shared" si="79"/>
        <v xml:space="preserve"> </v>
      </c>
      <c r="AY246" s="524">
        <f t="shared" si="80"/>
        <v>0</v>
      </c>
      <c r="AZ246" s="506"/>
      <c r="BA246" s="524"/>
    </row>
    <row r="247" spans="1:53" ht="12.75" customHeight="1" x14ac:dyDescent="0.2">
      <c r="A247" s="25"/>
      <c r="B247" s="265"/>
      <c r="C247" s="14"/>
      <c r="D247" s="527"/>
      <c r="E247" s="528"/>
      <c r="F247" s="518"/>
      <c r="G247" s="518"/>
      <c r="H247" s="518"/>
      <c r="I247" s="518"/>
      <c r="J247" s="518"/>
      <c r="K247" s="519"/>
      <c r="L247" s="518"/>
      <c r="M247" s="518"/>
      <c r="N247" s="518"/>
      <c r="O247" s="518"/>
      <c r="P247" s="520"/>
      <c r="Q247" s="520"/>
      <c r="R247" s="520"/>
      <c r="S247" s="520"/>
      <c r="T247" s="520"/>
      <c r="U247" s="520"/>
      <c r="V247" s="520"/>
      <c r="W247" s="520"/>
      <c r="X247" s="518"/>
      <c r="Y247" s="518"/>
      <c r="Z247" s="518"/>
      <c r="AA247" s="518"/>
      <c r="AB247" s="531">
        <f t="shared" si="81"/>
        <v>0</v>
      </c>
      <c r="AC247" s="505">
        <f t="shared" si="82"/>
        <v>0</v>
      </c>
      <c r="AD247" s="508">
        <f t="shared" si="83"/>
        <v>0</v>
      </c>
      <c r="AE247" s="521">
        <f t="shared" si="84"/>
        <v>0</v>
      </c>
      <c r="AF247" s="505"/>
      <c r="AG247" s="505"/>
      <c r="AH247" s="508"/>
      <c r="AI247" s="521"/>
      <c r="AJ247" s="522"/>
      <c r="AK247" s="506"/>
      <c r="AL247" s="505"/>
      <c r="AM247" s="522"/>
      <c r="AO247" s="523"/>
      <c r="AP247" s="506"/>
      <c r="AQ247" s="505"/>
      <c r="AR247" s="522"/>
      <c r="AS247" s="524"/>
      <c r="AT247" s="525"/>
      <c r="AU247" s="526"/>
      <c r="AV247" s="434"/>
      <c r="AW247" s="434"/>
      <c r="AX247" s="575" t="str">
        <f t="shared" si="79"/>
        <v xml:space="preserve"> </v>
      </c>
      <c r="AY247" s="524"/>
      <c r="AZ247" s="506"/>
      <c r="BA247" s="524"/>
    </row>
    <row r="248" spans="1:53" ht="15" customHeight="1" x14ac:dyDescent="0.2">
      <c r="A248" s="25"/>
      <c r="B248" s="269" t="s">
        <v>174</v>
      </c>
      <c r="C248" s="14"/>
      <c r="D248" s="527"/>
      <c r="E248" s="528"/>
      <c r="F248" s="518"/>
      <c r="G248" s="518"/>
      <c r="H248" s="518"/>
      <c r="I248" s="518"/>
      <c r="J248" s="518"/>
      <c r="K248" s="519"/>
      <c r="L248" s="518"/>
      <c r="M248" s="518"/>
      <c r="N248" s="518"/>
      <c r="O248" s="518"/>
      <c r="P248" s="520"/>
      <c r="Q248" s="520"/>
      <c r="R248" s="520"/>
      <c r="S248" s="520"/>
      <c r="T248" s="520"/>
      <c r="U248" s="520"/>
      <c r="V248" s="520"/>
      <c r="W248" s="520"/>
      <c r="X248" s="518"/>
      <c r="Y248" s="518"/>
      <c r="Z248" s="518"/>
      <c r="AA248" s="518"/>
      <c r="AB248" s="531">
        <f t="shared" si="81"/>
        <v>0</v>
      </c>
      <c r="AC248" s="505">
        <f t="shared" si="82"/>
        <v>0</v>
      </c>
      <c r="AD248" s="508">
        <f t="shared" si="83"/>
        <v>0</v>
      </c>
      <c r="AE248" s="521">
        <f t="shared" si="84"/>
        <v>0</v>
      </c>
      <c r="AF248" s="505"/>
      <c r="AG248" s="505"/>
      <c r="AH248" s="508"/>
      <c r="AI248" s="521"/>
      <c r="AJ248" s="522"/>
      <c r="AK248" s="506"/>
      <c r="AL248" s="505"/>
      <c r="AM248" s="522"/>
      <c r="AN248" s="506"/>
      <c r="AO248" s="523"/>
      <c r="AP248" s="506"/>
      <c r="AQ248" s="505"/>
      <c r="AR248" s="522"/>
      <c r="AS248" s="524"/>
      <c r="AT248" s="525"/>
      <c r="AU248" s="526"/>
      <c r="AV248" s="434"/>
      <c r="AW248" s="434"/>
      <c r="AX248" s="575" t="str">
        <f t="shared" si="79"/>
        <v xml:space="preserve"> </v>
      </c>
      <c r="AY248" s="524"/>
      <c r="AZ248" s="506"/>
      <c r="BA248" s="524"/>
    </row>
    <row r="249" spans="1:53" ht="15" customHeight="1" x14ac:dyDescent="0.2">
      <c r="A249" s="25"/>
      <c r="B249" s="1460" t="s">
        <v>972</v>
      </c>
      <c r="C249" s="14" t="s">
        <v>921</v>
      </c>
      <c r="D249" s="527"/>
      <c r="E249" s="528"/>
      <c r="F249" s="518"/>
      <c r="G249" s="518"/>
      <c r="H249" s="518"/>
      <c r="I249" s="518"/>
      <c r="J249" s="518"/>
      <c r="K249" s="519"/>
      <c r="L249" s="518"/>
      <c r="M249" s="518"/>
      <c r="N249" s="518"/>
      <c r="O249" s="518"/>
      <c r="P249" s="520"/>
      <c r="Q249" s="520"/>
      <c r="R249" s="520"/>
      <c r="S249" s="520"/>
      <c r="T249" s="520"/>
      <c r="U249" s="520"/>
      <c r="V249" s="520"/>
      <c r="W249" s="520"/>
      <c r="X249" s="518"/>
      <c r="Y249" s="518"/>
      <c r="Z249" s="518"/>
      <c r="AA249" s="518"/>
      <c r="AB249" s="531">
        <f t="shared" si="81"/>
        <v>0</v>
      </c>
      <c r="AC249" s="505">
        <f t="shared" si="82"/>
        <v>0</v>
      </c>
      <c r="AD249" s="508">
        <f t="shared" si="83"/>
        <v>0</v>
      </c>
      <c r="AE249" s="521">
        <f t="shared" si="84"/>
        <v>0</v>
      </c>
      <c r="AF249" s="505"/>
      <c r="AG249" s="505"/>
      <c r="AH249" s="508"/>
      <c r="AI249" s="521">
        <f>'A. Revenue by function'!N132</f>
        <v>0</v>
      </c>
      <c r="AJ249" s="522" t="str">
        <f>'C. Other Revenues'!B207</f>
        <v>C.1</v>
      </c>
      <c r="AK249" s="506">
        <f>'C. Other Revenues'!K224</f>
        <v>0</v>
      </c>
      <c r="AL249" s="505"/>
      <c r="AM249" s="522" t="str">
        <f>'C. Other Revenues'!B207</f>
        <v>C.1</v>
      </c>
      <c r="AN249" s="506">
        <f>'C. Other Revenues'!M224</f>
        <v>0</v>
      </c>
      <c r="AO249" s="523"/>
      <c r="AP249" s="506"/>
      <c r="AQ249" s="505"/>
      <c r="AR249" s="522"/>
      <c r="AS249" s="524"/>
      <c r="AT249" s="525"/>
      <c r="AU249" s="526"/>
      <c r="AV249" s="467">
        <f>ROUND(AD249+AF249+AH249+AK249+AP249+AT249,0)</f>
        <v>0</v>
      </c>
      <c r="AW249" s="467">
        <f>ROUND(AE249+AG249+AI249+AN249+AS249+AU249,0)</f>
        <v>0</v>
      </c>
      <c r="AX249" s="575" t="str">
        <f t="shared" si="79"/>
        <v xml:space="preserve"> </v>
      </c>
      <c r="AY249" s="524">
        <f t="shared" si="80"/>
        <v>0</v>
      </c>
      <c r="AZ249" s="506"/>
      <c r="BA249" s="524"/>
    </row>
    <row r="250" spans="1:53" ht="15" customHeight="1" x14ac:dyDescent="0.2">
      <c r="A250" s="25"/>
      <c r="B250" s="1460"/>
      <c r="C250" s="14" t="s">
        <v>1007</v>
      </c>
      <c r="D250" s="527"/>
      <c r="E250" s="528"/>
      <c r="F250" s="518"/>
      <c r="G250" s="518"/>
      <c r="H250" s="518"/>
      <c r="I250" s="518"/>
      <c r="J250" s="518"/>
      <c r="K250" s="519"/>
      <c r="L250" s="518"/>
      <c r="M250" s="518"/>
      <c r="N250" s="518"/>
      <c r="O250" s="518"/>
      <c r="P250" s="520"/>
      <c r="Q250" s="520"/>
      <c r="R250" s="520"/>
      <c r="S250" s="520"/>
      <c r="T250" s="520"/>
      <c r="U250" s="520"/>
      <c r="V250" s="520"/>
      <c r="W250" s="520"/>
      <c r="X250" s="518"/>
      <c r="Y250" s="518"/>
      <c r="Z250" s="518"/>
      <c r="AA250" s="518"/>
      <c r="AB250" s="531">
        <f t="shared" si="81"/>
        <v>0</v>
      </c>
      <c r="AC250" s="505">
        <f t="shared" si="82"/>
        <v>0</v>
      </c>
      <c r="AD250" s="508">
        <f t="shared" si="83"/>
        <v>0</v>
      </c>
      <c r="AE250" s="521">
        <f t="shared" si="84"/>
        <v>0</v>
      </c>
      <c r="AF250" s="505"/>
      <c r="AG250" s="505"/>
      <c r="AH250" s="508"/>
      <c r="AI250" s="521">
        <f>'A. Revenue by function'!N133</f>
        <v>0</v>
      </c>
      <c r="AJ250" s="522" t="str">
        <f>'C. Other Revenues'!B207</f>
        <v>C.1</v>
      </c>
      <c r="AK250" s="506">
        <f>'C. Other Revenues'!K234</f>
        <v>0</v>
      </c>
      <c r="AL250" s="505"/>
      <c r="AM250" s="522" t="str">
        <f>'C. Other Revenues'!B207</f>
        <v>C.1</v>
      </c>
      <c r="AN250" s="506">
        <f>'C. Other Revenues'!M234</f>
        <v>0</v>
      </c>
      <c r="AO250" s="523"/>
      <c r="AP250" s="506"/>
      <c r="AQ250" s="505"/>
      <c r="AR250" s="522" t="str">
        <f>'L. Eliminations-Consolidations'!A237</f>
        <v>L.7</v>
      </c>
      <c r="AS250" s="524">
        <f>'L. Eliminations-Consolidations'!L255</f>
        <v>0</v>
      </c>
      <c r="AT250" s="525"/>
      <c r="AU250" s="526"/>
      <c r="AV250" s="467">
        <f>ROUND(AD250+AF250+AH250+AK250+AP250+AT250,0)</f>
        <v>0</v>
      </c>
      <c r="AW250" s="467">
        <f>ROUND(AE250+AG250+AI250+AN250+AS250+AU250,0)</f>
        <v>0</v>
      </c>
      <c r="AX250" s="575" t="str">
        <f t="shared" si="79"/>
        <v xml:space="preserve"> </v>
      </c>
      <c r="AY250" s="524">
        <f t="shared" si="80"/>
        <v>0</v>
      </c>
      <c r="AZ250" s="506"/>
      <c r="BA250" s="524"/>
    </row>
    <row r="251" spans="1:53" ht="15" customHeight="1" x14ac:dyDescent="0.2">
      <c r="A251" s="25"/>
      <c r="B251" s="1460"/>
      <c r="C251" s="14" t="s">
        <v>1008</v>
      </c>
      <c r="D251" s="527"/>
      <c r="E251" s="528"/>
      <c r="F251" s="518"/>
      <c r="G251" s="518"/>
      <c r="H251" s="518"/>
      <c r="I251" s="518"/>
      <c r="J251" s="518"/>
      <c r="K251" s="519"/>
      <c r="L251" s="518"/>
      <c r="M251" s="518"/>
      <c r="N251" s="518"/>
      <c r="O251" s="518"/>
      <c r="P251" s="520"/>
      <c r="Q251" s="520"/>
      <c r="R251" s="520"/>
      <c r="S251" s="520"/>
      <c r="T251" s="520"/>
      <c r="U251" s="520"/>
      <c r="V251" s="520"/>
      <c r="W251" s="520"/>
      <c r="X251" s="518"/>
      <c r="Y251" s="518"/>
      <c r="Z251" s="518"/>
      <c r="AA251" s="518"/>
      <c r="AB251" s="531">
        <f t="shared" si="81"/>
        <v>0</v>
      </c>
      <c r="AC251" s="505">
        <f t="shared" si="82"/>
        <v>0</v>
      </c>
      <c r="AD251" s="508">
        <f t="shared" si="83"/>
        <v>0</v>
      </c>
      <c r="AE251" s="521">
        <f t="shared" si="84"/>
        <v>0</v>
      </c>
      <c r="AF251" s="505"/>
      <c r="AG251" s="505"/>
      <c r="AH251" s="508"/>
      <c r="AI251" s="521">
        <f>'A. Revenue by function'!N134</f>
        <v>0</v>
      </c>
      <c r="AJ251" s="522" t="str">
        <f>'C. Other Revenues'!B207</f>
        <v>C.1</v>
      </c>
      <c r="AK251" s="506">
        <f>'C. Other Revenues'!K244</f>
        <v>0</v>
      </c>
      <c r="AL251" s="505"/>
      <c r="AM251" s="522" t="str">
        <f>'C. Other Revenues'!B207</f>
        <v>C.1</v>
      </c>
      <c r="AN251" s="506">
        <f>'C. Other Revenues'!M244</f>
        <v>0</v>
      </c>
      <c r="AO251" s="523"/>
      <c r="AP251" s="506"/>
      <c r="AQ251" s="505"/>
      <c r="AR251" s="522" t="str">
        <f>'L. Eliminations-Consolidations'!A237</f>
        <v>L.7</v>
      </c>
      <c r="AS251" s="524">
        <f>'L. Eliminations-Consolidations'!L264</f>
        <v>0</v>
      </c>
      <c r="AT251" s="525"/>
      <c r="AU251" s="526"/>
      <c r="AV251" s="467">
        <f>ROUND(AD251+AF251+AH251+AK251+AP251+AT251,0)</f>
        <v>0</v>
      </c>
      <c r="AW251" s="467">
        <f>ROUND(AE251+AG251+AI251+AN251+AS251+AU251,0)</f>
        <v>0</v>
      </c>
      <c r="AX251" s="575" t="str">
        <f t="shared" si="79"/>
        <v xml:space="preserve"> </v>
      </c>
      <c r="AY251" s="524">
        <f t="shared" si="80"/>
        <v>0</v>
      </c>
      <c r="AZ251" s="506"/>
      <c r="BA251" s="524"/>
    </row>
    <row r="252" spans="1:53" ht="12.75" customHeight="1" x14ac:dyDescent="0.2">
      <c r="A252" s="25"/>
      <c r="B252" s="265"/>
      <c r="C252" s="14"/>
      <c r="D252" s="527"/>
      <c r="E252" s="528"/>
      <c r="F252" s="518"/>
      <c r="G252" s="518"/>
      <c r="H252" s="518"/>
      <c r="I252" s="518"/>
      <c r="J252" s="518"/>
      <c r="K252" s="519"/>
      <c r="L252" s="518"/>
      <c r="M252" s="518"/>
      <c r="N252" s="518"/>
      <c r="O252" s="518"/>
      <c r="P252" s="520"/>
      <c r="Q252" s="520"/>
      <c r="R252" s="520"/>
      <c r="S252" s="520"/>
      <c r="T252" s="520"/>
      <c r="U252" s="520"/>
      <c r="V252" s="520"/>
      <c r="W252" s="520"/>
      <c r="X252" s="518"/>
      <c r="Y252" s="518"/>
      <c r="Z252" s="518"/>
      <c r="AA252" s="518"/>
      <c r="AB252" s="531">
        <f t="shared" si="81"/>
        <v>0</v>
      </c>
      <c r="AC252" s="505">
        <f t="shared" si="82"/>
        <v>0</v>
      </c>
      <c r="AD252" s="508">
        <f t="shared" si="83"/>
        <v>0</v>
      </c>
      <c r="AE252" s="521">
        <f t="shared" si="84"/>
        <v>0</v>
      </c>
      <c r="AF252" s="505"/>
      <c r="AG252" s="505"/>
      <c r="AH252" s="508"/>
      <c r="AI252" s="521"/>
      <c r="AJ252" s="522"/>
      <c r="AK252" s="506"/>
      <c r="AL252" s="505"/>
      <c r="AM252" s="522"/>
      <c r="AO252" s="523"/>
      <c r="AP252" s="506"/>
      <c r="AQ252" s="505"/>
      <c r="AR252" s="522"/>
      <c r="AS252" s="524"/>
      <c r="AT252" s="525"/>
      <c r="AU252" s="526"/>
      <c r="AV252" s="434"/>
      <c r="AW252" s="434"/>
      <c r="AX252" s="575" t="str">
        <f t="shared" si="79"/>
        <v xml:space="preserve"> </v>
      </c>
      <c r="AY252" s="524"/>
      <c r="AZ252" s="506"/>
      <c r="BA252" s="524"/>
    </row>
    <row r="253" spans="1:53" ht="15" customHeight="1" x14ac:dyDescent="0.2">
      <c r="A253" s="25"/>
      <c r="B253" s="376" t="s">
        <v>740</v>
      </c>
      <c r="C253" s="14"/>
      <c r="D253" s="527"/>
      <c r="E253" s="528"/>
      <c r="F253" s="518"/>
      <c r="G253" s="518"/>
      <c r="H253" s="518"/>
      <c r="I253" s="518"/>
      <c r="J253" s="518"/>
      <c r="K253" s="519"/>
      <c r="L253" s="518"/>
      <c r="M253" s="518"/>
      <c r="N253" s="518"/>
      <c r="O253" s="518"/>
      <c r="P253" s="520"/>
      <c r="Q253" s="520"/>
      <c r="R253" s="520"/>
      <c r="S253" s="520"/>
      <c r="T253" s="520"/>
      <c r="U253" s="520"/>
      <c r="V253" s="520"/>
      <c r="W253" s="520"/>
      <c r="X253" s="518"/>
      <c r="Y253" s="518"/>
      <c r="Z253" s="518"/>
      <c r="AA253" s="518"/>
      <c r="AB253" s="531">
        <f t="shared" si="81"/>
        <v>0</v>
      </c>
      <c r="AC253" s="505">
        <f t="shared" si="82"/>
        <v>0</v>
      </c>
      <c r="AD253" s="508">
        <f t="shared" si="83"/>
        <v>0</v>
      </c>
      <c r="AE253" s="521">
        <f t="shared" si="84"/>
        <v>0</v>
      </c>
      <c r="AF253" s="505"/>
      <c r="AG253" s="505"/>
      <c r="AH253" s="508"/>
      <c r="AI253" s="521"/>
      <c r="AJ253" s="522"/>
      <c r="AK253" s="506"/>
      <c r="AL253" s="505"/>
      <c r="AM253" s="522"/>
      <c r="AN253" s="506"/>
      <c r="AO253" s="523"/>
      <c r="AP253" s="506"/>
      <c r="AQ253" s="505"/>
      <c r="AR253" s="522"/>
      <c r="AS253" s="524"/>
      <c r="AT253" s="525"/>
      <c r="AU253" s="526"/>
      <c r="AV253" s="434"/>
      <c r="AW253" s="434"/>
      <c r="AX253" s="575" t="str">
        <f t="shared" si="79"/>
        <v xml:space="preserve"> </v>
      </c>
      <c r="AY253" s="524"/>
      <c r="AZ253" s="506"/>
      <c r="BA253" s="524"/>
    </row>
    <row r="254" spans="1:53" ht="14.25" customHeight="1" x14ac:dyDescent="0.2">
      <c r="A254" s="25"/>
      <c r="B254" s="1460" t="s">
        <v>972</v>
      </c>
      <c r="C254" s="14" t="s">
        <v>921</v>
      </c>
      <c r="D254" s="527"/>
      <c r="E254" s="528"/>
      <c r="F254" s="518"/>
      <c r="G254" s="518"/>
      <c r="H254" s="518"/>
      <c r="I254" s="518"/>
      <c r="J254" s="518"/>
      <c r="K254" s="519"/>
      <c r="L254" s="518"/>
      <c r="M254" s="518"/>
      <c r="N254" s="518"/>
      <c r="O254" s="518"/>
      <c r="P254" s="520"/>
      <c r="Q254" s="520"/>
      <c r="R254" s="520"/>
      <c r="S254" s="520"/>
      <c r="T254" s="520"/>
      <c r="U254" s="520"/>
      <c r="V254" s="520"/>
      <c r="W254" s="520"/>
      <c r="X254" s="518"/>
      <c r="Y254" s="518"/>
      <c r="Z254" s="518"/>
      <c r="AA254" s="518"/>
      <c r="AB254" s="531">
        <f t="shared" si="81"/>
        <v>0</v>
      </c>
      <c r="AC254" s="505">
        <f t="shared" si="82"/>
        <v>0</v>
      </c>
      <c r="AD254" s="508">
        <f t="shared" si="83"/>
        <v>0</v>
      </c>
      <c r="AE254" s="521">
        <f t="shared" si="84"/>
        <v>0</v>
      </c>
      <c r="AF254" s="505"/>
      <c r="AG254" s="505"/>
      <c r="AH254" s="508"/>
      <c r="AI254" s="521">
        <f>'A. Revenue by function'!N135</f>
        <v>0</v>
      </c>
      <c r="AJ254" s="522" t="str">
        <f>'C. Other Revenues'!B207</f>
        <v>C.1</v>
      </c>
      <c r="AK254" s="506">
        <f>'C. Other Revenues'!K225</f>
        <v>0</v>
      </c>
      <c r="AL254" s="505"/>
      <c r="AM254" s="522" t="str">
        <f>'C. Other Revenues'!B207</f>
        <v>C.1</v>
      </c>
      <c r="AN254" s="506">
        <f>'C. Other Revenues'!M225</f>
        <v>0</v>
      </c>
      <c r="AO254" s="523"/>
      <c r="AP254" s="506"/>
      <c r="AQ254" s="505"/>
      <c r="AR254" s="522"/>
      <c r="AS254" s="524"/>
      <c r="AT254" s="525"/>
      <c r="AU254" s="526"/>
      <c r="AV254" s="467">
        <f>ROUND(AD254+AF254+AH254+AK254+AP254+AT254,0)</f>
        <v>0</v>
      </c>
      <c r="AW254" s="467">
        <f>ROUND(AE254+AG254+AI254+AN254+AS254+AU254,0)</f>
        <v>0</v>
      </c>
      <c r="AX254" s="575" t="str">
        <f t="shared" si="79"/>
        <v xml:space="preserve"> </v>
      </c>
      <c r="AY254" s="524">
        <f t="shared" si="80"/>
        <v>0</v>
      </c>
      <c r="AZ254" s="506"/>
      <c r="BA254" s="524"/>
    </row>
    <row r="255" spans="1:53" ht="15" customHeight="1" x14ac:dyDescent="0.2">
      <c r="A255" s="25"/>
      <c r="B255" s="1460"/>
      <c r="C255" s="14" t="s">
        <v>1007</v>
      </c>
      <c r="D255" s="527"/>
      <c r="E255" s="528"/>
      <c r="F255" s="518"/>
      <c r="G255" s="518"/>
      <c r="H255" s="518"/>
      <c r="I255" s="518"/>
      <c r="J255" s="518"/>
      <c r="K255" s="519"/>
      <c r="L255" s="518"/>
      <c r="M255" s="518"/>
      <c r="N255" s="518"/>
      <c r="O255" s="518"/>
      <c r="P255" s="520"/>
      <c r="Q255" s="520"/>
      <c r="R255" s="520"/>
      <c r="S255" s="520"/>
      <c r="T255" s="520"/>
      <c r="U255" s="520"/>
      <c r="V255" s="520"/>
      <c r="W255" s="520"/>
      <c r="X255" s="518"/>
      <c r="Y255" s="518"/>
      <c r="Z255" s="518"/>
      <c r="AA255" s="518"/>
      <c r="AB255" s="531">
        <f t="shared" si="81"/>
        <v>0</v>
      </c>
      <c r="AC255" s="505">
        <f t="shared" si="82"/>
        <v>0</v>
      </c>
      <c r="AD255" s="508">
        <f t="shared" si="83"/>
        <v>0</v>
      </c>
      <c r="AE255" s="521">
        <f t="shared" si="84"/>
        <v>0</v>
      </c>
      <c r="AF255" s="505"/>
      <c r="AG255" s="505"/>
      <c r="AH255" s="508"/>
      <c r="AI255" s="521">
        <f>'A. Revenue by function'!N136</f>
        <v>0</v>
      </c>
      <c r="AJ255" s="522" t="str">
        <f>'C. Other Revenues'!B207</f>
        <v>C.1</v>
      </c>
      <c r="AK255" s="506">
        <f>'C. Other Revenues'!K235</f>
        <v>0</v>
      </c>
      <c r="AL255" s="505"/>
      <c r="AM255" s="522" t="str">
        <f>'C. Other Revenues'!B207</f>
        <v>C.1</v>
      </c>
      <c r="AN255" s="506">
        <f>'C. Other Revenues'!M235</f>
        <v>0</v>
      </c>
      <c r="AO255" s="523"/>
      <c r="AP255" s="506"/>
      <c r="AQ255" s="505"/>
      <c r="AR255" s="522" t="str">
        <f>'L. Eliminations-Consolidations'!A237</f>
        <v>L.7</v>
      </c>
      <c r="AS255" s="524">
        <f>'L. Eliminations-Consolidations'!L256</f>
        <v>0</v>
      </c>
      <c r="AT255" s="525"/>
      <c r="AU255" s="526"/>
      <c r="AV255" s="467">
        <f>ROUND(AD255+AF255+AH255+AK255+AP255+AT255,0)</f>
        <v>0</v>
      </c>
      <c r="AW255" s="467">
        <f>ROUND(AE255+AG255+AI255+AN255+AS255+AU255,0)</f>
        <v>0</v>
      </c>
      <c r="AX255" s="575" t="str">
        <f t="shared" si="79"/>
        <v xml:space="preserve"> </v>
      </c>
      <c r="AY255" s="524">
        <f t="shared" si="80"/>
        <v>0</v>
      </c>
      <c r="AZ255" s="506"/>
      <c r="BA255" s="524"/>
    </row>
    <row r="256" spans="1:53" ht="15" customHeight="1" x14ac:dyDescent="0.2">
      <c r="A256" s="25"/>
      <c r="B256" s="1460"/>
      <c r="C256" s="14" t="s">
        <v>1008</v>
      </c>
      <c r="D256" s="527"/>
      <c r="E256" s="528"/>
      <c r="F256" s="518"/>
      <c r="G256" s="518"/>
      <c r="H256" s="518"/>
      <c r="I256" s="518"/>
      <c r="J256" s="518"/>
      <c r="K256" s="519"/>
      <c r="L256" s="518"/>
      <c r="M256" s="518"/>
      <c r="N256" s="518"/>
      <c r="O256" s="518"/>
      <c r="P256" s="520"/>
      <c r="Q256" s="520"/>
      <c r="R256" s="520"/>
      <c r="S256" s="520"/>
      <c r="T256" s="520"/>
      <c r="U256" s="520"/>
      <c r="V256" s="520"/>
      <c r="W256" s="520"/>
      <c r="X256" s="518"/>
      <c r="Y256" s="518"/>
      <c r="Z256" s="518"/>
      <c r="AA256" s="518"/>
      <c r="AB256" s="531">
        <f t="shared" si="81"/>
        <v>0</v>
      </c>
      <c r="AC256" s="505">
        <f t="shared" si="82"/>
        <v>0</v>
      </c>
      <c r="AD256" s="508">
        <f t="shared" si="83"/>
        <v>0</v>
      </c>
      <c r="AE256" s="521">
        <f t="shared" si="84"/>
        <v>0</v>
      </c>
      <c r="AF256" s="505"/>
      <c r="AG256" s="505"/>
      <c r="AH256" s="508"/>
      <c r="AI256" s="521">
        <f>'A. Revenue by function'!N137</f>
        <v>0</v>
      </c>
      <c r="AJ256" s="522" t="str">
        <f>'C. Other Revenues'!B207</f>
        <v>C.1</v>
      </c>
      <c r="AK256" s="506">
        <f>'C. Other Revenues'!K245</f>
        <v>0</v>
      </c>
      <c r="AL256" s="505"/>
      <c r="AM256" s="522" t="str">
        <f>'C. Other Revenues'!B207</f>
        <v>C.1</v>
      </c>
      <c r="AN256" s="506">
        <f>'C. Other Revenues'!M245</f>
        <v>0</v>
      </c>
      <c r="AO256" s="523"/>
      <c r="AP256" s="506"/>
      <c r="AQ256" s="505"/>
      <c r="AR256" s="522" t="str">
        <f>'L. Eliminations-Consolidations'!A237</f>
        <v>L.7</v>
      </c>
      <c r="AS256" s="524">
        <f>'L. Eliminations-Consolidations'!L265</f>
        <v>0</v>
      </c>
      <c r="AT256" s="525"/>
      <c r="AU256" s="526"/>
      <c r="AV256" s="467">
        <f>ROUND(AD256+AF256+AH256+AK256+AP256+AT256,0)</f>
        <v>0</v>
      </c>
      <c r="AW256" s="467">
        <f>ROUND(AE256+AG256+AI256+AN256+AS256+AU256,0)</f>
        <v>0</v>
      </c>
      <c r="AX256" s="575" t="str">
        <f t="shared" si="79"/>
        <v xml:space="preserve"> </v>
      </c>
      <c r="AY256" s="524">
        <f t="shared" si="80"/>
        <v>0</v>
      </c>
      <c r="AZ256" s="506"/>
      <c r="BA256" s="524"/>
    </row>
    <row r="257" spans="1:56" ht="15" customHeight="1" x14ac:dyDescent="0.2">
      <c r="A257" s="25"/>
      <c r="B257" s="265"/>
      <c r="C257" s="14"/>
      <c r="D257" s="527"/>
      <c r="E257" s="528"/>
      <c r="F257" s="518"/>
      <c r="G257" s="518"/>
      <c r="H257" s="518"/>
      <c r="I257" s="518"/>
      <c r="J257" s="518"/>
      <c r="K257" s="519"/>
      <c r="L257" s="518"/>
      <c r="M257" s="518"/>
      <c r="N257" s="518"/>
      <c r="O257" s="518"/>
      <c r="P257" s="520"/>
      <c r="Q257" s="520"/>
      <c r="R257" s="520"/>
      <c r="S257" s="520"/>
      <c r="T257" s="520"/>
      <c r="U257" s="520"/>
      <c r="V257" s="520"/>
      <c r="W257" s="520"/>
      <c r="X257" s="518"/>
      <c r="Y257" s="518"/>
      <c r="Z257" s="518"/>
      <c r="AA257" s="518"/>
      <c r="AB257" s="531">
        <f t="shared" si="81"/>
        <v>0</v>
      </c>
      <c r="AC257" s="505">
        <f t="shared" si="82"/>
        <v>0</v>
      </c>
      <c r="AD257" s="508">
        <f t="shared" si="83"/>
        <v>0</v>
      </c>
      <c r="AE257" s="521">
        <f t="shared" si="84"/>
        <v>0</v>
      </c>
      <c r="AF257" s="505"/>
      <c r="AG257" s="505"/>
      <c r="AH257" s="508"/>
      <c r="AI257" s="521"/>
      <c r="AJ257" s="522"/>
      <c r="AK257" s="506"/>
      <c r="AL257" s="505"/>
      <c r="AO257" s="523"/>
      <c r="AP257" s="506"/>
      <c r="AQ257" s="505"/>
      <c r="AR257" s="522"/>
      <c r="AS257" s="524"/>
      <c r="AT257" s="525"/>
      <c r="AU257" s="526"/>
      <c r="AV257" s="434"/>
      <c r="AW257" s="434"/>
      <c r="AX257" s="575" t="str">
        <f t="shared" si="79"/>
        <v xml:space="preserve"> </v>
      </c>
      <c r="AY257" s="524"/>
      <c r="AZ257" s="506"/>
      <c r="BA257" s="524"/>
      <c r="BC257" s="14"/>
    </row>
    <row r="258" spans="1:56" ht="18" customHeight="1" x14ac:dyDescent="0.2">
      <c r="A258" s="1459" t="s">
        <v>736</v>
      </c>
      <c r="B258" s="1457"/>
      <c r="C258" s="1458"/>
      <c r="D258" s="527"/>
      <c r="E258" s="528"/>
      <c r="F258" s="505"/>
      <c r="G258" s="518"/>
      <c r="H258" s="518"/>
      <c r="I258" s="518"/>
      <c r="J258" s="518"/>
      <c r="K258" s="519"/>
      <c r="L258" s="518"/>
      <c r="M258" s="518"/>
      <c r="N258" s="518"/>
      <c r="O258" s="518"/>
      <c r="P258" s="520"/>
      <c r="Q258" s="520"/>
      <c r="R258" s="520"/>
      <c r="S258" s="520"/>
      <c r="T258" s="520"/>
      <c r="U258" s="520"/>
      <c r="V258" s="520"/>
      <c r="W258" s="520"/>
      <c r="X258" s="518"/>
      <c r="Y258" s="518"/>
      <c r="Z258" s="518"/>
      <c r="AA258" s="518"/>
      <c r="AB258" s="531">
        <f t="shared" si="81"/>
        <v>0</v>
      </c>
      <c r="AC258" s="505">
        <f t="shared" si="82"/>
        <v>0</v>
      </c>
      <c r="AD258" s="508">
        <f t="shared" si="83"/>
        <v>0</v>
      </c>
      <c r="AE258" s="521">
        <f t="shared" si="84"/>
        <v>0</v>
      </c>
      <c r="AF258" s="505"/>
      <c r="AG258" s="505"/>
      <c r="AH258" s="508"/>
      <c r="AI258" s="521"/>
      <c r="AJ258" s="522"/>
      <c r="AK258" s="506"/>
      <c r="AL258" s="505"/>
      <c r="AM258" s="522"/>
      <c r="AN258" s="506"/>
      <c r="AO258" s="523"/>
      <c r="AP258" s="506"/>
      <c r="AQ258" s="505"/>
      <c r="AR258" s="522"/>
      <c r="AS258" s="524"/>
      <c r="AT258" s="525"/>
      <c r="AU258" s="526"/>
      <c r="AV258" s="434"/>
      <c r="AW258" s="434"/>
      <c r="AX258" s="575" t="str">
        <f t="shared" si="79"/>
        <v xml:space="preserve"> </v>
      </c>
      <c r="AY258" s="524"/>
      <c r="AZ258" s="506"/>
      <c r="BA258" s="524"/>
      <c r="BC258" s="14"/>
    </row>
    <row r="259" spans="1:56" ht="9" customHeight="1" x14ac:dyDescent="0.2">
      <c r="A259" s="270"/>
      <c r="B259" s="44"/>
      <c r="C259" s="394"/>
      <c r="D259" s="527"/>
      <c r="E259" s="528"/>
      <c r="F259" s="505"/>
      <c r="G259" s="518"/>
      <c r="H259" s="518"/>
      <c r="I259" s="518"/>
      <c r="J259" s="518"/>
      <c r="K259" s="519"/>
      <c r="L259" s="518"/>
      <c r="M259" s="518"/>
      <c r="N259" s="518"/>
      <c r="O259" s="518"/>
      <c r="P259" s="520"/>
      <c r="Q259" s="520"/>
      <c r="R259" s="520"/>
      <c r="S259" s="520"/>
      <c r="T259" s="520"/>
      <c r="U259" s="520"/>
      <c r="V259" s="520"/>
      <c r="W259" s="520"/>
      <c r="X259" s="518"/>
      <c r="Y259" s="518"/>
      <c r="Z259" s="518"/>
      <c r="AA259" s="518"/>
      <c r="AB259" s="531">
        <f t="shared" si="81"/>
        <v>0</v>
      </c>
      <c r="AC259" s="505">
        <f t="shared" si="82"/>
        <v>0</v>
      </c>
      <c r="AD259" s="508">
        <f t="shared" si="83"/>
        <v>0</v>
      </c>
      <c r="AE259" s="521">
        <f t="shared" si="84"/>
        <v>0</v>
      </c>
      <c r="AF259" s="505"/>
      <c r="AG259" s="505"/>
      <c r="AH259" s="508"/>
      <c r="AI259" s="521"/>
      <c r="AJ259" s="522"/>
      <c r="AK259" s="506"/>
      <c r="AL259" s="505"/>
      <c r="AM259" s="522"/>
      <c r="AN259" s="506"/>
      <c r="AO259" s="523"/>
      <c r="AP259" s="506"/>
      <c r="AQ259" s="505"/>
      <c r="AR259" s="522"/>
      <c r="AS259" s="524"/>
      <c r="AT259" s="525"/>
      <c r="AU259" s="526"/>
      <c r="AV259" s="434"/>
      <c r="AW259" s="434"/>
      <c r="AX259" s="575" t="str">
        <f t="shared" si="79"/>
        <v xml:space="preserve"> </v>
      </c>
      <c r="AY259" s="524"/>
      <c r="AZ259" s="506"/>
      <c r="BA259" s="524"/>
      <c r="BC259" s="14"/>
    </row>
    <row r="260" spans="1:56" x14ac:dyDescent="0.2">
      <c r="A260" s="33"/>
      <c r="B260" s="271" t="s">
        <v>920</v>
      </c>
      <c r="C260" s="248"/>
      <c r="D260" s="542"/>
      <c r="E260" s="543"/>
      <c r="F260" s="544"/>
      <c r="G260" s="544"/>
      <c r="H260" s="544"/>
      <c r="I260" s="544"/>
      <c r="J260" s="544"/>
      <c r="K260" s="545"/>
      <c r="L260" s="544"/>
      <c r="M260" s="544"/>
      <c r="N260" s="544"/>
      <c r="O260" s="544"/>
      <c r="P260" s="546"/>
      <c r="Q260" s="546"/>
      <c r="R260" s="546"/>
      <c r="S260" s="546"/>
      <c r="T260" s="546"/>
      <c r="U260" s="546"/>
      <c r="V260" s="546"/>
      <c r="W260" s="546"/>
      <c r="X260" s="544"/>
      <c r="Y260" s="544"/>
      <c r="Z260" s="544"/>
      <c r="AA260" s="544"/>
      <c r="AB260" s="547">
        <f t="shared" si="81"/>
        <v>0</v>
      </c>
      <c r="AC260" s="548">
        <f t="shared" si="82"/>
        <v>0</v>
      </c>
      <c r="AD260" s="549">
        <f t="shared" si="83"/>
        <v>0</v>
      </c>
      <c r="AE260" s="550">
        <f t="shared" si="84"/>
        <v>0</v>
      </c>
      <c r="AF260" s="548"/>
      <c r="AG260" s="548"/>
      <c r="AH260" s="549"/>
      <c r="AI260" s="550"/>
      <c r="AJ260" s="551" t="str">
        <f>'D. Depreciation'!A54</f>
        <v>D.1</v>
      </c>
      <c r="AK260" s="552">
        <f>'D. Depreciation'!J54</f>
        <v>0</v>
      </c>
      <c r="AL260" s="548"/>
      <c r="AM260" s="551" t="str">
        <f>'E. Capital Outlay'!D52</f>
        <v>E.1</v>
      </c>
      <c r="AN260" s="552">
        <f>'E. Capital Outlay'!N61</f>
        <v>0</v>
      </c>
      <c r="AO260" s="555" t="s">
        <v>646</v>
      </c>
      <c r="AP260" s="552">
        <f>'K.1  Int. Service Fd Allocation'!E200+'K.2  Int. Service Fd Alloca'!E195+'K.3 Int. Service Fd Alloca'!E199</f>
        <v>0</v>
      </c>
      <c r="AQ260" s="548"/>
      <c r="AR260" s="556" t="s">
        <v>646</v>
      </c>
      <c r="AS260" s="552">
        <f>'K.1  Int. Service Fd Allocation'!G205+'K.2  Int. Service Fd Alloca'!G200+'K.3 Int. Service Fd Alloca'!G204</f>
        <v>0</v>
      </c>
      <c r="AT260" s="557"/>
      <c r="AU260" s="526"/>
      <c r="AV260" s="552">
        <f t="shared" ref="AV260:AV266" si="85">ROUND(AD260+AF260+AH260+AK260+AP260+AT260,0)</f>
        <v>0</v>
      </c>
      <c r="AW260" s="552">
        <f t="shared" ref="AW260:AW266" si="86">ROUND(AE260+AG260+AI260+AN260+AS260+AU260,0)</f>
        <v>0</v>
      </c>
      <c r="AX260" s="577" t="str">
        <f>IF((SUM(AV260:AV269))-(SUM(AW260:AW269))&lt;=0," ",(SUM(AV260:AV269))-(SUM(AW260:AW269)))</f>
        <v xml:space="preserve"> </v>
      </c>
      <c r="AY260" s="554">
        <f>IF((SUM(AV260:AV269))-(SUM(AW260:AW269))&gt;0," ",-(SUM(AV260:AV269))+(SUM(AW260:AW269)))</f>
        <v>0</v>
      </c>
      <c r="BA260" s="524"/>
      <c r="BB260" s="506"/>
      <c r="BC260" s="506"/>
      <c r="BD260" s="690"/>
    </row>
    <row r="261" spans="1:56" x14ac:dyDescent="0.2">
      <c r="A261" s="33"/>
      <c r="B261" s="271"/>
      <c r="C261" s="248"/>
      <c r="D261" s="542"/>
      <c r="E261" s="543"/>
      <c r="F261" s="544"/>
      <c r="G261" s="544"/>
      <c r="H261" s="544"/>
      <c r="I261" s="544"/>
      <c r="J261" s="544"/>
      <c r="K261" s="545"/>
      <c r="L261" s="544"/>
      <c r="M261" s="544"/>
      <c r="N261" s="544"/>
      <c r="O261" s="544"/>
      <c r="P261" s="546"/>
      <c r="Q261" s="546"/>
      <c r="R261" s="546"/>
      <c r="S261" s="546"/>
      <c r="T261" s="546"/>
      <c r="U261" s="546"/>
      <c r="V261" s="546"/>
      <c r="W261" s="546"/>
      <c r="X261" s="544"/>
      <c r="Y261" s="544"/>
      <c r="Z261" s="544"/>
      <c r="AA261" s="544"/>
      <c r="AB261" s="547">
        <f t="shared" si="81"/>
        <v>0</v>
      </c>
      <c r="AC261" s="548">
        <f t="shared" si="82"/>
        <v>0</v>
      </c>
      <c r="AD261" s="549">
        <f t="shared" si="83"/>
        <v>0</v>
      </c>
      <c r="AE261" s="550">
        <f t="shared" si="84"/>
        <v>0</v>
      </c>
      <c r="AF261" s="548"/>
      <c r="AG261" s="548"/>
      <c r="AH261" s="549"/>
      <c r="AI261" s="550"/>
      <c r="AJ261" s="551" t="str">
        <f>'F.  Other Cap Asset Entries'!D220</f>
        <v>F.1</v>
      </c>
      <c r="AK261" s="552">
        <f>'F.  Other Cap Asset Entries'!M229</f>
        <v>0</v>
      </c>
      <c r="AL261" s="548"/>
      <c r="AM261" s="566" t="str">
        <f>'I.  Other Asset Entries'!B108</f>
        <v>I.1</v>
      </c>
      <c r="AN261" s="552">
        <f>'I.  Other Asset Entries'!N113</f>
        <v>0</v>
      </c>
      <c r="AO261" s="553" t="str">
        <f>'L. Eliminations-Consolidations'!A237</f>
        <v>L.7</v>
      </c>
      <c r="AP261" s="552">
        <f>'L. Eliminations-Consolidations'!J237</f>
        <v>0</v>
      </c>
      <c r="AQ261" s="548"/>
      <c r="AR261" s="551" t="str">
        <f>'L. Eliminations-Consolidations'!A215</f>
        <v>L.5</v>
      </c>
      <c r="AS261" s="554">
        <f>'L. Eliminations-Consolidations'!L217</f>
        <v>0</v>
      </c>
      <c r="AT261" s="525"/>
      <c r="AU261" s="526"/>
      <c r="AV261" s="552">
        <f t="shared" si="85"/>
        <v>0</v>
      </c>
      <c r="AW261" s="552">
        <f t="shared" si="86"/>
        <v>0</v>
      </c>
      <c r="AX261" s="577"/>
      <c r="AY261" s="554"/>
      <c r="AZ261" s="506"/>
      <c r="BA261" s="524"/>
      <c r="BC261" s="14"/>
    </row>
    <row r="262" spans="1:56" x14ac:dyDescent="0.2">
      <c r="A262" s="33"/>
      <c r="B262" s="271"/>
      <c r="C262" s="248"/>
      <c r="D262" s="542"/>
      <c r="E262" s="543"/>
      <c r="F262" s="544"/>
      <c r="G262" s="544"/>
      <c r="H262" s="544"/>
      <c r="I262" s="544"/>
      <c r="J262" s="544"/>
      <c r="K262" s="545"/>
      <c r="L262" s="544"/>
      <c r="M262" s="544"/>
      <c r="N262" s="544"/>
      <c r="O262" s="544"/>
      <c r="P262" s="546"/>
      <c r="Q262" s="546"/>
      <c r="R262" s="546"/>
      <c r="S262" s="546"/>
      <c r="T262" s="546"/>
      <c r="U262" s="546"/>
      <c r="V262" s="546"/>
      <c r="W262" s="546"/>
      <c r="X262" s="544"/>
      <c r="Y262" s="544"/>
      <c r="Z262" s="544"/>
      <c r="AA262" s="544"/>
      <c r="AB262" s="547">
        <f t="shared" si="81"/>
        <v>0</v>
      </c>
      <c r="AC262" s="548">
        <f t="shared" si="82"/>
        <v>0</v>
      </c>
      <c r="AD262" s="549">
        <f t="shared" si="83"/>
        <v>0</v>
      </c>
      <c r="AE262" s="550">
        <f t="shared" si="84"/>
        <v>0</v>
      </c>
      <c r="AF262" s="548"/>
      <c r="AG262" s="548"/>
      <c r="AH262" s="549"/>
      <c r="AI262" s="550"/>
      <c r="AJ262" s="551" t="str">
        <f>'H. Debt Issues'!D77</f>
        <v>H.1</v>
      </c>
      <c r="AK262" s="552">
        <f>'H. Debt Issues'!L84</f>
        <v>0</v>
      </c>
      <c r="AL262" s="548"/>
      <c r="AM262" s="551" t="str">
        <f>'J. Other Liability &amp; Expenses'!D203</f>
        <v>J.1</v>
      </c>
      <c r="AN262" s="552">
        <f>'J. Other Liability &amp; Expenses'!N203</f>
        <v>0</v>
      </c>
      <c r="AO262" s="553" t="str">
        <f>'L. Eliminations-Consolidations'!B267</f>
        <v>L.8</v>
      </c>
      <c r="AP262" s="552">
        <f>'L. Eliminations-Consolidations'!J268</f>
        <v>0</v>
      </c>
      <c r="AQ262" s="548"/>
      <c r="AR262" s="551" t="str">
        <f>'L. Eliminations-Consolidations'!B267</f>
        <v>L.8</v>
      </c>
      <c r="AS262" s="554">
        <f>'L. Eliminations-Consolidations'!L268</f>
        <v>0</v>
      </c>
      <c r="AT262" s="525"/>
      <c r="AU262" s="526"/>
      <c r="AV262" s="552">
        <f t="shared" si="85"/>
        <v>0</v>
      </c>
      <c r="AW262" s="552">
        <f t="shared" si="86"/>
        <v>0</v>
      </c>
      <c r="AX262" s="577"/>
      <c r="AY262" s="554"/>
      <c r="AZ262" s="506"/>
      <c r="BA262" s="524"/>
      <c r="BC262" s="14"/>
    </row>
    <row r="263" spans="1:56" x14ac:dyDescent="0.2">
      <c r="A263" s="33"/>
      <c r="B263" s="271"/>
      <c r="C263" s="248"/>
      <c r="D263" s="542"/>
      <c r="E263" s="543"/>
      <c r="F263" s="544"/>
      <c r="G263" s="544"/>
      <c r="H263" s="544"/>
      <c r="I263" s="544"/>
      <c r="J263" s="544"/>
      <c r="K263" s="545"/>
      <c r="L263" s="544"/>
      <c r="M263" s="544"/>
      <c r="N263" s="544"/>
      <c r="O263" s="544"/>
      <c r="P263" s="546"/>
      <c r="Q263" s="546"/>
      <c r="R263" s="546"/>
      <c r="S263" s="546"/>
      <c r="T263" s="546"/>
      <c r="U263" s="546"/>
      <c r="V263" s="546"/>
      <c r="W263" s="546"/>
      <c r="X263" s="544"/>
      <c r="Y263" s="544"/>
      <c r="Z263" s="544"/>
      <c r="AA263" s="544"/>
      <c r="AB263" s="547">
        <f t="shared" si="81"/>
        <v>0</v>
      </c>
      <c r="AC263" s="548">
        <f t="shared" si="82"/>
        <v>0</v>
      </c>
      <c r="AD263" s="549">
        <f t="shared" si="83"/>
        <v>0</v>
      </c>
      <c r="AE263" s="550">
        <f t="shared" si="84"/>
        <v>0</v>
      </c>
      <c r="AF263" s="548"/>
      <c r="AG263" s="548"/>
      <c r="AH263" s="549"/>
      <c r="AI263" s="550"/>
      <c r="AJ263" s="551" t="str">
        <f>'J. Other Liability &amp; Expenses'!D203</f>
        <v>J.1</v>
      </c>
      <c r="AK263" s="552">
        <f>'J. Other Liability &amp; Expenses'!L203</f>
        <v>0</v>
      </c>
      <c r="AL263" s="548"/>
      <c r="AM263" s="551" t="s">
        <v>2074</v>
      </c>
      <c r="AN263" s="552">
        <f>'N.1 GASB 68 LGERS'!D97</f>
        <v>0</v>
      </c>
      <c r="AO263" s="553" t="str">
        <f>'L. Eliminations-Consolidations'!B279</f>
        <v>L.10</v>
      </c>
      <c r="AP263" s="552">
        <f>'L. Eliminations-Consolidations'!J279</f>
        <v>0</v>
      </c>
      <c r="AQ263" s="548"/>
      <c r="AR263" s="551"/>
      <c r="AS263" s="554"/>
      <c r="AT263" s="525"/>
      <c r="AU263" s="526"/>
      <c r="AV263" s="552">
        <f t="shared" si="85"/>
        <v>0</v>
      </c>
      <c r="AW263" s="552">
        <f t="shared" si="86"/>
        <v>0</v>
      </c>
      <c r="AX263" s="577"/>
      <c r="AY263" s="554"/>
      <c r="AZ263" s="506"/>
      <c r="BA263" s="524"/>
      <c r="BC263" s="14"/>
    </row>
    <row r="264" spans="1:56" x14ac:dyDescent="0.2">
      <c r="A264" s="33"/>
      <c r="B264" s="271"/>
      <c r="C264" s="248"/>
      <c r="D264" s="542"/>
      <c r="E264" s="543"/>
      <c r="F264" s="544"/>
      <c r="G264" s="544"/>
      <c r="H264" s="544"/>
      <c r="I264" s="544"/>
      <c r="J264" s="544"/>
      <c r="K264" s="545"/>
      <c r="L264" s="544"/>
      <c r="M264" s="544"/>
      <c r="N264" s="544"/>
      <c r="O264" s="544"/>
      <c r="P264" s="546"/>
      <c r="Q264" s="546"/>
      <c r="R264" s="546"/>
      <c r="S264" s="546"/>
      <c r="T264" s="546"/>
      <c r="U264" s="546"/>
      <c r="V264" s="546"/>
      <c r="W264" s="546"/>
      <c r="X264" s="544"/>
      <c r="Y264" s="544"/>
      <c r="Z264" s="544"/>
      <c r="AA264" s="544"/>
      <c r="AB264" s="547">
        <f>L264+N264+P264+R264+T264+V264+X264+Z264</f>
        <v>0</v>
      </c>
      <c r="AC264" s="548">
        <f>M264+O264+Q264+S264+U264+W264+Y264+AA264</f>
        <v>0</v>
      </c>
      <c r="AD264" s="549">
        <f>D264+F264+H264+J264+AB264</f>
        <v>0</v>
      </c>
      <c r="AE264" s="550">
        <f>E264+G264+I264+K264+AC264</f>
        <v>0</v>
      </c>
      <c r="AF264" s="548"/>
      <c r="AG264" s="548"/>
      <c r="AH264" s="549"/>
      <c r="AI264" s="550"/>
      <c r="AJ264" s="551" t="s">
        <v>633</v>
      </c>
      <c r="AK264" s="552">
        <f>'F.  Other Cap Asset Entries'!M275</f>
        <v>0</v>
      </c>
      <c r="AL264" s="548"/>
      <c r="AM264" s="551" t="s">
        <v>2075</v>
      </c>
      <c r="AN264" s="552">
        <f>'N.2 GASB 68 ROD'!D69</f>
        <v>0</v>
      </c>
      <c r="AO264" s="553"/>
      <c r="AP264" s="552"/>
      <c r="AQ264" s="548"/>
      <c r="AR264" s="551"/>
      <c r="AS264" s="554"/>
      <c r="AT264" s="525"/>
      <c r="AU264" s="526"/>
      <c r="AV264" s="552">
        <f t="shared" si="85"/>
        <v>0</v>
      </c>
      <c r="AW264" s="552">
        <f t="shared" si="86"/>
        <v>0</v>
      </c>
      <c r="AX264" s="577"/>
      <c r="AY264" s="554"/>
      <c r="AZ264" s="506"/>
      <c r="BA264" s="524"/>
      <c r="BC264" s="14"/>
    </row>
    <row r="265" spans="1:56" s="695" customFormat="1" x14ac:dyDescent="0.2">
      <c r="A265" s="33"/>
      <c r="B265" s="271"/>
      <c r="C265" s="248"/>
      <c r="D265" s="542"/>
      <c r="E265" s="543"/>
      <c r="F265" s="544"/>
      <c r="G265" s="544"/>
      <c r="H265" s="544"/>
      <c r="I265" s="544"/>
      <c r="J265" s="544"/>
      <c r="K265" s="545"/>
      <c r="L265" s="544"/>
      <c r="M265" s="544"/>
      <c r="N265" s="544"/>
      <c r="O265" s="544"/>
      <c r="P265" s="546"/>
      <c r="Q265" s="546"/>
      <c r="R265" s="546"/>
      <c r="S265" s="546"/>
      <c r="T265" s="546"/>
      <c r="U265" s="546"/>
      <c r="V265" s="546"/>
      <c r="W265" s="546"/>
      <c r="X265" s="544"/>
      <c r="Y265" s="544"/>
      <c r="Z265" s="544"/>
      <c r="AA265" s="544"/>
      <c r="AB265" s="547"/>
      <c r="AC265" s="548"/>
      <c r="AD265" s="549"/>
      <c r="AE265" s="550"/>
      <c r="AF265" s="548"/>
      <c r="AG265" s="548"/>
      <c r="AH265" s="549"/>
      <c r="AI265" s="550"/>
      <c r="AJ265" s="551" t="s">
        <v>2074</v>
      </c>
      <c r="AK265" s="552">
        <f>'N.1 GASB 68 LGERS'!C97</f>
        <v>0</v>
      </c>
      <c r="AL265" s="548"/>
      <c r="AM265" s="551"/>
      <c r="AN265" s="552"/>
      <c r="AO265" s="553"/>
      <c r="AP265" s="552"/>
      <c r="AQ265" s="548"/>
      <c r="AR265" s="551"/>
      <c r="AS265" s="554"/>
      <c r="AT265" s="525"/>
      <c r="AU265" s="526"/>
      <c r="AV265" s="552">
        <f t="shared" si="85"/>
        <v>0</v>
      </c>
      <c r="AW265" s="552">
        <f t="shared" si="86"/>
        <v>0</v>
      </c>
      <c r="AX265" s="577"/>
      <c r="AY265" s="554"/>
      <c r="AZ265" s="506"/>
      <c r="BA265" s="524"/>
      <c r="BB265" s="690"/>
      <c r="BC265" s="14"/>
    </row>
    <row r="266" spans="1:56" s="695" customFormat="1" x14ac:dyDescent="0.2">
      <c r="A266" s="33"/>
      <c r="B266" s="271"/>
      <c r="C266" s="248"/>
      <c r="D266" s="542"/>
      <c r="E266" s="543"/>
      <c r="F266" s="544"/>
      <c r="G266" s="544"/>
      <c r="H266" s="544"/>
      <c r="I266" s="544"/>
      <c r="J266" s="544"/>
      <c r="K266" s="545"/>
      <c r="L266" s="544"/>
      <c r="M266" s="544"/>
      <c r="N266" s="544"/>
      <c r="O266" s="544"/>
      <c r="P266" s="546"/>
      <c r="Q266" s="546"/>
      <c r="R266" s="546"/>
      <c r="S266" s="546"/>
      <c r="T266" s="546"/>
      <c r="U266" s="546"/>
      <c r="V266" s="546"/>
      <c r="W266" s="546"/>
      <c r="X266" s="544"/>
      <c r="Y266" s="544"/>
      <c r="Z266" s="544"/>
      <c r="AA266" s="544"/>
      <c r="AB266" s="547"/>
      <c r="AC266" s="548"/>
      <c r="AD266" s="549"/>
      <c r="AE266" s="550"/>
      <c r="AF266" s="548"/>
      <c r="AG266" s="548"/>
      <c r="AH266" s="549"/>
      <c r="AI266" s="550"/>
      <c r="AJ266" s="551" t="s">
        <v>2075</v>
      </c>
      <c r="AK266" s="552">
        <f>'N.2 GASB 68 ROD'!C69</f>
        <v>0</v>
      </c>
      <c r="AL266" s="548"/>
      <c r="AM266" s="551"/>
      <c r="AN266" s="552"/>
      <c r="AO266" s="553"/>
      <c r="AP266" s="552"/>
      <c r="AQ266" s="548"/>
      <c r="AR266" s="551"/>
      <c r="AS266" s="554"/>
      <c r="AT266" s="525"/>
      <c r="AU266" s="526"/>
      <c r="AV266" s="552">
        <f t="shared" si="85"/>
        <v>0</v>
      </c>
      <c r="AW266" s="552">
        <f t="shared" si="86"/>
        <v>0</v>
      </c>
      <c r="AX266" s="577"/>
      <c r="AY266" s="554"/>
      <c r="AZ266" s="506"/>
      <c r="BA266" s="524"/>
      <c r="BB266" s="1045"/>
      <c r="BC266" s="14"/>
    </row>
    <row r="267" spans="1:56" s="1029" customFormat="1" x14ac:dyDescent="0.2">
      <c r="A267" s="33"/>
      <c r="B267" s="271"/>
      <c r="C267" s="248"/>
      <c r="D267" s="542"/>
      <c r="E267" s="543"/>
      <c r="F267" s="544"/>
      <c r="G267" s="544"/>
      <c r="H267" s="544"/>
      <c r="I267" s="544"/>
      <c r="J267" s="544"/>
      <c r="K267" s="545"/>
      <c r="L267" s="544"/>
      <c r="M267" s="544"/>
      <c r="N267" s="544"/>
      <c r="O267" s="544"/>
      <c r="P267" s="546"/>
      <c r="Q267" s="546"/>
      <c r="R267" s="546"/>
      <c r="S267" s="546"/>
      <c r="T267" s="546"/>
      <c r="U267" s="546"/>
      <c r="V267" s="546"/>
      <c r="W267" s="546"/>
      <c r="X267" s="544"/>
      <c r="Y267" s="544"/>
      <c r="Z267" s="544"/>
      <c r="AA267" s="544"/>
      <c r="AB267" s="547"/>
      <c r="AC267" s="548"/>
      <c r="AD267" s="549"/>
      <c r="AE267" s="550"/>
      <c r="AF267" s="552"/>
      <c r="AG267" s="552"/>
      <c r="AH267" s="549"/>
      <c r="AI267" s="550"/>
      <c r="AJ267" s="551" t="s">
        <v>4030</v>
      </c>
      <c r="AK267" s="552">
        <f>'P.1 GASB 75 OPEB  - 1'!C103+'P.1 GASB 75 OPEB  - 1'!C112+'P.1 GASB 75 OPEB  - 1'!C121-'P.1 GASB 75 OPEB  - 1'!H189</f>
        <v>0</v>
      </c>
      <c r="AL267" s="548"/>
      <c r="AM267" s="551" t="s">
        <v>4030</v>
      </c>
      <c r="AN267" s="552">
        <f>'P.1 GASB 75 OPEB  - 1'!D103+'P.1 GASB 75 OPEB  - 1'!D112+'P.1 GASB 75 OPEB  - 1'!D121</f>
        <v>0</v>
      </c>
      <c r="AO267" s="553"/>
      <c r="AP267" s="552"/>
      <c r="AQ267" s="548"/>
      <c r="AR267" s="551"/>
      <c r="AS267" s="554"/>
      <c r="AT267" s="525"/>
      <c r="AU267" s="526"/>
      <c r="AV267" s="552">
        <f>ROUND(AD267+AF267+AH267+AK267+AP267+AT267,0)</f>
        <v>0</v>
      </c>
      <c r="AW267" s="552">
        <f>ROUND(AE267+AG267+AI267+AN267+AS267+AU267,0)</f>
        <v>0</v>
      </c>
      <c r="AX267" s="577"/>
      <c r="AY267" s="554"/>
      <c r="AZ267" s="506"/>
      <c r="BA267" s="524"/>
      <c r="BB267" s="1045"/>
      <c r="BC267" s="14"/>
    </row>
    <row r="268" spans="1:56" s="1103" customFormat="1" x14ac:dyDescent="0.2">
      <c r="A268" s="33"/>
      <c r="B268" s="271"/>
      <c r="C268" s="248"/>
      <c r="D268" s="542"/>
      <c r="E268" s="543"/>
      <c r="F268" s="544"/>
      <c r="G268" s="544"/>
      <c r="H268" s="544"/>
      <c r="I268" s="544"/>
      <c r="J268" s="544"/>
      <c r="K268" s="545"/>
      <c r="L268" s="544"/>
      <c r="M268" s="544"/>
      <c r="N268" s="544"/>
      <c r="O268" s="544"/>
      <c r="P268" s="546"/>
      <c r="Q268" s="546"/>
      <c r="R268" s="546"/>
      <c r="S268" s="546"/>
      <c r="T268" s="546"/>
      <c r="U268" s="546"/>
      <c r="V268" s="546"/>
      <c r="W268" s="546"/>
      <c r="X268" s="544"/>
      <c r="Y268" s="544"/>
      <c r="Z268" s="544"/>
      <c r="AA268" s="544"/>
      <c r="AB268" s="547"/>
      <c r="AC268" s="548"/>
      <c r="AD268" s="549"/>
      <c r="AE268" s="550"/>
      <c r="AF268" s="552"/>
      <c r="AG268" s="552"/>
      <c r="AH268" s="549"/>
      <c r="AI268" s="550"/>
      <c r="AJ268" s="551" t="s">
        <v>4031</v>
      </c>
      <c r="AK268" s="552">
        <f>'P.2 GASB 75 OPEB - 2'!C103+'P.2 GASB 75 OPEB - 2'!C112+'P.2 GASB 75 OPEB - 2'!C121</f>
        <v>0</v>
      </c>
      <c r="AL268" s="548"/>
      <c r="AM268" s="551" t="s">
        <v>4031</v>
      </c>
      <c r="AN268" s="552">
        <f>'P.2 GASB 75 OPEB - 2'!D103+'P.2 GASB 75 OPEB - 2'!D112+'P.2 GASB 75 OPEB - 2'!D121</f>
        <v>0</v>
      </c>
      <c r="AO268" s="553"/>
      <c r="AP268" s="552"/>
      <c r="AQ268" s="548"/>
      <c r="AR268" s="551"/>
      <c r="AS268" s="554"/>
      <c r="AT268" s="525"/>
      <c r="AU268" s="526"/>
      <c r="AV268" s="552">
        <f t="shared" ref="AV268:AV269" si="87">ROUND(AD268+AF268+AH268+AK268+AP268+AT268,0)</f>
        <v>0</v>
      </c>
      <c r="AW268" s="552">
        <f t="shared" ref="AW268:AW269" si="88">ROUND(AE268+AG268+AI268+AN268+AS268+AU268,0)</f>
        <v>0</v>
      </c>
      <c r="AX268" s="577"/>
      <c r="AY268" s="554"/>
      <c r="AZ268" s="506"/>
      <c r="BA268" s="524"/>
      <c r="BC268" s="14"/>
    </row>
    <row r="269" spans="1:56" s="1103" customFormat="1" x14ac:dyDescent="0.2">
      <c r="A269" s="33"/>
      <c r="B269" s="271"/>
      <c r="C269" s="248"/>
      <c r="D269" s="542"/>
      <c r="E269" s="543"/>
      <c r="F269" s="544"/>
      <c r="G269" s="544"/>
      <c r="H269" s="544"/>
      <c r="I269" s="544"/>
      <c r="J269" s="544"/>
      <c r="K269" s="545"/>
      <c r="L269" s="544"/>
      <c r="M269" s="544"/>
      <c r="N269" s="544"/>
      <c r="O269" s="544"/>
      <c r="P269" s="546"/>
      <c r="Q269" s="546"/>
      <c r="R269" s="546"/>
      <c r="S269" s="546"/>
      <c r="T269" s="546"/>
      <c r="U269" s="546"/>
      <c r="V269" s="546"/>
      <c r="W269" s="546"/>
      <c r="X269" s="544"/>
      <c r="Y269" s="544"/>
      <c r="Z269" s="544"/>
      <c r="AA269" s="544"/>
      <c r="AB269" s="547"/>
      <c r="AC269" s="548"/>
      <c r="AD269" s="549"/>
      <c r="AE269" s="550"/>
      <c r="AF269" s="552"/>
      <c r="AG269" s="552"/>
      <c r="AH269" s="549"/>
      <c r="AI269" s="550"/>
      <c r="AJ269" s="551" t="s">
        <v>4032</v>
      </c>
      <c r="AK269" s="552">
        <f>'P.3 GASB 75 OPEB - 3'!C103+'P.3 GASB 75 OPEB - 3'!C112+'P.3 GASB 75 OPEB - 3'!C121</f>
        <v>0</v>
      </c>
      <c r="AL269" s="548"/>
      <c r="AM269" s="551" t="s">
        <v>4032</v>
      </c>
      <c r="AN269" s="552">
        <f>'P.3 GASB 75 OPEB - 3'!D103+'P.3 GASB 75 OPEB - 3'!D112+'P.3 GASB 75 OPEB - 3'!D121</f>
        <v>0</v>
      </c>
      <c r="AO269" s="553"/>
      <c r="AP269" s="552"/>
      <c r="AQ269" s="548"/>
      <c r="AR269" s="551"/>
      <c r="AS269" s="554"/>
      <c r="AT269" s="525"/>
      <c r="AU269" s="526"/>
      <c r="AV269" s="552">
        <f t="shared" si="87"/>
        <v>0</v>
      </c>
      <c r="AW269" s="552">
        <f t="shared" si="88"/>
        <v>0</v>
      </c>
      <c r="AX269" s="577"/>
      <c r="AY269" s="554"/>
      <c r="AZ269" s="506"/>
      <c r="BA269" s="524"/>
      <c r="BC269" s="14"/>
    </row>
    <row r="270" spans="1:56" s="13" customFormat="1" ht="6" customHeight="1" x14ac:dyDescent="0.2">
      <c r="A270" s="33"/>
      <c r="B270" s="31"/>
      <c r="C270" s="44"/>
      <c r="D270" s="533"/>
      <c r="E270" s="534"/>
      <c r="F270" s="530"/>
      <c r="G270" s="530"/>
      <c r="H270" s="530"/>
      <c r="I270" s="530"/>
      <c r="J270" s="530"/>
      <c r="K270" s="535"/>
      <c r="L270" s="530"/>
      <c r="M270" s="530"/>
      <c r="N270" s="530"/>
      <c r="O270" s="530"/>
      <c r="P270" s="529"/>
      <c r="Q270" s="529"/>
      <c r="R270" s="529"/>
      <c r="S270" s="529"/>
      <c r="T270" s="529"/>
      <c r="U270" s="529"/>
      <c r="V270" s="529"/>
      <c r="W270" s="529"/>
      <c r="X270" s="530"/>
      <c r="Y270" s="530"/>
      <c r="Z270" s="530"/>
      <c r="AA270" s="530"/>
      <c r="AB270" s="531"/>
      <c r="AC270" s="539"/>
      <c r="AD270" s="536"/>
      <c r="AE270" s="537"/>
      <c r="AF270" s="539"/>
      <c r="AG270" s="539"/>
      <c r="AH270" s="536"/>
      <c r="AI270" s="537"/>
      <c r="AJ270" s="581"/>
      <c r="AK270" s="582"/>
      <c r="AL270" s="539"/>
      <c r="AM270" s="538"/>
      <c r="AN270" s="434"/>
      <c r="AO270" s="541"/>
      <c r="AP270" s="434"/>
      <c r="AQ270" s="539"/>
      <c r="AR270" s="538"/>
      <c r="AS270" s="540"/>
      <c r="AT270" s="529"/>
      <c r="AU270" s="564"/>
      <c r="AV270" s="434"/>
      <c r="AW270" s="434"/>
      <c r="AX270" s="573"/>
      <c r="AY270" s="540"/>
      <c r="AZ270" s="434"/>
      <c r="BA270" s="540"/>
      <c r="BB270" s="1047"/>
      <c r="BC270" s="1046"/>
    </row>
    <row r="271" spans="1:56" x14ac:dyDescent="0.2">
      <c r="A271" s="33"/>
      <c r="B271" s="271" t="s">
        <v>1009</v>
      </c>
      <c r="C271" s="248"/>
      <c r="D271" s="542"/>
      <c r="E271" s="543"/>
      <c r="F271" s="544"/>
      <c r="G271" s="544"/>
      <c r="H271" s="544"/>
      <c r="I271" s="544"/>
      <c r="J271" s="544"/>
      <c r="K271" s="545"/>
      <c r="L271" s="544"/>
      <c r="M271" s="544"/>
      <c r="N271" s="544"/>
      <c r="O271" s="544"/>
      <c r="P271" s="546"/>
      <c r="Q271" s="546"/>
      <c r="R271" s="546"/>
      <c r="S271" s="546"/>
      <c r="T271" s="546"/>
      <c r="U271" s="546"/>
      <c r="V271" s="546"/>
      <c r="W271" s="546"/>
      <c r="X271" s="544"/>
      <c r="Y271" s="544"/>
      <c r="Z271" s="544"/>
      <c r="AA271" s="544"/>
      <c r="AB271" s="547">
        <f t="shared" si="81"/>
        <v>0</v>
      </c>
      <c r="AC271" s="548">
        <f t="shared" si="82"/>
        <v>0</v>
      </c>
      <c r="AD271" s="549">
        <f t="shared" si="83"/>
        <v>0</v>
      </c>
      <c r="AE271" s="550">
        <f t="shared" si="84"/>
        <v>0</v>
      </c>
      <c r="AF271" s="548"/>
      <c r="AG271" s="548"/>
      <c r="AH271" s="549"/>
      <c r="AI271" s="550"/>
      <c r="AJ271" s="551" t="str">
        <f>'D. Depreciation'!A54</f>
        <v>D.1</v>
      </c>
      <c r="AK271" s="552">
        <f>'D. Depreciation'!J55</f>
        <v>0</v>
      </c>
      <c r="AL271" s="548"/>
      <c r="AM271" s="551" t="str">
        <f>'E. Capital Outlay'!D52</f>
        <v>E.1</v>
      </c>
      <c r="AN271" s="552">
        <f>'E. Capital Outlay'!N62</f>
        <v>0</v>
      </c>
      <c r="AO271" s="553" t="str">
        <f>'L. Eliminations-Consolidations'!A237</f>
        <v>L.7</v>
      </c>
      <c r="AP271" s="552">
        <f>'L. Eliminations-Consolidations'!J238</f>
        <v>0</v>
      </c>
      <c r="AQ271" s="548"/>
      <c r="AR271" s="556" t="s">
        <v>646</v>
      </c>
      <c r="AS271" s="552">
        <f>'K.1  Int. Service Fd Allocation'!G206+'K.2  Int. Service Fd Alloca'!G201+'K.3 Int. Service Fd Alloca'!G205</f>
        <v>0</v>
      </c>
      <c r="AT271" s="557"/>
      <c r="AU271" s="526"/>
      <c r="AV271" s="552">
        <f t="shared" ref="AV271:AV280" si="89">ROUND(AD271+AF271+AH271+AK271+AP271+AT271,0)</f>
        <v>0</v>
      </c>
      <c r="AW271" s="552">
        <f t="shared" ref="AW271:AW277" si="90">ROUND(AE271+AG271+AI271+AN271+AS271+AU271,0)</f>
        <v>0</v>
      </c>
      <c r="AX271" s="577">
        <f>IF((SUM(AV271:AV280))-(SUM(AW271:AW280))&lt;=0," ",(SUM(AV271:AV280))-(SUM(AW271:AW280)))</f>
        <v>360</v>
      </c>
      <c r="AY271" s="554" t="str">
        <f>IF((SUM(AV271:AV280))-(SUM(AW271:AW280))&gt;0," ",-(SUM(AV271:AV280))+(SUM(AW271:AW280)))</f>
        <v xml:space="preserve"> </v>
      </c>
      <c r="BA271" s="524"/>
      <c r="BB271" s="506"/>
      <c r="BC271" s="506"/>
    </row>
    <row r="272" spans="1:56" x14ac:dyDescent="0.2">
      <c r="A272" s="33"/>
      <c r="B272" s="271"/>
      <c r="C272" s="248"/>
      <c r="D272" s="542"/>
      <c r="E272" s="543"/>
      <c r="F272" s="544"/>
      <c r="G272" s="544"/>
      <c r="H272" s="544"/>
      <c r="I272" s="544"/>
      <c r="J272" s="544"/>
      <c r="K272" s="545"/>
      <c r="L272" s="544"/>
      <c r="M272" s="544"/>
      <c r="N272" s="544"/>
      <c r="O272" s="544"/>
      <c r="P272" s="546"/>
      <c r="Q272" s="546"/>
      <c r="R272" s="546"/>
      <c r="S272" s="546"/>
      <c r="T272" s="546"/>
      <c r="U272" s="546"/>
      <c r="V272" s="546"/>
      <c r="W272" s="546"/>
      <c r="X272" s="544"/>
      <c r="Y272" s="544"/>
      <c r="Z272" s="544"/>
      <c r="AA272" s="544"/>
      <c r="AB272" s="547">
        <f t="shared" si="81"/>
        <v>0</v>
      </c>
      <c r="AC272" s="548">
        <f t="shared" si="82"/>
        <v>0</v>
      </c>
      <c r="AD272" s="549">
        <f t="shared" si="83"/>
        <v>0</v>
      </c>
      <c r="AE272" s="550">
        <f t="shared" si="84"/>
        <v>0</v>
      </c>
      <c r="AF272" s="548"/>
      <c r="AG272" s="548"/>
      <c r="AH272" s="549"/>
      <c r="AI272" s="550"/>
      <c r="AJ272" s="551" t="str">
        <f>'J. Other Liability &amp; Expenses'!D203</f>
        <v>J.1</v>
      </c>
      <c r="AK272" s="552">
        <f>'J. Other Liability &amp; Expenses'!L204</f>
        <v>0</v>
      </c>
      <c r="AL272" s="548"/>
      <c r="AM272" s="566" t="str">
        <f>'I.  Other Asset Entries'!B108</f>
        <v>I.1</v>
      </c>
      <c r="AN272" s="552">
        <f>'I.  Other Asset Entries'!N114</f>
        <v>0</v>
      </c>
      <c r="AO272" s="553"/>
      <c r="AP272" s="552"/>
      <c r="AQ272" s="548"/>
      <c r="AR272" s="551"/>
      <c r="AS272" s="554"/>
      <c r="AT272" s="525"/>
      <c r="AU272" s="526"/>
      <c r="AV272" s="552">
        <f t="shared" si="89"/>
        <v>0</v>
      </c>
      <c r="AW272" s="552">
        <f t="shared" si="90"/>
        <v>0</v>
      </c>
      <c r="AX272" s="577"/>
      <c r="AY272" s="554"/>
      <c r="AZ272" s="506"/>
      <c r="BA272" s="524"/>
    </row>
    <row r="273" spans="1:55" x14ac:dyDescent="0.2">
      <c r="A273" s="33"/>
      <c r="B273" s="271"/>
      <c r="C273" s="248"/>
      <c r="D273" s="542"/>
      <c r="E273" s="543"/>
      <c r="F273" s="544"/>
      <c r="G273" s="544"/>
      <c r="H273" s="544"/>
      <c r="I273" s="544"/>
      <c r="J273" s="544"/>
      <c r="K273" s="545"/>
      <c r="L273" s="544"/>
      <c r="M273" s="544"/>
      <c r="N273" s="544"/>
      <c r="O273" s="544"/>
      <c r="P273" s="546"/>
      <c r="Q273" s="546"/>
      <c r="R273" s="546"/>
      <c r="S273" s="546"/>
      <c r="T273" s="546"/>
      <c r="U273" s="546"/>
      <c r="V273" s="546"/>
      <c r="W273" s="546"/>
      <c r="X273" s="544"/>
      <c r="Y273" s="544"/>
      <c r="Z273" s="544"/>
      <c r="AA273" s="544"/>
      <c r="AB273" s="547">
        <f t="shared" si="81"/>
        <v>0</v>
      </c>
      <c r="AC273" s="548">
        <f t="shared" si="82"/>
        <v>0</v>
      </c>
      <c r="AD273" s="549">
        <f t="shared" si="83"/>
        <v>0</v>
      </c>
      <c r="AE273" s="550">
        <f t="shared" si="84"/>
        <v>0</v>
      </c>
      <c r="AF273" s="548"/>
      <c r="AG273" s="548"/>
      <c r="AH273" s="549"/>
      <c r="AI273" s="550"/>
      <c r="AJ273" s="551" t="str">
        <f>'F.  Other Cap Asset Entries'!D254</f>
        <v>F.3</v>
      </c>
      <c r="AK273" s="552">
        <f>'F.  Other Cap Asset Entries'!M254</f>
        <v>0</v>
      </c>
      <c r="AL273" s="548"/>
      <c r="AM273" s="566" t="str">
        <f>'J. Other Liability &amp; Expenses'!D203</f>
        <v>J.1</v>
      </c>
      <c r="AN273" s="552">
        <f>'J. Other Liability &amp; Expenses'!N204</f>
        <v>0</v>
      </c>
      <c r="AO273" s="553" t="str">
        <f>'L. Eliminations-Consolidations'!B267</f>
        <v>L.8</v>
      </c>
      <c r="AP273" s="552">
        <f>'L. Eliminations-Consolidations'!J269</f>
        <v>0</v>
      </c>
      <c r="AQ273" s="548"/>
      <c r="AR273" s="551" t="str">
        <f>'L. Eliminations-Consolidations'!B267</f>
        <v>L.8</v>
      </c>
      <c r="AS273" s="554">
        <f>'L. Eliminations-Consolidations'!L269</f>
        <v>0</v>
      </c>
      <c r="AT273" s="525"/>
      <c r="AU273" s="526"/>
      <c r="AV273" s="552">
        <f t="shared" si="89"/>
        <v>0</v>
      </c>
      <c r="AW273" s="552">
        <f t="shared" si="90"/>
        <v>0</v>
      </c>
      <c r="AX273" s="577"/>
      <c r="AY273" s="554"/>
      <c r="AZ273" s="506"/>
      <c r="BA273" s="524"/>
    </row>
    <row r="274" spans="1:55" x14ac:dyDescent="0.2">
      <c r="A274" s="33"/>
      <c r="B274" s="271"/>
      <c r="C274" s="248"/>
      <c r="D274" s="542"/>
      <c r="E274" s="543"/>
      <c r="F274" s="544"/>
      <c r="G274" s="544"/>
      <c r="H274" s="544"/>
      <c r="I274" s="544"/>
      <c r="J274" s="544"/>
      <c r="K274" s="545"/>
      <c r="L274" s="544"/>
      <c r="M274" s="544"/>
      <c r="N274" s="544"/>
      <c r="O274" s="544"/>
      <c r="P274" s="546"/>
      <c r="Q274" s="546"/>
      <c r="R274" s="546"/>
      <c r="S274" s="546"/>
      <c r="T274" s="546"/>
      <c r="U274" s="546"/>
      <c r="V274" s="546"/>
      <c r="W274" s="546"/>
      <c r="X274" s="544"/>
      <c r="Y274" s="544"/>
      <c r="Z274" s="544"/>
      <c r="AA274" s="544"/>
      <c r="AB274" s="547">
        <f>L274+N274+P274+R274+T274+V274+X274+Z274</f>
        <v>0</v>
      </c>
      <c r="AC274" s="548">
        <f>M274+O274+Q274+S274+U274+W274+Y274+AA274</f>
        <v>0</v>
      </c>
      <c r="AD274" s="549">
        <f>D274+F274+H274+J274+AB274</f>
        <v>0</v>
      </c>
      <c r="AE274" s="550">
        <f>E274+G274+I274+K274+AC274</f>
        <v>0</v>
      </c>
      <c r="AF274" s="548"/>
      <c r="AG274" s="548"/>
      <c r="AH274" s="549"/>
      <c r="AI274" s="550"/>
      <c r="AJ274" s="551" t="s">
        <v>633</v>
      </c>
      <c r="AK274" s="552">
        <f>'F.  Other Cap Asset Entries'!M276</f>
        <v>0</v>
      </c>
      <c r="AL274" s="548"/>
      <c r="AM274" s="566" t="s">
        <v>2074</v>
      </c>
      <c r="AN274" s="552">
        <f>'N.1 GASB 68 LGERS'!D98</f>
        <v>0</v>
      </c>
      <c r="AO274" s="553"/>
      <c r="AP274" s="552"/>
      <c r="AQ274" s="548"/>
      <c r="AR274" s="551"/>
      <c r="AS274" s="554"/>
      <c r="AT274" s="525"/>
      <c r="AU274" s="526"/>
      <c r="AV274" s="552">
        <f t="shared" si="89"/>
        <v>0</v>
      </c>
      <c r="AW274" s="552">
        <f t="shared" si="90"/>
        <v>0</v>
      </c>
      <c r="AX274" s="577"/>
      <c r="AY274" s="554"/>
      <c r="AZ274" s="506"/>
      <c r="BA274" s="524"/>
    </row>
    <row r="275" spans="1:55" s="706" customFormat="1" x14ac:dyDescent="0.2">
      <c r="A275" s="33"/>
      <c r="B275" s="271"/>
      <c r="C275" s="248"/>
      <c r="D275" s="542"/>
      <c r="E275" s="543"/>
      <c r="F275" s="544"/>
      <c r="G275" s="544"/>
      <c r="H275" s="544"/>
      <c r="I275" s="544"/>
      <c r="J275" s="544"/>
      <c r="K275" s="545"/>
      <c r="L275" s="544"/>
      <c r="M275" s="544"/>
      <c r="N275" s="544"/>
      <c r="O275" s="544"/>
      <c r="P275" s="546"/>
      <c r="Q275" s="546"/>
      <c r="R275" s="546"/>
      <c r="S275" s="546"/>
      <c r="T275" s="546"/>
      <c r="U275" s="546"/>
      <c r="V275" s="546"/>
      <c r="W275" s="546"/>
      <c r="X275" s="544"/>
      <c r="Y275" s="544"/>
      <c r="Z275" s="544"/>
      <c r="AA275" s="544"/>
      <c r="AB275" s="547"/>
      <c r="AC275" s="548"/>
      <c r="AD275" s="549"/>
      <c r="AE275" s="550"/>
      <c r="AF275" s="548"/>
      <c r="AG275" s="548"/>
      <c r="AH275" s="549"/>
      <c r="AI275" s="550"/>
      <c r="AJ275" s="551" t="s">
        <v>2074</v>
      </c>
      <c r="AK275" s="552">
        <f>'N.1 GASB 68 LGERS'!C98</f>
        <v>0</v>
      </c>
      <c r="AL275" s="548"/>
      <c r="AM275" s="566" t="s">
        <v>2076</v>
      </c>
      <c r="AN275" s="552">
        <f>'N.3 GASB 68 FRSWPF'!D27</f>
        <v>0</v>
      </c>
      <c r="AO275" s="553"/>
      <c r="AP275" s="552"/>
      <c r="AQ275" s="548"/>
      <c r="AR275" s="551"/>
      <c r="AS275" s="554"/>
      <c r="AT275" s="525"/>
      <c r="AU275" s="526"/>
      <c r="AV275" s="552">
        <f t="shared" si="89"/>
        <v>0</v>
      </c>
      <c r="AW275" s="552">
        <f t="shared" si="90"/>
        <v>0</v>
      </c>
      <c r="AX275" s="577"/>
      <c r="AY275" s="554"/>
      <c r="AZ275" s="506"/>
      <c r="BA275" s="524"/>
      <c r="BB275" s="1045"/>
      <c r="BC275" s="1045"/>
    </row>
    <row r="276" spans="1:55" s="706" customFormat="1" x14ac:dyDescent="0.2">
      <c r="A276" s="33"/>
      <c r="B276" s="271"/>
      <c r="C276" s="248"/>
      <c r="D276" s="542"/>
      <c r="E276" s="543"/>
      <c r="F276" s="544"/>
      <c r="G276" s="544"/>
      <c r="H276" s="544"/>
      <c r="I276" s="544"/>
      <c r="J276" s="544"/>
      <c r="K276" s="545"/>
      <c r="L276" s="544"/>
      <c r="M276" s="544"/>
      <c r="N276" s="544"/>
      <c r="O276" s="544"/>
      <c r="P276" s="546"/>
      <c r="Q276" s="546"/>
      <c r="R276" s="546"/>
      <c r="S276" s="546"/>
      <c r="T276" s="546"/>
      <c r="U276" s="546"/>
      <c r="V276" s="546"/>
      <c r="W276" s="546"/>
      <c r="X276" s="544"/>
      <c r="Y276" s="544"/>
      <c r="Z276" s="544"/>
      <c r="AA276" s="544"/>
      <c r="AB276" s="547"/>
      <c r="AC276" s="548"/>
      <c r="AD276" s="549"/>
      <c r="AE276" s="550"/>
      <c r="AF276" s="548"/>
      <c r="AG276" s="548"/>
      <c r="AH276" s="549"/>
      <c r="AI276" s="550"/>
      <c r="AJ276" s="551" t="s">
        <v>2076</v>
      </c>
      <c r="AK276" s="552">
        <f>'N.3 GASB 68 FRSWPF'!C27</f>
        <v>360</v>
      </c>
      <c r="AL276" s="548"/>
      <c r="AM276" s="566" t="s">
        <v>3639</v>
      </c>
      <c r="AN276" s="552">
        <f>'O. GASB 73 LEO Entries'!D78+'O. GASB 73 LEO Entries'!D79</f>
        <v>0</v>
      </c>
      <c r="AO276" s="553"/>
      <c r="AP276" s="552"/>
      <c r="AQ276" s="548"/>
      <c r="AR276" s="551"/>
      <c r="AS276" s="554"/>
      <c r="AT276" s="525"/>
      <c r="AU276" s="526"/>
      <c r="AV276" s="552">
        <f t="shared" si="89"/>
        <v>360</v>
      </c>
      <c r="AW276" s="552">
        <f t="shared" si="90"/>
        <v>0</v>
      </c>
      <c r="AX276" s="577"/>
      <c r="AY276" s="554"/>
      <c r="AZ276" s="506"/>
      <c r="BA276" s="524"/>
      <c r="BB276" s="1045"/>
      <c r="BC276" s="1045"/>
    </row>
    <row r="277" spans="1:55" s="846" customFormat="1" x14ac:dyDescent="0.2">
      <c r="A277" s="33"/>
      <c r="B277" s="271"/>
      <c r="C277" s="248"/>
      <c r="D277" s="542"/>
      <c r="E277" s="543"/>
      <c r="F277" s="544"/>
      <c r="G277" s="544"/>
      <c r="H277" s="544"/>
      <c r="I277" s="544"/>
      <c r="J277" s="544"/>
      <c r="K277" s="545"/>
      <c r="L277" s="544"/>
      <c r="M277" s="544"/>
      <c r="N277" s="544"/>
      <c r="O277" s="544"/>
      <c r="P277" s="546"/>
      <c r="Q277" s="546"/>
      <c r="R277" s="546"/>
      <c r="S277" s="546"/>
      <c r="T277" s="546"/>
      <c r="U277" s="546"/>
      <c r="V277" s="546"/>
      <c r="W277" s="546"/>
      <c r="X277" s="544"/>
      <c r="Y277" s="544"/>
      <c r="Z277" s="544"/>
      <c r="AA277" s="544"/>
      <c r="AB277" s="547"/>
      <c r="AC277" s="548"/>
      <c r="AD277" s="549"/>
      <c r="AE277" s="550"/>
      <c r="AF277" s="548"/>
      <c r="AG277" s="548"/>
      <c r="AH277" s="549"/>
      <c r="AI277" s="550"/>
      <c r="AJ277" s="551" t="s">
        <v>3639</v>
      </c>
      <c r="AK277" s="552">
        <f>'O. GASB 73 LEO Entries'!C71</f>
        <v>0</v>
      </c>
      <c r="AL277" s="548"/>
      <c r="AM277" s="566"/>
      <c r="AN277" s="552"/>
      <c r="AO277" s="553"/>
      <c r="AP277" s="552"/>
      <c r="AQ277" s="548"/>
      <c r="AR277" s="551"/>
      <c r="AS277" s="554"/>
      <c r="AT277" s="525"/>
      <c r="AU277" s="526"/>
      <c r="AV277" s="552">
        <f t="shared" si="89"/>
        <v>0</v>
      </c>
      <c r="AW277" s="552">
        <f t="shared" si="90"/>
        <v>0</v>
      </c>
      <c r="AX277" s="577"/>
      <c r="AY277" s="554"/>
      <c r="AZ277" s="506"/>
      <c r="BA277" s="524"/>
      <c r="BB277" s="1045"/>
      <c r="BC277" s="1045"/>
    </row>
    <row r="278" spans="1:55" s="1032" customFormat="1" x14ac:dyDescent="0.2">
      <c r="A278" s="33"/>
      <c r="B278" s="271"/>
      <c r="C278" s="248"/>
      <c r="D278" s="542"/>
      <c r="E278" s="543"/>
      <c r="F278" s="544"/>
      <c r="G278" s="544"/>
      <c r="H278" s="544"/>
      <c r="I278" s="544"/>
      <c r="J278" s="544"/>
      <c r="K278" s="545"/>
      <c r="L278" s="544"/>
      <c r="M278" s="544"/>
      <c r="N278" s="544"/>
      <c r="O278" s="544"/>
      <c r="P278" s="546"/>
      <c r="Q278" s="546"/>
      <c r="R278" s="546"/>
      <c r="S278" s="546"/>
      <c r="T278" s="546"/>
      <c r="U278" s="546"/>
      <c r="V278" s="546"/>
      <c r="W278" s="546"/>
      <c r="X278" s="544"/>
      <c r="Y278" s="544"/>
      <c r="Z278" s="544"/>
      <c r="AA278" s="544"/>
      <c r="AB278" s="547"/>
      <c r="AC278" s="548"/>
      <c r="AD278" s="549"/>
      <c r="AE278" s="550"/>
      <c r="AF278" s="552"/>
      <c r="AG278" s="552"/>
      <c r="AH278" s="549"/>
      <c r="AI278" s="550"/>
      <c r="AJ278" s="551" t="s">
        <v>4030</v>
      </c>
      <c r="AK278" s="552">
        <f>'P.1 GASB 75 OPEB  - 1'!C104+'P.1 GASB 75 OPEB  - 1'!C113+'P.1 GASB 75 OPEB  - 1'!C122-'P.1 GASB 75 OPEB  - 1'!H190</f>
        <v>0</v>
      </c>
      <c r="AL278" s="548"/>
      <c r="AM278" s="551" t="s">
        <v>4030</v>
      </c>
      <c r="AN278" s="552">
        <f>'P.1 GASB 75 OPEB  - 1'!D104+'P.1 GASB 75 OPEB  - 1'!D113+'P.1 GASB 75 OPEB  - 1'!D122</f>
        <v>0</v>
      </c>
      <c r="AO278" s="553"/>
      <c r="AP278" s="552"/>
      <c r="AQ278" s="548"/>
      <c r="AR278" s="551"/>
      <c r="AS278" s="554"/>
      <c r="AT278" s="525"/>
      <c r="AU278" s="526"/>
      <c r="AV278" s="552">
        <f t="shared" si="89"/>
        <v>0</v>
      </c>
      <c r="AW278" s="552">
        <f>ROUND(AE278+AG278+AI278+AN278+AS278+AU278,0)</f>
        <v>0</v>
      </c>
      <c r="AX278" s="577"/>
      <c r="AY278" s="554"/>
      <c r="AZ278" s="506"/>
      <c r="BA278" s="524"/>
      <c r="BB278" s="1045"/>
      <c r="BC278" s="1045"/>
    </row>
    <row r="279" spans="1:55" s="1103" customFormat="1" x14ac:dyDescent="0.2">
      <c r="A279" s="33"/>
      <c r="B279" s="271"/>
      <c r="C279" s="248"/>
      <c r="D279" s="542"/>
      <c r="E279" s="543"/>
      <c r="F279" s="544"/>
      <c r="G279" s="544"/>
      <c r="H279" s="544"/>
      <c r="I279" s="544"/>
      <c r="J279" s="544"/>
      <c r="K279" s="545"/>
      <c r="L279" s="544"/>
      <c r="M279" s="544"/>
      <c r="N279" s="544"/>
      <c r="O279" s="544"/>
      <c r="P279" s="546"/>
      <c r="Q279" s="546"/>
      <c r="R279" s="546"/>
      <c r="S279" s="546"/>
      <c r="T279" s="546"/>
      <c r="U279" s="546"/>
      <c r="V279" s="546"/>
      <c r="W279" s="546"/>
      <c r="X279" s="544"/>
      <c r="Y279" s="544"/>
      <c r="Z279" s="544"/>
      <c r="AA279" s="544"/>
      <c r="AB279" s="547"/>
      <c r="AC279" s="548"/>
      <c r="AD279" s="549"/>
      <c r="AE279" s="550"/>
      <c r="AF279" s="552"/>
      <c r="AG279" s="552"/>
      <c r="AH279" s="549"/>
      <c r="AI279" s="550"/>
      <c r="AJ279" s="551" t="s">
        <v>4031</v>
      </c>
      <c r="AK279" s="552">
        <f>'P.2 GASB 75 OPEB - 2'!C104+'P.2 GASB 75 OPEB - 2'!C113+'P.2 GASB 75 OPEB - 2'!C122</f>
        <v>0</v>
      </c>
      <c r="AL279" s="548"/>
      <c r="AM279" s="551" t="s">
        <v>4031</v>
      </c>
      <c r="AN279" s="552">
        <f>'P.2 GASB 75 OPEB - 2'!D104+'P.2 GASB 75 OPEB - 2'!D113+'P.2 GASB 75 OPEB - 2'!D122</f>
        <v>0</v>
      </c>
      <c r="AO279" s="553"/>
      <c r="AP279" s="552"/>
      <c r="AQ279" s="548"/>
      <c r="AR279" s="551"/>
      <c r="AS279" s="554"/>
      <c r="AT279" s="525"/>
      <c r="AU279" s="526"/>
      <c r="AV279" s="552">
        <f>ROUND(AD279+AF279+AH279+AK279+AP279+AT279,0)</f>
        <v>0</v>
      </c>
      <c r="AW279" s="552">
        <f t="shared" ref="AW279" si="91">ROUND(AE279+AG279+AI279+AN279+AS279+AU279,0)</f>
        <v>0</v>
      </c>
      <c r="AX279" s="577"/>
      <c r="AY279" s="554"/>
      <c r="AZ279" s="506"/>
      <c r="BA279" s="524"/>
    </row>
    <row r="280" spans="1:55" s="1103" customFormat="1" x14ac:dyDescent="0.2">
      <c r="A280" s="33"/>
      <c r="B280" s="271"/>
      <c r="C280" s="248"/>
      <c r="D280" s="542"/>
      <c r="E280" s="543"/>
      <c r="F280" s="544"/>
      <c r="G280" s="544"/>
      <c r="H280" s="544"/>
      <c r="I280" s="544"/>
      <c r="J280" s="544"/>
      <c r="K280" s="545"/>
      <c r="L280" s="544"/>
      <c r="M280" s="544"/>
      <c r="N280" s="544"/>
      <c r="O280" s="544"/>
      <c r="P280" s="546"/>
      <c r="Q280" s="546"/>
      <c r="R280" s="546"/>
      <c r="S280" s="546"/>
      <c r="T280" s="546"/>
      <c r="U280" s="546"/>
      <c r="V280" s="546"/>
      <c r="W280" s="546"/>
      <c r="X280" s="544"/>
      <c r="Y280" s="544"/>
      <c r="Z280" s="544"/>
      <c r="AA280" s="544"/>
      <c r="AB280" s="547"/>
      <c r="AC280" s="548"/>
      <c r="AD280" s="549"/>
      <c r="AE280" s="550"/>
      <c r="AF280" s="552"/>
      <c r="AG280" s="552"/>
      <c r="AH280" s="549"/>
      <c r="AI280" s="550"/>
      <c r="AJ280" s="551" t="s">
        <v>4032</v>
      </c>
      <c r="AK280" s="552">
        <f>'P.3 GASB 75 OPEB - 3'!C104+'P.3 GASB 75 OPEB - 3'!C113+'P.3 GASB 75 OPEB - 3'!C122</f>
        <v>0</v>
      </c>
      <c r="AL280" s="548"/>
      <c r="AM280" s="551" t="s">
        <v>4032</v>
      </c>
      <c r="AN280" s="552">
        <f>'P.3 GASB 75 OPEB - 3'!D104+'P.3 GASB 75 OPEB - 3'!D113+'P.3 GASB 75 OPEB - 3'!D122</f>
        <v>0</v>
      </c>
      <c r="AO280" s="553"/>
      <c r="AP280" s="552"/>
      <c r="AQ280" s="548"/>
      <c r="AR280" s="551"/>
      <c r="AS280" s="554"/>
      <c r="AT280" s="525"/>
      <c r="AU280" s="526"/>
      <c r="AV280" s="552">
        <f t="shared" si="89"/>
        <v>0</v>
      </c>
      <c r="AW280" s="552">
        <f>ROUND(AE280+AG280+AI280+AN280+AS280+AU280,0)</f>
        <v>0</v>
      </c>
      <c r="AX280" s="577"/>
      <c r="AY280" s="554"/>
      <c r="AZ280" s="506"/>
      <c r="BA280" s="524"/>
    </row>
    <row r="281" spans="1:55" s="13" customFormat="1" ht="6" customHeight="1" x14ac:dyDescent="0.2">
      <c r="A281" s="33"/>
      <c r="B281" s="31"/>
      <c r="C281" s="31"/>
      <c r="D281" s="533"/>
      <c r="E281" s="534"/>
      <c r="F281" s="530"/>
      <c r="G281" s="530"/>
      <c r="H281" s="530"/>
      <c r="I281" s="530"/>
      <c r="J281" s="530"/>
      <c r="K281" s="535"/>
      <c r="L281" s="530"/>
      <c r="M281" s="530"/>
      <c r="N281" s="530"/>
      <c r="O281" s="530"/>
      <c r="P281" s="529"/>
      <c r="Q281" s="529"/>
      <c r="R281" s="529"/>
      <c r="S281" s="529"/>
      <c r="T281" s="529"/>
      <c r="U281" s="529"/>
      <c r="V281" s="529"/>
      <c r="W281" s="529"/>
      <c r="X281" s="530"/>
      <c r="Y281" s="530"/>
      <c r="Z281" s="530"/>
      <c r="AA281" s="530"/>
      <c r="AB281" s="531"/>
      <c r="AC281" s="539"/>
      <c r="AD281" s="536"/>
      <c r="AE281" s="537"/>
      <c r="AF281" s="539"/>
      <c r="AG281" s="539"/>
      <c r="AH281" s="536"/>
      <c r="AI281" s="537"/>
      <c r="AJ281" s="581"/>
      <c r="AK281" s="582"/>
      <c r="AL281" s="539"/>
      <c r="AM281" s="538"/>
      <c r="AN281" s="434"/>
      <c r="AO281" s="541"/>
      <c r="AP281" s="434"/>
      <c r="AQ281" s="539"/>
      <c r="AR281" s="538"/>
      <c r="AS281" s="540"/>
      <c r="AT281" s="529"/>
      <c r="AU281" s="564"/>
      <c r="AV281" s="434"/>
      <c r="AW281" s="434"/>
      <c r="AX281" s="573"/>
      <c r="AY281" s="540"/>
      <c r="AZ281" s="434"/>
      <c r="BA281" s="540"/>
      <c r="BB281" s="1047"/>
      <c r="BC281" s="1047"/>
    </row>
    <row r="282" spans="1:55" x14ac:dyDescent="0.2">
      <c r="A282" s="33"/>
      <c r="B282" s="271" t="s">
        <v>1010</v>
      </c>
      <c r="C282" s="248"/>
      <c r="D282" s="542"/>
      <c r="E282" s="543"/>
      <c r="F282" s="544"/>
      <c r="G282" s="544"/>
      <c r="H282" s="544"/>
      <c r="I282" s="544"/>
      <c r="J282" s="544"/>
      <c r="K282" s="545"/>
      <c r="L282" s="544"/>
      <c r="M282" s="544"/>
      <c r="N282" s="544"/>
      <c r="O282" s="544"/>
      <c r="P282" s="546"/>
      <c r="Q282" s="546"/>
      <c r="R282" s="546"/>
      <c r="S282" s="546"/>
      <c r="T282" s="546"/>
      <c r="U282" s="546"/>
      <c r="V282" s="546"/>
      <c r="W282" s="546"/>
      <c r="X282" s="544"/>
      <c r="Y282" s="544"/>
      <c r="Z282" s="544"/>
      <c r="AA282" s="544"/>
      <c r="AB282" s="547">
        <f t="shared" ref="AB282:AB380" si="92">L282+N282+P282+R282+T282+V282+X282+Z282</f>
        <v>0</v>
      </c>
      <c r="AC282" s="548">
        <f t="shared" ref="AC282:AC380" si="93">M282+O282+Q282+S282+U282+W282+Y282+AA282</f>
        <v>0</v>
      </c>
      <c r="AD282" s="549">
        <f t="shared" si="83"/>
        <v>0</v>
      </c>
      <c r="AE282" s="550">
        <f t="shared" si="84"/>
        <v>0</v>
      </c>
      <c r="AF282" s="548"/>
      <c r="AG282" s="548"/>
      <c r="AH282" s="549"/>
      <c r="AI282" s="550"/>
      <c r="AJ282" s="551" t="str">
        <f>'D. Depreciation'!A54</f>
        <v>D.1</v>
      </c>
      <c r="AK282" s="552">
        <f>'D. Depreciation'!J56</f>
        <v>0</v>
      </c>
      <c r="AL282" s="548"/>
      <c r="AM282" s="551" t="str">
        <f>'E. Capital Outlay'!D52</f>
        <v>E.1</v>
      </c>
      <c r="AN282" s="552">
        <f>'E. Capital Outlay'!N63</f>
        <v>0</v>
      </c>
      <c r="AO282" s="553" t="str">
        <f>'L. Eliminations-Consolidations'!A237</f>
        <v>L.7</v>
      </c>
      <c r="AP282" s="552">
        <f>'L. Eliminations-Consolidations'!J239</f>
        <v>0</v>
      </c>
      <c r="AQ282" s="548"/>
      <c r="AR282" s="556" t="s">
        <v>646</v>
      </c>
      <c r="AS282" s="552">
        <f>'K.1  Int. Service Fd Allocation'!G207+'K.2  Int. Service Fd Alloca'!G202+'K.3 Int. Service Fd Alloca'!G206</f>
        <v>0</v>
      </c>
      <c r="AT282" s="557"/>
      <c r="AU282" s="526"/>
      <c r="AV282" s="552">
        <f t="shared" ref="AV282:AV287" si="94">ROUND(AD282+AF282+AH282+AK282+AP282+AT282,0)</f>
        <v>0</v>
      </c>
      <c r="AW282" s="552">
        <f t="shared" ref="AW282:AW287" si="95">ROUND(AE282+AG282+AI282+AN282+AS282+AU282,0)</f>
        <v>0</v>
      </c>
      <c r="AX282" s="577" t="str">
        <f>IF((SUM(AV282:AV289))-(SUM(AW282:AW289))&lt;=0," ",(SUM(AV282:AV289))-(SUM(AW282:AW289)))</f>
        <v xml:space="preserve"> </v>
      </c>
      <c r="AY282" s="554">
        <f>IF((SUM(AV282:AV289))-(SUM(AW282:AW289))&gt;0," ",-(SUM(AV282:AV289))+(SUM(AW282:AW289)))</f>
        <v>0</v>
      </c>
      <c r="AZ282" s="506"/>
      <c r="BA282" s="524"/>
    </row>
    <row r="283" spans="1:55" x14ac:dyDescent="0.2">
      <c r="A283" s="33"/>
      <c r="B283" s="271"/>
      <c r="C283" s="248"/>
      <c r="D283" s="542"/>
      <c r="E283" s="543"/>
      <c r="F283" s="544"/>
      <c r="G283" s="544"/>
      <c r="H283" s="544"/>
      <c r="I283" s="544"/>
      <c r="J283" s="544"/>
      <c r="K283" s="545"/>
      <c r="L283" s="544"/>
      <c r="M283" s="544"/>
      <c r="N283" s="544"/>
      <c r="O283" s="544"/>
      <c r="P283" s="546"/>
      <c r="Q283" s="546"/>
      <c r="R283" s="546"/>
      <c r="S283" s="546"/>
      <c r="T283" s="546"/>
      <c r="U283" s="546"/>
      <c r="V283" s="546"/>
      <c r="W283" s="546"/>
      <c r="X283" s="544"/>
      <c r="Y283" s="544"/>
      <c r="Z283" s="544"/>
      <c r="AA283" s="544"/>
      <c r="AB283" s="547">
        <f t="shared" si="92"/>
        <v>0</v>
      </c>
      <c r="AC283" s="548">
        <f t="shared" si="93"/>
        <v>0</v>
      </c>
      <c r="AD283" s="549">
        <f t="shared" si="83"/>
        <v>0</v>
      </c>
      <c r="AE283" s="550">
        <f t="shared" si="84"/>
        <v>0</v>
      </c>
      <c r="AF283" s="548"/>
      <c r="AG283" s="548"/>
      <c r="AH283" s="549"/>
      <c r="AI283" s="550"/>
      <c r="AJ283" s="551" t="str">
        <f>'J. Other Liability &amp; Expenses'!D203</f>
        <v>J.1</v>
      </c>
      <c r="AK283" s="552">
        <f>'J. Other Liability &amp; Expenses'!L205</f>
        <v>0</v>
      </c>
      <c r="AL283" s="548"/>
      <c r="AM283" s="566" t="str">
        <f>'I.  Other Asset Entries'!B108</f>
        <v>I.1</v>
      </c>
      <c r="AN283" s="552">
        <f>'I.  Other Asset Entries'!N115</f>
        <v>0</v>
      </c>
      <c r="AO283" s="553"/>
      <c r="AP283" s="552"/>
      <c r="AQ283" s="548"/>
      <c r="AR283" s="551" t="str">
        <f>'L. Eliminations-Consolidations'!A215</f>
        <v>L.5</v>
      </c>
      <c r="AS283" s="554">
        <f>'L. Eliminations-Consolidations'!L218</f>
        <v>0</v>
      </c>
      <c r="AT283" s="525"/>
      <c r="AU283" s="526"/>
      <c r="AV283" s="552">
        <f t="shared" si="94"/>
        <v>0</v>
      </c>
      <c r="AW283" s="552">
        <f t="shared" si="95"/>
        <v>0</v>
      </c>
      <c r="AX283" s="577"/>
      <c r="AY283" s="554"/>
      <c r="AZ283" s="506"/>
      <c r="BA283" s="524"/>
    </row>
    <row r="284" spans="1:55" x14ac:dyDescent="0.2">
      <c r="A284" s="33"/>
      <c r="B284" s="271"/>
      <c r="C284" s="248"/>
      <c r="D284" s="542"/>
      <c r="E284" s="543"/>
      <c r="F284" s="544"/>
      <c r="G284" s="544"/>
      <c r="H284" s="544"/>
      <c r="I284" s="544"/>
      <c r="J284" s="544"/>
      <c r="K284" s="545"/>
      <c r="L284" s="544"/>
      <c r="M284" s="544"/>
      <c r="N284" s="544"/>
      <c r="O284" s="544"/>
      <c r="P284" s="546"/>
      <c r="Q284" s="546"/>
      <c r="R284" s="546"/>
      <c r="S284" s="546"/>
      <c r="T284" s="546"/>
      <c r="U284" s="546"/>
      <c r="V284" s="546"/>
      <c r="W284" s="546"/>
      <c r="X284" s="544"/>
      <c r="Y284" s="544"/>
      <c r="Z284" s="544"/>
      <c r="AA284" s="544"/>
      <c r="AB284" s="547">
        <f t="shared" si="92"/>
        <v>0</v>
      </c>
      <c r="AC284" s="548">
        <f t="shared" si="93"/>
        <v>0</v>
      </c>
      <c r="AD284" s="549">
        <f t="shared" si="83"/>
        <v>0</v>
      </c>
      <c r="AE284" s="550">
        <f t="shared" si="84"/>
        <v>0</v>
      </c>
      <c r="AF284" s="548"/>
      <c r="AG284" s="548"/>
      <c r="AH284" s="549"/>
      <c r="AI284" s="550"/>
      <c r="AJ284" s="551" t="str">
        <f>'F.  Other Cap Asset Entries'!D254</f>
        <v>F.3</v>
      </c>
      <c r="AK284" s="552">
        <f>'F.  Other Cap Asset Entries'!M255</f>
        <v>0</v>
      </c>
      <c r="AL284" s="548"/>
      <c r="AM284" s="566" t="str">
        <f>'J. Other Liability &amp; Expenses'!D203</f>
        <v>J.1</v>
      </c>
      <c r="AN284" s="552">
        <f>'J. Other Liability &amp; Expenses'!N205</f>
        <v>0</v>
      </c>
      <c r="AO284" s="553" t="str">
        <f>'L. Eliminations-Consolidations'!B267</f>
        <v>L.8</v>
      </c>
      <c r="AP284" s="552">
        <f>'L. Eliminations-Consolidations'!J270</f>
        <v>0</v>
      </c>
      <c r="AQ284" s="548"/>
      <c r="AR284" s="551" t="str">
        <f>'L. Eliminations-Consolidations'!B267</f>
        <v>L.8</v>
      </c>
      <c r="AS284" s="554">
        <f>'L. Eliminations-Consolidations'!L270</f>
        <v>0</v>
      </c>
      <c r="AT284" s="525"/>
      <c r="AU284" s="526"/>
      <c r="AV284" s="552">
        <f t="shared" si="94"/>
        <v>0</v>
      </c>
      <c r="AW284" s="552">
        <f t="shared" si="95"/>
        <v>0</v>
      </c>
      <c r="AX284" s="577"/>
      <c r="AY284" s="554"/>
      <c r="AZ284" s="506"/>
      <c r="BA284" s="524"/>
    </row>
    <row r="285" spans="1:55" x14ac:dyDescent="0.2">
      <c r="A285" s="33"/>
      <c r="B285" s="271"/>
      <c r="C285" s="248"/>
      <c r="D285" s="542"/>
      <c r="E285" s="543"/>
      <c r="F285" s="544"/>
      <c r="G285" s="544"/>
      <c r="H285" s="544"/>
      <c r="I285" s="544"/>
      <c r="J285" s="544"/>
      <c r="K285" s="545"/>
      <c r="L285" s="544"/>
      <c r="M285" s="544"/>
      <c r="N285" s="544"/>
      <c r="O285" s="544"/>
      <c r="P285" s="546"/>
      <c r="Q285" s="546"/>
      <c r="R285" s="546"/>
      <c r="S285" s="546"/>
      <c r="T285" s="546"/>
      <c r="U285" s="546"/>
      <c r="V285" s="546"/>
      <c r="W285" s="546"/>
      <c r="X285" s="544"/>
      <c r="Y285" s="544"/>
      <c r="Z285" s="544"/>
      <c r="AA285" s="544"/>
      <c r="AB285" s="547">
        <f t="shared" si="92"/>
        <v>0</v>
      </c>
      <c r="AC285" s="548">
        <f t="shared" si="93"/>
        <v>0</v>
      </c>
      <c r="AD285" s="549">
        <f>D285+F285+H285+J285+AB285</f>
        <v>0</v>
      </c>
      <c r="AE285" s="550">
        <f>E285+G285+I285+K285+AC285</f>
        <v>0</v>
      </c>
      <c r="AF285" s="548"/>
      <c r="AG285" s="548"/>
      <c r="AH285" s="549"/>
      <c r="AI285" s="550"/>
      <c r="AJ285" s="551" t="s">
        <v>633</v>
      </c>
      <c r="AK285" s="552">
        <f>'F.  Other Cap Asset Entries'!M277</f>
        <v>0</v>
      </c>
      <c r="AL285" s="548"/>
      <c r="AM285" s="566" t="s">
        <v>2074</v>
      </c>
      <c r="AN285" s="552">
        <f>'N.1 GASB 68 LGERS'!D99</f>
        <v>0</v>
      </c>
      <c r="AO285" s="553"/>
      <c r="AP285" s="552"/>
      <c r="AQ285" s="548"/>
      <c r="AR285" s="551"/>
      <c r="AS285" s="554"/>
      <c r="AT285" s="525"/>
      <c r="AU285" s="526"/>
      <c r="AV285" s="552">
        <f t="shared" si="94"/>
        <v>0</v>
      </c>
      <c r="AW285" s="552">
        <f t="shared" si="95"/>
        <v>0</v>
      </c>
      <c r="AX285" s="577"/>
      <c r="AY285" s="554"/>
      <c r="AZ285" s="506"/>
      <c r="BA285" s="524"/>
    </row>
    <row r="286" spans="1:55" s="706" customFormat="1" x14ac:dyDescent="0.2">
      <c r="A286" s="33"/>
      <c r="B286" s="271"/>
      <c r="C286" s="248"/>
      <c r="D286" s="542"/>
      <c r="E286" s="543"/>
      <c r="F286" s="544"/>
      <c r="G286" s="544"/>
      <c r="H286" s="544"/>
      <c r="I286" s="544"/>
      <c r="J286" s="544"/>
      <c r="K286" s="545"/>
      <c r="L286" s="544"/>
      <c r="M286" s="544"/>
      <c r="N286" s="544"/>
      <c r="O286" s="544"/>
      <c r="P286" s="546"/>
      <c r="Q286" s="546"/>
      <c r="R286" s="546"/>
      <c r="S286" s="546"/>
      <c r="T286" s="546"/>
      <c r="U286" s="546"/>
      <c r="V286" s="546"/>
      <c r="W286" s="546"/>
      <c r="X286" s="544"/>
      <c r="Y286" s="544"/>
      <c r="Z286" s="544"/>
      <c r="AA286" s="544"/>
      <c r="AB286" s="547"/>
      <c r="AC286" s="548"/>
      <c r="AD286" s="549"/>
      <c r="AE286" s="550"/>
      <c r="AF286" s="548"/>
      <c r="AG286" s="548"/>
      <c r="AH286" s="549"/>
      <c r="AI286" s="550"/>
      <c r="AJ286" s="551" t="s">
        <v>2074</v>
      </c>
      <c r="AK286" s="552">
        <f>'N.1 GASB 68 LGERS'!C99</f>
        <v>0</v>
      </c>
      <c r="AL286" s="548"/>
      <c r="AM286" s="566"/>
      <c r="AN286" s="552"/>
      <c r="AO286" s="553"/>
      <c r="AP286" s="552"/>
      <c r="AQ286" s="548"/>
      <c r="AR286" s="551"/>
      <c r="AS286" s="554"/>
      <c r="AT286" s="525"/>
      <c r="AU286" s="526"/>
      <c r="AV286" s="552">
        <f t="shared" si="94"/>
        <v>0</v>
      </c>
      <c r="AW286" s="552">
        <f t="shared" si="95"/>
        <v>0</v>
      </c>
      <c r="AX286" s="577"/>
      <c r="AY286" s="554"/>
      <c r="AZ286" s="506"/>
      <c r="BA286" s="524"/>
      <c r="BB286" s="1045"/>
      <c r="BC286" s="1045"/>
    </row>
    <row r="287" spans="1:55" s="1032" customFormat="1" x14ac:dyDescent="0.2">
      <c r="A287" s="33"/>
      <c r="B287" s="271"/>
      <c r="C287" s="248"/>
      <c r="D287" s="542"/>
      <c r="E287" s="543"/>
      <c r="F287" s="544"/>
      <c r="G287" s="544"/>
      <c r="H287" s="544"/>
      <c r="I287" s="544"/>
      <c r="J287" s="544"/>
      <c r="K287" s="545"/>
      <c r="L287" s="544"/>
      <c r="M287" s="544"/>
      <c r="N287" s="544"/>
      <c r="O287" s="544"/>
      <c r="P287" s="546"/>
      <c r="Q287" s="546"/>
      <c r="R287" s="546"/>
      <c r="S287" s="546"/>
      <c r="T287" s="546"/>
      <c r="U287" s="546"/>
      <c r="V287" s="546"/>
      <c r="W287" s="546"/>
      <c r="X287" s="544"/>
      <c r="Y287" s="544"/>
      <c r="Z287" s="544"/>
      <c r="AA287" s="544"/>
      <c r="AB287" s="547"/>
      <c r="AC287" s="548"/>
      <c r="AD287" s="549"/>
      <c r="AE287" s="550"/>
      <c r="AF287" s="548"/>
      <c r="AG287" s="548"/>
      <c r="AH287" s="549"/>
      <c r="AI287" s="550"/>
      <c r="AJ287" s="551" t="s">
        <v>4030</v>
      </c>
      <c r="AK287" s="548">
        <f>'P.1 GASB 75 OPEB  - 1'!C105+'P.1 GASB 75 OPEB  - 1'!C114+'P.1 GASB 75 OPEB  - 1'!C123-'P.1 GASB 75 OPEB  - 1'!H191</f>
        <v>0</v>
      </c>
      <c r="AL287" s="548"/>
      <c r="AM287" s="551" t="s">
        <v>4030</v>
      </c>
      <c r="AN287" s="548">
        <f>'P.1 GASB 75 OPEB  - 1'!D105+'P.1 GASB 75 OPEB  - 1'!D114+'P.1 GASB 75 OPEB  - 1'!D123</f>
        <v>0</v>
      </c>
      <c r="AO287" s="553"/>
      <c r="AP287" s="552"/>
      <c r="AQ287" s="548"/>
      <c r="AR287" s="551"/>
      <c r="AS287" s="554"/>
      <c r="AT287" s="525"/>
      <c r="AU287" s="526"/>
      <c r="AV287" s="552">
        <f t="shared" si="94"/>
        <v>0</v>
      </c>
      <c r="AW287" s="552">
        <f t="shared" si="95"/>
        <v>0</v>
      </c>
      <c r="AX287" s="577"/>
      <c r="AY287" s="554"/>
      <c r="AZ287" s="506"/>
      <c r="BA287" s="524"/>
      <c r="BB287" s="1045"/>
      <c r="BC287" s="1045"/>
    </row>
    <row r="288" spans="1:55" s="1103" customFormat="1" x14ac:dyDescent="0.2">
      <c r="A288" s="33"/>
      <c r="B288" s="271"/>
      <c r="C288" s="248"/>
      <c r="D288" s="542"/>
      <c r="E288" s="543"/>
      <c r="F288" s="544"/>
      <c r="G288" s="544"/>
      <c r="H288" s="544"/>
      <c r="I288" s="544"/>
      <c r="J288" s="544"/>
      <c r="K288" s="545"/>
      <c r="L288" s="544"/>
      <c r="M288" s="544"/>
      <c r="N288" s="544"/>
      <c r="O288" s="544"/>
      <c r="P288" s="546"/>
      <c r="Q288" s="546"/>
      <c r="R288" s="546"/>
      <c r="S288" s="546"/>
      <c r="T288" s="546"/>
      <c r="U288" s="546"/>
      <c r="V288" s="546"/>
      <c r="W288" s="546"/>
      <c r="X288" s="544"/>
      <c r="Y288" s="544"/>
      <c r="Z288" s="544"/>
      <c r="AA288" s="544"/>
      <c r="AB288" s="547"/>
      <c r="AC288" s="548"/>
      <c r="AD288" s="549"/>
      <c r="AE288" s="550"/>
      <c r="AF288" s="548"/>
      <c r="AG288" s="548"/>
      <c r="AH288" s="549"/>
      <c r="AI288" s="550"/>
      <c r="AJ288" s="551" t="s">
        <v>4031</v>
      </c>
      <c r="AK288" s="548">
        <f>'P.2 GASB 75 OPEB - 2'!C105+'P.2 GASB 75 OPEB - 2'!C114+'P.2 GASB 75 OPEB - 2'!C123</f>
        <v>0</v>
      </c>
      <c r="AL288" s="548"/>
      <c r="AM288" s="551" t="s">
        <v>4031</v>
      </c>
      <c r="AN288" s="548">
        <f>'P.2 GASB 75 OPEB - 2'!D105+'P.2 GASB 75 OPEB - 2'!D114+'P.2 GASB 75 OPEB - 2'!D123</f>
        <v>0</v>
      </c>
      <c r="AO288" s="553"/>
      <c r="AP288" s="552"/>
      <c r="AQ288" s="548"/>
      <c r="AR288" s="551"/>
      <c r="AS288" s="554"/>
      <c r="AT288" s="525"/>
      <c r="AU288" s="526"/>
      <c r="AV288" s="552">
        <f t="shared" ref="AV288:AV289" si="96">ROUND(AD288+AF288+AH288+AK288+AP288+AT288,0)</f>
        <v>0</v>
      </c>
      <c r="AW288" s="552">
        <f t="shared" ref="AW288:AW289" si="97">ROUND(AE288+AG288+AI288+AN288+AS288+AU288,0)</f>
        <v>0</v>
      </c>
      <c r="AX288" s="577"/>
      <c r="AY288" s="554"/>
      <c r="AZ288" s="506"/>
      <c r="BA288" s="524"/>
    </row>
    <row r="289" spans="1:55" s="1103" customFormat="1" x14ac:dyDescent="0.2">
      <c r="A289" s="33"/>
      <c r="B289" s="271"/>
      <c r="C289" s="248"/>
      <c r="D289" s="542"/>
      <c r="E289" s="543"/>
      <c r="F289" s="544"/>
      <c r="G289" s="544"/>
      <c r="H289" s="544"/>
      <c r="I289" s="544"/>
      <c r="J289" s="544"/>
      <c r="K289" s="545"/>
      <c r="L289" s="544"/>
      <c r="M289" s="544"/>
      <c r="N289" s="544"/>
      <c r="O289" s="544"/>
      <c r="P289" s="546"/>
      <c r="Q289" s="546"/>
      <c r="R289" s="546"/>
      <c r="S289" s="546"/>
      <c r="T289" s="546"/>
      <c r="U289" s="546"/>
      <c r="V289" s="546"/>
      <c r="W289" s="546"/>
      <c r="X289" s="544"/>
      <c r="Y289" s="544"/>
      <c r="Z289" s="544"/>
      <c r="AA289" s="544"/>
      <c r="AB289" s="547"/>
      <c r="AC289" s="548"/>
      <c r="AD289" s="549"/>
      <c r="AE289" s="550"/>
      <c r="AF289" s="548"/>
      <c r="AG289" s="548"/>
      <c r="AH289" s="549"/>
      <c r="AI289" s="550"/>
      <c r="AJ289" s="551" t="s">
        <v>4032</v>
      </c>
      <c r="AK289" s="548">
        <f>'P.3 GASB 75 OPEB - 3'!C105+'P.3 GASB 75 OPEB - 3'!C114+'P.3 GASB 75 OPEB - 3'!C123</f>
        <v>0</v>
      </c>
      <c r="AL289" s="548"/>
      <c r="AM289" s="551" t="s">
        <v>4032</v>
      </c>
      <c r="AN289" s="548">
        <f>'P.3 GASB 75 OPEB - 3'!D105+'P.3 GASB 75 OPEB - 3'!D114+'P.3 GASB 75 OPEB - 3'!D123</f>
        <v>0</v>
      </c>
      <c r="AO289" s="553"/>
      <c r="AP289" s="552"/>
      <c r="AQ289" s="548"/>
      <c r="AR289" s="551"/>
      <c r="AS289" s="554"/>
      <c r="AT289" s="525"/>
      <c r="AU289" s="526"/>
      <c r="AV289" s="552">
        <f t="shared" si="96"/>
        <v>0</v>
      </c>
      <c r="AW289" s="552">
        <f t="shared" si="97"/>
        <v>0</v>
      </c>
      <c r="AX289" s="577"/>
      <c r="AY289" s="554"/>
      <c r="AZ289" s="506"/>
      <c r="BA289" s="524"/>
    </row>
    <row r="290" spans="1:55" s="13" customFormat="1" ht="6" customHeight="1" x14ac:dyDescent="0.2">
      <c r="A290" s="33"/>
      <c r="B290" s="31"/>
      <c r="C290" s="31"/>
      <c r="D290" s="533"/>
      <c r="E290" s="534"/>
      <c r="F290" s="530"/>
      <c r="G290" s="530"/>
      <c r="H290" s="530"/>
      <c r="I290" s="530"/>
      <c r="J290" s="530"/>
      <c r="K290" s="535"/>
      <c r="L290" s="530"/>
      <c r="M290" s="530"/>
      <c r="N290" s="530"/>
      <c r="O290" s="530"/>
      <c r="P290" s="529"/>
      <c r="Q290" s="529"/>
      <c r="R290" s="529"/>
      <c r="S290" s="529"/>
      <c r="T290" s="529"/>
      <c r="U290" s="529"/>
      <c r="V290" s="529"/>
      <c r="W290" s="529"/>
      <c r="X290" s="530"/>
      <c r="Y290" s="530"/>
      <c r="Z290" s="530"/>
      <c r="AA290" s="530"/>
      <c r="AB290" s="531"/>
      <c r="AC290" s="539"/>
      <c r="AD290" s="536"/>
      <c r="AE290" s="537"/>
      <c r="AF290" s="539"/>
      <c r="AG290" s="539"/>
      <c r="AH290" s="536"/>
      <c r="AI290" s="537"/>
      <c r="AJ290" s="581"/>
      <c r="AK290" s="582"/>
      <c r="AL290" s="539"/>
      <c r="AM290" s="538"/>
      <c r="AN290" s="434"/>
      <c r="AO290" s="541"/>
      <c r="AP290" s="434"/>
      <c r="AQ290" s="539"/>
      <c r="AR290" s="538"/>
      <c r="AS290" s="540"/>
      <c r="AT290" s="529"/>
      <c r="AU290" s="564"/>
      <c r="AV290" s="434"/>
      <c r="AW290" s="434"/>
      <c r="AX290" s="573"/>
      <c r="AY290" s="540"/>
      <c r="AZ290" s="434"/>
      <c r="BA290" s="540"/>
      <c r="BB290" s="1047"/>
      <c r="BC290" s="1047"/>
    </row>
    <row r="291" spans="1:55" x14ac:dyDescent="0.2">
      <c r="A291" s="33"/>
      <c r="B291" s="271" t="s">
        <v>830</v>
      </c>
      <c r="C291" s="248"/>
      <c r="D291" s="542"/>
      <c r="E291" s="543"/>
      <c r="F291" s="544"/>
      <c r="G291" s="544"/>
      <c r="H291" s="544"/>
      <c r="I291" s="544"/>
      <c r="J291" s="544"/>
      <c r="K291" s="545"/>
      <c r="L291" s="544"/>
      <c r="M291" s="544"/>
      <c r="N291" s="544"/>
      <c r="O291" s="544"/>
      <c r="P291" s="546"/>
      <c r="Q291" s="546"/>
      <c r="R291" s="546"/>
      <c r="S291" s="546"/>
      <c r="T291" s="546"/>
      <c r="U291" s="546"/>
      <c r="V291" s="546"/>
      <c r="W291" s="546"/>
      <c r="X291" s="544"/>
      <c r="Y291" s="544"/>
      <c r="Z291" s="544"/>
      <c r="AA291" s="544"/>
      <c r="AB291" s="547">
        <f t="shared" si="92"/>
        <v>0</v>
      </c>
      <c r="AC291" s="548">
        <f t="shared" si="93"/>
        <v>0</v>
      </c>
      <c r="AD291" s="549">
        <f t="shared" ref="AD291:AD380" si="98">D291+F291+H291+J291+AB291</f>
        <v>0</v>
      </c>
      <c r="AE291" s="550">
        <f t="shared" ref="AE291:AE380" si="99">E291+G291+I291+K291+AC291</f>
        <v>0</v>
      </c>
      <c r="AF291" s="548"/>
      <c r="AG291" s="548"/>
      <c r="AH291" s="549"/>
      <c r="AI291" s="550"/>
      <c r="AJ291" s="551" t="str">
        <f>'D. Depreciation'!A54</f>
        <v>D.1</v>
      </c>
      <c r="AK291" s="552">
        <f>'D. Depreciation'!J57</f>
        <v>0</v>
      </c>
      <c r="AL291" s="548"/>
      <c r="AM291" s="551" t="str">
        <f>'E. Capital Outlay'!D52</f>
        <v>E.1</v>
      </c>
      <c r="AN291" s="552">
        <f>'E. Capital Outlay'!N64</f>
        <v>0</v>
      </c>
      <c r="AO291" s="553" t="str">
        <f>'L. Eliminations-Consolidations'!A237</f>
        <v>L.7</v>
      </c>
      <c r="AP291" s="552">
        <f>'L. Eliminations-Consolidations'!J240</f>
        <v>0</v>
      </c>
      <c r="AQ291" s="548"/>
      <c r="AR291" s="556" t="s">
        <v>646</v>
      </c>
      <c r="AS291" s="552">
        <f>'K.1  Int. Service Fd Allocation'!G208+'K.2  Int. Service Fd Alloca'!G203+'K.3 Int. Service Fd Alloca'!G207</f>
        <v>0</v>
      </c>
      <c r="AT291" s="557"/>
      <c r="AU291" s="526"/>
      <c r="AV291" s="552">
        <f t="shared" ref="AV291:AV296" si="100">ROUND(AD291+AF291+AH291+AK291+AP291+AT291,0)</f>
        <v>0</v>
      </c>
      <c r="AW291" s="552">
        <f t="shared" ref="AW291:AW296" si="101">ROUND(AE291+AG291+AI291+AN291+AS291+AU291,0)</f>
        <v>0</v>
      </c>
      <c r="AX291" s="577" t="str">
        <f>IF((SUM(AV291:AV298))-(SUM(AW291:AW298))&lt;=0," ",(SUM(AV291:AV298))-(SUM(AW291:AW298)))</f>
        <v xml:space="preserve"> </v>
      </c>
      <c r="AY291" s="554">
        <f>IF((SUM(AV291:AV298))-(SUM(AW291:AW298))&gt;0," ",-(SUM(AV291:AV298))+(SUM(AW291:AW298)))</f>
        <v>0</v>
      </c>
      <c r="AZ291" s="506"/>
      <c r="BA291" s="524"/>
    </row>
    <row r="292" spans="1:55" x14ac:dyDescent="0.2">
      <c r="A292" s="33"/>
      <c r="B292" s="271"/>
      <c r="C292" s="248"/>
      <c r="D292" s="542"/>
      <c r="E292" s="543"/>
      <c r="F292" s="544"/>
      <c r="G292" s="544"/>
      <c r="H292" s="544"/>
      <c r="I292" s="544"/>
      <c r="J292" s="544"/>
      <c r="K292" s="545"/>
      <c r="L292" s="544"/>
      <c r="M292" s="544"/>
      <c r="N292" s="544"/>
      <c r="O292" s="544"/>
      <c r="P292" s="546"/>
      <c r="Q292" s="546"/>
      <c r="R292" s="546"/>
      <c r="S292" s="546"/>
      <c r="T292" s="546"/>
      <c r="U292" s="546"/>
      <c r="V292" s="546"/>
      <c r="W292" s="546"/>
      <c r="X292" s="544"/>
      <c r="Y292" s="544"/>
      <c r="Z292" s="544"/>
      <c r="AA292" s="544"/>
      <c r="AB292" s="547">
        <f t="shared" si="92"/>
        <v>0</v>
      </c>
      <c r="AC292" s="548">
        <f t="shared" si="93"/>
        <v>0</v>
      </c>
      <c r="AD292" s="549">
        <f t="shared" si="98"/>
        <v>0</v>
      </c>
      <c r="AE292" s="550">
        <f t="shared" si="99"/>
        <v>0</v>
      </c>
      <c r="AF292" s="548"/>
      <c r="AG292" s="548"/>
      <c r="AH292" s="549"/>
      <c r="AI292" s="550"/>
      <c r="AJ292" s="551" t="str">
        <f>'J. Other Liability &amp; Expenses'!D203</f>
        <v>J.1</v>
      </c>
      <c r="AK292" s="552">
        <f>'J. Other Liability &amp; Expenses'!L206</f>
        <v>0</v>
      </c>
      <c r="AL292" s="548"/>
      <c r="AM292" s="566" t="str">
        <f>'I.  Other Asset Entries'!B108</f>
        <v>I.1</v>
      </c>
      <c r="AN292" s="552">
        <f>'I.  Other Asset Entries'!N116</f>
        <v>0</v>
      </c>
      <c r="AO292" s="553"/>
      <c r="AP292" s="552"/>
      <c r="AQ292" s="548"/>
      <c r="AR292" s="551"/>
      <c r="AS292" s="554"/>
      <c r="AT292" s="525"/>
      <c r="AU292" s="526"/>
      <c r="AV292" s="552">
        <f>ROUND(AD292+AF292+AH292+AK292+AP292+AT292,0)</f>
        <v>0</v>
      </c>
      <c r="AW292" s="552">
        <f t="shared" si="101"/>
        <v>0</v>
      </c>
      <c r="AX292" s="577"/>
      <c r="AY292" s="554"/>
      <c r="AZ292" s="506"/>
      <c r="BA292" s="524"/>
    </row>
    <row r="293" spans="1:55" x14ac:dyDescent="0.2">
      <c r="A293" s="33"/>
      <c r="B293" s="271"/>
      <c r="C293" s="248"/>
      <c r="D293" s="542"/>
      <c r="E293" s="543"/>
      <c r="F293" s="544"/>
      <c r="G293" s="544"/>
      <c r="H293" s="544"/>
      <c r="I293" s="544"/>
      <c r="J293" s="544"/>
      <c r="K293" s="545"/>
      <c r="L293" s="544"/>
      <c r="M293" s="544"/>
      <c r="N293" s="544"/>
      <c r="O293" s="544"/>
      <c r="P293" s="546"/>
      <c r="Q293" s="546"/>
      <c r="R293" s="546"/>
      <c r="S293" s="546"/>
      <c r="T293" s="546"/>
      <c r="U293" s="546"/>
      <c r="V293" s="546"/>
      <c r="W293" s="546"/>
      <c r="X293" s="544"/>
      <c r="Y293" s="544"/>
      <c r="Z293" s="544"/>
      <c r="AA293" s="544"/>
      <c r="AB293" s="547">
        <f t="shared" si="92"/>
        <v>0</v>
      </c>
      <c r="AC293" s="548">
        <f t="shared" si="93"/>
        <v>0</v>
      </c>
      <c r="AD293" s="549">
        <f t="shared" si="98"/>
        <v>0</v>
      </c>
      <c r="AE293" s="550">
        <f t="shared" si="99"/>
        <v>0</v>
      </c>
      <c r="AF293" s="548"/>
      <c r="AG293" s="548"/>
      <c r="AH293" s="549"/>
      <c r="AI293" s="550"/>
      <c r="AJ293" s="551" t="str">
        <f>'F.  Other Cap Asset Entries'!D254</f>
        <v>F.3</v>
      </c>
      <c r="AK293" s="552">
        <f>'F.  Other Cap Asset Entries'!M256</f>
        <v>0</v>
      </c>
      <c r="AL293" s="548"/>
      <c r="AM293" s="566" t="str">
        <f>'J. Other Liability &amp; Expenses'!D203</f>
        <v>J.1</v>
      </c>
      <c r="AN293" s="552">
        <f>'J. Other Liability &amp; Expenses'!N206</f>
        <v>0</v>
      </c>
      <c r="AO293" s="553" t="str">
        <f>'L. Eliminations-Consolidations'!B267</f>
        <v>L.8</v>
      </c>
      <c r="AP293" s="552">
        <f>'L. Eliminations-Consolidations'!J271</f>
        <v>0</v>
      </c>
      <c r="AQ293" s="548"/>
      <c r="AR293" s="551" t="str">
        <f>'L. Eliminations-Consolidations'!B267</f>
        <v>L.8</v>
      </c>
      <c r="AS293" s="554">
        <f>'L. Eliminations-Consolidations'!L271</f>
        <v>0</v>
      </c>
      <c r="AT293" s="525"/>
      <c r="AU293" s="526"/>
      <c r="AV293" s="552">
        <f>ROUND(AD293+AF293+AH293+AK293+AP293+AT293,0)</f>
        <v>0</v>
      </c>
      <c r="AW293" s="552">
        <f t="shared" si="101"/>
        <v>0</v>
      </c>
      <c r="AX293" s="577"/>
      <c r="AY293" s="554"/>
      <c r="AZ293" s="506"/>
      <c r="BA293" s="524"/>
    </row>
    <row r="294" spans="1:55" x14ac:dyDescent="0.2">
      <c r="A294" s="33"/>
      <c r="B294" s="271"/>
      <c r="C294" s="248"/>
      <c r="D294" s="542"/>
      <c r="E294" s="543"/>
      <c r="F294" s="544"/>
      <c r="G294" s="544"/>
      <c r="H294" s="544"/>
      <c r="I294" s="544"/>
      <c r="J294" s="544"/>
      <c r="K294" s="545"/>
      <c r="L294" s="544"/>
      <c r="M294" s="544"/>
      <c r="N294" s="544"/>
      <c r="O294" s="544"/>
      <c r="P294" s="546"/>
      <c r="Q294" s="546"/>
      <c r="R294" s="546"/>
      <c r="S294" s="546"/>
      <c r="T294" s="546"/>
      <c r="U294" s="546"/>
      <c r="V294" s="546"/>
      <c r="W294" s="546"/>
      <c r="X294" s="544"/>
      <c r="Y294" s="544"/>
      <c r="Z294" s="544"/>
      <c r="AA294" s="544"/>
      <c r="AB294" s="547">
        <f t="shared" si="92"/>
        <v>0</v>
      </c>
      <c r="AC294" s="548">
        <f t="shared" si="93"/>
        <v>0</v>
      </c>
      <c r="AD294" s="549">
        <f t="shared" si="98"/>
        <v>0</v>
      </c>
      <c r="AE294" s="550">
        <f t="shared" si="99"/>
        <v>0</v>
      </c>
      <c r="AF294" s="548"/>
      <c r="AG294" s="548"/>
      <c r="AH294" s="549"/>
      <c r="AI294" s="550"/>
      <c r="AJ294" s="551" t="s">
        <v>633</v>
      </c>
      <c r="AK294" s="552">
        <f>'F.  Other Cap Asset Entries'!M278</f>
        <v>0</v>
      </c>
      <c r="AL294" s="548"/>
      <c r="AM294" s="566" t="s">
        <v>2074</v>
      </c>
      <c r="AN294" s="552">
        <f>'N.1 GASB 68 LGERS'!D100</f>
        <v>0</v>
      </c>
      <c r="AO294" s="553"/>
      <c r="AP294" s="552"/>
      <c r="AQ294" s="548"/>
      <c r="AR294" s="551"/>
      <c r="AS294" s="554"/>
      <c r="AT294" s="525"/>
      <c r="AU294" s="526"/>
      <c r="AV294" s="552">
        <f t="shared" si="100"/>
        <v>0</v>
      </c>
      <c r="AW294" s="552">
        <f t="shared" si="101"/>
        <v>0</v>
      </c>
      <c r="AX294" s="577"/>
      <c r="AY294" s="554"/>
      <c r="AZ294" s="506"/>
      <c r="BA294" s="524"/>
    </row>
    <row r="295" spans="1:55" s="706" customFormat="1" x14ac:dyDescent="0.2">
      <c r="A295" s="33"/>
      <c r="B295" s="271"/>
      <c r="C295" s="248"/>
      <c r="D295" s="542"/>
      <c r="E295" s="543"/>
      <c r="F295" s="544"/>
      <c r="G295" s="544"/>
      <c r="H295" s="544"/>
      <c r="I295" s="544"/>
      <c r="J295" s="544"/>
      <c r="K295" s="545"/>
      <c r="L295" s="544"/>
      <c r="M295" s="544"/>
      <c r="N295" s="544"/>
      <c r="O295" s="544"/>
      <c r="P295" s="546"/>
      <c r="Q295" s="546"/>
      <c r="R295" s="546"/>
      <c r="S295" s="546"/>
      <c r="T295" s="546"/>
      <c r="U295" s="546"/>
      <c r="V295" s="546"/>
      <c r="W295" s="546"/>
      <c r="X295" s="544"/>
      <c r="Y295" s="544"/>
      <c r="Z295" s="544"/>
      <c r="AA295" s="544"/>
      <c r="AB295" s="547"/>
      <c r="AC295" s="548"/>
      <c r="AD295" s="549"/>
      <c r="AE295" s="550"/>
      <c r="AF295" s="548"/>
      <c r="AG295" s="548"/>
      <c r="AH295" s="549"/>
      <c r="AI295" s="550"/>
      <c r="AJ295" s="551" t="s">
        <v>2074</v>
      </c>
      <c r="AK295" s="552">
        <f>'N.1 GASB 68 LGERS'!C100</f>
        <v>0</v>
      </c>
      <c r="AL295" s="548"/>
      <c r="AM295" s="566"/>
      <c r="AN295" s="552"/>
      <c r="AO295" s="553"/>
      <c r="AP295" s="552"/>
      <c r="AQ295" s="548"/>
      <c r="AR295" s="551"/>
      <c r="AS295" s="554"/>
      <c r="AT295" s="525"/>
      <c r="AU295" s="526"/>
      <c r="AV295" s="552">
        <f t="shared" si="100"/>
        <v>0</v>
      </c>
      <c r="AW295" s="552">
        <f t="shared" si="101"/>
        <v>0</v>
      </c>
      <c r="AX295" s="577"/>
      <c r="AY295" s="554"/>
      <c r="AZ295" s="506"/>
      <c r="BA295" s="524"/>
      <c r="BB295" s="1045"/>
      <c r="BC295" s="1045"/>
    </row>
    <row r="296" spans="1:55" s="1044" customFormat="1" x14ac:dyDescent="0.2">
      <c r="A296" s="33"/>
      <c r="B296" s="271"/>
      <c r="C296" s="248"/>
      <c r="D296" s="542"/>
      <c r="E296" s="543"/>
      <c r="F296" s="544"/>
      <c r="G296" s="544"/>
      <c r="H296" s="544"/>
      <c r="I296" s="544"/>
      <c r="J296" s="544"/>
      <c r="K296" s="545"/>
      <c r="L296" s="544"/>
      <c r="M296" s="544"/>
      <c r="N296" s="544"/>
      <c r="O296" s="544"/>
      <c r="P296" s="546"/>
      <c r="Q296" s="546"/>
      <c r="R296" s="546"/>
      <c r="S296" s="546"/>
      <c r="T296" s="546"/>
      <c r="U296" s="546"/>
      <c r="V296" s="546"/>
      <c r="W296" s="546"/>
      <c r="X296" s="544"/>
      <c r="Y296" s="544"/>
      <c r="Z296" s="544"/>
      <c r="AA296" s="544"/>
      <c r="AB296" s="547"/>
      <c r="AC296" s="548"/>
      <c r="AD296" s="549"/>
      <c r="AE296" s="550"/>
      <c r="AF296" s="552"/>
      <c r="AG296" s="552"/>
      <c r="AH296" s="549"/>
      <c r="AI296" s="550"/>
      <c r="AJ296" s="551" t="s">
        <v>4030</v>
      </c>
      <c r="AK296" s="552">
        <f>'P.1 GASB 75 OPEB  - 1'!C106+'P.1 GASB 75 OPEB  - 1'!C115+'P.1 GASB 75 OPEB  - 1'!C124-'P.1 GASB 75 OPEB  - 1'!H192</f>
        <v>0</v>
      </c>
      <c r="AL296" s="548"/>
      <c r="AM296" s="551" t="s">
        <v>4030</v>
      </c>
      <c r="AN296" s="552">
        <f>'P.1 GASB 75 OPEB  - 1'!D106+'P.1 GASB 75 OPEB  - 1'!D115+'P.1 GASB 75 OPEB  - 1'!D124</f>
        <v>0</v>
      </c>
      <c r="AO296" s="553"/>
      <c r="AP296" s="552"/>
      <c r="AQ296" s="548"/>
      <c r="AR296" s="551"/>
      <c r="AS296" s="554"/>
      <c r="AT296" s="525"/>
      <c r="AU296" s="526"/>
      <c r="AV296" s="552">
        <f t="shared" si="100"/>
        <v>0</v>
      </c>
      <c r="AW296" s="552">
        <f t="shared" si="101"/>
        <v>0</v>
      </c>
      <c r="AX296" s="577"/>
      <c r="AY296" s="554"/>
      <c r="AZ296" s="506"/>
      <c r="BA296" s="524"/>
      <c r="BB296" s="1045"/>
      <c r="BC296" s="1045"/>
    </row>
    <row r="297" spans="1:55" s="1103" customFormat="1" x14ac:dyDescent="0.2">
      <c r="A297" s="33"/>
      <c r="B297" s="271"/>
      <c r="C297" s="248"/>
      <c r="D297" s="542"/>
      <c r="E297" s="543"/>
      <c r="F297" s="544"/>
      <c r="G297" s="544"/>
      <c r="H297" s="544"/>
      <c r="I297" s="544"/>
      <c r="J297" s="544"/>
      <c r="K297" s="545"/>
      <c r="L297" s="544"/>
      <c r="M297" s="544"/>
      <c r="N297" s="544"/>
      <c r="O297" s="544"/>
      <c r="P297" s="546"/>
      <c r="Q297" s="546"/>
      <c r="R297" s="546"/>
      <c r="S297" s="546"/>
      <c r="T297" s="546"/>
      <c r="U297" s="546"/>
      <c r="V297" s="546"/>
      <c r="W297" s="546"/>
      <c r="X297" s="544"/>
      <c r="Y297" s="544"/>
      <c r="Z297" s="544"/>
      <c r="AA297" s="544"/>
      <c r="AB297" s="547"/>
      <c r="AC297" s="548"/>
      <c r="AD297" s="549"/>
      <c r="AE297" s="550"/>
      <c r="AF297" s="552"/>
      <c r="AG297" s="552"/>
      <c r="AH297" s="549"/>
      <c r="AI297" s="550"/>
      <c r="AJ297" s="551" t="s">
        <v>4031</v>
      </c>
      <c r="AK297" s="552">
        <f>'P.2 GASB 75 OPEB - 2'!C106+'P.2 GASB 75 OPEB - 2'!C115+'P.2 GASB 75 OPEB - 2'!C124</f>
        <v>0</v>
      </c>
      <c r="AL297" s="548"/>
      <c r="AM297" s="551" t="s">
        <v>4031</v>
      </c>
      <c r="AN297" s="552">
        <f>'P.2 GASB 75 OPEB - 2'!D106+'P.2 GASB 75 OPEB - 2'!D115+'P.2 GASB 75 OPEB - 2'!D124</f>
        <v>0</v>
      </c>
      <c r="AO297" s="553"/>
      <c r="AP297" s="552"/>
      <c r="AQ297" s="548"/>
      <c r="AR297" s="551"/>
      <c r="AS297" s="554"/>
      <c r="AT297" s="525"/>
      <c r="AU297" s="526"/>
      <c r="AV297" s="552">
        <f t="shared" ref="AV297:AV298" si="102">ROUND(AD297+AF297+AH297+AK297+AP297+AT297,0)</f>
        <v>0</v>
      </c>
      <c r="AW297" s="552">
        <f t="shared" ref="AW297:AW298" si="103">ROUND(AE297+AG297+AI297+AN297+AS297+AU297,0)</f>
        <v>0</v>
      </c>
      <c r="AX297" s="577"/>
      <c r="AY297" s="554"/>
      <c r="AZ297" s="506"/>
      <c r="BA297" s="524"/>
    </row>
    <row r="298" spans="1:55" s="1103" customFormat="1" x14ac:dyDescent="0.2">
      <c r="A298" s="33"/>
      <c r="B298" s="271"/>
      <c r="C298" s="248"/>
      <c r="D298" s="542"/>
      <c r="E298" s="543"/>
      <c r="F298" s="544"/>
      <c r="G298" s="544"/>
      <c r="H298" s="544"/>
      <c r="I298" s="544"/>
      <c r="J298" s="544"/>
      <c r="K298" s="545"/>
      <c r="L298" s="544"/>
      <c r="M298" s="544"/>
      <c r="N298" s="544"/>
      <c r="O298" s="544"/>
      <c r="P298" s="546"/>
      <c r="Q298" s="546"/>
      <c r="R298" s="546"/>
      <c r="S298" s="546"/>
      <c r="T298" s="546"/>
      <c r="U298" s="546"/>
      <c r="V298" s="546"/>
      <c r="W298" s="546"/>
      <c r="X298" s="544"/>
      <c r="Y298" s="544"/>
      <c r="Z298" s="544"/>
      <c r="AA298" s="544"/>
      <c r="AB298" s="547"/>
      <c r="AC298" s="548"/>
      <c r="AD298" s="549"/>
      <c r="AE298" s="550"/>
      <c r="AF298" s="552"/>
      <c r="AG298" s="552"/>
      <c r="AH298" s="549"/>
      <c r="AI298" s="550"/>
      <c r="AJ298" s="551" t="s">
        <v>4032</v>
      </c>
      <c r="AK298" s="552">
        <f>'P.3 GASB 75 OPEB - 3'!C106+'P.3 GASB 75 OPEB - 3'!C115+'P.3 GASB 75 OPEB - 3'!C124</f>
        <v>0</v>
      </c>
      <c r="AL298" s="548"/>
      <c r="AM298" s="551" t="s">
        <v>4032</v>
      </c>
      <c r="AN298" s="552">
        <f>'P.3 GASB 75 OPEB - 3'!D106+'P.3 GASB 75 OPEB - 3'!D115+'P.3 GASB 75 OPEB - 3'!D124</f>
        <v>0</v>
      </c>
      <c r="AO298" s="553"/>
      <c r="AP298" s="552"/>
      <c r="AQ298" s="548"/>
      <c r="AR298" s="551"/>
      <c r="AS298" s="554"/>
      <c r="AT298" s="525"/>
      <c r="AU298" s="526"/>
      <c r="AV298" s="552">
        <f t="shared" si="102"/>
        <v>0</v>
      </c>
      <c r="AW298" s="552">
        <f t="shared" si="103"/>
        <v>0</v>
      </c>
      <c r="AX298" s="577"/>
      <c r="AY298" s="554"/>
      <c r="AZ298" s="506"/>
      <c r="BA298" s="524"/>
    </row>
    <row r="299" spans="1:55" s="13" customFormat="1" ht="6" customHeight="1" x14ac:dyDescent="0.2">
      <c r="A299" s="33"/>
      <c r="B299" s="31"/>
      <c r="C299" s="31"/>
      <c r="D299" s="533"/>
      <c r="E299" s="534"/>
      <c r="F299" s="530"/>
      <c r="G299" s="530"/>
      <c r="H299" s="530"/>
      <c r="I299" s="530"/>
      <c r="J299" s="530"/>
      <c r="K299" s="535"/>
      <c r="L299" s="530"/>
      <c r="M299" s="530"/>
      <c r="N299" s="530"/>
      <c r="O299" s="530"/>
      <c r="P299" s="529"/>
      <c r="Q299" s="529"/>
      <c r="R299" s="529"/>
      <c r="S299" s="529"/>
      <c r="T299" s="529"/>
      <c r="U299" s="529"/>
      <c r="V299" s="529"/>
      <c r="W299" s="529"/>
      <c r="X299" s="530"/>
      <c r="Y299" s="530"/>
      <c r="Z299" s="530"/>
      <c r="AA299" s="530"/>
      <c r="AB299" s="531"/>
      <c r="AC299" s="539"/>
      <c r="AD299" s="536"/>
      <c r="AE299" s="537"/>
      <c r="AF299" s="539"/>
      <c r="AG299" s="539"/>
      <c r="AH299" s="536"/>
      <c r="AI299" s="537"/>
      <c r="AJ299" s="581"/>
      <c r="AK299" s="582"/>
      <c r="AL299" s="539"/>
      <c r="AM299" s="538"/>
      <c r="AN299" s="434"/>
      <c r="AO299" s="541"/>
      <c r="AP299" s="434"/>
      <c r="AQ299" s="539"/>
      <c r="AR299" s="538"/>
      <c r="AS299" s="540"/>
      <c r="AT299" s="529"/>
      <c r="AU299" s="564"/>
      <c r="AV299" s="434"/>
      <c r="AW299" s="434"/>
      <c r="AX299" s="573"/>
      <c r="AY299" s="540"/>
      <c r="AZ299" s="434"/>
      <c r="BA299" s="540"/>
      <c r="BB299" s="1047"/>
      <c r="BC299" s="1047"/>
    </row>
    <row r="300" spans="1:55" x14ac:dyDescent="0.2">
      <c r="A300" s="33"/>
      <c r="B300" s="271" t="s">
        <v>185</v>
      </c>
      <c r="C300" s="248"/>
      <c r="D300" s="542"/>
      <c r="E300" s="543"/>
      <c r="F300" s="544"/>
      <c r="G300" s="544"/>
      <c r="H300" s="544"/>
      <c r="I300" s="544"/>
      <c r="J300" s="544"/>
      <c r="K300" s="545"/>
      <c r="L300" s="544"/>
      <c r="M300" s="544"/>
      <c r="N300" s="544"/>
      <c r="O300" s="544"/>
      <c r="P300" s="546"/>
      <c r="Q300" s="546"/>
      <c r="R300" s="546"/>
      <c r="S300" s="546"/>
      <c r="T300" s="546"/>
      <c r="U300" s="546"/>
      <c r="V300" s="546"/>
      <c r="W300" s="546"/>
      <c r="X300" s="544"/>
      <c r="Y300" s="544"/>
      <c r="Z300" s="544"/>
      <c r="AA300" s="544"/>
      <c r="AB300" s="547">
        <f t="shared" ref="AB300:AC303" si="104">L300+N300+P300+R300+T300+V300+X300+Z300</f>
        <v>0</v>
      </c>
      <c r="AC300" s="548">
        <f t="shared" si="104"/>
        <v>0</v>
      </c>
      <c r="AD300" s="549">
        <f t="shared" ref="AD300:AE303" si="105">D300+F300+H300+J300+AB300</f>
        <v>0</v>
      </c>
      <c r="AE300" s="550">
        <f t="shared" si="105"/>
        <v>0</v>
      </c>
      <c r="AF300" s="548"/>
      <c r="AG300" s="548"/>
      <c r="AH300" s="549"/>
      <c r="AI300" s="550"/>
      <c r="AJ300" s="551" t="str">
        <f>'D. Depreciation'!A54</f>
        <v>D.1</v>
      </c>
      <c r="AK300" s="552">
        <f>'D. Depreciation'!J59</f>
        <v>0</v>
      </c>
      <c r="AL300" s="548"/>
      <c r="AM300" s="551" t="str">
        <f>'E. Capital Outlay'!D52</f>
        <v>E.1</v>
      </c>
      <c r="AN300" s="552">
        <f>'E. Capital Outlay'!N65</f>
        <v>0</v>
      </c>
      <c r="AO300" s="553" t="str">
        <f>'L. Eliminations-Consolidations'!A237</f>
        <v>L.7</v>
      </c>
      <c r="AP300" s="552">
        <f>'L. Eliminations-Consolidations'!J241</f>
        <v>0</v>
      </c>
      <c r="AQ300" s="548"/>
      <c r="AR300" s="556" t="s">
        <v>646</v>
      </c>
      <c r="AS300" s="552">
        <f>'K.1  Int. Service Fd Allocation'!G209+'K.2  Int. Service Fd Alloca'!G204+'K.3 Int. Service Fd Alloca'!G208</f>
        <v>0</v>
      </c>
      <c r="AT300" s="557"/>
      <c r="AU300" s="526"/>
      <c r="AV300" s="552">
        <f t="shared" ref="AV300:AV305" si="106">ROUND(AD300+AF300+AH300+AK300+AP300+AT300,0)</f>
        <v>0</v>
      </c>
      <c r="AW300" s="552">
        <f t="shared" ref="AW300:AW305" si="107">ROUND(AE300+AG300+AI300+AN300+AS300+AU300,0)</f>
        <v>0</v>
      </c>
      <c r="AX300" s="577" t="str">
        <f>IF((SUM(AV300:AV307))-(SUM(AW300:AW307))&lt;=0," ",(SUM(AV300:AV307))-(SUM(AW300:AW307)))</f>
        <v xml:space="preserve"> </v>
      </c>
      <c r="AY300" s="554">
        <f>IF((SUM(AV300:AV307))-(SUM(AW300:AW307))&gt;0," ",-(SUM(AV300:AV307))+(SUM(AW300:AW307)))</f>
        <v>0</v>
      </c>
      <c r="AZ300" s="506"/>
      <c r="BA300" s="524"/>
    </row>
    <row r="301" spans="1:55" x14ac:dyDescent="0.2">
      <c r="A301" s="33"/>
      <c r="B301" s="271"/>
      <c r="C301" s="248"/>
      <c r="D301" s="542"/>
      <c r="E301" s="543"/>
      <c r="F301" s="544"/>
      <c r="G301" s="544"/>
      <c r="H301" s="544"/>
      <c r="I301" s="544"/>
      <c r="J301" s="544"/>
      <c r="K301" s="545"/>
      <c r="L301" s="544"/>
      <c r="M301" s="544"/>
      <c r="N301" s="544"/>
      <c r="O301" s="544"/>
      <c r="P301" s="546"/>
      <c r="Q301" s="546"/>
      <c r="R301" s="546"/>
      <c r="S301" s="546"/>
      <c r="T301" s="546"/>
      <c r="U301" s="546"/>
      <c r="V301" s="546"/>
      <c r="W301" s="546"/>
      <c r="X301" s="544"/>
      <c r="Y301" s="544"/>
      <c r="Z301" s="544"/>
      <c r="AA301" s="544"/>
      <c r="AB301" s="547">
        <f t="shared" si="104"/>
        <v>0</v>
      </c>
      <c r="AC301" s="548">
        <f t="shared" si="104"/>
        <v>0</v>
      </c>
      <c r="AD301" s="549">
        <f t="shared" si="105"/>
        <v>0</v>
      </c>
      <c r="AE301" s="550">
        <f t="shared" si="105"/>
        <v>0</v>
      </c>
      <c r="AF301" s="548"/>
      <c r="AG301" s="548"/>
      <c r="AH301" s="549"/>
      <c r="AI301" s="550"/>
      <c r="AJ301" s="551" t="str">
        <f>'J. Other Liability &amp; Expenses'!D203</f>
        <v>J.1</v>
      </c>
      <c r="AK301" s="552">
        <f>'J. Other Liability &amp; Expenses'!L207</f>
        <v>0</v>
      </c>
      <c r="AL301" s="548"/>
      <c r="AM301" s="566" t="str">
        <f>'I.  Other Asset Entries'!B108</f>
        <v>I.1</v>
      </c>
      <c r="AN301" s="552">
        <f>'I.  Other Asset Entries'!N117</f>
        <v>0</v>
      </c>
      <c r="AO301" s="553"/>
      <c r="AP301" s="552"/>
      <c r="AQ301" s="548"/>
      <c r="AR301" s="551"/>
      <c r="AS301" s="554"/>
      <c r="AT301" s="525"/>
      <c r="AU301" s="526"/>
      <c r="AV301" s="552">
        <f t="shared" si="106"/>
        <v>0</v>
      </c>
      <c r="AW301" s="552">
        <f t="shared" si="107"/>
        <v>0</v>
      </c>
      <c r="AX301" s="577"/>
      <c r="AY301" s="554"/>
      <c r="AZ301" s="506"/>
      <c r="BA301" s="524"/>
    </row>
    <row r="302" spans="1:55" x14ac:dyDescent="0.2">
      <c r="A302" s="33"/>
      <c r="B302" s="271"/>
      <c r="C302" s="248"/>
      <c r="D302" s="542"/>
      <c r="E302" s="543"/>
      <c r="F302" s="544"/>
      <c r="G302" s="544"/>
      <c r="H302" s="544"/>
      <c r="I302" s="544"/>
      <c r="J302" s="544"/>
      <c r="K302" s="545"/>
      <c r="L302" s="544"/>
      <c r="M302" s="544"/>
      <c r="N302" s="544"/>
      <c r="O302" s="544"/>
      <c r="P302" s="546"/>
      <c r="Q302" s="546"/>
      <c r="R302" s="546"/>
      <c r="S302" s="546"/>
      <c r="T302" s="546"/>
      <c r="U302" s="546"/>
      <c r="V302" s="546"/>
      <c r="W302" s="546"/>
      <c r="X302" s="544"/>
      <c r="Y302" s="544"/>
      <c r="Z302" s="544"/>
      <c r="AA302" s="544"/>
      <c r="AB302" s="547">
        <f t="shared" si="104"/>
        <v>0</v>
      </c>
      <c r="AC302" s="548">
        <f t="shared" si="104"/>
        <v>0</v>
      </c>
      <c r="AD302" s="549">
        <f t="shared" si="105"/>
        <v>0</v>
      </c>
      <c r="AE302" s="550">
        <f t="shared" si="105"/>
        <v>0</v>
      </c>
      <c r="AF302" s="548"/>
      <c r="AG302" s="548"/>
      <c r="AH302" s="549"/>
      <c r="AI302" s="550"/>
      <c r="AJ302" s="551" t="str">
        <f>'F.  Other Cap Asset Entries'!D254</f>
        <v>F.3</v>
      </c>
      <c r="AK302" s="552">
        <f>'F.  Other Cap Asset Entries'!M257</f>
        <v>0</v>
      </c>
      <c r="AL302" s="548"/>
      <c r="AM302" s="566" t="str">
        <f>'J. Other Liability &amp; Expenses'!D203</f>
        <v>J.1</v>
      </c>
      <c r="AN302" s="552">
        <f>'J. Other Liability &amp; Expenses'!N207</f>
        <v>0</v>
      </c>
      <c r="AO302" s="553" t="str">
        <f>'L. Eliminations-Consolidations'!B267</f>
        <v>L.8</v>
      </c>
      <c r="AP302" s="552">
        <f>'L. Eliminations-Consolidations'!J272</f>
        <v>0</v>
      </c>
      <c r="AQ302" s="548"/>
      <c r="AR302" s="551" t="str">
        <f>'L. Eliminations-Consolidations'!B267</f>
        <v>L.8</v>
      </c>
      <c r="AS302" s="554">
        <f>'L. Eliminations-Consolidations'!L272</f>
        <v>0</v>
      </c>
      <c r="AT302" s="525"/>
      <c r="AU302" s="526"/>
      <c r="AV302" s="552">
        <f t="shared" si="106"/>
        <v>0</v>
      </c>
      <c r="AW302" s="552">
        <f t="shared" si="107"/>
        <v>0</v>
      </c>
      <c r="AX302" s="577"/>
      <c r="AY302" s="554"/>
      <c r="AZ302" s="506"/>
      <c r="BA302" s="524"/>
    </row>
    <row r="303" spans="1:55" x14ac:dyDescent="0.2">
      <c r="A303" s="33"/>
      <c r="B303" s="271"/>
      <c r="C303" s="248"/>
      <c r="D303" s="542"/>
      <c r="E303" s="543"/>
      <c r="F303" s="544"/>
      <c r="G303" s="544"/>
      <c r="H303" s="544"/>
      <c r="I303" s="544"/>
      <c r="J303" s="544"/>
      <c r="K303" s="545"/>
      <c r="L303" s="544"/>
      <c r="M303" s="544"/>
      <c r="N303" s="544"/>
      <c r="O303" s="544"/>
      <c r="P303" s="546"/>
      <c r="Q303" s="546"/>
      <c r="R303" s="546"/>
      <c r="S303" s="546"/>
      <c r="T303" s="546"/>
      <c r="U303" s="546"/>
      <c r="V303" s="546"/>
      <c r="W303" s="546"/>
      <c r="X303" s="544"/>
      <c r="Y303" s="544"/>
      <c r="Z303" s="544"/>
      <c r="AA303" s="544"/>
      <c r="AB303" s="547">
        <f t="shared" si="104"/>
        <v>0</v>
      </c>
      <c r="AC303" s="548">
        <f t="shared" si="104"/>
        <v>0</v>
      </c>
      <c r="AD303" s="549">
        <f t="shared" si="105"/>
        <v>0</v>
      </c>
      <c r="AE303" s="550">
        <f t="shared" si="105"/>
        <v>0</v>
      </c>
      <c r="AF303" s="548"/>
      <c r="AG303" s="548"/>
      <c r="AH303" s="549"/>
      <c r="AI303" s="550"/>
      <c r="AJ303" s="551" t="s">
        <v>633</v>
      </c>
      <c r="AK303" s="552">
        <f>'F.  Other Cap Asset Entries'!M279</f>
        <v>0</v>
      </c>
      <c r="AL303" s="548"/>
      <c r="AM303" s="566" t="s">
        <v>2074</v>
      </c>
      <c r="AN303" s="552">
        <f>'N.1 GASB 68 LGERS'!D101</f>
        <v>0</v>
      </c>
      <c r="AO303" s="553"/>
      <c r="AP303" s="552"/>
      <c r="AQ303" s="548"/>
      <c r="AR303" s="551"/>
      <c r="AS303" s="554"/>
      <c r="AT303" s="525"/>
      <c r="AU303" s="526"/>
      <c r="AV303" s="552">
        <f t="shared" si="106"/>
        <v>0</v>
      </c>
      <c r="AW303" s="552">
        <f t="shared" si="107"/>
        <v>0</v>
      </c>
      <c r="AX303" s="577"/>
      <c r="AY303" s="554"/>
      <c r="AZ303" s="506"/>
      <c r="BA303" s="524"/>
    </row>
    <row r="304" spans="1:55" s="706" customFormat="1" x14ac:dyDescent="0.2">
      <c r="A304" s="33"/>
      <c r="B304" s="271"/>
      <c r="C304" s="248"/>
      <c r="D304" s="542"/>
      <c r="E304" s="543"/>
      <c r="F304" s="544"/>
      <c r="G304" s="544"/>
      <c r="H304" s="544"/>
      <c r="I304" s="544"/>
      <c r="J304" s="544"/>
      <c r="K304" s="545"/>
      <c r="L304" s="544"/>
      <c r="M304" s="544"/>
      <c r="N304" s="544"/>
      <c r="O304" s="544"/>
      <c r="P304" s="546"/>
      <c r="Q304" s="546"/>
      <c r="R304" s="546"/>
      <c r="S304" s="546"/>
      <c r="T304" s="546"/>
      <c r="U304" s="546"/>
      <c r="V304" s="546"/>
      <c r="W304" s="546"/>
      <c r="X304" s="544"/>
      <c r="Y304" s="544"/>
      <c r="Z304" s="544"/>
      <c r="AA304" s="544"/>
      <c r="AB304" s="547"/>
      <c r="AC304" s="548"/>
      <c r="AD304" s="549"/>
      <c r="AE304" s="550"/>
      <c r="AF304" s="548"/>
      <c r="AG304" s="548"/>
      <c r="AH304" s="549"/>
      <c r="AI304" s="550"/>
      <c r="AJ304" s="551" t="s">
        <v>2074</v>
      </c>
      <c r="AK304" s="552">
        <f>'N.1 GASB 68 LGERS'!C101</f>
        <v>0</v>
      </c>
      <c r="AL304" s="548"/>
      <c r="AM304" s="566"/>
      <c r="AN304" s="552"/>
      <c r="AO304" s="553"/>
      <c r="AP304" s="552"/>
      <c r="AQ304" s="548"/>
      <c r="AR304" s="551"/>
      <c r="AS304" s="554"/>
      <c r="AT304" s="525"/>
      <c r="AU304" s="526"/>
      <c r="AV304" s="552">
        <f t="shared" si="106"/>
        <v>0</v>
      </c>
      <c r="AW304" s="552">
        <f t="shared" si="107"/>
        <v>0</v>
      </c>
      <c r="AX304" s="577"/>
      <c r="AY304" s="554"/>
      <c r="AZ304" s="506"/>
      <c r="BA304" s="524"/>
      <c r="BB304" s="1045"/>
      <c r="BC304" s="1045"/>
    </row>
    <row r="305" spans="1:55" s="1044" customFormat="1" x14ac:dyDescent="0.2">
      <c r="A305" s="33"/>
      <c r="B305" s="271"/>
      <c r="C305" s="248"/>
      <c r="D305" s="542"/>
      <c r="E305" s="543"/>
      <c r="F305" s="544"/>
      <c r="G305" s="544"/>
      <c r="H305" s="544"/>
      <c r="I305" s="544"/>
      <c r="J305" s="544"/>
      <c r="K305" s="545"/>
      <c r="L305" s="544"/>
      <c r="M305" s="544"/>
      <c r="N305" s="544"/>
      <c r="O305" s="544"/>
      <c r="P305" s="546"/>
      <c r="Q305" s="546"/>
      <c r="R305" s="546"/>
      <c r="S305" s="546"/>
      <c r="T305" s="546"/>
      <c r="U305" s="546"/>
      <c r="V305" s="546"/>
      <c r="W305" s="546"/>
      <c r="X305" s="544"/>
      <c r="Y305" s="544"/>
      <c r="Z305" s="544"/>
      <c r="AA305" s="544"/>
      <c r="AB305" s="547"/>
      <c r="AC305" s="548"/>
      <c r="AD305" s="549"/>
      <c r="AE305" s="550"/>
      <c r="AF305" s="552"/>
      <c r="AG305" s="552"/>
      <c r="AH305" s="549"/>
      <c r="AI305" s="550"/>
      <c r="AJ305" s="551" t="s">
        <v>4030</v>
      </c>
      <c r="AK305" s="552">
        <f>'P.1 GASB 75 OPEB  - 1'!C107+'P.1 GASB 75 OPEB  - 1'!C116+'P.1 GASB 75 OPEB  - 1'!C125-'P.1 GASB 75 OPEB  - 1'!H193</f>
        <v>0</v>
      </c>
      <c r="AL305" s="548"/>
      <c r="AM305" s="551" t="s">
        <v>4030</v>
      </c>
      <c r="AN305" s="552">
        <f>'P.1 GASB 75 OPEB  - 1'!D107+'P.1 GASB 75 OPEB  - 1'!D116+'P.1 GASB 75 OPEB  - 1'!D125</f>
        <v>0</v>
      </c>
      <c r="AO305" s="553"/>
      <c r="AP305" s="552"/>
      <c r="AQ305" s="548"/>
      <c r="AR305" s="551"/>
      <c r="AS305" s="554"/>
      <c r="AT305" s="525"/>
      <c r="AU305" s="526"/>
      <c r="AV305" s="552">
        <f t="shared" si="106"/>
        <v>0</v>
      </c>
      <c r="AW305" s="552">
        <f t="shared" si="107"/>
        <v>0</v>
      </c>
      <c r="AX305" s="577"/>
      <c r="AY305" s="554"/>
      <c r="AZ305" s="506"/>
      <c r="BA305" s="524"/>
      <c r="BB305" s="1045"/>
      <c r="BC305" s="1045"/>
    </row>
    <row r="306" spans="1:55" s="1103" customFormat="1" x14ac:dyDescent="0.2">
      <c r="A306" s="33"/>
      <c r="B306" s="271"/>
      <c r="C306" s="248"/>
      <c r="D306" s="542"/>
      <c r="E306" s="543"/>
      <c r="F306" s="544"/>
      <c r="G306" s="544"/>
      <c r="H306" s="544"/>
      <c r="I306" s="544"/>
      <c r="J306" s="544"/>
      <c r="K306" s="545"/>
      <c r="L306" s="544"/>
      <c r="M306" s="544"/>
      <c r="N306" s="544"/>
      <c r="O306" s="544"/>
      <c r="P306" s="546"/>
      <c r="Q306" s="546"/>
      <c r="R306" s="546"/>
      <c r="S306" s="546"/>
      <c r="T306" s="546"/>
      <c r="U306" s="546"/>
      <c r="V306" s="546"/>
      <c r="W306" s="546"/>
      <c r="X306" s="544"/>
      <c r="Y306" s="544"/>
      <c r="Z306" s="544"/>
      <c r="AA306" s="544"/>
      <c r="AB306" s="547"/>
      <c r="AC306" s="548"/>
      <c r="AD306" s="549"/>
      <c r="AE306" s="550"/>
      <c r="AF306" s="552"/>
      <c r="AG306" s="552"/>
      <c r="AH306" s="549"/>
      <c r="AI306" s="550"/>
      <c r="AJ306" s="551" t="s">
        <v>4031</v>
      </c>
      <c r="AK306" s="552">
        <f>'P.2 GASB 75 OPEB - 2'!C107+'P.2 GASB 75 OPEB - 2'!C116+'P.2 GASB 75 OPEB - 2'!C125</f>
        <v>0</v>
      </c>
      <c r="AL306" s="548"/>
      <c r="AM306" s="551" t="s">
        <v>4031</v>
      </c>
      <c r="AN306" s="552">
        <f>'P.2 GASB 75 OPEB - 2'!D107+'P.2 GASB 75 OPEB - 2'!D116+'P.2 GASB 75 OPEB - 2'!D125</f>
        <v>0</v>
      </c>
      <c r="AO306" s="553"/>
      <c r="AP306" s="552"/>
      <c r="AQ306" s="548"/>
      <c r="AR306" s="551"/>
      <c r="AS306" s="554"/>
      <c r="AT306" s="525"/>
      <c r="AU306" s="526"/>
      <c r="AV306" s="552">
        <f t="shared" ref="AV306:AV307" si="108">ROUND(AD306+AF306+AH306+AK306+AP306+AT306,0)</f>
        <v>0</v>
      </c>
      <c r="AW306" s="552">
        <f t="shared" ref="AW306:AW307" si="109">ROUND(AE306+AG306+AI306+AN306+AS306+AU306,0)</f>
        <v>0</v>
      </c>
      <c r="AX306" s="577"/>
      <c r="AY306" s="554"/>
      <c r="AZ306" s="506"/>
      <c r="BA306" s="524"/>
    </row>
    <row r="307" spans="1:55" s="1103" customFormat="1" x14ac:dyDescent="0.2">
      <c r="A307" s="33"/>
      <c r="B307" s="271"/>
      <c r="C307" s="248"/>
      <c r="D307" s="542"/>
      <c r="E307" s="543"/>
      <c r="F307" s="544"/>
      <c r="G307" s="544"/>
      <c r="H307" s="544"/>
      <c r="I307" s="544"/>
      <c r="J307" s="544"/>
      <c r="K307" s="545"/>
      <c r="L307" s="544"/>
      <c r="M307" s="544"/>
      <c r="N307" s="544"/>
      <c r="O307" s="544"/>
      <c r="P307" s="546"/>
      <c r="Q307" s="546"/>
      <c r="R307" s="546"/>
      <c r="S307" s="546"/>
      <c r="T307" s="546"/>
      <c r="U307" s="546"/>
      <c r="V307" s="546"/>
      <c r="W307" s="546"/>
      <c r="X307" s="544"/>
      <c r="Y307" s="544"/>
      <c r="Z307" s="544"/>
      <c r="AA307" s="544"/>
      <c r="AB307" s="547"/>
      <c r="AC307" s="548"/>
      <c r="AD307" s="549"/>
      <c r="AE307" s="550"/>
      <c r="AF307" s="552"/>
      <c r="AG307" s="552"/>
      <c r="AH307" s="549"/>
      <c r="AI307" s="550"/>
      <c r="AJ307" s="551" t="s">
        <v>4032</v>
      </c>
      <c r="AK307" s="552">
        <f>'P.3 GASB 75 OPEB - 3'!C107+'P.3 GASB 75 OPEB - 3'!C116+'P.3 GASB 75 OPEB - 3'!C125</f>
        <v>0</v>
      </c>
      <c r="AL307" s="548"/>
      <c r="AM307" s="551" t="s">
        <v>4032</v>
      </c>
      <c r="AN307" s="552">
        <f>'P.3 GASB 75 OPEB - 3'!D107+'P.3 GASB 75 OPEB - 3'!D116+'P.3 GASB 75 OPEB - 3'!D125</f>
        <v>0</v>
      </c>
      <c r="AO307" s="553"/>
      <c r="AP307" s="552"/>
      <c r="AQ307" s="548"/>
      <c r="AR307" s="551"/>
      <c r="AS307" s="554"/>
      <c r="AT307" s="525"/>
      <c r="AU307" s="526"/>
      <c r="AV307" s="552">
        <f t="shared" si="108"/>
        <v>0</v>
      </c>
      <c r="AW307" s="552">
        <f t="shared" si="109"/>
        <v>0</v>
      </c>
      <c r="AX307" s="577"/>
      <c r="AY307" s="554"/>
      <c r="AZ307" s="506"/>
      <c r="BA307" s="524"/>
    </row>
    <row r="308" spans="1:55" s="13" customFormat="1" ht="6" customHeight="1" x14ac:dyDescent="0.2">
      <c r="A308" s="33"/>
      <c r="B308" s="31"/>
      <c r="C308" s="31"/>
      <c r="D308" s="533"/>
      <c r="E308" s="534"/>
      <c r="F308" s="530"/>
      <c r="G308" s="530"/>
      <c r="H308" s="530"/>
      <c r="I308" s="530"/>
      <c r="J308" s="530"/>
      <c r="K308" s="535"/>
      <c r="L308" s="530"/>
      <c r="M308" s="530"/>
      <c r="N308" s="530"/>
      <c r="O308" s="530"/>
      <c r="P308" s="529"/>
      <c r="Q308" s="529"/>
      <c r="R308" s="529"/>
      <c r="S308" s="529"/>
      <c r="T308" s="529"/>
      <c r="U308" s="529"/>
      <c r="V308" s="529"/>
      <c r="W308" s="529"/>
      <c r="X308" s="530"/>
      <c r="Y308" s="530"/>
      <c r="Z308" s="530"/>
      <c r="AA308" s="530"/>
      <c r="AB308" s="531"/>
      <c r="AC308" s="539"/>
      <c r="AD308" s="536"/>
      <c r="AE308" s="537"/>
      <c r="AF308" s="539"/>
      <c r="AG308" s="539"/>
      <c r="AH308" s="536"/>
      <c r="AI308" s="537"/>
      <c r="AJ308" s="581"/>
      <c r="AK308" s="582"/>
      <c r="AL308" s="539"/>
      <c r="AM308" s="538"/>
      <c r="AN308" s="434"/>
      <c r="AO308" s="541"/>
      <c r="AP308" s="434"/>
      <c r="AQ308" s="539"/>
      <c r="AR308" s="538"/>
      <c r="AS308" s="540"/>
      <c r="AT308" s="529"/>
      <c r="AU308" s="564"/>
      <c r="AV308" s="434"/>
      <c r="AW308" s="434"/>
      <c r="AX308" s="573"/>
      <c r="AY308" s="540"/>
      <c r="AZ308" s="434"/>
      <c r="BA308" s="540"/>
      <c r="BB308" s="1047"/>
      <c r="BC308" s="1047"/>
    </row>
    <row r="309" spans="1:55" x14ac:dyDescent="0.2">
      <c r="A309" s="33"/>
      <c r="B309" s="271" t="s">
        <v>309</v>
      </c>
      <c r="C309" s="248"/>
      <c r="D309" s="542"/>
      <c r="E309" s="543"/>
      <c r="F309" s="544"/>
      <c r="G309" s="544"/>
      <c r="H309" s="544"/>
      <c r="I309" s="544"/>
      <c r="J309" s="544"/>
      <c r="K309" s="545"/>
      <c r="L309" s="544"/>
      <c r="M309" s="544"/>
      <c r="N309" s="544"/>
      <c r="O309" s="544"/>
      <c r="P309" s="546"/>
      <c r="Q309" s="546"/>
      <c r="R309" s="546"/>
      <c r="S309" s="546"/>
      <c r="T309" s="546"/>
      <c r="U309" s="546"/>
      <c r="V309" s="546"/>
      <c r="W309" s="546"/>
      <c r="X309" s="544"/>
      <c r="Y309" s="544"/>
      <c r="Z309" s="544"/>
      <c r="AA309" s="544"/>
      <c r="AB309" s="547">
        <f t="shared" si="92"/>
        <v>0</v>
      </c>
      <c r="AC309" s="548">
        <f t="shared" si="93"/>
        <v>0</v>
      </c>
      <c r="AD309" s="549">
        <f t="shared" si="98"/>
        <v>0</v>
      </c>
      <c r="AE309" s="550">
        <f t="shared" si="99"/>
        <v>0</v>
      </c>
      <c r="AF309" s="548"/>
      <c r="AG309" s="548"/>
      <c r="AH309" s="549"/>
      <c r="AI309" s="550"/>
      <c r="AJ309" s="561" t="str">
        <f>'D. Depreciation'!A54</f>
        <v>D.1</v>
      </c>
      <c r="AK309" s="562">
        <f>'D. Depreciation'!J58</f>
        <v>0</v>
      </c>
      <c r="AL309" s="548"/>
      <c r="AM309" s="551" t="str">
        <f>'E. Capital Outlay'!D52</f>
        <v>E.1</v>
      </c>
      <c r="AN309" s="552">
        <f>'E. Capital Outlay'!N66</f>
        <v>0</v>
      </c>
      <c r="AO309" s="553" t="str">
        <f>'L. Eliminations-Consolidations'!A237</f>
        <v>L.7</v>
      </c>
      <c r="AP309" s="552">
        <f>'L. Eliminations-Consolidations'!J242</f>
        <v>0</v>
      </c>
      <c r="AQ309" s="548"/>
      <c r="AR309" s="556" t="s">
        <v>646</v>
      </c>
      <c r="AS309" s="552">
        <f>'K.1  Int. Service Fd Allocation'!G210+'K.2  Int. Service Fd Alloca'!G205+'K.3 Int. Service Fd Alloca'!G209</f>
        <v>0</v>
      </c>
      <c r="AT309" s="557"/>
      <c r="AU309" s="526"/>
      <c r="AV309" s="552">
        <f t="shared" ref="AV309:AV314" si="110">ROUND(AD309+AF309+AH309+AK309+AP309+AT309,0)</f>
        <v>0</v>
      </c>
      <c r="AW309" s="552">
        <f t="shared" ref="AW309:AW314" si="111">ROUND(AE309+AG309+AI309+AN309+AS309+AU309,0)</f>
        <v>0</v>
      </c>
      <c r="AX309" s="577" t="str">
        <f>IF((SUM(AV309:AV316))-(SUM(AW309:AW316))&lt;=0," ",(SUM(AV309:AV316))-(SUM(AW309:AW316)))</f>
        <v xml:space="preserve"> </v>
      </c>
      <c r="AY309" s="554">
        <f>IF((SUM(AV309:AV316))-(SUM(AW309:AW316))&gt;0," ",-(SUM(AV309:AV316))+(SUM(AW309:AW316)))</f>
        <v>0</v>
      </c>
      <c r="AZ309" s="506"/>
      <c r="BA309" s="524"/>
    </row>
    <row r="310" spans="1:55" x14ac:dyDescent="0.2">
      <c r="A310" s="33"/>
      <c r="B310" s="271"/>
      <c r="C310" s="248"/>
      <c r="D310" s="542"/>
      <c r="E310" s="543"/>
      <c r="F310" s="544"/>
      <c r="G310" s="544"/>
      <c r="H310" s="544"/>
      <c r="I310" s="544"/>
      <c r="J310" s="544"/>
      <c r="K310" s="545"/>
      <c r="L310" s="544"/>
      <c r="M310" s="544"/>
      <c r="N310" s="544"/>
      <c r="O310" s="544"/>
      <c r="P310" s="546"/>
      <c r="Q310" s="546"/>
      <c r="R310" s="546"/>
      <c r="S310" s="546"/>
      <c r="T310" s="546"/>
      <c r="U310" s="546"/>
      <c r="V310" s="546"/>
      <c r="W310" s="546"/>
      <c r="X310" s="544"/>
      <c r="Y310" s="544"/>
      <c r="Z310" s="544"/>
      <c r="AA310" s="544"/>
      <c r="AB310" s="547">
        <f t="shared" si="92"/>
        <v>0</v>
      </c>
      <c r="AC310" s="548">
        <f t="shared" si="93"/>
        <v>0</v>
      </c>
      <c r="AD310" s="549">
        <f t="shared" si="98"/>
        <v>0</v>
      </c>
      <c r="AE310" s="550">
        <f t="shared" si="99"/>
        <v>0</v>
      </c>
      <c r="AF310" s="548"/>
      <c r="AG310" s="548"/>
      <c r="AH310" s="549"/>
      <c r="AI310" s="550"/>
      <c r="AJ310" s="561" t="str">
        <f>'J. Other Liability &amp; Expenses'!D203</f>
        <v>J.1</v>
      </c>
      <c r="AK310" s="562">
        <f>'J. Other Liability &amp; Expenses'!L208</f>
        <v>0</v>
      </c>
      <c r="AL310" s="548"/>
      <c r="AM310" s="566" t="str">
        <f>'I.  Other Asset Entries'!B108</f>
        <v>I.1</v>
      </c>
      <c r="AN310" s="552">
        <f>'I.  Other Asset Entries'!N118</f>
        <v>0</v>
      </c>
      <c r="AO310" s="553"/>
      <c r="AP310" s="552"/>
      <c r="AQ310" s="548"/>
      <c r="AR310" s="551"/>
      <c r="AS310" s="554"/>
      <c r="AT310" s="557"/>
      <c r="AU310" s="526"/>
      <c r="AV310" s="552">
        <f t="shared" si="110"/>
        <v>0</v>
      </c>
      <c r="AW310" s="552">
        <f t="shared" si="111"/>
        <v>0</v>
      </c>
      <c r="AX310" s="577"/>
      <c r="AY310" s="554"/>
      <c r="AZ310" s="506"/>
      <c r="BA310" s="524"/>
    </row>
    <row r="311" spans="1:55" x14ac:dyDescent="0.2">
      <c r="A311" s="33"/>
      <c r="B311" s="271"/>
      <c r="C311" s="248"/>
      <c r="D311" s="542"/>
      <c r="E311" s="543"/>
      <c r="F311" s="544"/>
      <c r="G311" s="544"/>
      <c r="H311" s="544"/>
      <c r="I311" s="544"/>
      <c r="J311" s="544"/>
      <c r="K311" s="545"/>
      <c r="L311" s="544"/>
      <c r="M311" s="544"/>
      <c r="N311" s="544"/>
      <c r="O311" s="544"/>
      <c r="P311" s="546"/>
      <c r="Q311" s="546"/>
      <c r="R311" s="546"/>
      <c r="S311" s="546"/>
      <c r="T311" s="546"/>
      <c r="U311" s="546"/>
      <c r="V311" s="546"/>
      <c r="W311" s="546"/>
      <c r="X311" s="544"/>
      <c r="Y311" s="544"/>
      <c r="Z311" s="544"/>
      <c r="AA311" s="544"/>
      <c r="AB311" s="547">
        <f t="shared" si="92"/>
        <v>0</v>
      </c>
      <c r="AC311" s="548">
        <f t="shared" si="93"/>
        <v>0</v>
      </c>
      <c r="AD311" s="549">
        <f t="shared" si="98"/>
        <v>0</v>
      </c>
      <c r="AE311" s="550">
        <f t="shared" si="99"/>
        <v>0</v>
      </c>
      <c r="AF311" s="548"/>
      <c r="AG311" s="548"/>
      <c r="AH311" s="549"/>
      <c r="AI311" s="550"/>
      <c r="AJ311" s="561" t="str">
        <f>'F.  Other Cap Asset Entries'!D254</f>
        <v>F.3</v>
      </c>
      <c r="AK311" s="562">
        <f>'F.  Other Cap Asset Entries'!M258</f>
        <v>0</v>
      </c>
      <c r="AL311" s="548"/>
      <c r="AM311" s="566" t="str">
        <f>'J. Other Liability &amp; Expenses'!D203</f>
        <v>J.1</v>
      </c>
      <c r="AN311" s="552">
        <f>'J. Other Liability &amp; Expenses'!N208</f>
        <v>0</v>
      </c>
      <c r="AO311" s="553" t="str">
        <f>'L. Eliminations-Consolidations'!B267</f>
        <v>L.8</v>
      </c>
      <c r="AP311" s="552">
        <f>'L. Eliminations-Consolidations'!J273</f>
        <v>0</v>
      </c>
      <c r="AQ311" s="548"/>
      <c r="AR311" s="551" t="str">
        <f>'L. Eliminations-Consolidations'!B267</f>
        <v>L.8</v>
      </c>
      <c r="AS311" s="554">
        <f>'L. Eliminations-Consolidations'!L273</f>
        <v>0</v>
      </c>
      <c r="AT311" s="525"/>
      <c r="AU311" s="526"/>
      <c r="AV311" s="552">
        <f t="shared" si="110"/>
        <v>0</v>
      </c>
      <c r="AW311" s="552">
        <f t="shared" si="111"/>
        <v>0</v>
      </c>
      <c r="AX311" s="577"/>
      <c r="AY311" s="554"/>
      <c r="AZ311" s="506"/>
      <c r="BA311" s="524"/>
    </row>
    <row r="312" spans="1:55" x14ac:dyDescent="0.2">
      <c r="A312" s="33"/>
      <c r="B312" s="271"/>
      <c r="C312" s="248"/>
      <c r="D312" s="542"/>
      <c r="E312" s="543"/>
      <c r="F312" s="544"/>
      <c r="G312" s="544"/>
      <c r="H312" s="544"/>
      <c r="I312" s="544"/>
      <c r="J312" s="544"/>
      <c r="K312" s="545"/>
      <c r="L312" s="544"/>
      <c r="M312" s="544"/>
      <c r="N312" s="544"/>
      <c r="O312" s="544"/>
      <c r="P312" s="546"/>
      <c r="Q312" s="546"/>
      <c r="R312" s="546"/>
      <c r="S312" s="546"/>
      <c r="T312" s="546"/>
      <c r="U312" s="546"/>
      <c r="V312" s="546"/>
      <c r="W312" s="546"/>
      <c r="X312" s="544"/>
      <c r="Y312" s="544"/>
      <c r="Z312" s="544"/>
      <c r="AA312" s="544"/>
      <c r="AB312" s="547">
        <f t="shared" si="92"/>
        <v>0</v>
      </c>
      <c r="AC312" s="548">
        <f t="shared" si="93"/>
        <v>0</v>
      </c>
      <c r="AD312" s="549">
        <f t="shared" si="98"/>
        <v>0</v>
      </c>
      <c r="AE312" s="550">
        <f t="shared" si="99"/>
        <v>0</v>
      </c>
      <c r="AF312" s="548"/>
      <c r="AG312" s="548"/>
      <c r="AH312" s="549"/>
      <c r="AI312" s="550"/>
      <c r="AJ312" s="561" t="s">
        <v>633</v>
      </c>
      <c r="AK312" s="562">
        <f>'F.  Other Cap Asset Entries'!M280</f>
        <v>0</v>
      </c>
      <c r="AL312" s="548"/>
      <c r="AM312" s="566" t="s">
        <v>2074</v>
      </c>
      <c r="AN312" s="552">
        <f>'N.1 GASB 68 LGERS'!D102</f>
        <v>0</v>
      </c>
      <c r="AO312" s="553"/>
      <c r="AP312" s="552"/>
      <c r="AQ312" s="548"/>
      <c r="AR312" s="551"/>
      <c r="AS312" s="554"/>
      <c r="AT312" s="525"/>
      <c r="AU312" s="526"/>
      <c r="AV312" s="552">
        <f t="shared" si="110"/>
        <v>0</v>
      </c>
      <c r="AW312" s="552">
        <f t="shared" si="111"/>
        <v>0</v>
      </c>
      <c r="AX312" s="577"/>
      <c r="AY312" s="554"/>
      <c r="AZ312" s="506"/>
      <c r="BA312" s="524"/>
    </row>
    <row r="313" spans="1:55" s="706" customFormat="1" x14ac:dyDescent="0.2">
      <c r="A313" s="33"/>
      <c r="B313" s="271"/>
      <c r="C313" s="248"/>
      <c r="D313" s="542"/>
      <c r="E313" s="543"/>
      <c r="F313" s="544"/>
      <c r="G313" s="544"/>
      <c r="H313" s="544"/>
      <c r="I313" s="544"/>
      <c r="J313" s="544"/>
      <c r="K313" s="545"/>
      <c r="L313" s="544"/>
      <c r="M313" s="544"/>
      <c r="N313" s="544"/>
      <c r="O313" s="544"/>
      <c r="P313" s="546"/>
      <c r="Q313" s="546"/>
      <c r="R313" s="546"/>
      <c r="S313" s="546"/>
      <c r="T313" s="546"/>
      <c r="U313" s="546"/>
      <c r="V313" s="546"/>
      <c r="W313" s="546"/>
      <c r="X313" s="544"/>
      <c r="Y313" s="544"/>
      <c r="Z313" s="544"/>
      <c r="AA313" s="544"/>
      <c r="AB313" s="547"/>
      <c r="AC313" s="548"/>
      <c r="AD313" s="549"/>
      <c r="AE313" s="550"/>
      <c r="AF313" s="548"/>
      <c r="AG313" s="548"/>
      <c r="AH313" s="549"/>
      <c r="AI313" s="550"/>
      <c r="AJ313" s="561" t="s">
        <v>2074</v>
      </c>
      <c r="AK313" s="562">
        <f>'N.1 GASB 68 LGERS'!C102</f>
        <v>0</v>
      </c>
      <c r="AL313" s="548"/>
      <c r="AM313" s="566"/>
      <c r="AN313" s="552"/>
      <c r="AO313" s="553"/>
      <c r="AP313" s="552"/>
      <c r="AQ313" s="548"/>
      <c r="AR313" s="551"/>
      <c r="AS313" s="554"/>
      <c r="AT313" s="525"/>
      <c r="AU313" s="526"/>
      <c r="AV313" s="552">
        <f t="shared" si="110"/>
        <v>0</v>
      </c>
      <c r="AW313" s="552">
        <f t="shared" si="111"/>
        <v>0</v>
      </c>
      <c r="AX313" s="577"/>
      <c r="AY313" s="554"/>
      <c r="AZ313" s="506"/>
      <c r="BA313" s="524"/>
      <c r="BB313" s="1045"/>
      <c r="BC313" s="1045"/>
    </row>
    <row r="314" spans="1:55" s="1044" customFormat="1" x14ac:dyDescent="0.2">
      <c r="A314" s="33"/>
      <c r="B314" s="271"/>
      <c r="C314" s="248"/>
      <c r="D314" s="542"/>
      <c r="E314" s="543"/>
      <c r="F314" s="544"/>
      <c r="G314" s="544"/>
      <c r="H314" s="544"/>
      <c r="I314" s="544"/>
      <c r="J314" s="544"/>
      <c r="K314" s="545"/>
      <c r="L314" s="544"/>
      <c r="M314" s="544"/>
      <c r="N314" s="544"/>
      <c r="O314" s="544"/>
      <c r="P314" s="546"/>
      <c r="Q314" s="546"/>
      <c r="R314" s="546"/>
      <c r="S314" s="546"/>
      <c r="T314" s="546"/>
      <c r="U314" s="546"/>
      <c r="V314" s="546"/>
      <c r="W314" s="546"/>
      <c r="X314" s="544"/>
      <c r="Y314" s="544"/>
      <c r="Z314" s="544"/>
      <c r="AA314" s="544"/>
      <c r="AB314" s="547"/>
      <c r="AC314" s="548"/>
      <c r="AD314" s="549"/>
      <c r="AE314" s="550"/>
      <c r="AF314" s="552"/>
      <c r="AG314" s="552"/>
      <c r="AH314" s="549"/>
      <c r="AI314" s="550"/>
      <c r="AJ314" s="551" t="s">
        <v>4030</v>
      </c>
      <c r="AK314" s="552">
        <f>'P.1 GASB 75 OPEB  - 1'!C108+'P.1 GASB 75 OPEB  - 1'!C117+'P.1 GASB 75 OPEB  - 1'!C126-'P.1 GASB 75 OPEB  - 1'!H194</f>
        <v>0</v>
      </c>
      <c r="AL314" s="548"/>
      <c r="AM314" s="551" t="s">
        <v>4030</v>
      </c>
      <c r="AN314" s="552">
        <f>'P.1 GASB 75 OPEB  - 1'!D108+'P.1 GASB 75 OPEB  - 1'!D117+'P.1 GASB 75 OPEB  - 1'!D126</f>
        <v>0</v>
      </c>
      <c r="AO314" s="553"/>
      <c r="AP314" s="552"/>
      <c r="AQ314" s="548"/>
      <c r="AR314" s="551"/>
      <c r="AS314" s="554"/>
      <c r="AT314" s="525"/>
      <c r="AU314" s="526"/>
      <c r="AV314" s="552">
        <f t="shared" si="110"/>
        <v>0</v>
      </c>
      <c r="AW314" s="552">
        <f t="shared" si="111"/>
        <v>0</v>
      </c>
      <c r="AX314" s="577"/>
      <c r="AY314" s="554"/>
      <c r="AZ314" s="506"/>
      <c r="BA314" s="524"/>
      <c r="BB314" s="1045"/>
      <c r="BC314" s="1045"/>
    </row>
    <row r="315" spans="1:55" s="1103" customFormat="1" x14ac:dyDescent="0.2">
      <c r="A315" s="33"/>
      <c r="B315" s="271"/>
      <c r="C315" s="248"/>
      <c r="D315" s="542"/>
      <c r="E315" s="543"/>
      <c r="F315" s="544"/>
      <c r="G315" s="544"/>
      <c r="H315" s="544"/>
      <c r="I315" s="544"/>
      <c r="J315" s="544"/>
      <c r="K315" s="545"/>
      <c r="L315" s="544"/>
      <c r="M315" s="544"/>
      <c r="N315" s="544"/>
      <c r="O315" s="544"/>
      <c r="P315" s="546"/>
      <c r="Q315" s="546"/>
      <c r="R315" s="546"/>
      <c r="S315" s="546"/>
      <c r="T315" s="546"/>
      <c r="U315" s="546"/>
      <c r="V315" s="546"/>
      <c r="W315" s="546"/>
      <c r="X315" s="544"/>
      <c r="Y315" s="544"/>
      <c r="Z315" s="544"/>
      <c r="AA315" s="544"/>
      <c r="AB315" s="547"/>
      <c r="AC315" s="548"/>
      <c r="AD315" s="549"/>
      <c r="AE315" s="550"/>
      <c r="AF315" s="552"/>
      <c r="AG315" s="552"/>
      <c r="AH315" s="549"/>
      <c r="AI315" s="550"/>
      <c r="AJ315" s="551" t="s">
        <v>4031</v>
      </c>
      <c r="AK315" s="552">
        <f>'P.2 GASB 75 OPEB - 2'!C108+'P.2 GASB 75 OPEB - 2'!C117+'P.2 GASB 75 OPEB - 2'!C126</f>
        <v>0</v>
      </c>
      <c r="AL315" s="548"/>
      <c r="AM315" s="551" t="s">
        <v>4031</v>
      </c>
      <c r="AN315" s="552">
        <f>'P.2 GASB 75 OPEB - 2'!D108+'P.2 GASB 75 OPEB - 2'!D117+'P.2 GASB 75 OPEB - 2'!D126</f>
        <v>0</v>
      </c>
      <c r="AO315" s="553"/>
      <c r="AP315" s="552"/>
      <c r="AQ315" s="548"/>
      <c r="AR315" s="551"/>
      <c r="AS315" s="554"/>
      <c r="AT315" s="525"/>
      <c r="AU315" s="526"/>
      <c r="AV315" s="552">
        <f t="shared" ref="AV315:AV316" si="112">ROUND(AD315+AF315+AH315+AK315+AP315+AT315,0)</f>
        <v>0</v>
      </c>
      <c r="AW315" s="552">
        <f t="shared" ref="AW315:AW316" si="113">ROUND(AE315+AG315+AI315+AN315+AS315+AU315,0)</f>
        <v>0</v>
      </c>
      <c r="AX315" s="577"/>
      <c r="AY315" s="554"/>
      <c r="AZ315" s="506"/>
      <c r="BA315" s="524"/>
    </row>
    <row r="316" spans="1:55" s="1103" customFormat="1" x14ac:dyDescent="0.2">
      <c r="A316" s="33"/>
      <c r="B316" s="271"/>
      <c r="C316" s="248"/>
      <c r="D316" s="542"/>
      <c r="E316" s="543"/>
      <c r="F316" s="544"/>
      <c r="G316" s="544"/>
      <c r="H316" s="544"/>
      <c r="I316" s="544"/>
      <c r="J316" s="544"/>
      <c r="K316" s="545"/>
      <c r="L316" s="544"/>
      <c r="M316" s="544"/>
      <c r="N316" s="544"/>
      <c r="O316" s="544"/>
      <c r="P316" s="546"/>
      <c r="Q316" s="546"/>
      <c r="R316" s="546"/>
      <c r="S316" s="546"/>
      <c r="T316" s="546"/>
      <c r="U316" s="546"/>
      <c r="V316" s="546"/>
      <c r="W316" s="546"/>
      <c r="X316" s="544"/>
      <c r="Y316" s="544"/>
      <c r="Z316" s="544"/>
      <c r="AA316" s="544"/>
      <c r="AB316" s="547"/>
      <c r="AC316" s="548"/>
      <c r="AD316" s="549"/>
      <c r="AE316" s="550"/>
      <c r="AF316" s="552"/>
      <c r="AG316" s="552"/>
      <c r="AH316" s="549"/>
      <c r="AI316" s="550"/>
      <c r="AJ316" s="551" t="s">
        <v>4032</v>
      </c>
      <c r="AK316" s="552">
        <f>'P.3 GASB 75 OPEB - 3'!C108+'P.3 GASB 75 OPEB - 3'!C117+'P.3 GASB 75 OPEB - 3'!C126</f>
        <v>0</v>
      </c>
      <c r="AL316" s="548"/>
      <c r="AM316" s="551" t="s">
        <v>4032</v>
      </c>
      <c r="AN316" s="552">
        <f>'P.3 GASB 75 OPEB - 3'!D108+'P.3 GASB 75 OPEB - 3'!D117+'P.3 GASB 75 OPEB - 3'!D126</f>
        <v>0</v>
      </c>
      <c r="AO316" s="553"/>
      <c r="AP316" s="552"/>
      <c r="AQ316" s="548"/>
      <c r="AR316" s="551"/>
      <c r="AS316" s="554"/>
      <c r="AT316" s="525"/>
      <c r="AU316" s="526"/>
      <c r="AV316" s="552">
        <f t="shared" si="112"/>
        <v>0</v>
      </c>
      <c r="AW316" s="552">
        <f t="shared" si="113"/>
        <v>0</v>
      </c>
      <c r="AX316" s="577"/>
      <c r="AY316" s="554"/>
      <c r="AZ316" s="506"/>
      <c r="BA316" s="524"/>
    </row>
    <row r="317" spans="1:55" s="13" customFormat="1" ht="6" customHeight="1" x14ac:dyDescent="0.2">
      <c r="A317" s="33"/>
      <c r="B317" s="31"/>
      <c r="C317" s="31"/>
      <c r="D317" s="533"/>
      <c r="E317" s="534"/>
      <c r="F317" s="530"/>
      <c r="G317" s="530"/>
      <c r="H317" s="530"/>
      <c r="I317" s="530"/>
      <c r="J317" s="530"/>
      <c r="K317" s="535"/>
      <c r="L317" s="530"/>
      <c r="M317" s="530"/>
      <c r="N317" s="530"/>
      <c r="O317" s="530"/>
      <c r="P317" s="529"/>
      <c r="Q317" s="529"/>
      <c r="R317" s="529"/>
      <c r="S317" s="529"/>
      <c r="T317" s="529"/>
      <c r="U317" s="529"/>
      <c r="V317" s="529"/>
      <c r="W317" s="529"/>
      <c r="X317" s="530"/>
      <c r="Y317" s="530"/>
      <c r="Z317" s="530"/>
      <c r="AA317" s="530"/>
      <c r="AB317" s="531"/>
      <c r="AC317" s="539"/>
      <c r="AD317" s="536"/>
      <c r="AE317" s="537"/>
      <c r="AF317" s="539"/>
      <c r="AG317" s="539"/>
      <c r="AH317" s="536"/>
      <c r="AI317" s="537"/>
      <c r="AJ317" s="581"/>
      <c r="AK317" s="582"/>
      <c r="AL317" s="539"/>
      <c r="AM317" s="538"/>
      <c r="AN317" s="434"/>
      <c r="AO317" s="541"/>
      <c r="AP317" s="434"/>
      <c r="AQ317" s="539"/>
      <c r="AR317" s="538"/>
      <c r="AS317" s="540"/>
      <c r="AT317" s="529"/>
      <c r="AU317" s="564"/>
      <c r="AV317" s="434"/>
      <c r="AW317" s="434"/>
      <c r="AX317" s="573"/>
      <c r="AY317" s="540"/>
      <c r="AZ317" s="434"/>
      <c r="BA317" s="540"/>
      <c r="BB317" s="1047"/>
      <c r="BC317" s="1047"/>
    </row>
    <row r="318" spans="1:55" x14ac:dyDescent="0.2">
      <c r="A318" s="33"/>
      <c r="B318" s="271" t="s">
        <v>131</v>
      </c>
      <c r="C318" s="248"/>
      <c r="D318" s="542"/>
      <c r="E318" s="543"/>
      <c r="F318" s="544"/>
      <c r="G318" s="544"/>
      <c r="H318" s="544"/>
      <c r="I318" s="544"/>
      <c r="J318" s="544"/>
      <c r="K318" s="545"/>
      <c r="L318" s="544"/>
      <c r="M318" s="544"/>
      <c r="N318" s="544"/>
      <c r="O318" s="544"/>
      <c r="P318" s="546"/>
      <c r="Q318" s="546"/>
      <c r="R318" s="546"/>
      <c r="S318" s="546"/>
      <c r="T318" s="546"/>
      <c r="U318" s="546"/>
      <c r="V318" s="546"/>
      <c r="W318" s="546"/>
      <c r="X318" s="544"/>
      <c r="Y318" s="544"/>
      <c r="Z318" s="544"/>
      <c r="AA318" s="544"/>
      <c r="AB318" s="547">
        <f t="shared" si="92"/>
        <v>0</v>
      </c>
      <c r="AC318" s="548">
        <f t="shared" si="93"/>
        <v>0</v>
      </c>
      <c r="AD318" s="549">
        <f t="shared" si="98"/>
        <v>0</v>
      </c>
      <c r="AE318" s="550">
        <f t="shared" si="99"/>
        <v>0</v>
      </c>
      <c r="AF318" s="548"/>
      <c r="AG318" s="548"/>
      <c r="AH318" s="549"/>
      <c r="AI318" s="550"/>
      <c r="AJ318" s="551" t="str">
        <f>'D. Depreciation'!A54</f>
        <v>D.1</v>
      </c>
      <c r="AK318" s="552">
        <f>'D. Depreciation'!J60</f>
        <v>0</v>
      </c>
      <c r="AL318" s="548"/>
      <c r="AM318" s="551" t="str">
        <f>'E. Capital Outlay'!D52</f>
        <v>E.1</v>
      </c>
      <c r="AN318" s="552">
        <f>'E. Capital Outlay'!N67</f>
        <v>0</v>
      </c>
      <c r="AO318" s="553" t="str">
        <f>'L. Eliminations-Consolidations'!A237</f>
        <v>L.7</v>
      </c>
      <c r="AP318" s="552">
        <f>'L. Eliminations-Consolidations'!J243</f>
        <v>0</v>
      </c>
      <c r="AQ318" s="548"/>
      <c r="AR318" s="556" t="s">
        <v>646</v>
      </c>
      <c r="AS318" s="552">
        <f>'K.1  Int. Service Fd Allocation'!G211+'K.2  Int. Service Fd Alloca'!G206+'K.3 Int. Service Fd Alloca'!G210</f>
        <v>0</v>
      </c>
      <c r="AT318" s="557"/>
      <c r="AU318" s="526"/>
      <c r="AV318" s="552">
        <f t="shared" ref="AV318:AV323" si="114">ROUND(AD318+AF318+AH318+AK318+AP318+AT318,0)</f>
        <v>0</v>
      </c>
      <c r="AW318" s="552">
        <f t="shared" ref="AW318:AW323" si="115">ROUND(AE318+AG318+AI318+AN318+AS318+AU318,0)</f>
        <v>0</v>
      </c>
      <c r="AX318" s="577" t="str">
        <f>IF((SUM(AV318:AV325))-(SUM(AW318:AW325))&lt;=0," ",(SUM(AV318:AV325))-(SUM(AW318:AW325)))</f>
        <v xml:space="preserve"> </v>
      </c>
      <c r="AY318" s="554">
        <f>IF((SUM(AV318:AV325))-(SUM(AW318:AW325))&gt;0," ",-(SUM(AV318:AV325))+(SUM(AW318:AW325)))</f>
        <v>0</v>
      </c>
      <c r="AZ318" s="506"/>
      <c r="BA318" s="524"/>
    </row>
    <row r="319" spans="1:55" x14ac:dyDescent="0.2">
      <c r="A319" s="33"/>
      <c r="B319" s="271"/>
      <c r="C319" s="248"/>
      <c r="D319" s="542"/>
      <c r="E319" s="543"/>
      <c r="F319" s="544"/>
      <c r="G319" s="544"/>
      <c r="H319" s="544"/>
      <c r="I319" s="544"/>
      <c r="J319" s="544"/>
      <c r="K319" s="545"/>
      <c r="L319" s="544"/>
      <c r="M319" s="544"/>
      <c r="N319" s="544"/>
      <c r="O319" s="544"/>
      <c r="P319" s="546"/>
      <c r="Q319" s="546"/>
      <c r="R319" s="546"/>
      <c r="S319" s="546"/>
      <c r="T319" s="546"/>
      <c r="U319" s="546"/>
      <c r="V319" s="546"/>
      <c r="W319" s="546"/>
      <c r="X319" s="544"/>
      <c r="Y319" s="544"/>
      <c r="Z319" s="544"/>
      <c r="AA319" s="544"/>
      <c r="AB319" s="547">
        <f t="shared" si="92"/>
        <v>0</v>
      </c>
      <c r="AC319" s="548">
        <f t="shared" si="93"/>
        <v>0</v>
      </c>
      <c r="AD319" s="549">
        <f t="shared" si="98"/>
        <v>0</v>
      </c>
      <c r="AE319" s="550">
        <f t="shared" si="99"/>
        <v>0</v>
      </c>
      <c r="AF319" s="548"/>
      <c r="AG319" s="548"/>
      <c r="AH319" s="549"/>
      <c r="AI319" s="550"/>
      <c r="AJ319" s="551" t="str">
        <f>'J. Other Liability &amp; Expenses'!D203</f>
        <v>J.1</v>
      </c>
      <c r="AK319" s="552">
        <f>'J. Other Liability &amp; Expenses'!L209</f>
        <v>0</v>
      </c>
      <c r="AL319" s="548"/>
      <c r="AM319" s="566" t="str">
        <f>'I.  Other Asset Entries'!B108</f>
        <v>I.1</v>
      </c>
      <c r="AN319" s="552">
        <f>'I.  Other Asset Entries'!N119</f>
        <v>0</v>
      </c>
      <c r="AO319" s="553"/>
      <c r="AP319" s="552"/>
      <c r="AQ319" s="548"/>
      <c r="AR319" s="551"/>
      <c r="AS319" s="554"/>
      <c r="AT319" s="525"/>
      <c r="AU319" s="526"/>
      <c r="AV319" s="552">
        <f t="shared" si="114"/>
        <v>0</v>
      </c>
      <c r="AW319" s="552">
        <f t="shared" si="115"/>
        <v>0</v>
      </c>
      <c r="AX319" s="577"/>
      <c r="AY319" s="554"/>
      <c r="AZ319" s="506"/>
      <c r="BA319" s="524"/>
    </row>
    <row r="320" spans="1:55" x14ac:dyDescent="0.2">
      <c r="A320" s="33"/>
      <c r="B320" s="271"/>
      <c r="C320" s="248"/>
      <c r="D320" s="542"/>
      <c r="E320" s="543"/>
      <c r="F320" s="544"/>
      <c r="G320" s="544"/>
      <c r="H320" s="544"/>
      <c r="I320" s="544"/>
      <c r="J320" s="544"/>
      <c r="K320" s="545"/>
      <c r="L320" s="544"/>
      <c r="M320" s="544"/>
      <c r="N320" s="544"/>
      <c r="O320" s="544"/>
      <c r="P320" s="546"/>
      <c r="Q320" s="546"/>
      <c r="R320" s="546"/>
      <c r="S320" s="546"/>
      <c r="T320" s="546"/>
      <c r="U320" s="546"/>
      <c r="V320" s="546"/>
      <c r="W320" s="546"/>
      <c r="X320" s="544"/>
      <c r="Y320" s="544"/>
      <c r="Z320" s="544"/>
      <c r="AA320" s="544"/>
      <c r="AB320" s="547">
        <f t="shared" si="92"/>
        <v>0</v>
      </c>
      <c r="AC320" s="548">
        <f t="shared" si="93"/>
        <v>0</v>
      </c>
      <c r="AD320" s="549">
        <f t="shared" si="98"/>
        <v>0</v>
      </c>
      <c r="AE320" s="550">
        <f t="shared" si="99"/>
        <v>0</v>
      </c>
      <c r="AF320" s="548"/>
      <c r="AG320" s="548"/>
      <c r="AH320" s="549"/>
      <c r="AI320" s="550"/>
      <c r="AJ320" s="551" t="str">
        <f>'F.  Other Cap Asset Entries'!D254</f>
        <v>F.3</v>
      </c>
      <c r="AK320" s="552">
        <f>'F.  Other Cap Asset Entries'!M259</f>
        <v>0</v>
      </c>
      <c r="AL320" s="548"/>
      <c r="AM320" s="566" t="str">
        <f>'J. Other Liability &amp; Expenses'!D203</f>
        <v>J.1</v>
      </c>
      <c r="AN320" s="552">
        <f>'J. Other Liability &amp; Expenses'!N209</f>
        <v>0</v>
      </c>
      <c r="AO320" s="553" t="str">
        <f>'L. Eliminations-Consolidations'!B267</f>
        <v>L.8</v>
      </c>
      <c r="AP320" s="552">
        <f>'L. Eliminations-Consolidations'!J274</f>
        <v>0</v>
      </c>
      <c r="AQ320" s="548"/>
      <c r="AR320" s="551" t="str">
        <f>'L. Eliminations-Consolidations'!B267</f>
        <v>L.8</v>
      </c>
      <c r="AS320" s="554">
        <f>'L. Eliminations-Consolidations'!L274</f>
        <v>0</v>
      </c>
      <c r="AT320" s="525"/>
      <c r="AU320" s="526"/>
      <c r="AV320" s="552">
        <f t="shared" si="114"/>
        <v>0</v>
      </c>
      <c r="AW320" s="552">
        <f t="shared" si="115"/>
        <v>0</v>
      </c>
      <c r="AX320" s="577"/>
      <c r="AY320" s="554"/>
      <c r="AZ320" s="506"/>
      <c r="BA320" s="524"/>
    </row>
    <row r="321" spans="1:55" x14ac:dyDescent="0.2">
      <c r="A321" s="33"/>
      <c r="B321" s="271"/>
      <c r="C321" s="248"/>
      <c r="D321" s="542"/>
      <c r="E321" s="543"/>
      <c r="F321" s="544"/>
      <c r="G321" s="544"/>
      <c r="H321" s="544"/>
      <c r="I321" s="544"/>
      <c r="J321" s="544"/>
      <c r="K321" s="545"/>
      <c r="L321" s="544"/>
      <c r="M321" s="544"/>
      <c r="N321" s="544"/>
      <c r="O321" s="544"/>
      <c r="P321" s="546"/>
      <c r="Q321" s="546"/>
      <c r="R321" s="546"/>
      <c r="S321" s="546"/>
      <c r="T321" s="546"/>
      <c r="U321" s="546"/>
      <c r="V321" s="546"/>
      <c r="W321" s="546"/>
      <c r="X321" s="544"/>
      <c r="Y321" s="544"/>
      <c r="Z321" s="544"/>
      <c r="AA321" s="544"/>
      <c r="AB321" s="547">
        <f t="shared" si="92"/>
        <v>0</v>
      </c>
      <c r="AC321" s="548">
        <f t="shared" si="93"/>
        <v>0</v>
      </c>
      <c r="AD321" s="549">
        <f t="shared" si="98"/>
        <v>0</v>
      </c>
      <c r="AE321" s="550">
        <f t="shared" si="99"/>
        <v>0</v>
      </c>
      <c r="AF321" s="548"/>
      <c r="AG321" s="548"/>
      <c r="AH321" s="549"/>
      <c r="AI321" s="550"/>
      <c r="AJ321" s="551" t="s">
        <v>633</v>
      </c>
      <c r="AK321" s="552">
        <f>'F.  Other Cap Asset Entries'!M281</f>
        <v>0</v>
      </c>
      <c r="AL321" s="548"/>
      <c r="AM321" s="566" t="s">
        <v>2074</v>
      </c>
      <c r="AN321" s="552">
        <f>'N.1 GASB 68 LGERS'!D103</f>
        <v>0</v>
      </c>
      <c r="AO321" s="553"/>
      <c r="AP321" s="552"/>
      <c r="AQ321" s="548"/>
      <c r="AR321" s="551"/>
      <c r="AS321" s="554"/>
      <c r="AT321" s="525"/>
      <c r="AU321" s="526"/>
      <c r="AV321" s="552">
        <f t="shared" si="114"/>
        <v>0</v>
      </c>
      <c r="AW321" s="552">
        <f t="shared" si="115"/>
        <v>0</v>
      </c>
      <c r="AX321" s="577"/>
      <c r="AY321" s="554"/>
      <c r="AZ321" s="506"/>
      <c r="BA321" s="524"/>
    </row>
    <row r="322" spans="1:55" s="706" customFormat="1" x14ac:dyDescent="0.2">
      <c r="A322" s="33"/>
      <c r="B322" s="271"/>
      <c r="C322" s="248"/>
      <c r="D322" s="542"/>
      <c r="E322" s="543"/>
      <c r="F322" s="544"/>
      <c r="G322" s="544"/>
      <c r="H322" s="544"/>
      <c r="I322" s="544"/>
      <c r="J322" s="544"/>
      <c r="K322" s="545"/>
      <c r="L322" s="544"/>
      <c r="M322" s="544"/>
      <c r="N322" s="544"/>
      <c r="O322" s="544"/>
      <c r="P322" s="546"/>
      <c r="Q322" s="546"/>
      <c r="R322" s="546"/>
      <c r="S322" s="546"/>
      <c r="T322" s="546"/>
      <c r="U322" s="546"/>
      <c r="V322" s="546"/>
      <c r="W322" s="546"/>
      <c r="X322" s="544"/>
      <c r="Y322" s="544"/>
      <c r="Z322" s="544"/>
      <c r="AA322" s="544"/>
      <c r="AB322" s="547"/>
      <c r="AC322" s="548"/>
      <c r="AD322" s="549"/>
      <c r="AE322" s="550"/>
      <c r="AF322" s="548"/>
      <c r="AG322" s="548"/>
      <c r="AH322" s="549"/>
      <c r="AI322" s="550"/>
      <c r="AJ322" s="551" t="s">
        <v>2074</v>
      </c>
      <c r="AK322" s="552">
        <f>'N.1 GASB 68 LGERS'!C103</f>
        <v>0</v>
      </c>
      <c r="AL322" s="548"/>
      <c r="AM322" s="566"/>
      <c r="AN322" s="552"/>
      <c r="AO322" s="553"/>
      <c r="AP322" s="552"/>
      <c r="AQ322" s="548"/>
      <c r="AR322" s="551"/>
      <c r="AS322" s="554"/>
      <c r="AT322" s="525"/>
      <c r="AU322" s="526"/>
      <c r="AV322" s="552">
        <f t="shared" si="114"/>
        <v>0</v>
      </c>
      <c r="AW322" s="552">
        <f t="shared" si="115"/>
        <v>0</v>
      </c>
      <c r="AX322" s="577"/>
      <c r="AY322" s="554"/>
      <c r="AZ322" s="506"/>
      <c r="BA322" s="524"/>
      <c r="BB322" s="1045"/>
      <c r="BC322" s="1045"/>
    </row>
    <row r="323" spans="1:55" s="1044" customFormat="1" x14ac:dyDescent="0.2">
      <c r="A323" s="33"/>
      <c r="B323" s="271"/>
      <c r="C323" s="248"/>
      <c r="D323" s="542"/>
      <c r="E323" s="543"/>
      <c r="F323" s="544"/>
      <c r="G323" s="544"/>
      <c r="H323" s="544"/>
      <c r="I323" s="544"/>
      <c r="J323" s="544"/>
      <c r="K323" s="545"/>
      <c r="L323" s="544"/>
      <c r="M323" s="544"/>
      <c r="N323" s="544"/>
      <c r="O323" s="544"/>
      <c r="P323" s="546"/>
      <c r="Q323" s="546"/>
      <c r="R323" s="546"/>
      <c r="S323" s="546"/>
      <c r="T323" s="546"/>
      <c r="U323" s="546"/>
      <c r="V323" s="546"/>
      <c r="W323" s="546"/>
      <c r="X323" s="544"/>
      <c r="Y323" s="544"/>
      <c r="Z323" s="544"/>
      <c r="AA323" s="544"/>
      <c r="AB323" s="547"/>
      <c r="AC323" s="548"/>
      <c r="AD323" s="549"/>
      <c r="AE323" s="550"/>
      <c r="AF323" s="552"/>
      <c r="AG323" s="552"/>
      <c r="AH323" s="549"/>
      <c r="AI323" s="550"/>
      <c r="AJ323" s="551" t="s">
        <v>4030</v>
      </c>
      <c r="AK323" s="552">
        <f>'P.1 GASB 75 OPEB  - 1'!C109+'P.1 GASB 75 OPEB  - 1'!C118+'P.1 GASB 75 OPEB  - 1'!C127-'P.1 GASB 75 OPEB  - 1'!H195</f>
        <v>0</v>
      </c>
      <c r="AL323" s="548"/>
      <c r="AM323" s="551" t="s">
        <v>4030</v>
      </c>
      <c r="AN323" s="552">
        <f>'P.1 GASB 75 OPEB  - 1'!D109+'P.1 GASB 75 OPEB  - 1'!D118+'P.1 GASB 75 OPEB  - 1'!D127</f>
        <v>0</v>
      </c>
      <c r="AO323" s="553"/>
      <c r="AP323" s="552"/>
      <c r="AQ323" s="548"/>
      <c r="AR323" s="551"/>
      <c r="AS323" s="554"/>
      <c r="AT323" s="525"/>
      <c r="AU323" s="526"/>
      <c r="AV323" s="552">
        <f t="shared" si="114"/>
        <v>0</v>
      </c>
      <c r="AW323" s="552">
        <f t="shared" si="115"/>
        <v>0</v>
      </c>
      <c r="AX323" s="577"/>
      <c r="AY323" s="554"/>
      <c r="AZ323" s="506"/>
      <c r="BA323" s="524"/>
      <c r="BB323" s="1045"/>
      <c r="BC323" s="1045"/>
    </row>
    <row r="324" spans="1:55" s="1103" customFormat="1" x14ac:dyDescent="0.2">
      <c r="A324" s="33"/>
      <c r="B324" s="271"/>
      <c r="C324" s="248"/>
      <c r="D324" s="542"/>
      <c r="E324" s="543"/>
      <c r="F324" s="544"/>
      <c r="G324" s="544"/>
      <c r="H324" s="544"/>
      <c r="I324" s="544"/>
      <c r="J324" s="544"/>
      <c r="K324" s="545"/>
      <c r="L324" s="544"/>
      <c r="M324" s="544"/>
      <c r="N324" s="544"/>
      <c r="O324" s="544"/>
      <c r="P324" s="546"/>
      <c r="Q324" s="546"/>
      <c r="R324" s="546"/>
      <c r="S324" s="546"/>
      <c r="T324" s="546"/>
      <c r="U324" s="546"/>
      <c r="V324" s="546"/>
      <c r="W324" s="546"/>
      <c r="X324" s="544"/>
      <c r="Y324" s="544"/>
      <c r="Z324" s="544"/>
      <c r="AA324" s="544"/>
      <c r="AB324" s="547"/>
      <c r="AC324" s="548"/>
      <c r="AD324" s="549"/>
      <c r="AE324" s="550"/>
      <c r="AF324" s="552"/>
      <c r="AG324" s="552"/>
      <c r="AH324" s="549"/>
      <c r="AI324" s="550"/>
      <c r="AJ324" s="551" t="s">
        <v>4031</v>
      </c>
      <c r="AK324" s="552">
        <f>'P.2 GASB 75 OPEB - 2'!C109+'P.2 GASB 75 OPEB - 2'!C118+'P.2 GASB 75 OPEB - 2'!C127</f>
        <v>0</v>
      </c>
      <c r="AL324" s="548"/>
      <c r="AM324" s="551" t="s">
        <v>4031</v>
      </c>
      <c r="AN324" s="552">
        <f>'P.2 GASB 75 OPEB - 2'!D109+'P.2 GASB 75 OPEB - 2'!D118+'P.2 GASB 75 OPEB - 2'!D127</f>
        <v>0</v>
      </c>
      <c r="AO324" s="553"/>
      <c r="AP324" s="552"/>
      <c r="AQ324" s="548"/>
      <c r="AR324" s="551"/>
      <c r="AS324" s="554"/>
      <c r="AT324" s="525"/>
      <c r="AU324" s="526"/>
      <c r="AV324" s="552">
        <f t="shared" ref="AV324:AV325" si="116">ROUND(AD324+AF324+AH324+AK324+AP324+AT324,0)</f>
        <v>0</v>
      </c>
      <c r="AW324" s="552">
        <f t="shared" ref="AW324" si="117">ROUND(AE324+AG324+AI324+AN324+AS324+AU324,0)</f>
        <v>0</v>
      </c>
      <c r="AX324" s="577"/>
      <c r="AY324" s="554"/>
      <c r="AZ324" s="506"/>
      <c r="BA324" s="524"/>
    </row>
    <row r="325" spans="1:55" s="1103" customFormat="1" x14ac:dyDescent="0.2">
      <c r="A325" s="33"/>
      <c r="B325" s="271"/>
      <c r="C325" s="248"/>
      <c r="D325" s="542"/>
      <c r="E325" s="543"/>
      <c r="F325" s="544"/>
      <c r="G325" s="544"/>
      <c r="H325" s="544"/>
      <c r="I325" s="544"/>
      <c r="J325" s="544"/>
      <c r="K325" s="545"/>
      <c r="L325" s="544"/>
      <c r="M325" s="544"/>
      <c r="N325" s="544"/>
      <c r="O325" s="544"/>
      <c r="P325" s="546"/>
      <c r="Q325" s="546"/>
      <c r="R325" s="546"/>
      <c r="S325" s="546"/>
      <c r="T325" s="546"/>
      <c r="U325" s="546"/>
      <c r="V325" s="546"/>
      <c r="W325" s="546"/>
      <c r="X325" s="544"/>
      <c r="Y325" s="544"/>
      <c r="Z325" s="544"/>
      <c r="AA325" s="544"/>
      <c r="AB325" s="547"/>
      <c r="AC325" s="548"/>
      <c r="AD325" s="549"/>
      <c r="AE325" s="550"/>
      <c r="AF325" s="552"/>
      <c r="AG325" s="552"/>
      <c r="AH325" s="549"/>
      <c r="AI325" s="550"/>
      <c r="AJ325" s="551" t="s">
        <v>4032</v>
      </c>
      <c r="AK325" s="552">
        <f>'P.3 GASB 75 OPEB - 3'!C109+'P.3 GASB 75 OPEB - 3'!C118+'P.3 GASB 75 OPEB - 3'!C127</f>
        <v>0</v>
      </c>
      <c r="AL325" s="548"/>
      <c r="AM325" s="551" t="s">
        <v>4032</v>
      </c>
      <c r="AN325" s="552">
        <f>'P.3 GASB 75 OPEB - 3'!D109+'P.3 GASB 75 OPEB - 3'!D118+'P.3 GASB 75 OPEB - 3'!D127</f>
        <v>0</v>
      </c>
      <c r="AO325" s="553"/>
      <c r="AP325" s="552"/>
      <c r="AQ325" s="548"/>
      <c r="AR325" s="551"/>
      <c r="AS325" s="554"/>
      <c r="AT325" s="525"/>
      <c r="AU325" s="526"/>
      <c r="AV325" s="552">
        <f t="shared" si="116"/>
        <v>0</v>
      </c>
      <c r="AW325" s="552">
        <f>ROUND(AE325+AG325+AI325+AN325+AS325+AU325,0)</f>
        <v>0</v>
      </c>
      <c r="AX325" s="577"/>
      <c r="AY325" s="554"/>
      <c r="AZ325" s="506"/>
      <c r="BA325" s="524"/>
    </row>
    <row r="326" spans="1:55" s="13" customFormat="1" ht="6" customHeight="1" x14ac:dyDescent="0.2">
      <c r="A326" s="33"/>
      <c r="B326" s="31"/>
      <c r="C326" s="31"/>
      <c r="D326" s="533"/>
      <c r="E326" s="534"/>
      <c r="F326" s="530"/>
      <c r="G326" s="530"/>
      <c r="H326" s="530"/>
      <c r="I326" s="530"/>
      <c r="J326" s="530"/>
      <c r="K326" s="535"/>
      <c r="L326" s="530"/>
      <c r="M326" s="530"/>
      <c r="N326" s="530"/>
      <c r="O326" s="530"/>
      <c r="P326" s="529"/>
      <c r="Q326" s="529"/>
      <c r="R326" s="529"/>
      <c r="S326" s="529"/>
      <c r="T326" s="529"/>
      <c r="U326" s="529"/>
      <c r="V326" s="529"/>
      <c r="W326" s="529"/>
      <c r="X326" s="530"/>
      <c r="Y326" s="530"/>
      <c r="Z326" s="530"/>
      <c r="AA326" s="530"/>
      <c r="AB326" s="531"/>
      <c r="AC326" s="539"/>
      <c r="AD326" s="536"/>
      <c r="AE326" s="537"/>
      <c r="AF326" s="539"/>
      <c r="AG326" s="539"/>
      <c r="AH326" s="536"/>
      <c r="AI326" s="537"/>
      <c r="AJ326" s="581"/>
      <c r="AK326" s="582"/>
      <c r="AL326" s="539"/>
      <c r="AM326" s="538"/>
      <c r="AN326" s="434"/>
      <c r="AO326" s="541"/>
      <c r="AP326" s="434"/>
      <c r="AQ326" s="539"/>
      <c r="AR326" s="538"/>
      <c r="AS326" s="540"/>
      <c r="AT326" s="529"/>
      <c r="AU326" s="564"/>
      <c r="AV326" s="434"/>
      <c r="AW326" s="434"/>
      <c r="AX326" s="573"/>
      <c r="AY326" s="540"/>
      <c r="AZ326" s="434"/>
      <c r="BA326" s="540"/>
      <c r="BB326" s="1047"/>
      <c r="BC326" s="1047"/>
    </row>
    <row r="327" spans="1:55" x14ac:dyDescent="0.2">
      <c r="A327" s="33"/>
      <c r="B327" s="271" t="s">
        <v>174</v>
      </c>
      <c r="C327" s="248"/>
      <c r="D327" s="542"/>
      <c r="E327" s="543"/>
      <c r="F327" s="544"/>
      <c r="G327" s="544"/>
      <c r="H327" s="544"/>
      <c r="I327" s="544"/>
      <c r="J327" s="544"/>
      <c r="K327" s="545"/>
      <c r="L327" s="544"/>
      <c r="M327" s="544"/>
      <c r="N327" s="544"/>
      <c r="O327" s="544"/>
      <c r="P327" s="546"/>
      <c r="Q327" s="546"/>
      <c r="R327" s="546"/>
      <c r="S327" s="546"/>
      <c r="T327" s="546"/>
      <c r="U327" s="546"/>
      <c r="V327" s="546"/>
      <c r="W327" s="546"/>
      <c r="X327" s="544"/>
      <c r="Y327" s="544"/>
      <c r="Z327" s="544"/>
      <c r="AA327" s="544"/>
      <c r="AB327" s="547">
        <f t="shared" si="92"/>
        <v>0</v>
      </c>
      <c r="AC327" s="548">
        <f t="shared" si="93"/>
        <v>0</v>
      </c>
      <c r="AD327" s="549">
        <f t="shared" si="98"/>
        <v>0</v>
      </c>
      <c r="AE327" s="550">
        <f t="shared" si="99"/>
        <v>0</v>
      </c>
      <c r="AF327" s="548"/>
      <c r="AG327" s="548"/>
      <c r="AH327" s="549"/>
      <c r="AI327" s="550"/>
      <c r="AJ327" s="551" t="str">
        <f>'D. Depreciation'!A54</f>
        <v>D.1</v>
      </c>
      <c r="AK327" s="552">
        <f>'D. Depreciation'!J61</f>
        <v>0</v>
      </c>
      <c r="AL327" s="548"/>
      <c r="AM327" s="551" t="str">
        <f>'E. Capital Outlay'!D52</f>
        <v>E.1</v>
      </c>
      <c r="AN327" s="552">
        <f>'E. Capital Outlay'!N69</f>
        <v>0</v>
      </c>
      <c r="AO327" s="553" t="str">
        <f>'L. Eliminations-Consolidations'!A237</f>
        <v>L.7</v>
      </c>
      <c r="AP327" s="552">
        <f>'L. Eliminations-Consolidations'!J244</f>
        <v>0</v>
      </c>
      <c r="AQ327" s="548"/>
      <c r="AR327" s="556" t="s">
        <v>646</v>
      </c>
      <c r="AS327" s="552">
        <f>'K.1  Int. Service Fd Allocation'!G212+'K.2  Int. Service Fd Alloca'!G207+'K.3 Int. Service Fd Alloca'!G211</f>
        <v>0</v>
      </c>
      <c r="AT327" s="557"/>
      <c r="AU327" s="526"/>
      <c r="AV327" s="552">
        <f t="shared" ref="AV327:AV332" si="118">ROUND(AD327+AF327+AH327+AK327+AP327+AT327,0)</f>
        <v>0</v>
      </c>
      <c r="AW327" s="552">
        <f t="shared" ref="AW327:AW332" si="119">ROUND(AE327+AG327+AI327+AN327+AS327+AU327,0)</f>
        <v>0</v>
      </c>
      <c r="AX327" s="577" t="str">
        <f>IF((SUM(AV327:AV334))-(SUM(AW327:AW334))&lt;=0," ",(SUM(AV327:AV334))-(SUM(AW327:AW334)))</f>
        <v xml:space="preserve"> </v>
      </c>
      <c r="AY327" s="554">
        <f>IF((SUM(AV327:AV334))-(SUM(AW327:AW334))&gt;0," ",-(SUM(AV327:AV334))+(SUM(AW327:AW334)))</f>
        <v>0</v>
      </c>
      <c r="AZ327" s="506"/>
      <c r="BA327" s="524"/>
    </row>
    <row r="328" spans="1:55" x14ac:dyDescent="0.2">
      <c r="A328" s="33"/>
      <c r="B328" s="271"/>
      <c r="C328" s="248"/>
      <c r="D328" s="542"/>
      <c r="E328" s="543"/>
      <c r="F328" s="544"/>
      <c r="G328" s="544"/>
      <c r="H328" s="544"/>
      <c r="I328" s="544"/>
      <c r="J328" s="544"/>
      <c r="K328" s="545"/>
      <c r="L328" s="544"/>
      <c r="M328" s="544"/>
      <c r="N328" s="544"/>
      <c r="O328" s="544"/>
      <c r="P328" s="546"/>
      <c r="Q328" s="546"/>
      <c r="R328" s="546"/>
      <c r="S328" s="546"/>
      <c r="T328" s="546"/>
      <c r="U328" s="546"/>
      <c r="V328" s="546"/>
      <c r="W328" s="546"/>
      <c r="X328" s="544"/>
      <c r="Y328" s="544"/>
      <c r="Z328" s="544"/>
      <c r="AA328" s="544"/>
      <c r="AB328" s="547">
        <f t="shared" si="92"/>
        <v>0</v>
      </c>
      <c r="AC328" s="548">
        <f t="shared" si="93"/>
        <v>0</v>
      </c>
      <c r="AD328" s="549">
        <f t="shared" si="98"/>
        <v>0</v>
      </c>
      <c r="AE328" s="550">
        <f t="shared" si="99"/>
        <v>0</v>
      </c>
      <c r="AF328" s="548"/>
      <c r="AG328" s="548"/>
      <c r="AH328" s="549"/>
      <c r="AI328" s="550"/>
      <c r="AJ328" s="551" t="str">
        <f>'J. Other Liability &amp; Expenses'!D203</f>
        <v>J.1</v>
      </c>
      <c r="AK328" s="552">
        <f>'J. Other Liability &amp; Expenses'!L210</f>
        <v>0</v>
      </c>
      <c r="AL328" s="548"/>
      <c r="AM328" s="566" t="str">
        <f>'I.  Other Asset Entries'!B108</f>
        <v>I.1</v>
      </c>
      <c r="AN328" s="552">
        <f>'I.  Other Asset Entries'!N120</f>
        <v>0</v>
      </c>
      <c r="AO328" s="553"/>
      <c r="AP328" s="552"/>
      <c r="AQ328" s="548"/>
      <c r="AR328" s="551"/>
      <c r="AS328" s="554"/>
      <c r="AT328" s="525"/>
      <c r="AU328" s="526"/>
      <c r="AV328" s="552">
        <f t="shared" si="118"/>
        <v>0</v>
      </c>
      <c r="AW328" s="552">
        <f t="shared" si="119"/>
        <v>0</v>
      </c>
      <c r="AX328" s="577"/>
      <c r="AY328" s="554"/>
      <c r="AZ328" s="506"/>
      <c r="BA328" s="524"/>
      <c r="BC328" s="578"/>
    </row>
    <row r="329" spans="1:55" x14ac:dyDescent="0.2">
      <c r="A329" s="33"/>
      <c r="B329" s="271"/>
      <c r="C329" s="248"/>
      <c r="D329" s="542"/>
      <c r="E329" s="543"/>
      <c r="F329" s="544"/>
      <c r="G329" s="544"/>
      <c r="H329" s="544"/>
      <c r="I329" s="544"/>
      <c r="J329" s="544"/>
      <c r="K329" s="545"/>
      <c r="L329" s="544"/>
      <c r="M329" s="544"/>
      <c r="N329" s="544"/>
      <c r="O329" s="544"/>
      <c r="P329" s="546"/>
      <c r="Q329" s="546"/>
      <c r="R329" s="546"/>
      <c r="S329" s="546"/>
      <c r="T329" s="546"/>
      <c r="U329" s="546"/>
      <c r="V329" s="546"/>
      <c r="W329" s="546"/>
      <c r="X329" s="544"/>
      <c r="Y329" s="544"/>
      <c r="Z329" s="544"/>
      <c r="AA329" s="544"/>
      <c r="AB329" s="547">
        <f t="shared" si="92"/>
        <v>0</v>
      </c>
      <c r="AC329" s="548">
        <f t="shared" si="93"/>
        <v>0</v>
      </c>
      <c r="AD329" s="549">
        <f t="shared" si="98"/>
        <v>0</v>
      </c>
      <c r="AE329" s="550">
        <f t="shared" si="99"/>
        <v>0</v>
      </c>
      <c r="AF329" s="548"/>
      <c r="AG329" s="548"/>
      <c r="AH329" s="549"/>
      <c r="AI329" s="550"/>
      <c r="AJ329" s="551" t="str">
        <f>'F.  Other Cap Asset Entries'!D254</f>
        <v>F.3</v>
      </c>
      <c r="AK329" s="552">
        <f>'F.  Other Cap Asset Entries'!M260</f>
        <v>0</v>
      </c>
      <c r="AL329" s="548"/>
      <c r="AM329" s="566" t="str">
        <f>'J. Other Liability &amp; Expenses'!D203</f>
        <v>J.1</v>
      </c>
      <c r="AN329" s="552">
        <f>'J. Other Liability &amp; Expenses'!N210</f>
        <v>0</v>
      </c>
      <c r="AO329" s="553" t="str">
        <f>'L. Eliminations-Consolidations'!B267</f>
        <v>L.8</v>
      </c>
      <c r="AP329" s="552">
        <f>'L. Eliminations-Consolidations'!J275</f>
        <v>0</v>
      </c>
      <c r="AQ329" s="548"/>
      <c r="AR329" s="551" t="str">
        <f>'L. Eliminations-Consolidations'!B267</f>
        <v>L.8</v>
      </c>
      <c r="AS329" s="554">
        <f>'L. Eliminations-Consolidations'!L275</f>
        <v>0</v>
      </c>
      <c r="AT329" s="525"/>
      <c r="AU329" s="526"/>
      <c r="AV329" s="552">
        <f t="shared" si="118"/>
        <v>0</v>
      </c>
      <c r="AW329" s="552">
        <f t="shared" si="119"/>
        <v>0</v>
      </c>
      <c r="AX329" s="577"/>
      <c r="AY329" s="554"/>
      <c r="AZ329" s="506"/>
      <c r="BA329" s="524"/>
    </row>
    <row r="330" spans="1:55" x14ac:dyDescent="0.2">
      <c r="A330" s="33"/>
      <c r="B330" s="271"/>
      <c r="C330" s="248"/>
      <c r="D330" s="542"/>
      <c r="E330" s="543"/>
      <c r="F330" s="544"/>
      <c r="G330" s="544"/>
      <c r="H330" s="544"/>
      <c r="I330" s="544"/>
      <c r="J330" s="544"/>
      <c r="K330" s="545"/>
      <c r="L330" s="544"/>
      <c r="M330" s="544"/>
      <c r="N330" s="544"/>
      <c r="O330" s="544"/>
      <c r="P330" s="546"/>
      <c r="Q330" s="546"/>
      <c r="R330" s="546"/>
      <c r="S330" s="546"/>
      <c r="T330" s="546"/>
      <c r="U330" s="546"/>
      <c r="V330" s="546"/>
      <c r="W330" s="546"/>
      <c r="X330" s="544"/>
      <c r="Y330" s="544"/>
      <c r="Z330" s="544"/>
      <c r="AA330" s="544"/>
      <c r="AB330" s="547">
        <f t="shared" si="92"/>
        <v>0</v>
      </c>
      <c r="AC330" s="548">
        <f t="shared" si="93"/>
        <v>0</v>
      </c>
      <c r="AD330" s="549">
        <f t="shared" si="98"/>
        <v>0</v>
      </c>
      <c r="AE330" s="550">
        <f t="shared" si="99"/>
        <v>0</v>
      </c>
      <c r="AF330" s="548"/>
      <c r="AG330" s="548"/>
      <c r="AH330" s="549"/>
      <c r="AI330" s="550"/>
      <c r="AJ330" s="551" t="s">
        <v>633</v>
      </c>
      <c r="AK330" s="552">
        <f>'F.  Other Cap Asset Entries'!M282</f>
        <v>0</v>
      </c>
      <c r="AL330" s="548"/>
      <c r="AM330" s="566" t="s">
        <v>2074</v>
      </c>
      <c r="AN330" s="552">
        <f>'N.1 GASB 68 LGERS'!D104</f>
        <v>0</v>
      </c>
      <c r="AO330" s="553"/>
      <c r="AP330" s="552"/>
      <c r="AQ330" s="548"/>
      <c r="AR330" s="551"/>
      <c r="AS330" s="554"/>
      <c r="AT330" s="525"/>
      <c r="AU330" s="526"/>
      <c r="AV330" s="552">
        <f t="shared" si="118"/>
        <v>0</v>
      </c>
      <c r="AW330" s="552">
        <f t="shared" si="119"/>
        <v>0</v>
      </c>
      <c r="AX330" s="577"/>
      <c r="AY330" s="554"/>
      <c r="AZ330" s="506"/>
      <c r="BA330" s="524"/>
    </row>
    <row r="331" spans="1:55" s="706" customFormat="1" x14ac:dyDescent="0.2">
      <c r="A331" s="33"/>
      <c r="B331" s="271"/>
      <c r="C331" s="248"/>
      <c r="D331" s="542"/>
      <c r="E331" s="543"/>
      <c r="F331" s="544"/>
      <c r="G331" s="544"/>
      <c r="H331" s="544"/>
      <c r="I331" s="544"/>
      <c r="J331" s="544"/>
      <c r="K331" s="545"/>
      <c r="L331" s="544"/>
      <c r="M331" s="544"/>
      <c r="N331" s="544"/>
      <c r="O331" s="544"/>
      <c r="P331" s="546"/>
      <c r="Q331" s="546"/>
      <c r="R331" s="546"/>
      <c r="S331" s="546"/>
      <c r="T331" s="546"/>
      <c r="U331" s="546"/>
      <c r="V331" s="546"/>
      <c r="W331" s="546"/>
      <c r="X331" s="544"/>
      <c r="Y331" s="544"/>
      <c r="Z331" s="544"/>
      <c r="AA331" s="544"/>
      <c r="AB331" s="547"/>
      <c r="AC331" s="548"/>
      <c r="AD331" s="549"/>
      <c r="AE331" s="550"/>
      <c r="AF331" s="548"/>
      <c r="AG331" s="548"/>
      <c r="AH331" s="549"/>
      <c r="AI331" s="550"/>
      <c r="AJ331" s="551" t="s">
        <v>2074</v>
      </c>
      <c r="AK331" s="552">
        <f>'N.1 GASB 68 LGERS'!C104</f>
        <v>0</v>
      </c>
      <c r="AL331" s="548"/>
      <c r="AM331" s="566"/>
      <c r="AN331" s="552"/>
      <c r="AO331" s="553"/>
      <c r="AP331" s="552"/>
      <c r="AQ331" s="548"/>
      <c r="AR331" s="551"/>
      <c r="AS331" s="554"/>
      <c r="AT331" s="525"/>
      <c r="AU331" s="526"/>
      <c r="AV331" s="552">
        <f t="shared" si="118"/>
        <v>0</v>
      </c>
      <c r="AW331" s="552">
        <f t="shared" si="119"/>
        <v>0</v>
      </c>
      <c r="AX331" s="577"/>
      <c r="AY331" s="554"/>
      <c r="AZ331" s="506"/>
      <c r="BA331" s="524"/>
      <c r="BB331" s="1045"/>
      <c r="BC331" s="1045"/>
    </row>
    <row r="332" spans="1:55" s="1044" customFormat="1" x14ac:dyDescent="0.2">
      <c r="A332" s="33"/>
      <c r="B332" s="271"/>
      <c r="C332" s="248"/>
      <c r="D332" s="542"/>
      <c r="E332" s="543"/>
      <c r="F332" s="544"/>
      <c r="G332" s="544"/>
      <c r="H332" s="544"/>
      <c r="I332" s="544"/>
      <c r="J332" s="544"/>
      <c r="K332" s="545"/>
      <c r="L332" s="544"/>
      <c r="M332" s="544"/>
      <c r="N332" s="544"/>
      <c r="O332" s="544"/>
      <c r="P332" s="546"/>
      <c r="Q332" s="546"/>
      <c r="R332" s="546"/>
      <c r="S332" s="546"/>
      <c r="T332" s="546"/>
      <c r="U332" s="546"/>
      <c r="V332" s="546"/>
      <c r="W332" s="546"/>
      <c r="X332" s="544"/>
      <c r="Y332" s="544"/>
      <c r="Z332" s="544"/>
      <c r="AA332" s="544"/>
      <c r="AB332" s="547"/>
      <c r="AC332" s="548"/>
      <c r="AD332" s="549"/>
      <c r="AE332" s="550"/>
      <c r="AF332" s="552"/>
      <c r="AG332" s="552"/>
      <c r="AH332" s="549"/>
      <c r="AI332" s="550"/>
      <c r="AJ332" s="551" t="s">
        <v>4030</v>
      </c>
      <c r="AK332" s="552">
        <f>'P.1 GASB 75 OPEB  - 1'!C110+'P.1 GASB 75 OPEB  - 1'!C119+'P.1 GASB 75 OPEB  - 1'!C128-'P.1 GASB 75 OPEB  - 1'!H196</f>
        <v>0</v>
      </c>
      <c r="AL332" s="548"/>
      <c r="AM332" s="551" t="s">
        <v>4030</v>
      </c>
      <c r="AN332" s="552">
        <f>'P.1 GASB 75 OPEB  - 1'!D110+'P.1 GASB 75 OPEB  - 1'!D119+'P.1 GASB 75 OPEB  - 1'!D128</f>
        <v>0</v>
      </c>
      <c r="AO332" s="553"/>
      <c r="AP332" s="552"/>
      <c r="AQ332" s="548"/>
      <c r="AR332" s="551"/>
      <c r="AS332" s="554"/>
      <c r="AT332" s="525"/>
      <c r="AU332" s="526"/>
      <c r="AV332" s="552">
        <f t="shared" si="118"/>
        <v>0</v>
      </c>
      <c r="AW332" s="552">
        <f t="shared" si="119"/>
        <v>0</v>
      </c>
      <c r="AX332" s="577"/>
      <c r="AY332" s="554"/>
      <c r="AZ332" s="506"/>
      <c r="BA332" s="524"/>
      <c r="BB332" s="1045"/>
      <c r="BC332" s="1045"/>
    </row>
    <row r="333" spans="1:55" s="1103" customFormat="1" x14ac:dyDescent="0.2">
      <c r="A333" s="33"/>
      <c r="B333" s="271"/>
      <c r="C333" s="248"/>
      <c r="D333" s="542"/>
      <c r="E333" s="543"/>
      <c r="F333" s="544"/>
      <c r="G333" s="544"/>
      <c r="H333" s="544"/>
      <c r="I333" s="544"/>
      <c r="J333" s="544"/>
      <c r="K333" s="545"/>
      <c r="L333" s="544"/>
      <c r="M333" s="544"/>
      <c r="N333" s="544"/>
      <c r="O333" s="544"/>
      <c r="P333" s="546"/>
      <c r="Q333" s="546"/>
      <c r="R333" s="546"/>
      <c r="S333" s="546"/>
      <c r="T333" s="546"/>
      <c r="U333" s="546"/>
      <c r="V333" s="546"/>
      <c r="W333" s="546"/>
      <c r="X333" s="544"/>
      <c r="Y333" s="544"/>
      <c r="Z333" s="544"/>
      <c r="AA333" s="544"/>
      <c r="AB333" s="547"/>
      <c r="AC333" s="548"/>
      <c r="AD333" s="549"/>
      <c r="AE333" s="550"/>
      <c r="AF333" s="552"/>
      <c r="AG333" s="552"/>
      <c r="AH333" s="549"/>
      <c r="AI333" s="550"/>
      <c r="AJ333" s="551" t="s">
        <v>4031</v>
      </c>
      <c r="AK333" s="552">
        <f>'P.2 GASB 75 OPEB - 2'!C110+'P.2 GASB 75 OPEB - 2'!C119+'P.2 GASB 75 OPEB - 2'!C128</f>
        <v>0</v>
      </c>
      <c r="AL333" s="548"/>
      <c r="AM333" s="551" t="s">
        <v>4031</v>
      </c>
      <c r="AN333" s="552">
        <f>'P.2 GASB 75 OPEB - 2'!D110+'P.2 GASB 75 OPEB - 2'!D119+'P.2 GASB 75 OPEB - 2'!D128</f>
        <v>0</v>
      </c>
      <c r="AO333" s="553"/>
      <c r="AP333" s="552"/>
      <c r="AQ333" s="548"/>
      <c r="AR333" s="551"/>
      <c r="AS333" s="554"/>
      <c r="AT333" s="525"/>
      <c r="AU333" s="526"/>
      <c r="AV333" s="552">
        <f t="shared" ref="AV333:AV334" si="120">ROUND(AD333+AF333+AH333+AK333+AP333+AT333,0)</f>
        <v>0</v>
      </c>
      <c r="AW333" s="552">
        <f t="shared" ref="AW333:AW334" si="121">ROUND(AE333+AG333+AI333+AN333+AS333+AU333,0)</f>
        <v>0</v>
      </c>
      <c r="AX333" s="577"/>
      <c r="AY333" s="554"/>
      <c r="AZ333" s="506"/>
      <c r="BA333" s="524"/>
    </row>
    <row r="334" spans="1:55" s="1103" customFormat="1" x14ac:dyDescent="0.2">
      <c r="A334" s="33"/>
      <c r="B334" s="271"/>
      <c r="C334" s="248"/>
      <c r="D334" s="542"/>
      <c r="E334" s="543"/>
      <c r="F334" s="544"/>
      <c r="G334" s="544"/>
      <c r="H334" s="544"/>
      <c r="I334" s="544"/>
      <c r="J334" s="544"/>
      <c r="K334" s="545"/>
      <c r="L334" s="544"/>
      <c r="M334" s="544"/>
      <c r="N334" s="544"/>
      <c r="O334" s="544"/>
      <c r="P334" s="546"/>
      <c r="Q334" s="546"/>
      <c r="R334" s="546"/>
      <c r="S334" s="546"/>
      <c r="T334" s="546"/>
      <c r="U334" s="546"/>
      <c r="V334" s="546"/>
      <c r="W334" s="546"/>
      <c r="X334" s="544"/>
      <c r="Y334" s="544"/>
      <c r="Z334" s="544"/>
      <c r="AA334" s="544"/>
      <c r="AB334" s="547"/>
      <c r="AC334" s="548"/>
      <c r="AD334" s="549"/>
      <c r="AE334" s="550"/>
      <c r="AF334" s="552"/>
      <c r="AG334" s="552"/>
      <c r="AH334" s="549"/>
      <c r="AI334" s="550"/>
      <c r="AJ334" s="551" t="s">
        <v>4032</v>
      </c>
      <c r="AK334" s="552">
        <f>'P.3 GASB 75 OPEB - 3'!C110+'P.3 GASB 75 OPEB - 3'!C119+'P.3 GASB 75 OPEB - 3'!C128</f>
        <v>0</v>
      </c>
      <c r="AL334" s="548"/>
      <c r="AM334" s="551" t="s">
        <v>4032</v>
      </c>
      <c r="AN334" s="552">
        <f>'P.3 GASB 75 OPEB - 3'!D110+'P.3 GASB 75 OPEB - 3'!D119+'P.3 GASB 75 OPEB - 3'!D128</f>
        <v>0</v>
      </c>
      <c r="AO334" s="553"/>
      <c r="AP334" s="552"/>
      <c r="AQ334" s="548"/>
      <c r="AR334" s="551"/>
      <c r="AS334" s="554"/>
      <c r="AT334" s="525"/>
      <c r="AU334" s="526"/>
      <c r="AV334" s="552">
        <f t="shared" si="120"/>
        <v>0</v>
      </c>
      <c r="AW334" s="552">
        <f t="shared" si="121"/>
        <v>0</v>
      </c>
      <c r="AX334" s="577"/>
      <c r="AY334" s="554"/>
      <c r="AZ334" s="506"/>
      <c r="BA334" s="524"/>
    </row>
    <row r="335" spans="1:55" s="13" customFormat="1" ht="6" customHeight="1" x14ac:dyDescent="0.2">
      <c r="A335" s="33"/>
      <c r="B335" s="31"/>
      <c r="C335" s="31"/>
      <c r="D335" s="533"/>
      <c r="E335" s="534"/>
      <c r="F335" s="530"/>
      <c r="G335" s="530"/>
      <c r="H335" s="530"/>
      <c r="I335" s="530"/>
      <c r="J335" s="530"/>
      <c r="K335" s="535"/>
      <c r="L335" s="530"/>
      <c r="M335" s="530"/>
      <c r="N335" s="530"/>
      <c r="O335" s="530"/>
      <c r="P335" s="529"/>
      <c r="Q335" s="529"/>
      <c r="R335" s="529"/>
      <c r="S335" s="529"/>
      <c r="T335" s="529"/>
      <c r="U335" s="529"/>
      <c r="V335" s="529"/>
      <c r="W335" s="529"/>
      <c r="X335" s="530"/>
      <c r="Y335" s="530"/>
      <c r="Z335" s="530"/>
      <c r="AA335" s="530"/>
      <c r="AB335" s="531"/>
      <c r="AC335" s="539"/>
      <c r="AD335" s="536"/>
      <c r="AE335" s="537"/>
      <c r="AF335" s="539"/>
      <c r="AG335" s="539"/>
      <c r="AH335" s="536"/>
      <c r="AI335" s="537"/>
      <c r="AJ335" s="581"/>
      <c r="AK335" s="582"/>
      <c r="AL335" s="539"/>
      <c r="AM335" s="538"/>
      <c r="AN335" s="434"/>
      <c r="AO335" s="541"/>
      <c r="AP335" s="434"/>
      <c r="AQ335" s="539"/>
      <c r="AR335" s="538"/>
      <c r="AS335" s="540"/>
      <c r="AT335" s="529"/>
      <c r="AU335" s="564"/>
      <c r="AV335" s="434"/>
      <c r="AW335" s="434"/>
      <c r="AX335" s="573"/>
      <c r="AY335" s="540"/>
      <c r="AZ335" s="434"/>
      <c r="BA335" s="540"/>
      <c r="BB335" s="1047"/>
      <c r="BC335" s="1047"/>
    </row>
    <row r="336" spans="1:55" x14ac:dyDescent="0.2">
      <c r="A336" s="33"/>
      <c r="B336" s="374" t="s">
        <v>740</v>
      </c>
      <c r="C336" s="248"/>
      <c r="D336" s="542"/>
      <c r="E336" s="543"/>
      <c r="F336" s="544"/>
      <c r="G336" s="544"/>
      <c r="H336" s="544"/>
      <c r="I336" s="544"/>
      <c r="J336" s="544"/>
      <c r="K336" s="545"/>
      <c r="L336" s="544"/>
      <c r="M336" s="544"/>
      <c r="N336" s="544"/>
      <c r="O336" s="544"/>
      <c r="P336" s="546"/>
      <c r="Q336" s="546"/>
      <c r="R336" s="546"/>
      <c r="S336" s="546"/>
      <c r="T336" s="546"/>
      <c r="U336" s="546"/>
      <c r="V336" s="546"/>
      <c r="W336" s="546"/>
      <c r="X336" s="544"/>
      <c r="Y336" s="544"/>
      <c r="Z336" s="544"/>
      <c r="AA336" s="544"/>
      <c r="AB336" s="547">
        <f t="shared" si="92"/>
        <v>0</v>
      </c>
      <c r="AC336" s="548">
        <f t="shared" si="93"/>
        <v>0</v>
      </c>
      <c r="AD336" s="549">
        <f t="shared" si="98"/>
        <v>0</v>
      </c>
      <c r="AE336" s="550">
        <f t="shared" si="99"/>
        <v>0</v>
      </c>
      <c r="AF336" s="548"/>
      <c r="AG336" s="548"/>
      <c r="AH336" s="549"/>
      <c r="AI336" s="550"/>
      <c r="AJ336" s="551" t="str">
        <f>'D. Depreciation'!A54</f>
        <v>D.1</v>
      </c>
      <c r="AK336" s="552">
        <f>'D. Depreciation'!J62</f>
        <v>0</v>
      </c>
      <c r="AL336" s="548"/>
      <c r="AM336" s="551" t="str">
        <f>'E. Capital Outlay'!D52</f>
        <v>E.1</v>
      </c>
      <c r="AN336" s="552">
        <f>'E. Capital Outlay'!N70</f>
        <v>0</v>
      </c>
      <c r="AO336" s="553" t="str">
        <f>'L. Eliminations-Consolidations'!A237</f>
        <v>L.7</v>
      </c>
      <c r="AP336" s="552">
        <f>'L. Eliminations-Consolidations'!J245</f>
        <v>0</v>
      </c>
      <c r="AQ336" s="548"/>
      <c r="AR336" s="556" t="s">
        <v>646</v>
      </c>
      <c r="AS336" s="552">
        <f>'K.1  Int. Service Fd Allocation'!G213+'K.2  Int. Service Fd Alloca'!G208+'K.3 Int. Service Fd Alloca'!G212</f>
        <v>0</v>
      </c>
      <c r="AT336" s="557"/>
      <c r="AU336" s="526"/>
      <c r="AV336" s="552">
        <f t="shared" ref="AV336:AV341" si="122">ROUND(AD336+AF336+AH336+AK336+AP336+AT336,0)</f>
        <v>0</v>
      </c>
      <c r="AW336" s="552">
        <f t="shared" ref="AW336:AW341" si="123">ROUND(AE336+AG336+AI336+AN336+AS336+AU336,0)</f>
        <v>0</v>
      </c>
      <c r="AX336" s="577" t="str">
        <f>IF((SUM(AV336:AV343))-(SUM(AW336:AW343))&lt;=0," ",(SUM(AV336:AV343))-(SUM(AW336:AW343)))</f>
        <v xml:space="preserve"> </v>
      </c>
      <c r="AY336" s="554">
        <f>IF((SUM(AV336:AV343))-(SUM(AW336:AW343))&gt;0," ",-(SUM(AV336:AV343))+(SUM(AW336:AW343)))</f>
        <v>0</v>
      </c>
      <c r="AZ336" s="506"/>
      <c r="BA336" s="524"/>
    </row>
    <row r="337" spans="1:61" x14ac:dyDescent="0.2">
      <c r="A337" s="33"/>
      <c r="B337" s="271"/>
      <c r="C337" s="248"/>
      <c r="D337" s="542"/>
      <c r="E337" s="543"/>
      <c r="F337" s="544"/>
      <c r="G337" s="544"/>
      <c r="H337" s="544"/>
      <c r="I337" s="544"/>
      <c r="J337" s="544"/>
      <c r="K337" s="545"/>
      <c r="L337" s="544"/>
      <c r="M337" s="544"/>
      <c r="N337" s="544"/>
      <c r="O337" s="544"/>
      <c r="P337" s="546"/>
      <c r="Q337" s="546"/>
      <c r="R337" s="546"/>
      <c r="S337" s="546"/>
      <c r="T337" s="546"/>
      <c r="U337" s="546"/>
      <c r="V337" s="546"/>
      <c r="W337" s="546"/>
      <c r="X337" s="544"/>
      <c r="Y337" s="544"/>
      <c r="Z337" s="544"/>
      <c r="AA337" s="544"/>
      <c r="AB337" s="547">
        <f t="shared" si="92"/>
        <v>0</v>
      </c>
      <c r="AC337" s="548">
        <f t="shared" si="93"/>
        <v>0</v>
      </c>
      <c r="AD337" s="549">
        <f t="shared" si="98"/>
        <v>0</v>
      </c>
      <c r="AE337" s="550">
        <f t="shared" si="99"/>
        <v>0</v>
      </c>
      <c r="AF337" s="548"/>
      <c r="AG337" s="548"/>
      <c r="AH337" s="549"/>
      <c r="AI337" s="550"/>
      <c r="AJ337" s="551" t="str">
        <f>'J. Other Liability &amp; Expenses'!D203</f>
        <v>J.1</v>
      </c>
      <c r="AK337" s="552">
        <f>'J. Other Liability &amp; Expenses'!L211</f>
        <v>0</v>
      </c>
      <c r="AL337" s="548"/>
      <c r="AM337" s="566" t="str">
        <f>'I.  Other Asset Entries'!B108</f>
        <v>I.1</v>
      </c>
      <c r="AN337" s="552">
        <f>'I.  Other Asset Entries'!N121</f>
        <v>0</v>
      </c>
      <c r="AO337" s="553"/>
      <c r="AP337" s="552"/>
      <c r="AQ337" s="548"/>
      <c r="AR337" s="551"/>
      <c r="AS337" s="554"/>
      <c r="AT337" s="525"/>
      <c r="AU337" s="526"/>
      <c r="AV337" s="552">
        <f t="shared" si="122"/>
        <v>0</v>
      </c>
      <c r="AW337" s="552">
        <f t="shared" si="123"/>
        <v>0</v>
      </c>
      <c r="AX337" s="577"/>
      <c r="AY337" s="554"/>
      <c r="AZ337" s="506"/>
      <c r="BA337" s="524"/>
    </row>
    <row r="338" spans="1:61" x14ac:dyDescent="0.2">
      <c r="A338" s="33"/>
      <c r="B338" s="271"/>
      <c r="C338" s="248"/>
      <c r="D338" s="542"/>
      <c r="E338" s="543"/>
      <c r="F338" s="544"/>
      <c r="G338" s="544"/>
      <c r="H338" s="544"/>
      <c r="I338" s="544"/>
      <c r="J338" s="544"/>
      <c r="K338" s="545"/>
      <c r="L338" s="544"/>
      <c r="M338" s="544"/>
      <c r="N338" s="544"/>
      <c r="O338" s="544"/>
      <c r="P338" s="546"/>
      <c r="Q338" s="546"/>
      <c r="R338" s="546"/>
      <c r="S338" s="546"/>
      <c r="T338" s="546"/>
      <c r="U338" s="546"/>
      <c r="V338" s="546"/>
      <c r="W338" s="546"/>
      <c r="X338" s="544"/>
      <c r="Y338" s="544"/>
      <c r="Z338" s="544"/>
      <c r="AA338" s="544"/>
      <c r="AB338" s="547">
        <f t="shared" si="92"/>
        <v>0</v>
      </c>
      <c r="AC338" s="548">
        <f t="shared" si="93"/>
        <v>0</v>
      </c>
      <c r="AD338" s="549">
        <f t="shared" si="98"/>
        <v>0</v>
      </c>
      <c r="AE338" s="550">
        <f t="shared" si="99"/>
        <v>0</v>
      </c>
      <c r="AF338" s="548"/>
      <c r="AG338" s="548"/>
      <c r="AH338" s="549"/>
      <c r="AI338" s="550"/>
      <c r="AJ338" s="551" t="str">
        <f>'F.  Other Cap Asset Entries'!D254</f>
        <v>F.3</v>
      </c>
      <c r="AK338" s="552">
        <f>'F.  Other Cap Asset Entries'!M261</f>
        <v>0</v>
      </c>
      <c r="AL338" s="548"/>
      <c r="AM338" s="566" t="str">
        <f>'J. Other Liability &amp; Expenses'!D203</f>
        <v>J.1</v>
      </c>
      <c r="AN338" s="552">
        <f>'J. Other Liability &amp; Expenses'!N211</f>
        <v>0</v>
      </c>
      <c r="AO338" s="553" t="str">
        <f>'L. Eliminations-Consolidations'!B267</f>
        <v>L.8</v>
      </c>
      <c r="AP338" s="552">
        <f>'L. Eliminations-Consolidations'!J276</f>
        <v>0</v>
      </c>
      <c r="AQ338" s="548"/>
      <c r="AR338" s="551" t="str">
        <f>'L. Eliminations-Consolidations'!B267</f>
        <v>L.8</v>
      </c>
      <c r="AS338" s="554">
        <f>'L. Eliminations-Consolidations'!L276</f>
        <v>0</v>
      </c>
      <c r="AT338" s="525"/>
      <c r="AU338" s="526"/>
      <c r="AV338" s="552">
        <f t="shared" si="122"/>
        <v>0</v>
      </c>
      <c r="AW338" s="552">
        <f t="shared" si="123"/>
        <v>0</v>
      </c>
      <c r="AX338" s="577"/>
      <c r="AY338" s="554"/>
      <c r="AZ338" s="506"/>
      <c r="BA338" s="524"/>
    </row>
    <row r="339" spans="1:61" x14ac:dyDescent="0.2">
      <c r="A339" s="33"/>
      <c r="B339" s="271"/>
      <c r="C339" s="248"/>
      <c r="D339" s="542"/>
      <c r="E339" s="543"/>
      <c r="F339" s="544"/>
      <c r="G339" s="544"/>
      <c r="H339" s="544"/>
      <c r="I339" s="544"/>
      <c r="J339" s="544"/>
      <c r="K339" s="545"/>
      <c r="L339" s="544"/>
      <c r="M339" s="544"/>
      <c r="N339" s="544"/>
      <c r="O339" s="544"/>
      <c r="P339" s="546"/>
      <c r="Q339" s="546"/>
      <c r="R339" s="546"/>
      <c r="S339" s="546"/>
      <c r="T339" s="546"/>
      <c r="U339" s="546"/>
      <c r="V339" s="546"/>
      <c r="W339" s="546"/>
      <c r="X339" s="544"/>
      <c r="Y339" s="544"/>
      <c r="Z339" s="544"/>
      <c r="AA339" s="544"/>
      <c r="AB339" s="547">
        <f t="shared" si="92"/>
        <v>0</v>
      </c>
      <c r="AC339" s="548">
        <f t="shared" si="93"/>
        <v>0</v>
      </c>
      <c r="AD339" s="549">
        <f t="shared" si="98"/>
        <v>0</v>
      </c>
      <c r="AE339" s="550">
        <f t="shared" si="99"/>
        <v>0</v>
      </c>
      <c r="AF339" s="548"/>
      <c r="AG339" s="548"/>
      <c r="AH339" s="549"/>
      <c r="AI339" s="550"/>
      <c r="AJ339" s="551" t="s">
        <v>633</v>
      </c>
      <c r="AK339" s="552">
        <f>'F.  Other Cap Asset Entries'!M283</f>
        <v>0</v>
      </c>
      <c r="AL339" s="548"/>
      <c r="AM339" s="566" t="s">
        <v>2074</v>
      </c>
      <c r="AN339" s="552">
        <f>'N.1 GASB 68 LGERS'!D105</f>
        <v>0</v>
      </c>
      <c r="AO339" s="553"/>
      <c r="AP339" s="552"/>
      <c r="AQ339" s="548"/>
      <c r="AR339" s="551"/>
      <c r="AS339" s="554"/>
      <c r="AT339" s="525"/>
      <c r="AU339" s="526"/>
      <c r="AV339" s="552">
        <f t="shared" si="122"/>
        <v>0</v>
      </c>
      <c r="AW339" s="552">
        <f t="shared" si="123"/>
        <v>0</v>
      </c>
      <c r="AX339" s="577"/>
      <c r="AY339" s="554"/>
      <c r="AZ339" s="506"/>
      <c r="BA339" s="524"/>
    </row>
    <row r="340" spans="1:61" s="706" customFormat="1" x14ac:dyDescent="0.2">
      <c r="A340" s="33"/>
      <c r="B340" s="271"/>
      <c r="C340" s="248"/>
      <c r="D340" s="542"/>
      <c r="E340" s="543"/>
      <c r="F340" s="544"/>
      <c r="G340" s="544"/>
      <c r="H340" s="544"/>
      <c r="I340" s="544"/>
      <c r="J340" s="544"/>
      <c r="K340" s="545"/>
      <c r="L340" s="544"/>
      <c r="M340" s="544"/>
      <c r="N340" s="544"/>
      <c r="O340" s="544"/>
      <c r="P340" s="546"/>
      <c r="Q340" s="546"/>
      <c r="R340" s="546"/>
      <c r="S340" s="546"/>
      <c r="T340" s="546"/>
      <c r="U340" s="546"/>
      <c r="V340" s="546"/>
      <c r="W340" s="546"/>
      <c r="X340" s="544"/>
      <c r="Y340" s="544"/>
      <c r="Z340" s="544"/>
      <c r="AA340" s="544"/>
      <c r="AB340" s="547"/>
      <c r="AC340" s="548"/>
      <c r="AD340" s="549"/>
      <c r="AE340" s="550"/>
      <c r="AF340" s="548"/>
      <c r="AG340" s="548"/>
      <c r="AH340" s="549"/>
      <c r="AI340" s="550"/>
      <c r="AJ340" s="551" t="s">
        <v>2074</v>
      </c>
      <c r="AK340" s="552">
        <f>'N.1 GASB 68 LGERS'!C105</f>
        <v>0</v>
      </c>
      <c r="AL340" s="548"/>
      <c r="AM340" s="566"/>
      <c r="AN340" s="552"/>
      <c r="AO340" s="553"/>
      <c r="AP340" s="552"/>
      <c r="AQ340" s="548"/>
      <c r="AR340" s="551"/>
      <c r="AS340" s="554"/>
      <c r="AT340" s="525"/>
      <c r="AU340" s="526"/>
      <c r="AV340" s="552">
        <f t="shared" si="122"/>
        <v>0</v>
      </c>
      <c r="AW340" s="552">
        <f t="shared" si="123"/>
        <v>0</v>
      </c>
      <c r="AX340" s="577"/>
      <c r="AY340" s="554"/>
      <c r="AZ340" s="506"/>
      <c r="BA340" s="524"/>
      <c r="BB340" s="1045"/>
      <c r="BC340" s="1045"/>
    </row>
    <row r="341" spans="1:61" s="1044" customFormat="1" x14ac:dyDescent="0.2">
      <c r="A341" s="33"/>
      <c r="B341" s="271"/>
      <c r="C341" s="248"/>
      <c r="D341" s="542"/>
      <c r="E341" s="543"/>
      <c r="F341" s="544"/>
      <c r="G341" s="544"/>
      <c r="H341" s="544"/>
      <c r="I341" s="544"/>
      <c r="J341" s="544"/>
      <c r="K341" s="545"/>
      <c r="L341" s="544"/>
      <c r="M341" s="544"/>
      <c r="N341" s="544"/>
      <c r="O341" s="544"/>
      <c r="P341" s="546"/>
      <c r="Q341" s="546"/>
      <c r="R341" s="546"/>
      <c r="S341" s="546"/>
      <c r="T341" s="546"/>
      <c r="U341" s="546"/>
      <c r="V341" s="546"/>
      <c r="W341" s="546"/>
      <c r="X341" s="544"/>
      <c r="Y341" s="544"/>
      <c r="Z341" s="544"/>
      <c r="AA341" s="544"/>
      <c r="AB341" s="547"/>
      <c r="AC341" s="548"/>
      <c r="AD341" s="577"/>
      <c r="AE341" s="554"/>
      <c r="AF341" s="577"/>
      <c r="AG341" s="554"/>
      <c r="AH341" s="549"/>
      <c r="AI341" s="550"/>
      <c r="AJ341" s="551" t="s">
        <v>4030</v>
      </c>
      <c r="AK341" s="552">
        <f>'P.1 GASB 75 OPEB  - 1'!C111+'P.1 GASB 75 OPEB  - 1'!C120+'P.1 GASB 75 OPEB  - 1'!C129</f>
        <v>0</v>
      </c>
      <c r="AL341" s="548"/>
      <c r="AM341" s="551" t="s">
        <v>4030</v>
      </c>
      <c r="AN341" s="554">
        <f>'P.1 GASB 75 OPEB  - 1'!D111+'P.1 GASB 75 OPEB  - 1'!D120+'P.1 GASB 75 OPEB  - 1'!D129</f>
        <v>0</v>
      </c>
      <c r="AO341" s="553"/>
      <c r="AP341" s="552"/>
      <c r="AQ341" s="548"/>
      <c r="AR341" s="551"/>
      <c r="AS341" s="554"/>
      <c r="AT341" s="525"/>
      <c r="AU341" s="526"/>
      <c r="AV341" s="552">
        <f t="shared" si="122"/>
        <v>0</v>
      </c>
      <c r="AW341" s="552">
        <f t="shared" si="123"/>
        <v>0</v>
      </c>
      <c r="AX341" s="577"/>
      <c r="AY341" s="554"/>
      <c r="AZ341" s="506"/>
      <c r="BA341" s="524"/>
      <c r="BB341" s="1045"/>
      <c r="BC341" s="1045"/>
    </row>
    <row r="342" spans="1:61" s="1103" customFormat="1" x14ac:dyDescent="0.2">
      <c r="A342" s="33"/>
      <c r="B342" s="271"/>
      <c r="C342" s="248"/>
      <c r="D342" s="542"/>
      <c r="E342" s="543"/>
      <c r="F342" s="544"/>
      <c r="G342" s="544"/>
      <c r="H342" s="544"/>
      <c r="I342" s="544"/>
      <c r="J342" s="544"/>
      <c r="K342" s="545"/>
      <c r="L342" s="544"/>
      <c r="M342" s="544"/>
      <c r="N342" s="544"/>
      <c r="O342" s="544"/>
      <c r="P342" s="546"/>
      <c r="Q342" s="546"/>
      <c r="R342" s="546"/>
      <c r="S342" s="546"/>
      <c r="T342" s="546"/>
      <c r="U342" s="546"/>
      <c r="V342" s="546"/>
      <c r="W342" s="546"/>
      <c r="X342" s="544"/>
      <c r="Y342" s="544"/>
      <c r="Z342" s="544"/>
      <c r="AA342" s="544"/>
      <c r="AB342" s="547"/>
      <c r="AC342" s="548"/>
      <c r="AD342" s="577"/>
      <c r="AE342" s="554"/>
      <c r="AF342" s="577"/>
      <c r="AG342" s="554"/>
      <c r="AH342" s="549"/>
      <c r="AI342" s="550"/>
      <c r="AJ342" s="551" t="s">
        <v>4031</v>
      </c>
      <c r="AK342" s="552">
        <f>'P.2 GASB 75 OPEB - 2'!C111+'P.2 GASB 75 OPEB - 2'!C120+'P.2 GASB 75 OPEB - 2'!C129</f>
        <v>0</v>
      </c>
      <c r="AL342" s="548"/>
      <c r="AM342" s="551" t="s">
        <v>4031</v>
      </c>
      <c r="AN342" s="554">
        <f>'P.2 GASB 75 OPEB - 2'!D111+'P.2 GASB 75 OPEB - 2'!D120+'P.2 GASB 75 OPEB - 2'!D129</f>
        <v>0</v>
      </c>
      <c r="AO342" s="553"/>
      <c r="AP342" s="552"/>
      <c r="AQ342" s="548"/>
      <c r="AR342" s="551"/>
      <c r="AS342" s="554"/>
      <c r="AT342" s="525"/>
      <c r="AU342" s="526"/>
      <c r="AV342" s="552">
        <f t="shared" ref="AV342:AV343" si="124">ROUND(AD342+AF342+AH342+AK342+AP342+AT342,0)</f>
        <v>0</v>
      </c>
      <c r="AW342" s="552">
        <f t="shared" ref="AW342:AW343" si="125">ROUND(AE342+AG342+AI342+AN342+AS342+AU342,0)</f>
        <v>0</v>
      </c>
      <c r="AX342" s="577"/>
      <c r="AY342" s="554"/>
      <c r="AZ342" s="506"/>
      <c r="BA342" s="524"/>
    </row>
    <row r="343" spans="1:61" s="1103" customFormat="1" x14ac:dyDescent="0.2">
      <c r="A343" s="33"/>
      <c r="B343" s="271"/>
      <c r="C343" s="248"/>
      <c r="D343" s="542"/>
      <c r="E343" s="543"/>
      <c r="F343" s="544"/>
      <c r="G343" s="544"/>
      <c r="H343" s="544"/>
      <c r="I343" s="544"/>
      <c r="J343" s="544"/>
      <c r="K343" s="545"/>
      <c r="L343" s="544"/>
      <c r="M343" s="544"/>
      <c r="N343" s="544"/>
      <c r="O343" s="544"/>
      <c r="P343" s="546"/>
      <c r="Q343" s="546"/>
      <c r="R343" s="546"/>
      <c r="S343" s="546"/>
      <c r="T343" s="546"/>
      <c r="U343" s="546"/>
      <c r="V343" s="546"/>
      <c r="W343" s="546"/>
      <c r="X343" s="544"/>
      <c r="Y343" s="544"/>
      <c r="Z343" s="544"/>
      <c r="AA343" s="544"/>
      <c r="AB343" s="547"/>
      <c r="AC343" s="548"/>
      <c r="AD343" s="577"/>
      <c r="AE343" s="554"/>
      <c r="AF343" s="577"/>
      <c r="AG343" s="554"/>
      <c r="AH343" s="549"/>
      <c r="AI343" s="550"/>
      <c r="AJ343" s="551" t="s">
        <v>4032</v>
      </c>
      <c r="AK343" s="552">
        <f>'P.3 GASB 75 OPEB - 3'!C111+'P.3 GASB 75 OPEB - 3'!C120+'P.3 GASB 75 OPEB - 3'!C129</f>
        <v>0</v>
      </c>
      <c r="AL343" s="548"/>
      <c r="AM343" s="551" t="s">
        <v>4032</v>
      </c>
      <c r="AN343" s="554">
        <f>'P.3 GASB 75 OPEB - 3'!D111+'P.3 GASB 75 OPEB - 3'!D120+'P.3 GASB 75 OPEB - 3'!D129</f>
        <v>0</v>
      </c>
      <c r="AO343" s="553"/>
      <c r="AP343" s="552"/>
      <c r="AQ343" s="548"/>
      <c r="AR343" s="551"/>
      <c r="AS343" s="554"/>
      <c r="AT343" s="525"/>
      <c r="AU343" s="526"/>
      <c r="AV343" s="552">
        <f t="shared" si="124"/>
        <v>0</v>
      </c>
      <c r="AW343" s="552">
        <f t="shared" si="125"/>
        <v>0</v>
      </c>
      <c r="AX343" s="577"/>
      <c r="AY343" s="554"/>
      <c r="AZ343" s="506"/>
      <c r="BA343" s="524"/>
    </row>
    <row r="344" spans="1:61" s="13" customFormat="1" ht="5.25" customHeight="1" x14ac:dyDescent="0.2">
      <c r="A344" s="33"/>
      <c r="B344" s="31"/>
      <c r="C344" s="31"/>
      <c r="D344" s="533"/>
      <c r="E344" s="534"/>
      <c r="F344" s="530"/>
      <c r="G344" s="530"/>
      <c r="H344" s="530"/>
      <c r="I344" s="530"/>
      <c r="J344" s="530"/>
      <c r="K344" s="535"/>
      <c r="L344" s="530"/>
      <c r="M344" s="530"/>
      <c r="N344" s="530"/>
      <c r="O344" s="530"/>
      <c r="P344" s="529"/>
      <c r="Q344" s="529"/>
      <c r="R344" s="529"/>
      <c r="S344" s="529"/>
      <c r="T344" s="529"/>
      <c r="U344" s="529"/>
      <c r="V344" s="529"/>
      <c r="W344" s="529"/>
      <c r="X344" s="530"/>
      <c r="Y344" s="530"/>
      <c r="Z344" s="530"/>
      <c r="AA344" s="530"/>
      <c r="AB344" s="531"/>
      <c r="AC344" s="539"/>
      <c r="AD344" s="536"/>
      <c r="AE344" s="537"/>
      <c r="AF344" s="539"/>
      <c r="AG344" s="539"/>
      <c r="AH344" s="536"/>
      <c r="AI344" s="537"/>
      <c r="AJ344" s="581"/>
      <c r="AK344" s="582"/>
      <c r="AL344" s="539"/>
      <c r="AM344" s="538"/>
      <c r="AN344" s="434"/>
      <c r="AO344" s="541"/>
      <c r="AP344" s="434"/>
      <c r="AQ344" s="539"/>
      <c r="AR344" s="538"/>
      <c r="AS344" s="540"/>
      <c r="AT344" s="529"/>
      <c r="AU344" s="564"/>
      <c r="AV344" s="434"/>
      <c r="AW344" s="434"/>
      <c r="AX344" s="573"/>
      <c r="AY344" s="540"/>
      <c r="AZ344" s="434"/>
      <c r="BA344" s="540"/>
      <c r="BB344" s="1047"/>
      <c r="BC344" s="1047"/>
    </row>
    <row r="345" spans="1:61" x14ac:dyDescent="0.2">
      <c r="A345" s="25"/>
      <c r="B345" s="271" t="s">
        <v>132</v>
      </c>
      <c r="C345" s="248"/>
      <c r="D345" s="542"/>
      <c r="E345" s="543"/>
      <c r="F345" s="544"/>
      <c r="G345" s="544"/>
      <c r="H345" s="544"/>
      <c r="I345" s="544"/>
      <c r="J345" s="544"/>
      <c r="K345" s="545"/>
      <c r="L345" s="544"/>
      <c r="M345" s="544"/>
      <c r="N345" s="544"/>
      <c r="O345" s="544"/>
      <c r="P345" s="546"/>
      <c r="Q345" s="546"/>
      <c r="R345" s="546"/>
      <c r="S345" s="546"/>
      <c r="T345" s="546"/>
      <c r="U345" s="546"/>
      <c r="V345" s="546"/>
      <c r="W345" s="546"/>
      <c r="X345" s="544"/>
      <c r="Y345" s="544"/>
      <c r="Z345" s="544"/>
      <c r="AA345" s="544"/>
      <c r="AB345" s="547">
        <f t="shared" si="92"/>
        <v>0</v>
      </c>
      <c r="AC345" s="548">
        <f t="shared" si="93"/>
        <v>0</v>
      </c>
      <c r="AD345" s="549">
        <f t="shared" si="98"/>
        <v>0</v>
      </c>
      <c r="AE345" s="550">
        <f t="shared" si="99"/>
        <v>0</v>
      </c>
      <c r="AF345" s="548"/>
      <c r="AG345" s="548"/>
      <c r="AH345" s="549"/>
      <c r="AI345" s="550"/>
      <c r="AJ345" s="551"/>
      <c r="AK345" s="552"/>
      <c r="AL345" s="548"/>
      <c r="AM345" s="551" t="str">
        <f>'E. Capital Outlay'!D52</f>
        <v>E.1</v>
      </c>
      <c r="AN345" s="552">
        <f>'E. Capital Outlay'!N68</f>
        <v>0</v>
      </c>
      <c r="AO345" s="553"/>
      <c r="AP345" s="552"/>
      <c r="AQ345" s="548"/>
      <c r="AR345" s="551"/>
      <c r="AS345" s="554"/>
      <c r="AT345" s="525"/>
      <c r="AU345" s="526"/>
      <c r="AV345" s="552">
        <f>ROUND(AD345+AF345+AH345+AK345+AP345+AT345,0)</f>
        <v>0</v>
      </c>
      <c r="AW345" s="552">
        <f>ROUND(AE345+AG345+AI345+AN345+AS345+AU345,0)</f>
        <v>0</v>
      </c>
      <c r="AX345" s="577" t="str">
        <f>IF((SUM(AV345:AV346))-(SUM(AW345:AW346))&lt;=0," ",(SUM(AV345:AV346))-(SUM(AW345:AW346)))</f>
        <v xml:space="preserve"> </v>
      </c>
      <c r="AY345" s="554">
        <f>IF((SUM(AV345:AV346))-(SUM(AW345:AW346))&gt;0," ",-(SUM(AV345:AV346))+(SUM(AW345:AW346)))</f>
        <v>0</v>
      </c>
      <c r="AZ345" s="506"/>
      <c r="BA345" s="524"/>
    </row>
    <row r="346" spans="1:61" x14ac:dyDescent="0.2">
      <c r="A346" s="25"/>
      <c r="B346" s="271"/>
      <c r="C346" s="248"/>
      <c r="D346" s="542"/>
      <c r="E346" s="543"/>
      <c r="F346" s="544"/>
      <c r="G346" s="544"/>
      <c r="H346" s="544"/>
      <c r="I346" s="544"/>
      <c r="J346" s="544"/>
      <c r="K346" s="545"/>
      <c r="L346" s="544"/>
      <c r="M346" s="544"/>
      <c r="N346" s="544"/>
      <c r="O346" s="544"/>
      <c r="P346" s="546"/>
      <c r="Q346" s="546"/>
      <c r="R346" s="546"/>
      <c r="S346" s="546"/>
      <c r="T346" s="546"/>
      <c r="U346" s="546"/>
      <c r="V346" s="546"/>
      <c r="W346" s="546"/>
      <c r="X346" s="544"/>
      <c r="Y346" s="544"/>
      <c r="Z346" s="544"/>
      <c r="AA346" s="544"/>
      <c r="AB346" s="547"/>
      <c r="AC346" s="548"/>
      <c r="AD346" s="549"/>
      <c r="AE346" s="550"/>
      <c r="AF346" s="548"/>
      <c r="AG346" s="548"/>
      <c r="AH346" s="549"/>
      <c r="AI346" s="550"/>
      <c r="AJ346" s="551"/>
      <c r="AK346" s="552"/>
      <c r="AL346" s="548"/>
      <c r="AM346" s="551" t="str">
        <f>'F.  Other Cap Asset Entries'!D254</f>
        <v>F.3</v>
      </c>
      <c r="AN346" s="552">
        <f>'F.  Other Cap Asset Entries'!O262</f>
        <v>0</v>
      </c>
      <c r="AO346" s="553"/>
      <c r="AP346" s="552"/>
      <c r="AQ346" s="548"/>
      <c r="AR346" s="551"/>
      <c r="AS346" s="554"/>
      <c r="AT346" s="525"/>
      <c r="AU346" s="526"/>
      <c r="AV346" s="552">
        <f>ROUND(AD346+AF346+AH346+AK346+AP346+AT346,0)</f>
        <v>0</v>
      </c>
      <c r="AW346" s="552">
        <f>ROUND(AE346+AG346+AI346+AN346+AS346+AU346,0)</f>
        <v>0</v>
      </c>
      <c r="AX346" s="577"/>
      <c r="AY346" s="554"/>
      <c r="AZ346" s="506"/>
      <c r="BA346" s="524"/>
    </row>
    <row r="347" spans="1:61" ht="6.75" customHeight="1" x14ac:dyDescent="0.2">
      <c r="A347" s="25"/>
      <c r="B347" s="163"/>
      <c r="C347" s="14"/>
      <c r="D347" s="527"/>
      <c r="E347" s="528"/>
      <c r="F347" s="530"/>
      <c r="G347" s="530"/>
      <c r="H347" s="530"/>
      <c r="I347" s="530"/>
      <c r="J347" s="530"/>
      <c r="K347" s="535"/>
      <c r="L347" s="530"/>
      <c r="M347" s="530"/>
      <c r="N347" s="530"/>
      <c r="O347" s="530"/>
      <c r="P347" s="529"/>
      <c r="Q347" s="529"/>
      <c r="R347" s="529"/>
      <c r="S347" s="529"/>
      <c r="T347" s="529"/>
      <c r="U347" s="529"/>
      <c r="V347" s="529"/>
      <c r="W347" s="529"/>
      <c r="X347" s="530"/>
      <c r="Y347" s="530"/>
      <c r="Z347" s="530"/>
      <c r="AA347" s="530"/>
      <c r="AB347" s="531"/>
      <c r="AC347" s="539"/>
      <c r="AD347" s="536"/>
      <c r="AE347" s="537"/>
      <c r="AF347" s="539"/>
      <c r="AG347" s="539"/>
      <c r="AH347" s="536"/>
      <c r="AI347" s="537"/>
      <c r="AJ347" s="538"/>
      <c r="AK347" s="434"/>
      <c r="AL347" s="539"/>
      <c r="AM347" s="538"/>
      <c r="AN347" s="434"/>
      <c r="AO347" s="541"/>
      <c r="AP347" s="434"/>
      <c r="AQ347" s="539"/>
      <c r="AR347" s="538"/>
      <c r="AS347" s="540"/>
      <c r="AT347" s="529"/>
      <c r="AU347" s="564"/>
      <c r="AV347" s="434"/>
      <c r="AW347" s="434"/>
      <c r="AX347" s="573"/>
      <c r="AY347" s="540"/>
      <c r="AZ347" s="434"/>
      <c r="BA347" s="540"/>
      <c r="BB347" s="1047"/>
      <c r="BC347" s="1047"/>
      <c r="BD347" s="13"/>
      <c r="BE347" s="13"/>
      <c r="BF347" s="13"/>
      <c r="BG347" s="13"/>
      <c r="BH347" s="13"/>
      <c r="BI347" s="13"/>
    </row>
    <row r="348" spans="1:61" x14ac:dyDescent="0.2">
      <c r="A348" s="25"/>
      <c r="B348" s="163" t="s">
        <v>186</v>
      </c>
      <c r="C348" s="14"/>
      <c r="D348" s="527"/>
      <c r="E348" s="528"/>
      <c r="F348" s="530"/>
      <c r="G348" s="530"/>
      <c r="H348" s="530"/>
      <c r="I348" s="530"/>
      <c r="J348" s="530"/>
      <c r="K348" s="535"/>
      <c r="L348" s="530"/>
      <c r="M348" s="530"/>
      <c r="N348" s="530"/>
      <c r="O348" s="530"/>
      <c r="P348" s="529"/>
      <c r="Q348" s="529"/>
      <c r="R348" s="529"/>
      <c r="S348" s="529"/>
      <c r="T348" s="529"/>
      <c r="U348" s="529"/>
      <c r="V348" s="529"/>
      <c r="W348" s="529"/>
      <c r="X348" s="530"/>
      <c r="Y348" s="530"/>
      <c r="Z348" s="530"/>
      <c r="AA348" s="530"/>
      <c r="AB348" s="531"/>
      <c r="AC348" s="539"/>
      <c r="AD348" s="536"/>
      <c r="AE348" s="537"/>
      <c r="AF348" s="539"/>
      <c r="AG348" s="539"/>
      <c r="AH348" s="536"/>
      <c r="AI348" s="537"/>
      <c r="AJ348" s="538"/>
      <c r="AK348" s="434"/>
      <c r="AL348" s="539"/>
      <c r="AM348" s="538"/>
      <c r="AN348" s="434"/>
      <c r="AO348" s="541"/>
      <c r="AP348" s="434"/>
      <c r="AQ348" s="539"/>
      <c r="AR348" s="538"/>
      <c r="AS348" s="540"/>
      <c r="AT348" s="529"/>
      <c r="AU348" s="564"/>
      <c r="AV348" s="434"/>
      <c r="AW348" s="434"/>
      <c r="AX348" s="573"/>
      <c r="AY348" s="540"/>
      <c r="AZ348" s="434"/>
      <c r="BA348" s="540"/>
      <c r="BB348" s="1047"/>
      <c r="BC348" s="1047"/>
      <c r="BD348" s="13"/>
      <c r="BE348" s="13"/>
      <c r="BF348" s="13"/>
      <c r="BG348" s="13"/>
      <c r="BH348" s="13"/>
      <c r="BI348" s="13"/>
    </row>
    <row r="349" spans="1:61" x14ac:dyDescent="0.2">
      <c r="A349" s="25"/>
      <c r="B349" s="14"/>
      <c r="C349" s="14" t="s">
        <v>187</v>
      </c>
      <c r="D349" s="527"/>
      <c r="E349" s="528"/>
      <c r="F349" s="518"/>
      <c r="G349" s="518"/>
      <c r="H349" s="518"/>
      <c r="I349" s="518"/>
      <c r="J349" s="518"/>
      <c r="K349" s="519"/>
      <c r="L349" s="518"/>
      <c r="M349" s="518"/>
      <c r="N349" s="518"/>
      <c r="O349" s="518"/>
      <c r="P349" s="520"/>
      <c r="Q349" s="520"/>
      <c r="R349" s="520"/>
      <c r="S349" s="520"/>
      <c r="T349" s="520"/>
      <c r="U349" s="520"/>
      <c r="V349" s="520"/>
      <c r="W349" s="520"/>
      <c r="X349" s="518"/>
      <c r="Y349" s="518"/>
      <c r="Z349" s="518"/>
      <c r="AA349" s="518"/>
      <c r="AB349" s="531">
        <f t="shared" si="92"/>
        <v>0</v>
      </c>
      <c r="AC349" s="505">
        <f t="shared" si="93"/>
        <v>0</v>
      </c>
      <c r="AD349" s="508">
        <f t="shared" si="98"/>
        <v>0</v>
      </c>
      <c r="AE349" s="521">
        <f t="shared" si="99"/>
        <v>0</v>
      </c>
      <c r="AF349" s="505"/>
      <c r="AG349" s="505"/>
      <c r="AH349" s="508"/>
      <c r="AI349" s="521"/>
      <c r="AJ349" s="522"/>
      <c r="AK349" s="506"/>
      <c r="AL349" s="505"/>
      <c r="AM349" s="522" t="str">
        <f>'G. Debt Service'!D46</f>
        <v>G.1</v>
      </c>
      <c r="AN349" s="506">
        <f>'G. Debt Service'!N50</f>
        <v>0</v>
      </c>
      <c r="AO349" s="523"/>
      <c r="AP349" s="506"/>
      <c r="AQ349" s="505"/>
      <c r="AR349" s="522"/>
      <c r="AS349" s="524"/>
      <c r="AT349" s="525"/>
      <c r="AU349" s="526"/>
      <c r="AV349" s="467">
        <f>ROUND(AD349+AF349+AH349+AK349+AP349+AT349,0)</f>
        <v>0</v>
      </c>
      <c r="AW349" s="467">
        <f>ROUND(AE349+AG349+AI349+AN349+AS349+AU349,0)</f>
        <v>0</v>
      </c>
      <c r="AX349" s="575" t="str">
        <f>IF(AV349-AW349&lt;=0," ",AV349-AW349)</f>
        <v xml:space="preserve"> </v>
      </c>
      <c r="AY349" s="524">
        <f t="shared" ref="AY349:AY355" si="126">IF(AV349-AW349&gt;0," ",AW349-AV349)</f>
        <v>0</v>
      </c>
      <c r="AZ349" s="506"/>
      <c r="BA349" s="524"/>
    </row>
    <row r="350" spans="1:61" x14ac:dyDescent="0.2">
      <c r="A350" s="25"/>
      <c r="B350" s="14"/>
      <c r="C350" s="14" t="s">
        <v>188</v>
      </c>
      <c r="D350" s="527"/>
      <c r="E350" s="528"/>
      <c r="F350" s="518"/>
      <c r="G350" s="518"/>
      <c r="H350" s="518"/>
      <c r="I350" s="518"/>
      <c r="J350" s="518"/>
      <c r="K350" s="519"/>
      <c r="L350" s="518"/>
      <c r="M350" s="518"/>
      <c r="N350" s="518"/>
      <c r="O350" s="518"/>
      <c r="P350" s="520"/>
      <c r="Q350" s="520"/>
      <c r="R350" s="520"/>
      <c r="S350" s="520"/>
      <c r="T350" s="520"/>
      <c r="U350" s="520"/>
      <c r="V350" s="520"/>
      <c r="W350" s="520"/>
      <c r="X350" s="518"/>
      <c r="Y350" s="518"/>
      <c r="Z350" s="518"/>
      <c r="AA350" s="518"/>
      <c r="AB350" s="531">
        <f t="shared" si="92"/>
        <v>0</v>
      </c>
      <c r="AC350" s="505">
        <f t="shared" si="93"/>
        <v>0</v>
      </c>
      <c r="AD350" s="508">
        <f t="shared" si="98"/>
        <v>0</v>
      </c>
      <c r="AE350" s="521">
        <f t="shared" si="99"/>
        <v>0</v>
      </c>
      <c r="AF350" s="505"/>
      <c r="AG350" s="505"/>
      <c r="AH350" s="508"/>
      <c r="AI350" s="521"/>
      <c r="AJ350" s="522" t="str">
        <f>'H. Debt Issues'!D77</f>
        <v>H.1</v>
      </c>
      <c r="AK350" s="506">
        <f>'H. Debt Issues'!L88</f>
        <v>0</v>
      </c>
      <c r="AL350" s="505"/>
      <c r="AM350" s="522" t="str">
        <f>'G. Debt Service'!D55</f>
        <v>G.3</v>
      </c>
      <c r="AN350" s="506">
        <f>'G. Debt Service'!N56</f>
        <v>0</v>
      </c>
      <c r="AO350" s="583" t="s">
        <v>646</v>
      </c>
      <c r="AP350" s="434">
        <f>'K.1  Int. Service Fd Allocation'!E201+'K.2  Int. Service Fd Alloca'!E196+'K.3 Int. Service Fd Alloca'!E200</f>
        <v>0</v>
      </c>
      <c r="AQ350" s="505"/>
      <c r="AR350" s="522" t="str">
        <f>'L. Eliminations-Consolidations'!A237</f>
        <v>L.7</v>
      </c>
      <c r="AS350" s="524">
        <f>'L. Eliminations-Consolidations'!L246</f>
        <v>0</v>
      </c>
      <c r="AT350" s="525"/>
      <c r="AU350" s="526"/>
      <c r="AV350" s="467">
        <f>ROUND(AD350+AF350+AH350+AK350+AP350+AT350,0)</f>
        <v>0</v>
      </c>
      <c r="AW350" s="467">
        <f>ROUND(AE350+AG350+AI350+AN350+AS350+AU350,0)</f>
        <v>0</v>
      </c>
      <c r="AX350" s="575" t="str">
        <f>IF(AV350-AW350&lt;=0," ",AV350-AW350)</f>
        <v xml:space="preserve"> </v>
      </c>
      <c r="AY350" s="524">
        <f t="shared" si="126"/>
        <v>0</v>
      </c>
      <c r="AZ350" s="506"/>
      <c r="BA350" s="524"/>
    </row>
    <row r="351" spans="1:61" x14ac:dyDescent="0.2">
      <c r="A351" s="25"/>
      <c r="B351" s="14"/>
      <c r="C351" s="14" t="s">
        <v>955</v>
      </c>
      <c r="D351" s="527"/>
      <c r="E351" s="528"/>
      <c r="F351" s="518"/>
      <c r="G351" s="518"/>
      <c r="H351" s="518"/>
      <c r="I351" s="518"/>
      <c r="J351" s="518"/>
      <c r="K351" s="519"/>
      <c r="L351" s="518"/>
      <c r="M351" s="518"/>
      <c r="N351" s="518"/>
      <c r="O351" s="518"/>
      <c r="P351" s="520"/>
      <c r="Q351" s="520"/>
      <c r="R351" s="520"/>
      <c r="S351" s="520"/>
      <c r="T351" s="520"/>
      <c r="U351" s="520"/>
      <c r="V351" s="520"/>
      <c r="W351" s="520"/>
      <c r="X351" s="518"/>
      <c r="Y351" s="518"/>
      <c r="Z351" s="518"/>
      <c r="AA351" s="518"/>
      <c r="AB351" s="531">
        <f t="shared" si="92"/>
        <v>0</v>
      </c>
      <c r="AC351" s="505">
        <f t="shared" si="93"/>
        <v>0</v>
      </c>
      <c r="AD351" s="508">
        <f t="shared" si="98"/>
        <v>0</v>
      </c>
      <c r="AE351" s="521">
        <f t="shared" si="99"/>
        <v>0</v>
      </c>
      <c r="AF351" s="505"/>
      <c r="AG351" s="505"/>
      <c r="AH351" s="508"/>
      <c r="AI351" s="521"/>
      <c r="AJ351" s="522"/>
      <c r="AK351" s="506"/>
      <c r="AL351" s="505"/>
      <c r="AM351" s="522" t="str">
        <f>'H. Debt Issues'!D77</f>
        <v>H.1</v>
      </c>
      <c r="AN351" s="506">
        <f>'H. Debt Issues'!N85</f>
        <v>0</v>
      </c>
      <c r="AO351" s="523"/>
      <c r="AP351" s="506"/>
      <c r="AQ351" s="505"/>
      <c r="AR351" s="522"/>
      <c r="AS351" s="524"/>
      <c r="AT351" s="525"/>
      <c r="AU351" s="526"/>
      <c r="AV351" s="467">
        <f>ROUND(AD351+AF351+AH351+AK351+AP351+AT351,0)</f>
        <v>0</v>
      </c>
      <c r="AW351" s="467">
        <f>ROUND(AE351+AG351+AI351+AN351+AS351+AU351,0)</f>
        <v>0</v>
      </c>
      <c r="AX351" s="575" t="str">
        <f>IF(AV351-AW351&lt;=0," ",AV351-AW351)</f>
        <v xml:space="preserve"> </v>
      </c>
      <c r="AY351" s="524">
        <f t="shared" si="126"/>
        <v>0</v>
      </c>
      <c r="AZ351" s="506"/>
      <c r="BA351" s="524"/>
    </row>
    <row r="352" spans="1:61" x14ac:dyDescent="0.2">
      <c r="A352" s="25"/>
      <c r="B352" s="14"/>
      <c r="C352" s="656" t="s">
        <v>1143</v>
      </c>
      <c r="D352" s="527"/>
      <c r="E352" s="528"/>
      <c r="F352" s="518"/>
      <c r="G352" s="518"/>
      <c r="H352" s="518"/>
      <c r="I352" s="518"/>
      <c r="J352" s="518"/>
      <c r="K352" s="519"/>
      <c r="L352" s="518"/>
      <c r="M352" s="518"/>
      <c r="N352" s="518"/>
      <c r="O352" s="518"/>
      <c r="P352" s="520"/>
      <c r="Q352" s="520"/>
      <c r="R352" s="520"/>
      <c r="S352" s="520"/>
      <c r="T352" s="520"/>
      <c r="U352" s="520"/>
      <c r="V352" s="520"/>
      <c r="W352" s="520"/>
      <c r="X352" s="518"/>
      <c r="Y352" s="518"/>
      <c r="Z352" s="518"/>
      <c r="AA352" s="518"/>
      <c r="AB352" s="531">
        <f>L352+N352+P352+R352+T352+V352+X352+Z352</f>
        <v>0</v>
      </c>
      <c r="AC352" s="505">
        <f>M352+O352+Q352+S352+U352+W352+Y352+AA352</f>
        <v>0</v>
      </c>
      <c r="AD352" s="508">
        <f>D352+F352+H352+J352+AB352</f>
        <v>0</v>
      </c>
      <c r="AE352" s="521">
        <f>E352+G352+I352+K352+AC352</f>
        <v>0</v>
      </c>
      <c r="AF352" s="505"/>
      <c r="AG352" s="505"/>
      <c r="AH352" s="508"/>
      <c r="AI352" s="521"/>
      <c r="AJ352" s="522"/>
      <c r="AK352" s="506"/>
      <c r="AL352" s="505"/>
      <c r="AM352" s="522" t="s">
        <v>477</v>
      </c>
      <c r="AN352" s="506">
        <f>'H. Debt Issues'!N86</f>
        <v>0</v>
      </c>
      <c r="AO352" s="523"/>
      <c r="AP352" s="506"/>
      <c r="AQ352" s="505"/>
      <c r="AR352" s="522"/>
      <c r="AS352" s="524"/>
      <c r="AT352" s="525"/>
      <c r="AU352" s="526"/>
      <c r="AV352" s="467">
        <f>ROUND(AD352+AF352+AH352+AK352+AP352+AT352,0)</f>
        <v>0</v>
      </c>
      <c r="AW352" s="467">
        <f>ROUND(AE352+AG352+AI352+AN352+AS352+AU352,0)</f>
        <v>0</v>
      </c>
      <c r="AX352" s="575" t="str">
        <f>IF(AV352-AW352&lt;=0," ",AV352-AW352)</f>
        <v xml:space="preserve"> </v>
      </c>
      <c r="AY352" s="524">
        <f>IF(AV352-AW352&gt;0," ",AW352-AV352)</f>
        <v>0</v>
      </c>
      <c r="AZ352" s="506"/>
      <c r="BA352" s="524"/>
    </row>
    <row r="353" spans="1:58" x14ac:dyDescent="0.2">
      <c r="A353" s="25"/>
      <c r="B353" s="14"/>
      <c r="C353" s="14" t="s">
        <v>956</v>
      </c>
      <c r="D353" s="527"/>
      <c r="E353" s="528"/>
      <c r="F353" s="518"/>
      <c r="G353" s="518"/>
      <c r="H353" s="518"/>
      <c r="I353" s="518"/>
      <c r="J353" s="518"/>
      <c r="K353" s="519"/>
      <c r="L353" s="518"/>
      <c r="M353" s="518"/>
      <c r="N353" s="518"/>
      <c r="O353" s="518"/>
      <c r="P353" s="520"/>
      <c r="Q353" s="520"/>
      <c r="R353" s="520"/>
      <c r="S353" s="520"/>
      <c r="T353" s="520"/>
      <c r="U353" s="520"/>
      <c r="V353" s="520"/>
      <c r="W353" s="520"/>
      <c r="X353" s="518"/>
      <c r="Y353" s="518"/>
      <c r="Z353" s="518"/>
      <c r="AA353" s="518"/>
      <c r="AB353" s="531">
        <f t="shared" si="92"/>
        <v>0</v>
      </c>
      <c r="AC353" s="505">
        <f t="shared" si="93"/>
        <v>0</v>
      </c>
      <c r="AD353" s="508">
        <f t="shared" si="98"/>
        <v>0</v>
      </c>
      <c r="AE353" s="521">
        <f t="shared" si="99"/>
        <v>0</v>
      </c>
      <c r="AF353" s="505"/>
      <c r="AG353" s="505"/>
      <c r="AH353" s="508"/>
      <c r="AI353" s="521"/>
      <c r="AJ353" s="522"/>
      <c r="AK353" s="506"/>
      <c r="AL353" s="505"/>
      <c r="AM353" s="522" t="str">
        <f>'H. Debt Issues'!D77</f>
        <v>H.1</v>
      </c>
      <c r="AN353" s="506">
        <f>'H. Debt Issues'!N87</f>
        <v>0</v>
      </c>
      <c r="AO353" s="523"/>
      <c r="AP353" s="506"/>
      <c r="AQ353" s="505"/>
      <c r="AR353" s="522"/>
      <c r="AS353" s="524"/>
      <c r="AT353" s="525"/>
      <c r="AU353" s="526"/>
      <c r="AV353" s="467">
        <f>ROUND(AD353+AF353+AH353+AK353+AP353+AT353,0)</f>
        <v>0</v>
      </c>
      <c r="AW353" s="467">
        <f>ROUND(AE353+AG353+AI353+AN353+AS353+AU353,0)</f>
        <v>0</v>
      </c>
      <c r="AX353" s="575" t="str">
        <f>IF(AV353-AW353&lt;=0," ",AV353-AW353)</f>
        <v xml:space="preserve"> </v>
      </c>
      <c r="AY353" s="524">
        <f t="shared" si="126"/>
        <v>0</v>
      </c>
      <c r="AZ353" s="506"/>
      <c r="BA353" s="524"/>
    </row>
    <row r="354" spans="1:58" ht="6.75" customHeight="1" x14ac:dyDescent="0.2">
      <c r="A354" s="25"/>
      <c r="B354" s="14"/>
      <c r="C354" s="14"/>
      <c r="D354" s="527"/>
      <c r="E354" s="528"/>
      <c r="F354" s="518"/>
      <c r="G354" s="518"/>
      <c r="H354" s="518"/>
      <c r="I354" s="518"/>
      <c r="J354" s="518"/>
      <c r="K354" s="519"/>
      <c r="L354" s="518"/>
      <c r="M354" s="518"/>
      <c r="N354" s="518"/>
      <c r="O354" s="518"/>
      <c r="P354" s="520"/>
      <c r="Q354" s="520"/>
      <c r="R354" s="520"/>
      <c r="S354" s="520"/>
      <c r="T354" s="520"/>
      <c r="U354" s="520"/>
      <c r="V354" s="520"/>
      <c r="W354" s="520"/>
      <c r="X354" s="518"/>
      <c r="Y354" s="518"/>
      <c r="Z354" s="518"/>
      <c r="AA354" s="518"/>
      <c r="AB354" s="531"/>
      <c r="AC354" s="539"/>
      <c r="AD354" s="536"/>
      <c r="AE354" s="537"/>
      <c r="AF354" s="539"/>
      <c r="AG354" s="539"/>
      <c r="AH354" s="536"/>
      <c r="AI354" s="537"/>
      <c r="AJ354" s="538"/>
      <c r="AK354" s="434"/>
      <c r="AL354" s="539"/>
      <c r="AM354" s="538"/>
      <c r="AN354" s="434"/>
      <c r="AO354" s="541"/>
      <c r="AP354" s="434"/>
      <c r="AQ354" s="539"/>
      <c r="AR354" s="538"/>
      <c r="AS354" s="540"/>
      <c r="AT354" s="529"/>
      <c r="AU354" s="564"/>
      <c r="AV354" s="434"/>
      <c r="AW354" s="434"/>
      <c r="AX354" s="573"/>
      <c r="AY354" s="540"/>
      <c r="AZ354" s="434"/>
      <c r="BA354" s="540"/>
      <c r="BB354" s="1047"/>
      <c r="BC354" s="1047"/>
      <c r="BD354" s="13"/>
      <c r="BE354" s="13"/>
      <c r="BF354" s="13"/>
    </row>
    <row r="355" spans="1:58" x14ac:dyDescent="0.2">
      <c r="A355" s="25"/>
      <c r="B355" s="163" t="s">
        <v>1029</v>
      </c>
      <c r="C355" s="14"/>
      <c r="D355" s="527"/>
      <c r="E355" s="528"/>
      <c r="F355" s="518"/>
      <c r="G355" s="518"/>
      <c r="H355" s="518"/>
      <c r="I355" s="518"/>
      <c r="J355" s="518"/>
      <c r="K355" s="519"/>
      <c r="L355" s="518"/>
      <c r="M355" s="518"/>
      <c r="N355" s="518"/>
      <c r="O355" s="518"/>
      <c r="P355" s="520"/>
      <c r="Q355" s="520"/>
      <c r="R355" s="520"/>
      <c r="S355" s="520"/>
      <c r="T355" s="520"/>
      <c r="U355" s="520"/>
      <c r="V355" s="520"/>
      <c r="W355" s="520"/>
      <c r="X355" s="518"/>
      <c r="Y355" s="518"/>
      <c r="Z355" s="518"/>
      <c r="AA355" s="518"/>
      <c r="AB355" s="531">
        <f t="shared" si="92"/>
        <v>0</v>
      </c>
      <c r="AC355" s="505">
        <f t="shared" si="93"/>
        <v>0</v>
      </c>
      <c r="AD355" s="508">
        <f t="shared" si="98"/>
        <v>0</v>
      </c>
      <c r="AE355" s="521">
        <f t="shared" si="99"/>
        <v>0</v>
      </c>
      <c r="AF355" s="505"/>
      <c r="AG355" s="505"/>
      <c r="AH355" s="508"/>
      <c r="AI355" s="521"/>
      <c r="AJ355" s="522" t="str">
        <f>'D. Depreciation'!A54</f>
        <v>D.1</v>
      </c>
      <c r="AK355" s="506">
        <f>'D. Depreciation'!J63</f>
        <v>0</v>
      </c>
      <c r="AL355" s="505"/>
      <c r="AM355" s="522"/>
      <c r="AN355" s="506"/>
      <c r="AO355" s="523"/>
      <c r="AP355" s="506"/>
      <c r="AQ355" s="505"/>
      <c r="AR355" s="522"/>
      <c r="AS355" s="524"/>
      <c r="AT355" s="525"/>
      <c r="AU355" s="526"/>
      <c r="AV355" s="467">
        <f>ROUND(AD355+AF355+AH355+AK355+AP355+AT355,0)</f>
        <v>0</v>
      </c>
      <c r="AW355" s="467">
        <f>ROUND(AE355+AG355+AI355+AN355+AS355+AU355,0)</f>
        <v>0</v>
      </c>
      <c r="AX355" s="575" t="str">
        <f>IF(AV355-AW355&lt;=0," ",AV355-AW355)</f>
        <v xml:space="preserve"> </v>
      </c>
      <c r="AY355" s="524">
        <f t="shared" si="126"/>
        <v>0</v>
      </c>
      <c r="AZ355" s="506"/>
      <c r="BA355" s="524"/>
    </row>
    <row r="356" spans="1:58" ht="6" customHeight="1" x14ac:dyDescent="0.2">
      <c r="A356" s="25"/>
      <c r="B356" s="163"/>
      <c r="C356" s="14"/>
      <c r="D356" s="527"/>
      <c r="E356" s="528"/>
      <c r="F356" s="518"/>
      <c r="G356" s="518"/>
      <c r="H356" s="518"/>
      <c r="I356" s="518"/>
      <c r="J356" s="518"/>
      <c r="K356" s="519"/>
      <c r="L356" s="518"/>
      <c r="M356" s="518"/>
      <c r="N356" s="518"/>
      <c r="O356" s="518"/>
      <c r="P356" s="520"/>
      <c r="Q356" s="520"/>
      <c r="R356" s="520"/>
      <c r="S356" s="520"/>
      <c r="T356" s="520"/>
      <c r="U356" s="520"/>
      <c r="V356" s="520"/>
      <c r="W356" s="520"/>
      <c r="X356" s="518"/>
      <c r="Y356" s="518"/>
      <c r="Z356" s="518"/>
      <c r="AA356" s="518"/>
      <c r="AB356" s="531"/>
      <c r="AC356" s="539"/>
      <c r="AD356" s="536"/>
      <c r="AE356" s="537"/>
      <c r="AF356" s="539"/>
      <c r="AG356" s="539"/>
      <c r="AH356" s="536"/>
      <c r="AI356" s="537"/>
      <c r="AJ356" s="581"/>
      <c r="AK356" s="582"/>
      <c r="AL356" s="539"/>
      <c r="AM356" s="538"/>
      <c r="AN356" s="434"/>
      <c r="AO356" s="541"/>
      <c r="AP356" s="434"/>
      <c r="AQ356" s="539"/>
      <c r="AR356" s="538"/>
      <c r="AS356" s="540"/>
      <c r="AT356" s="529"/>
      <c r="AU356" s="564"/>
      <c r="AV356" s="434"/>
      <c r="AW356" s="434"/>
      <c r="AX356" s="573"/>
      <c r="AY356" s="540"/>
      <c r="AZ356" s="434"/>
      <c r="BA356" s="524"/>
    </row>
    <row r="357" spans="1:58" ht="18" customHeight="1" x14ac:dyDescent="0.2">
      <c r="A357" s="1457" t="s">
        <v>737</v>
      </c>
      <c r="B357" s="1457"/>
      <c r="C357" s="1458"/>
      <c r="D357" s="527"/>
      <c r="E357" s="528"/>
      <c r="F357" s="518"/>
      <c r="G357" s="518"/>
      <c r="H357" s="518"/>
      <c r="I357" s="518"/>
      <c r="J357" s="518"/>
      <c r="K357" s="519"/>
      <c r="L357" s="518"/>
      <c r="M357" s="518"/>
      <c r="N357" s="518"/>
      <c r="O357" s="518"/>
      <c r="P357" s="520"/>
      <c r="Q357" s="520"/>
      <c r="R357" s="520"/>
      <c r="S357" s="520"/>
      <c r="T357" s="520"/>
      <c r="U357" s="520"/>
      <c r="V357" s="520"/>
      <c r="W357" s="520"/>
      <c r="X357" s="518"/>
      <c r="Y357" s="518"/>
      <c r="Z357" s="518"/>
      <c r="AA357" s="518"/>
      <c r="AB357" s="531"/>
      <c r="AC357" s="539"/>
      <c r="AD357" s="536"/>
      <c r="AE357" s="537"/>
      <c r="AF357" s="539"/>
      <c r="AG357" s="539"/>
      <c r="AH357" s="536"/>
      <c r="AI357" s="537"/>
      <c r="AJ357" s="538"/>
      <c r="AK357" s="434"/>
      <c r="AL357" s="539"/>
      <c r="AM357" s="538"/>
      <c r="AN357" s="434"/>
      <c r="AO357" s="541"/>
      <c r="AP357" s="434"/>
      <c r="AQ357" s="539"/>
      <c r="AR357" s="538"/>
      <c r="AS357" s="540"/>
      <c r="AT357" s="529"/>
      <c r="AU357" s="564"/>
      <c r="AV357" s="434"/>
      <c r="AW357" s="434"/>
      <c r="AX357" s="573"/>
      <c r="AY357" s="540"/>
      <c r="AZ357" s="434"/>
      <c r="BA357" s="524"/>
    </row>
    <row r="358" spans="1:58" ht="6" customHeight="1" x14ac:dyDescent="0.2">
      <c r="A358" s="25"/>
      <c r="B358" s="163"/>
      <c r="C358" s="14"/>
      <c r="D358" s="527"/>
      <c r="E358" s="528"/>
      <c r="F358" s="518"/>
      <c r="G358" s="518"/>
      <c r="H358" s="518"/>
      <c r="I358" s="518"/>
      <c r="J358" s="518"/>
      <c r="K358" s="519"/>
      <c r="L358" s="518"/>
      <c r="M358" s="518"/>
      <c r="N358" s="518"/>
      <c r="O358" s="518"/>
      <c r="P358" s="520"/>
      <c r="Q358" s="520"/>
      <c r="R358" s="520"/>
      <c r="S358" s="520"/>
      <c r="T358" s="520"/>
      <c r="U358" s="520"/>
      <c r="V358" s="520"/>
      <c r="W358" s="520"/>
      <c r="X358" s="518"/>
      <c r="Y358" s="518"/>
      <c r="Z358" s="518"/>
      <c r="AA358" s="518"/>
      <c r="AB358" s="531"/>
      <c r="AC358" s="539"/>
      <c r="AD358" s="536"/>
      <c r="AE358" s="537"/>
      <c r="AF358" s="539"/>
      <c r="AG358" s="539"/>
      <c r="AH358" s="536"/>
      <c r="AI358" s="537"/>
      <c r="AJ358" s="538"/>
      <c r="AK358" s="434"/>
      <c r="AL358" s="539"/>
      <c r="AM358" s="538"/>
      <c r="AN358" s="434"/>
      <c r="AO358" s="541"/>
      <c r="AP358" s="434"/>
      <c r="AQ358" s="539"/>
      <c r="AR358" s="538"/>
      <c r="AS358" s="540"/>
      <c r="AT358" s="529"/>
      <c r="AU358" s="564"/>
      <c r="AV358" s="434"/>
      <c r="AW358" s="434"/>
      <c r="AX358" s="573"/>
      <c r="AY358" s="540"/>
      <c r="AZ358" s="434"/>
      <c r="BA358" s="524"/>
    </row>
    <row r="359" spans="1:58" x14ac:dyDescent="0.2">
      <c r="A359" s="1111"/>
      <c r="B359" s="1112"/>
      <c r="C359" s="1112" t="s">
        <v>597</v>
      </c>
      <c r="D359" s="1113"/>
      <c r="E359" s="1114"/>
      <c r="F359" s="1115"/>
      <c r="G359" s="1115"/>
      <c r="H359" s="1115"/>
      <c r="I359" s="1115"/>
      <c r="J359" s="1115"/>
      <c r="K359" s="1116"/>
      <c r="L359" s="1115"/>
      <c r="M359" s="1115"/>
      <c r="N359" s="1115"/>
      <c r="O359" s="1115"/>
      <c r="P359" s="1117"/>
      <c r="Q359" s="1117"/>
      <c r="R359" s="1117"/>
      <c r="S359" s="1117"/>
      <c r="T359" s="1117"/>
      <c r="U359" s="1117"/>
      <c r="V359" s="1117"/>
      <c r="W359" s="1117"/>
      <c r="X359" s="1115"/>
      <c r="Y359" s="1115"/>
      <c r="Z359" s="1115"/>
      <c r="AA359" s="1115"/>
      <c r="AB359" s="1118">
        <f t="shared" si="92"/>
        <v>0</v>
      </c>
      <c r="AC359" s="1119">
        <f t="shared" si="93"/>
        <v>0</v>
      </c>
      <c r="AD359" s="1120">
        <f t="shared" si="98"/>
        <v>0</v>
      </c>
      <c r="AE359" s="1121">
        <f t="shared" si="99"/>
        <v>0</v>
      </c>
      <c r="AF359" s="1119"/>
      <c r="AG359" s="1119"/>
      <c r="AH359" s="1120"/>
      <c r="AI359" s="1121"/>
      <c r="AJ359" s="894"/>
      <c r="AK359" s="1109"/>
      <c r="AL359" s="1119"/>
      <c r="AM359" s="894" t="str">
        <f>'F.  Other Cap Asset Entries'!D242</f>
        <v>F.2</v>
      </c>
      <c r="AN359" s="1109">
        <f>'F.  Other Cap Asset Entries'!O252</f>
        <v>0</v>
      </c>
      <c r="AO359" s="1122" t="str">
        <f>'L. Eliminations-Consolidations'!A196</f>
        <v>L.1</v>
      </c>
      <c r="AP359" s="1109">
        <f>'L. Eliminations-Consolidations'!J196</f>
        <v>0</v>
      </c>
      <c r="AQ359" s="1119"/>
      <c r="AR359" s="1123" t="s">
        <v>646</v>
      </c>
      <c r="AS359" s="1109">
        <f>'K.1  Int. Service Fd Allocation'!G202+'K.2  Int. Service Fd Alloca'!G197+'K.3 Int. Service Fd Alloca'!G201</f>
        <v>0</v>
      </c>
      <c r="AT359" s="1124"/>
      <c r="AU359" s="1125"/>
      <c r="AV359" s="1109">
        <f t="shared" ref="AV359:AV370" si="127">ROUND(AD359+AF359+AH359+AK359+AP359+AT359,0)</f>
        <v>0</v>
      </c>
      <c r="AW359" s="1109">
        <f t="shared" ref="AW359:AW370" si="128">ROUND(AE359+AG359+AI359+AN359+AS359+AU359,0)</f>
        <v>0</v>
      </c>
      <c r="AX359" s="1126" t="str">
        <f>IF((SUM(AV359:AV360))-(SUM(AW359:AW360))&lt;=0," ",(SUM(AV359:AV360))-(SUM(AW359:AW360)))</f>
        <v xml:space="preserve"> </v>
      </c>
      <c r="AY359" s="1110">
        <f>IF((SUM(AV359:AV360))-(SUM(AW359:AW360))&gt;0," ",-(SUM(AV359:AV360))+(SUM(AW359:AW360)))</f>
        <v>0</v>
      </c>
      <c r="AZ359" s="506"/>
      <c r="BA359" s="524"/>
    </row>
    <row r="360" spans="1:58" x14ac:dyDescent="0.2">
      <c r="A360" s="1111"/>
      <c r="B360" s="1112"/>
      <c r="C360" s="1112" t="s">
        <v>411</v>
      </c>
      <c r="D360" s="1127"/>
      <c r="E360" s="1114"/>
      <c r="F360" s="1115"/>
      <c r="G360" s="1115"/>
      <c r="H360" s="1115"/>
      <c r="I360" s="1115"/>
      <c r="J360" s="1115"/>
      <c r="K360" s="1116"/>
      <c r="L360" s="1115"/>
      <c r="M360" s="1115"/>
      <c r="N360" s="1115"/>
      <c r="O360" s="1115"/>
      <c r="P360" s="1117"/>
      <c r="Q360" s="1117"/>
      <c r="R360" s="1117"/>
      <c r="S360" s="1117"/>
      <c r="T360" s="1117"/>
      <c r="U360" s="1117"/>
      <c r="V360" s="1117"/>
      <c r="W360" s="1117"/>
      <c r="X360" s="1115"/>
      <c r="Y360" s="1115"/>
      <c r="Z360" s="1115"/>
      <c r="AA360" s="1115"/>
      <c r="AB360" s="1118">
        <f t="shared" si="92"/>
        <v>0</v>
      </c>
      <c r="AC360" s="1119">
        <f t="shared" si="93"/>
        <v>0</v>
      </c>
      <c r="AD360" s="1120">
        <f t="shared" si="98"/>
        <v>0</v>
      </c>
      <c r="AE360" s="1121">
        <f t="shared" si="99"/>
        <v>0</v>
      </c>
      <c r="AF360" s="1119"/>
      <c r="AG360" s="1119"/>
      <c r="AH360" s="1120"/>
      <c r="AI360" s="1121"/>
      <c r="AJ360" s="894" t="str">
        <f>'F.  Other Cap Asset Entries'!D220</f>
        <v>F.1</v>
      </c>
      <c r="AK360" s="1109">
        <f>'F.  Other Cap Asset Entries'!M230</f>
        <v>0</v>
      </c>
      <c r="AL360" s="1119"/>
      <c r="AM360" s="894"/>
      <c r="AN360" s="1109"/>
      <c r="AO360" s="1128" t="s">
        <v>646</v>
      </c>
      <c r="AP360" s="1109">
        <f>'K.1  Int. Service Fd Allocation'!E203+'K.2  Int. Service Fd Alloca'!E198+'K.3 Int. Service Fd Alloca'!E202</f>
        <v>0</v>
      </c>
      <c r="AQ360" s="1119"/>
      <c r="AR360" s="894" t="str">
        <f>'L. Eliminations-Consolidations'!A196</f>
        <v>L.1</v>
      </c>
      <c r="AS360" s="1110">
        <f>'L. Eliminations-Consolidations'!L197</f>
        <v>0</v>
      </c>
      <c r="AT360" s="1117"/>
      <c r="AU360" s="1125"/>
      <c r="AV360" s="1109">
        <f t="shared" si="127"/>
        <v>0</v>
      </c>
      <c r="AW360" s="1109">
        <f t="shared" si="128"/>
        <v>0</v>
      </c>
      <c r="AX360" s="1126"/>
      <c r="AY360" s="1110"/>
      <c r="AZ360" s="506"/>
      <c r="BA360" s="524"/>
    </row>
    <row r="361" spans="1:58" x14ac:dyDescent="0.2">
      <c r="A361" s="25"/>
      <c r="B361" s="267"/>
      <c r="C361" s="31" t="s">
        <v>382</v>
      </c>
      <c r="D361" s="527"/>
      <c r="E361" s="528"/>
      <c r="F361" s="518"/>
      <c r="G361" s="518"/>
      <c r="H361" s="518"/>
      <c r="I361" s="518"/>
      <c r="J361" s="518"/>
      <c r="K361" s="519"/>
      <c r="L361" s="518"/>
      <c r="M361" s="518"/>
      <c r="N361" s="518"/>
      <c r="O361" s="518"/>
      <c r="P361" s="520"/>
      <c r="Q361" s="520"/>
      <c r="R361" s="520"/>
      <c r="S361" s="520"/>
      <c r="T361" s="520"/>
      <c r="U361" s="520"/>
      <c r="V361" s="520"/>
      <c r="W361" s="520"/>
      <c r="X361" s="518"/>
      <c r="Y361" s="518"/>
      <c r="Z361" s="518"/>
      <c r="AA361" s="518"/>
      <c r="AB361" s="531">
        <f t="shared" si="92"/>
        <v>0</v>
      </c>
      <c r="AC361" s="505">
        <f t="shared" si="93"/>
        <v>0</v>
      </c>
      <c r="AD361" s="508">
        <f t="shared" si="98"/>
        <v>0</v>
      </c>
      <c r="AE361" s="521">
        <f t="shared" si="99"/>
        <v>0</v>
      </c>
      <c r="AF361" s="505"/>
      <c r="AG361" s="505"/>
      <c r="AH361" s="508"/>
      <c r="AI361" s="521"/>
      <c r="AJ361" s="522" t="str">
        <f>'H. Debt Issues'!D77</f>
        <v>H.1</v>
      </c>
      <c r="AK361" s="506">
        <f>'H. Debt Issues'!L77</f>
        <v>0</v>
      </c>
      <c r="AL361" s="505"/>
      <c r="AM361" s="522"/>
      <c r="AN361" s="506"/>
      <c r="AO361" s="523"/>
      <c r="AP361" s="506"/>
      <c r="AQ361" s="505"/>
      <c r="AR361" s="522"/>
      <c r="AS361" s="524"/>
      <c r="AT361" s="525"/>
      <c r="AU361" s="526"/>
      <c r="AV361" s="467">
        <f t="shared" si="127"/>
        <v>0</v>
      </c>
      <c r="AW361" s="467">
        <f t="shared" si="128"/>
        <v>0</v>
      </c>
      <c r="AX361" s="575" t="str">
        <f t="shared" ref="AX361:AX370" si="129">IF(AV361-AW361&lt;=0," ",AV361-AW361)</f>
        <v xml:space="preserve"> </v>
      </c>
      <c r="AY361" s="524">
        <f t="shared" ref="AY361:AY374" si="130">IF(AV361-AW361&gt;0," ",AW361-AV361)</f>
        <v>0</v>
      </c>
      <c r="AZ361" s="506"/>
      <c r="BA361" s="524"/>
    </row>
    <row r="362" spans="1:58" x14ac:dyDescent="0.2">
      <c r="A362" s="25"/>
      <c r="B362" s="14"/>
      <c r="C362" s="405" t="s">
        <v>598</v>
      </c>
      <c r="D362" s="527"/>
      <c r="E362" s="528"/>
      <c r="F362" s="518"/>
      <c r="G362" s="518"/>
      <c r="H362" s="518"/>
      <c r="I362" s="518"/>
      <c r="J362" s="518"/>
      <c r="K362" s="519"/>
      <c r="L362" s="518"/>
      <c r="M362" s="518"/>
      <c r="N362" s="518"/>
      <c r="O362" s="518"/>
      <c r="P362" s="520"/>
      <c r="Q362" s="520"/>
      <c r="R362" s="520"/>
      <c r="S362" s="520"/>
      <c r="T362" s="520"/>
      <c r="U362" s="520"/>
      <c r="V362" s="520"/>
      <c r="W362" s="520"/>
      <c r="X362" s="518"/>
      <c r="Y362" s="518"/>
      <c r="Z362" s="518"/>
      <c r="AA362" s="518"/>
      <c r="AB362" s="531">
        <f t="shared" si="92"/>
        <v>0</v>
      </c>
      <c r="AC362" s="505">
        <f t="shared" si="93"/>
        <v>0</v>
      </c>
      <c r="AD362" s="508">
        <f t="shared" si="98"/>
        <v>0</v>
      </c>
      <c r="AE362" s="521">
        <f t="shared" si="99"/>
        <v>0</v>
      </c>
      <c r="AF362" s="505"/>
      <c r="AG362" s="505"/>
      <c r="AH362" s="508"/>
      <c r="AI362" s="521"/>
      <c r="AJ362" s="522" t="str">
        <f>'H. Debt Issues'!D77</f>
        <v>H.1</v>
      </c>
      <c r="AK362" s="506">
        <f>'H. Debt Issues'!L78</f>
        <v>0</v>
      </c>
      <c r="AL362" s="505"/>
      <c r="AM362" s="522"/>
      <c r="AN362" s="506"/>
      <c r="AO362" s="523"/>
      <c r="AP362" s="506"/>
      <c r="AQ362" s="505"/>
      <c r="AR362" s="522"/>
      <c r="AS362" s="524"/>
      <c r="AT362" s="525"/>
      <c r="AU362" s="526"/>
      <c r="AV362" s="467">
        <f t="shared" si="127"/>
        <v>0</v>
      </c>
      <c r="AW362" s="467">
        <f t="shared" si="128"/>
        <v>0</v>
      </c>
      <c r="AX362" s="575" t="str">
        <f t="shared" si="129"/>
        <v xml:space="preserve"> </v>
      </c>
      <c r="AY362" s="524">
        <f>IF(AV362-AW362&gt;0," ",AW362-AV362)</f>
        <v>0</v>
      </c>
      <c r="AZ362" s="506"/>
      <c r="BA362" s="524"/>
    </row>
    <row r="363" spans="1:58" x14ac:dyDescent="0.2">
      <c r="A363" s="25"/>
      <c r="B363" s="14"/>
      <c r="C363" s="14" t="s">
        <v>1039</v>
      </c>
      <c r="D363" s="527"/>
      <c r="E363" s="528"/>
      <c r="F363" s="518"/>
      <c r="G363" s="518"/>
      <c r="H363" s="518"/>
      <c r="I363" s="518"/>
      <c r="J363" s="518"/>
      <c r="K363" s="519"/>
      <c r="L363" s="518"/>
      <c r="M363" s="518"/>
      <c r="N363" s="518"/>
      <c r="O363" s="518"/>
      <c r="P363" s="520"/>
      <c r="Q363" s="520"/>
      <c r="R363" s="520"/>
      <c r="S363" s="520"/>
      <c r="T363" s="520"/>
      <c r="U363" s="520"/>
      <c r="V363" s="520"/>
      <c r="W363" s="520"/>
      <c r="X363" s="518"/>
      <c r="Y363" s="518"/>
      <c r="Z363" s="518"/>
      <c r="AA363" s="518"/>
      <c r="AB363" s="531">
        <f t="shared" si="92"/>
        <v>0</v>
      </c>
      <c r="AC363" s="505">
        <f t="shared" si="93"/>
        <v>0</v>
      </c>
      <c r="AD363" s="508">
        <f t="shared" si="98"/>
        <v>0</v>
      </c>
      <c r="AE363" s="521">
        <f t="shared" si="99"/>
        <v>0</v>
      </c>
      <c r="AF363" s="505"/>
      <c r="AG363" s="505"/>
      <c r="AH363" s="508"/>
      <c r="AI363" s="521"/>
      <c r="AJ363" s="522" t="str">
        <f>'H. Debt Issues'!D77</f>
        <v>H.1</v>
      </c>
      <c r="AK363" s="506">
        <f>'H. Debt Issues'!L79</f>
        <v>0</v>
      </c>
      <c r="AL363" s="505"/>
      <c r="AM363" s="522"/>
      <c r="AN363" s="506"/>
      <c r="AO363" s="523"/>
      <c r="AP363" s="506"/>
      <c r="AQ363" s="505"/>
      <c r="AR363" s="522"/>
      <c r="AS363" s="524"/>
      <c r="AT363" s="525"/>
      <c r="AU363" s="526"/>
      <c r="AV363" s="467">
        <f t="shared" si="127"/>
        <v>0</v>
      </c>
      <c r="AW363" s="467">
        <f t="shared" si="128"/>
        <v>0</v>
      </c>
      <c r="AX363" s="575" t="str">
        <f t="shared" si="129"/>
        <v xml:space="preserve"> </v>
      </c>
      <c r="AY363" s="524">
        <f t="shared" si="130"/>
        <v>0</v>
      </c>
      <c r="AZ363" s="506"/>
      <c r="BA363" s="524"/>
    </row>
    <row r="364" spans="1:58" x14ac:dyDescent="0.2">
      <c r="A364" s="25"/>
      <c r="B364" s="14"/>
      <c r="C364" s="14" t="s">
        <v>1040</v>
      </c>
      <c r="D364" s="527"/>
      <c r="E364" s="528"/>
      <c r="F364" s="518"/>
      <c r="G364" s="518"/>
      <c r="H364" s="518"/>
      <c r="I364" s="518"/>
      <c r="J364" s="518"/>
      <c r="K364" s="519"/>
      <c r="L364" s="518"/>
      <c r="M364" s="518"/>
      <c r="N364" s="518"/>
      <c r="O364" s="518"/>
      <c r="P364" s="520"/>
      <c r="Q364" s="520"/>
      <c r="R364" s="520"/>
      <c r="S364" s="520"/>
      <c r="T364" s="520"/>
      <c r="U364" s="520"/>
      <c r="V364" s="520"/>
      <c r="W364" s="520"/>
      <c r="X364" s="518"/>
      <c r="Y364" s="518"/>
      <c r="Z364" s="518"/>
      <c r="AA364" s="518"/>
      <c r="AB364" s="531">
        <f t="shared" si="92"/>
        <v>0</v>
      </c>
      <c r="AC364" s="505">
        <f t="shared" si="93"/>
        <v>0</v>
      </c>
      <c r="AD364" s="508">
        <f t="shared" si="98"/>
        <v>0</v>
      </c>
      <c r="AE364" s="521">
        <f t="shared" si="99"/>
        <v>0</v>
      </c>
      <c r="AF364" s="505"/>
      <c r="AG364" s="505"/>
      <c r="AH364" s="508"/>
      <c r="AI364" s="521"/>
      <c r="AJ364" s="522" t="str">
        <f>'H. Debt Issues'!D77</f>
        <v>H.1</v>
      </c>
      <c r="AK364" s="506">
        <f>'H. Debt Issues'!L80</f>
        <v>0</v>
      </c>
      <c r="AL364" s="505"/>
      <c r="AM364" s="522"/>
      <c r="AN364" s="506"/>
      <c r="AO364" s="523"/>
      <c r="AP364" s="506"/>
      <c r="AQ364" s="505"/>
      <c r="AR364" s="522"/>
      <c r="AS364" s="524"/>
      <c r="AT364" s="525"/>
      <c r="AU364" s="526"/>
      <c r="AV364" s="467">
        <f t="shared" si="127"/>
        <v>0</v>
      </c>
      <c r="AW364" s="467">
        <f t="shared" si="128"/>
        <v>0</v>
      </c>
      <c r="AX364" s="575" t="str">
        <f t="shared" si="129"/>
        <v xml:space="preserve"> </v>
      </c>
      <c r="AY364" s="524">
        <f t="shared" si="130"/>
        <v>0</v>
      </c>
      <c r="AZ364" s="506"/>
      <c r="BA364" s="524"/>
    </row>
    <row r="365" spans="1:58" x14ac:dyDescent="0.2">
      <c r="A365" s="25"/>
      <c r="B365" s="14"/>
      <c r="C365" s="14" t="s">
        <v>1041</v>
      </c>
      <c r="D365" s="527"/>
      <c r="E365" s="528"/>
      <c r="F365" s="518"/>
      <c r="G365" s="518"/>
      <c r="H365" s="518"/>
      <c r="I365" s="518"/>
      <c r="J365" s="518"/>
      <c r="K365" s="519"/>
      <c r="L365" s="518"/>
      <c r="M365" s="518"/>
      <c r="N365" s="518"/>
      <c r="O365" s="518"/>
      <c r="P365" s="520"/>
      <c r="Q365" s="520"/>
      <c r="R365" s="520"/>
      <c r="S365" s="520"/>
      <c r="T365" s="520"/>
      <c r="U365" s="520"/>
      <c r="V365" s="520"/>
      <c r="W365" s="520"/>
      <c r="X365" s="518"/>
      <c r="Y365" s="518"/>
      <c r="Z365" s="518"/>
      <c r="AA365" s="518"/>
      <c r="AB365" s="531">
        <f t="shared" si="92"/>
        <v>0</v>
      </c>
      <c r="AC365" s="505">
        <f t="shared" si="93"/>
        <v>0</v>
      </c>
      <c r="AD365" s="508">
        <f t="shared" si="98"/>
        <v>0</v>
      </c>
      <c r="AE365" s="521">
        <f t="shared" si="99"/>
        <v>0</v>
      </c>
      <c r="AF365" s="505"/>
      <c r="AG365" s="505"/>
      <c r="AH365" s="508"/>
      <c r="AI365" s="521"/>
      <c r="AJ365" s="522"/>
      <c r="AK365" s="506"/>
      <c r="AL365" s="505"/>
      <c r="AM365" s="522" t="str">
        <f>'H. Debt Issues'!D77</f>
        <v>H.1</v>
      </c>
      <c r="AN365" s="506">
        <f>'H. Debt Issues'!N89</f>
        <v>0</v>
      </c>
      <c r="AO365" s="523"/>
      <c r="AP365" s="506"/>
      <c r="AQ365" s="505"/>
      <c r="AR365" s="522"/>
      <c r="AS365" s="524"/>
      <c r="AT365" s="525"/>
      <c r="AU365" s="526"/>
      <c r="AV365" s="467">
        <f t="shared" si="127"/>
        <v>0</v>
      </c>
      <c r="AW365" s="467">
        <f t="shared" si="128"/>
        <v>0</v>
      </c>
      <c r="AX365" s="575" t="str">
        <f t="shared" si="129"/>
        <v xml:space="preserve"> </v>
      </c>
      <c r="AY365" s="524">
        <f t="shared" si="130"/>
        <v>0</v>
      </c>
      <c r="AZ365" s="506"/>
      <c r="BA365" s="524"/>
    </row>
    <row r="366" spans="1:58" x14ac:dyDescent="0.2">
      <c r="A366" s="25"/>
      <c r="B366" s="14"/>
      <c r="C366" s="14" t="s">
        <v>1042</v>
      </c>
      <c r="D366" s="527"/>
      <c r="E366" s="528"/>
      <c r="F366" s="518"/>
      <c r="G366" s="518"/>
      <c r="H366" s="518"/>
      <c r="I366" s="518"/>
      <c r="J366" s="518"/>
      <c r="K366" s="519"/>
      <c r="L366" s="518"/>
      <c r="M366" s="518"/>
      <c r="N366" s="518"/>
      <c r="O366" s="518"/>
      <c r="P366" s="520"/>
      <c r="Q366" s="520"/>
      <c r="R366" s="520"/>
      <c r="S366" s="520"/>
      <c r="T366" s="520"/>
      <c r="U366" s="520"/>
      <c r="V366" s="520"/>
      <c r="W366" s="520"/>
      <c r="X366" s="518"/>
      <c r="Y366" s="518"/>
      <c r="Z366" s="518"/>
      <c r="AA366" s="518"/>
      <c r="AB366" s="531">
        <f t="shared" si="92"/>
        <v>0</v>
      </c>
      <c r="AC366" s="505">
        <f t="shared" si="93"/>
        <v>0</v>
      </c>
      <c r="AD366" s="508">
        <f t="shared" si="98"/>
        <v>0</v>
      </c>
      <c r="AE366" s="521">
        <f t="shared" si="99"/>
        <v>0</v>
      </c>
      <c r="AF366" s="505"/>
      <c r="AG366" s="505"/>
      <c r="AH366" s="508"/>
      <c r="AI366" s="521"/>
      <c r="AJ366" s="522"/>
      <c r="AK366" s="506"/>
      <c r="AL366" s="505"/>
      <c r="AM366" s="522" t="str">
        <f>'H. Debt Issues'!D77</f>
        <v>H.1</v>
      </c>
      <c r="AN366" s="506">
        <f>'H. Debt Issues'!N90</f>
        <v>0</v>
      </c>
      <c r="AO366" s="523"/>
      <c r="AP366" s="506"/>
      <c r="AQ366" s="505"/>
      <c r="AR366" s="522"/>
      <c r="AS366" s="524"/>
      <c r="AT366" s="525"/>
      <c r="AU366" s="526"/>
      <c r="AV366" s="467">
        <f t="shared" si="127"/>
        <v>0</v>
      </c>
      <c r="AW366" s="467">
        <f t="shared" si="128"/>
        <v>0</v>
      </c>
      <c r="AX366" s="575" t="str">
        <f t="shared" si="129"/>
        <v xml:space="preserve"> </v>
      </c>
      <c r="AY366" s="524">
        <f t="shared" si="130"/>
        <v>0</v>
      </c>
      <c r="AZ366" s="506"/>
      <c r="BA366" s="524"/>
    </row>
    <row r="367" spans="1:58" x14ac:dyDescent="0.2">
      <c r="A367" s="25"/>
      <c r="B367" s="14"/>
      <c r="C367" s="14" t="s">
        <v>478</v>
      </c>
      <c r="D367" s="527"/>
      <c r="E367" s="528"/>
      <c r="F367" s="518"/>
      <c r="G367" s="518"/>
      <c r="H367" s="518"/>
      <c r="I367" s="518"/>
      <c r="J367" s="518"/>
      <c r="K367" s="519"/>
      <c r="L367" s="518"/>
      <c r="M367" s="518"/>
      <c r="N367" s="518"/>
      <c r="O367" s="518"/>
      <c r="P367" s="520"/>
      <c r="Q367" s="520"/>
      <c r="R367" s="520"/>
      <c r="S367" s="520"/>
      <c r="T367" s="520"/>
      <c r="U367" s="520"/>
      <c r="V367" s="520"/>
      <c r="W367" s="520"/>
      <c r="X367" s="518"/>
      <c r="Y367" s="518"/>
      <c r="Z367" s="518"/>
      <c r="AA367" s="518"/>
      <c r="AB367" s="531">
        <f t="shared" si="92"/>
        <v>0</v>
      </c>
      <c r="AC367" s="505">
        <f t="shared" si="93"/>
        <v>0</v>
      </c>
      <c r="AD367" s="508">
        <f t="shared" si="98"/>
        <v>0</v>
      </c>
      <c r="AE367" s="521">
        <f t="shared" si="99"/>
        <v>0</v>
      </c>
      <c r="AF367" s="505"/>
      <c r="AG367" s="505"/>
      <c r="AH367" s="508"/>
      <c r="AI367" s="521"/>
      <c r="AJ367" s="522" t="str">
        <f>'F.  Other Cap Asset Entries'!D220</f>
        <v>F.1</v>
      </c>
      <c r="AK367" s="506">
        <f>'F.  Other Cap Asset Entries'!M227</f>
        <v>0</v>
      </c>
      <c r="AL367" s="505"/>
      <c r="AM367" s="522"/>
      <c r="AN367" s="506"/>
      <c r="AO367" s="523"/>
      <c r="AP367" s="506"/>
      <c r="AQ367" s="505"/>
      <c r="AR367" s="522"/>
      <c r="AS367" s="524"/>
      <c r="AT367" s="525"/>
      <c r="AU367" s="526"/>
      <c r="AV367" s="467">
        <f t="shared" si="127"/>
        <v>0</v>
      </c>
      <c r="AW367" s="467">
        <f t="shared" si="128"/>
        <v>0</v>
      </c>
      <c r="AX367" s="575" t="str">
        <f t="shared" si="129"/>
        <v xml:space="preserve"> </v>
      </c>
      <c r="AY367" s="524">
        <f t="shared" si="130"/>
        <v>0</v>
      </c>
      <c r="AZ367" s="506"/>
      <c r="BA367" s="524"/>
    </row>
    <row r="368" spans="1:58" x14ac:dyDescent="0.2">
      <c r="A368" s="25"/>
      <c r="B368" s="14"/>
      <c r="C368" s="14" t="s">
        <v>634</v>
      </c>
      <c r="D368" s="527"/>
      <c r="E368" s="528"/>
      <c r="F368" s="518"/>
      <c r="G368" s="518"/>
      <c r="H368" s="518"/>
      <c r="I368" s="518"/>
      <c r="J368" s="518"/>
      <c r="K368" s="519"/>
      <c r="L368" s="518"/>
      <c r="M368" s="518"/>
      <c r="N368" s="518"/>
      <c r="O368" s="518"/>
      <c r="P368" s="520"/>
      <c r="Q368" s="520"/>
      <c r="R368" s="520"/>
      <c r="S368" s="520"/>
      <c r="T368" s="520"/>
      <c r="U368" s="520"/>
      <c r="V368" s="520"/>
      <c r="W368" s="520"/>
      <c r="X368" s="518"/>
      <c r="Y368" s="518"/>
      <c r="Z368" s="518"/>
      <c r="AA368" s="518"/>
      <c r="AB368" s="531">
        <f t="shared" si="92"/>
        <v>0</v>
      </c>
      <c r="AC368" s="505">
        <f t="shared" si="93"/>
        <v>0</v>
      </c>
      <c r="AD368" s="508">
        <f t="shared" si="98"/>
        <v>0</v>
      </c>
      <c r="AE368" s="521">
        <f t="shared" si="99"/>
        <v>0</v>
      </c>
      <c r="AF368" s="505"/>
      <c r="AG368" s="505"/>
      <c r="AH368" s="508"/>
      <c r="AI368" s="521"/>
      <c r="AJ368" s="522" t="s">
        <v>633</v>
      </c>
      <c r="AK368" s="506">
        <f>'F.  Other Cap Asset Entries'!M264</f>
        <v>0</v>
      </c>
      <c r="AL368" s="505"/>
      <c r="AM368" s="522"/>
      <c r="AN368" s="506"/>
      <c r="AO368" s="523"/>
      <c r="AP368" s="506"/>
      <c r="AQ368" s="505"/>
      <c r="AR368" s="522"/>
      <c r="AS368" s="524"/>
      <c r="AT368" s="525"/>
      <c r="AU368" s="526"/>
      <c r="AV368" s="467">
        <f t="shared" si="127"/>
        <v>0</v>
      </c>
      <c r="AW368" s="467">
        <f t="shared" si="128"/>
        <v>0</v>
      </c>
      <c r="AX368" s="575" t="str">
        <f t="shared" si="129"/>
        <v xml:space="preserve"> </v>
      </c>
      <c r="AY368" s="524">
        <f t="shared" si="130"/>
        <v>0</v>
      </c>
      <c r="AZ368" s="506"/>
      <c r="BA368" s="524"/>
    </row>
    <row r="369" spans="1:57" x14ac:dyDescent="0.2">
      <c r="A369" s="25"/>
      <c r="B369" s="14"/>
      <c r="C369" s="14" t="s">
        <v>858</v>
      </c>
      <c r="D369" s="527"/>
      <c r="E369" s="528"/>
      <c r="F369" s="518"/>
      <c r="G369" s="518"/>
      <c r="H369" s="518"/>
      <c r="I369" s="518"/>
      <c r="J369" s="518"/>
      <c r="K369" s="519"/>
      <c r="L369" s="518"/>
      <c r="M369" s="518"/>
      <c r="N369" s="518"/>
      <c r="O369" s="518"/>
      <c r="P369" s="520"/>
      <c r="Q369" s="520"/>
      <c r="R369" s="520"/>
      <c r="S369" s="520"/>
      <c r="T369" s="520"/>
      <c r="U369" s="520"/>
      <c r="V369" s="520"/>
      <c r="W369" s="520"/>
      <c r="X369" s="518"/>
      <c r="Y369" s="518"/>
      <c r="Z369" s="518"/>
      <c r="AA369" s="518"/>
      <c r="AB369" s="531">
        <f t="shared" si="92"/>
        <v>0</v>
      </c>
      <c r="AC369" s="505">
        <f t="shared" si="93"/>
        <v>0</v>
      </c>
      <c r="AD369" s="508">
        <f t="shared" si="98"/>
        <v>0</v>
      </c>
      <c r="AE369" s="521">
        <f t="shared" si="99"/>
        <v>0</v>
      </c>
      <c r="AF369" s="505"/>
      <c r="AG369" s="505"/>
      <c r="AH369" s="508"/>
      <c r="AI369" s="521"/>
      <c r="AJ369" s="560" t="str">
        <f>'I.  Other Asset Entries'!B108</f>
        <v>I.1</v>
      </c>
      <c r="AK369" s="506">
        <f>'I.  Other Asset Entries'!L110</f>
        <v>0</v>
      </c>
      <c r="AL369" s="505"/>
      <c r="AM369" s="522"/>
      <c r="AN369" s="506"/>
      <c r="AO369" s="523"/>
      <c r="AP369" s="506"/>
      <c r="AQ369" s="505"/>
      <c r="AR369" s="522"/>
      <c r="AS369" s="524"/>
      <c r="AT369" s="525"/>
      <c r="AU369" s="526"/>
      <c r="AV369" s="467">
        <f t="shared" si="127"/>
        <v>0</v>
      </c>
      <c r="AW369" s="467">
        <f t="shared" si="128"/>
        <v>0</v>
      </c>
      <c r="AX369" s="575" t="str">
        <f t="shared" si="129"/>
        <v xml:space="preserve"> </v>
      </c>
      <c r="AY369" s="524">
        <f t="shared" si="130"/>
        <v>0</v>
      </c>
      <c r="AZ369" s="506"/>
      <c r="BA369" s="524"/>
    </row>
    <row r="370" spans="1:57" x14ac:dyDescent="0.2">
      <c r="A370" s="25"/>
      <c r="B370" s="14"/>
      <c r="C370" s="14" t="s">
        <v>859</v>
      </c>
      <c r="D370" s="527"/>
      <c r="E370" s="528"/>
      <c r="F370" s="518"/>
      <c r="G370" s="518"/>
      <c r="H370" s="518"/>
      <c r="I370" s="518"/>
      <c r="J370" s="518"/>
      <c r="K370" s="519"/>
      <c r="L370" s="518"/>
      <c r="M370" s="518"/>
      <c r="N370" s="518"/>
      <c r="O370" s="518"/>
      <c r="P370" s="520"/>
      <c r="Q370" s="520"/>
      <c r="R370" s="520"/>
      <c r="S370" s="520"/>
      <c r="T370" s="520"/>
      <c r="U370" s="520"/>
      <c r="V370" s="520"/>
      <c r="W370" s="520"/>
      <c r="X370" s="518"/>
      <c r="Y370" s="518"/>
      <c r="Z370" s="518"/>
      <c r="AA370" s="518"/>
      <c r="AB370" s="531">
        <f t="shared" si="92"/>
        <v>0</v>
      </c>
      <c r="AC370" s="505">
        <f t="shared" si="93"/>
        <v>0</v>
      </c>
      <c r="AD370" s="508">
        <f t="shared" si="98"/>
        <v>0</v>
      </c>
      <c r="AE370" s="521">
        <f t="shared" si="99"/>
        <v>0</v>
      </c>
      <c r="AF370" s="505"/>
      <c r="AG370" s="505"/>
      <c r="AH370" s="508"/>
      <c r="AI370" s="521"/>
      <c r="AJ370" s="560" t="str">
        <f>'I.  Other Asset Entries'!B108</f>
        <v>I.1</v>
      </c>
      <c r="AK370" s="506">
        <f>'I.  Other Asset Entries'!L111</f>
        <v>0</v>
      </c>
      <c r="AL370" s="505"/>
      <c r="AM370" s="522"/>
      <c r="AN370" s="506"/>
      <c r="AO370" s="523"/>
      <c r="AP370" s="506"/>
      <c r="AQ370" s="505"/>
      <c r="AR370" s="522"/>
      <c r="AS370" s="524"/>
      <c r="AT370" s="525"/>
      <c r="AU370" s="526"/>
      <c r="AV370" s="467">
        <f t="shared" si="127"/>
        <v>0</v>
      </c>
      <c r="AW370" s="467">
        <f t="shared" si="128"/>
        <v>0</v>
      </c>
      <c r="AX370" s="575" t="str">
        <f t="shared" si="129"/>
        <v xml:space="preserve"> </v>
      </c>
      <c r="AY370" s="524">
        <f t="shared" si="130"/>
        <v>0</v>
      </c>
      <c r="AZ370" s="506"/>
      <c r="BA370" s="524"/>
    </row>
    <row r="371" spans="1:57" ht="6" customHeight="1" x14ac:dyDescent="0.2">
      <c r="A371" s="25"/>
      <c r="B371" s="14"/>
      <c r="C371" s="14"/>
      <c r="D371" s="533"/>
      <c r="E371" s="534"/>
      <c r="F371" s="530"/>
      <c r="G371" s="530"/>
      <c r="H371" s="530"/>
      <c r="I371" s="530"/>
      <c r="J371" s="530"/>
      <c r="K371" s="535"/>
      <c r="L371" s="530"/>
      <c r="M371" s="530"/>
      <c r="N371" s="530"/>
      <c r="O371" s="530"/>
      <c r="P371" s="529"/>
      <c r="Q371" s="529"/>
      <c r="R371" s="529"/>
      <c r="S371" s="529"/>
      <c r="T371" s="529"/>
      <c r="U371" s="529"/>
      <c r="V371" s="529"/>
      <c r="W371" s="529"/>
      <c r="X371" s="530"/>
      <c r="Y371" s="530"/>
      <c r="Z371" s="530"/>
      <c r="AA371" s="530"/>
      <c r="AB371" s="531"/>
      <c r="AC371" s="539"/>
      <c r="AD371" s="536"/>
      <c r="AE371" s="537"/>
      <c r="AF371" s="539"/>
      <c r="AG371" s="539"/>
      <c r="AH371" s="536"/>
      <c r="AI371" s="537"/>
      <c r="AJ371" s="538"/>
      <c r="AK371" s="434"/>
      <c r="AL371" s="539"/>
      <c r="AM371" s="538"/>
      <c r="AN371" s="434"/>
      <c r="AO371" s="541"/>
      <c r="AP371" s="434"/>
      <c r="AQ371" s="539"/>
      <c r="AR371" s="538"/>
      <c r="AS371" s="540"/>
      <c r="AT371" s="529"/>
      <c r="AU371" s="564"/>
      <c r="AV371" s="434"/>
      <c r="AW371" s="434"/>
      <c r="AX371" s="573"/>
      <c r="AY371" s="540"/>
      <c r="AZ371" s="434"/>
      <c r="BA371" s="540"/>
      <c r="BB371" s="1047"/>
    </row>
    <row r="372" spans="1:57" ht="18.75" customHeight="1" x14ac:dyDescent="0.2">
      <c r="A372" s="266" t="s">
        <v>810</v>
      </c>
      <c r="B372" s="23"/>
      <c r="C372" s="395"/>
      <c r="D372" s="533"/>
      <c r="E372" s="534"/>
      <c r="F372" s="530"/>
      <c r="G372" s="530"/>
      <c r="H372" s="530"/>
      <c r="I372" s="530"/>
      <c r="J372" s="530"/>
      <c r="K372" s="535"/>
      <c r="L372" s="530"/>
      <c r="M372" s="530"/>
      <c r="N372" s="530"/>
      <c r="O372" s="530"/>
      <c r="P372" s="529"/>
      <c r="Q372" s="529"/>
      <c r="R372" s="529"/>
      <c r="S372" s="529"/>
      <c r="T372" s="529"/>
      <c r="U372" s="529"/>
      <c r="V372" s="529"/>
      <c r="W372" s="529"/>
      <c r="X372" s="530"/>
      <c r="Y372" s="530"/>
      <c r="Z372" s="530"/>
      <c r="AA372" s="530"/>
      <c r="AB372" s="531"/>
      <c r="AC372" s="539"/>
      <c r="AD372" s="536"/>
      <c r="AE372" s="537"/>
      <c r="AF372" s="539"/>
      <c r="AG372" s="539"/>
      <c r="AH372" s="536"/>
      <c r="AI372" s="537"/>
      <c r="AJ372" s="538"/>
      <c r="AK372" s="434"/>
      <c r="AL372" s="539"/>
      <c r="AM372" s="538"/>
      <c r="AN372" s="434"/>
      <c r="AO372" s="541"/>
      <c r="AP372" s="434"/>
      <c r="AQ372" s="539"/>
      <c r="AR372" s="538"/>
      <c r="AS372" s="540"/>
      <c r="AT372" s="529"/>
      <c r="AU372" s="564"/>
      <c r="AV372" s="434"/>
      <c r="AW372" s="434"/>
      <c r="AX372" s="573"/>
      <c r="AY372" s="540"/>
      <c r="AZ372" s="434"/>
      <c r="BA372" s="540"/>
      <c r="BB372" s="1047"/>
    </row>
    <row r="373" spans="1:57" ht="5.25" customHeight="1" x14ac:dyDescent="0.2">
      <c r="A373" s="25"/>
      <c r="B373" s="14"/>
      <c r="C373" s="14"/>
      <c r="D373" s="533"/>
      <c r="E373" s="534"/>
      <c r="F373" s="530"/>
      <c r="G373" s="530"/>
      <c r="H373" s="530"/>
      <c r="I373" s="530"/>
      <c r="J373" s="530"/>
      <c r="K373" s="535"/>
      <c r="L373" s="530"/>
      <c r="M373" s="530"/>
      <c r="N373" s="530"/>
      <c r="O373" s="530"/>
      <c r="P373" s="529"/>
      <c r="Q373" s="529"/>
      <c r="R373" s="529"/>
      <c r="S373" s="529"/>
      <c r="T373" s="529"/>
      <c r="U373" s="529"/>
      <c r="V373" s="529"/>
      <c r="W373" s="529"/>
      <c r="X373" s="530"/>
      <c r="Y373" s="530"/>
      <c r="Z373" s="530"/>
      <c r="AA373" s="530"/>
      <c r="AB373" s="531"/>
      <c r="AC373" s="539"/>
      <c r="AD373" s="536"/>
      <c r="AE373" s="537"/>
      <c r="AF373" s="539"/>
      <c r="AG373" s="539"/>
      <c r="AH373" s="536"/>
      <c r="AI373" s="537"/>
      <c r="AJ373" s="538"/>
      <c r="AK373" s="434"/>
      <c r="AL373" s="539"/>
      <c r="AM373" s="538"/>
      <c r="AN373" s="434"/>
      <c r="AO373" s="541"/>
      <c r="AP373" s="434"/>
      <c r="AQ373" s="539"/>
      <c r="AR373" s="538"/>
      <c r="AS373" s="540"/>
      <c r="AT373" s="529"/>
      <c r="AU373" s="564"/>
      <c r="AV373" s="434"/>
      <c r="AW373" s="434"/>
      <c r="AX373" s="573"/>
      <c r="AY373" s="540"/>
      <c r="AZ373" s="434"/>
      <c r="BA373" s="540"/>
      <c r="BB373" s="1047"/>
      <c r="BC373" s="1047"/>
      <c r="BD373" s="898"/>
      <c r="BE373" s="898"/>
    </row>
    <row r="374" spans="1:57" x14ac:dyDescent="0.2">
      <c r="A374" s="25"/>
      <c r="B374" s="267"/>
      <c r="C374" s="14" t="s">
        <v>203</v>
      </c>
      <c r="D374" s="527"/>
      <c r="E374" s="528"/>
      <c r="F374" s="518"/>
      <c r="G374" s="518"/>
      <c r="H374" s="518"/>
      <c r="I374" s="518"/>
      <c r="J374" s="518"/>
      <c r="K374" s="519"/>
      <c r="L374" s="518"/>
      <c r="M374" s="518"/>
      <c r="N374" s="518"/>
      <c r="O374" s="518"/>
      <c r="P374" s="520"/>
      <c r="Q374" s="520"/>
      <c r="R374" s="520"/>
      <c r="S374" s="520"/>
      <c r="T374" s="520"/>
      <c r="U374" s="520"/>
      <c r="V374" s="520"/>
      <c r="W374" s="520"/>
      <c r="X374" s="518"/>
      <c r="Y374" s="518"/>
      <c r="Z374" s="518"/>
      <c r="AA374" s="518"/>
      <c r="AB374" s="531">
        <f t="shared" si="92"/>
        <v>0</v>
      </c>
      <c r="AC374" s="505">
        <f t="shared" si="93"/>
        <v>0</v>
      </c>
      <c r="AD374" s="508">
        <f t="shared" si="98"/>
        <v>0</v>
      </c>
      <c r="AE374" s="521">
        <f t="shared" si="99"/>
        <v>0</v>
      </c>
      <c r="AF374" s="505"/>
      <c r="AG374" s="505"/>
      <c r="AH374" s="508"/>
      <c r="AI374" s="521"/>
      <c r="AJ374" s="522" t="str">
        <f>'J. Other Liability &amp; Expenses'!D203</f>
        <v>J.1</v>
      </c>
      <c r="AK374" s="506">
        <f>'J. Other Liability &amp; Expenses'!L212</f>
        <v>0</v>
      </c>
      <c r="AL374" s="505"/>
      <c r="AM374" s="522" t="str">
        <f>'J. Other Liability &amp; Expenses'!D203</f>
        <v>J.1</v>
      </c>
      <c r="AN374" s="506">
        <f>'J. Other Liability &amp; Expenses'!N212</f>
        <v>0</v>
      </c>
      <c r="AO374" s="523" t="str">
        <f>'L. Eliminations-Consolidations'!B279</f>
        <v>L.10</v>
      </c>
      <c r="AP374" s="506">
        <f>'L. Eliminations-Consolidations'!J280</f>
        <v>0</v>
      </c>
      <c r="AQ374" s="505"/>
      <c r="AR374" s="522"/>
      <c r="AS374" s="524"/>
      <c r="AT374" s="525"/>
      <c r="AU374" s="526"/>
      <c r="AV374" s="467">
        <f>ROUND(AD374+AF374+AH374+AK374+AP374+AT374,0)</f>
        <v>0</v>
      </c>
      <c r="AW374" s="467">
        <f>ROUND(AE374+AG374+AI374+AN374+AS374+AU374,0)</f>
        <v>0</v>
      </c>
      <c r="AX374" s="575" t="str">
        <f>IF(AV374-AW374&lt;=0," ",AV374-AW374)</f>
        <v xml:space="preserve"> </v>
      </c>
      <c r="AY374" s="524">
        <f t="shared" si="130"/>
        <v>0</v>
      </c>
      <c r="AZ374" s="506"/>
      <c r="BA374" s="524"/>
      <c r="BB374" s="902"/>
      <c r="BC374" s="1047"/>
      <c r="BD374" s="898"/>
      <c r="BE374" s="898"/>
    </row>
    <row r="375" spans="1:57" x14ac:dyDescent="0.2">
      <c r="A375" s="25"/>
      <c r="B375" s="267"/>
      <c r="C375" s="248" t="s">
        <v>811</v>
      </c>
      <c r="D375" s="542"/>
      <c r="E375" s="543"/>
      <c r="F375" s="544"/>
      <c r="G375" s="544"/>
      <c r="H375" s="544"/>
      <c r="I375" s="544"/>
      <c r="J375" s="544"/>
      <c r="K375" s="545"/>
      <c r="L375" s="544"/>
      <c r="M375" s="544"/>
      <c r="N375" s="544"/>
      <c r="O375" s="544"/>
      <c r="P375" s="546"/>
      <c r="Q375" s="546"/>
      <c r="R375" s="546"/>
      <c r="S375" s="546"/>
      <c r="T375" s="546"/>
      <c r="U375" s="546"/>
      <c r="V375" s="546"/>
      <c r="W375" s="546"/>
      <c r="X375" s="544"/>
      <c r="Y375" s="544"/>
      <c r="Z375" s="544"/>
      <c r="AA375" s="544"/>
      <c r="AB375" s="547">
        <f t="shared" si="92"/>
        <v>0</v>
      </c>
      <c r="AC375" s="548">
        <f t="shared" si="93"/>
        <v>0</v>
      </c>
      <c r="AD375" s="549">
        <f t="shared" si="98"/>
        <v>0</v>
      </c>
      <c r="AE375" s="550">
        <f t="shared" si="99"/>
        <v>0</v>
      </c>
      <c r="AF375" s="548"/>
      <c r="AG375" s="548"/>
      <c r="AH375" s="549">
        <f>'A. Revenue by function'!L110</f>
        <v>0</v>
      </c>
      <c r="AI375" s="550"/>
      <c r="AJ375" s="551" t="str">
        <f>'J. Other Liability &amp; Expenses'!D203</f>
        <v>J.1</v>
      </c>
      <c r="AK375" s="552">
        <f>'J. Other Liability &amp; Expenses'!L213</f>
        <v>0</v>
      </c>
      <c r="AL375" s="548"/>
      <c r="AM375" s="551" t="str">
        <f>'J. Other Liability &amp; Expenses'!D203</f>
        <v>J.1</v>
      </c>
      <c r="AN375" s="552">
        <f>'J. Other Liability &amp; Expenses'!N213</f>
        <v>0</v>
      </c>
      <c r="AO375" s="553"/>
      <c r="AP375" s="552"/>
      <c r="AQ375" s="548"/>
      <c r="AR375" s="551"/>
      <c r="AS375" s="554"/>
      <c r="AT375" s="525"/>
      <c r="AU375" s="526"/>
      <c r="AV375" s="552">
        <f>ROUND(AD375+AF375+AH375+AK375+AP375+AT375,0)</f>
        <v>0</v>
      </c>
      <c r="AW375" s="552">
        <f>ROUND(AE375+AG375+AI375+AN375+AS375+AU375,0)</f>
        <v>0</v>
      </c>
      <c r="AX375" s="577" t="str">
        <f>IF(AV375+AV376-(AW375+AW376)&lt;=0," ",AV375+AV376-(AW375+AW376))</f>
        <v xml:space="preserve"> </v>
      </c>
      <c r="AY375" s="554">
        <f>IF(AV375+AV376-(AW375+AW376)&gt;0," ",AW375+AW376-(AV375+AV376))</f>
        <v>0</v>
      </c>
      <c r="AZ375" s="506"/>
      <c r="BA375" s="524"/>
      <c r="BB375" s="902"/>
      <c r="BC375" s="1047"/>
      <c r="BD375" s="898"/>
      <c r="BE375" s="898"/>
    </row>
    <row r="376" spans="1:57" x14ac:dyDescent="0.2">
      <c r="A376" s="25"/>
      <c r="B376" s="267"/>
      <c r="C376" s="248"/>
      <c r="D376" s="542"/>
      <c r="E376" s="543"/>
      <c r="F376" s="544"/>
      <c r="G376" s="544"/>
      <c r="H376" s="544"/>
      <c r="I376" s="544"/>
      <c r="J376" s="544"/>
      <c r="K376" s="545"/>
      <c r="L376" s="544"/>
      <c r="M376" s="544"/>
      <c r="N376" s="544"/>
      <c r="O376" s="544"/>
      <c r="P376" s="546"/>
      <c r="Q376" s="546"/>
      <c r="R376" s="546"/>
      <c r="S376" s="546"/>
      <c r="T376" s="546"/>
      <c r="U376" s="546"/>
      <c r="V376" s="546"/>
      <c r="W376" s="546"/>
      <c r="X376" s="544"/>
      <c r="Y376" s="544"/>
      <c r="Z376" s="544"/>
      <c r="AA376" s="544"/>
      <c r="AB376" s="547">
        <f>L376+N376+P376+R376+T376+V376+X376+Z376</f>
        <v>0</v>
      </c>
      <c r="AC376" s="548">
        <f>M376+O376+Q376+S376+U376+W376+Y376+AA376</f>
        <v>0</v>
      </c>
      <c r="AD376" s="549">
        <f>D376+F376+H376+J376+AB376</f>
        <v>0</v>
      </c>
      <c r="AE376" s="550">
        <f>E376+G376+I376+K376+AC376</f>
        <v>0</v>
      </c>
      <c r="AF376" s="548"/>
      <c r="AG376" s="548"/>
      <c r="AH376" s="549"/>
      <c r="AI376" s="550"/>
      <c r="AJ376" s="551" t="s">
        <v>633</v>
      </c>
      <c r="AK376" s="552">
        <f>'F.  Other Cap Asset Entries'!M274</f>
        <v>0</v>
      </c>
      <c r="AL376" s="548"/>
      <c r="AM376" s="551"/>
      <c r="AN376" s="552"/>
      <c r="AO376" s="553"/>
      <c r="AP376" s="552"/>
      <c r="AQ376" s="548"/>
      <c r="AR376" s="551"/>
      <c r="AS376" s="554"/>
      <c r="AT376" s="525"/>
      <c r="AU376" s="526"/>
      <c r="AV376" s="552">
        <f>ROUND(AD376+AF376+AH376+AK376+AP376+AT376,0)</f>
        <v>0</v>
      </c>
      <c r="AW376" s="552">
        <f>ROUND(AE376+AG376+AI376+AN376+AS376+AU376,0)</f>
        <v>0</v>
      </c>
      <c r="AX376" s="577"/>
      <c r="AY376" s="554"/>
      <c r="AZ376" s="506"/>
      <c r="BA376" s="524"/>
      <c r="BB376" s="1047"/>
      <c r="BC376" s="1047"/>
      <c r="BD376" s="898"/>
      <c r="BE376" s="898"/>
    </row>
    <row r="377" spans="1:57" s="451" customFormat="1" ht="5.25" customHeight="1" x14ac:dyDescent="0.2">
      <c r="A377" s="448"/>
      <c r="B377" s="449"/>
      <c r="C377" s="450"/>
      <c r="D377" s="584"/>
      <c r="E377" s="585"/>
      <c r="F377" s="586"/>
      <c r="G377" s="586"/>
      <c r="H377" s="586"/>
      <c r="I377" s="586"/>
      <c r="J377" s="586"/>
      <c r="K377" s="587"/>
      <c r="L377" s="586"/>
      <c r="M377" s="586"/>
      <c r="N377" s="586"/>
      <c r="O377" s="586"/>
      <c r="P377" s="588"/>
      <c r="Q377" s="588"/>
      <c r="R377" s="588"/>
      <c r="S377" s="588"/>
      <c r="T377" s="588"/>
      <c r="U377" s="588"/>
      <c r="V377" s="588"/>
      <c r="W377" s="588"/>
      <c r="X377" s="586"/>
      <c r="Y377" s="586"/>
      <c r="Z377" s="586"/>
      <c r="AA377" s="586"/>
      <c r="AB377" s="589"/>
      <c r="AC377" s="586"/>
      <c r="AD377" s="590"/>
      <c r="AE377" s="587"/>
      <c r="AF377" s="586"/>
      <c r="AG377" s="586"/>
      <c r="AH377" s="590"/>
      <c r="AI377" s="587"/>
      <c r="AJ377" s="591"/>
      <c r="AK377" s="588"/>
      <c r="AL377" s="586"/>
      <c r="AM377" s="591"/>
      <c r="AN377" s="588"/>
      <c r="AO377" s="592"/>
      <c r="AP377" s="588"/>
      <c r="AQ377" s="586"/>
      <c r="AR377" s="591"/>
      <c r="AS377" s="593"/>
      <c r="AT377" s="529"/>
      <c r="AU377" s="564"/>
      <c r="AV377" s="588"/>
      <c r="AW377" s="588"/>
      <c r="AX377" s="594"/>
      <c r="AY377" s="593"/>
      <c r="AZ377" s="588"/>
      <c r="BA377" s="593"/>
    </row>
    <row r="378" spans="1:57" x14ac:dyDescent="0.2">
      <c r="A378" s="25"/>
      <c r="B378" s="267"/>
      <c r="C378" s="248" t="s">
        <v>200</v>
      </c>
      <c r="D378" s="542"/>
      <c r="E378" s="543"/>
      <c r="F378" s="544"/>
      <c r="G378" s="544"/>
      <c r="H378" s="544"/>
      <c r="I378" s="544"/>
      <c r="J378" s="544"/>
      <c r="K378" s="545"/>
      <c r="L378" s="544"/>
      <c r="M378" s="544"/>
      <c r="N378" s="544"/>
      <c r="O378" s="544"/>
      <c r="P378" s="546"/>
      <c r="Q378" s="546"/>
      <c r="R378" s="546"/>
      <c r="S378" s="546"/>
      <c r="T378" s="546"/>
      <c r="U378" s="546"/>
      <c r="V378" s="546"/>
      <c r="W378" s="546"/>
      <c r="X378" s="544"/>
      <c r="Y378" s="544"/>
      <c r="Z378" s="544"/>
      <c r="AA378" s="544"/>
      <c r="AB378" s="547">
        <f t="shared" si="92"/>
        <v>0</v>
      </c>
      <c r="AC378" s="548">
        <f t="shared" si="93"/>
        <v>0</v>
      </c>
      <c r="AD378" s="549">
        <f t="shared" si="98"/>
        <v>0</v>
      </c>
      <c r="AE378" s="550">
        <f t="shared" si="99"/>
        <v>0</v>
      </c>
      <c r="AF378" s="548"/>
      <c r="AG378" s="548"/>
      <c r="AH378" s="549">
        <f>'A. Revenue by function'!L109</f>
        <v>0</v>
      </c>
      <c r="AI378" s="550">
        <f>'A. Revenue by function'!N138</f>
        <v>0</v>
      </c>
      <c r="AJ378" s="551" t="str">
        <f>'F.  Other Cap Asset Entries'!D220</f>
        <v>F.1</v>
      </c>
      <c r="AK378" s="552">
        <f>'F.  Other Cap Asset Entries'!M240</f>
        <v>0</v>
      </c>
      <c r="AL378" s="548"/>
      <c r="AM378" s="551" t="str">
        <f>'F.  Other Cap Asset Entries'!D220</f>
        <v>F.1</v>
      </c>
      <c r="AN378" s="552">
        <f>'F.  Other Cap Asset Entries'!O240</f>
        <v>0</v>
      </c>
      <c r="AO378" s="553"/>
      <c r="AP378" s="552"/>
      <c r="AQ378" s="548"/>
      <c r="AR378" s="551"/>
      <c r="AS378" s="554"/>
      <c r="AT378" s="525"/>
      <c r="AU378" s="526"/>
      <c r="AV378" s="552">
        <f>ROUND(AD378+AF378+AH378+AK378+AP378+AT378,0)</f>
        <v>0</v>
      </c>
      <c r="AW378" s="552">
        <f>ROUND(AE378+AG378+AI378+AN378+AS378+AU378,0)</f>
        <v>0</v>
      </c>
      <c r="AX378" s="577" t="str">
        <f>IF(AV378+AV379-(AW378+AW379)&lt;=0," ",AV378+AV379-(AW378+AW379))</f>
        <v xml:space="preserve"> </v>
      </c>
      <c r="AY378" s="554">
        <f>IF(AV378+AV379-(AW378+AW379)&gt;0," ",AW378+AW379-(AV378+AV379))</f>
        <v>0</v>
      </c>
      <c r="AZ378" s="506"/>
      <c r="BA378" s="524"/>
      <c r="BB378" s="1047"/>
      <c r="BC378" s="1047"/>
      <c r="BD378" s="898"/>
      <c r="BE378" s="898"/>
    </row>
    <row r="379" spans="1:57" x14ac:dyDescent="0.2">
      <c r="A379" s="25"/>
      <c r="B379" s="267"/>
      <c r="C379" s="248"/>
      <c r="D379" s="542"/>
      <c r="E379" s="543"/>
      <c r="F379" s="544"/>
      <c r="G379" s="544"/>
      <c r="H379" s="544"/>
      <c r="I379" s="544"/>
      <c r="J379" s="544"/>
      <c r="K379" s="545"/>
      <c r="L379" s="544"/>
      <c r="M379" s="544"/>
      <c r="N379" s="544"/>
      <c r="O379" s="544"/>
      <c r="P379" s="546"/>
      <c r="Q379" s="546"/>
      <c r="R379" s="546"/>
      <c r="S379" s="546"/>
      <c r="T379" s="546"/>
      <c r="U379" s="546"/>
      <c r="V379" s="546"/>
      <c r="W379" s="546"/>
      <c r="X379" s="544"/>
      <c r="Y379" s="544"/>
      <c r="Z379" s="544"/>
      <c r="AA379" s="544"/>
      <c r="AB379" s="547">
        <f>L379+N379+P379+R379+T379+V379+X379+Z379</f>
        <v>0</v>
      </c>
      <c r="AC379" s="548">
        <f>M379+O379+Q379+S379+U379+W379+Y379+AA379</f>
        <v>0</v>
      </c>
      <c r="AD379" s="549">
        <f>D379+F379+H379+J379+AB379</f>
        <v>0</v>
      </c>
      <c r="AE379" s="550">
        <f>E379+G379+I379+K379+AC379</f>
        <v>0</v>
      </c>
      <c r="AF379" s="548"/>
      <c r="AG379" s="548"/>
      <c r="AH379" s="549"/>
      <c r="AI379" s="550"/>
      <c r="AJ379" s="551"/>
      <c r="AK379" s="552"/>
      <c r="AL379" s="548"/>
      <c r="AM379" s="551" t="str">
        <f>'F.  Other Cap Asset Entries'!D242</f>
        <v>F.2</v>
      </c>
      <c r="AN379" s="552">
        <f>'F.  Other Cap Asset Entries'!O251</f>
        <v>0</v>
      </c>
      <c r="AO379" s="553"/>
      <c r="AP379" s="552"/>
      <c r="AQ379" s="548"/>
      <c r="AR379" s="551"/>
      <c r="AS379" s="554"/>
      <c r="AT379" s="525"/>
      <c r="AU379" s="526"/>
      <c r="AV379" s="552">
        <f>ROUND(AD379+AF379+AH379+AK379+AP379+AT379,0)</f>
        <v>0</v>
      </c>
      <c r="AW379" s="552">
        <f>ROUND(AE379+AG379+AI379+AN379+AS379+AU379,0)</f>
        <v>0</v>
      </c>
      <c r="AX379" s="577"/>
      <c r="AY379" s="554"/>
      <c r="AZ379" s="506"/>
      <c r="BA379" s="524"/>
      <c r="BB379" s="1047"/>
      <c r="BC379" s="1047"/>
      <c r="BD379" s="898"/>
      <c r="BE379" s="898"/>
    </row>
    <row r="380" spans="1:57" x14ac:dyDescent="0.2">
      <c r="A380" s="25"/>
      <c r="B380" s="267"/>
      <c r="C380" s="14" t="s">
        <v>812</v>
      </c>
      <c r="D380" s="527"/>
      <c r="E380" s="528"/>
      <c r="F380" s="518"/>
      <c r="G380" s="518"/>
      <c r="H380" s="518"/>
      <c r="I380" s="518"/>
      <c r="J380" s="518"/>
      <c r="K380" s="519"/>
      <c r="L380" s="518"/>
      <c r="M380" s="518"/>
      <c r="N380" s="518"/>
      <c r="O380" s="518"/>
      <c r="P380" s="520"/>
      <c r="Q380" s="520"/>
      <c r="R380" s="520"/>
      <c r="S380" s="520"/>
      <c r="T380" s="520"/>
      <c r="U380" s="520"/>
      <c r="V380" s="520"/>
      <c r="W380" s="520"/>
      <c r="X380" s="518"/>
      <c r="Y380" s="518"/>
      <c r="Z380" s="518"/>
      <c r="AA380" s="518"/>
      <c r="AB380" s="531">
        <f t="shared" si="92"/>
        <v>0</v>
      </c>
      <c r="AC380" s="505">
        <f t="shared" si="93"/>
        <v>0</v>
      </c>
      <c r="AD380" s="508">
        <f t="shared" si="98"/>
        <v>0</v>
      </c>
      <c r="AE380" s="521">
        <f t="shared" si="99"/>
        <v>0</v>
      </c>
      <c r="AF380" s="505"/>
      <c r="AG380" s="505"/>
      <c r="AH380" s="536"/>
      <c r="AI380" s="521">
        <f>'A. Revenue by function'!N139</f>
        <v>0</v>
      </c>
      <c r="AL380" s="505"/>
      <c r="AM380" s="522" t="s">
        <v>633</v>
      </c>
      <c r="AN380" s="506">
        <f>'F.  Other Cap Asset Entries'!O274</f>
        <v>0</v>
      </c>
      <c r="AO380" s="523"/>
      <c r="AP380" s="506"/>
      <c r="AQ380" s="505"/>
      <c r="AR380" s="522"/>
      <c r="AS380" s="524"/>
      <c r="AT380" s="525"/>
      <c r="AU380" s="526"/>
      <c r="AV380" s="467">
        <f>ROUND(AD380+AF380+AH380+AK380+AP380+AT380,0)</f>
        <v>0</v>
      </c>
      <c r="AW380" s="467">
        <f>ROUND(AE380+AG380+AI380+AN380+AS380+AU380,0)</f>
        <v>0</v>
      </c>
      <c r="AX380" s="575" t="str">
        <f>IF(AV380-AW380&lt;=0," ",AV380-AW380)</f>
        <v xml:space="preserve"> </v>
      </c>
      <c r="AY380" s="524">
        <f>IF(AV380-AW380&gt;0," ",AW380-AV380)</f>
        <v>0</v>
      </c>
      <c r="AZ380" s="506"/>
      <c r="BA380" s="524"/>
    </row>
    <row r="381" spans="1:57" ht="6.75" customHeight="1" x14ac:dyDescent="0.2">
      <c r="A381" s="25"/>
      <c r="B381" s="267"/>
      <c r="C381" s="14"/>
      <c r="D381" s="527"/>
      <c r="E381" s="528"/>
      <c r="F381" s="518"/>
      <c r="G381" s="518"/>
      <c r="H381" s="518"/>
      <c r="I381" s="518"/>
      <c r="J381" s="518"/>
      <c r="K381" s="519"/>
      <c r="L381" s="518"/>
      <c r="M381" s="518"/>
      <c r="N381" s="518"/>
      <c r="O381" s="530"/>
      <c r="P381" s="529"/>
      <c r="Q381" s="529"/>
      <c r="R381" s="529"/>
      <c r="S381" s="529"/>
      <c r="T381" s="529"/>
      <c r="U381" s="529"/>
      <c r="V381" s="529"/>
      <c r="W381" s="529"/>
      <c r="X381" s="530"/>
      <c r="Y381" s="530"/>
      <c r="Z381" s="530"/>
      <c r="AA381" s="530"/>
      <c r="AB381" s="531"/>
      <c r="AC381" s="539"/>
      <c r="AD381" s="536"/>
      <c r="AE381" s="537"/>
      <c r="AF381" s="539"/>
      <c r="AG381" s="539"/>
      <c r="AH381" s="536"/>
      <c r="AI381" s="537"/>
      <c r="AJ381" s="538"/>
      <c r="AK381" s="434"/>
      <c r="AL381" s="539"/>
      <c r="AM381" s="538"/>
      <c r="AN381" s="434"/>
      <c r="AO381" s="541"/>
      <c r="AP381" s="434"/>
      <c r="AQ381" s="539"/>
      <c r="AR381" s="538"/>
      <c r="AS381" s="540"/>
      <c r="AT381" s="529"/>
      <c r="AU381" s="564"/>
      <c r="AV381" s="434"/>
      <c r="AW381" s="434"/>
      <c r="AX381" s="536"/>
      <c r="AY381" s="537"/>
      <c r="AZ381" s="434"/>
      <c r="BA381" s="540"/>
    </row>
    <row r="382" spans="1:57" ht="4.5" customHeight="1" thickBot="1" x14ac:dyDescent="0.25">
      <c r="A382" s="25"/>
      <c r="B382" s="267"/>
      <c r="C382" s="14"/>
      <c r="D382" s="527"/>
      <c r="E382" s="528"/>
      <c r="F382" s="518"/>
      <c r="G382" s="518"/>
      <c r="H382" s="518"/>
      <c r="I382" s="518"/>
      <c r="J382" s="518"/>
      <c r="K382" s="519"/>
      <c r="L382" s="518"/>
      <c r="M382" s="518"/>
      <c r="N382" s="518"/>
      <c r="O382" s="530"/>
      <c r="P382" s="529"/>
      <c r="Q382" s="529"/>
      <c r="R382" s="529"/>
      <c r="S382" s="529"/>
      <c r="T382" s="529"/>
      <c r="U382" s="529"/>
      <c r="V382" s="529"/>
      <c r="W382" s="529"/>
      <c r="X382" s="530"/>
      <c r="Y382" s="530"/>
      <c r="Z382" s="530"/>
      <c r="AA382" s="530"/>
      <c r="AB382" s="531"/>
      <c r="AC382" s="539"/>
      <c r="AD382" s="536"/>
      <c r="AE382" s="537"/>
      <c r="AF382" s="539"/>
      <c r="AG382" s="539"/>
      <c r="AH382" s="536"/>
      <c r="AI382" s="537"/>
      <c r="AJ382" s="538"/>
      <c r="AK382" s="434"/>
      <c r="AL382" s="539"/>
      <c r="AM382" s="538"/>
      <c r="AN382" s="434"/>
      <c r="AO382" s="541"/>
      <c r="AP382" s="434"/>
      <c r="AQ382" s="539"/>
      <c r="AR382" s="538"/>
      <c r="AS382" s="540"/>
      <c r="AT382" s="529"/>
      <c r="AU382" s="564"/>
      <c r="AV382" s="434"/>
      <c r="AW382" s="434"/>
      <c r="AX382" s="536"/>
      <c r="AY382" s="537"/>
      <c r="AZ382" s="434"/>
      <c r="BA382" s="540"/>
    </row>
    <row r="383" spans="1:57" ht="13.5" thickBot="1" x14ac:dyDescent="0.25">
      <c r="A383" s="25"/>
      <c r="B383" s="14"/>
      <c r="C383" s="14" t="s">
        <v>794</v>
      </c>
      <c r="D383" s="595">
        <f>SUM(D8:D382)</f>
        <v>0</v>
      </c>
      <c r="E383" s="596">
        <f>SUM(E8:E382)</f>
        <v>0</v>
      </c>
      <c r="F383" s="597">
        <f t="shared" ref="F383:AA383" si="131">SUM(F6:F382)</f>
        <v>0</v>
      </c>
      <c r="G383" s="597">
        <f t="shared" si="131"/>
        <v>0</v>
      </c>
      <c r="H383" s="597">
        <f t="shared" si="131"/>
        <v>0</v>
      </c>
      <c r="I383" s="597">
        <f t="shared" si="131"/>
        <v>0</v>
      </c>
      <c r="J383" s="597">
        <f t="shared" si="131"/>
        <v>0</v>
      </c>
      <c r="K383" s="1129">
        <f t="shared" si="131"/>
        <v>0</v>
      </c>
      <c r="L383" s="597">
        <f t="shared" si="131"/>
        <v>0</v>
      </c>
      <c r="M383" s="597">
        <f t="shared" si="131"/>
        <v>0</v>
      </c>
      <c r="N383" s="597">
        <f t="shared" si="131"/>
        <v>0</v>
      </c>
      <c r="O383" s="597">
        <f t="shared" si="131"/>
        <v>0</v>
      </c>
      <c r="P383" s="597">
        <f t="shared" si="131"/>
        <v>0</v>
      </c>
      <c r="Q383" s="597">
        <f t="shared" si="131"/>
        <v>0</v>
      </c>
      <c r="R383" s="597">
        <f t="shared" si="131"/>
        <v>0</v>
      </c>
      <c r="S383" s="597">
        <f t="shared" si="131"/>
        <v>0</v>
      </c>
      <c r="T383" s="597">
        <f t="shared" si="131"/>
        <v>0</v>
      </c>
      <c r="U383" s="597">
        <f t="shared" si="131"/>
        <v>0</v>
      </c>
      <c r="V383" s="597">
        <f t="shared" si="131"/>
        <v>0</v>
      </c>
      <c r="W383" s="597">
        <f t="shared" si="131"/>
        <v>0</v>
      </c>
      <c r="X383" s="597">
        <f t="shared" si="131"/>
        <v>0</v>
      </c>
      <c r="Y383" s="597">
        <f t="shared" si="131"/>
        <v>0</v>
      </c>
      <c r="Z383" s="597">
        <f t="shared" si="131"/>
        <v>0</v>
      </c>
      <c r="AA383" s="597">
        <f t="shared" si="131"/>
        <v>0</v>
      </c>
      <c r="AB383" s="598">
        <f>SUM(AB6:AB381)</f>
        <v>0</v>
      </c>
      <c r="AC383" s="598">
        <f>SUM(AC6:AC381)</f>
        <v>0</v>
      </c>
      <c r="AD383" s="1130">
        <f t="shared" ref="AD383:AX383" si="132">SUM(AD6:AD382)</f>
        <v>0</v>
      </c>
      <c r="AE383" s="1133">
        <f t="shared" si="132"/>
        <v>0</v>
      </c>
      <c r="AF383" s="1131">
        <f t="shared" si="132"/>
        <v>0</v>
      </c>
      <c r="AG383" s="1133">
        <f t="shared" si="132"/>
        <v>0</v>
      </c>
      <c r="AH383" s="1131">
        <f t="shared" si="132"/>
        <v>0</v>
      </c>
      <c r="AI383" s="1133">
        <f t="shared" si="132"/>
        <v>0</v>
      </c>
      <c r="AJ383" s="1131">
        <f t="shared" si="132"/>
        <v>0</v>
      </c>
      <c r="AK383" s="1131">
        <f t="shared" si="132"/>
        <v>360</v>
      </c>
      <c r="AL383" s="1131">
        <f t="shared" si="132"/>
        <v>0</v>
      </c>
      <c r="AM383" s="1131">
        <f t="shared" si="132"/>
        <v>0</v>
      </c>
      <c r="AN383" s="1133">
        <f t="shared" si="132"/>
        <v>360</v>
      </c>
      <c r="AO383" s="1131">
        <f t="shared" si="132"/>
        <v>0</v>
      </c>
      <c r="AP383" s="1131">
        <f t="shared" si="132"/>
        <v>0</v>
      </c>
      <c r="AQ383" s="1131">
        <f t="shared" si="132"/>
        <v>0</v>
      </c>
      <c r="AR383" s="1131">
        <f t="shared" si="132"/>
        <v>0</v>
      </c>
      <c r="AS383" s="1133">
        <f t="shared" si="132"/>
        <v>0</v>
      </c>
      <c r="AT383" s="1131">
        <f t="shared" si="132"/>
        <v>0</v>
      </c>
      <c r="AU383" s="1133">
        <f t="shared" si="132"/>
        <v>0</v>
      </c>
      <c r="AV383" s="1131">
        <f t="shared" si="132"/>
        <v>360</v>
      </c>
      <c r="AW383" s="1132">
        <f t="shared" si="132"/>
        <v>360</v>
      </c>
      <c r="AX383" s="601">
        <f t="shared" si="132"/>
        <v>360</v>
      </c>
      <c r="AY383" s="602">
        <f t="shared" ref="AY383" si="133">SUM(AY6:AY382)</f>
        <v>360</v>
      </c>
      <c r="AZ383" s="602">
        <f>AZ194</f>
        <v>0</v>
      </c>
      <c r="BA383" s="602">
        <f>BA194</f>
        <v>0</v>
      </c>
      <c r="BB383" s="1047"/>
    </row>
    <row r="384" spans="1:57" ht="13.5" thickTop="1" x14ac:dyDescent="0.2">
      <c r="A384" s="25"/>
      <c r="B384" s="14"/>
      <c r="C384" s="14"/>
      <c r="D384" s="603"/>
      <c r="E384" s="604"/>
      <c r="F384" s="605"/>
      <c r="G384" s="605"/>
      <c r="H384" s="505"/>
      <c r="I384" s="505"/>
      <c r="J384" s="505"/>
      <c r="K384" s="521"/>
      <c r="L384" s="505"/>
      <c r="M384" s="505"/>
      <c r="N384" s="505"/>
      <c r="O384" s="505"/>
      <c r="P384" s="506"/>
      <c r="Q384" s="506"/>
      <c r="R384" s="506"/>
      <c r="S384" s="506"/>
      <c r="T384" s="506"/>
      <c r="U384" s="506"/>
      <c r="V384" s="506"/>
      <c r="W384" s="506"/>
      <c r="X384" s="505"/>
      <c r="Y384" s="505"/>
      <c r="Z384" s="505"/>
      <c r="AA384" s="505"/>
      <c r="AB384" s="507"/>
      <c r="AC384" s="505">
        <f>L384+N384+P384+AB384</f>
        <v>0</v>
      </c>
      <c r="AD384" s="508"/>
      <c r="AE384" s="521">
        <f>D384+H384+K384+AC384</f>
        <v>0</v>
      </c>
      <c r="AF384" s="505"/>
      <c r="AG384" s="505"/>
      <c r="AH384" s="508"/>
      <c r="AI384" s="521"/>
      <c r="AJ384" s="522"/>
      <c r="AK384" s="506"/>
      <c r="AL384" s="505"/>
      <c r="AM384" s="522"/>
      <c r="AN384" s="506"/>
      <c r="AO384" s="523"/>
      <c r="AP384" s="505"/>
      <c r="AQ384" s="505"/>
      <c r="AR384" s="522"/>
      <c r="AS384" s="521"/>
      <c r="AT384" s="539"/>
      <c r="AU384" s="537"/>
      <c r="AV384" s="434"/>
      <c r="AW384" s="434"/>
      <c r="AX384" s="606"/>
      <c r="AY384" s="607"/>
      <c r="AZ384" s="506"/>
      <c r="BA384" s="524"/>
    </row>
    <row r="385" spans="1:53" x14ac:dyDescent="0.2">
      <c r="A385" s="270" t="s">
        <v>1162</v>
      </c>
      <c r="B385" s="31"/>
      <c r="C385" s="31"/>
      <c r="D385" s="603"/>
      <c r="E385" s="604"/>
      <c r="F385" s="605"/>
      <c r="G385" s="605"/>
      <c r="H385" s="505"/>
      <c r="I385" s="505"/>
      <c r="J385" s="505"/>
      <c r="K385" s="521"/>
      <c r="L385" s="505"/>
      <c r="M385" s="505"/>
      <c r="N385" s="505"/>
      <c r="O385" s="505"/>
      <c r="P385" s="506"/>
      <c r="Q385" s="506"/>
      <c r="R385" s="506"/>
      <c r="S385" s="506"/>
      <c r="T385" s="506"/>
      <c r="U385" s="506"/>
      <c r="V385" s="506"/>
      <c r="W385" s="506"/>
      <c r="X385" s="505"/>
      <c r="Y385" s="505"/>
      <c r="Z385" s="505"/>
      <c r="AA385" s="505"/>
      <c r="AB385" s="507"/>
      <c r="AC385" s="505"/>
      <c r="AD385" s="508"/>
      <c r="AE385" s="521"/>
      <c r="AF385" s="505"/>
      <c r="AG385" s="505"/>
      <c r="AH385" s="508"/>
      <c r="AI385" s="521"/>
      <c r="AJ385" s="522"/>
      <c r="AK385" s="506">
        <f>AK383-AN383</f>
        <v>0</v>
      </c>
      <c r="AL385" s="505"/>
      <c r="AM385" s="522"/>
      <c r="AN385" s="506"/>
      <c r="AO385" s="523"/>
      <c r="AP385" s="505"/>
      <c r="AQ385" s="505"/>
      <c r="AR385" s="522"/>
      <c r="AS385" s="521"/>
      <c r="AT385" s="539"/>
      <c r="AU385" s="537"/>
      <c r="AV385" s="434"/>
      <c r="AW385" s="434"/>
      <c r="AX385" s="606">
        <f>IF(AY383-AX383&lt;0,0,(AY383-AX383))</f>
        <v>0</v>
      </c>
      <c r="AY385" s="607">
        <f>IF(AY383-AX383&gt;0,0,(AY383-AX383)*-1)</f>
        <v>0</v>
      </c>
      <c r="AZ385" s="506"/>
      <c r="BA385" s="524"/>
    </row>
    <row r="386" spans="1:53" ht="3.75" customHeight="1" x14ac:dyDescent="0.2">
      <c r="A386" s="25"/>
      <c r="B386" s="14"/>
      <c r="C386" s="14"/>
      <c r="D386" s="603"/>
      <c r="E386" s="604"/>
      <c r="F386" s="605"/>
      <c r="G386" s="605"/>
      <c r="H386" s="505"/>
      <c r="I386" s="505"/>
      <c r="J386" s="505"/>
      <c r="K386" s="521"/>
      <c r="L386" s="505"/>
      <c r="M386" s="505"/>
      <c r="N386" s="505"/>
      <c r="O386" s="505"/>
      <c r="P386" s="506"/>
      <c r="Q386" s="506"/>
      <c r="R386" s="506"/>
      <c r="S386" s="506"/>
      <c r="T386" s="506"/>
      <c r="U386" s="506"/>
      <c r="V386" s="506"/>
      <c r="W386" s="506"/>
      <c r="X386" s="505"/>
      <c r="Y386" s="505"/>
      <c r="Z386" s="505"/>
      <c r="AA386" s="505"/>
      <c r="AB386" s="507"/>
      <c r="AC386" s="505"/>
      <c r="AD386" s="508"/>
      <c r="AE386" s="521"/>
      <c r="AF386" s="505"/>
      <c r="AG386" s="505"/>
      <c r="AH386" s="508"/>
      <c r="AI386" s="521"/>
      <c r="AJ386" s="522"/>
      <c r="AK386" s="506"/>
      <c r="AL386" s="505"/>
      <c r="AM386" s="522"/>
      <c r="AN386" s="506"/>
      <c r="AO386" s="523"/>
      <c r="AP386" s="505"/>
      <c r="AQ386" s="505"/>
      <c r="AR386" s="522"/>
      <c r="AS386" s="521"/>
      <c r="AT386" s="539"/>
      <c r="AU386" s="537"/>
      <c r="AV386" s="434"/>
      <c r="AW386" s="434"/>
      <c r="AX386" s="606"/>
      <c r="AY386" s="607"/>
      <c r="AZ386" s="506"/>
      <c r="BA386" s="524"/>
    </row>
    <row r="387" spans="1:53" ht="13.5" thickBot="1" x14ac:dyDescent="0.25">
      <c r="A387" s="25"/>
      <c r="B387" s="14"/>
      <c r="C387" s="14"/>
      <c r="D387" s="603"/>
      <c r="E387" s="604"/>
      <c r="F387" s="605"/>
      <c r="G387" s="605"/>
      <c r="H387" s="505"/>
      <c r="I387" s="505"/>
      <c r="J387" s="505"/>
      <c r="K387" s="521"/>
      <c r="L387" s="505"/>
      <c r="M387" s="505"/>
      <c r="N387" s="505"/>
      <c r="O387" s="505"/>
      <c r="P387" s="506"/>
      <c r="Q387" s="506"/>
      <c r="R387" s="506"/>
      <c r="S387" s="506"/>
      <c r="T387" s="506"/>
      <c r="U387" s="506"/>
      <c r="V387" s="506"/>
      <c r="W387" s="506"/>
      <c r="X387" s="505"/>
      <c r="Y387" s="505"/>
      <c r="Z387" s="505"/>
      <c r="AA387" s="505"/>
      <c r="AB387" s="507"/>
      <c r="AC387" s="505"/>
      <c r="AD387" s="508"/>
      <c r="AE387" s="521"/>
      <c r="AF387" s="505"/>
      <c r="AG387" s="505">
        <f>AF383-AG383</f>
        <v>0</v>
      </c>
      <c r="AH387" s="508">
        <f>AH383-AI383</f>
        <v>0</v>
      </c>
      <c r="AI387" s="521"/>
      <c r="AJ387" s="522"/>
      <c r="AK387" s="506"/>
      <c r="AL387" s="505"/>
      <c r="AM387" s="522"/>
      <c r="AN387" s="506"/>
      <c r="AO387" s="523"/>
      <c r="AP387" s="505"/>
      <c r="AQ387" s="505"/>
      <c r="AR387" s="522"/>
      <c r="AS387" s="521"/>
      <c r="AT387" s="539"/>
      <c r="AU387" s="537"/>
      <c r="AV387" s="434"/>
      <c r="AW387" s="434"/>
      <c r="AX387" s="599">
        <f>AX383+AX385</f>
        <v>360</v>
      </c>
      <c r="AY387" s="600">
        <f>AY383+AY385</f>
        <v>360</v>
      </c>
      <c r="AZ387" s="506"/>
      <c r="BA387" s="524"/>
    </row>
    <row r="388" spans="1:53" ht="14.25" thickTop="1" thickBot="1" x14ac:dyDescent="0.25">
      <c r="A388" s="253"/>
      <c r="B388" s="16"/>
      <c r="C388" s="27"/>
      <c r="D388" s="608">
        <f>E383-D383</f>
        <v>0</v>
      </c>
      <c r="E388" s="609"/>
      <c r="F388" s="610"/>
      <c r="G388" s="610"/>
      <c r="H388" s="610"/>
      <c r="I388" s="610"/>
      <c r="J388" s="610"/>
      <c r="K388" s="609"/>
      <c r="L388" s="610"/>
      <c r="M388" s="610"/>
      <c r="N388" s="610"/>
      <c r="O388" s="610"/>
      <c r="P388" s="611"/>
      <c r="Q388" s="611"/>
      <c r="R388" s="611"/>
      <c r="S388" s="611"/>
      <c r="T388" s="611"/>
      <c r="U388" s="611"/>
      <c r="V388" s="611"/>
      <c r="W388" s="611"/>
      <c r="X388" s="612"/>
      <c r="Y388" s="612"/>
      <c r="Z388" s="612"/>
      <c r="AA388" s="612"/>
      <c r="AB388" s="613"/>
      <c r="AC388" s="612">
        <f>L388+N388+P388+AB388</f>
        <v>0</v>
      </c>
      <c r="AD388" s="614"/>
      <c r="AE388" s="615">
        <f>D388+H388+K388+AC388</f>
        <v>0</v>
      </c>
      <c r="AF388" s="612"/>
      <c r="AG388" s="612"/>
      <c r="AH388" s="614"/>
      <c r="AI388" s="615"/>
      <c r="AJ388" s="616"/>
      <c r="AK388" s="611"/>
      <c r="AL388" s="612"/>
      <c r="AM388" s="616"/>
      <c r="AN388" s="611"/>
      <c r="AO388" s="617"/>
      <c r="AP388" s="612"/>
      <c r="AQ388" s="612"/>
      <c r="AR388" s="616"/>
      <c r="AS388" s="615"/>
      <c r="AT388" s="618"/>
      <c r="AU388" s="619"/>
      <c r="AV388" s="620"/>
      <c r="AW388" s="620"/>
      <c r="AX388" s="614"/>
      <c r="AY388" s="615"/>
      <c r="AZ388" s="611"/>
      <c r="BA388" s="621"/>
    </row>
    <row r="389" spans="1:53" x14ac:dyDescent="0.2">
      <c r="L389" s="505"/>
      <c r="M389" s="505"/>
      <c r="AC389" s="578">
        <f>L389+N389+P389+AB389</f>
        <v>0</v>
      </c>
      <c r="AD389" s="505"/>
      <c r="AE389" s="505">
        <f>D389+H389+K389+AC389</f>
        <v>0</v>
      </c>
      <c r="AF389" s="505"/>
      <c r="AG389" s="505"/>
      <c r="AH389" s="505"/>
      <c r="AI389" s="505"/>
      <c r="AJ389" s="522"/>
      <c r="AK389" s="506"/>
      <c r="AL389" s="505"/>
      <c r="AM389" s="522"/>
      <c r="AN389" s="506"/>
      <c r="AO389" s="522"/>
      <c r="AP389" s="505"/>
      <c r="AQ389" s="505"/>
      <c r="AR389" s="522"/>
      <c r="AS389" s="505"/>
      <c r="AT389" s="505"/>
      <c r="AU389" s="505"/>
      <c r="AV389" s="434"/>
      <c r="AW389" s="434"/>
      <c r="AX389" s="505"/>
      <c r="AY389" s="505"/>
      <c r="AZ389" s="506"/>
      <c r="BA389" s="506"/>
    </row>
    <row r="390" spans="1:53" x14ac:dyDescent="0.2">
      <c r="H390" s="622"/>
      <c r="I390" s="622"/>
      <c r="J390" s="622"/>
      <c r="K390" s="622"/>
      <c r="L390" s="605"/>
      <c r="M390" s="605"/>
      <c r="N390" s="622"/>
      <c r="O390" s="622"/>
      <c r="AC390" s="578">
        <f>L390+N390+P390+AB390</f>
        <v>0</v>
      </c>
      <c r="AD390" s="505"/>
      <c r="AE390" s="505">
        <f>D390+H390+K390+AC390</f>
        <v>0</v>
      </c>
      <c r="AF390" s="505"/>
      <c r="AG390" s="505"/>
      <c r="AH390" s="505"/>
      <c r="AI390" s="505"/>
      <c r="AJ390" s="522"/>
      <c r="AK390" s="623"/>
      <c r="AL390" s="624"/>
      <c r="AM390" s="625"/>
      <c r="AN390" s="626"/>
      <c r="AO390" s="522"/>
      <c r="AP390" s="505"/>
      <c r="AQ390" s="505"/>
      <c r="AR390" s="522"/>
      <c r="AS390" s="505"/>
      <c r="AT390" s="505"/>
      <c r="AU390" s="505"/>
      <c r="AV390" s="627"/>
      <c r="AW390" s="578"/>
      <c r="AX390" s="539"/>
      <c r="AY390" s="539"/>
      <c r="AZ390" s="628"/>
      <c r="BA390" s="628">
        <f>AZ383-BA383</f>
        <v>0</v>
      </c>
    </row>
    <row r="391" spans="1:53" x14ac:dyDescent="0.2">
      <c r="AF391" s="505"/>
      <c r="AG391" s="505"/>
      <c r="BA391" s="629"/>
    </row>
    <row r="395" spans="1:53" x14ac:dyDescent="0.2">
      <c r="A395" s="119"/>
      <c r="B395" s="119"/>
      <c r="C395" s="119"/>
      <c r="D395" s="630"/>
      <c r="E395" s="630"/>
      <c r="F395" s="630"/>
      <c r="G395" s="630"/>
      <c r="H395" s="631"/>
      <c r="I395" s="631"/>
      <c r="J395" s="631"/>
      <c r="K395" s="631"/>
      <c r="L395" s="631"/>
      <c r="M395" s="631"/>
      <c r="N395" s="631"/>
      <c r="O395" s="631"/>
      <c r="P395" s="630"/>
      <c r="Q395" s="630"/>
      <c r="R395" s="630"/>
      <c r="S395" s="630"/>
      <c r="T395" s="630"/>
      <c r="U395" s="630"/>
      <c r="V395" s="630"/>
      <c r="W395" s="630"/>
      <c r="X395" s="631"/>
      <c r="Y395" s="631"/>
      <c r="Z395" s="631"/>
      <c r="AA395" s="631"/>
      <c r="AB395" s="631"/>
      <c r="AC395" s="631"/>
      <c r="AD395" s="631"/>
      <c r="AE395" s="631"/>
      <c r="AF395" s="631"/>
      <c r="AG395" s="631"/>
      <c r="AH395" s="631"/>
      <c r="AI395" s="631"/>
      <c r="AJ395" s="632"/>
    </row>
    <row r="396" spans="1:53" x14ac:dyDescent="0.2">
      <c r="A396" s="119"/>
      <c r="B396" s="119"/>
      <c r="C396" s="119"/>
      <c r="D396" s="630"/>
      <c r="E396" s="630"/>
      <c r="F396" s="630"/>
      <c r="G396" s="630"/>
      <c r="H396" s="631"/>
      <c r="I396" s="631"/>
      <c r="J396" s="631"/>
      <c r="K396" s="631"/>
      <c r="L396" s="631"/>
      <c r="M396" s="631"/>
      <c r="N396" s="631"/>
      <c r="O396" s="631"/>
      <c r="P396" s="630"/>
      <c r="Q396" s="630"/>
      <c r="R396" s="630"/>
      <c r="S396" s="630"/>
      <c r="T396" s="630"/>
      <c r="U396" s="630"/>
      <c r="V396" s="630"/>
      <c r="W396" s="630"/>
      <c r="X396" s="631"/>
      <c r="Y396" s="631"/>
      <c r="Z396" s="631"/>
      <c r="AA396" s="631"/>
      <c r="AB396" s="631"/>
      <c r="AC396" s="631"/>
      <c r="AD396" s="631"/>
      <c r="AE396" s="631"/>
      <c r="AF396" s="631"/>
      <c r="AG396" s="631"/>
      <c r="AH396" s="631"/>
      <c r="AI396" s="631"/>
      <c r="AJ396" s="632"/>
    </row>
    <row r="399" spans="1:53" x14ac:dyDescent="0.2">
      <c r="A399" s="4" t="s">
        <v>584</v>
      </c>
    </row>
    <row r="400" spans="1:53" ht="2.25" customHeight="1" x14ac:dyDescent="0.2">
      <c r="A400" s="4"/>
    </row>
    <row r="401" spans="1:53" ht="51" x14ac:dyDescent="0.2">
      <c r="A401" s="4">
        <v>1</v>
      </c>
      <c r="C401" s="1163" t="s">
        <v>448</v>
      </c>
    </row>
    <row r="402" spans="1:53" ht="2.25" customHeight="1" x14ac:dyDescent="0.2">
      <c r="A402" s="4"/>
    </row>
    <row r="403" spans="1:53" x14ac:dyDescent="0.2">
      <c r="A403" s="4">
        <v>2</v>
      </c>
      <c r="C403" t="s">
        <v>83</v>
      </c>
    </row>
    <row r="404" spans="1:53" ht="2.25" customHeight="1" x14ac:dyDescent="0.2">
      <c r="A404" s="4"/>
    </row>
    <row r="405" spans="1:53" x14ac:dyDescent="0.2">
      <c r="A405" s="4">
        <v>3</v>
      </c>
      <c r="B405" t="s">
        <v>494</v>
      </c>
    </row>
    <row r="406" spans="1:53" x14ac:dyDescent="0.2">
      <c r="A406" s="4"/>
      <c r="B406" t="s">
        <v>495</v>
      </c>
    </row>
    <row r="407" spans="1:53" ht="2.25" customHeight="1" x14ac:dyDescent="0.2">
      <c r="A407" s="4">
        <v>4</v>
      </c>
    </row>
    <row r="408" spans="1:53" ht="12.75" customHeight="1" x14ac:dyDescent="0.2">
      <c r="A408" s="4">
        <v>4</v>
      </c>
      <c r="B408" s="1387" t="s">
        <v>815</v>
      </c>
      <c r="C408" s="1387"/>
      <c r="D408" s="1387"/>
      <c r="E408" s="1387"/>
      <c r="F408" s="1387"/>
      <c r="G408" s="1387"/>
      <c r="H408" s="1387"/>
      <c r="I408" s="1387"/>
      <c r="J408" s="1387"/>
      <c r="K408" s="1387"/>
      <c r="L408" s="1387"/>
      <c r="M408" s="1387"/>
      <c r="N408" s="1387"/>
      <c r="O408" s="1387"/>
      <c r="P408" s="1387"/>
      <c r="Q408" s="1387"/>
      <c r="R408" s="1387"/>
      <c r="S408" s="1387"/>
      <c r="T408" s="1387"/>
      <c r="U408" s="1387"/>
      <c r="V408" s="1387"/>
      <c r="W408" s="1387"/>
      <c r="X408" s="1387"/>
      <c r="Y408" s="1387"/>
      <c r="Z408" s="1387"/>
      <c r="AA408" s="1387"/>
      <c r="AB408" s="1387"/>
      <c r="AC408" s="1387"/>
      <c r="AD408" s="1387"/>
      <c r="AE408" s="1387"/>
      <c r="AF408" s="1387"/>
      <c r="AG408" s="1387"/>
      <c r="AH408" s="1387"/>
      <c r="AI408" s="1387"/>
      <c r="AJ408" s="1387"/>
      <c r="AK408" s="1387"/>
      <c r="AL408" s="1387"/>
      <c r="AM408" s="1387"/>
      <c r="AN408" s="633"/>
      <c r="AO408" s="634"/>
      <c r="AP408" s="634"/>
      <c r="AQ408" s="634"/>
      <c r="AR408" s="634"/>
      <c r="AS408" s="634"/>
      <c r="AT408" s="634"/>
      <c r="AU408" s="634"/>
      <c r="AV408" s="633"/>
      <c r="AW408" s="633"/>
      <c r="AX408" s="634"/>
      <c r="AY408" s="634"/>
      <c r="AZ408" s="633"/>
      <c r="BA408" s="633"/>
    </row>
    <row r="409" spans="1:53" ht="12.75" customHeight="1" x14ac:dyDescent="0.2">
      <c r="A409" s="4">
        <v>5</v>
      </c>
      <c r="B409" s="35" t="s">
        <v>496</v>
      </c>
      <c r="C409" s="34"/>
      <c r="D409" s="634"/>
      <c r="E409" s="634"/>
      <c r="F409" s="634"/>
      <c r="G409" s="634"/>
      <c r="H409" s="634"/>
      <c r="I409" s="634"/>
      <c r="J409" s="634"/>
      <c r="K409" s="634"/>
      <c r="L409" s="634"/>
      <c r="M409" s="634"/>
      <c r="N409" s="634"/>
      <c r="O409" s="634"/>
      <c r="P409" s="634"/>
      <c r="Q409" s="634"/>
      <c r="R409" s="634"/>
      <c r="S409" s="634"/>
      <c r="T409" s="634"/>
      <c r="U409" s="634"/>
      <c r="V409" s="634"/>
      <c r="W409" s="634"/>
      <c r="X409" s="634"/>
      <c r="Y409" s="634"/>
      <c r="Z409" s="634"/>
      <c r="AA409" s="634"/>
      <c r="AB409" s="634"/>
      <c r="AC409" s="634"/>
      <c r="AD409" s="634"/>
      <c r="AE409" s="634"/>
      <c r="AF409" s="634"/>
      <c r="AG409" s="634"/>
      <c r="AH409" s="634"/>
      <c r="AI409" s="634"/>
      <c r="AJ409" s="634"/>
      <c r="AK409" s="634"/>
      <c r="AL409" s="634"/>
      <c r="AM409" s="634"/>
      <c r="AN409" s="633"/>
      <c r="AO409" s="634"/>
      <c r="AP409" s="634"/>
      <c r="AQ409" s="634"/>
      <c r="AR409" s="634"/>
      <c r="AS409" s="634"/>
      <c r="AT409" s="634"/>
      <c r="AU409" s="634"/>
      <c r="AV409" s="633"/>
      <c r="AW409" s="633"/>
      <c r="AX409" s="634"/>
      <c r="AY409" s="634"/>
      <c r="AZ409" s="633"/>
      <c r="BA409" s="633"/>
    </row>
    <row r="410" spans="1:53" ht="2.25" customHeight="1" x14ac:dyDescent="0.2">
      <c r="A410" s="4"/>
      <c r="B410" s="34"/>
      <c r="C410" s="34"/>
      <c r="D410" s="634"/>
      <c r="E410" s="634"/>
      <c r="F410" s="634"/>
      <c r="G410" s="634"/>
      <c r="H410" s="634"/>
      <c r="I410" s="634"/>
      <c r="J410" s="634"/>
      <c r="K410" s="634"/>
      <c r="L410" s="634"/>
      <c r="M410" s="634"/>
      <c r="N410" s="634"/>
      <c r="O410" s="634"/>
      <c r="P410" s="634"/>
      <c r="Q410" s="634"/>
      <c r="R410" s="634"/>
      <c r="S410" s="634"/>
      <c r="T410" s="634"/>
      <c r="U410" s="634"/>
      <c r="V410" s="634"/>
      <c r="W410" s="634"/>
      <c r="X410" s="634"/>
      <c r="Y410" s="634"/>
      <c r="Z410" s="634"/>
      <c r="AA410" s="634"/>
      <c r="AB410" s="634"/>
      <c r="AC410" s="634"/>
      <c r="AD410" s="634"/>
      <c r="AE410" s="634"/>
      <c r="AF410" s="634"/>
      <c r="AG410" s="634"/>
      <c r="AH410" s="634"/>
      <c r="AI410" s="634"/>
      <c r="AJ410" s="634"/>
      <c r="AK410" s="634"/>
      <c r="AL410" s="634"/>
      <c r="AM410" s="634"/>
      <c r="AN410" s="633"/>
      <c r="AO410" s="634"/>
      <c r="AP410" s="634"/>
      <c r="AQ410" s="634"/>
      <c r="AR410" s="634"/>
      <c r="AS410" s="634"/>
      <c r="AT410" s="634"/>
      <c r="AU410" s="634"/>
      <c r="AV410" s="633"/>
      <c r="AW410" s="633"/>
      <c r="AX410" s="634"/>
      <c r="AY410" s="634"/>
      <c r="AZ410" s="633"/>
      <c r="BA410" s="633"/>
    </row>
    <row r="411" spans="1:53" ht="14.25" customHeight="1" x14ac:dyDescent="0.2">
      <c r="A411" s="4">
        <v>5</v>
      </c>
      <c r="B411" t="s">
        <v>406</v>
      </c>
    </row>
    <row r="412" spans="1:53" ht="2.25" customHeight="1" x14ac:dyDescent="0.2">
      <c r="A412" s="4"/>
    </row>
    <row r="413" spans="1:53" x14ac:dyDescent="0.2">
      <c r="A413" s="4">
        <v>6</v>
      </c>
      <c r="B413" t="s">
        <v>249</v>
      </c>
    </row>
    <row r="419" spans="42:49" x14ac:dyDescent="0.2">
      <c r="AP419" s="635"/>
      <c r="AQ419" s="635"/>
      <c r="AR419" s="636"/>
      <c r="AS419" s="635"/>
      <c r="AT419" s="635"/>
      <c r="AU419" s="635"/>
      <c r="AV419" s="637"/>
      <c r="AW419" s="637"/>
    </row>
  </sheetData>
  <mergeCells count="56">
    <mergeCell ref="D1:K1"/>
    <mergeCell ref="A357:C357"/>
    <mergeCell ref="A258:C258"/>
    <mergeCell ref="B249:B251"/>
    <mergeCell ref="B254:B256"/>
    <mergeCell ref="D3:K3"/>
    <mergeCell ref="B239:B241"/>
    <mergeCell ref="B244:B246"/>
    <mergeCell ref="B213:B215"/>
    <mergeCell ref="B224:B226"/>
    <mergeCell ref="B229:B231"/>
    <mergeCell ref="B234:B236"/>
    <mergeCell ref="B218:B221"/>
    <mergeCell ref="AY1:AZ1"/>
    <mergeCell ref="AV1:AW1"/>
    <mergeCell ref="AH2:AI2"/>
    <mergeCell ref="AZ3:BA3"/>
    <mergeCell ref="AZ4:BA4"/>
    <mergeCell ref="AX3:AY3"/>
    <mergeCell ref="AX4:AY4"/>
    <mergeCell ref="AV4:AW4"/>
    <mergeCell ref="AX194:AY194"/>
    <mergeCell ref="T4:U4"/>
    <mergeCell ref="V4:W4"/>
    <mergeCell ref="X4:Y4"/>
    <mergeCell ref="B179:B192"/>
    <mergeCell ref="F4:G4"/>
    <mergeCell ref="L4:M4"/>
    <mergeCell ref="N4:O4"/>
    <mergeCell ref="B408:AM408"/>
    <mergeCell ref="AO1:AS1"/>
    <mergeCell ref="AO2:AS2"/>
    <mergeCell ref="AD4:AE4"/>
    <mergeCell ref="AF3:AG3"/>
    <mergeCell ref="AF4:AG4"/>
    <mergeCell ref="AB4:AC4"/>
    <mergeCell ref="AJ1:AN1"/>
    <mergeCell ref="AJ2:AN2"/>
    <mergeCell ref="AD3:AE3"/>
    <mergeCell ref="AJ4:AN4"/>
    <mergeCell ref="AO3:AS3"/>
    <mergeCell ref="AO4:AS4"/>
    <mergeCell ref="D4:E4"/>
    <mergeCell ref="H4:I4"/>
    <mergeCell ref="J4:K4"/>
    <mergeCell ref="AF1:AG2"/>
    <mergeCell ref="L3:S3"/>
    <mergeCell ref="AH3:AI3"/>
    <mergeCell ref="AH4:AI4"/>
    <mergeCell ref="R4:S4"/>
    <mergeCell ref="L1:P1"/>
    <mergeCell ref="AD1:AE2"/>
    <mergeCell ref="AB1:AC1"/>
    <mergeCell ref="AB2:AC2"/>
    <mergeCell ref="P4:Q4"/>
    <mergeCell ref="Z4:AA4"/>
  </mergeCells>
  <phoneticPr fontId="17" type="noConversion"/>
  <pageMargins left="0.26" right="0.22" top="0.91" bottom="0.65" header="0.42" footer="0.5"/>
  <pageSetup paperSize="5" scale="31" fitToHeight="5" orientation="landscape" r:id="rId1"/>
  <headerFooter alignWithMargins="0">
    <oddHeader>&amp;L&amp;D&amp;C&amp;"Arial,Bold"&amp;14Carolina County
&amp;"Arial,Regular"GASB 34 Conversion Worksheet&amp;"Arial,Bold"
&amp;11to prepare the Government-wide Statements - (including  adjustments and consolidations)&amp;R&amp;P</oddHeader>
    <oddFooter>&amp;L&amp;F</oddFooter>
  </headerFooter>
  <rowBreaks count="4" manualBreakCount="4">
    <brk id="70" max="52" man="1"/>
    <brk id="193" max="16383" man="1"/>
    <brk id="257" max="16383" man="1"/>
    <brk id="356" max="16383" man="1"/>
  </rowBreaks>
  <colBreaks count="1" manualBreakCount="1">
    <brk id="53" max="1048575" man="1"/>
  </colBreaks>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24AEB-5043-4FC6-B6B8-0AFB03CCD702}">
  <dimension ref="A1:O2362"/>
  <sheetViews>
    <sheetView zoomScaleNormal="100" workbookViewId="0">
      <selection activeCell="F899" sqref="F899"/>
    </sheetView>
  </sheetViews>
  <sheetFormatPr defaultRowHeight="15" x14ac:dyDescent="0.25"/>
  <cols>
    <col min="1" max="1" width="12.140625" style="1285" bestFit="1" customWidth="1"/>
    <col min="2" max="2" width="55.5703125" style="1285" bestFit="1" customWidth="1"/>
    <col min="3" max="3" width="27" style="1299" bestFit="1" customWidth="1"/>
    <col min="4" max="4" width="9.140625" style="1285"/>
    <col min="5" max="5" width="30.140625" style="1288" customWidth="1"/>
    <col min="6" max="6" width="21" style="1288" customWidth="1"/>
    <col min="7" max="7" width="16" style="1288" bestFit="1" customWidth="1"/>
    <col min="8" max="11" width="9.140625" style="1288"/>
    <col min="12" max="12" width="55.5703125" style="1288" bestFit="1" customWidth="1"/>
    <col min="13" max="13" width="19.28515625" style="1288" bestFit="1" customWidth="1"/>
    <col min="14" max="14" width="15.28515625" style="1288" bestFit="1" customWidth="1"/>
    <col min="15" max="15" width="11.5703125" style="1288" bestFit="1" customWidth="1"/>
    <col min="16" max="16384" width="9.140625" style="1288"/>
  </cols>
  <sheetData>
    <row r="1" spans="1:15" ht="15.75" thickBot="1" x14ac:dyDescent="0.3">
      <c r="C1" s="1286">
        <f>SUM(C3:C923)</f>
        <v>627119908.36000001</v>
      </c>
      <c r="E1" s="1287"/>
      <c r="F1" s="1286"/>
      <c r="G1" s="1287"/>
      <c r="M1" s="1287"/>
      <c r="N1" s="1289"/>
      <c r="O1" s="1287"/>
    </row>
    <row r="2" spans="1:15" ht="15.75" thickTop="1" x14ac:dyDescent="0.25">
      <c r="A2" s="1290" t="s">
        <v>4808</v>
      </c>
      <c r="B2" s="1290" t="s">
        <v>4809</v>
      </c>
      <c r="C2" s="1291" t="s">
        <v>4803</v>
      </c>
      <c r="D2" s="1285" t="s">
        <v>4810</v>
      </c>
      <c r="K2" s="1292"/>
      <c r="L2" s="1292"/>
      <c r="M2" s="1293"/>
    </row>
    <row r="3" spans="1:15" x14ac:dyDescent="0.25">
      <c r="A3" s="1294" t="s">
        <v>837</v>
      </c>
      <c r="B3" s="1295" t="s">
        <v>2112</v>
      </c>
      <c r="C3" s="1296">
        <v>0</v>
      </c>
      <c r="K3" s="1297"/>
      <c r="L3" s="1297"/>
      <c r="M3" s="1298"/>
    </row>
    <row r="4" spans="1:15" x14ac:dyDescent="0.25">
      <c r="A4" s="1288">
        <v>70505</v>
      </c>
      <c r="B4" s="1288" t="s">
        <v>2653</v>
      </c>
      <c r="C4" s="1287">
        <v>228109.77</v>
      </c>
      <c r="D4" s="1288"/>
    </row>
    <row r="5" spans="1:15" x14ac:dyDescent="0.25">
      <c r="A5" s="1288">
        <v>72265</v>
      </c>
      <c r="B5" s="1288" t="s">
        <v>2655</v>
      </c>
      <c r="C5" s="1287">
        <v>99097.33</v>
      </c>
      <c r="D5" s="1288"/>
    </row>
    <row r="6" spans="1:15" x14ac:dyDescent="0.25">
      <c r="A6" s="1288">
        <v>72593</v>
      </c>
      <c r="B6" s="1288" t="s">
        <v>3681</v>
      </c>
      <c r="C6" s="1287">
        <v>3367.92</v>
      </c>
      <c r="D6" s="1288"/>
    </row>
    <row r="7" spans="1:15" x14ac:dyDescent="0.25">
      <c r="A7" s="1288">
        <v>72657</v>
      </c>
      <c r="B7" s="1288" t="s">
        <v>2656</v>
      </c>
      <c r="C7" s="1287">
        <v>20397.61</v>
      </c>
      <c r="D7" s="1288"/>
    </row>
    <row r="8" spans="1:15" x14ac:dyDescent="0.25">
      <c r="A8" s="1288">
        <v>90001</v>
      </c>
      <c r="B8" s="1288" t="s">
        <v>2657</v>
      </c>
      <c r="C8" s="1287">
        <v>567667.92000000004</v>
      </c>
      <c r="D8" s="1288"/>
    </row>
    <row r="9" spans="1:15" x14ac:dyDescent="0.25">
      <c r="A9" s="1288">
        <v>90002</v>
      </c>
      <c r="B9" s="1288" t="s">
        <v>2658</v>
      </c>
      <c r="C9" s="1287">
        <v>7949.28</v>
      </c>
      <c r="D9" s="1288"/>
    </row>
    <row r="10" spans="1:15" x14ac:dyDescent="0.25">
      <c r="A10" s="1288">
        <v>90011</v>
      </c>
      <c r="B10" s="1288" t="s">
        <v>2659</v>
      </c>
      <c r="C10" s="1287">
        <v>114792.8</v>
      </c>
      <c r="D10" s="1288"/>
    </row>
    <row r="11" spans="1:15" x14ac:dyDescent="0.25">
      <c r="A11" s="1288">
        <v>90092</v>
      </c>
      <c r="B11" s="1288" t="s">
        <v>2660</v>
      </c>
      <c r="C11" s="1287">
        <v>267280.76</v>
      </c>
      <c r="D11" s="1288"/>
    </row>
    <row r="12" spans="1:15" x14ac:dyDescent="0.25">
      <c r="A12" s="1288">
        <v>90096</v>
      </c>
      <c r="B12" s="1288" t="s">
        <v>2661</v>
      </c>
      <c r="C12" s="1287">
        <v>722594.62</v>
      </c>
      <c r="D12" s="1288"/>
    </row>
    <row r="13" spans="1:15" x14ac:dyDescent="0.25">
      <c r="A13" s="1288">
        <v>90098</v>
      </c>
      <c r="B13" s="1288" t="s">
        <v>2662</v>
      </c>
      <c r="C13" s="1287">
        <v>171593.89</v>
      </c>
      <c r="D13" s="1288"/>
    </row>
    <row r="14" spans="1:15" x14ac:dyDescent="0.25">
      <c r="A14" s="1288">
        <v>90099</v>
      </c>
      <c r="B14" s="1288" t="s">
        <v>2663</v>
      </c>
      <c r="C14" s="1287">
        <v>391399.31</v>
      </c>
      <c r="D14" s="1288"/>
    </row>
    <row r="15" spans="1:15" x14ac:dyDescent="0.25">
      <c r="A15" s="1288">
        <v>90101</v>
      </c>
      <c r="B15" s="1288" t="s">
        <v>2664</v>
      </c>
      <c r="C15" s="1287">
        <v>3958426.94</v>
      </c>
      <c r="D15" s="1288"/>
    </row>
    <row r="16" spans="1:15" x14ac:dyDescent="0.25">
      <c r="A16" s="1288">
        <v>90111</v>
      </c>
      <c r="B16" s="1288" t="s">
        <v>2665</v>
      </c>
      <c r="C16" s="1287">
        <v>2988584.08</v>
      </c>
      <c r="D16" s="1288"/>
    </row>
    <row r="17" spans="1:4" x14ac:dyDescent="0.25">
      <c r="A17" s="1288">
        <v>90114</v>
      </c>
      <c r="B17" s="1288" t="s">
        <v>2666</v>
      </c>
      <c r="C17" s="1287">
        <v>696039.63</v>
      </c>
      <c r="D17" s="1288"/>
    </row>
    <row r="18" spans="1:4" x14ac:dyDescent="0.25">
      <c r="A18" s="1288">
        <v>90117</v>
      </c>
      <c r="B18" s="1288" t="s">
        <v>2667</v>
      </c>
      <c r="C18" s="1287">
        <v>111978.9</v>
      </c>
      <c r="D18" s="1288"/>
    </row>
    <row r="19" spans="1:4" x14ac:dyDescent="0.25">
      <c r="A19" s="1288">
        <v>90121</v>
      </c>
      <c r="B19" s="1288" t="s">
        <v>2668</v>
      </c>
      <c r="C19" s="1287">
        <v>637436.59</v>
      </c>
      <c r="D19" s="1288"/>
    </row>
    <row r="20" spans="1:4" x14ac:dyDescent="0.25">
      <c r="A20" s="1288">
        <v>90131</v>
      </c>
      <c r="B20" s="1288" t="s">
        <v>2669</v>
      </c>
      <c r="C20" s="1287">
        <v>300583.02</v>
      </c>
      <c r="D20" s="1288"/>
    </row>
    <row r="21" spans="1:4" x14ac:dyDescent="0.25">
      <c r="A21" s="1288">
        <v>90141</v>
      </c>
      <c r="B21" s="1288" t="s">
        <v>2670</v>
      </c>
      <c r="C21" s="1287">
        <v>95381.78</v>
      </c>
      <c r="D21" s="1288"/>
    </row>
    <row r="22" spans="1:4" x14ac:dyDescent="0.25">
      <c r="A22" s="1288">
        <v>90151</v>
      </c>
      <c r="B22" s="1288" t="s">
        <v>2671</v>
      </c>
      <c r="C22" s="1287">
        <v>4163.16</v>
      </c>
      <c r="D22" s="1288"/>
    </row>
    <row r="23" spans="1:4" x14ac:dyDescent="0.25">
      <c r="A23" s="1288">
        <v>90161</v>
      </c>
      <c r="B23" s="1288" t="s">
        <v>2672</v>
      </c>
      <c r="C23" s="1287">
        <v>18427.77</v>
      </c>
      <c r="D23" s="1288"/>
    </row>
    <row r="24" spans="1:4" x14ac:dyDescent="0.25">
      <c r="A24" s="1288">
        <v>90201</v>
      </c>
      <c r="B24" s="1288" t="s">
        <v>2673</v>
      </c>
      <c r="C24" s="1287">
        <v>797001.1</v>
      </c>
      <c r="D24" s="1288"/>
    </row>
    <row r="25" spans="1:4" x14ac:dyDescent="0.25">
      <c r="A25" s="1288">
        <v>90203</v>
      </c>
      <c r="B25" s="1288" t="s">
        <v>2674</v>
      </c>
      <c r="C25" s="1287">
        <v>122079.85</v>
      </c>
      <c r="D25" s="1288"/>
    </row>
    <row r="26" spans="1:4" x14ac:dyDescent="0.25">
      <c r="A26" s="1288">
        <v>90205</v>
      </c>
      <c r="B26" s="1288" t="s">
        <v>2675</v>
      </c>
      <c r="C26" s="1287">
        <v>20358.22</v>
      </c>
      <c r="D26" s="1288"/>
    </row>
    <row r="27" spans="1:4" x14ac:dyDescent="0.25">
      <c r="A27" s="1288">
        <v>90206</v>
      </c>
      <c r="B27" s="1288" t="s">
        <v>2676</v>
      </c>
      <c r="C27" s="1287">
        <v>255137.53</v>
      </c>
      <c r="D27" s="1288"/>
    </row>
    <row r="28" spans="1:4" x14ac:dyDescent="0.25">
      <c r="A28" s="1288">
        <v>90211</v>
      </c>
      <c r="B28" s="1288" t="s">
        <v>2677</v>
      </c>
      <c r="C28" s="1287">
        <v>103257.51</v>
      </c>
      <c r="D28" s="1288"/>
    </row>
    <row r="29" spans="1:4" x14ac:dyDescent="0.25">
      <c r="A29" s="1288">
        <v>90301</v>
      </c>
      <c r="B29" s="1288" t="s">
        <v>2678</v>
      </c>
      <c r="C29" s="1287">
        <v>455164.13</v>
      </c>
      <c r="D29" s="1288"/>
    </row>
    <row r="30" spans="1:4" x14ac:dyDescent="0.25">
      <c r="A30" s="1288">
        <v>90305</v>
      </c>
      <c r="B30" s="1288" t="s">
        <v>2679</v>
      </c>
      <c r="C30" s="1287">
        <v>108110.7</v>
      </c>
      <c r="D30" s="1288"/>
    </row>
    <row r="31" spans="1:4" x14ac:dyDescent="0.25">
      <c r="A31" s="1288">
        <v>90307</v>
      </c>
      <c r="B31" s="1288" t="s">
        <v>2680</v>
      </c>
      <c r="C31" s="1287">
        <v>5120.71</v>
      </c>
      <c r="D31" s="1288"/>
    </row>
    <row r="32" spans="1:4" x14ac:dyDescent="0.25">
      <c r="A32" s="1288">
        <v>90401</v>
      </c>
      <c r="B32" s="1288" t="s">
        <v>2681</v>
      </c>
      <c r="C32" s="1287">
        <v>917699.35</v>
      </c>
      <c r="D32" s="1288"/>
    </row>
    <row r="33" spans="1:4" x14ac:dyDescent="0.25">
      <c r="A33" s="1288">
        <v>90411</v>
      </c>
      <c r="B33" s="1288" t="s">
        <v>2682</v>
      </c>
      <c r="C33" s="1287">
        <v>217249.95</v>
      </c>
      <c r="D33" s="1288"/>
    </row>
    <row r="34" spans="1:4" x14ac:dyDescent="0.25">
      <c r="A34" s="1288">
        <v>90413</v>
      </c>
      <c r="B34" s="1288" t="s">
        <v>2683</v>
      </c>
      <c r="C34" s="1287">
        <v>24275.68</v>
      </c>
      <c r="D34" s="1288"/>
    </row>
    <row r="35" spans="1:4" x14ac:dyDescent="0.25">
      <c r="A35" s="1288">
        <v>90417</v>
      </c>
      <c r="B35" s="1288" t="s">
        <v>2684</v>
      </c>
      <c r="C35" s="1287">
        <v>10428.19</v>
      </c>
      <c r="D35" s="1288"/>
    </row>
    <row r="36" spans="1:4" x14ac:dyDescent="0.25">
      <c r="A36" s="1288">
        <v>90421</v>
      </c>
      <c r="B36" s="1288" t="s">
        <v>2685</v>
      </c>
      <c r="C36" s="1287">
        <v>17739.28</v>
      </c>
      <c r="D36" s="1288"/>
    </row>
    <row r="37" spans="1:4" x14ac:dyDescent="0.25">
      <c r="A37" s="1288">
        <v>90431</v>
      </c>
      <c r="B37" s="1288" t="s">
        <v>2686</v>
      </c>
      <c r="C37" s="1287">
        <v>29582.35</v>
      </c>
      <c r="D37" s="1288"/>
    </row>
    <row r="38" spans="1:4" x14ac:dyDescent="0.25">
      <c r="A38" s="1288">
        <v>90441</v>
      </c>
      <c r="B38" s="1288" t="s">
        <v>2687</v>
      </c>
      <c r="C38" s="1287">
        <v>6402.25</v>
      </c>
      <c r="D38" s="1288"/>
    </row>
    <row r="39" spans="1:4" x14ac:dyDescent="0.25">
      <c r="A39" s="1288">
        <v>90451</v>
      </c>
      <c r="B39" s="1288" t="s">
        <v>2688</v>
      </c>
      <c r="C39" s="1287">
        <v>13205.58</v>
      </c>
      <c r="D39" s="1288"/>
    </row>
    <row r="40" spans="1:4" x14ac:dyDescent="0.25">
      <c r="A40" s="1288">
        <v>90461</v>
      </c>
      <c r="B40" s="1288" t="s">
        <v>2689</v>
      </c>
      <c r="C40" s="1287">
        <v>8283.15</v>
      </c>
      <c r="D40" s="1288"/>
    </row>
    <row r="41" spans="1:4" x14ac:dyDescent="0.25">
      <c r="A41" s="1288">
        <v>90501</v>
      </c>
      <c r="B41" s="1288" t="s">
        <v>2690</v>
      </c>
      <c r="C41" s="1287">
        <v>944552.57</v>
      </c>
      <c r="D41" s="1288"/>
    </row>
    <row r="42" spans="1:4" x14ac:dyDescent="0.25">
      <c r="A42" s="1288">
        <v>90507</v>
      </c>
      <c r="B42" s="1288" t="s">
        <v>1220</v>
      </c>
      <c r="C42" s="1287">
        <v>10352.6</v>
      </c>
      <c r="D42" s="1288"/>
    </row>
    <row r="43" spans="1:4" x14ac:dyDescent="0.25">
      <c r="A43" s="1288">
        <v>90511</v>
      </c>
      <c r="B43" s="1288" t="s">
        <v>2691</v>
      </c>
      <c r="C43" s="1287">
        <v>69867.41</v>
      </c>
      <c r="D43" s="1288"/>
    </row>
    <row r="44" spans="1:4" x14ac:dyDescent="0.25">
      <c r="A44" s="1288">
        <v>90521</v>
      </c>
      <c r="B44" s="1288" t="s">
        <v>2692</v>
      </c>
      <c r="C44" s="1287">
        <v>76200.13</v>
      </c>
      <c r="D44" s="1288"/>
    </row>
    <row r="45" spans="1:4" x14ac:dyDescent="0.25">
      <c r="A45" s="1288">
        <v>90601</v>
      </c>
      <c r="B45" s="1288" t="s">
        <v>2693</v>
      </c>
      <c r="C45" s="1287">
        <v>754018.47</v>
      </c>
      <c r="D45" s="1288"/>
    </row>
    <row r="46" spans="1:4" x14ac:dyDescent="0.25">
      <c r="A46" s="1288">
        <v>90602</v>
      </c>
      <c r="B46" s="1288" t="s">
        <v>2125</v>
      </c>
      <c r="C46" s="1287">
        <v>34526.67</v>
      </c>
      <c r="D46" s="1288"/>
    </row>
    <row r="47" spans="1:4" x14ac:dyDescent="0.25">
      <c r="A47" s="1288">
        <v>90605</v>
      </c>
      <c r="B47" s="1288" t="s">
        <v>2694</v>
      </c>
      <c r="C47" s="1287">
        <v>32065.01</v>
      </c>
      <c r="D47" s="1288"/>
    </row>
    <row r="48" spans="1:4" x14ac:dyDescent="0.25">
      <c r="A48" s="1288">
        <v>90611</v>
      </c>
      <c r="B48" s="1288" t="s">
        <v>2695</v>
      </c>
      <c r="C48" s="1287">
        <v>83091.570000000007</v>
      </c>
      <c r="D48" s="1288"/>
    </row>
    <row r="49" spans="1:4" x14ac:dyDescent="0.25">
      <c r="A49" s="1288">
        <v>90617</v>
      </c>
      <c r="B49" s="1288" t="s">
        <v>2696</v>
      </c>
      <c r="C49" s="1287">
        <v>22630.400000000001</v>
      </c>
      <c r="D49" s="1288"/>
    </row>
    <row r="50" spans="1:4" x14ac:dyDescent="0.25">
      <c r="A50" s="1288">
        <v>90621</v>
      </c>
      <c r="B50" s="1288" t="s">
        <v>2697</v>
      </c>
      <c r="C50" s="1287">
        <v>43471.360000000001</v>
      </c>
      <c r="D50" s="1288"/>
    </row>
    <row r="51" spans="1:4" x14ac:dyDescent="0.25">
      <c r="A51" s="1288">
        <v>90631</v>
      </c>
      <c r="B51" s="1288" t="s">
        <v>2698</v>
      </c>
      <c r="C51" s="1287">
        <v>242029.37</v>
      </c>
      <c r="D51" s="1288"/>
    </row>
    <row r="52" spans="1:4" x14ac:dyDescent="0.25">
      <c r="A52" s="1288">
        <v>90641</v>
      </c>
      <c r="B52" s="1288" t="s">
        <v>2699</v>
      </c>
      <c r="C52" s="1287">
        <v>7880.86</v>
      </c>
      <c r="D52" s="1288"/>
    </row>
    <row r="53" spans="1:4" x14ac:dyDescent="0.25">
      <c r="A53" s="1288">
        <v>90651</v>
      </c>
      <c r="B53" s="1288" t="s">
        <v>4811</v>
      </c>
      <c r="C53" s="1287">
        <v>70405.84</v>
      </c>
      <c r="D53" s="1288"/>
    </row>
    <row r="54" spans="1:4" x14ac:dyDescent="0.25">
      <c r="A54" s="1288">
        <v>90701</v>
      </c>
      <c r="B54" s="1288" t="s">
        <v>3682</v>
      </c>
      <c r="C54" s="1287">
        <v>1483141.07</v>
      </c>
      <c r="D54" s="1288"/>
    </row>
    <row r="55" spans="1:4" x14ac:dyDescent="0.25">
      <c r="A55" s="1288">
        <v>90704</v>
      </c>
      <c r="B55" s="1288" t="s">
        <v>2702</v>
      </c>
      <c r="C55" s="1287">
        <v>39475.06</v>
      </c>
      <c r="D55" s="1288"/>
    </row>
    <row r="56" spans="1:4" x14ac:dyDescent="0.25">
      <c r="A56" s="1288">
        <v>90705</v>
      </c>
      <c r="B56" s="1288" t="s">
        <v>2703</v>
      </c>
      <c r="C56" s="1287">
        <v>29726.5</v>
      </c>
      <c r="D56" s="1288"/>
    </row>
    <row r="57" spans="1:4" x14ac:dyDescent="0.25">
      <c r="A57" s="1288">
        <v>90709</v>
      </c>
      <c r="B57" s="1288" t="s">
        <v>2704</v>
      </c>
      <c r="C57" s="1287">
        <v>99472.92</v>
      </c>
      <c r="D57" s="1288"/>
    </row>
    <row r="58" spans="1:4" x14ac:dyDescent="0.25">
      <c r="A58" s="1288">
        <v>90711</v>
      </c>
      <c r="B58" s="1288" t="s">
        <v>2705</v>
      </c>
      <c r="C58" s="1287">
        <v>974799.16</v>
      </c>
      <c r="D58" s="1288"/>
    </row>
    <row r="59" spans="1:4" x14ac:dyDescent="0.25">
      <c r="A59" s="1288">
        <v>90721</v>
      </c>
      <c r="B59" s="1288" t="s">
        <v>2706</v>
      </c>
      <c r="C59" s="1287">
        <v>18429.37</v>
      </c>
      <c r="D59" s="1288"/>
    </row>
    <row r="60" spans="1:4" x14ac:dyDescent="0.25">
      <c r="A60" s="1288">
        <v>90731</v>
      </c>
      <c r="B60" s="1288" t="s">
        <v>2707</v>
      </c>
      <c r="C60" s="1287">
        <v>100560.37</v>
      </c>
      <c r="D60" s="1288"/>
    </row>
    <row r="61" spans="1:4" x14ac:dyDescent="0.25">
      <c r="A61" s="1288">
        <v>90741</v>
      </c>
      <c r="B61" s="1288" t="s">
        <v>2708</v>
      </c>
      <c r="C61" s="1287">
        <v>9028.39</v>
      </c>
      <c r="D61" s="1288"/>
    </row>
    <row r="62" spans="1:4" x14ac:dyDescent="0.25">
      <c r="A62" s="1288">
        <v>90751</v>
      </c>
      <c r="B62" s="1288" t="s">
        <v>2709</v>
      </c>
      <c r="C62" s="1287">
        <v>39556.06</v>
      </c>
      <c r="D62" s="1288"/>
    </row>
    <row r="63" spans="1:4" x14ac:dyDescent="0.25">
      <c r="A63" s="1288">
        <v>90801</v>
      </c>
      <c r="B63" s="1288" t="s">
        <v>2710</v>
      </c>
      <c r="C63" s="1287">
        <v>702954.6</v>
      </c>
      <c r="D63" s="1288"/>
    </row>
    <row r="64" spans="1:4" x14ac:dyDescent="0.25">
      <c r="A64" s="1288">
        <v>90804</v>
      </c>
      <c r="B64" s="1288" t="s">
        <v>2711</v>
      </c>
      <c r="C64" s="1287">
        <v>3620.7</v>
      </c>
      <c r="D64" s="1288"/>
    </row>
    <row r="65" spans="1:4" x14ac:dyDescent="0.25">
      <c r="A65" s="1288">
        <v>90805</v>
      </c>
      <c r="B65" s="1288" t="s">
        <v>2712</v>
      </c>
      <c r="C65" s="1287">
        <v>51294.54</v>
      </c>
      <c r="D65" s="1288"/>
    </row>
    <row r="66" spans="1:4" x14ac:dyDescent="0.25">
      <c r="A66" s="1288">
        <v>90808</v>
      </c>
      <c r="B66" s="1288" t="s">
        <v>2713</v>
      </c>
      <c r="C66" s="1287">
        <v>96871.39</v>
      </c>
      <c r="D66" s="1288"/>
    </row>
    <row r="67" spans="1:4" x14ac:dyDescent="0.25">
      <c r="A67" s="1288">
        <v>90811</v>
      </c>
      <c r="B67" s="1288" t="s">
        <v>2714</v>
      </c>
      <c r="C67" s="1287">
        <v>21095.75</v>
      </c>
      <c r="D67" s="1288"/>
    </row>
    <row r="68" spans="1:4" x14ac:dyDescent="0.25">
      <c r="A68" s="1288">
        <v>90812</v>
      </c>
      <c r="B68" s="1288" t="s">
        <v>2715</v>
      </c>
      <c r="C68" s="1287">
        <v>130788.65</v>
      </c>
      <c r="D68" s="1288"/>
    </row>
    <row r="69" spans="1:4" x14ac:dyDescent="0.25">
      <c r="A69" s="1288">
        <v>90813</v>
      </c>
      <c r="B69" s="1288" t="s">
        <v>2716</v>
      </c>
      <c r="C69" s="1287">
        <v>2486.2199999999998</v>
      </c>
      <c r="D69" s="1288"/>
    </row>
    <row r="70" spans="1:4" x14ac:dyDescent="0.25">
      <c r="A70" s="1288">
        <v>90861</v>
      </c>
      <c r="B70" s="1288" t="s">
        <v>2717</v>
      </c>
      <c r="C70" s="1287">
        <v>4655.95</v>
      </c>
      <c r="D70" s="1288"/>
    </row>
    <row r="71" spans="1:4" x14ac:dyDescent="0.25">
      <c r="A71" s="1288">
        <v>90901</v>
      </c>
      <c r="B71" s="1288" t="s">
        <v>2718</v>
      </c>
      <c r="C71" s="1287">
        <v>1348006.36</v>
      </c>
      <c r="D71" s="1288"/>
    </row>
    <row r="72" spans="1:4" x14ac:dyDescent="0.25">
      <c r="A72" s="1288">
        <v>90911</v>
      </c>
      <c r="B72" s="1288" t="s">
        <v>2719</v>
      </c>
      <c r="C72" s="1287">
        <v>221450.95</v>
      </c>
      <c r="D72" s="1288"/>
    </row>
    <row r="73" spans="1:4" x14ac:dyDescent="0.25">
      <c r="A73" s="1288">
        <v>90917</v>
      </c>
      <c r="B73" s="1288" t="s">
        <v>2720</v>
      </c>
      <c r="C73" s="1287">
        <v>7985.63</v>
      </c>
      <c r="D73" s="1288"/>
    </row>
    <row r="74" spans="1:4" x14ac:dyDescent="0.25">
      <c r="A74" s="1288">
        <v>90918</v>
      </c>
      <c r="B74" s="1288" t="s">
        <v>2721</v>
      </c>
      <c r="C74" s="1287">
        <v>6315.12</v>
      </c>
      <c r="D74" s="1288"/>
    </row>
    <row r="75" spans="1:4" x14ac:dyDescent="0.25">
      <c r="A75" s="1288">
        <v>90921</v>
      </c>
      <c r="B75" s="1288" t="s">
        <v>2722</v>
      </c>
      <c r="C75" s="1287">
        <v>80977.25</v>
      </c>
      <c r="D75" s="1288"/>
    </row>
    <row r="76" spans="1:4" x14ac:dyDescent="0.25">
      <c r="A76" s="1288">
        <v>90931</v>
      </c>
      <c r="B76" s="1288" t="s">
        <v>2723</v>
      </c>
      <c r="C76" s="1287">
        <v>20331.98</v>
      </c>
      <c r="D76" s="1288"/>
    </row>
    <row r="77" spans="1:4" x14ac:dyDescent="0.25">
      <c r="A77" s="1288">
        <v>90941</v>
      </c>
      <c r="B77" s="1288" t="s">
        <v>2724</v>
      </c>
      <c r="C77" s="1287">
        <v>50129.59</v>
      </c>
      <c r="D77" s="1288"/>
    </row>
    <row r="78" spans="1:4" x14ac:dyDescent="0.25">
      <c r="A78" s="1288">
        <v>91001</v>
      </c>
      <c r="B78" s="1288" t="s">
        <v>2725</v>
      </c>
      <c r="C78" s="1287">
        <v>4240219.43</v>
      </c>
      <c r="D78" s="1288"/>
    </row>
    <row r="79" spans="1:4" x14ac:dyDescent="0.25">
      <c r="A79" s="1288">
        <v>91002</v>
      </c>
      <c r="B79" s="1288" t="s">
        <v>2726</v>
      </c>
      <c r="C79" s="1287">
        <v>620629.49</v>
      </c>
      <c r="D79" s="1288"/>
    </row>
    <row r="80" spans="1:4" x14ac:dyDescent="0.25">
      <c r="A80" s="1288">
        <v>91003</v>
      </c>
      <c r="B80" s="1288" t="s">
        <v>2727</v>
      </c>
      <c r="C80" s="1287">
        <v>365320.99</v>
      </c>
      <c r="D80" s="1288"/>
    </row>
    <row r="81" spans="1:4" x14ac:dyDescent="0.25">
      <c r="A81" s="1288">
        <v>91004</v>
      </c>
      <c r="B81" s="1288" t="s">
        <v>2728</v>
      </c>
      <c r="C81" s="1287">
        <v>20274.400000000001</v>
      </c>
      <c r="D81" s="1288"/>
    </row>
    <row r="82" spans="1:4" x14ac:dyDescent="0.25">
      <c r="A82" s="1288">
        <v>91006</v>
      </c>
      <c r="B82" s="1288" t="s">
        <v>2729</v>
      </c>
      <c r="C82" s="1287">
        <v>613206.68000000005</v>
      </c>
      <c r="D82" s="1288"/>
    </row>
    <row r="83" spans="1:4" x14ac:dyDescent="0.25">
      <c r="A83" s="1288">
        <v>91007</v>
      </c>
      <c r="B83" s="1288" t="s">
        <v>2730</v>
      </c>
      <c r="C83" s="1287">
        <v>6942.98</v>
      </c>
      <c r="D83" s="1288"/>
    </row>
    <row r="84" spans="1:4" x14ac:dyDescent="0.25">
      <c r="A84" s="1288">
        <v>91008</v>
      </c>
      <c r="B84" s="1288" t="s">
        <v>2731</v>
      </c>
      <c r="C84" s="1287">
        <v>93581.14</v>
      </c>
      <c r="D84" s="1288"/>
    </row>
    <row r="85" spans="1:4" x14ac:dyDescent="0.25">
      <c r="A85" s="1288">
        <v>91009</v>
      </c>
      <c r="B85" s="1288" t="s">
        <v>2732</v>
      </c>
      <c r="C85" s="1287">
        <v>13166.05</v>
      </c>
      <c r="D85" s="1288"/>
    </row>
    <row r="86" spans="1:4" x14ac:dyDescent="0.25">
      <c r="A86" s="1288">
        <v>91010</v>
      </c>
      <c r="B86" s="1288" t="s">
        <v>2733</v>
      </c>
      <c r="C86" s="1287">
        <v>38054.639999999999</v>
      </c>
      <c r="D86" s="1288"/>
    </row>
    <row r="87" spans="1:4" x14ac:dyDescent="0.25">
      <c r="A87" s="1288">
        <v>91011</v>
      </c>
      <c r="B87" s="1288" t="s">
        <v>2734</v>
      </c>
      <c r="C87" s="1287">
        <v>255068.84</v>
      </c>
      <c r="D87" s="1288"/>
    </row>
    <row r="88" spans="1:4" x14ac:dyDescent="0.25">
      <c r="A88" s="1288">
        <v>91012</v>
      </c>
      <c r="B88" s="1288" t="s">
        <v>2735</v>
      </c>
      <c r="C88" s="1287">
        <v>8374.33</v>
      </c>
      <c r="D88" s="1288"/>
    </row>
    <row r="89" spans="1:4" x14ac:dyDescent="0.25">
      <c r="A89" s="1288">
        <v>91013</v>
      </c>
      <c r="B89" s="1288" t="s">
        <v>2736</v>
      </c>
      <c r="C89" s="1287">
        <v>24503.97</v>
      </c>
      <c r="D89" s="1288"/>
    </row>
    <row r="90" spans="1:4" x14ac:dyDescent="0.25">
      <c r="A90" s="1288">
        <v>91014</v>
      </c>
      <c r="B90" s="1288" t="s">
        <v>2737</v>
      </c>
      <c r="C90" s="1287">
        <v>116583.84</v>
      </c>
      <c r="D90" s="1288"/>
    </row>
    <row r="91" spans="1:4" x14ac:dyDescent="0.25">
      <c r="A91" s="1288">
        <v>91015</v>
      </c>
      <c r="B91" s="1288" t="s">
        <v>4129</v>
      </c>
      <c r="C91" s="1287">
        <v>23988.41</v>
      </c>
      <c r="D91" s="1288"/>
    </row>
    <row r="92" spans="1:4" x14ac:dyDescent="0.25">
      <c r="A92" s="1288">
        <v>91017</v>
      </c>
      <c r="B92" s="1288" t="s">
        <v>4609</v>
      </c>
      <c r="C92" s="1287">
        <v>17977.419999999998</v>
      </c>
      <c r="D92" s="1288"/>
    </row>
    <row r="93" spans="1:4" x14ac:dyDescent="0.25">
      <c r="A93" s="1288">
        <v>91020</v>
      </c>
      <c r="B93" s="1288" t="s">
        <v>2739</v>
      </c>
      <c r="C93" s="1287">
        <v>13498.83</v>
      </c>
      <c r="D93" s="1288"/>
    </row>
    <row r="94" spans="1:4" x14ac:dyDescent="0.25">
      <c r="A94" s="1288">
        <v>91021</v>
      </c>
      <c r="B94" s="1288" t="s">
        <v>2740</v>
      </c>
      <c r="C94" s="1287">
        <v>611753.05000000005</v>
      </c>
      <c r="D94" s="1288"/>
    </row>
    <row r="95" spans="1:4" x14ac:dyDescent="0.25">
      <c r="A95" s="1288">
        <v>91024</v>
      </c>
      <c r="B95" s="1288" t="s">
        <v>2741</v>
      </c>
      <c r="C95" s="1287">
        <v>66521.61</v>
      </c>
      <c r="D95" s="1288"/>
    </row>
    <row r="96" spans="1:4" x14ac:dyDescent="0.25">
      <c r="A96" s="1288">
        <v>91026</v>
      </c>
      <c r="B96" s="1288" t="s">
        <v>1269</v>
      </c>
      <c r="C96" s="1287">
        <v>26747</v>
      </c>
      <c r="D96" s="1288"/>
    </row>
    <row r="97" spans="1:4" x14ac:dyDescent="0.25">
      <c r="A97" s="1288">
        <v>91027</v>
      </c>
      <c r="B97" s="1288" t="s">
        <v>2742</v>
      </c>
      <c r="C97" s="1287">
        <v>19819.650000000001</v>
      </c>
      <c r="D97" s="1288"/>
    </row>
    <row r="98" spans="1:4" x14ac:dyDescent="0.25">
      <c r="A98" s="1288">
        <v>91032</v>
      </c>
      <c r="B98" s="1288" t="s">
        <v>2743</v>
      </c>
      <c r="C98" s="1287">
        <v>29375.33</v>
      </c>
      <c r="D98" s="1288"/>
    </row>
    <row r="99" spans="1:4" x14ac:dyDescent="0.25">
      <c r="A99" s="1288">
        <v>91041</v>
      </c>
      <c r="B99" s="1288" t="s">
        <v>2744</v>
      </c>
      <c r="C99" s="1287">
        <v>252703.72</v>
      </c>
      <c r="D99" s="1288"/>
    </row>
    <row r="100" spans="1:4" x14ac:dyDescent="0.25">
      <c r="A100" s="1288">
        <v>91042</v>
      </c>
      <c r="B100" s="1288" t="s">
        <v>2745</v>
      </c>
      <c r="C100" s="1287">
        <v>161005.98000000001</v>
      </c>
      <c r="D100" s="1288"/>
    </row>
    <row r="101" spans="1:4" x14ac:dyDescent="0.25">
      <c r="A101" s="1288">
        <v>91047</v>
      </c>
      <c r="B101" s="1288" t="s">
        <v>2746</v>
      </c>
      <c r="C101" s="1287">
        <v>8535.76</v>
      </c>
      <c r="D101" s="1288"/>
    </row>
    <row r="102" spans="1:4" x14ac:dyDescent="0.25">
      <c r="A102" s="1288">
        <v>91051</v>
      </c>
      <c r="B102" s="1288" t="s">
        <v>2747</v>
      </c>
      <c r="C102" s="1287">
        <v>42855.68</v>
      </c>
      <c r="D102" s="1288"/>
    </row>
    <row r="103" spans="1:4" x14ac:dyDescent="0.25">
      <c r="A103" s="1288">
        <v>91057</v>
      </c>
      <c r="B103" s="1288" t="s">
        <v>2748</v>
      </c>
      <c r="C103" s="1287">
        <v>11789.19</v>
      </c>
      <c r="D103" s="1288"/>
    </row>
    <row r="104" spans="1:4" x14ac:dyDescent="0.25">
      <c r="A104" s="1288">
        <v>91061</v>
      </c>
      <c r="B104" s="1288" t="s">
        <v>2749</v>
      </c>
      <c r="C104" s="1287">
        <v>223550.16</v>
      </c>
      <c r="D104" s="1288"/>
    </row>
    <row r="105" spans="1:4" x14ac:dyDescent="0.25">
      <c r="A105" s="1288">
        <v>91067</v>
      </c>
      <c r="B105" s="1288" t="s">
        <v>2750</v>
      </c>
      <c r="C105" s="1287">
        <v>11886.33</v>
      </c>
      <c r="D105" s="1288"/>
    </row>
    <row r="106" spans="1:4" x14ac:dyDescent="0.25">
      <c r="A106" s="1288">
        <v>91071</v>
      </c>
      <c r="B106" s="1288" t="s">
        <v>2751</v>
      </c>
      <c r="C106" s="1287">
        <v>146304.34</v>
      </c>
      <c r="D106" s="1288"/>
    </row>
    <row r="107" spans="1:4" x14ac:dyDescent="0.25">
      <c r="A107" s="1288">
        <v>91077</v>
      </c>
      <c r="B107" s="1288" t="s">
        <v>2752</v>
      </c>
      <c r="C107" s="1287">
        <v>8913.6200000000008</v>
      </c>
      <c r="D107" s="1288"/>
    </row>
    <row r="108" spans="1:4" x14ac:dyDescent="0.25">
      <c r="A108" s="1288">
        <v>91081</v>
      </c>
      <c r="B108" s="1288" t="s">
        <v>2753</v>
      </c>
      <c r="C108" s="1287">
        <v>259611.8</v>
      </c>
      <c r="D108" s="1288"/>
    </row>
    <row r="109" spans="1:4" x14ac:dyDescent="0.25">
      <c r="A109" s="1288">
        <v>91091</v>
      </c>
      <c r="B109" s="1288" t="s">
        <v>2754</v>
      </c>
      <c r="C109" s="1287">
        <v>349771.16</v>
      </c>
      <c r="D109" s="1288"/>
    </row>
    <row r="110" spans="1:4" x14ac:dyDescent="0.25">
      <c r="A110" s="1288">
        <v>91101</v>
      </c>
      <c r="B110" s="1288" t="s">
        <v>2755</v>
      </c>
      <c r="C110" s="1287">
        <v>7892694.2800000003</v>
      </c>
      <c r="D110" s="1288"/>
    </row>
    <row r="111" spans="1:4" x14ac:dyDescent="0.25">
      <c r="A111" s="1288">
        <v>91102</v>
      </c>
      <c r="B111" s="1288" t="s">
        <v>2756</v>
      </c>
      <c r="C111" s="1287">
        <v>187922.74</v>
      </c>
      <c r="D111" s="1288"/>
    </row>
    <row r="112" spans="1:4" x14ac:dyDescent="0.25">
      <c r="A112" s="1288">
        <v>91104</v>
      </c>
      <c r="B112" s="1288" t="s">
        <v>2757</v>
      </c>
      <c r="C112" s="1287">
        <v>12654.26</v>
      </c>
      <c r="D112" s="1288"/>
    </row>
    <row r="113" spans="1:4" x14ac:dyDescent="0.25">
      <c r="A113" s="1288">
        <v>91107</v>
      </c>
      <c r="B113" s="1288" t="s">
        <v>3683</v>
      </c>
      <c r="C113" s="1287">
        <v>40263.25</v>
      </c>
      <c r="D113" s="1288"/>
    </row>
    <row r="114" spans="1:4" x14ac:dyDescent="0.25">
      <c r="A114" s="1288">
        <v>91108</v>
      </c>
      <c r="B114" s="1288" t="s">
        <v>2759</v>
      </c>
      <c r="C114" s="1287">
        <v>753800.66</v>
      </c>
      <c r="D114" s="1288"/>
    </row>
    <row r="115" spans="1:4" x14ac:dyDescent="0.25">
      <c r="A115" s="1288">
        <v>91109</v>
      </c>
      <c r="B115" s="1288" t="s">
        <v>2760</v>
      </c>
      <c r="C115" s="1287">
        <v>61771.9</v>
      </c>
      <c r="D115" s="1288"/>
    </row>
    <row r="116" spans="1:4" x14ac:dyDescent="0.25">
      <c r="A116" s="1288">
        <v>91111</v>
      </c>
      <c r="B116" s="1288" t="s">
        <v>2761</v>
      </c>
      <c r="C116" s="1287">
        <v>144050.06</v>
      </c>
      <c r="D116" s="1288"/>
    </row>
    <row r="117" spans="1:4" x14ac:dyDescent="0.25">
      <c r="A117" s="1288">
        <v>91120</v>
      </c>
      <c r="B117" s="1288" t="s">
        <v>2762</v>
      </c>
      <c r="C117" s="1287">
        <v>103233.74</v>
      </c>
      <c r="D117" s="1288"/>
    </row>
    <row r="118" spans="1:4" x14ac:dyDescent="0.25">
      <c r="A118" s="1288">
        <v>91121</v>
      </c>
      <c r="B118" s="1288" t="s">
        <v>2763</v>
      </c>
      <c r="C118" s="1287">
        <v>6093467.3300000001</v>
      </c>
      <c r="D118" s="1288"/>
    </row>
    <row r="119" spans="1:4" x14ac:dyDescent="0.25">
      <c r="A119" s="1288">
        <v>91127</v>
      </c>
      <c r="B119" s="1288" t="s">
        <v>2764</v>
      </c>
      <c r="C119" s="1287">
        <v>206624.81</v>
      </c>
      <c r="D119" s="1288"/>
    </row>
    <row r="120" spans="1:4" x14ac:dyDescent="0.25">
      <c r="A120" s="1288">
        <v>91128</v>
      </c>
      <c r="B120" s="1288" t="s">
        <v>2765</v>
      </c>
      <c r="C120" s="1287">
        <v>335931.77</v>
      </c>
      <c r="D120" s="1288"/>
    </row>
    <row r="121" spans="1:4" x14ac:dyDescent="0.25">
      <c r="A121" s="1288">
        <v>91138</v>
      </c>
      <c r="B121" s="1288" t="s">
        <v>2766</v>
      </c>
      <c r="C121" s="1287">
        <v>250780.6</v>
      </c>
      <c r="D121" s="1288"/>
    </row>
    <row r="122" spans="1:4" x14ac:dyDescent="0.25">
      <c r="A122" s="1288">
        <v>91141</v>
      </c>
      <c r="B122" s="1288" t="s">
        <v>2767</v>
      </c>
      <c r="C122" s="1287">
        <v>333594.46000000002</v>
      </c>
      <c r="D122" s="1288"/>
    </row>
    <row r="123" spans="1:4" x14ac:dyDescent="0.25">
      <c r="A123" s="1288">
        <v>91147</v>
      </c>
      <c r="B123" s="1288" t="s">
        <v>2768</v>
      </c>
      <c r="C123" s="1287">
        <v>19839.48</v>
      </c>
      <c r="D123" s="1288"/>
    </row>
    <row r="124" spans="1:4" x14ac:dyDescent="0.25">
      <c r="A124" s="1288">
        <v>91151</v>
      </c>
      <c r="B124" s="1288" t="s">
        <v>2769</v>
      </c>
      <c r="C124" s="1287">
        <v>341844.29</v>
      </c>
      <c r="D124" s="1288"/>
    </row>
    <row r="125" spans="1:4" x14ac:dyDescent="0.25">
      <c r="A125" s="1288">
        <v>91154</v>
      </c>
      <c r="B125" s="1288" t="s">
        <v>2770</v>
      </c>
      <c r="C125" s="1287">
        <v>14001.71</v>
      </c>
      <c r="D125" s="1288"/>
    </row>
    <row r="126" spans="1:4" x14ac:dyDescent="0.25">
      <c r="A126" s="1288">
        <v>91161</v>
      </c>
      <c r="B126" s="1288" t="s">
        <v>2771</v>
      </c>
      <c r="C126" s="1287">
        <v>60476.19</v>
      </c>
      <c r="D126" s="1288"/>
    </row>
    <row r="127" spans="1:4" x14ac:dyDescent="0.25">
      <c r="A127" s="1288">
        <v>91171</v>
      </c>
      <c r="B127" s="1288" t="s">
        <v>2772</v>
      </c>
      <c r="C127" s="1287">
        <v>149495.01999999999</v>
      </c>
      <c r="D127" s="1288"/>
    </row>
    <row r="128" spans="1:4" x14ac:dyDescent="0.25">
      <c r="A128" s="1288">
        <v>91201</v>
      </c>
      <c r="B128" s="1288" t="s">
        <v>2773</v>
      </c>
      <c r="C128" s="1287">
        <v>1512325.42</v>
      </c>
      <c r="D128" s="1288"/>
    </row>
    <row r="129" spans="1:4" x14ac:dyDescent="0.25">
      <c r="A129" s="1288">
        <v>91202</v>
      </c>
      <c r="B129" s="1288" t="s">
        <v>2774</v>
      </c>
      <c r="C129" s="1287">
        <v>62875.78</v>
      </c>
      <c r="D129" s="1288"/>
    </row>
    <row r="130" spans="1:4" x14ac:dyDescent="0.25">
      <c r="A130" s="1288">
        <v>91203</v>
      </c>
      <c r="B130" s="1288" t="s">
        <v>2775</v>
      </c>
      <c r="C130" s="1287">
        <v>169870.97</v>
      </c>
      <c r="D130" s="1288"/>
    </row>
    <row r="131" spans="1:4" x14ac:dyDescent="0.25">
      <c r="A131" s="1288">
        <v>91206</v>
      </c>
      <c r="B131" s="1288" t="s">
        <v>2776</v>
      </c>
      <c r="C131" s="1287">
        <v>577486.09</v>
      </c>
      <c r="D131" s="1288"/>
    </row>
    <row r="132" spans="1:4" x14ac:dyDescent="0.25">
      <c r="A132" s="1288">
        <v>91208</v>
      </c>
      <c r="B132" s="1288" t="s">
        <v>2777</v>
      </c>
      <c r="C132" s="1287">
        <v>11198.96</v>
      </c>
      <c r="D132" s="1288"/>
    </row>
    <row r="133" spans="1:4" x14ac:dyDescent="0.25">
      <c r="A133" s="1288">
        <v>91211</v>
      </c>
      <c r="B133" s="1288" t="s">
        <v>2778</v>
      </c>
      <c r="C133" s="1287">
        <v>288252.84000000003</v>
      </c>
      <c r="D133" s="1288"/>
    </row>
    <row r="134" spans="1:4" x14ac:dyDescent="0.25">
      <c r="A134" s="1288">
        <v>91213</v>
      </c>
      <c r="B134" s="1288" t="s">
        <v>2779</v>
      </c>
      <c r="C134" s="1287">
        <v>17975.29</v>
      </c>
      <c r="D134" s="1288"/>
    </row>
    <row r="135" spans="1:4" x14ac:dyDescent="0.25">
      <c r="A135" s="1288">
        <v>91214</v>
      </c>
      <c r="B135" s="1288" t="s">
        <v>2780</v>
      </c>
      <c r="C135" s="1287">
        <v>16466.2</v>
      </c>
      <c r="D135" s="1288"/>
    </row>
    <row r="136" spans="1:4" x14ac:dyDescent="0.25">
      <c r="A136" s="1288">
        <v>91217</v>
      </c>
      <c r="B136" s="1288" t="s">
        <v>2781</v>
      </c>
      <c r="C136" s="1287">
        <v>21568.42</v>
      </c>
      <c r="D136" s="1288"/>
    </row>
    <row r="137" spans="1:4" x14ac:dyDescent="0.25">
      <c r="A137" s="1288">
        <v>91221</v>
      </c>
      <c r="B137" s="1288" t="s">
        <v>2782</v>
      </c>
      <c r="C137" s="1287">
        <v>70256.72</v>
      </c>
      <c r="D137" s="1288"/>
    </row>
    <row r="138" spans="1:4" x14ac:dyDescent="0.25">
      <c r="A138" s="1288">
        <v>91231</v>
      </c>
      <c r="B138" s="1288" t="s">
        <v>2783</v>
      </c>
      <c r="C138" s="1287">
        <v>1202188.5</v>
      </c>
      <c r="D138" s="1288"/>
    </row>
    <row r="139" spans="1:4" x14ac:dyDescent="0.25">
      <c r="A139" s="1288">
        <v>91233</v>
      </c>
      <c r="B139" s="1288" t="s">
        <v>2784</v>
      </c>
      <c r="C139" s="1287">
        <v>36066.29</v>
      </c>
      <c r="D139" s="1288"/>
    </row>
    <row r="140" spans="1:4" x14ac:dyDescent="0.25">
      <c r="A140" s="1288">
        <v>91241</v>
      </c>
      <c r="B140" s="1288" t="s">
        <v>2785</v>
      </c>
      <c r="C140" s="1287">
        <v>22648.080000000002</v>
      </c>
      <c r="D140" s="1288"/>
    </row>
    <row r="141" spans="1:4" x14ac:dyDescent="0.25">
      <c r="A141" s="1288">
        <v>91251</v>
      </c>
      <c r="B141" s="1288" t="s">
        <v>2786</v>
      </c>
      <c r="C141" s="1287">
        <v>13597.38</v>
      </c>
      <c r="D141" s="1288"/>
    </row>
    <row r="142" spans="1:4" x14ac:dyDescent="0.25">
      <c r="A142" s="1288">
        <v>91261</v>
      </c>
      <c r="B142" s="1288" t="s">
        <v>2787</v>
      </c>
      <c r="C142" s="1287">
        <v>4693.8100000000004</v>
      </c>
      <c r="D142" s="1288"/>
    </row>
    <row r="143" spans="1:4" x14ac:dyDescent="0.25">
      <c r="A143" s="1288">
        <v>91301</v>
      </c>
      <c r="B143" s="1288" t="s">
        <v>2788</v>
      </c>
      <c r="C143" s="1287">
        <v>5061130.8099999996</v>
      </c>
      <c r="D143" s="1288"/>
    </row>
    <row r="144" spans="1:4" x14ac:dyDescent="0.25">
      <c r="A144" s="1288">
        <v>91302</v>
      </c>
      <c r="B144" s="1288" t="s">
        <v>3684</v>
      </c>
      <c r="C144" s="1287">
        <v>324314.07</v>
      </c>
      <c r="D144" s="1288"/>
    </row>
    <row r="145" spans="1:4" x14ac:dyDescent="0.25">
      <c r="A145" s="1288">
        <v>91306</v>
      </c>
      <c r="B145" s="1288" t="s">
        <v>2790</v>
      </c>
      <c r="C145" s="1287">
        <v>1127451.7</v>
      </c>
      <c r="D145" s="1288"/>
    </row>
    <row r="146" spans="1:4" x14ac:dyDescent="0.25">
      <c r="A146" s="1288">
        <v>91308</v>
      </c>
      <c r="B146" s="1288" t="s">
        <v>2791</v>
      </c>
      <c r="C146" s="1287">
        <v>92592.54</v>
      </c>
      <c r="D146" s="1288"/>
    </row>
    <row r="147" spans="1:4" x14ac:dyDescent="0.25">
      <c r="A147" s="1288">
        <v>91311</v>
      </c>
      <c r="B147" s="1288" t="s">
        <v>2792</v>
      </c>
      <c r="C147" s="1287">
        <v>5109671.4000000004</v>
      </c>
      <c r="D147" s="1288"/>
    </row>
    <row r="148" spans="1:4" x14ac:dyDescent="0.25">
      <c r="A148" s="1288">
        <v>91317</v>
      </c>
      <c r="B148" s="1288" t="s">
        <v>2793</v>
      </c>
      <c r="C148" s="1287">
        <v>93167.35</v>
      </c>
      <c r="D148" s="1288"/>
    </row>
    <row r="149" spans="1:4" x14ac:dyDescent="0.25">
      <c r="A149" s="1288">
        <v>91321</v>
      </c>
      <c r="B149" s="1288" t="s">
        <v>2794</v>
      </c>
      <c r="C149" s="1287">
        <v>38308.910000000003</v>
      </c>
      <c r="D149" s="1288"/>
    </row>
    <row r="150" spans="1:4" x14ac:dyDescent="0.25">
      <c r="A150" s="1288">
        <v>91327</v>
      </c>
      <c r="B150" s="1288" t="s">
        <v>2795</v>
      </c>
      <c r="C150" s="1287">
        <v>2029</v>
      </c>
      <c r="D150" s="1288"/>
    </row>
    <row r="151" spans="1:4" x14ac:dyDescent="0.25">
      <c r="A151" s="1288">
        <v>91331</v>
      </c>
      <c r="B151" s="1288" t="s">
        <v>2796</v>
      </c>
      <c r="C151" s="1287">
        <v>1769984.74</v>
      </c>
      <c r="D151" s="1288"/>
    </row>
    <row r="152" spans="1:4" x14ac:dyDescent="0.25">
      <c r="A152" s="1288">
        <v>91341</v>
      </c>
      <c r="B152" s="1288" t="s">
        <v>2797</v>
      </c>
      <c r="C152" s="1287">
        <v>19595.18</v>
      </c>
      <c r="D152" s="1288"/>
    </row>
    <row r="153" spans="1:4" x14ac:dyDescent="0.25">
      <c r="A153" s="1288">
        <v>91401</v>
      </c>
      <c r="B153" s="1288" t="s">
        <v>2798</v>
      </c>
      <c r="C153" s="1287">
        <v>2311790.8199999998</v>
      </c>
      <c r="D153" s="1288"/>
    </row>
    <row r="154" spans="1:4" x14ac:dyDescent="0.25">
      <c r="A154" s="1288">
        <v>91411</v>
      </c>
      <c r="B154" s="1288" t="s">
        <v>2799</v>
      </c>
      <c r="C154" s="1287">
        <v>248579.93</v>
      </c>
      <c r="D154" s="1288"/>
    </row>
    <row r="155" spans="1:4" x14ac:dyDescent="0.25">
      <c r="A155" s="1288">
        <v>91414</v>
      </c>
      <c r="B155" s="1288" t="s">
        <v>4145</v>
      </c>
      <c r="C155" s="1287">
        <v>19052.5</v>
      </c>
      <c r="D155" s="1288"/>
    </row>
    <row r="156" spans="1:4" x14ac:dyDescent="0.25">
      <c r="A156" s="1288">
        <v>91417</v>
      </c>
      <c r="B156" s="1288" t="s">
        <v>2800</v>
      </c>
      <c r="C156" s="1287">
        <v>7164.28</v>
      </c>
      <c r="D156" s="1288"/>
    </row>
    <row r="157" spans="1:4" x14ac:dyDescent="0.25">
      <c r="A157" s="1288">
        <v>91421</v>
      </c>
      <c r="B157" s="1288" t="s">
        <v>2801</v>
      </c>
      <c r="C157" s="1287">
        <v>47439.08</v>
      </c>
      <c r="D157" s="1288"/>
    </row>
    <row r="158" spans="1:4" x14ac:dyDescent="0.25">
      <c r="A158" s="1288">
        <v>91423</v>
      </c>
      <c r="B158" s="1288" t="s">
        <v>2802</v>
      </c>
      <c r="C158" s="1287">
        <v>32239.48</v>
      </c>
      <c r="D158" s="1288"/>
    </row>
    <row r="159" spans="1:4" x14ac:dyDescent="0.25">
      <c r="A159" s="1288">
        <v>91431</v>
      </c>
      <c r="B159" s="1288" t="s">
        <v>2803</v>
      </c>
      <c r="C159" s="1287">
        <v>115940.69</v>
      </c>
      <c r="D159" s="1288"/>
    </row>
    <row r="160" spans="1:4" x14ac:dyDescent="0.25">
      <c r="A160" s="1288">
        <v>91441</v>
      </c>
      <c r="B160" s="1288" t="s">
        <v>2804</v>
      </c>
      <c r="C160" s="1287">
        <v>494673.83</v>
      </c>
      <c r="D160" s="1288"/>
    </row>
    <row r="161" spans="1:4" x14ac:dyDescent="0.25">
      <c r="A161" s="1288">
        <v>91451</v>
      </c>
      <c r="B161" s="1288" t="s">
        <v>2805</v>
      </c>
      <c r="C161" s="1287">
        <v>961281.15</v>
      </c>
      <c r="D161" s="1288"/>
    </row>
    <row r="162" spans="1:4" x14ac:dyDescent="0.25">
      <c r="A162" s="1288">
        <v>91457</v>
      </c>
      <c r="B162" s="1288" t="s">
        <v>2806</v>
      </c>
      <c r="C162" s="1287">
        <v>17579.830000000002</v>
      </c>
      <c r="D162" s="1288"/>
    </row>
    <row r="163" spans="1:4" x14ac:dyDescent="0.25">
      <c r="A163" s="1288">
        <v>91461</v>
      </c>
      <c r="B163" s="1288" t="s">
        <v>2807</v>
      </c>
      <c r="C163" s="1287">
        <v>167.62</v>
      </c>
      <c r="D163" s="1288"/>
    </row>
    <row r="164" spans="1:4" x14ac:dyDescent="0.25">
      <c r="A164" s="1288">
        <v>91501</v>
      </c>
      <c r="B164" s="1288" t="s">
        <v>2808</v>
      </c>
      <c r="C164" s="1287">
        <v>314151.52</v>
      </c>
      <c r="D164" s="1288"/>
    </row>
    <row r="165" spans="1:4" x14ac:dyDescent="0.25">
      <c r="A165" s="1288">
        <v>91504</v>
      </c>
      <c r="B165" s="1288" t="s">
        <v>2809</v>
      </c>
      <c r="C165" s="1287">
        <v>8590.5499999999993</v>
      </c>
      <c r="D165" s="1288"/>
    </row>
    <row r="166" spans="1:4" x14ac:dyDescent="0.25">
      <c r="A166" s="1288">
        <v>91601</v>
      </c>
      <c r="B166" s="1288" t="s">
        <v>2810</v>
      </c>
      <c r="C166" s="1287">
        <v>1891529</v>
      </c>
      <c r="D166" s="1288"/>
    </row>
    <row r="167" spans="1:4" x14ac:dyDescent="0.25">
      <c r="A167" s="1288">
        <v>91604</v>
      </c>
      <c r="B167" s="1288" t="s">
        <v>2811</v>
      </c>
      <c r="C167" s="1287">
        <v>71719.929999999993</v>
      </c>
      <c r="D167" s="1288"/>
    </row>
    <row r="168" spans="1:4" x14ac:dyDescent="0.25">
      <c r="A168" s="1288">
        <v>91608</v>
      </c>
      <c r="B168" s="1288" t="s">
        <v>2812</v>
      </c>
      <c r="C168" s="1287">
        <v>77188.73</v>
      </c>
      <c r="D168" s="1288"/>
    </row>
    <row r="169" spans="1:4" x14ac:dyDescent="0.25">
      <c r="A169" s="1288">
        <v>91611</v>
      </c>
      <c r="B169" s="1288" t="s">
        <v>2813</v>
      </c>
      <c r="C169" s="1287">
        <v>855551.17</v>
      </c>
      <c r="D169" s="1288"/>
    </row>
    <row r="170" spans="1:4" x14ac:dyDescent="0.25">
      <c r="A170" s="1288">
        <v>91621</v>
      </c>
      <c r="B170" s="1288" t="s">
        <v>2814</v>
      </c>
      <c r="C170" s="1287">
        <v>164850.60999999999</v>
      </c>
      <c r="D170" s="1288"/>
    </row>
    <row r="171" spans="1:4" x14ac:dyDescent="0.25">
      <c r="A171" s="1288">
        <v>91631</v>
      </c>
      <c r="B171" s="1288" t="s">
        <v>2815</v>
      </c>
      <c r="C171" s="1287">
        <v>383883.55</v>
      </c>
      <c r="D171" s="1288"/>
    </row>
    <row r="172" spans="1:4" x14ac:dyDescent="0.25">
      <c r="A172" s="1288">
        <v>91633</v>
      </c>
      <c r="B172" s="1288" t="s">
        <v>2816</v>
      </c>
      <c r="C172" s="1287">
        <v>17232.259999999998</v>
      </c>
      <c r="D172" s="1288"/>
    </row>
    <row r="173" spans="1:4" x14ac:dyDescent="0.25">
      <c r="A173" s="1288">
        <v>91641</v>
      </c>
      <c r="B173" s="1288" t="s">
        <v>2817</v>
      </c>
      <c r="C173" s="1287">
        <v>163192.47</v>
      </c>
      <c r="D173" s="1288"/>
    </row>
    <row r="174" spans="1:4" x14ac:dyDescent="0.25">
      <c r="A174" s="1288">
        <v>91651</v>
      </c>
      <c r="B174" s="1288" t="s">
        <v>2818</v>
      </c>
      <c r="C174" s="1287">
        <v>334230.96000000002</v>
      </c>
      <c r="D174" s="1288"/>
    </row>
    <row r="175" spans="1:4" x14ac:dyDescent="0.25">
      <c r="A175" s="1288">
        <v>91661</v>
      </c>
      <c r="B175" s="1288" t="s">
        <v>2819</v>
      </c>
      <c r="C175" s="1287">
        <v>94610.61</v>
      </c>
      <c r="D175" s="1288"/>
    </row>
    <row r="176" spans="1:4" x14ac:dyDescent="0.25">
      <c r="A176" s="1288">
        <v>91671</v>
      </c>
      <c r="B176" s="1288" t="s">
        <v>2820</v>
      </c>
      <c r="C176" s="1287">
        <v>54157.16</v>
      </c>
      <c r="D176" s="1288"/>
    </row>
    <row r="177" spans="1:4" x14ac:dyDescent="0.25">
      <c r="A177" s="1288">
        <v>91681</v>
      </c>
      <c r="B177" s="1288" t="s">
        <v>2821</v>
      </c>
      <c r="C177" s="1287">
        <v>271347.84999999998</v>
      </c>
      <c r="D177" s="1288"/>
    </row>
    <row r="178" spans="1:4" x14ac:dyDescent="0.25">
      <c r="A178" s="1288">
        <v>91691</v>
      </c>
      <c r="B178" s="1288" t="s">
        <v>2822</v>
      </c>
      <c r="C178" s="1287">
        <v>17989.63</v>
      </c>
      <c r="D178" s="1288"/>
    </row>
    <row r="179" spans="1:4" x14ac:dyDescent="0.25">
      <c r="A179" s="1288">
        <v>91701</v>
      </c>
      <c r="B179" s="1288" t="s">
        <v>2823</v>
      </c>
      <c r="C179" s="1287">
        <v>716303.45</v>
      </c>
      <c r="D179" s="1288"/>
    </row>
    <row r="180" spans="1:4" x14ac:dyDescent="0.25">
      <c r="A180" s="1288">
        <v>91704</v>
      </c>
      <c r="B180" s="1288" t="s">
        <v>2824</v>
      </c>
      <c r="C180" s="1287">
        <v>12132.17</v>
      </c>
      <c r="D180" s="1288"/>
    </row>
    <row r="181" spans="1:4" x14ac:dyDescent="0.25">
      <c r="A181" s="1288">
        <v>91706</v>
      </c>
      <c r="B181" s="1288" t="s">
        <v>2825</v>
      </c>
      <c r="C181" s="1287">
        <v>160220.74</v>
      </c>
      <c r="D181" s="1288"/>
    </row>
    <row r="182" spans="1:4" x14ac:dyDescent="0.25">
      <c r="A182" s="1288">
        <v>91719</v>
      </c>
      <c r="B182" s="1288" t="s">
        <v>2826</v>
      </c>
      <c r="C182" s="1287">
        <v>29118.39</v>
      </c>
      <c r="D182" s="1288"/>
    </row>
    <row r="183" spans="1:4" x14ac:dyDescent="0.25">
      <c r="A183" s="1288">
        <v>91801</v>
      </c>
      <c r="B183" s="1288" t="s">
        <v>2827</v>
      </c>
      <c r="C183" s="1287">
        <v>4864579.03</v>
      </c>
      <c r="D183" s="1288"/>
    </row>
    <row r="184" spans="1:4" x14ac:dyDescent="0.25">
      <c r="A184" s="1288">
        <v>91804</v>
      </c>
      <c r="B184" s="1288" t="s">
        <v>2828</v>
      </c>
      <c r="C184" s="1287">
        <v>136223.12</v>
      </c>
      <c r="D184" s="1288"/>
    </row>
    <row r="185" spans="1:4" x14ac:dyDescent="0.25">
      <c r="A185" s="1288">
        <v>91811</v>
      </c>
      <c r="B185" s="1288" t="s">
        <v>2829</v>
      </c>
      <c r="C185" s="1287">
        <v>2669664.64</v>
      </c>
      <c r="D185" s="1288"/>
    </row>
    <row r="186" spans="1:4" x14ac:dyDescent="0.25">
      <c r="A186" s="1288">
        <v>91812</v>
      </c>
      <c r="B186" s="1288" t="s">
        <v>2830</v>
      </c>
      <c r="C186" s="1287">
        <v>41765.82</v>
      </c>
      <c r="D186" s="1288"/>
    </row>
    <row r="187" spans="1:4" x14ac:dyDescent="0.25">
      <c r="A187" s="1288">
        <v>91813</v>
      </c>
      <c r="B187" s="1288" t="s">
        <v>2831</v>
      </c>
      <c r="C187" s="1287">
        <v>55402.63</v>
      </c>
      <c r="D187" s="1288"/>
    </row>
    <row r="188" spans="1:4" x14ac:dyDescent="0.25">
      <c r="A188" s="1288">
        <v>91818</v>
      </c>
      <c r="B188" s="1288" t="s">
        <v>2832</v>
      </c>
      <c r="C188" s="1287">
        <v>282995.20000000001</v>
      </c>
      <c r="D188" s="1288"/>
    </row>
    <row r="189" spans="1:4" x14ac:dyDescent="0.25">
      <c r="A189" s="1288">
        <v>91819</v>
      </c>
      <c r="B189" s="1288" t="s">
        <v>2833</v>
      </c>
      <c r="C189" s="1287">
        <v>188575.83</v>
      </c>
      <c r="D189" s="1288"/>
    </row>
    <row r="190" spans="1:4" x14ac:dyDescent="0.25">
      <c r="A190" s="1288">
        <v>91821</v>
      </c>
      <c r="B190" s="1288" t="s">
        <v>2834</v>
      </c>
      <c r="C190" s="1287">
        <v>95923.86</v>
      </c>
      <c r="D190" s="1288"/>
    </row>
    <row r="191" spans="1:4" x14ac:dyDescent="0.25">
      <c r="A191" s="1288">
        <v>91831</v>
      </c>
      <c r="B191" s="1288" t="s">
        <v>2835</v>
      </c>
      <c r="C191" s="1287">
        <v>253038.24</v>
      </c>
      <c r="D191" s="1288"/>
    </row>
    <row r="192" spans="1:4" x14ac:dyDescent="0.25">
      <c r="A192" s="1288">
        <v>91841</v>
      </c>
      <c r="B192" s="1288" t="s">
        <v>2836</v>
      </c>
      <c r="C192" s="1287">
        <v>170180.13</v>
      </c>
      <c r="D192" s="1288"/>
    </row>
    <row r="193" spans="1:4" x14ac:dyDescent="0.25">
      <c r="A193" s="1288">
        <v>91851</v>
      </c>
      <c r="B193" s="1288" t="s">
        <v>2837</v>
      </c>
      <c r="C193" s="1287">
        <v>458587.1</v>
      </c>
      <c r="D193" s="1288"/>
    </row>
    <row r="194" spans="1:4" x14ac:dyDescent="0.25">
      <c r="A194" s="1288">
        <v>91861</v>
      </c>
      <c r="B194" s="1288" t="s">
        <v>2838</v>
      </c>
      <c r="C194" s="1287">
        <v>4376.1099999999997</v>
      </c>
      <c r="D194" s="1288"/>
    </row>
    <row r="195" spans="1:4" x14ac:dyDescent="0.25">
      <c r="A195" s="1288">
        <v>91871</v>
      </c>
      <c r="B195" s="1288" t="s">
        <v>2839</v>
      </c>
      <c r="C195" s="1287">
        <v>824136.25</v>
      </c>
      <c r="D195" s="1288"/>
    </row>
    <row r="196" spans="1:4" x14ac:dyDescent="0.25">
      <c r="A196" s="1288">
        <v>91881</v>
      </c>
      <c r="B196" s="1288" t="s">
        <v>2840</v>
      </c>
      <c r="C196" s="1287">
        <v>11127.06</v>
      </c>
      <c r="D196" s="1288"/>
    </row>
    <row r="197" spans="1:4" x14ac:dyDescent="0.25">
      <c r="A197" s="1288">
        <v>91901</v>
      </c>
      <c r="B197" s="1288" t="s">
        <v>2841</v>
      </c>
      <c r="C197" s="1287">
        <v>2277508.27</v>
      </c>
      <c r="D197" s="1288"/>
    </row>
    <row r="198" spans="1:4" x14ac:dyDescent="0.25">
      <c r="A198" s="1288">
        <v>91903</v>
      </c>
      <c r="B198" s="1288" t="s">
        <v>2842</v>
      </c>
      <c r="C198" s="1287">
        <v>7802.52</v>
      </c>
      <c r="D198" s="1288"/>
    </row>
    <row r="199" spans="1:4" x14ac:dyDescent="0.25">
      <c r="A199" s="1288">
        <v>91904</v>
      </c>
      <c r="B199" s="1288" t="s">
        <v>2843</v>
      </c>
      <c r="C199" s="1287">
        <v>27229.47</v>
      </c>
      <c r="D199" s="1288"/>
    </row>
    <row r="200" spans="1:4" x14ac:dyDescent="0.25">
      <c r="A200" s="1288">
        <v>91908</v>
      </c>
      <c r="B200" s="1288" t="s">
        <v>2844</v>
      </c>
      <c r="C200" s="1287">
        <v>6293.5</v>
      </c>
      <c r="D200" s="1288"/>
    </row>
    <row r="201" spans="1:4" x14ac:dyDescent="0.25">
      <c r="A201" s="1288">
        <v>91911</v>
      </c>
      <c r="B201" s="1288" t="s">
        <v>2845</v>
      </c>
      <c r="C201" s="1287">
        <v>331077.67</v>
      </c>
      <c r="D201" s="1288"/>
    </row>
    <row r="202" spans="1:4" x14ac:dyDescent="0.25">
      <c r="A202" s="1288">
        <v>91917</v>
      </c>
      <c r="B202" s="1288" t="s">
        <v>2846</v>
      </c>
      <c r="C202" s="1287">
        <v>10118.11</v>
      </c>
      <c r="D202" s="1288"/>
    </row>
    <row r="203" spans="1:4" x14ac:dyDescent="0.25">
      <c r="A203" s="1288">
        <v>91921</v>
      </c>
      <c r="B203" s="1288" t="s">
        <v>2847</v>
      </c>
      <c r="C203" s="1287">
        <v>233100.02</v>
      </c>
      <c r="D203" s="1288"/>
    </row>
    <row r="204" spans="1:4" x14ac:dyDescent="0.25">
      <c r="A204" s="1288">
        <v>92001</v>
      </c>
      <c r="B204" s="1288" t="s">
        <v>2848</v>
      </c>
      <c r="C204" s="1287">
        <v>1108734.26</v>
      </c>
      <c r="D204" s="1288"/>
    </row>
    <row r="205" spans="1:4" x14ac:dyDescent="0.25">
      <c r="A205" s="1288">
        <v>92005</v>
      </c>
      <c r="B205" s="1288" t="s">
        <v>2849</v>
      </c>
      <c r="C205" s="1287">
        <v>25779.03</v>
      </c>
      <c r="D205" s="1288"/>
    </row>
    <row r="206" spans="1:4" x14ac:dyDescent="0.25">
      <c r="A206" s="1288">
        <v>92011</v>
      </c>
      <c r="B206" s="1288" t="s">
        <v>2850</v>
      </c>
      <c r="C206" s="1287">
        <v>119422.65</v>
      </c>
      <c r="D206" s="1288"/>
    </row>
    <row r="207" spans="1:4" x14ac:dyDescent="0.25">
      <c r="A207" s="1288">
        <v>92017</v>
      </c>
      <c r="B207" s="1288" t="s">
        <v>2851</v>
      </c>
      <c r="C207" s="1287">
        <v>24320.48</v>
      </c>
      <c r="D207" s="1288"/>
    </row>
    <row r="208" spans="1:4" x14ac:dyDescent="0.25">
      <c r="A208" s="1288">
        <v>92021</v>
      </c>
      <c r="B208" s="1288" t="s">
        <v>2852</v>
      </c>
      <c r="C208" s="1287">
        <v>65514.13</v>
      </c>
      <c r="D208" s="1288"/>
    </row>
    <row r="209" spans="1:4" x14ac:dyDescent="0.25">
      <c r="A209" s="1288">
        <v>92101</v>
      </c>
      <c r="B209" s="1288" t="s">
        <v>2853</v>
      </c>
      <c r="C209" s="1287">
        <v>491207.58</v>
      </c>
      <c r="D209" s="1288"/>
    </row>
    <row r="210" spans="1:4" x14ac:dyDescent="0.25">
      <c r="A210" s="1288">
        <v>92104</v>
      </c>
      <c r="B210" s="1288" t="s">
        <v>2854</v>
      </c>
      <c r="C210" s="1287">
        <v>6913.65</v>
      </c>
      <c r="D210" s="1288"/>
    </row>
    <row r="211" spans="1:4" x14ac:dyDescent="0.25">
      <c r="A211" s="1288">
        <v>92109</v>
      </c>
      <c r="B211" s="1288" t="s">
        <v>2855</v>
      </c>
      <c r="C211" s="1287">
        <v>112580.98</v>
      </c>
      <c r="D211" s="1288"/>
    </row>
    <row r="212" spans="1:4" x14ac:dyDescent="0.25">
      <c r="A212" s="1288">
        <v>92111</v>
      </c>
      <c r="B212" s="1288" t="s">
        <v>2856</v>
      </c>
      <c r="C212" s="1287">
        <v>319891.03999999998</v>
      </c>
      <c r="D212" s="1288"/>
    </row>
    <row r="213" spans="1:4" x14ac:dyDescent="0.25">
      <c r="A213" s="1288">
        <v>92113</v>
      </c>
      <c r="B213" s="1288" t="s">
        <v>2857</v>
      </c>
      <c r="C213" s="1287">
        <v>16522.97</v>
      </c>
      <c r="D213" s="1288"/>
    </row>
    <row r="214" spans="1:4" x14ac:dyDescent="0.25">
      <c r="A214" s="1288">
        <v>92201</v>
      </c>
      <c r="B214" s="1288" t="s">
        <v>2858</v>
      </c>
      <c r="C214" s="1287">
        <v>600417.24</v>
      </c>
      <c r="D214" s="1288"/>
    </row>
    <row r="215" spans="1:4" x14ac:dyDescent="0.25">
      <c r="A215" s="1288">
        <v>92214</v>
      </c>
      <c r="B215" s="1288" t="s">
        <v>4154</v>
      </c>
      <c r="C215" s="1287">
        <v>12000.04</v>
      </c>
      <c r="D215" s="1288"/>
    </row>
    <row r="216" spans="1:4" x14ac:dyDescent="0.25">
      <c r="A216" s="1288">
        <v>92301</v>
      </c>
      <c r="B216" s="1288" t="s">
        <v>2859</v>
      </c>
      <c r="C216" s="1287">
        <v>3314829.22</v>
      </c>
      <c r="D216" s="1288"/>
    </row>
    <row r="217" spans="1:4" x14ac:dyDescent="0.25">
      <c r="A217" s="1288">
        <v>92302</v>
      </c>
      <c r="B217" s="1288" t="s">
        <v>3685</v>
      </c>
      <c r="C217" s="1287">
        <v>187889.39</v>
      </c>
      <c r="D217" s="1288"/>
    </row>
    <row r="218" spans="1:4" x14ac:dyDescent="0.25">
      <c r="A218" s="1288">
        <v>92311</v>
      </c>
      <c r="B218" s="1288" t="s">
        <v>2861</v>
      </c>
      <c r="C218" s="1287">
        <v>1405326.92</v>
      </c>
      <c r="D218" s="1288"/>
    </row>
    <row r="219" spans="1:4" x14ac:dyDescent="0.25">
      <c r="A219" s="1288">
        <v>92317</v>
      </c>
      <c r="B219" s="1288" t="s">
        <v>2862</v>
      </c>
      <c r="C219" s="1287">
        <v>30422.37</v>
      </c>
      <c r="D219" s="1288"/>
    </row>
    <row r="220" spans="1:4" x14ac:dyDescent="0.25">
      <c r="A220" s="1288">
        <v>92321</v>
      </c>
      <c r="B220" s="1288" t="s">
        <v>2863</v>
      </c>
      <c r="C220" s="1287">
        <v>836037.19</v>
      </c>
      <c r="D220" s="1288"/>
    </row>
    <row r="221" spans="1:4" x14ac:dyDescent="0.25">
      <c r="A221" s="1288">
        <v>92327</v>
      </c>
      <c r="B221" s="1288" t="s">
        <v>2864</v>
      </c>
      <c r="C221" s="1287">
        <v>9362.69</v>
      </c>
      <c r="D221" s="1288"/>
    </row>
    <row r="222" spans="1:4" x14ac:dyDescent="0.25">
      <c r="A222" s="1288">
        <v>92331</v>
      </c>
      <c r="B222" s="1288" t="s">
        <v>2865</v>
      </c>
      <c r="C222" s="1287">
        <v>107013.37</v>
      </c>
      <c r="D222" s="1288"/>
    </row>
    <row r="223" spans="1:4" x14ac:dyDescent="0.25">
      <c r="A223" s="1288">
        <v>92341</v>
      </c>
      <c r="B223" s="1288" t="s">
        <v>2866</v>
      </c>
      <c r="C223" s="1287">
        <v>3979.12</v>
      </c>
      <c r="D223" s="1288"/>
    </row>
    <row r="224" spans="1:4" x14ac:dyDescent="0.25">
      <c r="A224" s="1288">
        <v>92351</v>
      </c>
      <c r="B224" s="1288" t="s">
        <v>2867</v>
      </c>
      <c r="C224" s="1287">
        <v>16488.38</v>
      </c>
      <c r="D224" s="1288"/>
    </row>
    <row r="225" spans="1:4" x14ac:dyDescent="0.25">
      <c r="A225" s="1288">
        <v>92401</v>
      </c>
      <c r="B225" s="1288" t="s">
        <v>2868</v>
      </c>
      <c r="C225" s="1287">
        <v>1620314.76</v>
      </c>
      <c r="D225" s="1288"/>
    </row>
    <row r="226" spans="1:4" x14ac:dyDescent="0.25">
      <c r="A226" s="1288">
        <v>92403</v>
      </c>
      <c r="B226" s="1288" t="s">
        <v>2869</v>
      </c>
      <c r="C226" s="1287">
        <v>9547.0499999999993</v>
      </c>
      <c r="D226" s="1288"/>
    </row>
    <row r="227" spans="1:4" x14ac:dyDescent="0.25">
      <c r="A227" s="1288">
        <v>92411</v>
      </c>
      <c r="B227" s="1288" t="s">
        <v>2870</v>
      </c>
      <c r="C227" s="1287">
        <v>279728.71000000002</v>
      </c>
      <c r="D227" s="1288"/>
    </row>
    <row r="228" spans="1:4" x14ac:dyDescent="0.25">
      <c r="A228" s="1288">
        <v>92417</v>
      </c>
      <c r="B228" s="1288" t="s">
        <v>2871</v>
      </c>
      <c r="C228" s="1287">
        <v>6472.33</v>
      </c>
      <c r="D228" s="1288"/>
    </row>
    <row r="229" spans="1:4" x14ac:dyDescent="0.25">
      <c r="A229" s="1288">
        <v>92421</v>
      </c>
      <c r="B229" s="1288" t="s">
        <v>2872</v>
      </c>
      <c r="C229" s="1287">
        <v>10478.530000000001</v>
      </c>
      <c r="D229" s="1288"/>
    </row>
    <row r="230" spans="1:4" x14ac:dyDescent="0.25">
      <c r="A230" s="1288">
        <v>92427</v>
      </c>
      <c r="B230" s="1288" t="s">
        <v>2873</v>
      </c>
      <c r="C230" s="1287">
        <v>2074.08</v>
      </c>
      <c r="D230" s="1288"/>
    </row>
    <row r="231" spans="1:4" x14ac:dyDescent="0.25">
      <c r="A231" s="1288">
        <v>92431</v>
      </c>
      <c r="B231" s="1288" t="s">
        <v>2874</v>
      </c>
      <c r="C231" s="1287">
        <v>21856.26</v>
      </c>
      <c r="D231" s="1288"/>
    </row>
    <row r="232" spans="1:4" x14ac:dyDescent="0.25">
      <c r="A232" s="1288">
        <v>92441</v>
      </c>
      <c r="B232" s="1288" t="s">
        <v>2875</v>
      </c>
      <c r="C232" s="1287">
        <v>60545.87</v>
      </c>
      <c r="D232" s="1288"/>
    </row>
    <row r="233" spans="1:4" x14ac:dyDescent="0.25">
      <c r="A233" s="1288">
        <v>92444</v>
      </c>
      <c r="B233" s="1288" t="s">
        <v>2876</v>
      </c>
      <c r="C233" s="1287">
        <v>5366.82</v>
      </c>
      <c r="D233" s="1288"/>
    </row>
    <row r="234" spans="1:4" x14ac:dyDescent="0.25">
      <c r="A234" s="1288">
        <v>92451</v>
      </c>
      <c r="B234" s="1288" t="s">
        <v>2877</v>
      </c>
      <c r="C234" s="1287">
        <v>94890.77</v>
      </c>
      <c r="D234" s="1288"/>
    </row>
    <row r="235" spans="1:4" x14ac:dyDescent="0.25">
      <c r="A235" s="1288">
        <v>92461</v>
      </c>
      <c r="B235" s="1288" t="s">
        <v>2878</v>
      </c>
      <c r="C235" s="1287">
        <v>49359.79</v>
      </c>
      <c r="D235" s="1288"/>
    </row>
    <row r="236" spans="1:4" x14ac:dyDescent="0.25">
      <c r="A236" s="1288">
        <v>92501</v>
      </c>
      <c r="B236" s="1288" t="s">
        <v>2879</v>
      </c>
      <c r="C236" s="1287">
        <v>2704272.25</v>
      </c>
      <c r="D236" s="1288"/>
    </row>
    <row r="237" spans="1:4" x14ac:dyDescent="0.25">
      <c r="A237" s="1288">
        <v>92502</v>
      </c>
      <c r="B237" s="1288" t="s">
        <v>2880</v>
      </c>
      <c r="C237" s="1287">
        <v>17990</v>
      </c>
      <c r="D237" s="1288"/>
    </row>
    <row r="238" spans="1:4" x14ac:dyDescent="0.25">
      <c r="A238" s="1288">
        <v>92504</v>
      </c>
      <c r="B238" s="1288" t="s">
        <v>2881</v>
      </c>
      <c r="C238" s="1287">
        <v>67212.990000000005</v>
      </c>
      <c r="D238" s="1288"/>
    </row>
    <row r="239" spans="1:4" x14ac:dyDescent="0.25">
      <c r="A239" s="1288">
        <v>92505</v>
      </c>
      <c r="B239" s="1288" t="s">
        <v>2882</v>
      </c>
      <c r="C239" s="1287">
        <v>161996.82</v>
      </c>
      <c r="D239" s="1288"/>
    </row>
    <row r="240" spans="1:4" x14ac:dyDescent="0.25">
      <c r="A240" s="1288">
        <v>92506</v>
      </c>
      <c r="B240" s="1288" t="s">
        <v>2883</v>
      </c>
      <c r="C240" s="1287">
        <v>48154.38</v>
      </c>
      <c r="D240" s="1288"/>
    </row>
    <row r="241" spans="1:4" x14ac:dyDescent="0.25">
      <c r="A241" s="1288">
        <v>92507</v>
      </c>
      <c r="B241" s="1288" t="s">
        <v>2884</v>
      </c>
      <c r="C241" s="1287">
        <v>60642.87</v>
      </c>
      <c r="D241" s="1288"/>
    </row>
    <row r="242" spans="1:4" x14ac:dyDescent="0.25">
      <c r="A242" s="1288">
        <v>92508</v>
      </c>
      <c r="B242" s="1288" t="s">
        <v>2885</v>
      </c>
      <c r="C242" s="1287">
        <v>222925.09</v>
      </c>
      <c r="D242" s="1288"/>
    </row>
    <row r="243" spans="1:4" x14ac:dyDescent="0.25">
      <c r="A243" s="1288">
        <v>92511</v>
      </c>
      <c r="B243" s="1288" t="s">
        <v>2887</v>
      </c>
      <c r="C243" s="1287">
        <v>2099499.12</v>
      </c>
      <c r="D243" s="1288"/>
    </row>
    <row r="244" spans="1:4" x14ac:dyDescent="0.25">
      <c r="A244" s="1288">
        <v>92513</v>
      </c>
      <c r="B244" s="1288" t="s">
        <v>2888</v>
      </c>
      <c r="C244" s="1287">
        <v>2336920.4300000002</v>
      </c>
      <c r="D244" s="1288"/>
    </row>
    <row r="245" spans="1:4" x14ac:dyDescent="0.25">
      <c r="A245" s="1288">
        <v>92521</v>
      </c>
      <c r="B245" s="1288" t="s">
        <v>2889</v>
      </c>
      <c r="C245" s="1287">
        <v>49229.4</v>
      </c>
      <c r="D245" s="1288"/>
    </row>
    <row r="246" spans="1:4" x14ac:dyDescent="0.25">
      <c r="A246" s="1288">
        <v>92531</v>
      </c>
      <c r="B246" s="1288" t="s">
        <v>2890</v>
      </c>
      <c r="C246" s="1287">
        <v>491813.33</v>
      </c>
      <c r="D246" s="1288"/>
    </row>
    <row r="247" spans="1:4" x14ac:dyDescent="0.25">
      <c r="A247" s="1288">
        <v>92541</v>
      </c>
      <c r="B247" s="1288" t="s">
        <v>2891</v>
      </c>
      <c r="C247" s="1287">
        <v>88984.9</v>
      </c>
      <c r="D247" s="1288"/>
    </row>
    <row r="248" spans="1:4" x14ac:dyDescent="0.25">
      <c r="A248" s="1288">
        <v>92551</v>
      </c>
      <c r="B248" s="1288" t="s">
        <v>2892</v>
      </c>
      <c r="C248" s="1287">
        <v>29437.09</v>
      </c>
      <c r="D248" s="1288"/>
    </row>
    <row r="249" spans="1:4" x14ac:dyDescent="0.25">
      <c r="A249" s="1288">
        <v>92561</v>
      </c>
      <c r="B249" s="1288" t="s">
        <v>2893</v>
      </c>
      <c r="C249" s="1287">
        <v>10293.59</v>
      </c>
      <c r="D249" s="1288"/>
    </row>
    <row r="250" spans="1:4" x14ac:dyDescent="0.25">
      <c r="A250" s="1288">
        <v>92571</v>
      </c>
      <c r="B250" s="1288" t="s">
        <v>2894</v>
      </c>
      <c r="C250" s="1287">
        <v>5037.6000000000004</v>
      </c>
      <c r="D250" s="1288"/>
    </row>
    <row r="251" spans="1:4" x14ac:dyDescent="0.25">
      <c r="A251" s="1288">
        <v>92601</v>
      </c>
      <c r="B251" s="1288" t="s">
        <v>2895</v>
      </c>
      <c r="C251" s="1287">
        <v>8352943</v>
      </c>
      <c r="D251" s="1288"/>
    </row>
    <row r="252" spans="1:4" x14ac:dyDescent="0.25">
      <c r="A252" s="1288">
        <v>92602</v>
      </c>
      <c r="B252" s="1288" t="s">
        <v>2896</v>
      </c>
      <c r="C252" s="1287">
        <v>2986.68</v>
      </c>
      <c r="D252" s="1288"/>
    </row>
    <row r="253" spans="1:4" x14ac:dyDescent="0.25">
      <c r="A253" s="1288">
        <v>92604</v>
      </c>
      <c r="B253" s="1288" t="s">
        <v>2897</v>
      </c>
      <c r="C253" s="1287">
        <v>242790.09</v>
      </c>
      <c r="D253" s="1288"/>
    </row>
    <row r="254" spans="1:4" x14ac:dyDescent="0.25">
      <c r="A254" s="1288">
        <v>92607</v>
      </c>
      <c r="B254" s="1288" t="s">
        <v>2898</v>
      </c>
      <c r="C254" s="1287">
        <v>48044.23</v>
      </c>
      <c r="D254" s="1288"/>
    </row>
    <row r="255" spans="1:4" x14ac:dyDescent="0.25">
      <c r="A255" s="1288">
        <v>92611</v>
      </c>
      <c r="B255" s="1288" t="s">
        <v>2900</v>
      </c>
      <c r="C255" s="1287">
        <v>7063777.96</v>
      </c>
      <c r="D255" s="1288"/>
    </row>
    <row r="256" spans="1:4" x14ac:dyDescent="0.25">
      <c r="A256" s="1288">
        <v>92613</v>
      </c>
      <c r="B256" s="1288" t="s">
        <v>2901</v>
      </c>
      <c r="C256" s="1287">
        <v>180590.88</v>
      </c>
      <c r="D256" s="1288"/>
    </row>
    <row r="257" spans="1:4" x14ac:dyDescent="0.25">
      <c r="A257" s="1288">
        <v>92614</v>
      </c>
      <c r="B257" s="1288" t="s">
        <v>2902</v>
      </c>
      <c r="C257" s="1287">
        <v>3960299.05</v>
      </c>
      <c r="D257" s="1288"/>
    </row>
    <row r="258" spans="1:4" x14ac:dyDescent="0.25">
      <c r="A258" s="1288">
        <v>92621</v>
      </c>
      <c r="B258" s="1288" t="s">
        <v>2903</v>
      </c>
      <c r="C258" s="1287">
        <v>19069.68</v>
      </c>
      <c r="D258" s="1288"/>
    </row>
    <row r="259" spans="1:4" x14ac:dyDescent="0.25">
      <c r="A259" s="1288">
        <v>92631</v>
      </c>
      <c r="B259" s="1288" t="s">
        <v>2904</v>
      </c>
      <c r="C259" s="1287">
        <v>532576.46</v>
      </c>
      <c r="D259" s="1288"/>
    </row>
    <row r="260" spans="1:4" x14ac:dyDescent="0.25">
      <c r="A260" s="1288">
        <v>92641</v>
      </c>
      <c r="B260" s="1288" t="s">
        <v>2905</v>
      </c>
      <c r="C260" s="1287">
        <v>9750.9</v>
      </c>
      <c r="D260" s="1288"/>
    </row>
    <row r="261" spans="1:4" x14ac:dyDescent="0.25">
      <c r="A261" s="1288">
        <v>92651</v>
      </c>
      <c r="B261" s="1288" t="s">
        <v>2906</v>
      </c>
      <c r="C261" s="1287">
        <v>3127.24</v>
      </c>
      <c r="D261" s="1288"/>
    </row>
    <row r="262" spans="1:4" x14ac:dyDescent="0.25">
      <c r="A262" s="1288">
        <v>92661</v>
      </c>
      <c r="B262" s="1288" t="s">
        <v>2907</v>
      </c>
      <c r="C262" s="1287">
        <v>394907.72</v>
      </c>
      <c r="D262" s="1288"/>
    </row>
    <row r="263" spans="1:4" x14ac:dyDescent="0.25">
      <c r="A263" s="1288">
        <v>92671</v>
      </c>
      <c r="B263" s="1288" t="s">
        <v>2908</v>
      </c>
      <c r="C263" s="1287">
        <v>3726.47</v>
      </c>
      <c r="D263" s="1288"/>
    </row>
    <row r="264" spans="1:4" x14ac:dyDescent="0.25">
      <c r="A264" s="1288">
        <v>92681</v>
      </c>
      <c r="B264" s="1288" t="s">
        <v>2909</v>
      </c>
      <c r="C264" s="1287">
        <v>5684.58</v>
      </c>
      <c r="D264" s="1288"/>
    </row>
    <row r="265" spans="1:4" x14ac:dyDescent="0.25">
      <c r="A265" s="1288">
        <v>92701</v>
      </c>
      <c r="B265" s="1288" t="s">
        <v>2910</v>
      </c>
      <c r="C265" s="1287">
        <v>1773313.19</v>
      </c>
      <c r="D265" s="1288"/>
    </row>
    <row r="266" spans="1:4" x14ac:dyDescent="0.25">
      <c r="A266" s="1288">
        <v>92704</v>
      </c>
      <c r="B266" s="1288" t="s">
        <v>2911</v>
      </c>
      <c r="C266" s="1287">
        <v>24562.93</v>
      </c>
      <c r="D266" s="1288"/>
    </row>
    <row r="267" spans="1:4" x14ac:dyDescent="0.25">
      <c r="A267" s="1288">
        <v>92801</v>
      </c>
      <c r="B267" s="1288" t="s">
        <v>2912</v>
      </c>
      <c r="C267" s="1287">
        <v>3495037.7</v>
      </c>
      <c r="D267" s="1288"/>
    </row>
    <row r="268" spans="1:4" x14ac:dyDescent="0.25">
      <c r="A268" s="1288">
        <v>92802</v>
      </c>
      <c r="B268" s="1288" t="s">
        <v>2913</v>
      </c>
      <c r="C268" s="1287">
        <v>70964.25</v>
      </c>
      <c r="D268" s="1288"/>
    </row>
    <row r="269" spans="1:4" x14ac:dyDescent="0.25">
      <c r="A269" s="1288">
        <v>92804</v>
      </c>
      <c r="B269" s="1288" t="s">
        <v>2914</v>
      </c>
      <c r="C269" s="1287">
        <v>87958.78</v>
      </c>
      <c r="D269" s="1288"/>
    </row>
    <row r="270" spans="1:4" x14ac:dyDescent="0.25">
      <c r="A270" s="1288">
        <v>92811</v>
      </c>
      <c r="B270" s="1288" t="s">
        <v>2915</v>
      </c>
      <c r="C270" s="1287">
        <v>605801.36</v>
      </c>
      <c r="D270" s="1288"/>
    </row>
    <row r="271" spans="1:4" x14ac:dyDescent="0.25">
      <c r="A271" s="1288">
        <v>92821</v>
      </c>
      <c r="B271" s="1288" t="s">
        <v>2916</v>
      </c>
      <c r="C271" s="1287">
        <v>663912.71</v>
      </c>
      <c r="D271" s="1288"/>
    </row>
    <row r="272" spans="1:4" x14ac:dyDescent="0.25">
      <c r="A272" s="1288">
        <v>92831</v>
      </c>
      <c r="B272" s="1288" t="s">
        <v>2917</v>
      </c>
      <c r="C272" s="1287">
        <v>188011.19</v>
      </c>
      <c r="D272" s="1288"/>
    </row>
    <row r="273" spans="1:4" x14ac:dyDescent="0.25">
      <c r="A273" s="1288">
        <v>92841</v>
      </c>
      <c r="B273" s="1288" t="s">
        <v>2918</v>
      </c>
      <c r="C273" s="1287">
        <v>143849.45000000001</v>
      </c>
      <c r="D273" s="1288"/>
    </row>
    <row r="274" spans="1:4" x14ac:dyDescent="0.25">
      <c r="A274" s="1288">
        <v>92851</v>
      </c>
      <c r="B274" s="1288" t="s">
        <v>2919</v>
      </c>
      <c r="C274" s="1287">
        <v>233969.77</v>
      </c>
      <c r="D274" s="1288"/>
    </row>
    <row r="275" spans="1:4" x14ac:dyDescent="0.25">
      <c r="A275" s="1288">
        <v>92861</v>
      </c>
      <c r="B275" s="1288" t="s">
        <v>2920</v>
      </c>
      <c r="C275" s="1287">
        <v>202744.57</v>
      </c>
      <c r="D275" s="1288"/>
    </row>
    <row r="276" spans="1:4" x14ac:dyDescent="0.25">
      <c r="A276" s="1288">
        <v>92901</v>
      </c>
      <c r="B276" s="1288" t="s">
        <v>2921</v>
      </c>
      <c r="C276" s="1287">
        <v>3521298.95</v>
      </c>
      <c r="D276" s="1288"/>
    </row>
    <row r="277" spans="1:4" x14ac:dyDescent="0.25">
      <c r="A277" s="1288">
        <v>92911</v>
      </c>
      <c r="B277" s="1288" t="s">
        <v>2922</v>
      </c>
      <c r="C277" s="1287">
        <v>1269653.29</v>
      </c>
      <c r="D277" s="1288"/>
    </row>
    <row r="278" spans="1:4" x14ac:dyDescent="0.25">
      <c r="A278" s="1288">
        <v>92913</v>
      </c>
      <c r="B278" s="1288" t="s">
        <v>2923</v>
      </c>
      <c r="C278" s="1287">
        <v>22305.5</v>
      </c>
      <c r="D278" s="1288"/>
    </row>
    <row r="279" spans="1:4" x14ac:dyDescent="0.25">
      <c r="A279" s="1288">
        <v>92914</v>
      </c>
      <c r="B279" s="1288" t="s">
        <v>3686</v>
      </c>
      <c r="C279" s="1287">
        <v>22153.52</v>
      </c>
      <c r="D279" s="1288"/>
    </row>
    <row r="280" spans="1:4" x14ac:dyDescent="0.25">
      <c r="A280" s="1288">
        <v>92917</v>
      </c>
      <c r="B280" s="1288" t="s">
        <v>2924</v>
      </c>
      <c r="C280" s="1287">
        <v>19303.400000000001</v>
      </c>
      <c r="D280" s="1288"/>
    </row>
    <row r="281" spans="1:4" x14ac:dyDescent="0.25">
      <c r="A281" s="1288">
        <v>92921</v>
      </c>
      <c r="B281" s="1288" t="s">
        <v>2925</v>
      </c>
      <c r="C281" s="1287">
        <v>67647.77</v>
      </c>
      <c r="D281" s="1288"/>
    </row>
    <row r="282" spans="1:4" x14ac:dyDescent="0.25">
      <c r="A282" s="1288">
        <v>92931</v>
      </c>
      <c r="B282" s="1288" t="s">
        <v>2926</v>
      </c>
      <c r="C282" s="1287">
        <v>1422920.17</v>
      </c>
      <c r="D282" s="1288"/>
    </row>
    <row r="283" spans="1:4" x14ac:dyDescent="0.25">
      <c r="A283" s="1288">
        <v>92941</v>
      </c>
      <c r="B283" s="1288" t="s">
        <v>1450</v>
      </c>
      <c r="C283" s="1287">
        <v>3380.96</v>
      </c>
      <c r="D283" s="1288"/>
    </row>
    <row r="284" spans="1:4" x14ac:dyDescent="0.25">
      <c r="A284" s="1288">
        <v>93001</v>
      </c>
      <c r="B284" s="1288" t="s">
        <v>2927</v>
      </c>
      <c r="C284" s="1287">
        <v>1412038.75</v>
      </c>
      <c r="D284" s="1288"/>
    </row>
    <row r="285" spans="1:4" x14ac:dyDescent="0.25">
      <c r="A285" s="1288">
        <v>93009</v>
      </c>
      <c r="B285" s="1288" t="s">
        <v>2928</v>
      </c>
      <c r="C285" s="1287">
        <v>6656.29</v>
      </c>
      <c r="D285" s="1288"/>
    </row>
    <row r="286" spans="1:4" x14ac:dyDescent="0.25">
      <c r="A286" s="1288">
        <v>93011</v>
      </c>
      <c r="B286" s="1288" t="s">
        <v>2929</v>
      </c>
      <c r="C286" s="1287">
        <v>184720.22</v>
      </c>
      <c r="D286" s="1288"/>
    </row>
    <row r="287" spans="1:4" x14ac:dyDescent="0.25">
      <c r="A287" s="1288">
        <v>93021</v>
      </c>
      <c r="B287" s="1288" t="s">
        <v>2930</v>
      </c>
      <c r="C287" s="1287">
        <v>17952.759999999998</v>
      </c>
      <c r="D287" s="1288"/>
    </row>
    <row r="288" spans="1:4" x14ac:dyDescent="0.25">
      <c r="A288" s="1288">
        <v>93028</v>
      </c>
      <c r="B288" s="1288" t="s">
        <v>4164</v>
      </c>
      <c r="C288" s="1287">
        <v>11299</v>
      </c>
      <c r="D288" s="1288"/>
    </row>
    <row r="289" spans="1:4" x14ac:dyDescent="0.25">
      <c r="A289" s="1288">
        <v>93031</v>
      </c>
      <c r="B289" s="1288" t="s">
        <v>2932</v>
      </c>
      <c r="C289" s="1287">
        <v>3464.6</v>
      </c>
      <c r="D289" s="1288"/>
    </row>
    <row r="290" spans="1:4" x14ac:dyDescent="0.25">
      <c r="A290" s="1288">
        <v>93101</v>
      </c>
      <c r="B290" s="1288" t="s">
        <v>2933</v>
      </c>
      <c r="C290" s="1287">
        <v>1849535.31</v>
      </c>
      <c r="D290" s="1288"/>
    </row>
    <row r="291" spans="1:4" x14ac:dyDescent="0.25">
      <c r="A291" s="1288">
        <v>93103</v>
      </c>
      <c r="B291" s="1288" t="s">
        <v>2126</v>
      </c>
      <c r="C291" s="1287">
        <v>4420.3599999999997</v>
      </c>
      <c r="D291" s="1288"/>
    </row>
    <row r="292" spans="1:4" x14ac:dyDescent="0.25">
      <c r="A292" s="1288">
        <v>93108</v>
      </c>
      <c r="B292" s="1288" t="s">
        <v>2934</v>
      </c>
      <c r="C292" s="1287">
        <v>1456240.44</v>
      </c>
      <c r="D292" s="1288"/>
    </row>
    <row r="293" spans="1:4" x14ac:dyDescent="0.25">
      <c r="A293" s="1288">
        <v>93111</v>
      </c>
      <c r="B293" s="1288" t="s">
        <v>2935</v>
      </c>
      <c r="C293" s="1287">
        <v>35185.160000000003</v>
      </c>
      <c r="D293" s="1288"/>
    </row>
    <row r="294" spans="1:4" x14ac:dyDescent="0.25">
      <c r="A294" s="1288">
        <v>93121</v>
      </c>
      <c r="B294" s="1288" t="s">
        <v>2936</v>
      </c>
      <c r="C294" s="1287">
        <v>39979.32</v>
      </c>
      <c r="D294" s="1288"/>
    </row>
    <row r="295" spans="1:4" x14ac:dyDescent="0.25">
      <c r="A295" s="1288">
        <v>93127</v>
      </c>
      <c r="B295" s="1288" t="s">
        <v>2937</v>
      </c>
      <c r="C295" s="1287">
        <v>4166.3100000000004</v>
      </c>
      <c r="D295" s="1288"/>
    </row>
    <row r="296" spans="1:4" x14ac:dyDescent="0.25">
      <c r="A296" s="1288">
        <v>93131</v>
      </c>
      <c r="B296" s="1288" t="s">
        <v>2938</v>
      </c>
      <c r="C296" s="1287">
        <v>118911.72</v>
      </c>
      <c r="D296" s="1288"/>
    </row>
    <row r="297" spans="1:4" x14ac:dyDescent="0.25">
      <c r="A297" s="1288">
        <v>93137</v>
      </c>
      <c r="B297" s="1288" t="s">
        <v>2939</v>
      </c>
      <c r="C297" s="1287">
        <v>3744.45</v>
      </c>
      <c r="D297" s="1288"/>
    </row>
    <row r="298" spans="1:4" x14ac:dyDescent="0.25">
      <c r="A298" s="1288">
        <v>93141</v>
      </c>
      <c r="B298" s="1288" t="s">
        <v>2940</v>
      </c>
      <c r="C298" s="1287">
        <v>21807.8</v>
      </c>
      <c r="D298" s="1288"/>
    </row>
    <row r="299" spans="1:4" x14ac:dyDescent="0.25">
      <c r="A299" s="1288">
        <v>93151</v>
      </c>
      <c r="B299" s="1288" t="s">
        <v>2941</v>
      </c>
      <c r="C299" s="1287">
        <v>200116.66</v>
      </c>
      <c r="D299" s="1288"/>
    </row>
    <row r="300" spans="1:4" x14ac:dyDescent="0.25">
      <c r="A300" s="1288">
        <v>93157</v>
      </c>
      <c r="B300" s="1288" t="s">
        <v>2942</v>
      </c>
      <c r="C300" s="1287">
        <v>7181.4</v>
      </c>
      <c r="D300" s="1288"/>
    </row>
    <row r="301" spans="1:4" x14ac:dyDescent="0.25">
      <c r="A301" s="1288">
        <v>93161</v>
      </c>
      <c r="B301" s="1288" t="s">
        <v>2943</v>
      </c>
      <c r="C301" s="1287">
        <v>64015.37</v>
      </c>
      <c r="D301" s="1288"/>
    </row>
    <row r="302" spans="1:4" x14ac:dyDescent="0.25">
      <c r="A302" s="1288">
        <v>93171</v>
      </c>
      <c r="B302" s="1288" t="s">
        <v>2944</v>
      </c>
      <c r="C302" s="1287">
        <v>7023.55</v>
      </c>
      <c r="D302" s="1288"/>
    </row>
    <row r="303" spans="1:4" x14ac:dyDescent="0.25">
      <c r="A303" s="1288">
        <v>93181</v>
      </c>
      <c r="B303" s="1288" t="s">
        <v>2945</v>
      </c>
      <c r="C303" s="1287">
        <v>7608.14</v>
      </c>
      <c r="D303" s="1288"/>
    </row>
    <row r="304" spans="1:4" x14ac:dyDescent="0.25">
      <c r="A304" s="1288">
        <v>93191</v>
      </c>
      <c r="B304" s="1288" t="s">
        <v>2946</v>
      </c>
      <c r="C304" s="1287">
        <v>23171.02</v>
      </c>
      <c r="D304" s="1288"/>
    </row>
    <row r="305" spans="1:4" x14ac:dyDescent="0.25">
      <c r="A305" s="1288">
        <v>93201</v>
      </c>
      <c r="B305" s="1288" t="s">
        <v>2947</v>
      </c>
      <c r="C305" s="1287">
        <v>9167962.3000000007</v>
      </c>
      <c r="D305" s="1288"/>
    </row>
    <row r="306" spans="1:4" x14ac:dyDescent="0.25">
      <c r="A306" s="1288">
        <v>93204</v>
      </c>
      <c r="B306" s="1288" t="s">
        <v>2949</v>
      </c>
      <c r="C306" s="1287">
        <v>192514.34</v>
      </c>
      <c r="D306" s="1288"/>
    </row>
    <row r="307" spans="1:4" x14ac:dyDescent="0.25">
      <c r="A307" s="1288">
        <v>93209</v>
      </c>
      <c r="B307" s="1288" t="s">
        <v>4812</v>
      </c>
      <c r="C307" s="1287">
        <v>3147884.78</v>
      </c>
      <c r="D307" s="1288"/>
    </row>
    <row r="308" spans="1:4" x14ac:dyDescent="0.25">
      <c r="A308" s="1288">
        <v>93211</v>
      </c>
      <c r="B308" s="1288" t="s">
        <v>2951</v>
      </c>
      <c r="C308" s="1287">
        <v>14075156.09</v>
      </c>
      <c r="D308" s="1288"/>
    </row>
    <row r="309" spans="1:4" x14ac:dyDescent="0.25">
      <c r="A309" s="1288">
        <v>93212</v>
      </c>
      <c r="B309" s="1288" t="s">
        <v>2952</v>
      </c>
      <c r="C309" s="1287">
        <v>167505.19</v>
      </c>
      <c r="D309" s="1288"/>
    </row>
    <row r="310" spans="1:4" x14ac:dyDescent="0.25">
      <c r="A310" s="1288">
        <v>93219</v>
      </c>
      <c r="B310" s="1288" t="s">
        <v>2953</v>
      </c>
      <c r="C310" s="1287">
        <v>177379.81</v>
      </c>
      <c r="D310" s="1288"/>
    </row>
    <row r="311" spans="1:4" x14ac:dyDescent="0.25">
      <c r="A311" s="1288">
        <v>93301</v>
      </c>
      <c r="B311" s="1288" t="s">
        <v>2954</v>
      </c>
      <c r="C311" s="1287">
        <v>1426685.54</v>
      </c>
      <c r="D311" s="1288"/>
    </row>
    <row r="312" spans="1:4" x14ac:dyDescent="0.25">
      <c r="A312" s="1288">
        <v>93304</v>
      </c>
      <c r="B312" s="1288" t="s">
        <v>2955</v>
      </c>
      <c r="C312" s="1287">
        <v>33727.629999999997</v>
      </c>
      <c r="D312" s="1288"/>
    </row>
    <row r="313" spans="1:4" x14ac:dyDescent="0.25">
      <c r="A313" s="1288">
        <v>93305</v>
      </c>
      <c r="B313" s="1288" t="s">
        <v>2956</v>
      </c>
      <c r="C313" s="1287">
        <v>23197.78</v>
      </c>
      <c r="D313" s="1288"/>
    </row>
    <row r="314" spans="1:4" x14ac:dyDescent="0.25">
      <c r="A314" s="1288">
        <v>93309</v>
      </c>
      <c r="B314" s="1288" t="s">
        <v>2957</v>
      </c>
      <c r="C314" s="1287">
        <v>116550.99</v>
      </c>
      <c r="D314" s="1288"/>
    </row>
    <row r="315" spans="1:4" x14ac:dyDescent="0.25">
      <c r="A315" s="1288">
        <v>93311</v>
      </c>
      <c r="B315" s="1288" t="s">
        <v>2958</v>
      </c>
      <c r="C315" s="1287">
        <v>757305.33</v>
      </c>
      <c r="D315" s="1288"/>
    </row>
    <row r="316" spans="1:4" x14ac:dyDescent="0.25">
      <c r="A316" s="1288">
        <v>93317</v>
      </c>
      <c r="B316" s="1288" t="s">
        <v>2959</v>
      </c>
      <c r="C316" s="1287">
        <v>30804.35</v>
      </c>
      <c r="D316" s="1288"/>
    </row>
    <row r="317" spans="1:4" x14ac:dyDescent="0.25">
      <c r="A317" s="1288">
        <v>93321</v>
      </c>
      <c r="B317" s="1288" t="s">
        <v>2960</v>
      </c>
      <c r="C317" s="1287">
        <v>4185162.56</v>
      </c>
      <c r="D317" s="1288"/>
    </row>
    <row r="318" spans="1:4" x14ac:dyDescent="0.25">
      <c r="A318" s="1288">
        <v>93323</v>
      </c>
      <c r="B318" s="1288" t="s">
        <v>2961</v>
      </c>
      <c r="C318" s="1287">
        <v>21465.69</v>
      </c>
      <c r="D318" s="1288"/>
    </row>
    <row r="319" spans="1:4" x14ac:dyDescent="0.25">
      <c r="A319" s="1288">
        <v>93331</v>
      </c>
      <c r="B319" s="1288" t="s">
        <v>2962</v>
      </c>
      <c r="C319" s="1287">
        <v>85382.45</v>
      </c>
      <c r="D319" s="1288"/>
    </row>
    <row r="320" spans="1:4" x14ac:dyDescent="0.25">
      <c r="A320" s="1288">
        <v>93333</v>
      </c>
      <c r="B320" s="1288" t="s">
        <v>2963</v>
      </c>
      <c r="C320" s="1287">
        <v>154397.54</v>
      </c>
      <c r="D320" s="1288"/>
    </row>
    <row r="321" spans="1:4" x14ac:dyDescent="0.25">
      <c r="A321" s="1288">
        <v>93341</v>
      </c>
      <c r="B321" s="1288" t="s">
        <v>2964</v>
      </c>
      <c r="C321" s="1287">
        <v>17829.22</v>
      </c>
      <c r="D321" s="1288"/>
    </row>
    <row r="322" spans="1:4" x14ac:dyDescent="0.25">
      <c r="A322" s="1288">
        <v>93351</v>
      </c>
      <c r="B322" s="1288" t="s">
        <v>2965</v>
      </c>
      <c r="C322" s="1287">
        <v>18333.82</v>
      </c>
      <c r="D322" s="1288"/>
    </row>
    <row r="323" spans="1:4" x14ac:dyDescent="0.25">
      <c r="A323" s="1288">
        <v>93401</v>
      </c>
      <c r="B323" s="1288" t="s">
        <v>2966</v>
      </c>
      <c r="C323" s="1287">
        <v>8768293.9100000001</v>
      </c>
      <c r="D323" s="1288"/>
    </row>
    <row r="324" spans="1:4" x14ac:dyDescent="0.25">
      <c r="A324" s="1288">
        <v>93406</v>
      </c>
      <c r="B324" s="1288" t="s">
        <v>2968</v>
      </c>
      <c r="C324" s="1287">
        <v>352185.08</v>
      </c>
      <c r="D324" s="1288"/>
    </row>
    <row r="325" spans="1:4" x14ac:dyDescent="0.25">
      <c r="A325" s="1288">
        <v>93411</v>
      </c>
      <c r="B325" s="1288" t="s">
        <v>2970</v>
      </c>
      <c r="C325" s="1287">
        <v>11404697.99</v>
      </c>
      <c r="D325" s="1288"/>
    </row>
    <row r="326" spans="1:4" x14ac:dyDescent="0.25">
      <c r="A326" s="1288">
        <v>93413</v>
      </c>
      <c r="B326" s="1288" t="s">
        <v>2971</v>
      </c>
      <c r="C326" s="1287">
        <v>441702.75</v>
      </c>
      <c r="D326" s="1288"/>
    </row>
    <row r="327" spans="1:4" x14ac:dyDescent="0.25">
      <c r="A327" s="1288">
        <v>93417</v>
      </c>
      <c r="B327" s="1288" t="s">
        <v>2972</v>
      </c>
      <c r="C327" s="1287">
        <v>231214.15</v>
      </c>
      <c r="D327" s="1288"/>
    </row>
    <row r="328" spans="1:4" x14ac:dyDescent="0.25">
      <c r="A328" s="1288">
        <v>93421</v>
      </c>
      <c r="B328" s="1288" t="s">
        <v>2973</v>
      </c>
      <c r="C328" s="1287">
        <v>1203990.1000000001</v>
      </c>
      <c r="D328" s="1288"/>
    </row>
    <row r="329" spans="1:4" x14ac:dyDescent="0.25">
      <c r="A329" s="1288">
        <v>93431</v>
      </c>
      <c r="B329" s="1288" t="s">
        <v>2974</v>
      </c>
      <c r="C329" s="1287">
        <v>85286.31</v>
      </c>
      <c r="D329" s="1288"/>
    </row>
    <row r="330" spans="1:4" x14ac:dyDescent="0.25">
      <c r="A330" s="1288">
        <v>93441</v>
      </c>
      <c r="B330" s="1288" t="s">
        <v>2975</v>
      </c>
      <c r="C330" s="1287">
        <v>101953.16</v>
      </c>
      <c r="D330" s="1288"/>
    </row>
    <row r="331" spans="1:4" x14ac:dyDescent="0.25">
      <c r="A331" s="1288">
        <v>93442</v>
      </c>
      <c r="B331" s="1288" t="s">
        <v>2976</v>
      </c>
      <c r="C331" s="1287">
        <v>79845.62</v>
      </c>
      <c r="D331" s="1288"/>
    </row>
    <row r="332" spans="1:4" x14ac:dyDescent="0.25">
      <c r="A332" s="1288">
        <v>93451</v>
      </c>
      <c r="B332" s="1288" t="s">
        <v>2977</v>
      </c>
      <c r="C332" s="1287">
        <v>55842.22</v>
      </c>
      <c r="D332" s="1288"/>
    </row>
    <row r="333" spans="1:4" x14ac:dyDescent="0.25">
      <c r="A333" s="1288">
        <v>93461</v>
      </c>
      <c r="B333" s="1288" t="s">
        <v>2978</v>
      </c>
      <c r="C333" s="1287">
        <v>9651</v>
      </c>
      <c r="D333" s="1288"/>
    </row>
    <row r="334" spans="1:4" x14ac:dyDescent="0.25">
      <c r="A334" s="1288">
        <v>93471</v>
      </c>
      <c r="B334" s="1288" t="s">
        <v>2979</v>
      </c>
      <c r="C334" s="1287">
        <v>12867</v>
      </c>
      <c r="D334" s="1288"/>
    </row>
    <row r="335" spans="1:4" x14ac:dyDescent="0.25">
      <c r="A335" s="1288">
        <v>93501</v>
      </c>
      <c r="B335" s="1288" t="s">
        <v>2980</v>
      </c>
      <c r="C335" s="1287">
        <v>2319860.36</v>
      </c>
      <c r="D335" s="1288"/>
    </row>
    <row r="336" spans="1:4" x14ac:dyDescent="0.25">
      <c r="A336" s="1288">
        <v>93511</v>
      </c>
      <c r="B336" s="1288" t="s">
        <v>2981</v>
      </c>
      <c r="C336" s="1287">
        <v>54716.62</v>
      </c>
      <c r="D336" s="1288"/>
    </row>
    <row r="337" spans="1:4" x14ac:dyDescent="0.25">
      <c r="A337" s="1288">
        <v>93517</v>
      </c>
      <c r="B337" s="1288" t="s">
        <v>2982</v>
      </c>
      <c r="C337" s="1287">
        <v>5688.12</v>
      </c>
      <c r="D337" s="1288"/>
    </row>
    <row r="338" spans="1:4" x14ac:dyDescent="0.25">
      <c r="A338" s="1288">
        <v>93521</v>
      </c>
      <c r="B338" s="1288" t="s">
        <v>2983</v>
      </c>
      <c r="C338" s="1287">
        <v>278759.18</v>
      </c>
      <c r="D338" s="1288"/>
    </row>
    <row r="339" spans="1:4" x14ac:dyDescent="0.25">
      <c r="A339" s="1288">
        <v>93527</v>
      </c>
      <c r="B339" s="1288" t="s">
        <v>2984</v>
      </c>
      <c r="C339" s="1287">
        <v>11868.65</v>
      </c>
      <c r="D339" s="1288"/>
    </row>
    <row r="340" spans="1:4" x14ac:dyDescent="0.25">
      <c r="A340" s="1288">
        <v>93531</v>
      </c>
      <c r="B340" s="1288" t="s">
        <v>2985</v>
      </c>
      <c r="C340" s="1287">
        <v>17968.18</v>
      </c>
      <c r="D340" s="1288"/>
    </row>
    <row r="341" spans="1:4" x14ac:dyDescent="0.25">
      <c r="A341" s="1288">
        <v>93537</v>
      </c>
      <c r="B341" s="1288" t="s">
        <v>2986</v>
      </c>
      <c r="C341" s="1287">
        <v>4967.9399999999996</v>
      </c>
      <c r="D341" s="1288"/>
    </row>
    <row r="342" spans="1:4" x14ac:dyDescent="0.25">
      <c r="A342" s="1288">
        <v>93541</v>
      </c>
      <c r="B342" s="1288" t="s">
        <v>2987</v>
      </c>
      <c r="C342" s="1287">
        <v>88067.93</v>
      </c>
      <c r="D342" s="1288"/>
    </row>
    <row r="343" spans="1:4" x14ac:dyDescent="0.25">
      <c r="A343" s="1288">
        <v>93601</v>
      </c>
      <c r="B343" s="1288" t="s">
        <v>2988</v>
      </c>
      <c r="C343" s="1287">
        <v>7106613.4199999999</v>
      </c>
      <c r="D343" s="1288"/>
    </row>
    <row r="344" spans="1:4" x14ac:dyDescent="0.25">
      <c r="A344" s="1288">
        <v>93602</v>
      </c>
      <c r="B344" s="1288" t="s">
        <v>2989</v>
      </c>
      <c r="C344" s="1287">
        <v>125015.62</v>
      </c>
      <c r="D344" s="1288"/>
    </row>
    <row r="345" spans="1:4" x14ac:dyDescent="0.25">
      <c r="A345" s="1288">
        <v>93604</v>
      </c>
      <c r="B345" s="1288" t="s">
        <v>4168</v>
      </c>
      <c r="C345" s="1287">
        <v>13311.88</v>
      </c>
      <c r="D345" s="1288"/>
    </row>
    <row r="346" spans="1:4" x14ac:dyDescent="0.25">
      <c r="A346" s="1288">
        <v>93609</v>
      </c>
      <c r="B346" s="1288" t="s">
        <v>2990</v>
      </c>
      <c r="C346" s="1287">
        <v>2309630.73</v>
      </c>
      <c r="D346" s="1288"/>
    </row>
    <row r="347" spans="1:4" x14ac:dyDescent="0.25">
      <c r="A347" s="1288">
        <v>93610</v>
      </c>
      <c r="B347" s="1288" t="s">
        <v>2991</v>
      </c>
      <c r="C347" s="1287">
        <v>8740.65</v>
      </c>
      <c r="D347" s="1288"/>
    </row>
    <row r="348" spans="1:4" x14ac:dyDescent="0.25">
      <c r="A348" s="1288">
        <v>93611</v>
      </c>
      <c r="B348" s="1288" t="s">
        <v>2992</v>
      </c>
      <c r="C348" s="1287">
        <v>4322762.2</v>
      </c>
      <c r="D348" s="1288"/>
    </row>
    <row r="349" spans="1:4" x14ac:dyDescent="0.25">
      <c r="A349" s="1288">
        <v>93617</v>
      </c>
      <c r="B349" s="1288" t="s">
        <v>2993</v>
      </c>
      <c r="C349" s="1287">
        <v>69801.02</v>
      </c>
      <c r="D349" s="1288"/>
    </row>
    <row r="350" spans="1:4" x14ac:dyDescent="0.25">
      <c r="A350" s="1288">
        <v>93618</v>
      </c>
      <c r="B350" s="1288" t="s">
        <v>2994</v>
      </c>
      <c r="C350" s="1287">
        <v>13464.5</v>
      </c>
      <c r="D350" s="1288"/>
    </row>
    <row r="351" spans="1:4" x14ac:dyDescent="0.25">
      <c r="A351" s="1288">
        <v>93621</v>
      </c>
      <c r="B351" s="1288" t="s">
        <v>2995</v>
      </c>
      <c r="C351" s="1287">
        <v>665609.78</v>
      </c>
      <c r="D351" s="1288"/>
    </row>
    <row r="352" spans="1:4" x14ac:dyDescent="0.25">
      <c r="A352" s="1288">
        <v>93623</v>
      </c>
      <c r="B352" s="1288" t="s">
        <v>2996</v>
      </c>
      <c r="C352" s="1287">
        <v>8410.32</v>
      </c>
      <c r="D352" s="1288"/>
    </row>
    <row r="353" spans="1:4" x14ac:dyDescent="0.25">
      <c r="A353" s="1288">
        <v>93631</v>
      </c>
      <c r="B353" s="1288" t="s">
        <v>2997</v>
      </c>
      <c r="C353" s="1287">
        <v>148435.76</v>
      </c>
      <c r="D353" s="1288"/>
    </row>
    <row r="354" spans="1:4" x14ac:dyDescent="0.25">
      <c r="A354" s="1288">
        <v>93641</v>
      </c>
      <c r="B354" s="1288" t="s">
        <v>2998</v>
      </c>
      <c r="C354" s="1287">
        <v>269907.09000000003</v>
      </c>
      <c r="D354" s="1288"/>
    </row>
    <row r="355" spans="1:4" x14ac:dyDescent="0.25">
      <c r="A355" s="1288">
        <v>93647</v>
      </c>
      <c r="B355" s="1288" t="s">
        <v>2999</v>
      </c>
      <c r="C355" s="1287">
        <v>4758.34</v>
      </c>
      <c r="D355" s="1288"/>
    </row>
    <row r="356" spans="1:4" x14ac:dyDescent="0.25">
      <c r="A356" s="1288">
        <v>93651</v>
      </c>
      <c r="B356" s="1288" t="s">
        <v>3000</v>
      </c>
      <c r="C356" s="1287">
        <v>268053</v>
      </c>
      <c r="D356" s="1288"/>
    </row>
    <row r="357" spans="1:4" x14ac:dyDescent="0.25">
      <c r="A357" s="1288">
        <v>93661</v>
      </c>
      <c r="B357" s="1288" t="s">
        <v>3001</v>
      </c>
      <c r="C357" s="1287">
        <v>95750.85</v>
      </c>
      <c r="D357" s="1288"/>
    </row>
    <row r="358" spans="1:4" x14ac:dyDescent="0.25">
      <c r="A358" s="1288">
        <v>93671</v>
      </c>
      <c r="B358" s="1288" t="s">
        <v>3002</v>
      </c>
      <c r="C358" s="1287">
        <v>253498.23</v>
      </c>
      <c r="D358" s="1288"/>
    </row>
    <row r="359" spans="1:4" x14ac:dyDescent="0.25">
      <c r="A359" s="1288">
        <v>93681</v>
      </c>
      <c r="B359" s="1288" t="s">
        <v>3003</v>
      </c>
      <c r="C359" s="1287">
        <v>95612.6</v>
      </c>
      <c r="D359" s="1288"/>
    </row>
    <row r="360" spans="1:4" x14ac:dyDescent="0.25">
      <c r="A360" s="1288">
        <v>93691</v>
      </c>
      <c r="B360" s="1288" t="s">
        <v>3004</v>
      </c>
      <c r="C360" s="1287">
        <v>644273.03</v>
      </c>
      <c r="D360" s="1288"/>
    </row>
    <row r="361" spans="1:4" x14ac:dyDescent="0.25">
      <c r="A361" s="1288">
        <v>93701</v>
      </c>
      <c r="B361" s="1288" t="s">
        <v>3687</v>
      </c>
      <c r="C361" s="1287">
        <v>273541.55</v>
      </c>
      <c r="D361" s="1288"/>
    </row>
    <row r="362" spans="1:4" x14ac:dyDescent="0.25">
      <c r="A362" s="1288">
        <v>93704</v>
      </c>
      <c r="B362" s="1288" t="s">
        <v>3006</v>
      </c>
      <c r="C362" s="1287">
        <v>2691.36</v>
      </c>
      <c r="D362" s="1288"/>
    </row>
    <row r="363" spans="1:4" x14ac:dyDescent="0.25">
      <c r="A363" s="1288">
        <v>93801</v>
      </c>
      <c r="B363" s="1288" t="s">
        <v>3007</v>
      </c>
      <c r="C363" s="1287">
        <v>269237.62</v>
      </c>
      <c r="D363" s="1288"/>
    </row>
    <row r="364" spans="1:4" x14ac:dyDescent="0.25">
      <c r="A364" s="1288">
        <v>93803</v>
      </c>
      <c r="B364" s="1288" t="s">
        <v>3008</v>
      </c>
      <c r="C364" s="1287">
        <v>63472.03</v>
      </c>
      <c r="D364" s="1288"/>
    </row>
    <row r="365" spans="1:4" x14ac:dyDescent="0.25">
      <c r="A365" s="1288">
        <v>93806</v>
      </c>
      <c r="B365" s="1288" t="s">
        <v>3009</v>
      </c>
      <c r="C365" s="1287">
        <v>39372.76</v>
      </c>
      <c r="D365" s="1288"/>
    </row>
    <row r="366" spans="1:4" x14ac:dyDescent="0.25">
      <c r="A366" s="1288">
        <v>93821</v>
      </c>
      <c r="B366" s="1288" t="s">
        <v>3010</v>
      </c>
      <c r="C366" s="1287">
        <v>38449.39</v>
      </c>
      <c r="D366" s="1288"/>
    </row>
    <row r="367" spans="1:4" x14ac:dyDescent="0.25">
      <c r="A367" s="1288">
        <v>93901</v>
      </c>
      <c r="B367" s="1288" t="s">
        <v>3011</v>
      </c>
      <c r="C367" s="1287">
        <v>1251915.08</v>
      </c>
      <c r="D367" s="1288"/>
    </row>
    <row r="368" spans="1:4" x14ac:dyDescent="0.25">
      <c r="A368" s="1288">
        <v>93904</v>
      </c>
      <c r="B368" s="1288" t="s">
        <v>3012</v>
      </c>
      <c r="C368" s="1287">
        <v>29568.94</v>
      </c>
      <c r="D368" s="1288"/>
    </row>
    <row r="369" spans="1:4" x14ac:dyDescent="0.25">
      <c r="A369" s="1288">
        <v>93906</v>
      </c>
      <c r="B369" s="1288" t="s">
        <v>3013</v>
      </c>
      <c r="C369" s="1287">
        <v>1949080.2</v>
      </c>
      <c r="D369" s="1288"/>
    </row>
    <row r="370" spans="1:4" x14ac:dyDescent="0.25">
      <c r="A370" s="1288">
        <v>93908</v>
      </c>
      <c r="B370" s="1288" t="s">
        <v>3688</v>
      </c>
      <c r="C370" s="1287">
        <v>321745.96999999997</v>
      </c>
      <c r="D370" s="1288"/>
    </row>
    <row r="371" spans="1:4" x14ac:dyDescent="0.25">
      <c r="A371" s="1288">
        <v>93910</v>
      </c>
      <c r="B371" s="1288" t="s">
        <v>3015</v>
      </c>
      <c r="C371" s="1287">
        <v>178540.23</v>
      </c>
      <c r="D371" s="1288"/>
    </row>
    <row r="372" spans="1:4" x14ac:dyDescent="0.25">
      <c r="A372" s="1288">
        <v>93911</v>
      </c>
      <c r="B372" s="1288" t="s">
        <v>3016</v>
      </c>
      <c r="C372" s="1287">
        <v>396959.29</v>
      </c>
      <c r="D372" s="1288"/>
    </row>
    <row r="373" spans="1:4" x14ac:dyDescent="0.25">
      <c r="A373" s="1288">
        <v>93913</v>
      </c>
      <c r="B373" s="1288" t="s">
        <v>3017</v>
      </c>
      <c r="C373" s="1287">
        <v>39299.86</v>
      </c>
      <c r="D373" s="1288"/>
    </row>
    <row r="374" spans="1:4" x14ac:dyDescent="0.25">
      <c r="A374" s="1288">
        <v>93914</v>
      </c>
      <c r="B374" s="1288" t="s">
        <v>3018</v>
      </c>
      <c r="C374" s="1287">
        <v>6897.26</v>
      </c>
      <c r="D374" s="1288"/>
    </row>
    <row r="375" spans="1:4" x14ac:dyDescent="0.25">
      <c r="A375" s="1288">
        <v>93921</v>
      </c>
      <c r="B375" s="1288" t="s">
        <v>3019</v>
      </c>
      <c r="C375" s="1287">
        <v>159317.16</v>
      </c>
      <c r="D375" s="1288"/>
    </row>
    <row r="376" spans="1:4" x14ac:dyDescent="0.25">
      <c r="A376" s="1288">
        <v>93931</v>
      </c>
      <c r="B376" s="1288" t="s">
        <v>3020</v>
      </c>
      <c r="C376" s="1287">
        <v>304238.15000000002</v>
      </c>
      <c r="D376" s="1288"/>
    </row>
    <row r="377" spans="1:4" x14ac:dyDescent="0.25">
      <c r="A377" s="1288">
        <v>94001</v>
      </c>
      <c r="B377" s="1288" t="s">
        <v>3021</v>
      </c>
      <c r="C377" s="1287">
        <v>651175.66</v>
      </c>
      <c r="D377" s="1288"/>
    </row>
    <row r="378" spans="1:4" x14ac:dyDescent="0.25">
      <c r="A378" s="1288">
        <v>94002</v>
      </c>
      <c r="B378" s="1288" t="s">
        <v>3022</v>
      </c>
      <c r="C378" s="1287">
        <v>5253.19</v>
      </c>
      <c r="D378" s="1288"/>
    </row>
    <row r="379" spans="1:4" x14ac:dyDescent="0.25">
      <c r="A379" s="1288">
        <v>94004</v>
      </c>
      <c r="B379" s="1288" t="s">
        <v>3023</v>
      </c>
      <c r="C379" s="1287">
        <v>6637.55</v>
      </c>
      <c r="D379" s="1288"/>
    </row>
    <row r="380" spans="1:4" x14ac:dyDescent="0.25">
      <c r="A380" s="1288">
        <v>94005</v>
      </c>
      <c r="B380" s="1288" t="s">
        <v>3024</v>
      </c>
      <c r="C380" s="1287">
        <v>2911.19</v>
      </c>
      <c r="D380" s="1288"/>
    </row>
    <row r="381" spans="1:4" x14ac:dyDescent="0.25">
      <c r="A381" s="1288">
        <v>94011</v>
      </c>
      <c r="B381" s="1288" t="s">
        <v>3025</v>
      </c>
      <c r="C381" s="1287">
        <v>14121.25</v>
      </c>
      <c r="D381" s="1288"/>
    </row>
    <row r="382" spans="1:4" x14ac:dyDescent="0.25">
      <c r="A382" s="1288">
        <v>94021</v>
      </c>
      <c r="B382" s="1288" t="s">
        <v>3026</v>
      </c>
      <c r="C382" s="1287">
        <v>62910.11</v>
      </c>
      <c r="D382" s="1288"/>
    </row>
    <row r="383" spans="1:4" x14ac:dyDescent="0.25">
      <c r="A383" s="1288">
        <v>94031</v>
      </c>
      <c r="B383" s="1288" t="s">
        <v>3027</v>
      </c>
      <c r="C383" s="1287">
        <v>4754.26</v>
      </c>
      <c r="D383" s="1288"/>
    </row>
    <row r="384" spans="1:4" x14ac:dyDescent="0.25">
      <c r="A384" s="1288">
        <v>94101</v>
      </c>
      <c r="B384" s="1288" t="s">
        <v>3028</v>
      </c>
      <c r="C384" s="1287">
        <v>11425931.26</v>
      </c>
      <c r="D384" s="1288"/>
    </row>
    <row r="385" spans="1:4" x14ac:dyDescent="0.25">
      <c r="A385" s="1288">
        <v>94102</v>
      </c>
      <c r="B385" s="1288" t="s">
        <v>3029</v>
      </c>
      <c r="C385" s="1287">
        <v>179350.33</v>
      </c>
      <c r="D385" s="1288"/>
    </row>
    <row r="386" spans="1:4" x14ac:dyDescent="0.25">
      <c r="A386" s="1288">
        <v>94108</v>
      </c>
      <c r="B386" s="1288" t="s">
        <v>3030</v>
      </c>
      <c r="C386" s="1287">
        <v>191914.03</v>
      </c>
      <c r="D386" s="1288"/>
    </row>
    <row r="387" spans="1:4" x14ac:dyDescent="0.25">
      <c r="A387" s="1288">
        <v>94109</v>
      </c>
      <c r="B387" s="1288" t="s">
        <v>3031</v>
      </c>
      <c r="C387" s="1287">
        <v>50946</v>
      </c>
      <c r="D387" s="1288"/>
    </row>
    <row r="388" spans="1:4" x14ac:dyDescent="0.25">
      <c r="A388" s="1288">
        <v>94111</v>
      </c>
      <c r="B388" s="1288" t="s">
        <v>3032</v>
      </c>
      <c r="C388" s="1287">
        <v>15252102.369999999</v>
      </c>
      <c r="D388" s="1288"/>
    </row>
    <row r="389" spans="1:4" x14ac:dyDescent="0.25">
      <c r="A389" s="1288">
        <v>94112</v>
      </c>
      <c r="B389" s="1288" t="s">
        <v>3033</v>
      </c>
      <c r="C389" s="1287">
        <v>95390.63</v>
      </c>
      <c r="D389" s="1288"/>
    </row>
    <row r="390" spans="1:4" x14ac:dyDescent="0.25">
      <c r="A390" s="1288">
        <v>94117</v>
      </c>
      <c r="B390" s="1288" t="s">
        <v>3034</v>
      </c>
      <c r="C390" s="1287">
        <v>248885.21</v>
      </c>
      <c r="D390" s="1288"/>
    </row>
    <row r="391" spans="1:4" x14ac:dyDescent="0.25">
      <c r="A391" s="1288">
        <v>94118</v>
      </c>
      <c r="B391" s="1288" t="s">
        <v>3035</v>
      </c>
      <c r="C391" s="1287">
        <v>82956.56</v>
      </c>
      <c r="D391" s="1288"/>
    </row>
    <row r="392" spans="1:4" x14ac:dyDescent="0.25">
      <c r="A392" s="1288">
        <v>94121</v>
      </c>
      <c r="B392" s="1288" t="s">
        <v>3036</v>
      </c>
      <c r="C392" s="1287">
        <v>7286061.9299999997</v>
      </c>
      <c r="D392" s="1288"/>
    </row>
    <row r="393" spans="1:4" x14ac:dyDescent="0.25">
      <c r="A393" s="1288">
        <v>94127</v>
      </c>
      <c r="B393" s="1288" t="s">
        <v>3037</v>
      </c>
      <c r="C393" s="1287">
        <v>103757.33</v>
      </c>
      <c r="D393" s="1288"/>
    </row>
    <row r="394" spans="1:4" x14ac:dyDescent="0.25">
      <c r="A394" s="1288">
        <v>94131</v>
      </c>
      <c r="B394" s="1288" t="s">
        <v>3038</v>
      </c>
      <c r="C394" s="1287">
        <v>134711.16</v>
      </c>
      <c r="D394" s="1288"/>
    </row>
    <row r="395" spans="1:4" x14ac:dyDescent="0.25">
      <c r="A395" s="1288">
        <v>94151</v>
      </c>
      <c r="B395" s="1288" t="s">
        <v>3039</v>
      </c>
      <c r="C395" s="1287">
        <v>262874.71999999997</v>
      </c>
      <c r="D395" s="1288"/>
    </row>
    <row r="396" spans="1:4" x14ac:dyDescent="0.25">
      <c r="A396" s="1288">
        <v>94157</v>
      </c>
      <c r="B396" s="1288" t="s">
        <v>3040</v>
      </c>
      <c r="C396" s="1287">
        <v>6972.26</v>
      </c>
      <c r="D396" s="1288"/>
    </row>
    <row r="397" spans="1:4" x14ac:dyDescent="0.25">
      <c r="A397" s="1288">
        <v>94161</v>
      </c>
      <c r="B397" s="1288" t="s">
        <v>3041</v>
      </c>
      <c r="C397" s="1287">
        <v>34380.449999999997</v>
      </c>
      <c r="D397" s="1288"/>
    </row>
    <row r="398" spans="1:4" x14ac:dyDescent="0.25">
      <c r="A398" s="1288">
        <v>94168</v>
      </c>
      <c r="B398" s="1288" t="s">
        <v>3042</v>
      </c>
      <c r="C398" s="1287">
        <v>37502.269999999997</v>
      </c>
      <c r="D398" s="1288"/>
    </row>
    <row r="399" spans="1:4" x14ac:dyDescent="0.25">
      <c r="A399" s="1288">
        <v>94171</v>
      </c>
      <c r="B399" s="1288" t="s">
        <v>3043</v>
      </c>
      <c r="C399" s="1287">
        <v>37751.379999999997</v>
      </c>
      <c r="D399" s="1288"/>
    </row>
    <row r="400" spans="1:4" x14ac:dyDescent="0.25">
      <c r="A400" s="1288">
        <v>94172</v>
      </c>
      <c r="B400" s="1288" t="s">
        <v>3044</v>
      </c>
      <c r="C400" s="1287">
        <v>135252.51999999999</v>
      </c>
      <c r="D400" s="1288"/>
    </row>
    <row r="401" spans="1:4" x14ac:dyDescent="0.25">
      <c r="A401" s="1288">
        <v>94201</v>
      </c>
      <c r="B401" s="1288" t="s">
        <v>3045</v>
      </c>
      <c r="C401" s="1287">
        <v>1986945.03</v>
      </c>
      <c r="D401" s="1288"/>
    </row>
    <row r="402" spans="1:4" x14ac:dyDescent="0.25">
      <c r="A402" s="1288">
        <v>94204</v>
      </c>
      <c r="B402" s="1288" t="s">
        <v>3046</v>
      </c>
      <c r="C402" s="1287">
        <v>26342.97</v>
      </c>
      <c r="D402" s="1288"/>
    </row>
    <row r="403" spans="1:4" x14ac:dyDescent="0.25">
      <c r="A403" s="1288">
        <v>94205</v>
      </c>
      <c r="B403" s="1288" t="s">
        <v>3047</v>
      </c>
      <c r="C403" s="1287">
        <v>14160.93</v>
      </c>
      <c r="D403" s="1288"/>
    </row>
    <row r="404" spans="1:4" x14ac:dyDescent="0.25">
      <c r="A404" s="1288">
        <v>94209</v>
      </c>
      <c r="B404" s="1288" t="s">
        <v>3048</v>
      </c>
      <c r="C404" s="1287">
        <v>203485.06</v>
      </c>
      <c r="D404" s="1288"/>
    </row>
    <row r="405" spans="1:4" x14ac:dyDescent="0.25">
      <c r="A405" s="1288">
        <v>94211</v>
      </c>
      <c r="B405" s="1288" t="s">
        <v>3049</v>
      </c>
      <c r="C405" s="1287">
        <v>95954.71</v>
      </c>
      <c r="D405" s="1288"/>
    </row>
    <row r="406" spans="1:4" x14ac:dyDescent="0.25">
      <c r="A406" s="1288">
        <v>94221</v>
      </c>
      <c r="B406" s="1288" t="s">
        <v>3050</v>
      </c>
      <c r="C406" s="1287">
        <v>577320.13</v>
      </c>
      <c r="D406" s="1288"/>
    </row>
    <row r="407" spans="1:4" x14ac:dyDescent="0.25">
      <c r="A407" s="1288">
        <v>94231</v>
      </c>
      <c r="B407" s="1288" t="s">
        <v>3051</v>
      </c>
      <c r="C407" s="1287">
        <v>95288.34</v>
      </c>
      <c r="D407" s="1288"/>
    </row>
    <row r="408" spans="1:4" x14ac:dyDescent="0.25">
      <c r="A408" s="1288">
        <v>94241</v>
      </c>
      <c r="B408" s="1288" t="s">
        <v>3052</v>
      </c>
      <c r="C408" s="1287">
        <v>99811.42</v>
      </c>
      <c r="D408" s="1288"/>
    </row>
    <row r="409" spans="1:4" x14ac:dyDescent="0.25">
      <c r="A409" s="1288">
        <v>94251</v>
      </c>
      <c r="B409" s="1288" t="s">
        <v>3053</v>
      </c>
      <c r="C409" s="1287">
        <v>11727.08</v>
      </c>
      <c r="D409" s="1288"/>
    </row>
    <row r="410" spans="1:4" x14ac:dyDescent="0.25">
      <c r="A410" s="1288">
        <v>94261</v>
      </c>
      <c r="B410" s="1288" t="s">
        <v>3054</v>
      </c>
      <c r="C410" s="1287">
        <v>24439.03</v>
      </c>
      <c r="D410" s="1288"/>
    </row>
    <row r="411" spans="1:4" x14ac:dyDescent="0.25">
      <c r="A411" s="1288">
        <v>94301</v>
      </c>
      <c r="B411" s="1288" t="s">
        <v>3055</v>
      </c>
      <c r="C411" s="1287">
        <v>3813601.47</v>
      </c>
      <c r="D411" s="1288"/>
    </row>
    <row r="412" spans="1:4" x14ac:dyDescent="0.25">
      <c r="A412" s="1288">
        <v>94311</v>
      </c>
      <c r="B412" s="1288" t="s">
        <v>3056</v>
      </c>
      <c r="C412" s="1287">
        <v>503138.81</v>
      </c>
      <c r="D412" s="1288"/>
    </row>
    <row r="413" spans="1:4" x14ac:dyDescent="0.25">
      <c r="A413" s="1288">
        <v>94313</v>
      </c>
      <c r="B413" s="1288" t="s">
        <v>3057</v>
      </c>
      <c r="C413" s="1287">
        <v>15582.38</v>
      </c>
      <c r="D413" s="1288"/>
    </row>
    <row r="414" spans="1:4" x14ac:dyDescent="0.25">
      <c r="A414" s="1288">
        <v>94317</v>
      </c>
      <c r="B414" s="1288" t="s">
        <v>3058</v>
      </c>
      <c r="C414" s="1287">
        <v>11408.69</v>
      </c>
      <c r="D414" s="1288"/>
    </row>
    <row r="415" spans="1:4" x14ac:dyDescent="0.25">
      <c r="A415" s="1288">
        <v>94321</v>
      </c>
      <c r="B415" s="1288" t="s">
        <v>3059</v>
      </c>
      <c r="C415" s="1287">
        <v>187536.56</v>
      </c>
      <c r="D415" s="1288"/>
    </row>
    <row r="416" spans="1:4" x14ac:dyDescent="0.25">
      <c r="A416" s="1288">
        <v>94331</v>
      </c>
      <c r="B416" s="1288" t="s">
        <v>3060</v>
      </c>
      <c r="C416" s="1287">
        <v>99030.14</v>
      </c>
      <c r="D416" s="1288"/>
    </row>
    <row r="417" spans="1:4" x14ac:dyDescent="0.25">
      <c r="A417" s="1288">
        <v>94341</v>
      </c>
      <c r="B417" s="1288" t="s">
        <v>3061</v>
      </c>
      <c r="C417" s="1287">
        <v>54993.2</v>
      </c>
      <c r="D417" s="1288"/>
    </row>
    <row r="418" spans="1:4" x14ac:dyDescent="0.25">
      <c r="A418" s="1288">
        <v>94347</v>
      </c>
      <c r="B418" s="1288" t="s">
        <v>3062</v>
      </c>
      <c r="C418" s="1287">
        <v>15330.94</v>
      </c>
      <c r="D418" s="1288"/>
    </row>
    <row r="419" spans="1:4" x14ac:dyDescent="0.25">
      <c r="A419" s="1288">
        <v>94351</v>
      </c>
      <c r="B419" s="1288" t="s">
        <v>3063</v>
      </c>
      <c r="C419" s="1287">
        <v>175618.77</v>
      </c>
      <c r="D419" s="1288"/>
    </row>
    <row r="420" spans="1:4" x14ac:dyDescent="0.25">
      <c r="A420" s="1288">
        <v>94401</v>
      </c>
      <c r="B420" s="1288" t="s">
        <v>3689</v>
      </c>
      <c r="C420" s="1287">
        <v>2099769.04</v>
      </c>
      <c r="D420" s="1288"/>
    </row>
    <row r="421" spans="1:4" x14ac:dyDescent="0.25">
      <c r="A421" s="1288">
        <v>94403</v>
      </c>
      <c r="B421" s="1288" t="s">
        <v>3690</v>
      </c>
      <c r="C421" s="1287">
        <v>31010.05</v>
      </c>
      <c r="D421" s="1288"/>
    </row>
    <row r="422" spans="1:4" x14ac:dyDescent="0.25">
      <c r="A422" s="1288">
        <v>94408</v>
      </c>
      <c r="B422" s="1288" t="s">
        <v>3065</v>
      </c>
      <c r="C422" s="1287">
        <v>30414.46</v>
      </c>
      <c r="D422" s="1288"/>
    </row>
    <row r="423" spans="1:4" x14ac:dyDescent="0.25">
      <c r="A423" s="1288">
        <v>94411</v>
      </c>
      <c r="B423" s="1288" t="s">
        <v>3066</v>
      </c>
      <c r="C423" s="1287">
        <v>704782.68</v>
      </c>
      <c r="D423" s="1288"/>
    </row>
    <row r="424" spans="1:4" x14ac:dyDescent="0.25">
      <c r="A424" s="1288">
        <v>94412</v>
      </c>
      <c r="B424" s="1288" t="s">
        <v>3067</v>
      </c>
      <c r="C424" s="1287">
        <v>18801.07</v>
      </c>
      <c r="D424" s="1288"/>
    </row>
    <row r="425" spans="1:4" x14ac:dyDescent="0.25">
      <c r="A425" s="1288">
        <v>94421</v>
      </c>
      <c r="B425" s="1288" t="s">
        <v>3068</v>
      </c>
      <c r="C425" s="1287">
        <v>105016.68</v>
      </c>
      <c r="D425" s="1288"/>
    </row>
    <row r="426" spans="1:4" x14ac:dyDescent="0.25">
      <c r="A426" s="1288">
        <v>94427</v>
      </c>
      <c r="B426" s="1288" t="s">
        <v>3069</v>
      </c>
      <c r="C426" s="1287">
        <v>20873.52</v>
      </c>
      <c r="D426" s="1288"/>
    </row>
    <row r="427" spans="1:4" x14ac:dyDescent="0.25">
      <c r="A427" s="1288">
        <v>94428</v>
      </c>
      <c r="B427" s="1288" t="s">
        <v>3070</v>
      </c>
      <c r="C427" s="1287">
        <v>49754.1</v>
      </c>
      <c r="D427" s="1288"/>
    </row>
    <row r="428" spans="1:4" x14ac:dyDescent="0.25">
      <c r="A428" s="1288">
        <v>94431</v>
      </c>
      <c r="B428" s="1288" t="s">
        <v>3071</v>
      </c>
      <c r="C428" s="1287">
        <v>234650.28</v>
      </c>
      <c r="D428" s="1288"/>
    </row>
    <row r="429" spans="1:4" x14ac:dyDescent="0.25">
      <c r="A429" s="1288">
        <v>94437</v>
      </c>
      <c r="B429" s="1288" t="s">
        <v>3072</v>
      </c>
      <c r="C429" s="1287">
        <v>10607.74</v>
      </c>
      <c r="D429" s="1288"/>
    </row>
    <row r="430" spans="1:4" x14ac:dyDescent="0.25">
      <c r="A430" s="1288">
        <v>94501</v>
      </c>
      <c r="B430" s="1288" t="s">
        <v>4402</v>
      </c>
      <c r="C430" s="1287">
        <v>3791288.27</v>
      </c>
      <c r="D430" s="1288"/>
    </row>
    <row r="431" spans="1:4" x14ac:dyDescent="0.25">
      <c r="A431" s="1288">
        <v>94511</v>
      </c>
      <c r="B431" s="1288" t="s">
        <v>3074</v>
      </c>
      <c r="C431" s="1287">
        <v>991334.72</v>
      </c>
      <c r="D431" s="1288"/>
    </row>
    <row r="432" spans="1:4" x14ac:dyDescent="0.25">
      <c r="A432" s="1288">
        <v>94517</v>
      </c>
      <c r="B432" s="1288" t="s">
        <v>3076</v>
      </c>
      <c r="C432" s="1287">
        <v>47005.71</v>
      </c>
      <c r="D432" s="1288"/>
    </row>
    <row r="433" spans="1:4" x14ac:dyDescent="0.25">
      <c r="A433" s="1288">
        <v>94521</v>
      </c>
      <c r="B433" s="1288" t="s">
        <v>3077</v>
      </c>
      <c r="C433" s="1287">
        <v>81241.570000000007</v>
      </c>
      <c r="D433" s="1288"/>
    </row>
    <row r="434" spans="1:4" x14ac:dyDescent="0.25">
      <c r="A434" s="1288">
        <v>94527</v>
      </c>
      <c r="B434" s="1288" t="s">
        <v>3078</v>
      </c>
      <c r="C434" s="1287">
        <v>4444.1899999999996</v>
      </c>
      <c r="D434" s="1288"/>
    </row>
    <row r="435" spans="1:4" x14ac:dyDescent="0.25">
      <c r="A435" s="1288">
        <v>94531</v>
      </c>
      <c r="B435" s="1288" t="s">
        <v>3079</v>
      </c>
      <c r="C435" s="1287">
        <v>18965.03</v>
      </c>
      <c r="D435" s="1288"/>
    </row>
    <row r="436" spans="1:4" x14ac:dyDescent="0.25">
      <c r="A436" s="1288">
        <v>94532</v>
      </c>
      <c r="B436" s="1288" t="s">
        <v>3080</v>
      </c>
      <c r="C436" s="1287">
        <v>75283.710000000006</v>
      </c>
      <c r="D436" s="1288"/>
    </row>
    <row r="437" spans="1:4" x14ac:dyDescent="0.25">
      <c r="A437" s="1288">
        <v>94541</v>
      </c>
      <c r="B437" s="1288" t="s">
        <v>3081</v>
      </c>
      <c r="C437" s="1287">
        <v>175460.75</v>
      </c>
      <c r="D437" s="1288"/>
    </row>
    <row r="438" spans="1:4" x14ac:dyDescent="0.25">
      <c r="A438" s="1288">
        <v>94547</v>
      </c>
      <c r="B438" s="1288" t="s">
        <v>3082</v>
      </c>
      <c r="C438" s="1287">
        <v>14114.36</v>
      </c>
      <c r="D438" s="1288"/>
    </row>
    <row r="439" spans="1:4" x14ac:dyDescent="0.25">
      <c r="A439" s="1288">
        <v>94551</v>
      </c>
      <c r="B439" s="1288" t="s">
        <v>3083</v>
      </c>
      <c r="C439" s="1287">
        <v>36101.050000000003</v>
      </c>
      <c r="D439" s="1288"/>
    </row>
    <row r="440" spans="1:4" x14ac:dyDescent="0.25">
      <c r="A440" s="1288">
        <v>94601</v>
      </c>
      <c r="B440" s="1288" t="s">
        <v>3084</v>
      </c>
      <c r="C440" s="1287">
        <v>615580.51</v>
      </c>
      <c r="D440" s="1288"/>
    </row>
    <row r="441" spans="1:4" x14ac:dyDescent="0.25">
      <c r="A441" s="1288">
        <v>94604</v>
      </c>
      <c r="B441" s="1288" t="s">
        <v>3085</v>
      </c>
      <c r="C441" s="1287">
        <v>19212.240000000002</v>
      </c>
      <c r="D441" s="1288"/>
    </row>
    <row r="442" spans="1:4" x14ac:dyDescent="0.25">
      <c r="A442" s="1288">
        <v>94611</v>
      </c>
      <c r="B442" s="1288" t="s">
        <v>3087</v>
      </c>
      <c r="C442" s="1287">
        <v>216481.24</v>
      </c>
      <c r="D442" s="1288"/>
    </row>
    <row r="443" spans="1:4" x14ac:dyDescent="0.25">
      <c r="A443" s="1288">
        <v>94621</v>
      </c>
      <c r="B443" s="1288" t="s">
        <v>3088</v>
      </c>
      <c r="C443" s="1287">
        <v>75295.17</v>
      </c>
      <c r="D443" s="1288"/>
    </row>
    <row r="444" spans="1:4" x14ac:dyDescent="0.25">
      <c r="A444" s="1288">
        <v>94631</v>
      </c>
      <c r="B444" s="1288" t="s">
        <v>3089</v>
      </c>
      <c r="C444" s="1287">
        <v>26352.73</v>
      </c>
      <c r="D444" s="1288"/>
    </row>
    <row r="445" spans="1:4" x14ac:dyDescent="0.25">
      <c r="A445" s="1288">
        <v>94641</v>
      </c>
      <c r="B445" s="1288" t="s">
        <v>3090</v>
      </c>
      <c r="C445" s="1287">
        <v>10419.14</v>
      </c>
      <c r="D445" s="1288"/>
    </row>
    <row r="446" spans="1:4" x14ac:dyDescent="0.25">
      <c r="A446" s="1288">
        <v>94701</v>
      </c>
      <c r="B446" s="1288" t="s">
        <v>3091</v>
      </c>
      <c r="C446" s="1287">
        <v>1601947.23</v>
      </c>
      <c r="D446" s="1288"/>
    </row>
    <row r="447" spans="1:4" x14ac:dyDescent="0.25">
      <c r="A447" s="1288">
        <v>94704</v>
      </c>
      <c r="B447" s="1288" t="s">
        <v>3092</v>
      </c>
      <c r="C447" s="1287">
        <v>12102.72</v>
      </c>
      <c r="D447" s="1288"/>
    </row>
    <row r="448" spans="1:4" x14ac:dyDescent="0.25">
      <c r="A448" s="1288">
        <v>94711</v>
      </c>
      <c r="B448" s="1288" t="s">
        <v>3093</v>
      </c>
      <c r="C448" s="1287">
        <v>217889.26</v>
      </c>
      <c r="D448" s="1288"/>
    </row>
    <row r="449" spans="1:4" x14ac:dyDescent="0.25">
      <c r="A449" s="1288">
        <v>94801</v>
      </c>
      <c r="B449" s="1288" t="s">
        <v>3094</v>
      </c>
      <c r="C449" s="1287">
        <v>450088.49</v>
      </c>
      <c r="D449" s="1288"/>
    </row>
    <row r="450" spans="1:4" x14ac:dyDescent="0.25">
      <c r="A450" s="1288">
        <v>94804</v>
      </c>
      <c r="B450" s="1288" t="s">
        <v>3095</v>
      </c>
      <c r="C450" s="1287">
        <v>3651.33</v>
      </c>
      <c r="D450" s="1288"/>
    </row>
    <row r="451" spans="1:4" x14ac:dyDescent="0.25">
      <c r="A451" s="1288">
        <v>94812</v>
      </c>
      <c r="B451" s="1288" t="s">
        <v>3096</v>
      </c>
      <c r="C451" s="1287">
        <v>25882.32</v>
      </c>
      <c r="D451" s="1288"/>
    </row>
    <row r="452" spans="1:4" x14ac:dyDescent="0.25">
      <c r="A452" s="1288">
        <v>94901</v>
      </c>
      <c r="B452" s="1288" t="s">
        <v>3097</v>
      </c>
      <c r="C452" s="1287">
        <v>4639730.1100000003</v>
      </c>
      <c r="D452" s="1288"/>
    </row>
    <row r="453" spans="1:4" x14ac:dyDescent="0.25">
      <c r="A453" s="1288">
        <v>94908</v>
      </c>
      <c r="B453" s="1288" t="s">
        <v>4813</v>
      </c>
      <c r="C453" s="1287">
        <v>37671.31</v>
      </c>
      <c r="D453" s="1288"/>
    </row>
    <row r="454" spans="1:4" x14ac:dyDescent="0.25">
      <c r="A454" s="1288">
        <v>94911</v>
      </c>
      <c r="B454" s="1288" t="s">
        <v>3099</v>
      </c>
      <c r="C454" s="1287">
        <v>1848023.06</v>
      </c>
      <c r="D454" s="1288"/>
    </row>
    <row r="455" spans="1:4" x14ac:dyDescent="0.25">
      <c r="A455" s="1288">
        <v>94917</v>
      </c>
      <c r="B455" s="1288" t="s">
        <v>3100</v>
      </c>
      <c r="C455" s="1287">
        <v>34812.5</v>
      </c>
      <c r="D455" s="1288"/>
    </row>
    <row r="456" spans="1:4" x14ac:dyDescent="0.25">
      <c r="A456" s="1288">
        <v>94921</v>
      </c>
      <c r="B456" s="1288" t="s">
        <v>3101</v>
      </c>
      <c r="C456" s="1287">
        <v>2308551.37</v>
      </c>
      <c r="D456" s="1288"/>
    </row>
    <row r="457" spans="1:4" x14ac:dyDescent="0.25">
      <c r="A457" s="1288">
        <v>94923</v>
      </c>
      <c r="B457" s="1288" t="s">
        <v>3102</v>
      </c>
      <c r="C457" s="1287">
        <v>20806.63</v>
      </c>
      <c r="D457" s="1288"/>
    </row>
    <row r="458" spans="1:4" x14ac:dyDescent="0.25">
      <c r="A458" s="1288">
        <v>94927</v>
      </c>
      <c r="B458" s="1288" t="s">
        <v>3103</v>
      </c>
      <c r="C458" s="1287">
        <v>26926.6</v>
      </c>
      <c r="D458" s="1288"/>
    </row>
    <row r="459" spans="1:4" x14ac:dyDescent="0.25">
      <c r="A459" s="1288">
        <v>94931</v>
      </c>
      <c r="B459" s="1288" t="s">
        <v>3104</v>
      </c>
      <c r="C459" s="1287">
        <v>130816.16</v>
      </c>
      <c r="D459" s="1288"/>
    </row>
    <row r="460" spans="1:4" x14ac:dyDescent="0.25">
      <c r="A460" s="1288">
        <v>94937</v>
      </c>
      <c r="B460" s="1288" t="s">
        <v>4182</v>
      </c>
      <c r="C460" s="1287">
        <v>4719.8599999999997</v>
      </c>
      <c r="D460" s="1288"/>
    </row>
    <row r="461" spans="1:4" x14ac:dyDescent="0.25">
      <c r="A461" s="1288">
        <v>94941</v>
      </c>
      <c r="B461" s="1288" t="s">
        <v>3105</v>
      </c>
      <c r="C461" s="1287">
        <v>191617.52</v>
      </c>
      <c r="D461" s="1288"/>
    </row>
    <row r="462" spans="1:4" x14ac:dyDescent="0.25">
      <c r="A462" s="1288">
        <v>94947</v>
      </c>
      <c r="B462" s="1288" t="s">
        <v>4183</v>
      </c>
      <c r="C462" s="1287">
        <v>5621.49</v>
      </c>
      <c r="D462" s="1288"/>
    </row>
    <row r="463" spans="1:4" x14ac:dyDescent="0.25">
      <c r="A463" s="1288">
        <v>95001</v>
      </c>
      <c r="B463" s="1288" t="s">
        <v>3106</v>
      </c>
      <c r="C463" s="1287">
        <v>1555365.33</v>
      </c>
      <c r="D463" s="1288"/>
    </row>
    <row r="464" spans="1:4" x14ac:dyDescent="0.25">
      <c r="A464" s="1288">
        <v>95002</v>
      </c>
      <c r="B464" s="1288" t="s">
        <v>3107</v>
      </c>
      <c r="C464" s="1287">
        <v>136696.12</v>
      </c>
      <c r="D464" s="1288"/>
    </row>
    <row r="465" spans="1:4" x14ac:dyDescent="0.25">
      <c r="A465" s="1288">
        <v>95005</v>
      </c>
      <c r="B465" s="1288" t="s">
        <v>3108</v>
      </c>
      <c r="C465" s="1287">
        <v>125915.69</v>
      </c>
      <c r="D465" s="1288"/>
    </row>
    <row r="466" spans="1:4" x14ac:dyDescent="0.25">
      <c r="A466" s="1288">
        <v>95008</v>
      </c>
      <c r="B466" s="1288" t="s">
        <v>3109</v>
      </c>
      <c r="C466" s="1287">
        <v>88640.69</v>
      </c>
      <c r="D466" s="1288"/>
    </row>
    <row r="467" spans="1:4" x14ac:dyDescent="0.25">
      <c r="A467" s="1288">
        <v>95009</v>
      </c>
      <c r="B467" s="1288" t="s">
        <v>3691</v>
      </c>
      <c r="C467" s="1287">
        <v>2194144.85</v>
      </c>
      <c r="D467" s="1288"/>
    </row>
    <row r="468" spans="1:4" x14ac:dyDescent="0.25">
      <c r="A468" s="1288">
        <v>95010</v>
      </c>
      <c r="B468" s="1288" t="s">
        <v>4799</v>
      </c>
      <c r="C468" s="1287">
        <v>7629.09</v>
      </c>
      <c r="D468" s="1288"/>
    </row>
    <row r="469" spans="1:4" x14ac:dyDescent="0.25">
      <c r="A469" s="1288">
        <v>95011</v>
      </c>
      <c r="B469" s="1288" t="s">
        <v>3111</v>
      </c>
      <c r="C469" s="1287">
        <v>108662.81</v>
      </c>
      <c r="D469" s="1288"/>
    </row>
    <row r="470" spans="1:4" x14ac:dyDescent="0.25">
      <c r="A470" s="1288">
        <v>95017</v>
      </c>
      <c r="B470" s="1288" t="s">
        <v>3112</v>
      </c>
      <c r="C470" s="1287">
        <v>23827.68</v>
      </c>
      <c r="D470" s="1288"/>
    </row>
    <row r="471" spans="1:4" x14ac:dyDescent="0.25">
      <c r="A471" s="1288">
        <v>95101</v>
      </c>
      <c r="B471" s="1288" t="s">
        <v>3113</v>
      </c>
      <c r="C471" s="1287">
        <v>5431113.5999999996</v>
      </c>
      <c r="D471" s="1288"/>
    </row>
    <row r="472" spans="1:4" x14ac:dyDescent="0.25">
      <c r="A472" s="1288">
        <v>95103</v>
      </c>
      <c r="B472" s="1288" t="s">
        <v>3114</v>
      </c>
      <c r="C472" s="1287">
        <v>27716.33</v>
      </c>
      <c r="D472" s="1288"/>
    </row>
    <row r="473" spans="1:4" x14ac:dyDescent="0.25">
      <c r="A473" s="1288">
        <v>95104</v>
      </c>
      <c r="B473" s="1288" t="s">
        <v>3115</v>
      </c>
      <c r="C473" s="1287">
        <v>101794.3</v>
      </c>
      <c r="D473" s="1288"/>
    </row>
    <row r="474" spans="1:4" x14ac:dyDescent="0.25">
      <c r="A474" s="1288">
        <v>95105</v>
      </c>
      <c r="B474" s="1288" t="s">
        <v>3116</v>
      </c>
      <c r="C474" s="1287">
        <v>46632.65</v>
      </c>
      <c r="D474" s="1288"/>
    </row>
    <row r="475" spans="1:4" x14ac:dyDescent="0.25">
      <c r="A475" s="1288">
        <v>95106</v>
      </c>
      <c r="B475" s="1288" t="s">
        <v>3117</v>
      </c>
      <c r="C475" s="1287">
        <v>10485.97</v>
      </c>
      <c r="D475" s="1288"/>
    </row>
    <row r="476" spans="1:4" x14ac:dyDescent="0.25">
      <c r="A476" s="1288">
        <v>95110</v>
      </c>
      <c r="B476" s="1288" t="s">
        <v>3118</v>
      </c>
      <c r="C476" s="1287">
        <v>2041177.1</v>
      </c>
      <c r="D476" s="1288"/>
    </row>
    <row r="477" spans="1:4" x14ac:dyDescent="0.25">
      <c r="A477" s="1288">
        <v>95111</v>
      </c>
      <c r="B477" s="1288" t="s">
        <v>3119</v>
      </c>
      <c r="C477" s="1287">
        <v>638172.11</v>
      </c>
      <c r="D477" s="1288"/>
    </row>
    <row r="478" spans="1:4" x14ac:dyDescent="0.25">
      <c r="A478" s="1288">
        <v>95113</v>
      </c>
      <c r="B478" s="1288" t="s">
        <v>3120</v>
      </c>
      <c r="C478" s="1287">
        <v>36511.71</v>
      </c>
      <c r="D478" s="1288"/>
    </row>
    <row r="479" spans="1:4" x14ac:dyDescent="0.25">
      <c r="A479" s="1288">
        <v>95121</v>
      </c>
      <c r="B479" s="1288" t="s">
        <v>3121</v>
      </c>
      <c r="C479" s="1287">
        <v>303015.45</v>
      </c>
      <c r="D479" s="1288"/>
    </row>
    <row r="480" spans="1:4" x14ac:dyDescent="0.25">
      <c r="A480" s="1288">
        <v>95122</v>
      </c>
      <c r="B480" s="1288" t="s">
        <v>3122</v>
      </c>
      <c r="C480" s="1287">
        <v>14878.33</v>
      </c>
      <c r="D480" s="1288"/>
    </row>
    <row r="481" spans="1:4" x14ac:dyDescent="0.25">
      <c r="A481" s="1288">
        <v>95123</v>
      </c>
      <c r="B481" s="1288" t="s">
        <v>3123</v>
      </c>
      <c r="C481" s="1287">
        <v>30244.19</v>
      </c>
      <c r="D481" s="1288"/>
    </row>
    <row r="482" spans="1:4" x14ac:dyDescent="0.25">
      <c r="A482" s="1288">
        <v>95131</v>
      </c>
      <c r="B482" s="1288" t="s">
        <v>3124</v>
      </c>
      <c r="C482" s="1287">
        <v>1162429.8500000001</v>
      </c>
      <c r="D482" s="1288"/>
    </row>
    <row r="483" spans="1:4" x14ac:dyDescent="0.25">
      <c r="A483" s="1288">
        <v>95141</v>
      </c>
      <c r="B483" s="1288" t="s">
        <v>3125</v>
      </c>
      <c r="C483" s="1287">
        <v>221054.09</v>
      </c>
      <c r="D483" s="1288"/>
    </row>
    <row r="484" spans="1:4" x14ac:dyDescent="0.25">
      <c r="A484" s="1288">
        <v>95151</v>
      </c>
      <c r="B484" s="1288" t="s">
        <v>3126</v>
      </c>
      <c r="C484" s="1287">
        <v>68096.350000000006</v>
      </c>
      <c r="D484" s="1288"/>
    </row>
    <row r="485" spans="1:4" x14ac:dyDescent="0.25">
      <c r="A485" s="1288">
        <v>95161</v>
      </c>
      <c r="B485" s="1288" t="s">
        <v>3127</v>
      </c>
      <c r="C485" s="1287">
        <v>48605.66</v>
      </c>
      <c r="D485" s="1288"/>
    </row>
    <row r="486" spans="1:4" x14ac:dyDescent="0.25">
      <c r="A486" s="1288">
        <v>95171</v>
      </c>
      <c r="B486" s="1288" t="s">
        <v>3128</v>
      </c>
      <c r="C486" s="1287">
        <v>76190.06</v>
      </c>
      <c r="D486" s="1288"/>
    </row>
    <row r="487" spans="1:4" x14ac:dyDescent="0.25">
      <c r="A487" s="1288">
        <v>95181</v>
      </c>
      <c r="B487" s="1288" t="s">
        <v>3129</v>
      </c>
      <c r="C487" s="1287">
        <v>44080.2</v>
      </c>
      <c r="D487" s="1288"/>
    </row>
    <row r="488" spans="1:4" x14ac:dyDescent="0.25">
      <c r="A488" s="1288">
        <v>95191</v>
      </c>
      <c r="B488" s="1288" t="s">
        <v>3130</v>
      </c>
      <c r="C488" s="1287">
        <v>48174.27</v>
      </c>
      <c r="D488" s="1288"/>
    </row>
    <row r="489" spans="1:4" x14ac:dyDescent="0.25">
      <c r="A489" s="1288">
        <v>95201</v>
      </c>
      <c r="B489" s="1288" t="s">
        <v>3131</v>
      </c>
      <c r="C489" s="1287">
        <v>404900.43</v>
      </c>
      <c r="D489" s="1288"/>
    </row>
    <row r="490" spans="1:4" x14ac:dyDescent="0.25">
      <c r="A490" s="1288">
        <v>95204</v>
      </c>
      <c r="B490" s="1288" t="s">
        <v>3132</v>
      </c>
      <c r="C490" s="1287">
        <v>6882.21</v>
      </c>
      <c r="D490" s="1288"/>
    </row>
    <row r="491" spans="1:4" x14ac:dyDescent="0.25">
      <c r="A491" s="1288">
        <v>95205</v>
      </c>
      <c r="B491" s="1288" t="s">
        <v>3133</v>
      </c>
      <c r="C491" s="1287">
        <v>3498.03</v>
      </c>
      <c r="D491" s="1288"/>
    </row>
    <row r="492" spans="1:4" x14ac:dyDescent="0.25">
      <c r="A492" s="1288">
        <v>95211</v>
      </c>
      <c r="B492" s="1288" t="s">
        <v>3134</v>
      </c>
      <c r="C492" s="1287">
        <v>2408.9</v>
      </c>
      <c r="D492" s="1288"/>
    </row>
    <row r="493" spans="1:4" x14ac:dyDescent="0.25">
      <c r="A493" s="1288">
        <v>95221</v>
      </c>
      <c r="B493" s="1288" t="s">
        <v>3135</v>
      </c>
      <c r="C493" s="1287">
        <v>25139.919999999998</v>
      </c>
      <c r="D493" s="1288"/>
    </row>
    <row r="494" spans="1:4" x14ac:dyDescent="0.25">
      <c r="A494" s="1288">
        <v>95301</v>
      </c>
      <c r="B494" s="1288" t="s">
        <v>3136</v>
      </c>
      <c r="C494" s="1287">
        <v>1472726.32</v>
      </c>
      <c r="D494" s="1288"/>
    </row>
    <row r="495" spans="1:4" x14ac:dyDescent="0.25">
      <c r="A495" s="1288">
        <v>95311</v>
      </c>
      <c r="B495" s="1288" t="s">
        <v>3137</v>
      </c>
      <c r="C495" s="1287">
        <v>1646534.97</v>
      </c>
      <c r="D495" s="1288"/>
    </row>
    <row r="496" spans="1:4" x14ac:dyDescent="0.25">
      <c r="A496" s="1288">
        <v>95317</v>
      </c>
      <c r="B496" s="1288" t="s">
        <v>3138</v>
      </c>
      <c r="C496" s="1287">
        <v>37367.129999999997</v>
      </c>
      <c r="D496" s="1288"/>
    </row>
    <row r="497" spans="1:4" x14ac:dyDescent="0.25">
      <c r="A497" s="1288">
        <v>95321</v>
      </c>
      <c r="B497" s="1288" t="s">
        <v>3139</v>
      </c>
      <c r="C497" s="1287">
        <v>35637.629999999997</v>
      </c>
      <c r="D497" s="1288"/>
    </row>
    <row r="498" spans="1:4" x14ac:dyDescent="0.25">
      <c r="A498" s="1288">
        <v>95401</v>
      </c>
      <c r="B498" s="1288" t="s">
        <v>3140</v>
      </c>
      <c r="C498" s="1287">
        <v>1663275.34</v>
      </c>
      <c r="D498" s="1288"/>
    </row>
    <row r="499" spans="1:4" x14ac:dyDescent="0.25">
      <c r="A499" s="1288">
        <v>95404</v>
      </c>
      <c r="B499" s="1288" t="s">
        <v>3141</v>
      </c>
      <c r="C499" s="1287">
        <v>30547.21</v>
      </c>
      <c r="D499" s="1288"/>
    </row>
    <row r="500" spans="1:4" x14ac:dyDescent="0.25">
      <c r="A500" s="1288">
        <v>95405</v>
      </c>
      <c r="B500" s="1288" t="s">
        <v>3142</v>
      </c>
      <c r="C500" s="1287">
        <v>21736.28</v>
      </c>
      <c r="D500" s="1288"/>
    </row>
    <row r="501" spans="1:4" x14ac:dyDescent="0.25">
      <c r="A501" s="1288">
        <v>95411</v>
      </c>
      <c r="B501" s="1288" t="s">
        <v>3143</v>
      </c>
      <c r="C501" s="1287">
        <v>1255060.32</v>
      </c>
      <c r="D501" s="1288"/>
    </row>
    <row r="502" spans="1:4" x14ac:dyDescent="0.25">
      <c r="A502" s="1288">
        <v>95413</v>
      </c>
      <c r="B502" s="1288" t="s">
        <v>3145</v>
      </c>
      <c r="C502" s="1287">
        <v>165050.01999999999</v>
      </c>
      <c r="D502" s="1288"/>
    </row>
    <row r="503" spans="1:4" x14ac:dyDescent="0.25">
      <c r="A503" s="1288">
        <v>95415</v>
      </c>
      <c r="B503" s="1288" t="s">
        <v>3146</v>
      </c>
      <c r="C503" s="1287">
        <v>39256.01</v>
      </c>
      <c r="D503" s="1288"/>
    </row>
    <row r="504" spans="1:4" x14ac:dyDescent="0.25">
      <c r="A504" s="1288">
        <v>95421</v>
      </c>
      <c r="B504" s="1288" t="s">
        <v>3147</v>
      </c>
      <c r="C504" s="1287">
        <v>17701.68</v>
      </c>
      <c r="D504" s="1288"/>
    </row>
    <row r="505" spans="1:4" x14ac:dyDescent="0.25">
      <c r="A505" s="1288">
        <v>95431</v>
      </c>
      <c r="B505" s="1288" t="s">
        <v>3148</v>
      </c>
      <c r="C505" s="1287">
        <v>80673.990000000005</v>
      </c>
      <c r="D505" s="1288"/>
    </row>
    <row r="506" spans="1:4" x14ac:dyDescent="0.25">
      <c r="A506" s="1288">
        <v>95501</v>
      </c>
      <c r="B506" s="1288" t="s">
        <v>3149</v>
      </c>
      <c r="C506" s="1287">
        <v>3268467.96</v>
      </c>
      <c r="D506" s="1288"/>
    </row>
    <row r="507" spans="1:4" x14ac:dyDescent="0.25">
      <c r="A507" s="1288">
        <v>95504</v>
      </c>
      <c r="B507" s="1288" t="s">
        <v>3150</v>
      </c>
      <c r="C507" s="1287">
        <v>19168.43</v>
      </c>
      <c r="D507" s="1288"/>
    </row>
    <row r="508" spans="1:4" x14ac:dyDescent="0.25">
      <c r="A508" s="1288">
        <v>95511</v>
      </c>
      <c r="B508" s="1288" t="s">
        <v>3151</v>
      </c>
      <c r="C508" s="1287">
        <v>682274.32</v>
      </c>
      <c r="D508" s="1288"/>
    </row>
    <row r="509" spans="1:4" x14ac:dyDescent="0.25">
      <c r="A509" s="1288">
        <v>95513</v>
      </c>
      <c r="B509" s="1288" t="s">
        <v>3152</v>
      </c>
      <c r="C509" s="1287">
        <v>45458.26</v>
      </c>
      <c r="D509" s="1288"/>
    </row>
    <row r="510" spans="1:4" x14ac:dyDescent="0.25">
      <c r="A510" s="1288">
        <v>95517</v>
      </c>
      <c r="B510" s="1288" t="s">
        <v>3153</v>
      </c>
      <c r="C510" s="1287">
        <v>12834.68</v>
      </c>
      <c r="D510" s="1288"/>
    </row>
    <row r="511" spans="1:4" x14ac:dyDescent="0.25">
      <c r="A511" s="1288">
        <v>95601</v>
      </c>
      <c r="B511" s="1288" t="s">
        <v>3154</v>
      </c>
      <c r="C511" s="1287">
        <v>1533767.47</v>
      </c>
      <c r="D511" s="1288"/>
    </row>
    <row r="512" spans="1:4" x14ac:dyDescent="0.25">
      <c r="A512" s="1288">
        <v>95611</v>
      </c>
      <c r="B512" s="1288" t="s">
        <v>3155</v>
      </c>
      <c r="C512" s="1287">
        <v>232044.53</v>
      </c>
      <c r="D512" s="1288"/>
    </row>
    <row r="513" spans="1:4" x14ac:dyDescent="0.25">
      <c r="A513" s="1288">
        <v>95617</v>
      </c>
      <c r="B513" s="1288" t="s">
        <v>3156</v>
      </c>
      <c r="C513" s="1287">
        <v>11355.27</v>
      </c>
      <c r="D513" s="1288"/>
    </row>
    <row r="514" spans="1:4" x14ac:dyDescent="0.25">
      <c r="A514" s="1288">
        <v>95621</v>
      </c>
      <c r="B514" s="1288" t="s">
        <v>3157</v>
      </c>
      <c r="C514" s="1287">
        <v>322447.14</v>
      </c>
      <c r="D514" s="1288"/>
    </row>
    <row r="515" spans="1:4" x14ac:dyDescent="0.25">
      <c r="A515" s="1288">
        <v>95701</v>
      </c>
      <c r="B515" s="1288" t="s">
        <v>3158</v>
      </c>
      <c r="C515" s="1287">
        <v>709537.43</v>
      </c>
      <c r="D515" s="1288"/>
    </row>
    <row r="516" spans="1:4" x14ac:dyDescent="0.25">
      <c r="A516" s="1288">
        <v>95711</v>
      </c>
      <c r="B516" s="1288" t="s">
        <v>3159</v>
      </c>
      <c r="C516" s="1287">
        <v>82491.69</v>
      </c>
      <c r="D516" s="1288"/>
    </row>
    <row r="517" spans="1:4" x14ac:dyDescent="0.25">
      <c r="A517" s="1288">
        <v>95721</v>
      </c>
      <c r="B517" s="1288" t="s">
        <v>3160</v>
      </c>
      <c r="C517" s="1287">
        <v>38084.629999999997</v>
      </c>
      <c r="D517" s="1288"/>
    </row>
    <row r="518" spans="1:4" x14ac:dyDescent="0.25">
      <c r="A518" s="1288">
        <v>95733</v>
      </c>
      <c r="B518" s="1288" t="s">
        <v>3161</v>
      </c>
      <c r="C518" s="1287">
        <v>9558.02</v>
      </c>
      <c r="D518" s="1288"/>
    </row>
    <row r="519" spans="1:4" x14ac:dyDescent="0.25">
      <c r="A519" s="1288">
        <v>95801</v>
      </c>
      <c r="B519" s="1288" t="s">
        <v>3162</v>
      </c>
      <c r="C519" s="1287">
        <v>638922.77</v>
      </c>
      <c r="D519" s="1288"/>
    </row>
    <row r="520" spans="1:4" x14ac:dyDescent="0.25">
      <c r="A520" s="1288">
        <v>95802</v>
      </c>
      <c r="B520" s="1288" t="s">
        <v>3163</v>
      </c>
      <c r="C520" s="1287">
        <v>7242.48</v>
      </c>
      <c r="D520" s="1288"/>
    </row>
    <row r="521" spans="1:4" x14ac:dyDescent="0.25">
      <c r="A521" s="1288">
        <v>95804</v>
      </c>
      <c r="B521" s="1288" t="s">
        <v>3164</v>
      </c>
      <c r="C521" s="1287">
        <v>13253.65</v>
      </c>
      <c r="D521" s="1288"/>
    </row>
    <row r="522" spans="1:4" x14ac:dyDescent="0.25">
      <c r="A522" s="1288">
        <v>95811</v>
      </c>
      <c r="B522" s="1288" t="s">
        <v>3165</v>
      </c>
      <c r="C522" s="1287">
        <v>329343.24</v>
      </c>
      <c r="D522" s="1288"/>
    </row>
    <row r="523" spans="1:4" x14ac:dyDescent="0.25">
      <c r="A523" s="1288">
        <v>95813</v>
      </c>
      <c r="B523" s="1288" t="s">
        <v>3166</v>
      </c>
      <c r="C523" s="1287">
        <v>35096.51</v>
      </c>
      <c r="D523" s="1288"/>
    </row>
    <row r="524" spans="1:4" x14ac:dyDescent="0.25">
      <c r="A524" s="1288">
        <v>95821</v>
      </c>
      <c r="B524" s="1288" t="s">
        <v>3167</v>
      </c>
      <c r="C524" s="1287">
        <v>3655.14</v>
      </c>
      <c r="D524" s="1288"/>
    </row>
    <row r="525" spans="1:4" x14ac:dyDescent="0.25">
      <c r="A525" s="1288">
        <v>95831</v>
      </c>
      <c r="B525" s="1288" t="s">
        <v>3168</v>
      </c>
      <c r="C525" s="1287">
        <v>21341.29</v>
      </c>
      <c r="D525" s="1288"/>
    </row>
    <row r="526" spans="1:4" x14ac:dyDescent="0.25">
      <c r="A526" s="1288">
        <v>95841</v>
      </c>
      <c r="B526" s="1288" t="s">
        <v>3169</v>
      </c>
      <c r="C526" s="1287">
        <v>14345.12</v>
      </c>
      <c r="D526" s="1288"/>
    </row>
    <row r="527" spans="1:4" x14ac:dyDescent="0.25">
      <c r="A527" s="1288">
        <v>95851</v>
      </c>
      <c r="B527" s="1288" t="s">
        <v>3170</v>
      </c>
      <c r="C527" s="1287">
        <v>77011.98</v>
      </c>
      <c r="D527" s="1288"/>
    </row>
    <row r="528" spans="1:4" x14ac:dyDescent="0.25">
      <c r="A528" s="1288">
        <v>95853</v>
      </c>
      <c r="B528" s="1288" t="s">
        <v>3171</v>
      </c>
      <c r="C528" s="1287">
        <v>19467.939999999999</v>
      </c>
      <c r="D528" s="1288"/>
    </row>
    <row r="529" spans="1:4" x14ac:dyDescent="0.25">
      <c r="A529" s="1288">
        <v>95901</v>
      </c>
      <c r="B529" s="1288" t="s">
        <v>3172</v>
      </c>
      <c r="C529" s="1287">
        <v>1220774.92</v>
      </c>
      <c r="D529" s="1288"/>
    </row>
    <row r="530" spans="1:4" x14ac:dyDescent="0.25">
      <c r="A530" s="1288">
        <v>95908</v>
      </c>
      <c r="B530" s="1288" t="s">
        <v>3173</v>
      </c>
      <c r="C530" s="1287">
        <v>33781.550000000003</v>
      </c>
      <c r="D530" s="1288"/>
    </row>
    <row r="531" spans="1:4" x14ac:dyDescent="0.25">
      <c r="A531" s="1288">
        <v>95911</v>
      </c>
      <c r="B531" s="1288" t="s">
        <v>3174</v>
      </c>
      <c r="C531" s="1287">
        <v>334525.23</v>
      </c>
      <c r="D531" s="1288"/>
    </row>
    <row r="532" spans="1:4" x14ac:dyDescent="0.25">
      <c r="A532" s="1288">
        <v>95917</v>
      </c>
      <c r="B532" s="1288" t="s">
        <v>3175</v>
      </c>
      <c r="C532" s="1287">
        <v>16407.669999999998</v>
      </c>
      <c r="D532" s="1288"/>
    </row>
    <row r="533" spans="1:4" x14ac:dyDescent="0.25">
      <c r="A533" s="1288">
        <v>95921</v>
      </c>
      <c r="B533" s="1288" t="s">
        <v>3176</v>
      </c>
      <c r="C533" s="1287">
        <v>36198.03</v>
      </c>
      <c r="D533" s="1288"/>
    </row>
    <row r="534" spans="1:4" x14ac:dyDescent="0.25">
      <c r="A534" s="1288">
        <v>96001</v>
      </c>
      <c r="B534" s="1288" t="s">
        <v>3177</v>
      </c>
      <c r="C534" s="1287">
        <v>26462722.190000001</v>
      </c>
      <c r="D534" s="1288"/>
    </row>
    <row r="535" spans="1:4" x14ac:dyDescent="0.25">
      <c r="A535" s="1288">
        <v>96003</v>
      </c>
      <c r="B535" s="1288" t="s">
        <v>4814</v>
      </c>
      <c r="C535" s="1287">
        <v>1140031.68</v>
      </c>
      <c r="D535" s="1288"/>
    </row>
    <row r="536" spans="1:4" x14ac:dyDescent="0.25">
      <c r="A536" s="1288">
        <v>96004</v>
      </c>
      <c r="B536" s="1288" t="s">
        <v>3179</v>
      </c>
      <c r="C536" s="1287">
        <v>707299.85</v>
      </c>
      <c r="D536" s="1288"/>
    </row>
    <row r="537" spans="1:4" x14ac:dyDescent="0.25">
      <c r="A537" s="1288">
        <v>96005</v>
      </c>
      <c r="B537" s="1288" t="s">
        <v>3180</v>
      </c>
      <c r="C537" s="1287">
        <v>1642393.62</v>
      </c>
      <c r="D537" s="1288"/>
    </row>
    <row r="538" spans="1:4" x14ac:dyDescent="0.25">
      <c r="A538" s="1288">
        <v>96008</v>
      </c>
      <c r="B538" s="1288" t="s">
        <v>3181</v>
      </c>
      <c r="C538" s="1287">
        <v>2991265.03</v>
      </c>
      <c r="D538" s="1288"/>
    </row>
    <row r="539" spans="1:4" x14ac:dyDescent="0.25">
      <c r="A539" s="1288">
        <v>96009</v>
      </c>
      <c r="B539" s="1288" t="s">
        <v>3182</v>
      </c>
      <c r="C539" s="1287">
        <v>251286.89</v>
      </c>
      <c r="D539" s="1288"/>
    </row>
    <row r="540" spans="1:4" x14ac:dyDescent="0.25">
      <c r="A540" s="1288">
        <v>96011</v>
      </c>
      <c r="B540" s="1288" t="s">
        <v>3183</v>
      </c>
      <c r="C540" s="1287">
        <v>41643669.829999998</v>
      </c>
      <c r="D540" s="1288"/>
    </row>
    <row r="541" spans="1:4" x14ac:dyDescent="0.25">
      <c r="A541" s="1288">
        <v>96012</v>
      </c>
      <c r="B541" s="1288" t="s">
        <v>4815</v>
      </c>
      <c r="C541" s="1287">
        <v>1558867.2</v>
      </c>
      <c r="D541" s="1288"/>
    </row>
    <row r="542" spans="1:4" x14ac:dyDescent="0.25">
      <c r="A542" s="1288">
        <v>96018</v>
      </c>
      <c r="B542" s="1288" t="s">
        <v>3185</v>
      </c>
      <c r="C542" s="1287">
        <v>26128.5</v>
      </c>
      <c r="D542" s="1288"/>
    </row>
    <row r="543" spans="1:4" x14ac:dyDescent="0.25">
      <c r="A543" s="1288">
        <v>96021</v>
      </c>
      <c r="B543" s="1288" t="s">
        <v>3186</v>
      </c>
      <c r="C543" s="1287">
        <v>454405.49</v>
      </c>
      <c r="D543" s="1288"/>
    </row>
    <row r="544" spans="1:4" x14ac:dyDescent="0.25">
      <c r="A544" s="1288">
        <v>96031</v>
      </c>
      <c r="B544" s="1288" t="s">
        <v>3187</v>
      </c>
      <c r="C544" s="1287">
        <v>428421.22</v>
      </c>
      <c r="D544" s="1288"/>
    </row>
    <row r="545" spans="1:4" x14ac:dyDescent="0.25">
      <c r="A545" s="1288">
        <v>96041</v>
      </c>
      <c r="B545" s="1288" t="s">
        <v>3188</v>
      </c>
      <c r="C545" s="1287">
        <v>1075469.8400000001</v>
      </c>
      <c r="D545" s="1288"/>
    </row>
    <row r="546" spans="1:4" x14ac:dyDescent="0.25">
      <c r="A546" s="1288">
        <v>96051</v>
      </c>
      <c r="B546" s="1288" t="s">
        <v>3189</v>
      </c>
      <c r="C546" s="1287">
        <v>601561.31999999995</v>
      </c>
      <c r="D546" s="1288"/>
    </row>
    <row r="547" spans="1:4" x14ac:dyDescent="0.25">
      <c r="A547" s="1288">
        <v>96061</v>
      </c>
      <c r="B547" s="1288" t="s">
        <v>3190</v>
      </c>
      <c r="C547" s="1287">
        <v>202484.07</v>
      </c>
      <c r="D547" s="1288"/>
    </row>
    <row r="548" spans="1:4" x14ac:dyDescent="0.25">
      <c r="A548" s="1288">
        <v>96071</v>
      </c>
      <c r="B548" s="1288" t="s">
        <v>3191</v>
      </c>
      <c r="C548" s="1287">
        <v>864449.81</v>
      </c>
      <c r="D548" s="1288"/>
    </row>
    <row r="549" spans="1:4" x14ac:dyDescent="0.25">
      <c r="A549" s="1288">
        <v>96081</v>
      </c>
      <c r="B549" s="1288" t="s">
        <v>3192</v>
      </c>
      <c r="C549" s="1287">
        <v>337389.74</v>
      </c>
      <c r="D549" s="1288"/>
    </row>
    <row r="550" spans="1:4" x14ac:dyDescent="0.25">
      <c r="A550" s="1288">
        <v>96101</v>
      </c>
      <c r="B550" s="1288" t="s">
        <v>3193</v>
      </c>
      <c r="C550" s="1287">
        <v>419690.98</v>
      </c>
      <c r="D550" s="1288"/>
    </row>
    <row r="551" spans="1:4" x14ac:dyDescent="0.25">
      <c r="A551" s="1288">
        <v>96102</v>
      </c>
      <c r="B551" s="1288" t="s">
        <v>3194</v>
      </c>
      <c r="C551" s="1287">
        <v>6325.55</v>
      </c>
      <c r="D551" s="1288"/>
    </row>
    <row r="552" spans="1:4" x14ac:dyDescent="0.25">
      <c r="A552" s="1288">
        <v>96111</v>
      </c>
      <c r="B552" s="1288" t="s">
        <v>3195</v>
      </c>
      <c r="C552" s="1287">
        <v>115412.75</v>
      </c>
      <c r="D552" s="1288"/>
    </row>
    <row r="553" spans="1:4" x14ac:dyDescent="0.25">
      <c r="A553" s="1288">
        <v>96121</v>
      </c>
      <c r="B553" s="1288" t="s">
        <v>3196</v>
      </c>
      <c r="C553" s="1287">
        <v>10657.32</v>
      </c>
      <c r="D553" s="1288"/>
    </row>
    <row r="554" spans="1:4" x14ac:dyDescent="0.25">
      <c r="A554" s="1288">
        <v>96201</v>
      </c>
      <c r="B554" s="1288" t="s">
        <v>3197</v>
      </c>
      <c r="C554" s="1287">
        <v>668465.31999999995</v>
      </c>
      <c r="D554" s="1288"/>
    </row>
    <row r="555" spans="1:4" x14ac:dyDescent="0.25">
      <c r="A555" s="1288">
        <v>96204</v>
      </c>
      <c r="B555" s="1288" t="s">
        <v>3198</v>
      </c>
      <c r="C555" s="1287">
        <v>12911.07</v>
      </c>
      <c r="D555" s="1288"/>
    </row>
    <row r="556" spans="1:4" x14ac:dyDescent="0.25">
      <c r="A556" s="1288">
        <v>96211</v>
      </c>
      <c r="B556" s="1288" t="s">
        <v>3199</v>
      </c>
      <c r="C556" s="1287">
        <v>21705.64</v>
      </c>
      <c r="D556" s="1288"/>
    </row>
    <row r="557" spans="1:4" x14ac:dyDescent="0.25">
      <c r="A557" s="1288">
        <v>96221</v>
      </c>
      <c r="B557" s="1288" t="s">
        <v>3200</v>
      </c>
      <c r="C557" s="1287">
        <v>129758.64</v>
      </c>
      <c r="D557" s="1288"/>
    </row>
    <row r="558" spans="1:4" x14ac:dyDescent="0.25">
      <c r="A558" s="1288">
        <v>96231</v>
      </c>
      <c r="B558" s="1288" t="s">
        <v>3201</v>
      </c>
      <c r="C558" s="1287">
        <v>59754</v>
      </c>
      <c r="D558" s="1288"/>
    </row>
    <row r="559" spans="1:4" x14ac:dyDescent="0.25">
      <c r="A559" s="1288">
        <v>96241</v>
      </c>
      <c r="B559" s="1288" t="s">
        <v>3202</v>
      </c>
      <c r="C559" s="1287">
        <v>30224.74</v>
      </c>
      <c r="D559" s="1288"/>
    </row>
    <row r="560" spans="1:4" x14ac:dyDescent="0.25">
      <c r="A560" s="1288">
        <v>96251</v>
      </c>
      <c r="B560" s="1288" t="s">
        <v>3203</v>
      </c>
      <c r="C560" s="1287">
        <v>45868.47</v>
      </c>
      <c r="D560" s="1288"/>
    </row>
    <row r="561" spans="1:4" x14ac:dyDescent="0.25">
      <c r="A561" s="1288">
        <v>96301</v>
      </c>
      <c r="B561" s="1288" t="s">
        <v>3204</v>
      </c>
      <c r="C561" s="1287">
        <v>2945655.15</v>
      </c>
      <c r="D561" s="1288"/>
    </row>
    <row r="562" spans="1:4" x14ac:dyDescent="0.25">
      <c r="A562" s="1288">
        <v>96302</v>
      </c>
      <c r="B562" s="1288" t="s">
        <v>3205</v>
      </c>
      <c r="C562" s="1287">
        <v>18801.04</v>
      </c>
      <c r="D562" s="1288"/>
    </row>
    <row r="563" spans="1:4" x14ac:dyDescent="0.25">
      <c r="A563" s="1288">
        <v>96304</v>
      </c>
      <c r="B563" s="1288" t="s">
        <v>3206</v>
      </c>
      <c r="C563" s="1287">
        <v>33468.31</v>
      </c>
      <c r="D563" s="1288"/>
    </row>
    <row r="564" spans="1:4" x14ac:dyDescent="0.25">
      <c r="A564" s="1288">
        <v>96305</v>
      </c>
      <c r="B564" s="1288" t="s">
        <v>3207</v>
      </c>
      <c r="C564" s="1287">
        <v>37629.97</v>
      </c>
      <c r="D564" s="1288"/>
    </row>
    <row r="565" spans="1:4" x14ac:dyDescent="0.25">
      <c r="A565" s="1288">
        <v>96310</v>
      </c>
      <c r="B565" s="1288" t="s">
        <v>3208</v>
      </c>
      <c r="C565" s="1287">
        <v>37430.43</v>
      </c>
      <c r="D565" s="1288"/>
    </row>
    <row r="566" spans="1:4" x14ac:dyDescent="0.25">
      <c r="A566" s="1288">
        <v>96311</v>
      </c>
      <c r="B566" s="1288" t="s">
        <v>3209</v>
      </c>
      <c r="C566" s="1287">
        <v>834365.27</v>
      </c>
      <c r="D566" s="1288"/>
    </row>
    <row r="567" spans="1:4" x14ac:dyDescent="0.25">
      <c r="A567" s="1288">
        <v>96312</v>
      </c>
      <c r="B567" s="1288" t="s">
        <v>3210</v>
      </c>
      <c r="C567" s="1287">
        <v>5873.54</v>
      </c>
      <c r="D567" s="1288"/>
    </row>
    <row r="568" spans="1:4" x14ac:dyDescent="0.25">
      <c r="A568" s="1288">
        <v>96318</v>
      </c>
      <c r="B568" s="1288" t="s">
        <v>3211</v>
      </c>
      <c r="C568" s="1287">
        <v>1594395.79</v>
      </c>
      <c r="D568" s="1288"/>
    </row>
    <row r="569" spans="1:4" x14ac:dyDescent="0.25">
      <c r="A569" s="1288">
        <v>96321</v>
      </c>
      <c r="B569" s="1288" t="s">
        <v>3212</v>
      </c>
      <c r="C569" s="1287">
        <v>24541.38</v>
      </c>
      <c r="D569" s="1288"/>
    </row>
    <row r="570" spans="1:4" x14ac:dyDescent="0.25">
      <c r="A570" s="1288">
        <v>96331</v>
      </c>
      <c r="B570" s="1288" t="s">
        <v>3213</v>
      </c>
      <c r="C570" s="1287">
        <v>404053.86</v>
      </c>
      <c r="D570" s="1288"/>
    </row>
    <row r="571" spans="1:4" x14ac:dyDescent="0.25">
      <c r="A571" s="1288">
        <v>96341</v>
      </c>
      <c r="B571" s="1288" t="s">
        <v>3214</v>
      </c>
      <c r="C571" s="1287">
        <v>43370.69</v>
      </c>
      <c r="D571" s="1288"/>
    </row>
    <row r="572" spans="1:4" x14ac:dyDescent="0.25">
      <c r="A572" s="1288">
        <v>96351</v>
      </c>
      <c r="B572" s="1288" t="s">
        <v>3215</v>
      </c>
      <c r="C572" s="1287">
        <v>657328.12</v>
      </c>
      <c r="D572" s="1288"/>
    </row>
    <row r="573" spans="1:4" x14ac:dyDescent="0.25">
      <c r="A573" s="1288">
        <v>96361</v>
      </c>
      <c r="B573" s="1288" t="s">
        <v>3216</v>
      </c>
      <c r="C573" s="1287">
        <v>30410.32</v>
      </c>
      <c r="D573" s="1288"/>
    </row>
    <row r="574" spans="1:4" x14ac:dyDescent="0.25">
      <c r="A574" s="1288">
        <v>96371</v>
      </c>
      <c r="B574" s="1288" t="s">
        <v>3217</v>
      </c>
      <c r="C574" s="1287">
        <v>100267.8</v>
      </c>
      <c r="D574" s="1288"/>
    </row>
    <row r="575" spans="1:4" x14ac:dyDescent="0.25">
      <c r="A575" s="1288">
        <v>96381</v>
      </c>
      <c r="B575" s="1288" t="s">
        <v>3218</v>
      </c>
      <c r="C575" s="1287">
        <v>20753.490000000002</v>
      </c>
      <c r="D575" s="1288"/>
    </row>
    <row r="576" spans="1:4" x14ac:dyDescent="0.25">
      <c r="A576" s="1288">
        <v>96391</v>
      </c>
      <c r="B576" s="1288" t="s">
        <v>3219</v>
      </c>
      <c r="C576" s="1287">
        <v>103754.31</v>
      </c>
      <c r="D576" s="1288"/>
    </row>
    <row r="577" spans="1:4" x14ac:dyDescent="0.25">
      <c r="A577" s="1288">
        <v>96401</v>
      </c>
      <c r="B577" s="1288" t="s">
        <v>3220</v>
      </c>
      <c r="C577" s="1287">
        <v>2788851.68</v>
      </c>
      <c r="D577" s="1288"/>
    </row>
    <row r="578" spans="1:4" x14ac:dyDescent="0.25">
      <c r="A578" s="1288">
        <v>96404</v>
      </c>
      <c r="B578" s="1288" t="s">
        <v>3221</v>
      </c>
      <c r="C578" s="1287">
        <v>78967.03</v>
      </c>
      <c r="D578" s="1288"/>
    </row>
    <row r="579" spans="1:4" x14ac:dyDescent="0.25">
      <c r="A579" s="1288">
        <v>96405</v>
      </c>
      <c r="B579" s="1288" t="s">
        <v>3222</v>
      </c>
      <c r="C579" s="1287">
        <v>90861.31</v>
      </c>
      <c r="D579" s="1288"/>
    </row>
    <row r="580" spans="1:4" x14ac:dyDescent="0.25">
      <c r="A580" s="1288">
        <v>96411</v>
      </c>
      <c r="B580" s="1288" t="s">
        <v>3223</v>
      </c>
      <c r="C580" s="1287">
        <v>38020.870000000003</v>
      </c>
      <c r="D580" s="1288"/>
    </row>
    <row r="581" spans="1:4" x14ac:dyDescent="0.25">
      <c r="A581" s="1288">
        <v>96421</v>
      </c>
      <c r="B581" s="1288" t="s">
        <v>3224</v>
      </c>
      <c r="C581" s="1287">
        <v>214469.91</v>
      </c>
      <c r="D581" s="1288"/>
    </row>
    <row r="582" spans="1:4" x14ac:dyDescent="0.25">
      <c r="A582" s="1288">
        <v>96431</v>
      </c>
      <c r="B582" s="1288" t="s">
        <v>3225</v>
      </c>
      <c r="C582" s="1287">
        <v>34096.620000000003</v>
      </c>
      <c r="D582" s="1288"/>
    </row>
    <row r="583" spans="1:4" x14ac:dyDescent="0.25">
      <c r="A583" s="1288">
        <v>96441</v>
      </c>
      <c r="B583" s="1288" t="s">
        <v>3226</v>
      </c>
      <c r="C583" s="1287">
        <v>16875.849999999999</v>
      </c>
      <c r="D583" s="1288"/>
    </row>
    <row r="584" spans="1:4" x14ac:dyDescent="0.25">
      <c r="A584" s="1288">
        <v>96451</v>
      </c>
      <c r="B584" s="1288" t="s">
        <v>3227</v>
      </c>
      <c r="C584" s="1287">
        <v>11724.16</v>
      </c>
      <c r="D584" s="1288"/>
    </row>
    <row r="585" spans="1:4" x14ac:dyDescent="0.25">
      <c r="A585" s="1288">
        <v>96461</v>
      </c>
      <c r="B585" s="1288" t="s">
        <v>3228</v>
      </c>
      <c r="C585" s="1287">
        <v>78511.929999999993</v>
      </c>
      <c r="D585" s="1288"/>
    </row>
    <row r="586" spans="1:4" x14ac:dyDescent="0.25">
      <c r="A586" s="1288">
        <v>96501</v>
      </c>
      <c r="B586" s="1288" t="s">
        <v>3229</v>
      </c>
      <c r="C586" s="1287">
        <v>9238120.3300000001</v>
      </c>
      <c r="D586" s="1288"/>
    </row>
    <row r="587" spans="1:4" x14ac:dyDescent="0.25">
      <c r="A587" s="1288">
        <v>96502</v>
      </c>
      <c r="B587" s="1288" t="s">
        <v>3230</v>
      </c>
      <c r="C587" s="1287">
        <v>242661.71</v>
      </c>
      <c r="D587" s="1288"/>
    </row>
    <row r="588" spans="1:4" x14ac:dyDescent="0.25">
      <c r="A588" s="1288">
        <v>96503</v>
      </c>
      <c r="B588" s="1288" t="s">
        <v>3692</v>
      </c>
      <c r="C588" s="1287">
        <v>230793.13</v>
      </c>
      <c r="D588" s="1288"/>
    </row>
    <row r="589" spans="1:4" x14ac:dyDescent="0.25">
      <c r="A589" s="1288">
        <v>96504</v>
      </c>
      <c r="B589" s="1288" t="s">
        <v>3232</v>
      </c>
      <c r="C589" s="1287">
        <v>265829.33</v>
      </c>
      <c r="D589" s="1288"/>
    </row>
    <row r="590" spans="1:4" x14ac:dyDescent="0.25">
      <c r="A590" s="1288">
        <v>96507</v>
      </c>
      <c r="B590" s="1288" t="s">
        <v>3233</v>
      </c>
      <c r="C590" s="1287">
        <v>1534618.12</v>
      </c>
      <c r="D590" s="1288"/>
    </row>
    <row r="591" spans="1:4" x14ac:dyDescent="0.25">
      <c r="A591" s="1288">
        <v>96508</v>
      </c>
      <c r="B591" s="1288" t="s">
        <v>3234</v>
      </c>
      <c r="C591" s="1287">
        <v>11966.64</v>
      </c>
      <c r="D591" s="1288"/>
    </row>
    <row r="592" spans="1:4" x14ac:dyDescent="0.25">
      <c r="A592" s="1288">
        <v>96511</v>
      </c>
      <c r="B592" s="1288" t="s">
        <v>3235</v>
      </c>
      <c r="C592" s="1287">
        <v>360747.05</v>
      </c>
      <c r="D592" s="1288"/>
    </row>
    <row r="593" spans="1:4" x14ac:dyDescent="0.25">
      <c r="A593" s="1288">
        <v>96512</v>
      </c>
      <c r="B593" s="1288" t="s">
        <v>3236</v>
      </c>
      <c r="C593" s="1287">
        <v>97965.35</v>
      </c>
      <c r="D593" s="1288"/>
    </row>
    <row r="594" spans="1:4" x14ac:dyDescent="0.25">
      <c r="A594" s="1288">
        <v>96521</v>
      </c>
      <c r="B594" s="1288" t="s">
        <v>3238</v>
      </c>
      <c r="C594" s="1287">
        <v>531481.39</v>
      </c>
      <c r="D594" s="1288"/>
    </row>
    <row r="595" spans="1:4" x14ac:dyDescent="0.25">
      <c r="A595" s="1288">
        <v>96531</v>
      </c>
      <c r="B595" s="1288" t="s">
        <v>3239</v>
      </c>
      <c r="C595" s="1287">
        <v>5152720.0599999996</v>
      </c>
      <c r="D595" s="1288"/>
    </row>
    <row r="596" spans="1:4" x14ac:dyDescent="0.25">
      <c r="A596" s="1288">
        <v>96541</v>
      </c>
      <c r="B596" s="1288" t="s">
        <v>3240</v>
      </c>
      <c r="C596" s="1287">
        <v>234424.77</v>
      </c>
      <c r="D596" s="1288"/>
    </row>
    <row r="597" spans="1:4" x14ac:dyDescent="0.25">
      <c r="A597" s="1288">
        <v>96601</v>
      </c>
      <c r="B597" s="1288" t="s">
        <v>3241</v>
      </c>
      <c r="C597" s="1287">
        <v>1065106.1599999999</v>
      </c>
      <c r="D597" s="1288"/>
    </row>
    <row r="598" spans="1:4" x14ac:dyDescent="0.25">
      <c r="A598" s="1288">
        <v>96604</v>
      </c>
      <c r="B598" s="1288" t="s">
        <v>3242</v>
      </c>
      <c r="C598" s="1287">
        <v>5279.7</v>
      </c>
      <c r="D598" s="1288"/>
    </row>
    <row r="599" spans="1:4" x14ac:dyDescent="0.25">
      <c r="A599" s="1288">
        <v>96611</v>
      </c>
      <c r="B599" s="1288" t="s">
        <v>3243</v>
      </c>
      <c r="C599" s="1287">
        <v>13336.42</v>
      </c>
      <c r="D599" s="1288"/>
    </row>
    <row r="600" spans="1:4" x14ac:dyDescent="0.25">
      <c r="A600" s="1288">
        <v>96612</v>
      </c>
      <c r="B600" s="1288" t="s">
        <v>3244</v>
      </c>
      <c r="C600" s="1287">
        <v>43834.61</v>
      </c>
      <c r="D600" s="1288"/>
    </row>
    <row r="601" spans="1:4" x14ac:dyDescent="0.25">
      <c r="A601" s="1288">
        <v>96621</v>
      </c>
      <c r="B601" s="1288" t="s">
        <v>3245</v>
      </c>
      <c r="C601" s="1287">
        <v>16136.28</v>
      </c>
      <c r="D601" s="1288"/>
    </row>
    <row r="602" spans="1:4" x14ac:dyDescent="0.25">
      <c r="A602" s="1288">
        <v>96631</v>
      </c>
      <c r="B602" s="1288" t="s">
        <v>3246</v>
      </c>
      <c r="C602" s="1287">
        <v>14901.9</v>
      </c>
      <c r="D602" s="1288"/>
    </row>
    <row r="603" spans="1:4" x14ac:dyDescent="0.25">
      <c r="A603" s="1288">
        <v>96641</v>
      </c>
      <c r="B603" s="1288" t="s">
        <v>3247</v>
      </c>
      <c r="C603" s="1287">
        <v>28026.5</v>
      </c>
      <c r="D603" s="1288"/>
    </row>
    <row r="604" spans="1:4" x14ac:dyDescent="0.25">
      <c r="A604" s="1288">
        <v>96651</v>
      </c>
      <c r="B604" s="1288" t="s">
        <v>3248</v>
      </c>
      <c r="C604" s="1287">
        <v>12070.1</v>
      </c>
      <c r="D604" s="1288"/>
    </row>
    <row r="605" spans="1:4" x14ac:dyDescent="0.25">
      <c r="A605" s="1288">
        <v>96661</v>
      </c>
      <c r="B605" s="1288" t="s">
        <v>3249</v>
      </c>
      <c r="C605" s="1287">
        <v>14869.44</v>
      </c>
      <c r="D605" s="1288"/>
    </row>
    <row r="606" spans="1:4" x14ac:dyDescent="0.25">
      <c r="A606" s="1288">
        <v>96671</v>
      </c>
      <c r="B606" s="1288" t="s">
        <v>3250</v>
      </c>
      <c r="C606" s="1287">
        <v>12449.1</v>
      </c>
      <c r="D606" s="1288"/>
    </row>
    <row r="607" spans="1:4" x14ac:dyDescent="0.25">
      <c r="A607" s="1288">
        <v>96681</v>
      </c>
      <c r="B607" s="1288" t="s">
        <v>3251</v>
      </c>
      <c r="C607" s="1287">
        <v>11987.35</v>
      </c>
      <c r="D607" s="1288"/>
    </row>
    <row r="608" spans="1:4" x14ac:dyDescent="0.25">
      <c r="A608" s="1288">
        <v>96701</v>
      </c>
      <c r="B608" s="1288" t="s">
        <v>3252</v>
      </c>
      <c r="C608" s="1287">
        <v>4851952.0599999996</v>
      </c>
      <c r="D608" s="1288"/>
    </row>
    <row r="609" spans="1:4" x14ac:dyDescent="0.25">
      <c r="A609" s="1288">
        <v>96704</v>
      </c>
      <c r="B609" s="1288" t="s">
        <v>3253</v>
      </c>
      <c r="C609" s="1287">
        <v>161470.68</v>
      </c>
      <c r="D609" s="1288"/>
    </row>
    <row r="610" spans="1:4" x14ac:dyDescent="0.25">
      <c r="A610" s="1288">
        <v>96708</v>
      </c>
      <c r="B610" s="1288" t="s">
        <v>3254</v>
      </c>
      <c r="C610" s="1287">
        <v>519024.4</v>
      </c>
      <c r="D610" s="1288"/>
    </row>
    <row r="611" spans="1:4" x14ac:dyDescent="0.25">
      <c r="A611" s="1288">
        <v>96711</v>
      </c>
      <c r="B611" s="1288" t="s">
        <v>3255</v>
      </c>
      <c r="C611" s="1287">
        <v>2341286.7999999998</v>
      </c>
      <c r="D611" s="1288"/>
    </row>
    <row r="612" spans="1:4" x14ac:dyDescent="0.25">
      <c r="A612" s="1288">
        <v>96721</v>
      </c>
      <c r="B612" s="1288" t="s">
        <v>3256</v>
      </c>
      <c r="C612" s="1287">
        <v>149086.53</v>
      </c>
      <c r="D612" s="1288"/>
    </row>
    <row r="613" spans="1:4" x14ac:dyDescent="0.25">
      <c r="A613" s="1288">
        <v>96731</v>
      </c>
      <c r="B613" s="1288" t="s">
        <v>3257</v>
      </c>
      <c r="C613" s="1287">
        <v>105843.19</v>
      </c>
      <c r="D613" s="1288"/>
    </row>
    <row r="614" spans="1:4" x14ac:dyDescent="0.25">
      <c r="A614" s="1288">
        <v>96741</v>
      </c>
      <c r="B614" s="1288" t="s">
        <v>3259</v>
      </c>
      <c r="C614" s="1287">
        <v>53515.66</v>
      </c>
      <c r="D614" s="1288"/>
    </row>
    <row r="615" spans="1:4" x14ac:dyDescent="0.25">
      <c r="A615" s="1288">
        <v>96751</v>
      </c>
      <c r="B615" s="1288" t="s">
        <v>3260</v>
      </c>
      <c r="C615" s="1287">
        <v>182370.89</v>
      </c>
      <c r="D615" s="1288"/>
    </row>
    <row r="616" spans="1:4" x14ac:dyDescent="0.25">
      <c r="A616" s="1288">
        <v>96801</v>
      </c>
      <c r="B616" s="1288" t="s">
        <v>3261</v>
      </c>
      <c r="C616" s="1287">
        <v>4813006.57</v>
      </c>
      <c r="D616" s="1288"/>
    </row>
    <row r="617" spans="1:4" x14ac:dyDescent="0.25">
      <c r="A617" s="1288">
        <v>96804</v>
      </c>
      <c r="B617" s="1288" t="s">
        <v>3262</v>
      </c>
      <c r="C617" s="1287">
        <v>140255.9</v>
      </c>
      <c r="D617" s="1288"/>
    </row>
    <row r="618" spans="1:4" x14ac:dyDescent="0.25">
      <c r="A618" s="1288">
        <v>96808</v>
      </c>
      <c r="B618" s="1288" t="s">
        <v>3263</v>
      </c>
      <c r="C618" s="1287">
        <v>784961.79</v>
      </c>
      <c r="D618" s="1288"/>
    </row>
    <row r="619" spans="1:4" x14ac:dyDescent="0.25">
      <c r="A619" s="1288">
        <v>96811</v>
      </c>
      <c r="B619" s="1288" t="s">
        <v>3264</v>
      </c>
      <c r="C619" s="1287">
        <v>3728781.14</v>
      </c>
      <c r="D619" s="1288"/>
    </row>
    <row r="620" spans="1:4" x14ac:dyDescent="0.25">
      <c r="A620" s="1288">
        <v>96821</v>
      </c>
      <c r="B620" s="1288" t="s">
        <v>3265</v>
      </c>
      <c r="C620" s="1287">
        <v>832841.02</v>
      </c>
      <c r="D620" s="1288"/>
    </row>
    <row r="621" spans="1:4" x14ac:dyDescent="0.25">
      <c r="A621" s="1288">
        <v>96831</v>
      </c>
      <c r="B621" s="1288" t="s">
        <v>3266</v>
      </c>
      <c r="C621" s="1287">
        <v>584902.73</v>
      </c>
      <c r="D621" s="1288"/>
    </row>
    <row r="622" spans="1:4" x14ac:dyDescent="0.25">
      <c r="A622" s="1288">
        <v>96901</v>
      </c>
      <c r="B622" s="1288" t="s">
        <v>3267</v>
      </c>
      <c r="C622" s="1287">
        <v>506652.34</v>
      </c>
      <c r="D622" s="1288"/>
    </row>
    <row r="623" spans="1:4" x14ac:dyDescent="0.25">
      <c r="A623" s="1288">
        <v>96911</v>
      </c>
      <c r="B623" s="1288" t="s">
        <v>3268</v>
      </c>
      <c r="C623" s="1287">
        <v>3539.94</v>
      </c>
      <c r="D623" s="1288"/>
    </row>
    <row r="624" spans="1:4" x14ac:dyDescent="0.25">
      <c r="A624" s="1288">
        <v>96912</v>
      </c>
      <c r="B624" s="1288" t="s">
        <v>3269</v>
      </c>
      <c r="C624" s="1287">
        <v>43950.87</v>
      </c>
      <c r="D624" s="1288"/>
    </row>
    <row r="625" spans="1:4" x14ac:dyDescent="0.25">
      <c r="A625" s="1288">
        <v>96918</v>
      </c>
      <c r="B625" s="1288" t="s">
        <v>3270</v>
      </c>
      <c r="C625" s="1287">
        <v>27429.08</v>
      </c>
      <c r="D625" s="1288"/>
    </row>
    <row r="626" spans="1:4" x14ac:dyDescent="0.25">
      <c r="A626" s="1288">
        <v>97001</v>
      </c>
      <c r="B626" s="1288" t="s">
        <v>3271</v>
      </c>
      <c r="C626" s="1287">
        <v>952410.24</v>
      </c>
      <c r="D626" s="1288"/>
    </row>
    <row r="627" spans="1:4" x14ac:dyDescent="0.25">
      <c r="A627" s="1288">
        <v>97002</v>
      </c>
      <c r="B627" s="1288" t="s">
        <v>3272</v>
      </c>
      <c r="C627" s="1287">
        <v>235303.54</v>
      </c>
      <c r="D627" s="1288"/>
    </row>
    <row r="628" spans="1:4" x14ac:dyDescent="0.25">
      <c r="A628" s="1288">
        <v>97004</v>
      </c>
      <c r="B628" s="1288" t="s">
        <v>3273</v>
      </c>
      <c r="C628" s="1287">
        <v>11474.29</v>
      </c>
      <c r="D628" s="1288"/>
    </row>
    <row r="629" spans="1:4" x14ac:dyDescent="0.25">
      <c r="A629" s="1288">
        <v>97005</v>
      </c>
      <c r="B629" s="1288" t="s">
        <v>3274</v>
      </c>
      <c r="C629" s="1287">
        <v>18410.580000000002</v>
      </c>
      <c r="D629" s="1288"/>
    </row>
    <row r="630" spans="1:4" x14ac:dyDescent="0.25">
      <c r="A630" s="1288">
        <v>97008</v>
      </c>
      <c r="B630" s="1288" t="s">
        <v>3275</v>
      </c>
      <c r="C630" s="1287">
        <v>183366.16</v>
      </c>
      <c r="D630" s="1288"/>
    </row>
    <row r="631" spans="1:4" x14ac:dyDescent="0.25">
      <c r="A631" s="1288">
        <v>97011</v>
      </c>
      <c r="B631" s="1288" t="s">
        <v>3277</v>
      </c>
      <c r="C631" s="1287">
        <v>1169716.42</v>
      </c>
      <c r="D631" s="1288"/>
    </row>
    <row r="632" spans="1:4" x14ac:dyDescent="0.25">
      <c r="A632" s="1288">
        <v>97012</v>
      </c>
      <c r="B632" s="1288" t="s">
        <v>3278</v>
      </c>
      <c r="C632" s="1287">
        <v>16081.41</v>
      </c>
      <c r="D632" s="1288"/>
    </row>
    <row r="633" spans="1:4" x14ac:dyDescent="0.25">
      <c r="A633" s="1288">
        <v>97013</v>
      </c>
      <c r="B633" s="1288" t="s">
        <v>3279</v>
      </c>
      <c r="C633" s="1287">
        <v>11474.8</v>
      </c>
      <c r="D633" s="1288"/>
    </row>
    <row r="634" spans="1:4" x14ac:dyDescent="0.25">
      <c r="A634" s="1288">
        <v>97015</v>
      </c>
      <c r="B634" s="1288" t="s">
        <v>3280</v>
      </c>
      <c r="C634" s="1287">
        <v>33690.26</v>
      </c>
      <c r="D634" s="1288"/>
    </row>
    <row r="635" spans="1:4" x14ac:dyDescent="0.25">
      <c r="A635" s="1288">
        <v>97018</v>
      </c>
      <c r="B635" s="1288" t="s">
        <v>3281</v>
      </c>
      <c r="C635" s="1287">
        <v>11049.84</v>
      </c>
      <c r="D635" s="1288"/>
    </row>
    <row r="636" spans="1:4" x14ac:dyDescent="0.25">
      <c r="A636" s="1288">
        <v>97101</v>
      </c>
      <c r="B636" s="1288" t="s">
        <v>3282</v>
      </c>
      <c r="C636" s="1287">
        <v>1795779.8</v>
      </c>
      <c r="D636" s="1288"/>
    </row>
    <row r="637" spans="1:4" x14ac:dyDescent="0.25">
      <c r="A637" s="1288">
        <v>97104</v>
      </c>
      <c r="B637" s="1288" t="s">
        <v>3283</v>
      </c>
      <c r="C637" s="1287">
        <v>38739.29</v>
      </c>
      <c r="D637" s="1288"/>
    </row>
    <row r="638" spans="1:4" x14ac:dyDescent="0.25">
      <c r="A638" s="1288">
        <v>97111</v>
      </c>
      <c r="B638" s="1288" t="s">
        <v>3284</v>
      </c>
      <c r="C638" s="1287">
        <v>181787.48</v>
      </c>
      <c r="D638" s="1288"/>
    </row>
    <row r="639" spans="1:4" x14ac:dyDescent="0.25">
      <c r="A639" s="1288">
        <v>97121</v>
      </c>
      <c r="B639" s="1288" t="s">
        <v>3285</v>
      </c>
      <c r="C639" s="1287">
        <v>118893.85</v>
      </c>
      <c r="D639" s="1288"/>
    </row>
    <row r="640" spans="1:4" x14ac:dyDescent="0.25">
      <c r="A640" s="1288">
        <v>97131</v>
      </c>
      <c r="B640" s="1288" t="s">
        <v>3286</v>
      </c>
      <c r="C640" s="1287">
        <v>377963.18</v>
      </c>
      <c r="D640" s="1288"/>
    </row>
    <row r="641" spans="1:4" x14ac:dyDescent="0.25">
      <c r="A641" s="1288">
        <v>97201</v>
      </c>
      <c r="B641" s="1288" t="s">
        <v>3287</v>
      </c>
      <c r="C641" s="1287">
        <v>353704.82</v>
      </c>
      <c r="D641" s="1288"/>
    </row>
    <row r="642" spans="1:4" x14ac:dyDescent="0.25">
      <c r="A642" s="1288">
        <v>97211</v>
      </c>
      <c r="B642" s="1288" t="s">
        <v>3288</v>
      </c>
      <c r="C642" s="1287">
        <v>97538.15</v>
      </c>
      <c r="D642" s="1288"/>
    </row>
    <row r="643" spans="1:4" x14ac:dyDescent="0.25">
      <c r="A643" s="1288">
        <v>97213</v>
      </c>
      <c r="B643" s="1288" t="s">
        <v>3289</v>
      </c>
      <c r="C643" s="1287">
        <v>27226.28</v>
      </c>
      <c r="D643" s="1288"/>
    </row>
    <row r="644" spans="1:4" x14ac:dyDescent="0.25">
      <c r="A644" s="1288">
        <v>97217</v>
      </c>
      <c r="B644" s="1288" t="s">
        <v>3290</v>
      </c>
      <c r="C644" s="1287">
        <v>7851.28</v>
      </c>
      <c r="D644" s="1288"/>
    </row>
    <row r="645" spans="1:4" x14ac:dyDescent="0.25">
      <c r="A645" s="1288">
        <v>97221</v>
      </c>
      <c r="B645" s="1288" t="s">
        <v>3291</v>
      </c>
      <c r="C645" s="1287">
        <v>8596.69</v>
      </c>
      <c r="D645" s="1288"/>
    </row>
    <row r="646" spans="1:4" x14ac:dyDescent="0.25">
      <c r="A646" s="1288">
        <v>97301</v>
      </c>
      <c r="B646" s="1288" t="s">
        <v>3292</v>
      </c>
      <c r="C646" s="1287">
        <v>1296799.6100000001</v>
      </c>
      <c r="D646" s="1288"/>
    </row>
    <row r="647" spans="1:4" x14ac:dyDescent="0.25">
      <c r="A647" s="1288">
        <v>97302</v>
      </c>
      <c r="B647" s="1288" t="s">
        <v>4201</v>
      </c>
      <c r="C647" s="1287">
        <v>35925.22</v>
      </c>
      <c r="D647" s="1288"/>
    </row>
    <row r="648" spans="1:4" x14ac:dyDescent="0.25">
      <c r="A648" s="1288">
        <v>97304</v>
      </c>
      <c r="B648" s="1288" t="s">
        <v>3293</v>
      </c>
      <c r="C648" s="1287">
        <v>18956.009999999998</v>
      </c>
      <c r="D648" s="1288"/>
    </row>
    <row r="649" spans="1:4" x14ac:dyDescent="0.25">
      <c r="A649" s="1288">
        <v>97311</v>
      </c>
      <c r="B649" s="1288" t="s">
        <v>3294</v>
      </c>
      <c r="C649" s="1287">
        <v>542660.51</v>
      </c>
      <c r="D649" s="1288"/>
    </row>
    <row r="650" spans="1:4" x14ac:dyDescent="0.25">
      <c r="A650" s="1288">
        <v>97401</v>
      </c>
      <c r="B650" s="1288" t="s">
        <v>3295</v>
      </c>
      <c r="C650" s="1287">
        <v>4217404.47</v>
      </c>
      <c r="D650" s="1288"/>
    </row>
    <row r="651" spans="1:4" x14ac:dyDescent="0.25">
      <c r="A651" s="1288">
        <v>97402</v>
      </c>
      <c r="B651" s="1288" t="s">
        <v>3296</v>
      </c>
      <c r="C651" s="1287">
        <v>37298.49</v>
      </c>
      <c r="D651" s="1288"/>
    </row>
    <row r="652" spans="1:4" x14ac:dyDescent="0.25">
      <c r="A652" s="1288">
        <v>97404</v>
      </c>
      <c r="B652" s="1288" t="s">
        <v>3297</v>
      </c>
      <c r="C652" s="1287">
        <v>124938.88</v>
      </c>
      <c r="D652" s="1288"/>
    </row>
    <row r="653" spans="1:4" x14ac:dyDescent="0.25">
      <c r="A653" s="1288">
        <v>97405</v>
      </c>
      <c r="B653" s="1288" t="s">
        <v>3298</v>
      </c>
      <c r="C653" s="1287">
        <v>83347.53</v>
      </c>
      <c r="D653" s="1288"/>
    </row>
    <row r="654" spans="1:4" x14ac:dyDescent="0.25">
      <c r="A654" s="1288">
        <v>97408</v>
      </c>
      <c r="B654" s="1288" t="s">
        <v>3299</v>
      </c>
      <c r="C654" s="1287">
        <v>32564.7</v>
      </c>
      <c r="D654" s="1288"/>
    </row>
    <row r="655" spans="1:4" x14ac:dyDescent="0.25">
      <c r="A655" s="1288">
        <v>97411</v>
      </c>
      <c r="B655" s="1288" t="s">
        <v>3300</v>
      </c>
      <c r="C655" s="1287">
        <v>3801771.57</v>
      </c>
      <c r="D655" s="1288"/>
    </row>
    <row r="656" spans="1:4" x14ac:dyDescent="0.25">
      <c r="A656" s="1288">
        <v>97412</v>
      </c>
      <c r="B656" s="1288" t="s">
        <v>3301</v>
      </c>
      <c r="C656" s="1287">
        <v>2845829.49</v>
      </c>
      <c r="D656" s="1288"/>
    </row>
    <row r="657" spans="1:4" x14ac:dyDescent="0.25">
      <c r="A657" s="1288">
        <v>97413</v>
      </c>
      <c r="B657" s="1288" t="s">
        <v>3302</v>
      </c>
      <c r="C657" s="1287">
        <v>202992.14</v>
      </c>
      <c r="D657" s="1288"/>
    </row>
    <row r="658" spans="1:4" x14ac:dyDescent="0.25">
      <c r="A658" s="1288">
        <v>97421</v>
      </c>
      <c r="B658" s="1288" t="s">
        <v>3303</v>
      </c>
      <c r="C658" s="1287">
        <v>251678.51</v>
      </c>
      <c r="D658" s="1288"/>
    </row>
    <row r="659" spans="1:4" x14ac:dyDescent="0.25">
      <c r="A659" s="1288">
        <v>97423</v>
      </c>
      <c r="B659" s="1288" t="s">
        <v>3304</v>
      </c>
      <c r="C659" s="1287">
        <v>24471.98</v>
      </c>
      <c r="D659" s="1288"/>
    </row>
    <row r="660" spans="1:4" x14ac:dyDescent="0.25">
      <c r="A660" s="1288">
        <v>97431</v>
      </c>
      <c r="B660" s="1288" t="s">
        <v>3305</v>
      </c>
      <c r="C660" s="1287">
        <v>59547.15</v>
      </c>
      <c r="D660" s="1288"/>
    </row>
    <row r="661" spans="1:4" x14ac:dyDescent="0.25">
      <c r="A661" s="1288">
        <v>97441</v>
      </c>
      <c r="B661" s="1288" t="s">
        <v>3306</v>
      </c>
      <c r="C661" s="1287">
        <v>26814.92</v>
      </c>
      <c r="D661" s="1288"/>
    </row>
    <row r="662" spans="1:4" x14ac:dyDescent="0.25">
      <c r="A662" s="1288">
        <v>97451</v>
      </c>
      <c r="B662" s="1288" t="s">
        <v>3307</v>
      </c>
      <c r="C662" s="1287">
        <v>413279.85</v>
      </c>
      <c r="D662" s="1288"/>
    </row>
    <row r="663" spans="1:4" x14ac:dyDescent="0.25">
      <c r="A663" s="1288">
        <v>97461</v>
      </c>
      <c r="B663" s="1288" t="s">
        <v>3308</v>
      </c>
      <c r="C663" s="1287">
        <v>326750.21999999997</v>
      </c>
      <c r="D663" s="1288"/>
    </row>
    <row r="664" spans="1:4" x14ac:dyDescent="0.25">
      <c r="A664" s="1288">
        <v>97471</v>
      </c>
      <c r="B664" s="1288" t="s">
        <v>3310</v>
      </c>
      <c r="C664" s="1287">
        <v>16567.64</v>
      </c>
      <c r="D664" s="1288"/>
    </row>
    <row r="665" spans="1:4" x14ac:dyDescent="0.25">
      <c r="A665" s="1288">
        <v>97481</v>
      </c>
      <c r="B665" s="1288" t="s">
        <v>3311</v>
      </c>
      <c r="C665" s="1287">
        <v>2860.72</v>
      </c>
      <c r="D665" s="1288"/>
    </row>
    <row r="666" spans="1:4" x14ac:dyDescent="0.25">
      <c r="A666" s="1288">
        <v>97501</v>
      </c>
      <c r="B666" s="1288" t="s">
        <v>3313</v>
      </c>
      <c r="C666" s="1287">
        <v>773030.29</v>
      </c>
      <c r="D666" s="1288"/>
    </row>
    <row r="667" spans="1:4" x14ac:dyDescent="0.25">
      <c r="A667" s="1288">
        <v>97511</v>
      </c>
      <c r="B667" s="1288" t="s">
        <v>3314</v>
      </c>
      <c r="C667" s="1287">
        <v>143364.35999999999</v>
      </c>
      <c r="D667" s="1288"/>
    </row>
    <row r="668" spans="1:4" x14ac:dyDescent="0.25">
      <c r="A668" s="1288">
        <v>97521</v>
      </c>
      <c r="B668" s="1288" t="s">
        <v>3315</v>
      </c>
      <c r="C668" s="1287">
        <v>78443.06</v>
      </c>
      <c r="D668" s="1288"/>
    </row>
    <row r="669" spans="1:4" x14ac:dyDescent="0.25">
      <c r="A669" s="1288">
        <v>97527</v>
      </c>
      <c r="B669" s="1288" t="s">
        <v>4204</v>
      </c>
      <c r="C669" s="1287">
        <v>5611.6</v>
      </c>
      <c r="D669" s="1288"/>
    </row>
    <row r="670" spans="1:4" x14ac:dyDescent="0.25">
      <c r="A670" s="1288">
        <v>97531</v>
      </c>
      <c r="B670" s="1288" t="s">
        <v>3316</v>
      </c>
      <c r="C670" s="1287">
        <v>41264.199999999997</v>
      </c>
      <c r="D670" s="1288"/>
    </row>
    <row r="671" spans="1:4" x14ac:dyDescent="0.25">
      <c r="A671" s="1288">
        <v>97601</v>
      </c>
      <c r="B671" s="1288" t="s">
        <v>3317</v>
      </c>
      <c r="C671" s="1287">
        <v>3249056.79</v>
      </c>
      <c r="D671" s="1288"/>
    </row>
    <row r="672" spans="1:4" x14ac:dyDescent="0.25">
      <c r="A672" s="1288">
        <v>97607</v>
      </c>
      <c r="B672" s="1288" t="s">
        <v>3318</v>
      </c>
      <c r="C672" s="1287">
        <v>23233.65</v>
      </c>
      <c r="D672" s="1288"/>
    </row>
    <row r="673" spans="1:4" x14ac:dyDescent="0.25">
      <c r="A673" s="1288">
        <v>97611</v>
      </c>
      <c r="B673" s="1288" t="s">
        <v>3319</v>
      </c>
      <c r="C673" s="1287">
        <v>1540218.59</v>
      </c>
      <c r="D673" s="1288"/>
    </row>
    <row r="674" spans="1:4" x14ac:dyDescent="0.25">
      <c r="A674" s="1288">
        <v>97613</v>
      </c>
      <c r="B674" s="1288" t="s">
        <v>3320</v>
      </c>
      <c r="C674" s="1287">
        <v>75660.02</v>
      </c>
      <c r="D674" s="1288"/>
    </row>
    <row r="675" spans="1:4" x14ac:dyDescent="0.25">
      <c r="A675" s="1288">
        <v>97621</v>
      </c>
      <c r="B675" s="1288" t="s">
        <v>3321</v>
      </c>
      <c r="C675" s="1287">
        <v>224570.36</v>
      </c>
      <c r="D675" s="1288"/>
    </row>
    <row r="676" spans="1:4" x14ac:dyDescent="0.25">
      <c r="A676" s="1288">
        <v>97623</v>
      </c>
      <c r="B676" s="1288" t="s">
        <v>3322</v>
      </c>
      <c r="C676" s="1287">
        <v>17045.79</v>
      </c>
      <c r="D676" s="1288"/>
    </row>
    <row r="677" spans="1:4" x14ac:dyDescent="0.25">
      <c r="A677" s="1288">
        <v>97627</v>
      </c>
      <c r="B677" s="1288" t="s">
        <v>3323</v>
      </c>
      <c r="C677" s="1287">
        <v>5885.49</v>
      </c>
      <c r="D677" s="1288"/>
    </row>
    <row r="678" spans="1:4" x14ac:dyDescent="0.25">
      <c r="A678" s="1288">
        <v>97631</v>
      </c>
      <c r="B678" s="1288" t="s">
        <v>3324</v>
      </c>
      <c r="C678" s="1287">
        <v>121338.65</v>
      </c>
      <c r="D678" s="1288"/>
    </row>
    <row r="679" spans="1:4" x14ac:dyDescent="0.25">
      <c r="A679" s="1288">
        <v>97637</v>
      </c>
      <c r="B679" s="1288" t="s">
        <v>3325</v>
      </c>
      <c r="C679" s="1287">
        <v>1677.15</v>
      </c>
      <c r="D679" s="1288"/>
    </row>
    <row r="680" spans="1:4" x14ac:dyDescent="0.25">
      <c r="A680" s="1288">
        <v>97641</v>
      </c>
      <c r="B680" s="1288" t="s">
        <v>3326</v>
      </c>
      <c r="C680" s="1287">
        <v>36973.49</v>
      </c>
      <c r="D680" s="1288"/>
    </row>
    <row r="681" spans="1:4" x14ac:dyDescent="0.25">
      <c r="A681" s="1288">
        <v>97651</v>
      </c>
      <c r="B681" s="1288" t="s">
        <v>3327</v>
      </c>
      <c r="C681" s="1287">
        <v>302348.46999999997</v>
      </c>
      <c r="D681" s="1288"/>
    </row>
    <row r="682" spans="1:4" x14ac:dyDescent="0.25">
      <c r="A682" s="1288">
        <v>97661</v>
      </c>
      <c r="B682" s="1288" t="s">
        <v>3328</v>
      </c>
      <c r="C682" s="1287">
        <v>32184.5</v>
      </c>
      <c r="D682" s="1288"/>
    </row>
    <row r="683" spans="1:4" x14ac:dyDescent="0.25">
      <c r="A683" s="1288">
        <v>97701</v>
      </c>
      <c r="B683" s="1288" t="s">
        <v>3329</v>
      </c>
      <c r="C683" s="1287">
        <v>1532971.47</v>
      </c>
      <c r="D683" s="1288"/>
    </row>
    <row r="684" spans="1:4" x14ac:dyDescent="0.25">
      <c r="A684" s="1288">
        <v>97705</v>
      </c>
      <c r="B684" s="1288" t="s">
        <v>3330</v>
      </c>
      <c r="C684" s="1287">
        <v>28700.880000000001</v>
      </c>
      <c r="D684" s="1288"/>
    </row>
    <row r="685" spans="1:4" x14ac:dyDescent="0.25">
      <c r="A685" s="1288">
        <v>97711</v>
      </c>
      <c r="B685" s="1288" t="s">
        <v>3331</v>
      </c>
      <c r="C685" s="1287">
        <v>552187.30000000005</v>
      </c>
      <c r="D685" s="1288"/>
    </row>
    <row r="686" spans="1:4" x14ac:dyDescent="0.25">
      <c r="A686" s="1288">
        <v>97713</v>
      </c>
      <c r="B686" s="1288" t="s">
        <v>3332</v>
      </c>
      <c r="C686" s="1287">
        <v>32149.64</v>
      </c>
      <c r="D686" s="1288"/>
    </row>
    <row r="687" spans="1:4" x14ac:dyDescent="0.25">
      <c r="A687" s="1288">
        <v>97717</v>
      </c>
      <c r="B687" s="1288" t="s">
        <v>3333</v>
      </c>
      <c r="C687" s="1287">
        <v>4900.83</v>
      </c>
      <c r="D687" s="1288"/>
    </row>
    <row r="688" spans="1:4" x14ac:dyDescent="0.25">
      <c r="A688" s="1288">
        <v>97721</v>
      </c>
      <c r="B688" s="1288" t="s">
        <v>3334</v>
      </c>
      <c r="C688" s="1287">
        <v>319351.13</v>
      </c>
      <c r="D688" s="1288"/>
    </row>
    <row r="689" spans="1:4" x14ac:dyDescent="0.25">
      <c r="A689" s="1288">
        <v>97727</v>
      </c>
      <c r="B689" s="1288" t="s">
        <v>3335</v>
      </c>
      <c r="C689" s="1287">
        <v>14204.82</v>
      </c>
      <c r="D689" s="1288"/>
    </row>
    <row r="690" spans="1:4" x14ac:dyDescent="0.25">
      <c r="A690" s="1288">
        <v>97731</v>
      </c>
      <c r="B690" s="1288" t="s">
        <v>3336</v>
      </c>
      <c r="C690" s="1287">
        <v>24986.82</v>
      </c>
      <c r="D690" s="1288"/>
    </row>
    <row r="691" spans="1:4" x14ac:dyDescent="0.25">
      <c r="A691" s="1288">
        <v>97801</v>
      </c>
      <c r="B691" s="1288" t="s">
        <v>3693</v>
      </c>
      <c r="C691" s="1287">
        <v>4298880.84</v>
      </c>
      <c r="D691" s="1288"/>
    </row>
    <row r="692" spans="1:4" x14ac:dyDescent="0.25">
      <c r="A692" s="1288">
        <v>97802</v>
      </c>
      <c r="B692" s="1288" t="s">
        <v>3338</v>
      </c>
      <c r="C692" s="1287">
        <v>101387.85</v>
      </c>
      <c r="D692" s="1288"/>
    </row>
    <row r="693" spans="1:4" x14ac:dyDescent="0.25">
      <c r="A693" s="1288">
        <v>97803</v>
      </c>
      <c r="B693" s="1288" t="s">
        <v>3339</v>
      </c>
      <c r="C693" s="1287">
        <v>48800.02</v>
      </c>
      <c r="D693" s="1288"/>
    </row>
    <row r="694" spans="1:4" x14ac:dyDescent="0.25">
      <c r="A694" s="1288">
        <v>97805</v>
      </c>
      <c r="B694" s="1288" t="s">
        <v>3340</v>
      </c>
      <c r="C694" s="1287">
        <v>52602.69</v>
      </c>
      <c r="D694" s="1288"/>
    </row>
    <row r="695" spans="1:4" x14ac:dyDescent="0.25">
      <c r="A695" s="1288">
        <v>97811</v>
      </c>
      <c r="B695" s="1288" t="s">
        <v>3341</v>
      </c>
      <c r="C695" s="1287">
        <v>1477590.86</v>
      </c>
      <c r="D695" s="1288"/>
    </row>
    <row r="696" spans="1:4" x14ac:dyDescent="0.25">
      <c r="A696" s="1288">
        <v>97817</v>
      </c>
      <c r="B696" s="1288" t="s">
        <v>3342</v>
      </c>
      <c r="C696" s="1287">
        <v>17021.07</v>
      </c>
      <c r="D696" s="1288"/>
    </row>
    <row r="697" spans="1:4" x14ac:dyDescent="0.25">
      <c r="A697" s="1288">
        <v>97818</v>
      </c>
      <c r="B697" s="1288" t="s">
        <v>3343</v>
      </c>
      <c r="C697" s="1287">
        <v>16162.03</v>
      </c>
      <c r="D697" s="1288"/>
    </row>
    <row r="698" spans="1:4" x14ac:dyDescent="0.25">
      <c r="A698" s="1288">
        <v>97821</v>
      </c>
      <c r="B698" s="1288" t="s">
        <v>3344</v>
      </c>
      <c r="C698" s="1287">
        <v>79617.36</v>
      </c>
      <c r="D698" s="1288"/>
    </row>
    <row r="699" spans="1:4" x14ac:dyDescent="0.25">
      <c r="A699" s="1288">
        <v>97823</v>
      </c>
      <c r="B699" s="1288" t="s">
        <v>3345</v>
      </c>
      <c r="C699" s="1287">
        <v>15825.5</v>
      </c>
      <c r="D699" s="1288"/>
    </row>
    <row r="700" spans="1:4" x14ac:dyDescent="0.25">
      <c r="A700" s="1288">
        <v>97831</v>
      </c>
      <c r="B700" s="1288" t="s">
        <v>3346</v>
      </c>
      <c r="C700" s="1287">
        <v>123536.76</v>
      </c>
      <c r="D700" s="1288"/>
    </row>
    <row r="701" spans="1:4" x14ac:dyDescent="0.25">
      <c r="A701" s="1288">
        <v>97837</v>
      </c>
      <c r="B701" s="1288" t="s">
        <v>3347</v>
      </c>
      <c r="C701" s="1287">
        <v>4753.6899999999996</v>
      </c>
      <c r="D701" s="1288"/>
    </row>
    <row r="702" spans="1:4" x14ac:dyDescent="0.25">
      <c r="A702" s="1288">
        <v>97840</v>
      </c>
      <c r="B702" s="1288" t="s">
        <v>3348</v>
      </c>
      <c r="C702" s="1287">
        <v>85666.58</v>
      </c>
      <c r="D702" s="1288"/>
    </row>
    <row r="703" spans="1:4" x14ac:dyDescent="0.25">
      <c r="A703" s="1288">
        <v>97841</v>
      </c>
      <c r="B703" s="1288" t="s">
        <v>3349</v>
      </c>
      <c r="C703" s="1287">
        <v>7193.93</v>
      </c>
      <c r="D703" s="1288"/>
    </row>
    <row r="704" spans="1:4" x14ac:dyDescent="0.25">
      <c r="A704" s="1288">
        <v>97847</v>
      </c>
      <c r="B704" s="1288" t="s">
        <v>3350</v>
      </c>
      <c r="C704" s="1287">
        <v>3263.16</v>
      </c>
      <c r="D704" s="1288"/>
    </row>
    <row r="705" spans="1:4" x14ac:dyDescent="0.25">
      <c r="A705" s="1288">
        <v>97851</v>
      </c>
      <c r="B705" s="1288" t="s">
        <v>3351</v>
      </c>
      <c r="C705" s="1287">
        <v>144132.03</v>
      </c>
      <c r="D705" s="1288"/>
    </row>
    <row r="706" spans="1:4" x14ac:dyDescent="0.25">
      <c r="A706" s="1288">
        <v>97853</v>
      </c>
      <c r="B706" s="1288" t="s">
        <v>3352</v>
      </c>
      <c r="C706" s="1287">
        <v>43042.879999999997</v>
      </c>
      <c r="D706" s="1288"/>
    </row>
    <row r="707" spans="1:4" x14ac:dyDescent="0.25">
      <c r="A707" s="1288">
        <v>97861</v>
      </c>
      <c r="B707" s="1288" t="s">
        <v>3353</v>
      </c>
      <c r="C707" s="1287">
        <v>39280.800000000003</v>
      </c>
      <c r="D707" s="1288"/>
    </row>
    <row r="708" spans="1:4" x14ac:dyDescent="0.25">
      <c r="A708" s="1288">
        <v>97871</v>
      </c>
      <c r="B708" s="1288" t="s">
        <v>3354</v>
      </c>
      <c r="C708" s="1287">
        <v>188715.1</v>
      </c>
      <c r="D708" s="1288"/>
    </row>
    <row r="709" spans="1:4" x14ac:dyDescent="0.25">
      <c r="A709" s="1288">
        <v>97877</v>
      </c>
      <c r="B709" s="1288" t="s">
        <v>3355</v>
      </c>
      <c r="C709" s="1287">
        <v>6226.55</v>
      </c>
      <c r="D709" s="1288"/>
    </row>
    <row r="710" spans="1:4" x14ac:dyDescent="0.25">
      <c r="A710" s="1288">
        <v>97901</v>
      </c>
      <c r="B710" s="1288" t="s">
        <v>3356</v>
      </c>
      <c r="C710" s="1287">
        <v>2499428.36</v>
      </c>
      <c r="D710" s="1288"/>
    </row>
    <row r="711" spans="1:4" x14ac:dyDescent="0.25">
      <c r="A711" s="1288">
        <v>97911</v>
      </c>
      <c r="B711" s="1288" t="s">
        <v>3357</v>
      </c>
      <c r="C711" s="1287">
        <v>826451.18</v>
      </c>
      <c r="D711" s="1288"/>
    </row>
    <row r="712" spans="1:4" x14ac:dyDescent="0.25">
      <c r="A712" s="1288">
        <v>97913</v>
      </c>
      <c r="B712" s="1288" t="s">
        <v>3358</v>
      </c>
      <c r="C712" s="1287">
        <v>28547.22</v>
      </c>
      <c r="D712" s="1288"/>
    </row>
    <row r="713" spans="1:4" x14ac:dyDescent="0.25">
      <c r="A713" s="1288">
        <v>97917</v>
      </c>
      <c r="B713" s="1288" t="s">
        <v>3359</v>
      </c>
      <c r="C713" s="1287">
        <v>18097.11</v>
      </c>
      <c r="D713" s="1288"/>
    </row>
    <row r="714" spans="1:4" x14ac:dyDescent="0.25">
      <c r="A714" s="1288">
        <v>97921</v>
      </c>
      <c r="B714" s="1288" t="s">
        <v>3360</v>
      </c>
      <c r="C714" s="1287">
        <v>134937.62</v>
      </c>
      <c r="D714" s="1288"/>
    </row>
    <row r="715" spans="1:4" x14ac:dyDescent="0.25">
      <c r="A715" s="1288">
        <v>97931</v>
      </c>
      <c r="B715" s="1288" t="s">
        <v>3361</v>
      </c>
      <c r="C715" s="1287">
        <v>45280.45</v>
      </c>
      <c r="D715" s="1288"/>
    </row>
    <row r="716" spans="1:4" x14ac:dyDescent="0.25">
      <c r="A716" s="1288">
        <v>97941</v>
      </c>
      <c r="B716" s="1288" t="s">
        <v>3362</v>
      </c>
      <c r="C716" s="1287">
        <v>142529.60999999999</v>
      </c>
      <c r="D716" s="1288"/>
    </row>
    <row r="717" spans="1:4" x14ac:dyDescent="0.25">
      <c r="A717" s="1288">
        <v>97947</v>
      </c>
      <c r="B717" s="1288" t="s">
        <v>3363</v>
      </c>
      <c r="C717" s="1287">
        <v>11699.56</v>
      </c>
      <c r="D717" s="1288"/>
    </row>
    <row r="718" spans="1:4" x14ac:dyDescent="0.25">
      <c r="A718" s="1288">
        <v>97948</v>
      </c>
      <c r="B718" s="1288" t="s">
        <v>3364</v>
      </c>
      <c r="C718" s="1287">
        <v>15972.85</v>
      </c>
      <c r="D718" s="1288"/>
    </row>
    <row r="719" spans="1:4" x14ac:dyDescent="0.25">
      <c r="A719" s="1288">
        <v>97951</v>
      </c>
      <c r="B719" s="1288" t="s">
        <v>3365</v>
      </c>
      <c r="C719" s="1287">
        <v>793142.61</v>
      </c>
      <c r="D719" s="1288"/>
    </row>
    <row r="720" spans="1:4" x14ac:dyDescent="0.25">
      <c r="A720" s="1288">
        <v>97957</v>
      </c>
      <c r="B720" s="1288" t="s">
        <v>3366</v>
      </c>
      <c r="C720" s="1287">
        <v>16306.62</v>
      </c>
      <c r="D720" s="1288"/>
    </row>
    <row r="721" spans="1:4" x14ac:dyDescent="0.25">
      <c r="A721" s="1288">
        <v>98001</v>
      </c>
      <c r="B721" s="1288" t="s">
        <v>3367</v>
      </c>
      <c r="C721" s="1287">
        <v>3451765.31</v>
      </c>
      <c r="D721" s="1288"/>
    </row>
    <row r="722" spans="1:4" x14ac:dyDescent="0.25">
      <c r="A722" s="1288">
        <v>98002</v>
      </c>
      <c r="B722" s="1288" t="s">
        <v>3368</v>
      </c>
      <c r="C722" s="1287">
        <v>5144.7299999999996</v>
      </c>
      <c r="D722" s="1288"/>
    </row>
    <row r="723" spans="1:4" x14ac:dyDescent="0.25">
      <c r="A723" s="1288">
        <v>98003</v>
      </c>
      <c r="B723" s="1288" t="s">
        <v>3369</v>
      </c>
      <c r="C723" s="1287">
        <v>54930.28</v>
      </c>
      <c r="D723" s="1288"/>
    </row>
    <row r="724" spans="1:4" x14ac:dyDescent="0.25">
      <c r="A724" s="1288">
        <v>98004</v>
      </c>
      <c r="B724" s="1288" t="s">
        <v>3370</v>
      </c>
      <c r="C724" s="1287">
        <v>131982.23000000001</v>
      </c>
      <c r="D724" s="1288"/>
    </row>
    <row r="725" spans="1:4" x14ac:dyDescent="0.25">
      <c r="A725" s="1288">
        <v>98008</v>
      </c>
      <c r="B725" s="1288" t="s">
        <v>3371</v>
      </c>
      <c r="C725" s="1287">
        <v>4177.6099999999997</v>
      </c>
      <c r="D725" s="1288"/>
    </row>
    <row r="726" spans="1:4" x14ac:dyDescent="0.25">
      <c r="A726" s="1288">
        <v>98011</v>
      </c>
      <c r="B726" s="1288" t="s">
        <v>3372</v>
      </c>
      <c r="C726" s="1287">
        <v>2007177.3</v>
      </c>
      <c r="D726" s="1288"/>
    </row>
    <row r="727" spans="1:4" x14ac:dyDescent="0.25">
      <c r="A727" s="1288">
        <v>98013</v>
      </c>
      <c r="B727" s="1288" t="s">
        <v>3373</v>
      </c>
      <c r="C727" s="1287">
        <v>94637.53</v>
      </c>
      <c r="D727" s="1288"/>
    </row>
    <row r="728" spans="1:4" x14ac:dyDescent="0.25">
      <c r="A728" s="1288">
        <v>98021</v>
      </c>
      <c r="B728" s="1288" t="s">
        <v>3374</v>
      </c>
      <c r="C728" s="1287">
        <v>35499.54</v>
      </c>
      <c r="D728" s="1288"/>
    </row>
    <row r="729" spans="1:4" x14ac:dyDescent="0.25">
      <c r="A729" s="1288">
        <v>98023</v>
      </c>
      <c r="B729" s="1288" t="s">
        <v>3375</v>
      </c>
      <c r="C729" s="1287">
        <v>5447.81</v>
      </c>
      <c r="D729" s="1288"/>
    </row>
    <row r="730" spans="1:4" x14ac:dyDescent="0.25">
      <c r="A730" s="1288">
        <v>98031</v>
      </c>
      <c r="B730" s="1288" t="s">
        <v>3376</v>
      </c>
      <c r="C730" s="1287">
        <v>84530.4</v>
      </c>
      <c r="D730" s="1288"/>
    </row>
    <row r="731" spans="1:4" x14ac:dyDescent="0.25">
      <c r="A731" s="1288">
        <v>98041</v>
      </c>
      <c r="B731" s="1288" t="s">
        <v>3377</v>
      </c>
      <c r="C731" s="1287">
        <v>133515</v>
      </c>
      <c r="D731" s="1288"/>
    </row>
    <row r="732" spans="1:4" x14ac:dyDescent="0.25">
      <c r="A732" s="1288">
        <v>98051</v>
      </c>
      <c r="B732" s="1288" t="s">
        <v>3378</v>
      </c>
      <c r="C732" s="1287">
        <v>153516.88</v>
      </c>
      <c r="D732" s="1288"/>
    </row>
    <row r="733" spans="1:4" x14ac:dyDescent="0.25">
      <c r="A733" s="1288">
        <v>98061</v>
      </c>
      <c r="B733" s="1288" t="s">
        <v>3379</v>
      </c>
      <c r="C733" s="1287">
        <v>67745.440000000002</v>
      </c>
      <c r="D733" s="1288"/>
    </row>
    <row r="734" spans="1:4" x14ac:dyDescent="0.25">
      <c r="A734" s="1288">
        <v>98071</v>
      </c>
      <c r="B734" s="1288" t="s">
        <v>3380</v>
      </c>
      <c r="C734" s="1287">
        <v>44621.25</v>
      </c>
      <c r="D734" s="1288"/>
    </row>
    <row r="735" spans="1:4" x14ac:dyDescent="0.25">
      <c r="A735" s="1288">
        <v>98081</v>
      </c>
      <c r="B735" s="1288" t="s">
        <v>3381</v>
      </c>
      <c r="C735" s="1287">
        <v>9923.84</v>
      </c>
      <c r="D735" s="1288"/>
    </row>
    <row r="736" spans="1:4" x14ac:dyDescent="0.25">
      <c r="A736" s="1288">
        <v>98091</v>
      </c>
      <c r="B736" s="1288" t="s">
        <v>3382</v>
      </c>
      <c r="C736" s="1287">
        <v>34137.9</v>
      </c>
      <c r="D736" s="1288"/>
    </row>
    <row r="737" spans="1:4" x14ac:dyDescent="0.25">
      <c r="A737" s="1288">
        <v>98101</v>
      </c>
      <c r="B737" s="1288" t="s">
        <v>3383</v>
      </c>
      <c r="C737" s="1287">
        <v>1681231.53</v>
      </c>
      <c r="D737" s="1288"/>
    </row>
    <row r="738" spans="1:4" x14ac:dyDescent="0.25">
      <c r="A738" s="1288">
        <v>98102</v>
      </c>
      <c r="B738" s="1288" t="s">
        <v>3384</v>
      </c>
      <c r="C738" s="1287">
        <v>95545.65</v>
      </c>
      <c r="D738" s="1288"/>
    </row>
    <row r="739" spans="1:4" x14ac:dyDescent="0.25">
      <c r="A739" s="1288">
        <v>98103</v>
      </c>
      <c r="B739" s="1288" t="s">
        <v>4816</v>
      </c>
      <c r="C739" s="1287">
        <v>296461.65999999997</v>
      </c>
      <c r="D739" s="1288"/>
    </row>
    <row r="740" spans="1:4" x14ac:dyDescent="0.25">
      <c r="A740" s="1288">
        <v>98107</v>
      </c>
      <c r="B740" s="1288" t="s">
        <v>3386</v>
      </c>
      <c r="C740" s="1287">
        <v>13669.21</v>
      </c>
      <c r="D740" s="1288"/>
    </row>
    <row r="741" spans="1:4" x14ac:dyDescent="0.25">
      <c r="A741" s="1288">
        <v>98109</v>
      </c>
      <c r="B741" s="1288" t="s">
        <v>3387</v>
      </c>
      <c r="C741" s="1287">
        <v>115224.28</v>
      </c>
      <c r="D741" s="1288"/>
    </row>
    <row r="742" spans="1:4" x14ac:dyDescent="0.25">
      <c r="A742" s="1288">
        <v>98111</v>
      </c>
      <c r="B742" s="1288" t="s">
        <v>3388</v>
      </c>
      <c r="C742" s="1287">
        <v>586486.77</v>
      </c>
      <c r="D742" s="1288"/>
    </row>
    <row r="743" spans="1:4" x14ac:dyDescent="0.25">
      <c r="A743" s="1288">
        <v>98113</v>
      </c>
      <c r="B743" s="1288" t="s">
        <v>3389</v>
      </c>
      <c r="C743" s="1287">
        <v>30544.59</v>
      </c>
      <c r="D743" s="1288"/>
    </row>
    <row r="744" spans="1:4" x14ac:dyDescent="0.25">
      <c r="A744" s="1288">
        <v>98121</v>
      </c>
      <c r="B744" s="1288" t="s">
        <v>3390</v>
      </c>
      <c r="C744" s="1287">
        <v>136664.24</v>
      </c>
      <c r="D744" s="1288"/>
    </row>
    <row r="745" spans="1:4" x14ac:dyDescent="0.25">
      <c r="A745" s="1288">
        <v>98131</v>
      </c>
      <c r="B745" s="1288" t="s">
        <v>3391</v>
      </c>
      <c r="C745" s="1287">
        <v>167320.65</v>
      </c>
      <c r="D745" s="1288"/>
    </row>
    <row r="746" spans="1:4" x14ac:dyDescent="0.25">
      <c r="A746" s="1288">
        <v>98141</v>
      </c>
      <c r="B746" s="1288" t="s">
        <v>3392</v>
      </c>
      <c r="C746" s="1287">
        <v>174887.64</v>
      </c>
      <c r="D746" s="1288"/>
    </row>
    <row r="747" spans="1:4" x14ac:dyDescent="0.25">
      <c r="A747" s="1288">
        <v>98147</v>
      </c>
      <c r="B747" s="1288" t="s">
        <v>3393</v>
      </c>
      <c r="C747" s="1287">
        <v>12926.72</v>
      </c>
      <c r="D747" s="1288"/>
    </row>
    <row r="748" spans="1:4" x14ac:dyDescent="0.25">
      <c r="A748" s="1288">
        <v>98161</v>
      </c>
      <c r="B748" s="1288" t="s">
        <v>3394</v>
      </c>
      <c r="C748" s="1287">
        <v>6767.76</v>
      </c>
      <c r="D748" s="1288"/>
    </row>
    <row r="749" spans="1:4" x14ac:dyDescent="0.25">
      <c r="A749" s="1288">
        <v>98201</v>
      </c>
      <c r="B749" s="1288" t="s">
        <v>3395</v>
      </c>
      <c r="C749" s="1287">
        <v>1961250.99</v>
      </c>
      <c r="D749" s="1288"/>
    </row>
    <row r="750" spans="1:4" x14ac:dyDescent="0.25">
      <c r="A750" s="1288">
        <v>98205</v>
      </c>
      <c r="B750" s="1288" t="s">
        <v>3396</v>
      </c>
      <c r="C750" s="1287">
        <v>21441.59</v>
      </c>
      <c r="D750" s="1288"/>
    </row>
    <row r="751" spans="1:4" x14ac:dyDescent="0.25">
      <c r="A751" s="1288">
        <v>98211</v>
      </c>
      <c r="B751" s="1288" t="s">
        <v>3397</v>
      </c>
      <c r="C751" s="1287">
        <v>510938.55</v>
      </c>
      <c r="D751" s="1288"/>
    </row>
    <row r="752" spans="1:4" x14ac:dyDescent="0.25">
      <c r="A752" s="1288">
        <v>98218</v>
      </c>
      <c r="B752" s="1288" t="s">
        <v>3398</v>
      </c>
      <c r="C752" s="1287">
        <v>11264.58</v>
      </c>
      <c r="D752" s="1288"/>
    </row>
    <row r="753" spans="1:4" x14ac:dyDescent="0.25">
      <c r="A753" s="1288">
        <v>98221</v>
      </c>
      <c r="B753" s="1288" t="s">
        <v>3399</v>
      </c>
      <c r="C753" s="1287">
        <v>12825.9</v>
      </c>
      <c r="D753" s="1288"/>
    </row>
    <row r="754" spans="1:4" x14ac:dyDescent="0.25">
      <c r="A754" s="1288">
        <v>98231</v>
      </c>
      <c r="B754" s="1288" t="s">
        <v>3400</v>
      </c>
      <c r="C754" s="1287">
        <v>19768.259999999998</v>
      </c>
      <c r="D754" s="1288"/>
    </row>
    <row r="755" spans="1:4" x14ac:dyDescent="0.25">
      <c r="A755" s="1288">
        <v>98237</v>
      </c>
      <c r="B755" s="1288" t="s">
        <v>3401</v>
      </c>
      <c r="C755" s="1287">
        <v>4492.92</v>
      </c>
      <c r="D755" s="1288"/>
    </row>
    <row r="756" spans="1:4" x14ac:dyDescent="0.25">
      <c r="A756" s="1288">
        <v>98241</v>
      </c>
      <c r="B756" s="1288" t="s">
        <v>3402</v>
      </c>
      <c r="C756" s="1287">
        <v>7126.04</v>
      </c>
      <c r="D756" s="1288"/>
    </row>
    <row r="757" spans="1:4" x14ac:dyDescent="0.25">
      <c r="A757" s="1288">
        <v>98251</v>
      </c>
      <c r="B757" s="1288" t="s">
        <v>3403</v>
      </c>
      <c r="C757" s="1287">
        <v>3340.47</v>
      </c>
      <c r="D757" s="1288"/>
    </row>
    <row r="758" spans="1:4" x14ac:dyDescent="0.25">
      <c r="A758" s="1288">
        <v>98261</v>
      </c>
      <c r="B758" s="1288" t="s">
        <v>3404</v>
      </c>
      <c r="C758" s="1287">
        <v>22362.46</v>
      </c>
      <c r="D758" s="1288"/>
    </row>
    <row r="759" spans="1:4" x14ac:dyDescent="0.25">
      <c r="A759" s="1288">
        <v>98271</v>
      </c>
      <c r="B759" s="1288" t="s">
        <v>3405</v>
      </c>
      <c r="C759" s="1287">
        <v>3979.57</v>
      </c>
      <c r="D759" s="1288"/>
    </row>
    <row r="760" spans="1:4" x14ac:dyDescent="0.25">
      <c r="A760" s="1288">
        <v>98301</v>
      </c>
      <c r="B760" s="1288" t="s">
        <v>3406</v>
      </c>
      <c r="C760" s="1287">
        <v>1180376.04</v>
      </c>
      <c r="D760" s="1288"/>
    </row>
    <row r="761" spans="1:4" x14ac:dyDescent="0.25">
      <c r="A761" s="1288">
        <v>98304</v>
      </c>
      <c r="B761" s="1288" t="s">
        <v>3407</v>
      </c>
      <c r="C761" s="1287">
        <v>17022.23</v>
      </c>
      <c r="D761" s="1288"/>
    </row>
    <row r="762" spans="1:4" x14ac:dyDescent="0.25">
      <c r="A762" s="1288">
        <v>98308</v>
      </c>
      <c r="B762" s="1288" t="s">
        <v>3408</v>
      </c>
      <c r="C762" s="1287">
        <v>21093.19</v>
      </c>
      <c r="D762" s="1288"/>
    </row>
    <row r="763" spans="1:4" x14ac:dyDescent="0.25">
      <c r="A763" s="1288">
        <v>98311</v>
      </c>
      <c r="B763" s="1288" t="s">
        <v>3409</v>
      </c>
      <c r="C763" s="1287">
        <v>640918.68999999994</v>
      </c>
      <c r="D763" s="1288"/>
    </row>
    <row r="764" spans="1:4" x14ac:dyDescent="0.25">
      <c r="A764" s="1288">
        <v>98313</v>
      </c>
      <c r="B764" s="1288" t="s">
        <v>3410</v>
      </c>
      <c r="C764" s="1287">
        <v>168657.63</v>
      </c>
      <c r="D764" s="1288"/>
    </row>
    <row r="765" spans="1:4" x14ac:dyDescent="0.25">
      <c r="A765" s="1288">
        <v>98321</v>
      </c>
      <c r="B765" s="1288" t="s">
        <v>3411</v>
      </c>
      <c r="C765" s="1287">
        <v>10330.06</v>
      </c>
      <c r="D765" s="1288"/>
    </row>
    <row r="766" spans="1:4" x14ac:dyDescent="0.25">
      <c r="A766" s="1288">
        <v>98331</v>
      </c>
      <c r="B766" s="1288" t="s">
        <v>3412</v>
      </c>
      <c r="C766" s="1287">
        <v>3982.45</v>
      </c>
      <c r="D766" s="1288"/>
    </row>
    <row r="767" spans="1:4" x14ac:dyDescent="0.25">
      <c r="A767" s="1288">
        <v>98401</v>
      </c>
      <c r="B767" s="1288" t="s">
        <v>3413</v>
      </c>
      <c r="C767" s="1287">
        <v>1924413.75</v>
      </c>
      <c r="D767" s="1288"/>
    </row>
    <row r="768" spans="1:4" x14ac:dyDescent="0.25">
      <c r="A768" s="1288">
        <v>98404</v>
      </c>
      <c r="B768" s="1288" t="s">
        <v>3694</v>
      </c>
      <c r="C768" s="1287">
        <v>9834.64</v>
      </c>
      <c r="D768" s="1288"/>
    </row>
    <row r="769" spans="1:4" x14ac:dyDescent="0.25">
      <c r="A769" s="1288">
        <v>98411</v>
      </c>
      <c r="B769" s="1288" t="s">
        <v>3414</v>
      </c>
      <c r="C769" s="1287">
        <v>1098322.25</v>
      </c>
      <c r="D769" s="1288"/>
    </row>
    <row r="770" spans="1:4" x14ac:dyDescent="0.25">
      <c r="A770" s="1288">
        <v>98414</v>
      </c>
      <c r="B770" s="1288" t="s">
        <v>2654</v>
      </c>
      <c r="C770" s="1287">
        <v>23197.16</v>
      </c>
      <c r="D770" s="1288"/>
    </row>
    <row r="771" spans="1:4" x14ac:dyDescent="0.25">
      <c r="A771" s="1288">
        <v>98417</v>
      </c>
      <c r="B771" s="1288" t="s">
        <v>3415</v>
      </c>
      <c r="C771" s="1287">
        <v>18256</v>
      </c>
      <c r="D771" s="1288"/>
    </row>
    <row r="772" spans="1:4" x14ac:dyDescent="0.25">
      <c r="A772" s="1288">
        <v>98421</v>
      </c>
      <c r="B772" s="1288" t="s">
        <v>3416</v>
      </c>
      <c r="C772" s="1287">
        <v>61528.11</v>
      </c>
      <c r="D772" s="1288"/>
    </row>
    <row r="773" spans="1:4" x14ac:dyDescent="0.25">
      <c r="A773" s="1288">
        <v>98427</v>
      </c>
      <c r="B773" s="1288" t="s">
        <v>3417</v>
      </c>
      <c r="C773" s="1287">
        <v>4225.91</v>
      </c>
      <c r="D773" s="1288"/>
    </row>
    <row r="774" spans="1:4" x14ac:dyDescent="0.25">
      <c r="A774" s="1288">
        <v>98431</v>
      </c>
      <c r="B774" s="1288" t="s">
        <v>3418</v>
      </c>
      <c r="C774" s="1287">
        <v>120440.17</v>
      </c>
      <c r="D774" s="1288"/>
    </row>
    <row r="775" spans="1:4" x14ac:dyDescent="0.25">
      <c r="A775" s="1288">
        <v>98441</v>
      </c>
      <c r="B775" s="1288" t="s">
        <v>3419</v>
      </c>
      <c r="C775" s="1287">
        <v>65300.32</v>
      </c>
      <c r="D775" s="1288"/>
    </row>
    <row r="776" spans="1:4" x14ac:dyDescent="0.25">
      <c r="A776" s="1288">
        <v>98451</v>
      </c>
      <c r="B776" s="1288" t="s">
        <v>3420</v>
      </c>
      <c r="C776" s="1287">
        <v>24999.89</v>
      </c>
      <c r="D776" s="1288"/>
    </row>
    <row r="777" spans="1:4" x14ac:dyDescent="0.25">
      <c r="A777" s="1288">
        <v>98471</v>
      </c>
      <c r="B777" s="1288" t="s">
        <v>4217</v>
      </c>
      <c r="C777" s="1287">
        <v>4927.3500000000004</v>
      </c>
      <c r="D777" s="1288"/>
    </row>
    <row r="778" spans="1:4" x14ac:dyDescent="0.25">
      <c r="A778" s="1288">
        <v>98481</v>
      </c>
      <c r="B778" s="1288" t="s">
        <v>3421</v>
      </c>
      <c r="C778" s="1287">
        <v>40297.129999999997</v>
      </c>
      <c r="D778" s="1288"/>
    </row>
    <row r="779" spans="1:4" x14ac:dyDescent="0.25">
      <c r="A779" s="1288">
        <v>98501</v>
      </c>
      <c r="B779" s="1288" t="s">
        <v>3422</v>
      </c>
      <c r="C779" s="1287">
        <v>1212827.6599999999</v>
      </c>
      <c r="D779" s="1288"/>
    </row>
    <row r="780" spans="1:4" x14ac:dyDescent="0.25">
      <c r="A780" s="1288">
        <v>98511</v>
      </c>
      <c r="B780" s="1288" t="s">
        <v>3423</v>
      </c>
      <c r="C780" s="1287">
        <v>30184.560000000001</v>
      </c>
      <c r="D780" s="1288"/>
    </row>
    <row r="781" spans="1:4" x14ac:dyDescent="0.25">
      <c r="A781" s="1288">
        <v>98517</v>
      </c>
      <c r="B781" s="1288" t="s">
        <v>3424</v>
      </c>
      <c r="C781" s="1287">
        <v>2893.88</v>
      </c>
      <c r="D781" s="1288"/>
    </row>
    <row r="782" spans="1:4" x14ac:dyDescent="0.25">
      <c r="A782" s="1288">
        <v>98521</v>
      </c>
      <c r="B782" s="1288" t="s">
        <v>3425</v>
      </c>
      <c r="C782" s="1287">
        <v>406132.21</v>
      </c>
      <c r="D782" s="1288"/>
    </row>
    <row r="783" spans="1:4" x14ac:dyDescent="0.25">
      <c r="A783" s="1288">
        <v>98601</v>
      </c>
      <c r="B783" s="1288" t="s">
        <v>3426</v>
      </c>
      <c r="C783" s="1287">
        <v>2259963.17</v>
      </c>
      <c r="D783" s="1288"/>
    </row>
    <row r="784" spans="1:4" x14ac:dyDescent="0.25">
      <c r="A784" s="1288">
        <v>98604</v>
      </c>
      <c r="B784" s="1288" t="s">
        <v>3427</v>
      </c>
      <c r="C784" s="1287">
        <v>11827</v>
      </c>
      <c r="D784" s="1288"/>
    </row>
    <row r="785" spans="1:4" x14ac:dyDescent="0.25">
      <c r="A785" s="1288">
        <v>98607</v>
      </c>
      <c r="B785" s="1288" t="s">
        <v>3428</v>
      </c>
      <c r="C785" s="1287">
        <v>4394.71</v>
      </c>
      <c r="D785" s="1288"/>
    </row>
    <row r="786" spans="1:4" x14ac:dyDescent="0.25">
      <c r="A786" s="1288">
        <v>98608</v>
      </c>
      <c r="B786" s="1288" t="s">
        <v>3429</v>
      </c>
      <c r="C786" s="1287">
        <v>45661.7</v>
      </c>
      <c r="D786" s="1288"/>
    </row>
    <row r="787" spans="1:4" x14ac:dyDescent="0.25">
      <c r="A787" s="1288">
        <v>98611</v>
      </c>
      <c r="B787" s="1288" t="s">
        <v>3430</v>
      </c>
      <c r="C787" s="1287">
        <v>72804.800000000003</v>
      </c>
      <c r="D787" s="1288"/>
    </row>
    <row r="788" spans="1:4" x14ac:dyDescent="0.25">
      <c r="A788" s="1288">
        <v>98621</v>
      </c>
      <c r="B788" s="1288" t="s">
        <v>3431</v>
      </c>
      <c r="C788" s="1287">
        <v>84927.16</v>
      </c>
      <c r="D788" s="1288"/>
    </row>
    <row r="789" spans="1:4" x14ac:dyDescent="0.25">
      <c r="A789" s="1288">
        <v>98627</v>
      </c>
      <c r="B789" s="1288" t="s">
        <v>3432</v>
      </c>
      <c r="C789" s="1287">
        <v>4661.62</v>
      </c>
      <c r="D789" s="1288"/>
    </row>
    <row r="790" spans="1:4" x14ac:dyDescent="0.25">
      <c r="A790" s="1288">
        <v>98631</v>
      </c>
      <c r="B790" s="1288" t="s">
        <v>3433</v>
      </c>
      <c r="C790" s="1287">
        <v>604567.31999999995</v>
      </c>
      <c r="D790" s="1288"/>
    </row>
    <row r="791" spans="1:4" x14ac:dyDescent="0.25">
      <c r="A791" s="1288">
        <v>98637</v>
      </c>
      <c r="B791" s="1288" t="s">
        <v>3434</v>
      </c>
      <c r="C791" s="1287">
        <v>21560.880000000001</v>
      </c>
      <c r="D791" s="1288"/>
    </row>
    <row r="792" spans="1:4" x14ac:dyDescent="0.25">
      <c r="A792" s="1288">
        <v>98641</v>
      </c>
      <c r="B792" s="1288" t="s">
        <v>3435</v>
      </c>
      <c r="C792" s="1287">
        <v>189047.21</v>
      </c>
      <c r="D792" s="1288"/>
    </row>
    <row r="793" spans="1:4" x14ac:dyDescent="0.25">
      <c r="A793" s="1288">
        <v>98701</v>
      </c>
      <c r="B793" s="1288" t="s">
        <v>3437</v>
      </c>
      <c r="C793" s="1287">
        <v>662629.93000000005</v>
      </c>
      <c r="D793" s="1288"/>
    </row>
    <row r="794" spans="1:4" x14ac:dyDescent="0.25">
      <c r="A794" s="1288">
        <v>98711</v>
      </c>
      <c r="B794" s="1288" t="s">
        <v>3438</v>
      </c>
      <c r="C794" s="1287">
        <v>90865.19</v>
      </c>
      <c r="D794" s="1288"/>
    </row>
    <row r="795" spans="1:4" x14ac:dyDescent="0.25">
      <c r="A795" s="1288">
        <v>98717</v>
      </c>
      <c r="B795" s="1288" t="s">
        <v>3439</v>
      </c>
      <c r="C795" s="1287">
        <v>12176.76</v>
      </c>
      <c r="D795" s="1288"/>
    </row>
    <row r="796" spans="1:4" x14ac:dyDescent="0.25">
      <c r="A796" s="1288">
        <v>98801</v>
      </c>
      <c r="B796" s="1288" t="s">
        <v>3440</v>
      </c>
      <c r="C796" s="1287">
        <v>1583702.28</v>
      </c>
      <c r="D796" s="1288"/>
    </row>
    <row r="797" spans="1:4" x14ac:dyDescent="0.25">
      <c r="A797" s="1288">
        <v>98811</v>
      </c>
      <c r="B797" s="1288" t="s">
        <v>3441</v>
      </c>
      <c r="C797" s="1287">
        <v>459895.71</v>
      </c>
      <c r="D797" s="1288"/>
    </row>
    <row r="798" spans="1:4" x14ac:dyDescent="0.25">
      <c r="A798" s="1288">
        <v>98817</v>
      </c>
      <c r="B798" s="1288" t="s">
        <v>3442</v>
      </c>
      <c r="C798" s="1287">
        <v>12706.47</v>
      </c>
      <c r="D798" s="1288"/>
    </row>
    <row r="799" spans="1:4" x14ac:dyDescent="0.25">
      <c r="A799" s="1288">
        <v>98901</v>
      </c>
      <c r="B799" s="1288" t="s">
        <v>3443</v>
      </c>
      <c r="C799" s="1287">
        <v>206299.63</v>
      </c>
      <c r="D799" s="1288"/>
    </row>
    <row r="800" spans="1:4" x14ac:dyDescent="0.25">
      <c r="A800" s="1288">
        <v>98904</v>
      </c>
      <c r="B800" s="1288" t="s">
        <v>3444</v>
      </c>
      <c r="C800" s="1287">
        <v>2052.6799999999998</v>
      </c>
      <c r="D800" s="1288"/>
    </row>
    <row r="801" spans="1:4" x14ac:dyDescent="0.25">
      <c r="A801" s="1288">
        <v>98911</v>
      </c>
      <c r="B801" s="1288" t="s">
        <v>3445</v>
      </c>
      <c r="C801" s="1287">
        <v>20047.64</v>
      </c>
      <c r="D801" s="1288"/>
    </row>
    <row r="802" spans="1:4" x14ac:dyDescent="0.25">
      <c r="A802" s="1288">
        <v>99001</v>
      </c>
      <c r="B802" s="1288" t="s">
        <v>3446</v>
      </c>
      <c r="C802" s="1287">
        <v>5817530.6299999999</v>
      </c>
      <c r="D802" s="1288"/>
    </row>
    <row r="803" spans="1:4" x14ac:dyDescent="0.25">
      <c r="A803" s="1288">
        <v>99011</v>
      </c>
      <c r="B803" s="1288" t="s">
        <v>3447</v>
      </c>
      <c r="C803" s="1287">
        <v>2496618.0299999998</v>
      </c>
      <c r="D803" s="1288"/>
    </row>
    <row r="804" spans="1:4" x14ac:dyDescent="0.25">
      <c r="A804" s="1288">
        <v>99013</v>
      </c>
      <c r="B804" s="1288" t="s">
        <v>3448</v>
      </c>
      <c r="C804" s="1287">
        <v>41575.910000000003</v>
      </c>
      <c r="D804" s="1288"/>
    </row>
    <row r="805" spans="1:4" x14ac:dyDescent="0.25">
      <c r="A805" s="1288">
        <v>99014</v>
      </c>
      <c r="B805" s="1288" t="s">
        <v>3449</v>
      </c>
      <c r="C805" s="1287">
        <v>13208.62</v>
      </c>
      <c r="D805" s="1288"/>
    </row>
    <row r="806" spans="1:4" x14ac:dyDescent="0.25">
      <c r="A806" s="1288">
        <v>99017</v>
      </c>
      <c r="B806" s="1288" t="s">
        <v>3450</v>
      </c>
      <c r="C806" s="1287">
        <v>26530.87</v>
      </c>
      <c r="D806" s="1288"/>
    </row>
    <row r="807" spans="1:4" x14ac:dyDescent="0.25">
      <c r="A807" s="1288">
        <v>99021</v>
      </c>
      <c r="B807" s="1288" t="s">
        <v>3451</v>
      </c>
      <c r="C807" s="1287">
        <v>84543.39</v>
      </c>
      <c r="D807" s="1288"/>
    </row>
    <row r="808" spans="1:4" x14ac:dyDescent="0.25">
      <c r="A808" s="1288">
        <v>99022</v>
      </c>
      <c r="B808" s="1288" t="s">
        <v>1962</v>
      </c>
      <c r="C808" s="1287">
        <v>9316.2000000000007</v>
      </c>
      <c r="D808" s="1288"/>
    </row>
    <row r="809" spans="1:4" x14ac:dyDescent="0.25">
      <c r="A809" s="1288">
        <v>99031</v>
      </c>
      <c r="B809" s="1288" t="s">
        <v>3452</v>
      </c>
      <c r="C809" s="1287">
        <v>68260.34</v>
      </c>
      <c r="D809" s="1288"/>
    </row>
    <row r="810" spans="1:4" x14ac:dyDescent="0.25">
      <c r="A810" s="1288">
        <v>99041</v>
      </c>
      <c r="B810" s="1288" t="s">
        <v>3453</v>
      </c>
      <c r="C810" s="1287">
        <v>403286.2</v>
      </c>
      <c r="D810" s="1288"/>
    </row>
    <row r="811" spans="1:4" x14ac:dyDescent="0.25">
      <c r="A811" s="1288">
        <v>99047</v>
      </c>
      <c r="B811" s="1288" t="s">
        <v>3454</v>
      </c>
      <c r="C811" s="1287">
        <v>14452.82</v>
      </c>
      <c r="D811" s="1288"/>
    </row>
    <row r="812" spans="1:4" x14ac:dyDescent="0.25">
      <c r="A812" s="1288">
        <v>99051</v>
      </c>
      <c r="B812" s="1288" t="s">
        <v>3455</v>
      </c>
      <c r="C812" s="1287">
        <v>204309.23</v>
      </c>
      <c r="D812" s="1288"/>
    </row>
    <row r="813" spans="1:4" x14ac:dyDescent="0.25">
      <c r="A813" s="1288">
        <v>99061</v>
      </c>
      <c r="B813" s="1288" t="s">
        <v>3456</v>
      </c>
      <c r="C813" s="1287">
        <v>5736.76</v>
      </c>
      <c r="D813" s="1288"/>
    </row>
    <row r="814" spans="1:4" x14ac:dyDescent="0.25">
      <c r="A814" s="1288">
        <v>99071</v>
      </c>
      <c r="B814" s="1288" t="s">
        <v>3457</v>
      </c>
      <c r="C814" s="1287">
        <v>14607.4</v>
      </c>
      <c r="D814" s="1288"/>
    </row>
    <row r="815" spans="1:4" x14ac:dyDescent="0.25">
      <c r="A815" s="1288">
        <v>99081</v>
      </c>
      <c r="B815" s="1288" t="s">
        <v>3458</v>
      </c>
      <c r="C815" s="1287">
        <v>20497.29</v>
      </c>
      <c r="D815" s="1288"/>
    </row>
    <row r="816" spans="1:4" x14ac:dyDescent="0.25">
      <c r="A816" s="1288">
        <v>99091</v>
      </c>
      <c r="B816" s="1288" t="s">
        <v>3459</v>
      </c>
      <c r="C816" s="1287">
        <v>12937.9</v>
      </c>
      <c r="D816" s="1288"/>
    </row>
    <row r="817" spans="1:4" x14ac:dyDescent="0.25">
      <c r="A817" s="1288">
        <v>99101</v>
      </c>
      <c r="B817" s="1288" t="s">
        <v>3460</v>
      </c>
      <c r="C817" s="1287">
        <v>1216986.45</v>
      </c>
      <c r="D817" s="1288"/>
    </row>
    <row r="818" spans="1:4" x14ac:dyDescent="0.25">
      <c r="A818" s="1288">
        <v>99104</v>
      </c>
      <c r="B818" s="1288" t="s">
        <v>3461</v>
      </c>
      <c r="C818" s="1287">
        <v>35633.019999999997</v>
      </c>
      <c r="D818" s="1288"/>
    </row>
    <row r="819" spans="1:4" x14ac:dyDescent="0.25">
      <c r="A819" s="1288">
        <v>99109</v>
      </c>
      <c r="B819" s="1288" t="s">
        <v>3462</v>
      </c>
      <c r="C819" s="1287">
        <v>66762.91</v>
      </c>
      <c r="D819" s="1288"/>
    </row>
    <row r="820" spans="1:4" x14ac:dyDescent="0.25">
      <c r="A820" s="1288">
        <v>99110</v>
      </c>
      <c r="B820" s="1288" t="s">
        <v>3463</v>
      </c>
      <c r="C820" s="1287">
        <v>173589.96</v>
      </c>
      <c r="D820" s="1288"/>
    </row>
    <row r="821" spans="1:4" x14ac:dyDescent="0.25">
      <c r="A821" s="1288">
        <v>99111</v>
      </c>
      <c r="B821" s="1288" t="s">
        <v>3464</v>
      </c>
      <c r="C821" s="1287">
        <v>822410.19</v>
      </c>
      <c r="D821" s="1288"/>
    </row>
    <row r="822" spans="1:4" x14ac:dyDescent="0.25">
      <c r="A822" s="1288">
        <v>99201</v>
      </c>
      <c r="B822" s="1288" t="s">
        <v>4817</v>
      </c>
      <c r="C822" s="1287">
        <v>22735348.969999999</v>
      </c>
      <c r="D822" s="1288"/>
    </row>
    <row r="823" spans="1:4" x14ac:dyDescent="0.25">
      <c r="A823" s="1288">
        <v>99202</v>
      </c>
      <c r="B823" s="1288" t="s">
        <v>3466</v>
      </c>
      <c r="C823" s="1287">
        <v>1673808.18</v>
      </c>
      <c r="D823" s="1288"/>
    </row>
    <row r="824" spans="1:4" x14ac:dyDescent="0.25">
      <c r="A824" s="1288">
        <v>99203</v>
      </c>
      <c r="B824" s="1288" t="s">
        <v>3467</v>
      </c>
      <c r="C824" s="1287">
        <v>227847.72</v>
      </c>
      <c r="D824" s="1288"/>
    </row>
    <row r="825" spans="1:4" x14ac:dyDescent="0.25">
      <c r="A825" s="1288">
        <v>99204</v>
      </c>
      <c r="B825" s="1288" t="s">
        <v>3468</v>
      </c>
      <c r="C825" s="1287">
        <v>626371.46</v>
      </c>
      <c r="D825" s="1288"/>
    </row>
    <row r="826" spans="1:4" x14ac:dyDescent="0.25">
      <c r="A826" s="1288">
        <v>99206</v>
      </c>
      <c r="B826" s="1288" t="s">
        <v>3469</v>
      </c>
      <c r="C826" s="1287">
        <v>1074546.07</v>
      </c>
      <c r="D826" s="1288"/>
    </row>
    <row r="827" spans="1:4" x14ac:dyDescent="0.25">
      <c r="A827" s="1288">
        <v>99207</v>
      </c>
      <c r="B827" s="1288" t="s">
        <v>3695</v>
      </c>
      <c r="C827" s="1287">
        <v>85532.27</v>
      </c>
      <c r="D827" s="1288"/>
    </row>
    <row r="828" spans="1:4" x14ac:dyDescent="0.25">
      <c r="A828" s="1288">
        <v>99208</v>
      </c>
      <c r="B828" s="1288" t="s">
        <v>3471</v>
      </c>
      <c r="C828" s="1287">
        <v>163492.51999999999</v>
      </c>
      <c r="D828" s="1288"/>
    </row>
    <row r="829" spans="1:4" x14ac:dyDescent="0.25">
      <c r="A829" s="1288">
        <v>99210</v>
      </c>
      <c r="B829" s="1288" t="s">
        <v>3472</v>
      </c>
      <c r="C829" s="1287">
        <v>1246344.8799999999</v>
      </c>
      <c r="D829" s="1288"/>
    </row>
    <row r="830" spans="1:4" x14ac:dyDescent="0.25">
      <c r="A830" s="1288">
        <v>99211</v>
      </c>
      <c r="B830" s="1288" t="s">
        <v>3473</v>
      </c>
      <c r="C830" s="1287">
        <v>23509859.620000001</v>
      </c>
      <c r="D830" s="1288"/>
    </row>
    <row r="831" spans="1:4" x14ac:dyDescent="0.25">
      <c r="A831" s="1288">
        <v>99212</v>
      </c>
      <c r="B831" s="1288" t="s">
        <v>3474</v>
      </c>
      <c r="C831" s="1287">
        <v>39786.11</v>
      </c>
      <c r="D831" s="1288"/>
    </row>
    <row r="832" spans="1:4" x14ac:dyDescent="0.25">
      <c r="A832" s="1288">
        <v>99213</v>
      </c>
      <c r="B832" s="1288" t="s">
        <v>3475</v>
      </c>
      <c r="C832" s="1287">
        <v>457248.6</v>
      </c>
      <c r="D832" s="1288"/>
    </row>
    <row r="833" spans="1:4" x14ac:dyDescent="0.25">
      <c r="A833" s="1288">
        <v>99218</v>
      </c>
      <c r="B833" s="1288" t="s">
        <v>3476</v>
      </c>
      <c r="C833" s="1287">
        <v>2484389.77</v>
      </c>
      <c r="D833" s="1288"/>
    </row>
    <row r="834" spans="1:4" x14ac:dyDescent="0.25">
      <c r="A834" s="1288">
        <v>99221</v>
      </c>
      <c r="B834" s="1288" t="s">
        <v>3477</v>
      </c>
      <c r="C834" s="1287">
        <v>7955776.1699999999</v>
      </c>
      <c r="D834" s="1288"/>
    </row>
    <row r="835" spans="1:4" x14ac:dyDescent="0.25">
      <c r="A835" s="1288">
        <v>99222</v>
      </c>
      <c r="B835" s="1288" t="s">
        <v>3478</v>
      </c>
      <c r="C835" s="1287">
        <v>20820.669999999998</v>
      </c>
      <c r="D835" s="1288"/>
    </row>
    <row r="836" spans="1:4" x14ac:dyDescent="0.25">
      <c r="A836" s="1288">
        <v>99231</v>
      </c>
      <c r="B836" s="1288" t="s">
        <v>3479</v>
      </c>
      <c r="C836" s="1287">
        <v>250431.54</v>
      </c>
      <c r="D836" s="1288"/>
    </row>
    <row r="837" spans="1:4" x14ac:dyDescent="0.25">
      <c r="A837" s="1288">
        <v>99241</v>
      </c>
      <c r="B837" s="1288" t="s">
        <v>3480</v>
      </c>
      <c r="C837" s="1287">
        <v>339377.79</v>
      </c>
      <c r="D837" s="1288"/>
    </row>
    <row r="838" spans="1:4" x14ac:dyDescent="0.25">
      <c r="A838" s="1288">
        <v>99251</v>
      </c>
      <c r="B838" s="1288" t="s">
        <v>3481</v>
      </c>
      <c r="C838" s="1287">
        <v>1028385.6</v>
      </c>
      <c r="D838" s="1288"/>
    </row>
    <row r="839" spans="1:4" x14ac:dyDescent="0.25">
      <c r="A839" s="1288">
        <v>99252</v>
      </c>
      <c r="B839" s="1288" t="s">
        <v>3482</v>
      </c>
      <c r="C839" s="1287">
        <v>315773</v>
      </c>
      <c r="D839" s="1288"/>
    </row>
    <row r="840" spans="1:4" x14ac:dyDescent="0.25">
      <c r="A840" s="1288">
        <v>99261</v>
      </c>
      <c r="B840" s="1288" t="s">
        <v>3483</v>
      </c>
      <c r="C840" s="1287">
        <v>1271986.1299999999</v>
      </c>
      <c r="D840" s="1288"/>
    </row>
    <row r="841" spans="1:4" x14ac:dyDescent="0.25">
      <c r="A841" s="1288">
        <v>99271</v>
      </c>
      <c r="B841" s="1288" t="s">
        <v>3484</v>
      </c>
      <c r="C841" s="1287">
        <v>2751337.83</v>
      </c>
      <c r="D841" s="1288"/>
    </row>
    <row r="842" spans="1:4" x14ac:dyDescent="0.25">
      <c r="A842" s="1288">
        <v>99281</v>
      </c>
      <c r="B842" s="1288" t="s">
        <v>3485</v>
      </c>
      <c r="C842" s="1287">
        <v>1438391.01</v>
      </c>
      <c r="D842" s="1288"/>
    </row>
    <row r="843" spans="1:4" x14ac:dyDescent="0.25">
      <c r="A843" s="1288">
        <v>99291</v>
      </c>
      <c r="B843" s="1288" t="s">
        <v>3486</v>
      </c>
      <c r="C843" s="1287">
        <v>471535.03</v>
      </c>
      <c r="D843" s="1288"/>
    </row>
    <row r="844" spans="1:4" x14ac:dyDescent="0.25">
      <c r="A844" s="1288">
        <v>99301</v>
      </c>
      <c r="B844" s="1288" t="s">
        <v>3487</v>
      </c>
      <c r="C844" s="1287">
        <v>983916.55</v>
      </c>
      <c r="D844" s="1288"/>
    </row>
    <row r="845" spans="1:4" x14ac:dyDescent="0.25">
      <c r="A845" s="1288">
        <v>99304</v>
      </c>
      <c r="B845" s="1288" t="s">
        <v>3488</v>
      </c>
      <c r="C845" s="1287">
        <v>9945.7199999999993</v>
      </c>
      <c r="D845" s="1288"/>
    </row>
    <row r="846" spans="1:4" x14ac:dyDescent="0.25">
      <c r="A846" s="1288">
        <v>99311</v>
      </c>
      <c r="B846" s="1288" t="s">
        <v>3489</v>
      </c>
      <c r="C846" s="1287">
        <v>32891.93</v>
      </c>
      <c r="D846" s="1288"/>
    </row>
    <row r="847" spans="1:4" x14ac:dyDescent="0.25">
      <c r="A847" s="1288">
        <v>99321</v>
      </c>
      <c r="B847" s="1288" t="s">
        <v>3490</v>
      </c>
      <c r="C847" s="1287">
        <v>68400.66</v>
      </c>
      <c r="D847" s="1288"/>
    </row>
    <row r="848" spans="1:4" x14ac:dyDescent="0.25">
      <c r="A848" s="1288">
        <v>99401</v>
      </c>
      <c r="B848" s="1288" t="s">
        <v>3491</v>
      </c>
      <c r="C848" s="1287">
        <v>505600.83</v>
      </c>
      <c r="D848" s="1288"/>
    </row>
    <row r="849" spans="1:4" x14ac:dyDescent="0.25">
      <c r="A849" s="1288">
        <v>99404</v>
      </c>
      <c r="B849" s="1288" t="s">
        <v>3492</v>
      </c>
      <c r="C849" s="1287">
        <v>7264.48</v>
      </c>
      <c r="D849" s="1288"/>
    </row>
    <row r="850" spans="1:4" x14ac:dyDescent="0.25">
      <c r="A850" s="1288">
        <v>99405</v>
      </c>
      <c r="B850" s="1288" t="s">
        <v>3493</v>
      </c>
      <c r="C850" s="1287">
        <v>46882.22</v>
      </c>
      <c r="D850" s="1288"/>
    </row>
    <row r="851" spans="1:4" x14ac:dyDescent="0.25">
      <c r="A851" s="1288">
        <v>99411</v>
      </c>
      <c r="B851" s="1288" t="s">
        <v>3494</v>
      </c>
      <c r="C851" s="1287">
        <v>119745.58</v>
      </c>
      <c r="D851" s="1288"/>
    </row>
    <row r="852" spans="1:4" x14ac:dyDescent="0.25">
      <c r="A852" s="1288">
        <v>99413</v>
      </c>
      <c r="B852" s="1288" t="s">
        <v>3495</v>
      </c>
      <c r="C852" s="1287">
        <v>29160.47</v>
      </c>
      <c r="D852" s="1288"/>
    </row>
    <row r="853" spans="1:4" x14ac:dyDescent="0.25">
      <c r="A853" s="1288">
        <v>99421</v>
      </c>
      <c r="B853" s="1288" t="s">
        <v>3496</v>
      </c>
      <c r="C853" s="1287">
        <v>6678.99</v>
      </c>
      <c r="D853" s="1288"/>
    </row>
    <row r="854" spans="1:4" x14ac:dyDescent="0.25">
      <c r="A854" s="1288">
        <v>99431</v>
      </c>
      <c r="B854" s="1288" t="s">
        <v>3497</v>
      </c>
      <c r="C854" s="1287">
        <v>10292.959999999999</v>
      </c>
      <c r="D854" s="1288"/>
    </row>
    <row r="855" spans="1:4" x14ac:dyDescent="0.25">
      <c r="A855" s="1288">
        <v>99501</v>
      </c>
      <c r="B855" s="1288" t="s">
        <v>3498</v>
      </c>
      <c r="C855" s="1287">
        <v>1107872.78</v>
      </c>
      <c r="D855" s="1288"/>
    </row>
    <row r="856" spans="1:4" x14ac:dyDescent="0.25">
      <c r="A856" s="1288">
        <v>99502</v>
      </c>
      <c r="B856" s="1288" t="s">
        <v>3499</v>
      </c>
      <c r="C856" s="1287">
        <v>91455.1</v>
      </c>
      <c r="D856" s="1288"/>
    </row>
    <row r="857" spans="1:4" x14ac:dyDescent="0.25">
      <c r="A857" s="1288">
        <v>99508</v>
      </c>
      <c r="B857" s="1288" t="s">
        <v>3500</v>
      </c>
      <c r="C857" s="1287">
        <v>12375</v>
      </c>
      <c r="D857" s="1288"/>
    </row>
    <row r="858" spans="1:4" x14ac:dyDescent="0.25">
      <c r="A858" s="1288">
        <v>99509</v>
      </c>
      <c r="B858" s="1288" t="s">
        <v>3501</v>
      </c>
      <c r="C858" s="1287">
        <v>15404.98</v>
      </c>
      <c r="D858" s="1288"/>
    </row>
    <row r="859" spans="1:4" x14ac:dyDescent="0.25">
      <c r="A859" s="1288">
        <v>99511</v>
      </c>
      <c r="B859" s="1288" t="s">
        <v>3502</v>
      </c>
      <c r="C859" s="1287">
        <v>778673.36</v>
      </c>
      <c r="D859" s="1288"/>
    </row>
    <row r="860" spans="1:4" x14ac:dyDescent="0.25">
      <c r="A860" s="1288">
        <v>99521</v>
      </c>
      <c r="B860" s="1288" t="s">
        <v>3503</v>
      </c>
      <c r="C860" s="1287">
        <v>261007.29</v>
      </c>
      <c r="D860" s="1288"/>
    </row>
    <row r="861" spans="1:4" x14ac:dyDescent="0.25">
      <c r="A861" s="1288">
        <v>99527</v>
      </c>
      <c r="B861" s="1288" t="s">
        <v>3504</v>
      </c>
      <c r="C861" s="1287">
        <v>8790.19</v>
      </c>
      <c r="D861" s="1288"/>
    </row>
    <row r="862" spans="1:4" x14ac:dyDescent="0.25">
      <c r="A862" s="1288">
        <v>99531</v>
      </c>
      <c r="B862" s="1288" t="s">
        <v>3505</v>
      </c>
      <c r="C862" s="1287">
        <v>58741.46</v>
      </c>
      <c r="D862" s="1288"/>
    </row>
    <row r="863" spans="1:4" x14ac:dyDescent="0.25">
      <c r="A863" s="1288">
        <v>99601</v>
      </c>
      <c r="B863" s="1288" t="s">
        <v>3506</v>
      </c>
      <c r="C863" s="1287">
        <v>3308221.92</v>
      </c>
      <c r="D863" s="1288"/>
    </row>
    <row r="864" spans="1:4" x14ac:dyDescent="0.25">
      <c r="A864" s="1288">
        <v>99602</v>
      </c>
      <c r="B864" s="1288" t="s">
        <v>3507</v>
      </c>
      <c r="C864" s="1287">
        <v>34247.919999999998</v>
      </c>
      <c r="D864" s="1288"/>
    </row>
    <row r="865" spans="1:4" x14ac:dyDescent="0.25">
      <c r="A865" s="1288">
        <v>99603</v>
      </c>
      <c r="B865" s="1288" t="s">
        <v>3508</v>
      </c>
      <c r="C865" s="1287">
        <v>108465.34</v>
      </c>
      <c r="D865" s="1288"/>
    </row>
    <row r="866" spans="1:4" x14ac:dyDescent="0.25">
      <c r="A866" s="1288">
        <v>99604</v>
      </c>
      <c r="B866" s="1288" t="s">
        <v>3509</v>
      </c>
      <c r="C866" s="1287">
        <v>73861.350000000006</v>
      </c>
      <c r="D866" s="1288"/>
    </row>
    <row r="867" spans="1:4" x14ac:dyDescent="0.25">
      <c r="A867" s="1288">
        <v>99609</v>
      </c>
      <c r="B867" s="1288" t="s">
        <v>3510</v>
      </c>
      <c r="C867" s="1287">
        <v>16784.11</v>
      </c>
      <c r="D867" s="1288"/>
    </row>
    <row r="868" spans="1:4" x14ac:dyDescent="0.25">
      <c r="A868" s="1288">
        <v>99610</v>
      </c>
      <c r="B868" s="1288" t="s">
        <v>3511</v>
      </c>
      <c r="C868" s="1287">
        <v>117083.56</v>
      </c>
      <c r="D868" s="1288"/>
    </row>
    <row r="869" spans="1:4" x14ac:dyDescent="0.25">
      <c r="A869" s="1288">
        <v>99611</v>
      </c>
      <c r="B869" s="1288" t="s">
        <v>3512</v>
      </c>
      <c r="C869" s="1287">
        <v>1946913.83</v>
      </c>
      <c r="D869" s="1288"/>
    </row>
    <row r="870" spans="1:4" x14ac:dyDescent="0.25">
      <c r="A870" s="1288">
        <v>99613</v>
      </c>
      <c r="B870" s="1288" t="s">
        <v>3513</v>
      </c>
      <c r="C870" s="1287">
        <v>208157.98</v>
      </c>
      <c r="D870" s="1288"/>
    </row>
    <row r="871" spans="1:4" x14ac:dyDescent="0.25">
      <c r="A871" s="1288">
        <v>99621</v>
      </c>
      <c r="B871" s="1288" t="s">
        <v>3514</v>
      </c>
      <c r="C871" s="1287">
        <v>224500.13</v>
      </c>
      <c r="D871" s="1288"/>
    </row>
    <row r="872" spans="1:4" x14ac:dyDescent="0.25">
      <c r="A872" s="1288">
        <v>99623</v>
      </c>
      <c r="B872" s="1288" t="s">
        <v>3515</v>
      </c>
      <c r="C872" s="1287">
        <v>11043.06</v>
      </c>
      <c r="D872" s="1288"/>
    </row>
    <row r="873" spans="1:4" x14ac:dyDescent="0.25">
      <c r="A873" s="1288">
        <v>99631</v>
      </c>
      <c r="B873" s="1288" t="s">
        <v>3516</v>
      </c>
      <c r="C873" s="1287">
        <v>52933.53</v>
      </c>
      <c r="D873" s="1288"/>
    </row>
    <row r="874" spans="1:4" x14ac:dyDescent="0.25">
      <c r="A874" s="1288">
        <v>99651</v>
      </c>
      <c r="B874" s="1288" t="s">
        <v>3517</v>
      </c>
      <c r="C874" s="1287">
        <v>36842.94</v>
      </c>
      <c r="D874" s="1288"/>
    </row>
    <row r="875" spans="1:4" x14ac:dyDescent="0.25">
      <c r="A875" s="1288">
        <v>99661</v>
      </c>
      <c r="B875" s="1288" t="s">
        <v>3518</v>
      </c>
      <c r="C875" s="1287">
        <v>28850.38</v>
      </c>
      <c r="D875" s="1288"/>
    </row>
    <row r="876" spans="1:4" x14ac:dyDescent="0.25">
      <c r="A876" s="1288">
        <v>99701</v>
      </c>
      <c r="B876" s="1288" t="s">
        <v>3519</v>
      </c>
      <c r="C876" s="1287">
        <v>1872812.06</v>
      </c>
      <c r="D876" s="1288"/>
    </row>
    <row r="877" spans="1:4" x14ac:dyDescent="0.25">
      <c r="A877" s="1288">
        <v>99705</v>
      </c>
      <c r="B877" s="1288" t="s">
        <v>3520</v>
      </c>
      <c r="C877" s="1287">
        <v>128698.92</v>
      </c>
      <c r="D877" s="1288"/>
    </row>
    <row r="878" spans="1:4" x14ac:dyDescent="0.25">
      <c r="A878" s="1288">
        <v>99711</v>
      </c>
      <c r="B878" s="1288" t="s">
        <v>3521</v>
      </c>
      <c r="C878" s="1287">
        <v>276702.59000000003</v>
      </c>
      <c r="D878" s="1288"/>
    </row>
    <row r="879" spans="1:4" x14ac:dyDescent="0.25">
      <c r="A879" s="1288">
        <v>99717</v>
      </c>
      <c r="B879" s="1288" t="s">
        <v>3522</v>
      </c>
      <c r="C879" s="1287">
        <v>11064.39</v>
      </c>
      <c r="D879" s="1288"/>
    </row>
    <row r="880" spans="1:4" x14ac:dyDescent="0.25">
      <c r="A880" s="1288">
        <v>99721</v>
      </c>
      <c r="B880" s="1288" t="s">
        <v>3523</v>
      </c>
      <c r="C880" s="1287">
        <v>359503.97</v>
      </c>
      <c r="D880" s="1288"/>
    </row>
    <row r="881" spans="1:4" x14ac:dyDescent="0.25">
      <c r="A881" s="1288">
        <v>99727</v>
      </c>
      <c r="B881" s="1288" t="s">
        <v>3524</v>
      </c>
      <c r="C881" s="1287">
        <v>17477.560000000001</v>
      </c>
      <c r="D881" s="1288"/>
    </row>
    <row r="882" spans="1:4" x14ac:dyDescent="0.25">
      <c r="A882" s="1288">
        <v>99801</v>
      </c>
      <c r="B882" s="1288" t="s">
        <v>3525</v>
      </c>
      <c r="C882" s="1287">
        <v>2851736.99</v>
      </c>
      <c r="D882" s="1288"/>
    </row>
    <row r="883" spans="1:4" x14ac:dyDescent="0.25">
      <c r="A883" s="1288">
        <v>99802</v>
      </c>
      <c r="B883" s="1288" t="s">
        <v>3526</v>
      </c>
      <c r="C883" s="1287">
        <v>9348.1200000000008</v>
      </c>
      <c r="D883" s="1288"/>
    </row>
    <row r="884" spans="1:4" x14ac:dyDescent="0.25">
      <c r="A884" s="1288">
        <v>99804</v>
      </c>
      <c r="B884" s="1288" t="s">
        <v>3527</v>
      </c>
      <c r="C884" s="1287">
        <v>62552.73</v>
      </c>
      <c r="D884" s="1288"/>
    </row>
    <row r="885" spans="1:4" x14ac:dyDescent="0.25">
      <c r="A885" s="1288">
        <v>99811</v>
      </c>
      <c r="B885" s="1288" t="s">
        <v>3528</v>
      </c>
      <c r="C885" s="1287">
        <v>3849361.85</v>
      </c>
      <c r="D885" s="1288"/>
    </row>
    <row r="886" spans="1:4" x14ac:dyDescent="0.25">
      <c r="A886" s="1288">
        <v>99812</v>
      </c>
      <c r="B886" s="1288" t="s">
        <v>3529</v>
      </c>
      <c r="C886" s="1287">
        <v>26972.04</v>
      </c>
      <c r="D886" s="1288"/>
    </row>
    <row r="887" spans="1:4" x14ac:dyDescent="0.25">
      <c r="A887" s="1288">
        <v>99818</v>
      </c>
      <c r="B887" s="1288" t="s">
        <v>3530</v>
      </c>
      <c r="C887" s="1287">
        <v>20610.41</v>
      </c>
      <c r="D887" s="1288"/>
    </row>
    <row r="888" spans="1:4" x14ac:dyDescent="0.25">
      <c r="A888" s="1288">
        <v>99821</v>
      </c>
      <c r="B888" s="1288" t="s">
        <v>3531</v>
      </c>
      <c r="C888" s="1287">
        <v>64459.61</v>
      </c>
      <c r="D888" s="1288"/>
    </row>
    <row r="889" spans="1:4" x14ac:dyDescent="0.25">
      <c r="A889" s="1288">
        <v>99831</v>
      </c>
      <c r="B889" s="1288" t="s">
        <v>3532</v>
      </c>
      <c r="C889" s="1287">
        <v>37746.449999999997</v>
      </c>
      <c r="D889" s="1288"/>
    </row>
    <row r="890" spans="1:4" x14ac:dyDescent="0.25">
      <c r="A890" s="1288">
        <v>99841</v>
      </c>
      <c r="B890" s="1288" t="s">
        <v>3533</v>
      </c>
      <c r="C890" s="1287">
        <v>31425.8</v>
      </c>
      <c r="D890" s="1288"/>
    </row>
    <row r="891" spans="1:4" x14ac:dyDescent="0.25">
      <c r="A891" s="1288">
        <v>99851</v>
      </c>
      <c r="B891" s="1288" t="s">
        <v>3534</v>
      </c>
      <c r="C891" s="1287">
        <v>4050.12</v>
      </c>
      <c r="D891" s="1288"/>
    </row>
    <row r="892" spans="1:4" x14ac:dyDescent="0.25">
      <c r="A892" s="1288">
        <v>99901</v>
      </c>
      <c r="B892" s="1288" t="s">
        <v>3535</v>
      </c>
      <c r="C892" s="1287">
        <v>953860.93</v>
      </c>
      <c r="D892" s="1288"/>
    </row>
    <row r="893" spans="1:4" x14ac:dyDescent="0.25">
      <c r="A893" s="1288">
        <v>99911</v>
      </c>
      <c r="B893" s="1288" t="s">
        <v>3536</v>
      </c>
      <c r="C893" s="1287">
        <v>171194.43</v>
      </c>
      <c r="D893" s="1288"/>
    </row>
    <row r="894" spans="1:4" x14ac:dyDescent="0.25">
      <c r="A894" s="1288">
        <v>99921</v>
      </c>
      <c r="B894" s="1288" t="s">
        <v>3537</v>
      </c>
      <c r="C894" s="1287">
        <v>91104.93</v>
      </c>
      <c r="D894" s="1288"/>
    </row>
    <row r="895" spans="1:4" x14ac:dyDescent="0.25">
      <c r="A895" s="1288">
        <v>99931</v>
      </c>
      <c r="B895" s="1288" t="s">
        <v>3538</v>
      </c>
      <c r="C895" s="1287">
        <v>15266.98</v>
      </c>
      <c r="D895" s="1288"/>
    </row>
    <row r="896" spans="1:4" x14ac:dyDescent="0.25">
      <c r="A896" s="1288">
        <v>99941</v>
      </c>
      <c r="B896" s="1288" t="s">
        <v>3539</v>
      </c>
      <c r="C896" s="1287">
        <v>34964.39</v>
      </c>
      <c r="D896" s="1288"/>
    </row>
    <row r="897" spans="1:13" x14ac:dyDescent="0.25">
      <c r="A897" s="1288">
        <v>99991</v>
      </c>
      <c r="B897" s="1288" t="s">
        <v>3540</v>
      </c>
      <c r="C897" s="1287">
        <v>303961.75</v>
      </c>
      <c r="D897" s="1288"/>
    </row>
    <row r="898" spans="1:13" x14ac:dyDescent="0.25">
      <c r="A898" s="1288">
        <v>99999</v>
      </c>
      <c r="B898" s="1288" t="s">
        <v>3541</v>
      </c>
      <c r="C898" s="1287">
        <v>715923.24</v>
      </c>
      <c r="D898" s="1288"/>
    </row>
    <row r="899" spans="1:13" x14ac:dyDescent="0.25">
      <c r="F899" s="1287"/>
      <c r="M899" s="1289"/>
    </row>
    <row r="924" spans="1:15" s="1285" customFormat="1" x14ac:dyDescent="0.25">
      <c r="A924" s="1285" t="s">
        <v>4818</v>
      </c>
      <c r="C924" s="1299"/>
      <c r="E924" s="1288"/>
      <c r="F924" s="1288"/>
      <c r="G924" s="1288"/>
      <c r="H924" s="1288"/>
      <c r="I924" s="1288"/>
      <c r="J924" s="1288"/>
      <c r="K924" s="1288"/>
      <c r="L924" s="1288"/>
      <c r="M924" s="1288"/>
      <c r="N924" s="1288"/>
      <c r="O924" s="1288"/>
    </row>
    <row r="925" spans="1:15" s="1285" customFormat="1" x14ac:dyDescent="0.25">
      <c r="A925" s="1285">
        <v>91119</v>
      </c>
      <c r="B925" s="1285" t="s">
        <v>1289</v>
      </c>
      <c r="C925" s="1299">
        <v>0</v>
      </c>
      <c r="E925" s="1288"/>
      <c r="F925" s="1288"/>
      <c r="G925" s="1288"/>
      <c r="H925" s="1288"/>
      <c r="I925" s="1288"/>
      <c r="J925" s="1288"/>
      <c r="K925" s="1288"/>
      <c r="L925" s="1288"/>
      <c r="M925" s="1288"/>
      <c r="N925" s="1288"/>
      <c r="O925" s="1288"/>
    </row>
    <row r="926" spans="1:15" s="1285" customFormat="1" x14ac:dyDescent="0.25">
      <c r="A926" s="1285">
        <v>92414</v>
      </c>
      <c r="B926" s="1285" t="s">
        <v>4278</v>
      </c>
      <c r="C926" s="1299">
        <v>0</v>
      </c>
      <c r="E926" s="1288"/>
      <c r="F926" s="1288"/>
      <c r="G926" s="1288"/>
      <c r="H926" s="1288"/>
      <c r="I926" s="1288"/>
      <c r="J926" s="1288"/>
      <c r="K926" s="1288"/>
      <c r="L926" s="1288"/>
      <c r="M926" s="1288"/>
      <c r="N926" s="1288"/>
      <c r="O926" s="1288"/>
    </row>
    <row r="927" spans="1:15" s="1285" customFormat="1" x14ac:dyDescent="0.25">
      <c r="A927" s="1285">
        <v>92608</v>
      </c>
      <c r="B927" s="1285" t="s">
        <v>2899</v>
      </c>
      <c r="C927" s="1299">
        <v>0</v>
      </c>
      <c r="E927" s="1288"/>
      <c r="F927" s="1288"/>
      <c r="G927" s="1288"/>
      <c r="H927" s="1288"/>
      <c r="I927" s="1288"/>
      <c r="J927" s="1288"/>
      <c r="K927" s="1288"/>
      <c r="L927" s="1288"/>
      <c r="M927" s="1288"/>
      <c r="N927" s="1288"/>
      <c r="O927" s="1288"/>
    </row>
    <row r="928" spans="1:15" s="1285" customFormat="1" x14ac:dyDescent="0.25">
      <c r="A928" s="1285">
        <v>93408</v>
      </c>
      <c r="B928" s="1285" t="s">
        <v>2969</v>
      </c>
      <c r="C928" s="1299">
        <v>0</v>
      </c>
      <c r="E928" s="1288"/>
      <c r="F928" s="1288"/>
      <c r="G928" s="1288"/>
      <c r="H928" s="1288"/>
      <c r="I928" s="1288"/>
      <c r="J928" s="1288"/>
      <c r="K928" s="1288"/>
      <c r="L928" s="1288"/>
      <c r="M928" s="1288"/>
      <c r="N928" s="1288"/>
      <c r="O928" s="1288"/>
    </row>
    <row r="929" spans="1:15" s="1285" customFormat="1" x14ac:dyDescent="0.25">
      <c r="A929" s="1285">
        <v>94402</v>
      </c>
      <c r="B929" s="1285" t="s">
        <v>3064</v>
      </c>
      <c r="C929" s="1299">
        <v>0</v>
      </c>
      <c r="E929" s="1288"/>
      <c r="F929" s="1288"/>
      <c r="G929" s="1288"/>
      <c r="H929" s="1288"/>
      <c r="I929" s="1288"/>
      <c r="J929" s="1288"/>
      <c r="K929" s="1288"/>
      <c r="L929" s="1288"/>
      <c r="M929" s="1288"/>
      <c r="N929" s="1288"/>
      <c r="O929" s="1288"/>
    </row>
    <row r="930" spans="1:15" s="1285" customFormat="1" x14ac:dyDescent="0.25">
      <c r="A930" s="1285">
        <v>95412</v>
      </c>
      <c r="B930" s="1285" t="s">
        <v>3144</v>
      </c>
      <c r="C930" s="1299">
        <v>0</v>
      </c>
      <c r="E930" s="1288"/>
      <c r="F930" s="1288"/>
      <c r="G930" s="1288"/>
      <c r="H930" s="1288"/>
      <c r="I930" s="1288"/>
      <c r="J930" s="1288"/>
      <c r="K930" s="1288"/>
      <c r="L930" s="1288"/>
      <c r="M930" s="1288"/>
      <c r="N930" s="1288"/>
      <c r="O930" s="1288"/>
    </row>
    <row r="931" spans="1:15" s="1285" customFormat="1" x14ac:dyDescent="0.25">
      <c r="A931" s="1285">
        <v>93202</v>
      </c>
      <c r="B931" s="1285" t="s">
        <v>2948</v>
      </c>
      <c r="C931" s="1299">
        <v>0</v>
      </c>
      <c r="E931" s="1288"/>
      <c r="F931" s="1288"/>
      <c r="G931" s="1288"/>
      <c r="H931" s="1288"/>
      <c r="I931" s="1288"/>
      <c r="J931" s="1288"/>
      <c r="K931" s="1288"/>
      <c r="L931" s="1288"/>
      <c r="M931" s="1288"/>
      <c r="N931" s="1288"/>
      <c r="O931" s="1288"/>
    </row>
    <row r="932" spans="1:15" s="1285" customFormat="1" x14ac:dyDescent="0.25">
      <c r="A932" s="1285">
        <v>93677</v>
      </c>
      <c r="B932" s="1285" t="s">
        <v>1522</v>
      </c>
      <c r="C932" s="1299">
        <v>0</v>
      </c>
      <c r="E932" s="1288"/>
      <c r="F932" s="1288"/>
      <c r="G932" s="1288"/>
      <c r="H932" s="1288"/>
      <c r="I932" s="1288"/>
      <c r="J932" s="1288"/>
      <c r="K932" s="1288"/>
      <c r="L932" s="1288"/>
      <c r="M932" s="1288"/>
      <c r="N932" s="1288"/>
      <c r="O932" s="1288"/>
    </row>
    <row r="933" spans="1:15" s="1285" customFormat="1" x14ac:dyDescent="0.25">
      <c r="A933" s="1285">
        <v>94512</v>
      </c>
      <c r="B933" s="1285" t="s">
        <v>3075</v>
      </c>
      <c r="C933" s="1299">
        <v>0</v>
      </c>
      <c r="E933" s="1288"/>
      <c r="F933" s="1288"/>
      <c r="G933" s="1288"/>
      <c r="H933" s="1288"/>
      <c r="I933" s="1288"/>
      <c r="J933" s="1288"/>
      <c r="K933" s="1288"/>
      <c r="L933" s="1288"/>
      <c r="M933" s="1288"/>
      <c r="N933" s="1288"/>
      <c r="O933" s="1288"/>
    </row>
    <row r="934" spans="1:15" s="1285" customFormat="1" x14ac:dyDescent="0.25">
      <c r="A934" s="1285">
        <v>97010</v>
      </c>
      <c r="B934" s="1285" t="s">
        <v>3276</v>
      </c>
      <c r="C934" s="1299">
        <v>0</v>
      </c>
      <c r="E934" s="1288"/>
      <c r="F934" s="1288"/>
      <c r="G934" s="1288"/>
      <c r="H934" s="1288"/>
      <c r="I934" s="1288"/>
      <c r="J934" s="1288"/>
      <c r="K934" s="1288"/>
      <c r="L934" s="1288"/>
      <c r="M934" s="1288"/>
      <c r="N934" s="1288"/>
      <c r="O934" s="1288"/>
    </row>
    <row r="935" spans="1:15" s="1285" customFormat="1" x14ac:dyDescent="0.25">
      <c r="A935" s="1285">
        <v>97491</v>
      </c>
      <c r="B935" s="1285" t="s">
        <v>4374</v>
      </c>
      <c r="C935" s="1299"/>
      <c r="E935" s="1288"/>
      <c r="F935" s="1288"/>
      <c r="G935" s="1288"/>
      <c r="H935" s="1288"/>
      <c r="I935" s="1288"/>
      <c r="J935" s="1288"/>
      <c r="K935" s="1288"/>
      <c r="L935" s="1288"/>
      <c r="M935" s="1288"/>
      <c r="N935" s="1288"/>
      <c r="O935" s="1288"/>
    </row>
    <row r="2362" spans="1:15" s="1285" customFormat="1" x14ac:dyDescent="0.25">
      <c r="A2362" s="1300"/>
      <c r="C2362" s="1299"/>
      <c r="E2362" s="1288"/>
      <c r="F2362" s="1288"/>
      <c r="G2362" s="1288"/>
      <c r="H2362" s="1288"/>
      <c r="I2362" s="1288"/>
      <c r="J2362" s="1288"/>
      <c r="K2362" s="1288"/>
      <c r="L2362" s="1288"/>
      <c r="M2362" s="1288"/>
      <c r="N2362" s="1288"/>
      <c r="O2362" s="1288"/>
    </row>
  </sheetData>
  <sheetProtection algorithmName="SHA-512" hashValue="gkVJhBFKOz/fX/sCcqzCFLJXFMN5ZVJtDd48EEpHq2Nz0O/1mM5RGHpQAYS5gEFeK/Hslhrp5Ctpkbsu6cBu0g==" saltValue="hJntFXIFE8O7DCAiLu8lIw==" spinCount="100000" sheet="1" objects="1" scenarios="1"/>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U1811"/>
  <sheetViews>
    <sheetView zoomScaleNormal="100" workbookViewId="0">
      <selection activeCell="A900" sqref="A1:XFD1048576"/>
    </sheetView>
  </sheetViews>
  <sheetFormatPr defaultColWidth="9.140625" defaultRowHeight="15" x14ac:dyDescent="0.25"/>
  <cols>
    <col min="1" max="1" width="10.5703125" style="959" customWidth="1"/>
    <col min="2" max="2" width="43.7109375" style="959" customWidth="1"/>
    <col min="3" max="4" width="13.85546875" style="959" customWidth="1"/>
    <col min="5" max="5" width="13.85546875" style="985" customWidth="1"/>
    <col min="6" max="6" width="18.28515625" style="959" customWidth="1"/>
    <col min="7" max="7" width="3.85546875" style="959" customWidth="1"/>
    <col min="8" max="8" width="18.28515625" style="959" customWidth="1"/>
    <col min="9" max="9" width="20" style="960" customWidth="1"/>
    <col min="10" max="10" width="14.42578125" style="959" customWidth="1"/>
    <col min="11" max="11" width="19.42578125" style="959" customWidth="1"/>
    <col min="12" max="12" width="20" style="960" customWidth="1"/>
    <col min="13" max="13" width="3.85546875" style="959" customWidth="1"/>
    <col min="14" max="14" width="18.28515625" style="959" customWidth="1"/>
    <col min="15" max="15" width="11.85546875" style="959" customWidth="1"/>
    <col min="16" max="16" width="19.42578125" style="959" customWidth="1"/>
    <col min="17" max="17" width="20" style="960" customWidth="1"/>
    <col min="18" max="18" width="3.85546875" style="959" customWidth="1"/>
    <col min="19" max="19" width="13.85546875" style="959" customWidth="1"/>
    <col min="20" max="20" width="22.42578125" style="959" customWidth="1"/>
    <col min="21" max="21" width="14.85546875" style="959" bestFit="1" customWidth="1"/>
    <col min="22" max="16384" width="9.140625" style="959"/>
  </cols>
  <sheetData>
    <row r="1" spans="1:21" x14ac:dyDescent="0.25">
      <c r="A1" s="959" t="s">
        <v>3677</v>
      </c>
      <c r="I1" s="959"/>
    </row>
    <row r="2" spans="1:21" x14ac:dyDescent="0.25">
      <c r="A2" s="959" t="s">
        <v>3678</v>
      </c>
      <c r="I2" s="959"/>
    </row>
    <row r="3" spans="1:21" x14ac:dyDescent="0.25">
      <c r="I3" s="959"/>
    </row>
    <row r="4" spans="1:21" x14ac:dyDescent="0.25">
      <c r="H4" s="961" t="s">
        <v>1171</v>
      </c>
      <c r="I4" s="961"/>
      <c r="J4" s="961"/>
      <c r="K4" s="961"/>
      <c r="L4" s="962"/>
      <c r="N4" s="961" t="s">
        <v>1172</v>
      </c>
      <c r="O4" s="961"/>
      <c r="P4" s="961"/>
      <c r="Q4" s="962"/>
      <c r="S4" s="961" t="s">
        <v>1173</v>
      </c>
      <c r="T4" s="961"/>
      <c r="U4" s="961"/>
    </row>
    <row r="5" spans="1:21" ht="120" x14ac:dyDescent="0.25">
      <c r="A5" s="963" t="s">
        <v>1174</v>
      </c>
      <c r="B5" s="963" t="s">
        <v>1175</v>
      </c>
      <c r="C5" s="963" t="s">
        <v>2113</v>
      </c>
      <c r="D5" s="963" t="s">
        <v>2114</v>
      </c>
      <c r="E5" s="986" t="s">
        <v>3971</v>
      </c>
      <c r="F5" s="963" t="s">
        <v>2055</v>
      </c>
      <c r="G5" s="963"/>
      <c r="H5" s="963" t="s">
        <v>1177</v>
      </c>
      <c r="I5" s="964" t="s">
        <v>1178</v>
      </c>
      <c r="J5" s="963" t="s">
        <v>1179</v>
      </c>
      <c r="K5" s="963" t="s">
        <v>1180</v>
      </c>
      <c r="L5" s="964" t="s">
        <v>3679</v>
      </c>
      <c r="M5" s="963"/>
      <c r="N5" s="963" t="s">
        <v>1177</v>
      </c>
      <c r="O5" s="963" t="s">
        <v>1179</v>
      </c>
      <c r="P5" s="963" t="s">
        <v>1180</v>
      </c>
      <c r="Q5" s="964" t="s">
        <v>3680</v>
      </c>
      <c r="R5" s="963"/>
      <c r="S5" s="963" t="s">
        <v>1181</v>
      </c>
      <c r="T5" s="963" t="s">
        <v>1182</v>
      </c>
      <c r="U5" s="963" t="s">
        <v>1183</v>
      </c>
    </row>
    <row r="6" spans="1:21" x14ac:dyDescent="0.25">
      <c r="A6" s="965" t="s">
        <v>837</v>
      </c>
      <c r="B6" s="966" t="s">
        <v>2112</v>
      </c>
      <c r="C6" s="963"/>
      <c r="D6" s="963"/>
      <c r="E6" s="986">
        <v>0</v>
      </c>
      <c r="F6" s="963"/>
      <c r="G6" s="963"/>
      <c r="H6" s="963"/>
      <c r="I6" s="964"/>
      <c r="J6" s="963"/>
      <c r="K6" s="963"/>
      <c r="L6" s="964"/>
      <c r="M6" s="963"/>
      <c r="N6" s="963"/>
      <c r="O6" s="963"/>
      <c r="P6" s="963"/>
      <c r="Q6" s="964"/>
      <c r="R6" s="963"/>
      <c r="S6" s="963"/>
      <c r="T6" s="963"/>
      <c r="U6" s="963"/>
    </row>
    <row r="7" spans="1:21" x14ac:dyDescent="0.25">
      <c r="A7" s="967">
        <v>70505</v>
      </c>
      <c r="B7" s="968" t="s">
        <v>2653</v>
      </c>
      <c r="C7" s="969">
        <v>4.147E-4</v>
      </c>
      <c r="D7" s="969">
        <v>4.6880000000000001E-4</v>
      </c>
      <c r="E7" s="986">
        <v>195765</v>
      </c>
      <c r="F7" s="970">
        <v>633547</v>
      </c>
      <c r="G7" s="970"/>
      <c r="H7" s="971">
        <v>36498</v>
      </c>
      <c r="I7" s="972">
        <v>153826</v>
      </c>
      <c r="J7" s="971">
        <v>90479</v>
      </c>
      <c r="K7" s="970">
        <v>0</v>
      </c>
      <c r="L7" s="972">
        <f t="shared" ref="L7:L70" si="0">H7+I7+J7+K7</f>
        <v>280803</v>
      </c>
      <c r="M7" s="970"/>
      <c r="N7" s="971">
        <v>17934</v>
      </c>
      <c r="O7" s="971">
        <v>0</v>
      </c>
      <c r="P7" s="970">
        <v>53472</v>
      </c>
      <c r="Q7" s="972">
        <f t="shared" ref="Q7:Q70" si="1">N7+O7+P7</f>
        <v>71406</v>
      </c>
      <c r="R7" s="970"/>
      <c r="S7" s="971">
        <v>213506</v>
      </c>
      <c r="T7" s="973">
        <v>-18259</v>
      </c>
      <c r="U7" s="973">
        <v>195247</v>
      </c>
    </row>
    <row r="8" spans="1:21" x14ac:dyDescent="0.25">
      <c r="A8" s="967">
        <v>72265</v>
      </c>
      <c r="B8" s="968" t="s">
        <v>2655</v>
      </c>
      <c r="C8" s="969">
        <v>1.4009999999999999E-4</v>
      </c>
      <c r="D8" s="969">
        <v>1.327E-4</v>
      </c>
      <c r="E8" s="986">
        <v>61817</v>
      </c>
      <c r="F8" s="970">
        <v>214034</v>
      </c>
      <c r="G8" s="970"/>
      <c r="H8" s="971">
        <v>12330</v>
      </c>
      <c r="I8" s="972">
        <v>51967</v>
      </c>
      <c r="J8" s="971">
        <v>30567</v>
      </c>
      <c r="K8" s="970">
        <v>6550</v>
      </c>
      <c r="L8" s="972">
        <f t="shared" si="0"/>
        <v>101414</v>
      </c>
      <c r="M8" s="970"/>
      <c r="N8" s="971">
        <v>6059</v>
      </c>
      <c r="O8" s="971">
        <v>0</v>
      </c>
      <c r="P8" s="970">
        <v>3729</v>
      </c>
      <c r="Q8" s="972">
        <f t="shared" si="1"/>
        <v>9788</v>
      </c>
      <c r="R8" s="970"/>
      <c r="S8" s="971">
        <v>72130</v>
      </c>
      <c r="T8" s="973">
        <v>3031</v>
      </c>
      <c r="U8" s="973">
        <v>75161</v>
      </c>
    </row>
    <row r="9" spans="1:21" x14ac:dyDescent="0.25">
      <c r="A9" s="967">
        <v>72593</v>
      </c>
      <c r="B9" s="968" t="s">
        <v>3681</v>
      </c>
      <c r="C9" s="969">
        <v>5.9000000000000003E-6</v>
      </c>
      <c r="D9" s="969">
        <v>0</v>
      </c>
      <c r="E9" s="986">
        <v>1531</v>
      </c>
      <c r="F9" s="970">
        <v>9014</v>
      </c>
      <c r="G9" s="970"/>
      <c r="H9" s="971">
        <v>519</v>
      </c>
      <c r="I9" s="972">
        <v>2188</v>
      </c>
      <c r="J9" s="971">
        <v>1287</v>
      </c>
      <c r="K9" s="970">
        <v>3014</v>
      </c>
      <c r="L9" s="972">
        <f t="shared" si="0"/>
        <v>7008</v>
      </c>
      <c r="M9" s="970"/>
      <c r="N9" s="971">
        <v>255</v>
      </c>
      <c r="O9" s="971">
        <v>0</v>
      </c>
      <c r="P9" s="970">
        <v>0</v>
      </c>
      <c r="Q9" s="972">
        <f t="shared" si="1"/>
        <v>255</v>
      </c>
      <c r="R9" s="970"/>
      <c r="S9" s="971">
        <v>3038</v>
      </c>
      <c r="T9" s="973">
        <v>753</v>
      </c>
      <c r="U9" s="973">
        <v>3791</v>
      </c>
    </row>
    <row r="10" spans="1:21" x14ac:dyDescent="0.25">
      <c r="A10" s="967">
        <v>72657</v>
      </c>
      <c r="B10" s="968" t="s">
        <v>2656</v>
      </c>
      <c r="C10" s="969">
        <v>3.9900000000000001E-5</v>
      </c>
      <c r="D10" s="969">
        <v>4.2799999999999997E-5</v>
      </c>
      <c r="E10" s="986">
        <v>16620</v>
      </c>
      <c r="F10" s="970">
        <v>60956</v>
      </c>
      <c r="G10" s="970"/>
      <c r="H10" s="971">
        <v>3512</v>
      </c>
      <c r="I10" s="972">
        <v>14801</v>
      </c>
      <c r="J10" s="971">
        <v>8705</v>
      </c>
      <c r="K10" s="970">
        <v>3272</v>
      </c>
      <c r="L10" s="972">
        <f t="shared" si="0"/>
        <v>30290</v>
      </c>
      <c r="M10" s="970"/>
      <c r="N10" s="971">
        <v>1725</v>
      </c>
      <c r="O10" s="971">
        <v>0</v>
      </c>
      <c r="P10" s="970">
        <v>6366</v>
      </c>
      <c r="Q10" s="972">
        <f t="shared" si="1"/>
        <v>8091</v>
      </c>
      <c r="R10" s="970"/>
      <c r="S10" s="971">
        <v>20542</v>
      </c>
      <c r="T10" s="973">
        <v>900</v>
      </c>
      <c r="U10" s="973">
        <v>21442</v>
      </c>
    </row>
    <row r="11" spans="1:21" x14ac:dyDescent="0.25">
      <c r="A11" s="967">
        <v>90001</v>
      </c>
      <c r="B11" s="968" t="s">
        <v>2657</v>
      </c>
      <c r="C11" s="969">
        <v>8.6030000000000004E-4</v>
      </c>
      <c r="D11" s="969">
        <v>8.6910000000000004E-4</v>
      </c>
      <c r="E11" s="986">
        <v>386652</v>
      </c>
      <c r="F11" s="970">
        <v>1314300</v>
      </c>
      <c r="G11" s="970"/>
      <c r="H11" s="971">
        <v>75716</v>
      </c>
      <c r="I11" s="972">
        <v>319114</v>
      </c>
      <c r="J11" s="971">
        <v>187700</v>
      </c>
      <c r="K11" s="970">
        <v>11972</v>
      </c>
      <c r="L11" s="972">
        <f t="shared" si="0"/>
        <v>594502</v>
      </c>
      <c r="M11" s="970"/>
      <c r="N11" s="971">
        <v>37204</v>
      </c>
      <c r="O11" s="971">
        <v>0</v>
      </c>
      <c r="P11" s="970">
        <v>15474</v>
      </c>
      <c r="Q11" s="972">
        <f t="shared" si="1"/>
        <v>52678</v>
      </c>
      <c r="R11" s="970"/>
      <c r="S11" s="971">
        <v>442920</v>
      </c>
      <c r="T11" s="973">
        <v>891</v>
      </c>
      <c r="U11" s="973">
        <f>443812-1</f>
        <v>443811</v>
      </c>
    </row>
    <row r="12" spans="1:21" x14ac:dyDescent="0.25">
      <c r="A12" s="967">
        <v>90002</v>
      </c>
      <c r="B12" s="968" t="s">
        <v>2658</v>
      </c>
      <c r="C12" s="969">
        <v>1.06E-5</v>
      </c>
      <c r="D12" s="969">
        <v>1.15E-5</v>
      </c>
      <c r="E12" s="986">
        <v>6253</v>
      </c>
      <c r="F12" s="970">
        <v>16194</v>
      </c>
      <c r="G12" s="970"/>
      <c r="H12" s="971">
        <v>933</v>
      </c>
      <c r="I12" s="972">
        <v>3932</v>
      </c>
      <c r="J12" s="971">
        <v>2313</v>
      </c>
      <c r="K12" s="970">
        <v>1497</v>
      </c>
      <c r="L12" s="972">
        <f t="shared" si="0"/>
        <v>8675</v>
      </c>
      <c r="M12" s="970"/>
      <c r="N12" s="971">
        <v>458</v>
      </c>
      <c r="O12" s="971">
        <v>0</v>
      </c>
      <c r="P12" s="970">
        <v>0</v>
      </c>
      <c r="Q12" s="972">
        <f t="shared" si="1"/>
        <v>458</v>
      </c>
      <c r="R12" s="970"/>
      <c r="S12" s="971">
        <v>5457</v>
      </c>
      <c r="T12" s="973">
        <v>563</v>
      </c>
      <c r="U12" s="973">
        <v>6020</v>
      </c>
    </row>
    <row r="13" spans="1:21" x14ac:dyDescent="0.25">
      <c r="A13" s="967">
        <v>90011</v>
      </c>
      <c r="B13" s="968" t="s">
        <v>2659</v>
      </c>
      <c r="C13" s="969">
        <v>1.974E-4</v>
      </c>
      <c r="D13" s="969">
        <v>2.0819999999999999E-4</v>
      </c>
      <c r="E13" s="986">
        <v>84205</v>
      </c>
      <c r="F13" s="970">
        <v>301573</v>
      </c>
      <c r="G13" s="970"/>
      <c r="H13" s="971">
        <v>17373</v>
      </c>
      <c r="I13" s="972">
        <v>73222</v>
      </c>
      <c r="J13" s="971">
        <v>43069</v>
      </c>
      <c r="K13" s="970">
        <v>2300</v>
      </c>
      <c r="L13" s="972">
        <f t="shared" si="0"/>
        <v>135964</v>
      </c>
      <c r="M13" s="970"/>
      <c r="N13" s="971">
        <v>8537</v>
      </c>
      <c r="O13" s="971">
        <v>0</v>
      </c>
      <c r="P13" s="970">
        <v>30094</v>
      </c>
      <c r="Q13" s="972">
        <f t="shared" si="1"/>
        <v>38631</v>
      </c>
      <c r="R13" s="970"/>
      <c r="S13" s="971">
        <v>101630</v>
      </c>
      <c r="T13" s="973">
        <v>-7615</v>
      </c>
      <c r="U13" s="973">
        <v>94015</v>
      </c>
    </row>
    <row r="14" spans="1:21" x14ac:dyDescent="0.25">
      <c r="A14" s="967">
        <v>90092</v>
      </c>
      <c r="B14" s="968" t="s">
        <v>2660</v>
      </c>
      <c r="C14" s="969">
        <v>3.5349999999999997E-4</v>
      </c>
      <c r="D14" s="969">
        <v>3.946E-4</v>
      </c>
      <c r="E14" s="986">
        <v>186641</v>
      </c>
      <c r="F14" s="970">
        <v>540050</v>
      </c>
      <c r="G14" s="970"/>
      <c r="H14" s="971">
        <v>31112</v>
      </c>
      <c r="I14" s="972">
        <v>131125</v>
      </c>
      <c r="J14" s="971">
        <v>77127</v>
      </c>
      <c r="K14" s="970">
        <v>0</v>
      </c>
      <c r="L14" s="972">
        <f t="shared" si="0"/>
        <v>239364</v>
      </c>
      <c r="M14" s="970"/>
      <c r="N14" s="971">
        <v>15287</v>
      </c>
      <c r="O14" s="971">
        <v>0</v>
      </c>
      <c r="P14" s="970">
        <v>83168</v>
      </c>
      <c r="Q14" s="972">
        <f t="shared" si="1"/>
        <v>98455</v>
      </c>
      <c r="R14" s="970"/>
      <c r="S14" s="971">
        <v>181997</v>
      </c>
      <c r="T14" s="973">
        <v>-42793</v>
      </c>
      <c r="U14" s="973">
        <f>139205-1</f>
        <v>139204</v>
      </c>
    </row>
    <row r="15" spans="1:21" x14ac:dyDescent="0.25">
      <c r="A15" s="967">
        <v>90096</v>
      </c>
      <c r="B15" s="968" t="s">
        <v>2661</v>
      </c>
      <c r="C15" s="969">
        <v>9.7559999999999997E-4</v>
      </c>
      <c r="D15" s="969">
        <v>1.3860999999999999E-3</v>
      </c>
      <c r="E15" s="986">
        <v>535127</v>
      </c>
      <c r="F15" s="970">
        <v>1490447</v>
      </c>
      <c r="G15" s="970"/>
      <c r="H15" s="971">
        <v>85864</v>
      </c>
      <c r="I15" s="972">
        <v>361882</v>
      </c>
      <c r="J15" s="971">
        <v>212856</v>
      </c>
      <c r="K15" s="970">
        <v>43597</v>
      </c>
      <c r="L15" s="972">
        <f t="shared" si="0"/>
        <v>704199</v>
      </c>
      <c r="M15" s="970"/>
      <c r="N15" s="971">
        <v>42190</v>
      </c>
      <c r="O15" s="971">
        <v>0</v>
      </c>
      <c r="P15" s="970">
        <v>238564</v>
      </c>
      <c r="Q15" s="972">
        <f t="shared" si="1"/>
        <v>280754</v>
      </c>
      <c r="R15" s="970"/>
      <c r="S15" s="971">
        <v>502282</v>
      </c>
      <c r="T15" s="973">
        <v>-27538</v>
      </c>
      <c r="U15" s="973">
        <v>474744</v>
      </c>
    </row>
    <row r="16" spans="1:21" x14ac:dyDescent="0.25">
      <c r="A16" s="967">
        <v>90098</v>
      </c>
      <c r="B16" s="968" t="s">
        <v>2662</v>
      </c>
      <c r="C16" s="969">
        <v>2.9599999999999998E-4</v>
      </c>
      <c r="D16" s="969">
        <v>2.9280000000000002E-4</v>
      </c>
      <c r="E16" s="986">
        <v>140184</v>
      </c>
      <c r="F16" s="970">
        <v>452206</v>
      </c>
      <c r="G16" s="970"/>
      <c r="H16" s="971">
        <v>26051</v>
      </c>
      <c r="I16" s="972">
        <v>109796</v>
      </c>
      <c r="J16" s="971">
        <v>64581</v>
      </c>
      <c r="K16" s="970">
        <v>5581</v>
      </c>
      <c r="L16" s="972">
        <f t="shared" si="0"/>
        <v>206009</v>
      </c>
      <c r="M16" s="970"/>
      <c r="N16" s="971">
        <v>12801</v>
      </c>
      <c r="O16" s="971">
        <v>0</v>
      </c>
      <c r="P16" s="970">
        <v>110893</v>
      </c>
      <c r="Q16" s="972">
        <f t="shared" si="1"/>
        <v>123694</v>
      </c>
      <c r="R16" s="970"/>
      <c r="S16" s="971">
        <v>152394</v>
      </c>
      <c r="T16" s="973">
        <v>-51374</v>
      </c>
      <c r="U16" s="973">
        <v>101020</v>
      </c>
    </row>
    <row r="17" spans="1:21" x14ac:dyDescent="0.25">
      <c r="A17" s="967">
        <v>90099</v>
      </c>
      <c r="B17" s="968" t="s">
        <v>2663</v>
      </c>
      <c r="C17" s="969">
        <v>6.6330000000000002E-4</v>
      </c>
      <c r="D17" s="969">
        <v>4.9330000000000001E-4</v>
      </c>
      <c r="E17" s="986">
        <v>271208</v>
      </c>
      <c r="F17" s="970">
        <v>1013339</v>
      </c>
      <c r="G17" s="970"/>
      <c r="H17" s="971">
        <v>58378</v>
      </c>
      <c r="I17" s="972">
        <v>246040</v>
      </c>
      <c r="J17" s="971">
        <v>144719</v>
      </c>
      <c r="K17" s="970">
        <v>89744</v>
      </c>
      <c r="L17" s="972">
        <f t="shared" si="0"/>
        <v>538881</v>
      </c>
      <c r="M17" s="970"/>
      <c r="N17" s="971">
        <v>28684</v>
      </c>
      <c r="O17" s="971">
        <v>0</v>
      </c>
      <c r="P17" s="970">
        <v>44006</v>
      </c>
      <c r="Q17" s="972">
        <f t="shared" si="1"/>
        <v>72690</v>
      </c>
      <c r="R17" s="970"/>
      <c r="S17" s="971">
        <v>341496</v>
      </c>
      <c r="T17" s="973">
        <v>7780</v>
      </c>
      <c r="U17" s="973">
        <v>349276</v>
      </c>
    </row>
    <row r="18" spans="1:21" x14ac:dyDescent="0.25">
      <c r="A18" s="967">
        <v>90101</v>
      </c>
      <c r="B18" s="968" t="s">
        <v>2664</v>
      </c>
      <c r="C18" s="969">
        <v>6.6312000000000003E-3</v>
      </c>
      <c r="D18" s="969">
        <v>6.3996000000000001E-3</v>
      </c>
      <c r="E18" s="986">
        <v>2960721</v>
      </c>
      <c r="F18" s="970">
        <v>10130637</v>
      </c>
      <c r="G18" s="970"/>
      <c r="H18" s="971">
        <v>583619</v>
      </c>
      <c r="I18" s="972">
        <v>2459731</v>
      </c>
      <c r="J18" s="971">
        <v>1446795</v>
      </c>
      <c r="K18" s="970">
        <v>245836</v>
      </c>
      <c r="L18" s="972">
        <f t="shared" si="0"/>
        <v>4735981</v>
      </c>
      <c r="M18" s="970"/>
      <c r="N18" s="971">
        <v>286766</v>
      </c>
      <c r="O18" s="971">
        <v>0</v>
      </c>
      <c r="P18" s="970">
        <v>25616</v>
      </c>
      <c r="Q18" s="972">
        <f t="shared" si="1"/>
        <v>312382</v>
      </c>
      <c r="R18" s="970"/>
      <c r="S18" s="971">
        <v>3414034</v>
      </c>
      <c r="T18" s="973">
        <v>67895</v>
      </c>
      <c r="U18" s="973">
        <f>3481928+1</f>
        <v>3481929</v>
      </c>
    </row>
    <row r="19" spans="1:21" x14ac:dyDescent="0.25">
      <c r="A19" s="967">
        <v>90111</v>
      </c>
      <c r="B19" s="968" t="s">
        <v>2665</v>
      </c>
      <c r="C19" s="969">
        <v>4.9740000000000001E-3</v>
      </c>
      <c r="D19" s="969">
        <v>4.8874000000000001E-3</v>
      </c>
      <c r="E19" s="986">
        <v>2229766</v>
      </c>
      <c r="F19" s="970">
        <v>7598894</v>
      </c>
      <c r="G19" s="970"/>
      <c r="H19" s="971">
        <v>437767</v>
      </c>
      <c r="I19" s="972">
        <v>1845021</v>
      </c>
      <c r="J19" s="971">
        <v>1085227</v>
      </c>
      <c r="K19" s="970">
        <v>15088</v>
      </c>
      <c r="L19" s="972">
        <f t="shared" si="0"/>
        <v>3383103</v>
      </c>
      <c r="M19" s="970"/>
      <c r="N19" s="971">
        <v>215101</v>
      </c>
      <c r="O19" s="971">
        <v>0</v>
      </c>
      <c r="P19" s="970">
        <v>106602</v>
      </c>
      <c r="Q19" s="972">
        <f t="shared" si="1"/>
        <v>321703</v>
      </c>
      <c r="R19" s="970"/>
      <c r="S19" s="971">
        <v>2560834</v>
      </c>
      <c r="T19" s="973">
        <v>-53609</v>
      </c>
      <c r="U19" s="973">
        <v>2507225</v>
      </c>
    </row>
    <row r="20" spans="1:21" x14ac:dyDescent="0.25">
      <c r="A20" s="967">
        <v>90114</v>
      </c>
      <c r="B20" s="968" t="s">
        <v>2666</v>
      </c>
      <c r="C20" s="969">
        <v>1.0919E-3</v>
      </c>
      <c r="D20" s="969">
        <v>1.0681E-3</v>
      </c>
      <c r="E20" s="986">
        <v>1108464</v>
      </c>
      <c r="F20" s="970">
        <v>1668121</v>
      </c>
      <c r="G20" s="970"/>
      <c r="H20" s="971">
        <v>96099</v>
      </c>
      <c r="I20" s="972">
        <v>405022</v>
      </c>
      <c r="J20" s="971">
        <v>238231</v>
      </c>
      <c r="K20" s="970">
        <v>1077044</v>
      </c>
      <c r="L20" s="972">
        <f t="shared" si="0"/>
        <v>1816396</v>
      </c>
      <c r="M20" s="970"/>
      <c r="N20" s="971">
        <v>47219</v>
      </c>
      <c r="O20" s="971">
        <v>0</v>
      </c>
      <c r="P20" s="970">
        <v>0</v>
      </c>
      <c r="Q20" s="972">
        <f t="shared" si="1"/>
        <v>47219</v>
      </c>
      <c r="R20" s="970"/>
      <c r="S20" s="971">
        <v>562158</v>
      </c>
      <c r="T20" s="973">
        <v>371192</v>
      </c>
      <c r="U20" s="973">
        <v>933350</v>
      </c>
    </row>
    <row r="21" spans="1:21" x14ac:dyDescent="0.25">
      <c r="A21" s="967">
        <v>90117</v>
      </c>
      <c r="B21" s="968" t="s">
        <v>2667</v>
      </c>
      <c r="C21" s="969">
        <v>1.407E-4</v>
      </c>
      <c r="D21" s="969">
        <v>1.35E-4</v>
      </c>
      <c r="E21" s="986">
        <v>80147</v>
      </c>
      <c r="F21" s="970">
        <v>214951</v>
      </c>
      <c r="G21" s="970"/>
      <c r="H21" s="971">
        <v>12383</v>
      </c>
      <c r="I21" s="972">
        <v>52190</v>
      </c>
      <c r="J21" s="971">
        <v>30698</v>
      </c>
      <c r="K21" s="970">
        <v>44526</v>
      </c>
      <c r="L21" s="972">
        <f t="shared" si="0"/>
        <v>139797</v>
      </c>
      <c r="M21" s="970"/>
      <c r="N21" s="971">
        <v>6085</v>
      </c>
      <c r="O21" s="971">
        <v>0</v>
      </c>
      <c r="P21" s="970">
        <v>0</v>
      </c>
      <c r="Q21" s="972">
        <f t="shared" si="1"/>
        <v>6085</v>
      </c>
      <c r="R21" s="970"/>
      <c r="S21" s="971">
        <v>72439</v>
      </c>
      <c r="T21" s="973">
        <v>18359</v>
      </c>
      <c r="U21" s="973">
        <f>90797+1</f>
        <v>90798</v>
      </c>
    </row>
    <row r="22" spans="1:21" x14ac:dyDescent="0.25">
      <c r="A22" s="967">
        <v>90121</v>
      </c>
      <c r="B22" s="968" t="s">
        <v>2668</v>
      </c>
      <c r="C22" s="969">
        <v>1.0991E-3</v>
      </c>
      <c r="D22" s="969">
        <v>1.0789E-3</v>
      </c>
      <c r="E22" s="986">
        <v>452142</v>
      </c>
      <c r="F22" s="970">
        <v>1679120</v>
      </c>
      <c r="G22" s="970"/>
      <c r="H22" s="971">
        <v>96733</v>
      </c>
      <c r="I22" s="972">
        <v>407692</v>
      </c>
      <c r="J22" s="971">
        <v>239802</v>
      </c>
      <c r="K22" s="970">
        <v>3244</v>
      </c>
      <c r="L22" s="972">
        <f t="shared" si="0"/>
        <v>747471</v>
      </c>
      <c r="M22" s="970"/>
      <c r="N22" s="971">
        <v>47531</v>
      </c>
      <c r="O22" s="971">
        <v>0</v>
      </c>
      <c r="P22" s="970">
        <v>81552</v>
      </c>
      <c r="Q22" s="972">
        <f t="shared" si="1"/>
        <v>129083</v>
      </c>
      <c r="R22" s="970"/>
      <c r="S22" s="971">
        <v>565865</v>
      </c>
      <c r="T22" s="973">
        <v>-25049</v>
      </c>
      <c r="U22" s="973">
        <v>540816</v>
      </c>
    </row>
    <row r="23" spans="1:21" x14ac:dyDescent="0.25">
      <c r="A23" s="967">
        <v>90131</v>
      </c>
      <c r="B23" s="968" t="s">
        <v>2669</v>
      </c>
      <c r="C23" s="969">
        <v>4.7639999999999998E-4</v>
      </c>
      <c r="D23" s="969">
        <v>5.0440000000000001E-4</v>
      </c>
      <c r="E23" s="986">
        <v>207243</v>
      </c>
      <c r="F23" s="970">
        <v>727807</v>
      </c>
      <c r="G23" s="970"/>
      <c r="H23" s="971">
        <v>41928</v>
      </c>
      <c r="I23" s="972">
        <v>176712</v>
      </c>
      <c r="J23" s="971">
        <v>103941</v>
      </c>
      <c r="K23" s="970">
        <v>0</v>
      </c>
      <c r="L23" s="972">
        <f t="shared" si="0"/>
        <v>322581</v>
      </c>
      <c r="M23" s="970"/>
      <c r="N23" s="971">
        <v>20602</v>
      </c>
      <c r="O23" s="971">
        <v>0</v>
      </c>
      <c r="P23" s="970">
        <v>42066</v>
      </c>
      <c r="Q23" s="972">
        <f t="shared" si="1"/>
        <v>62668</v>
      </c>
      <c r="R23" s="970"/>
      <c r="S23" s="971">
        <v>245272</v>
      </c>
      <c r="T23" s="973">
        <v>-15937</v>
      </c>
      <c r="U23" s="973">
        <v>229335</v>
      </c>
    </row>
    <row r="24" spans="1:21" x14ac:dyDescent="0.25">
      <c r="A24" s="967">
        <v>90141</v>
      </c>
      <c r="B24" s="968" t="s">
        <v>2670</v>
      </c>
      <c r="C24" s="969">
        <v>1.4779999999999999E-4</v>
      </c>
      <c r="D24" s="969">
        <v>1.306E-4</v>
      </c>
      <c r="E24" s="986">
        <v>62655</v>
      </c>
      <c r="F24" s="970">
        <v>225797</v>
      </c>
      <c r="G24" s="970"/>
      <c r="H24" s="971">
        <v>13008</v>
      </c>
      <c r="I24" s="972">
        <v>54824</v>
      </c>
      <c r="J24" s="971">
        <v>32247</v>
      </c>
      <c r="K24" s="970">
        <v>8660</v>
      </c>
      <c r="L24" s="972">
        <f t="shared" si="0"/>
        <v>108739</v>
      </c>
      <c r="M24" s="970"/>
      <c r="N24" s="971">
        <v>6392</v>
      </c>
      <c r="O24" s="971">
        <v>0</v>
      </c>
      <c r="P24" s="970">
        <v>10174</v>
      </c>
      <c r="Q24" s="972">
        <f t="shared" si="1"/>
        <v>16566</v>
      </c>
      <c r="R24" s="970"/>
      <c r="S24" s="971">
        <v>76094</v>
      </c>
      <c r="T24" s="973">
        <v>-857</v>
      </c>
      <c r="U24" s="973">
        <v>75237</v>
      </c>
    </row>
    <row r="25" spans="1:21" x14ac:dyDescent="0.25">
      <c r="A25" s="967">
        <v>90151</v>
      </c>
      <c r="B25" s="968" t="s">
        <v>2671</v>
      </c>
      <c r="C25" s="969">
        <v>9.9000000000000001E-6</v>
      </c>
      <c r="D25" s="969">
        <v>1.0000000000000001E-5</v>
      </c>
      <c r="E25" s="986">
        <v>3085</v>
      </c>
      <c r="F25" s="970">
        <v>15124</v>
      </c>
      <c r="G25" s="970"/>
      <c r="H25" s="971">
        <v>871</v>
      </c>
      <c r="I25" s="972">
        <v>3672</v>
      </c>
      <c r="J25" s="971">
        <v>2160</v>
      </c>
      <c r="K25" s="970">
        <v>0</v>
      </c>
      <c r="L25" s="972">
        <f t="shared" si="0"/>
        <v>6703</v>
      </c>
      <c r="M25" s="970"/>
      <c r="N25" s="971">
        <v>428</v>
      </c>
      <c r="O25" s="971">
        <v>0</v>
      </c>
      <c r="P25" s="970">
        <v>2719</v>
      </c>
      <c r="Q25" s="972">
        <f t="shared" si="1"/>
        <v>3147</v>
      </c>
      <c r="R25" s="970"/>
      <c r="S25" s="971">
        <v>5097</v>
      </c>
      <c r="T25" s="973">
        <v>-1090</v>
      </c>
      <c r="U25" s="973">
        <v>4007</v>
      </c>
    </row>
    <row r="26" spans="1:21" x14ac:dyDescent="0.25">
      <c r="A26" s="967">
        <v>90161</v>
      </c>
      <c r="B26" s="968" t="s">
        <v>2672</v>
      </c>
      <c r="C26" s="969">
        <v>3.4199999999999998E-5</v>
      </c>
      <c r="D26" s="969">
        <v>3.4799999999999999E-5</v>
      </c>
      <c r="E26" s="986">
        <v>15627</v>
      </c>
      <c r="F26" s="970">
        <v>52248</v>
      </c>
      <c r="G26" s="970"/>
      <c r="H26" s="971">
        <v>3010</v>
      </c>
      <c r="I26" s="972">
        <v>12686</v>
      </c>
      <c r="J26" s="971">
        <v>7462</v>
      </c>
      <c r="K26" s="970">
        <v>4022</v>
      </c>
      <c r="L26" s="972">
        <f t="shared" si="0"/>
        <v>27180</v>
      </c>
      <c r="M26" s="970"/>
      <c r="N26" s="971">
        <v>1479</v>
      </c>
      <c r="O26" s="971">
        <v>0</v>
      </c>
      <c r="P26" s="970">
        <v>462</v>
      </c>
      <c r="Q26" s="972">
        <f t="shared" si="1"/>
        <v>1941</v>
      </c>
      <c r="R26" s="970"/>
      <c r="S26" s="971">
        <v>17608</v>
      </c>
      <c r="T26" s="973">
        <v>1591</v>
      </c>
      <c r="U26" s="973">
        <v>19199</v>
      </c>
    </row>
    <row r="27" spans="1:21" x14ac:dyDescent="0.25">
      <c r="A27" s="967">
        <v>90201</v>
      </c>
      <c r="B27" s="968" t="s">
        <v>2673</v>
      </c>
      <c r="C27" s="969">
        <v>1.2126999999999999E-3</v>
      </c>
      <c r="D27" s="969">
        <v>1.2419E-3</v>
      </c>
      <c r="E27" s="986">
        <v>536124</v>
      </c>
      <c r="F27" s="970">
        <v>1852670</v>
      </c>
      <c r="G27" s="970"/>
      <c r="H27" s="971">
        <v>106731</v>
      </c>
      <c r="I27" s="972">
        <v>449830</v>
      </c>
      <c r="J27" s="971">
        <v>264587</v>
      </c>
      <c r="K27" s="970">
        <v>36621</v>
      </c>
      <c r="L27" s="972">
        <f t="shared" si="0"/>
        <v>857769</v>
      </c>
      <c r="M27" s="970"/>
      <c r="N27" s="971">
        <v>52443</v>
      </c>
      <c r="O27" s="971">
        <v>0</v>
      </c>
      <c r="P27" s="970">
        <v>36396</v>
      </c>
      <c r="Q27" s="972">
        <f t="shared" si="1"/>
        <v>88839</v>
      </c>
      <c r="R27" s="970"/>
      <c r="S27" s="971">
        <v>624351</v>
      </c>
      <c r="T27" s="973">
        <v>24941</v>
      </c>
      <c r="U27" s="973">
        <v>649292</v>
      </c>
    </row>
    <row r="28" spans="1:21" x14ac:dyDescent="0.25">
      <c r="A28" s="967">
        <v>90203</v>
      </c>
      <c r="B28" s="968" t="s">
        <v>2674</v>
      </c>
      <c r="C28" s="969">
        <v>1.994E-4</v>
      </c>
      <c r="D28" s="969">
        <v>2.3680000000000001E-4</v>
      </c>
      <c r="E28" s="986">
        <v>91056</v>
      </c>
      <c r="F28" s="970">
        <v>304628</v>
      </c>
      <c r="G28" s="970"/>
      <c r="H28" s="971">
        <v>17549</v>
      </c>
      <c r="I28" s="972">
        <v>73964</v>
      </c>
      <c r="J28" s="971">
        <v>43505</v>
      </c>
      <c r="K28" s="970">
        <v>2154</v>
      </c>
      <c r="L28" s="972">
        <f t="shared" si="0"/>
        <v>137172</v>
      </c>
      <c r="M28" s="970"/>
      <c r="N28" s="971">
        <v>8623</v>
      </c>
      <c r="O28" s="971">
        <v>0</v>
      </c>
      <c r="P28" s="970">
        <v>49077</v>
      </c>
      <c r="Q28" s="972">
        <f t="shared" si="1"/>
        <v>57700</v>
      </c>
      <c r="R28" s="970"/>
      <c r="S28" s="971">
        <v>102660</v>
      </c>
      <c r="T28" s="973">
        <v>-18026</v>
      </c>
      <c r="U28" s="973">
        <v>84634</v>
      </c>
    </row>
    <row r="29" spans="1:21" x14ac:dyDescent="0.25">
      <c r="A29" s="967">
        <v>90205</v>
      </c>
      <c r="B29" s="968" t="s">
        <v>2675</v>
      </c>
      <c r="C29" s="969">
        <v>3.0000000000000001E-5</v>
      </c>
      <c r="D29" s="969">
        <v>3.3599999999999997E-5</v>
      </c>
      <c r="E29" s="986">
        <v>14233</v>
      </c>
      <c r="F29" s="970">
        <v>45832</v>
      </c>
      <c r="G29" s="970"/>
      <c r="H29" s="971">
        <v>2640</v>
      </c>
      <c r="I29" s="972">
        <v>11128</v>
      </c>
      <c r="J29" s="971">
        <v>6545</v>
      </c>
      <c r="K29" s="970">
        <v>769</v>
      </c>
      <c r="L29" s="972">
        <f t="shared" si="0"/>
        <v>21082</v>
      </c>
      <c r="M29" s="970"/>
      <c r="N29" s="971">
        <v>1297</v>
      </c>
      <c r="O29" s="971">
        <v>0</v>
      </c>
      <c r="P29" s="970">
        <v>2625</v>
      </c>
      <c r="Q29" s="972">
        <f t="shared" si="1"/>
        <v>3922</v>
      </c>
      <c r="R29" s="970"/>
      <c r="S29" s="971">
        <v>15445</v>
      </c>
      <c r="T29" s="973">
        <v>-105</v>
      </c>
      <c r="U29" s="973">
        <v>15340</v>
      </c>
    </row>
    <row r="30" spans="1:21" x14ac:dyDescent="0.25">
      <c r="A30" s="967">
        <v>90206</v>
      </c>
      <c r="B30" s="968" t="s">
        <v>2676</v>
      </c>
      <c r="C30" s="969">
        <v>4.2069999999999998E-4</v>
      </c>
      <c r="D30" s="969">
        <v>4.347E-4</v>
      </c>
      <c r="E30" s="986">
        <v>184249</v>
      </c>
      <c r="F30" s="970">
        <v>642713</v>
      </c>
      <c r="G30" s="970"/>
      <c r="H30" s="971">
        <v>37026</v>
      </c>
      <c r="I30" s="972">
        <v>156051</v>
      </c>
      <c r="J30" s="971">
        <v>91788</v>
      </c>
      <c r="K30" s="970">
        <v>8978</v>
      </c>
      <c r="L30" s="972">
        <f t="shared" si="0"/>
        <v>293843</v>
      </c>
      <c r="M30" s="970"/>
      <c r="N30" s="971">
        <v>18193</v>
      </c>
      <c r="O30" s="971">
        <v>0</v>
      </c>
      <c r="P30" s="970">
        <v>25382</v>
      </c>
      <c r="Q30" s="972">
        <f t="shared" si="1"/>
        <v>43575</v>
      </c>
      <c r="R30" s="970"/>
      <c r="S30" s="971">
        <v>216595</v>
      </c>
      <c r="T30" s="973">
        <v>1315</v>
      </c>
      <c r="U30" s="973">
        <v>217910</v>
      </c>
    </row>
    <row r="31" spans="1:21" x14ac:dyDescent="0.25">
      <c r="A31" s="967">
        <v>90211</v>
      </c>
      <c r="B31" s="968" t="s">
        <v>2677</v>
      </c>
      <c r="C31" s="969">
        <v>1.4799999999999999E-4</v>
      </c>
      <c r="D31" s="969">
        <v>1.5689999999999999E-4</v>
      </c>
      <c r="E31" s="986">
        <v>71260</v>
      </c>
      <c r="F31" s="970">
        <v>226103</v>
      </c>
      <c r="G31" s="970"/>
      <c r="H31" s="971">
        <v>13026</v>
      </c>
      <c r="I31" s="972">
        <v>54898</v>
      </c>
      <c r="J31" s="971">
        <v>32291</v>
      </c>
      <c r="K31" s="970">
        <v>0</v>
      </c>
      <c r="L31" s="972">
        <f t="shared" si="0"/>
        <v>100215</v>
      </c>
      <c r="M31" s="970"/>
      <c r="N31" s="971">
        <v>6400</v>
      </c>
      <c r="O31" s="971">
        <v>0</v>
      </c>
      <c r="P31" s="970">
        <v>15344</v>
      </c>
      <c r="Q31" s="972">
        <f t="shared" si="1"/>
        <v>21744</v>
      </c>
      <c r="R31" s="970"/>
      <c r="S31" s="971">
        <v>76197</v>
      </c>
      <c r="T31" s="973">
        <v>-6134</v>
      </c>
      <c r="U31" s="973">
        <v>70063</v>
      </c>
    </row>
    <row r="32" spans="1:21" x14ac:dyDescent="0.25">
      <c r="A32" s="967">
        <v>90301</v>
      </c>
      <c r="B32" s="968" t="s">
        <v>2678</v>
      </c>
      <c r="C32" s="969">
        <v>6.7040000000000003E-4</v>
      </c>
      <c r="D32" s="969">
        <v>6.4000000000000005E-4</v>
      </c>
      <c r="E32" s="986">
        <v>280575</v>
      </c>
      <c r="F32" s="970">
        <v>1024185</v>
      </c>
      <c r="G32" s="970"/>
      <c r="H32" s="971">
        <v>59003</v>
      </c>
      <c r="I32" s="972">
        <v>248673</v>
      </c>
      <c r="J32" s="971">
        <v>146268</v>
      </c>
      <c r="K32" s="970">
        <v>4314</v>
      </c>
      <c r="L32" s="972">
        <f t="shared" si="0"/>
        <v>458258</v>
      </c>
      <c r="M32" s="970"/>
      <c r="N32" s="971">
        <v>28991</v>
      </c>
      <c r="O32" s="971">
        <v>0</v>
      </c>
      <c r="P32" s="970">
        <v>13341</v>
      </c>
      <c r="Q32" s="972">
        <f t="shared" si="1"/>
        <v>42332</v>
      </c>
      <c r="R32" s="970"/>
      <c r="S32" s="971">
        <v>345151</v>
      </c>
      <c r="T32" s="973">
        <v>-5567</v>
      </c>
      <c r="U32" s="973">
        <v>339584</v>
      </c>
    </row>
    <row r="33" spans="1:21" x14ac:dyDescent="0.25">
      <c r="A33" s="967">
        <v>90305</v>
      </c>
      <c r="B33" s="968" t="s">
        <v>2679</v>
      </c>
      <c r="C33" s="969">
        <v>1.617E-4</v>
      </c>
      <c r="D33" s="969">
        <v>1.7009999999999999E-4</v>
      </c>
      <c r="E33" s="986">
        <v>85892</v>
      </c>
      <c r="F33" s="970">
        <v>247033</v>
      </c>
      <c r="G33" s="970"/>
      <c r="H33" s="971">
        <v>14231</v>
      </c>
      <c r="I33" s="972">
        <v>59980</v>
      </c>
      <c r="J33" s="971">
        <v>35280</v>
      </c>
      <c r="K33" s="970">
        <v>20715</v>
      </c>
      <c r="L33" s="972">
        <f t="shared" si="0"/>
        <v>130206</v>
      </c>
      <c r="M33" s="970"/>
      <c r="N33" s="971">
        <v>6993</v>
      </c>
      <c r="O33" s="971">
        <v>0</v>
      </c>
      <c r="P33" s="970">
        <v>0</v>
      </c>
      <c r="Q33" s="972">
        <f t="shared" si="1"/>
        <v>6993</v>
      </c>
      <c r="R33" s="970"/>
      <c r="S33" s="971">
        <v>83250</v>
      </c>
      <c r="T33" s="973">
        <v>10025</v>
      </c>
      <c r="U33" s="973">
        <v>93275</v>
      </c>
    </row>
    <row r="34" spans="1:21" x14ac:dyDescent="0.25">
      <c r="A34" s="967">
        <v>90307</v>
      </c>
      <c r="B34" s="968" t="s">
        <v>2680</v>
      </c>
      <c r="C34" s="969">
        <v>7.7999999999999999E-6</v>
      </c>
      <c r="D34" s="969">
        <v>7.7000000000000008E-6</v>
      </c>
      <c r="E34" s="986">
        <v>4130</v>
      </c>
      <c r="F34" s="970">
        <v>11916</v>
      </c>
      <c r="G34" s="970"/>
      <c r="H34" s="971">
        <v>686</v>
      </c>
      <c r="I34" s="972">
        <v>2893</v>
      </c>
      <c r="J34" s="971">
        <v>1702</v>
      </c>
      <c r="K34" s="970">
        <v>647</v>
      </c>
      <c r="L34" s="972">
        <f t="shared" si="0"/>
        <v>5928</v>
      </c>
      <c r="M34" s="970"/>
      <c r="N34" s="971">
        <v>337</v>
      </c>
      <c r="O34" s="971">
        <v>0</v>
      </c>
      <c r="P34" s="970">
        <v>40</v>
      </c>
      <c r="Q34" s="972">
        <f t="shared" si="1"/>
        <v>377</v>
      </c>
      <c r="R34" s="970"/>
      <c r="S34" s="971">
        <v>4016</v>
      </c>
      <c r="T34" s="973">
        <v>160</v>
      </c>
      <c r="U34" s="973">
        <v>4176</v>
      </c>
    </row>
    <row r="35" spans="1:21" x14ac:dyDescent="0.25">
      <c r="A35" s="967">
        <v>90401</v>
      </c>
      <c r="B35" s="968" t="s">
        <v>2681</v>
      </c>
      <c r="C35" s="969">
        <v>1.3270999999999999E-3</v>
      </c>
      <c r="D35" s="969">
        <v>1.3626999999999999E-3</v>
      </c>
      <c r="E35" s="986">
        <v>624955</v>
      </c>
      <c r="F35" s="970">
        <v>2027441</v>
      </c>
      <c r="G35" s="970"/>
      <c r="H35" s="971">
        <v>116799</v>
      </c>
      <c r="I35" s="972">
        <v>492266</v>
      </c>
      <c r="J35" s="971">
        <v>289547</v>
      </c>
      <c r="K35" s="970">
        <v>44019</v>
      </c>
      <c r="L35" s="972">
        <f t="shared" si="0"/>
        <v>942631</v>
      </c>
      <c r="M35" s="970"/>
      <c r="N35" s="971">
        <v>57390</v>
      </c>
      <c r="O35" s="971">
        <v>0</v>
      </c>
      <c r="P35" s="970">
        <v>11305</v>
      </c>
      <c r="Q35" s="972">
        <f t="shared" si="1"/>
        <v>68695</v>
      </c>
      <c r="R35" s="970"/>
      <c r="S35" s="971">
        <v>683249</v>
      </c>
      <c r="T35" s="973">
        <v>23981</v>
      </c>
      <c r="U35" s="973">
        <v>707230</v>
      </c>
    </row>
    <row r="36" spans="1:21" x14ac:dyDescent="0.25">
      <c r="A36" s="967">
        <v>90411</v>
      </c>
      <c r="B36" s="968" t="s">
        <v>2682</v>
      </c>
      <c r="C36" s="969">
        <v>3.5100000000000002E-4</v>
      </c>
      <c r="D36" s="969">
        <v>3.5490000000000001E-4</v>
      </c>
      <c r="E36" s="986">
        <v>152317</v>
      </c>
      <c r="F36" s="970">
        <v>536231</v>
      </c>
      <c r="G36" s="970"/>
      <c r="H36" s="971">
        <v>30892</v>
      </c>
      <c r="I36" s="972">
        <v>130197</v>
      </c>
      <c r="J36" s="971">
        <v>76581</v>
      </c>
      <c r="K36" s="970">
        <v>0</v>
      </c>
      <c r="L36" s="972">
        <f t="shared" si="0"/>
        <v>237670</v>
      </c>
      <c r="M36" s="970"/>
      <c r="N36" s="971">
        <v>15179</v>
      </c>
      <c r="O36" s="971">
        <v>0</v>
      </c>
      <c r="P36" s="970">
        <v>41985</v>
      </c>
      <c r="Q36" s="972">
        <f t="shared" si="1"/>
        <v>57164</v>
      </c>
      <c r="R36" s="970"/>
      <c r="S36" s="971">
        <v>180710</v>
      </c>
      <c r="T36" s="973">
        <v>-15971</v>
      </c>
      <c r="U36" s="973">
        <v>164739</v>
      </c>
    </row>
    <row r="37" spans="1:21" x14ac:dyDescent="0.25">
      <c r="A37" s="967">
        <v>90413</v>
      </c>
      <c r="B37" s="968" t="s">
        <v>2683</v>
      </c>
      <c r="C37" s="969">
        <v>3.4600000000000001E-5</v>
      </c>
      <c r="D37" s="969">
        <v>3.7299999999999999E-5</v>
      </c>
      <c r="E37" s="986">
        <v>17002</v>
      </c>
      <c r="F37" s="970">
        <v>52859</v>
      </c>
      <c r="G37" s="970"/>
      <c r="H37" s="971">
        <v>3045</v>
      </c>
      <c r="I37" s="972">
        <v>12834</v>
      </c>
      <c r="J37" s="971">
        <v>7549</v>
      </c>
      <c r="K37" s="970">
        <v>5923</v>
      </c>
      <c r="L37" s="972">
        <f t="shared" si="0"/>
        <v>29351</v>
      </c>
      <c r="M37" s="970"/>
      <c r="N37" s="971">
        <v>1496</v>
      </c>
      <c r="O37" s="971">
        <v>0</v>
      </c>
      <c r="P37" s="970">
        <v>916</v>
      </c>
      <c r="Q37" s="972">
        <f t="shared" si="1"/>
        <v>2412</v>
      </c>
      <c r="R37" s="970"/>
      <c r="S37" s="971">
        <v>17814</v>
      </c>
      <c r="T37" s="973">
        <v>3416</v>
      </c>
      <c r="U37" s="973">
        <v>21230</v>
      </c>
    </row>
    <row r="38" spans="1:21" x14ac:dyDescent="0.25">
      <c r="A38" s="967">
        <v>90417</v>
      </c>
      <c r="B38" s="968" t="s">
        <v>2684</v>
      </c>
      <c r="C38" s="969">
        <v>1.17E-5</v>
      </c>
      <c r="D38" s="969">
        <v>1.2099999999999999E-5</v>
      </c>
      <c r="E38" s="986">
        <v>8372</v>
      </c>
      <c r="F38" s="970">
        <v>17874</v>
      </c>
      <c r="G38" s="970"/>
      <c r="H38" s="971">
        <v>1030</v>
      </c>
      <c r="I38" s="972">
        <v>4340</v>
      </c>
      <c r="J38" s="971">
        <v>2553</v>
      </c>
      <c r="K38" s="970">
        <v>3477</v>
      </c>
      <c r="L38" s="972">
        <f t="shared" si="0"/>
        <v>11400</v>
      </c>
      <c r="M38" s="970"/>
      <c r="N38" s="971">
        <v>506</v>
      </c>
      <c r="O38" s="971">
        <v>0</v>
      </c>
      <c r="P38" s="970">
        <v>0</v>
      </c>
      <c r="Q38" s="972">
        <f t="shared" si="1"/>
        <v>506</v>
      </c>
      <c r="R38" s="970"/>
      <c r="S38" s="971">
        <v>6024</v>
      </c>
      <c r="T38" s="973">
        <v>1221</v>
      </c>
      <c r="U38" s="973">
        <f>7244+1</f>
        <v>7245</v>
      </c>
    </row>
    <row r="39" spans="1:21" x14ac:dyDescent="0.25">
      <c r="A39" s="967">
        <v>90421</v>
      </c>
      <c r="B39" s="968" t="s">
        <v>2685</v>
      </c>
      <c r="C39" s="969">
        <v>2.19E-5</v>
      </c>
      <c r="D39" s="969">
        <v>2.3600000000000001E-5</v>
      </c>
      <c r="E39" s="986">
        <v>8534</v>
      </c>
      <c r="F39" s="970">
        <v>33457</v>
      </c>
      <c r="G39" s="970"/>
      <c r="H39" s="971">
        <v>1927</v>
      </c>
      <c r="I39" s="972">
        <v>8123</v>
      </c>
      <c r="J39" s="971">
        <v>4778</v>
      </c>
      <c r="K39" s="970">
        <v>0</v>
      </c>
      <c r="L39" s="972">
        <f t="shared" si="0"/>
        <v>14828</v>
      </c>
      <c r="M39" s="970"/>
      <c r="N39" s="971">
        <v>947</v>
      </c>
      <c r="O39" s="971">
        <v>0</v>
      </c>
      <c r="P39" s="970">
        <v>4721</v>
      </c>
      <c r="Q39" s="972">
        <f t="shared" si="1"/>
        <v>5668</v>
      </c>
      <c r="R39" s="970"/>
      <c r="S39" s="971">
        <v>11275</v>
      </c>
      <c r="T39" s="973">
        <v>-1814</v>
      </c>
      <c r="U39" s="973">
        <v>9461</v>
      </c>
    </row>
    <row r="40" spans="1:21" x14ac:dyDescent="0.25">
      <c r="A40" s="967">
        <v>90431</v>
      </c>
      <c r="B40" s="968" t="s">
        <v>2686</v>
      </c>
      <c r="C40" s="969">
        <v>4.8300000000000002E-5</v>
      </c>
      <c r="D40" s="969">
        <v>4.2799999999999997E-5</v>
      </c>
      <c r="E40" s="986">
        <v>21844</v>
      </c>
      <c r="F40" s="970">
        <v>73789</v>
      </c>
      <c r="G40" s="970"/>
      <c r="H40" s="971">
        <v>4251</v>
      </c>
      <c r="I40" s="972">
        <v>17916</v>
      </c>
      <c r="J40" s="971">
        <v>10538</v>
      </c>
      <c r="K40" s="970">
        <v>8663</v>
      </c>
      <c r="L40" s="972">
        <f t="shared" si="0"/>
        <v>41368</v>
      </c>
      <c r="M40" s="970"/>
      <c r="N40" s="971">
        <v>2089</v>
      </c>
      <c r="O40" s="971">
        <v>0</v>
      </c>
      <c r="P40" s="970">
        <v>1273</v>
      </c>
      <c r="Q40" s="972">
        <f t="shared" si="1"/>
        <v>3362</v>
      </c>
      <c r="R40" s="970"/>
      <c r="S40" s="971">
        <v>24867</v>
      </c>
      <c r="T40" s="973">
        <v>3649</v>
      </c>
      <c r="U40" s="973">
        <v>28516</v>
      </c>
    </row>
    <row r="41" spans="1:21" x14ac:dyDescent="0.25">
      <c r="A41" s="967">
        <v>90441</v>
      </c>
      <c r="B41" s="968" t="s">
        <v>2687</v>
      </c>
      <c r="C41" s="969">
        <v>8.3999999999999992E-6</v>
      </c>
      <c r="D41" s="969">
        <v>9.3999999999999998E-6</v>
      </c>
      <c r="E41" s="986">
        <v>4910</v>
      </c>
      <c r="F41" s="970">
        <v>12833</v>
      </c>
      <c r="G41" s="970"/>
      <c r="H41" s="971">
        <v>739</v>
      </c>
      <c r="I41" s="972">
        <v>3115</v>
      </c>
      <c r="J41" s="971">
        <v>1833</v>
      </c>
      <c r="K41" s="970">
        <v>890</v>
      </c>
      <c r="L41" s="972">
        <f t="shared" si="0"/>
        <v>6577</v>
      </c>
      <c r="M41" s="970"/>
      <c r="N41" s="971">
        <v>363</v>
      </c>
      <c r="O41" s="971">
        <v>0</v>
      </c>
      <c r="P41" s="970">
        <v>129</v>
      </c>
      <c r="Q41" s="972">
        <f t="shared" si="1"/>
        <v>492</v>
      </c>
      <c r="R41" s="970"/>
      <c r="S41" s="971">
        <v>4325</v>
      </c>
      <c r="T41" s="973">
        <v>621</v>
      </c>
      <c r="U41" s="973">
        <v>4946</v>
      </c>
    </row>
    <row r="42" spans="1:21" x14ac:dyDescent="0.25">
      <c r="A42" s="967">
        <v>90451</v>
      </c>
      <c r="B42" s="968" t="s">
        <v>2688</v>
      </c>
      <c r="C42" s="969">
        <v>1.6699999999999999E-5</v>
      </c>
      <c r="D42" s="969">
        <v>1.7900000000000001E-5</v>
      </c>
      <c r="E42" s="986">
        <v>7776</v>
      </c>
      <c r="F42" s="970">
        <v>25513</v>
      </c>
      <c r="G42" s="970"/>
      <c r="H42" s="971">
        <v>1470</v>
      </c>
      <c r="I42" s="972">
        <v>6194</v>
      </c>
      <c r="J42" s="971">
        <v>3644</v>
      </c>
      <c r="K42" s="970">
        <v>2202</v>
      </c>
      <c r="L42" s="972">
        <f t="shared" si="0"/>
        <v>13510</v>
      </c>
      <c r="M42" s="970"/>
      <c r="N42" s="971">
        <v>722</v>
      </c>
      <c r="O42" s="971">
        <v>0</v>
      </c>
      <c r="P42" s="970">
        <v>903</v>
      </c>
      <c r="Q42" s="972">
        <f t="shared" si="1"/>
        <v>1625</v>
      </c>
      <c r="R42" s="970"/>
      <c r="S42" s="971">
        <v>8598</v>
      </c>
      <c r="T42" s="973">
        <v>635</v>
      </c>
      <c r="U42" s="973">
        <f>9232+1</f>
        <v>9233</v>
      </c>
    </row>
    <row r="43" spans="1:21" x14ac:dyDescent="0.25">
      <c r="A43" s="967">
        <v>90461</v>
      </c>
      <c r="B43" s="968" t="s">
        <v>2689</v>
      </c>
      <c r="C43" s="969">
        <v>7.4000000000000003E-6</v>
      </c>
      <c r="D43" s="969">
        <v>1.7200000000000001E-5</v>
      </c>
      <c r="E43" s="986">
        <v>3691</v>
      </c>
      <c r="F43" s="970">
        <v>11305</v>
      </c>
      <c r="G43" s="970"/>
      <c r="H43" s="971">
        <v>651</v>
      </c>
      <c r="I43" s="972">
        <v>2745</v>
      </c>
      <c r="J43" s="971">
        <v>1615</v>
      </c>
      <c r="K43" s="970">
        <v>3066</v>
      </c>
      <c r="L43" s="972">
        <f t="shared" si="0"/>
        <v>8077</v>
      </c>
      <c r="M43" s="970"/>
      <c r="N43" s="971">
        <v>320</v>
      </c>
      <c r="O43" s="971">
        <v>0</v>
      </c>
      <c r="P43" s="970">
        <v>7660</v>
      </c>
      <c r="Q43" s="972">
        <f t="shared" si="1"/>
        <v>7980</v>
      </c>
      <c r="R43" s="970"/>
      <c r="S43" s="971">
        <v>3810</v>
      </c>
      <c r="T43" s="973">
        <v>-1001</v>
      </c>
      <c r="U43" s="973">
        <f>2808+1</f>
        <v>2809</v>
      </c>
    </row>
    <row r="44" spans="1:21" x14ac:dyDescent="0.25">
      <c r="A44" s="967">
        <v>90501</v>
      </c>
      <c r="B44" s="968" t="s">
        <v>2690</v>
      </c>
      <c r="C44" s="969">
        <v>1.4176E-3</v>
      </c>
      <c r="D44" s="969">
        <v>1.4001E-3</v>
      </c>
      <c r="E44" s="986">
        <v>670210</v>
      </c>
      <c r="F44" s="970">
        <v>2165700</v>
      </c>
      <c r="G44" s="970"/>
      <c r="H44" s="971">
        <v>124764</v>
      </c>
      <c r="I44" s="972">
        <v>525835</v>
      </c>
      <c r="J44" s="971">
        <v>309292</v>
      </c>
      <c r="K44" s="970">
        <v>53925</v>
      </c>
      <c r="L44" s="972">
        <f t="shared" si="0"/>
        <v>1013816</v>
      </c>
      <c r="M44" s="970"/>
      <c r="N44" s="971">
        <v>61304</v>
      </c>
      <c r="O44" s="971">
        <v>0</v>
      </c>
      <c r="P44" s="970">
        <v>0</v>
      </c>
      <c r="Q44" s="972">
        <f t="shared" si="1"/>
        <v>61304</v>
      </c>
      <c r="R44" s="970"/>
      <c r="S44" s="971">
        <v>729843</v>
      </c>
      <c r="T44" s="973">
        <v>27148</v>
      </c>
      <c r="U44" s="973">
        <v>756991</v>
      </c>
    </row>
    <row r="45" spans="1:21" x14ac:dyDescent="0.25">
      <c r="A45" s="967">
        <v>90507</v>
      </c>
      <c r="B45" s="968" t="s">
        <v>1220</v>
      </c>
      <c r="C45" s="969">
        <v>6.6000000000000003E-6</v>
      </c>
      <c r="D45" s="969">
        <v>7.3000000000000004E-6</v>
      </c>
      <c r="E45" s="986">
        <v>10408</v>
      </c>
      <c r="F45" s="970">
        <v>10083</v>
      </c>
      <c r="G45" s="970"/>
      <c r="H45" s="971">
        <v>581</v>
      </c>
      <c r="I45" s="972">
        <v>2448</v>
      </c>
      <c r="J45" s="971">
        <v>1440</v>
      </c>
      <c r="K45" s="970">
        <v>11545</v>
      </c>
      <c r="L45" s="972">
        <f t="shared" si="0"/>
        <v>16014</v>
      </c>
      <c r="M45" s="970"/>
      <c r="N45" s="971">
        <v>285</v>
      </c>
      <c r="O45" s="971">
        <v>0</v>
      </c>
      <c r="P45" s="970">
        <v>0</v>
      </c>
      <c r="Q45" s="972">
        <f t="shared" si="1"/>
        <v>285</v>
      </c>
      <c r="R45" s="970"/>
      <c r="S45" s="971">
        <v>3398</v>
      </c>
      <c r="T45" s="973">
        <v>4117</v>
      </c>
      <c r="U45" s="973">
        <v>7515</v>
      </c>
    </row>
    <row r="46" spans="1:21" x14ac:dyDescent="0.25">
      <c r="A46" s="967">
        <v>90511</v>
      </c>
      <c r="B46" s="968" t="s">
        <v>2691</v>
      </c>
      <c r="C46" s="969">
        <v>8.7000000000000001E-5</v>
      </c>
      <c r="D46" s="969">
        <v>9.5500000000000004E-5</v>
      </c>
      <c r="E46" s="986">
        <v>52403</v>
      </c>
      <c r="F46" s="970">
        <v>132912</v>
      </c>
      <c r="G46" s="970"/>
      <c r="H46" s="971">
        <v>7657</v>
      </c>
      <c r="I46" s="972">
        <v>32271</v>
      </c>
      <c r="J46" s="971">
        <v>18982</v>
      </c>
      <c r="K46" s="970">
        <v>14433</v>
      </c>
      <c r="L46" s="972">
        <f t="shared" si="0"/>
        <v>73343</v>
      </c>
      <c r="M46" s="970"/>
      <c r="N46" s="971">
        <v>3762</v>
      </c>
      <c r="O46" s="971">
        <v>0</v>
      </c>
      <c r="P46" s="970">
        <v>0</v>
      </c>
      <c r="Q46" s="972">
        <f t="shared" si="1"/>
        <v>3762</v>
      </c>
      <c r="R46" s="970"/>
      <c r="S46" s="971">
        <v>44791</v>
      </c>
      <c r="T46" s="973">
        <v>6485</v>
      </c>
      <c r="U46" s="973">
        <f>51277-1</f>
        <v>51276</v>
      </c>
    </row>
    <row r="47" spans="1:21" x14ac:dyDescent="0.25">
      <c r="A47" s="967">
        <v>90521</v>
      </c>
      <c r="B47" s="968" t="s">
        <v>2692</v>
      </c>
      <c r="C47" s="969">
        <v>1.3880000000000001E-4</v>
      </c>
      <c r="D47" s="969">
        <v>1.395E-4</v>
      </c>
      <c r="E47" s="986">
        <v>56198</v>
      </c>
      <c r="F47" s="970">
        <v>212048</v>
      </c>
      <c r="G47" s="970"/>
      <c r="H47" s="971">
        <v>12216</v>
      </c>
      <c r="I47" s="972">
        <v>51485</v>
      </c>
      <c r="J47" s="971">
        <v>30283</v>
      </c>
      <c r="K47" s="970">
        <v>0</v>
      </c>
      <c r="L47" s="972">
        <f t="shared" si="0"/>
        <v>93984</v>
      </c>
      <c r="M47" s="970"/>
      <c r="N47" s="971">
        <v>6002</v>
      </c>
      <c r="O47" s="971">
        <v>0</v>
      </c>
      <c r="P47" s="970">
        <v>18446</v>
      </c>
      <c r="Q47" s="972">
        <f t="shared" si="1"/>
        <v>24448</v>
      </c>
      <c r="R47" s="970"/>
      <c r="S47" s="971">
        <v>71460</v>
      </c>
      <c r="T47" s="973">
        <v>-7131</v>
      </c>
      <c r="U47" s="973">
        <v>64329</v>
      </c>
    </row>
    <row r="48" spans="1:21" x14ac:dyDescent="0.25">
      <c r="A48" s="967">
        <v>90601</v>
      </c>
      <c r="B48" s="968" t="s">
        <v>2693</v>
      </c>
      <c r="C48" s="969">
        <v>1.1888000000000001E-3</v>
      </c>
      <c r="D48" s="969">
        <v>1.1785999999999999E-3</v>
      </c>
      <c r="E48" s="986">
        <v>540985</v>
      </c>
      <c r="F48" s="970">
        <v>1816157</v>
      </c>
      <c r="G48" s="970"/>
      <c r="H48" s="971">
        <v>104627</v>
      </c>
      <c r="I48" s="972">
        <v>440965</v>
      </c>
      <c r="J48" s="971">
        <v>259372</v>
      </c>
      <c r="K48" s="970">
        <v>20795</v>
      </c>
      <c r="L48" s="972">
        <f t="shared" si="0"/>
        <v>825759</v>
      </c>
      <c r="M48" s="970"/>
      <c r="N48" s="971">
        <v>51410</v>
      </c>
      <c r="O48" s="971">
        <v>0</v>
      </c>
      <c r="P48" s="970">
        <v>19784</v>
      </c>
      <c r="Q48" s="972">
        <f t="shared" si="1"/>
        <v>71194</v>
      </c>
      <c r="R48" s="970"/>
      <c r="S48" s="971">
        <v>612047</v>
      </c>
      <c r="T48" s="973">
        <v>8359</v>
      </c>
      <c r="U48" s="973">
        <v>620406</v>
      </c>
    </row>
    <row r="49" spans="1:21" x14ac:dyDescent="0.25">
      <c r="A49" s="967">
        <v>90602</v>
      </c>
      <c r="B49" s="968" t="s">
        <v>2125</v>
      </c>
      <c r="C49" s="969">
        <v>6.3899999999999995E-5</v>
      </c>
      <c r="D49" s="969">
        <v>6.3299999999999994E-5</v>
      </c>
      <c r="E49" s="986">
        <v>34828</v>
      </c>
      <c r="F49" s="970">
        <v>97621</v>
      </c>
      <c r="G49" s="970"/>
      <c r="H49" s="971">
        <v>5624</v>
      </c>
      <c r="I49" s="972">
        <v>23703</v>
      </c>
      <c r="J49" s="971">
        <v>13942</v>
      </c>
      <c r="K49" s="970">
        <v>38810</v>
      </c>
      <c r="L49" s="972">
        <f t="shared" si="0"/>
        <v>82079</v>
      </c>
      <c r="M49" s="970"/>
      <c r="N49" s="971">
        <v>2763</v>
      </c>
      <c r="O49" s="971">
        <v>0</v>
      </c>
      <c r="P49" s="970">
        <v>0</v>
      </c>
      <c r="Q49" s="972">
        <f t="shared" si="1"/>
        <v>2763</v>
      </c>
      <c r="R49" s="970"/>
      <c r="S49" s="971">
        <v>32899</v>
      </c>
      <c r="T49" s="973">
        <v>14161</v>
      </c>
      <c r="U49" s="973">
        <f>47059+1</f>
        <v>47060</v>
      </c>
    </row>
    <row r="50" spans="1:21" x14ac:dyDescent="0.25">
      <c r="A50" s="967">
        <v>90605</v>
      </c>
      <c r="B50" s="968" t="s">
        <v>2694</v>
      </c>
      <c r="C50" s="969">
        <v>4.1999999999999998E-5</v>
      </c>
      <c r="D50" s="969">
        <v>3.8399999999999998E-5</v>
      </c>
      <c r="E50" s="986">
        <v>25461</v>
      </c>
      <c r="F50" s="970">
        <v>64164</v>
      </c>
      <c r="G50" s="970"/>
      <c r="H50" s="971">
        <v>3696</v>
      </c>
      <c r="I50" s="972">
        <v>15579</v>
      </c>
      <c r="J50" s="971">
        <v>9164</v>
      </c>
      <c r="K50" s="970">
        <v>15425</v>
      </c>
      <c r="L50" s="972">
        <f t="shared" si="0"/>
        <v>43864</v>
      </c>
      <c r="M50" s="970"/>
      <c r="N50" s="971">
        <v>1816</v>
      </c>
      <c r="O50" s="971">
        <v>0</v>
      </c>
      <c r="P50" s="970">
        <v>0</v>
      </c>
      <c r="Q50" s="972">
        <f t="shared" si="1"/>
        <v>1816</v>
      </c>
      <c r="R50" s="970"/>
      <c r="S50" s="971">
        <v>21623</v>
      </c>
      <c r="T50" s="973">
        <v>5623</v>
      </c>
      <c r="U50" s="973">
        <f>27247-1</f>
        <v>27246</v>
      </c>
    </row>
    <row r="51" spans="1:21" x14ac:dyDescent="0.25">
      <c r="A51" s="967">
        <v>90611</v>
      </c>
      <c r="B51" s="968" t="s">
        <v>2695</v>
      </c>
      <c r="C51" s="969">
        <v>1.4880000000000001E-4</v>
      </c>
      <c r="D51" s="969">
        <v>1.5669999999999999E-4</v>
      </c>
      <c r="E51" s="986">
        <v>64371</v>
      </c>
      <c r="F51" s="970">
        <v>227325</v>
      </c>
      <c r="G51" s="970"/>
      <c r="H51" s="971">
        <v>13096</v>
      </c>
      <c r="I51" s="972">
        <v>55195</v>
      </c>
      <c r="J51" s="971">
        <v>32465</v>
      </c>
      <c r="K51" s="970">
        <v>2524</v>
      </c>
      <c r="L51" s="972">
        <f t="shared" si="0"/>
        <v>103280</v>
      </c>
      <c r="M51" s="970"/>
      <c r="N51" s="971">
        <v>6435</v>
      </c>
      <c r="O51" s="971">
        <v>0</v>
      </c>
      <c r="P51" s="970">
        <v>18006</v>
      </c>
      <c r="Q51" s="972">
        <f t="shared" si="1"/>
        <v>24441</v>
      </c>
      <c r="R51" s="970"/>
      <c r="S51" s="971">
        <v>76609</v>
      </c>
      <c r="T51" s="973">
        <v>-3082</v>
      </c>
      <c r="U51" s="973">
        <v>73527</v>
      </c>
    </row>
    <row r="52" spans="1:21" x14ac:dyDescent="0.25">
      <c r="A52" s="967">
        <v>90617</v>
      </c>
      <c r="B52" s="968" t="s">
        <v>2696</v>
      </c>
      <c r="C52" s="969">
        <v>2.5999999999999998E-5</v>
      </c>
      <c r="D52" s="969">
        <v>2.6800000000000001E-5</v>
      </c>
      <c r="E52" s="986">
        <v>15821</v>
      </c>
      <c r="F52" s="970">
        <v>39721</v>
      </c>
      <c r="G52" s="970"/>
      <c r="H52" s="971">
        <v>2288</v>
      </c>
      <c r="I52" s="972">
        <v>9644</v>
      </c>
      <c r="J52" s="971">
        <v>5673</v>
      </c>
      <c r="K52" s="970">
        <v>7632</v>
      </c>
      <c r="L52" s="972">
        <f t="shared" si="0"/>
        <v>25237</v>
      </c>
      <c r="M52" s="970"/>
      <c r="N52" s="971">
        <v>1124</v>
      </c>
      <c r="O52" s="971">
        <v>0</v>
      </c>
      <c r="P52" s="970">
        <v>0</v>
      </c>
      <c r="Q52" s="972">
        <f t="shared" si="1"/>
        <v>1124</v>
      </c>
      <c r="R52" s="970"/>
      <c r="S52" s="971">
        <v>13386</v>
      </c>
      <c r="T52" s="973">
        <v>4087</v>
      </c>
      <c r="U52" s="973">
        <v>17473</v>
      </c>
    </row>
    <row r="53" spans="1:21" x14ac:dyDescent="0.25">
      <c r="A53" s="967">
        <v>90621</v>
      </c>
      <c r="B53" s="968" t="s">
        <v>2697</v>
      </c>
      <c r="C53" s="969">
        <v>6.3999999999999997E-5</v>
      </c>
      <c r="D53" s="969">
        <v>8.2100000000000003E-5</v>
      </c>
      <c r="E53" s="986">
        <v>27532</v>
      </c>
      <c r="F53" s="970">
        <v>97774</v>
      </c>
      <c r="G53" s="970"/>
      <c r="H53" s="971">
        <v>5633</v>
      </c>
      <c r="I53" s="972">
        <v>23740</v>
      </c>
      <c r="J53" s="971">
        <v>13964</v>
      </c>
      <c r="K53" s="970">
        <v>588</v>
      </c>
      <c r="L53" s="972">
        <f t="shared" si="0"/>
        <v>43925</v>
      </c>
      <c r="M53" s="970"/>
      <c r="N53" s="971">
        <v>2768</v>
      </c>
      <c r="O53" s="971">
        <v>0</v>
      </c>
      <c r="P53" s="970">
        <v>19000</v>
      </c>
      <c r="Q53" s="972">
        <f t="shared" si="1"/>
        <v>21768</v>
      </c>
      <c r="R53" s="970"/>
      <c r="S53" s="971">
        <v>32950</v>
      </c>
      <c r="T53" s="973">
        <v>-5337</v>
      </c>
      <c r="U53" s="973">
        <v>27613</v>
      </c>
    </row>
    <row r="54" spans="1:21" x14ac:dyDescent="0.25">
      <c r="A54" s="967">
        <v>90631</v>
      </c>
      <c r="B54" s="968" t="s">
        <v>2698</v>
      </c>
      <c r="C54" s="969">
        <v>3.9560000000000002E-4</v>
      </c>
      <c r="D54" s="969">
        <v>3.8000000000000002E-4</v>
      </c>
      <c r="E54" s="986">
        <v>175402</v>
      </c>
      <c r="F54" s="970">
        <v>604367</v>
      </c>
      <c r="G54" s="970"/>
      <c r="H54" s="971">
        <v>34817</v>
      </c>
      <c r="I54" s="972">
        <v>146742</v>
      </c>
      <c r="J54" s="971">
        <v>86312</v>
      </c>
      <c r="K54" s="970">
        <v>17764</v>
      </c>
      <c r="L54" s="972">
        <f t="shared" si="0"/>
        <v>285635</v>
      </c>
      <c r="M54" s="970"/>
      <c r="N54" s="971">
        <v>17108</v>
      </c>
      <c r="O54" s="971">
        <v>0</v>
      </c>
      <c r="P54" s="970">
        <v>8233</v>
      </c>
      <c r="Q54" s="972">
        <f t="shared" si="1"/>
        <v>25341</v>
      </c>
      <c r="R54" s="970"/>
      <c r="S54" s="971">
        <v>203672</v>
      </c>
      <c r="T54" s="973">
        <v>-484</v>
      </c>
      <c r="U54" s="973">
        <f>203189-1</f>
        <v>203188</v>
      </c>
    </row>
    <row r="55" spans="1:21" x14ac:dyDescent="0.25">
      <c r="A55" s="967">
        <v>90641</v>
      </c>
      <c r="B55" s="968" t="s">
        <v>2699</v>
      </c>
      <c r="C55" s="969">
        <v>1.38E-5</v>
      </c>
      <c r="D55" s="969">
        <v>1.4399999999999999E-5</v>
      </c>
      <c r="E55" s="986">
        <v>6944</v>
      </c>
      <c r="F55" s="970">
        <v>21083</v>
      </c>
      <c r="G55" s="970"/>
      <c r="H55" s="971">
        <v>1215</v>
      </c>
      <c r="I55" s="972">
        <v>5118</v>
      </c>
      <c r="J55" s="971">
        <v>3011</v>
      </c>
      <c r="K55" s="970">
        <v>304</v>
      </c>
      <c r="L55" s="972">
        <f t="shared" si="0"/>
        <v>9648</v>
      </c>
      <c r="M55" s="970"/>
      <c r="N55" s="971">
        <v>597</v>
      </c>
      <c r="O55" s="971">
        <v>0</v>
      </c>
      <c r="P55" s="970">
        <v>517</v>
      </c>
      <c r="Q55" s="972">
        <f t="shared" si="1"/>
        <v>1114</v>
      </c>
      <c r="R55" s="970"/>
      <c r="S55" s="971">
        <v>7105</v>
      </c>
      <c r="T55" s="973">
        <v>-123</v>
      </c>
      <c r="U55" s="973">
        <v>6982</v>
      </c>
    </row>
    <row r="56" spans="1:21" x14ac:dyDescent="0.25">
      <c r="A56" s="967">
        <v>90651</v>
      </c>
      <c r="B56" s="968" t="s">
        <v>2700</v>
      </c>
      <c r="C56" s="969">
        <v>1E-4</v>
      </c>
      <c r="D56" s="969">
        <v>1.108E-4</v>
      </c>
      <c r="E56" s="986">
        <v>98054</v>
      </c>
      <c r="F56" s="970">
        <v>152772</v>
      </c>
      <c r="G56" s="970"/>
      <c r="H56" s="971">
        <v>8801</v>
      </c>
      <c r="I56" s="972">
        <v>37093</v>
      </c>
      <c r="J56" s="971">
        <v>21818</v>
      </c>
      <c r="K56" s="970">
        <v>85885</v>
      </c>
      <c r="L56" s="972">
        <f t="shared" si="0"/>
        <v>153597</v>
      </c>
      <c r="M56" s="970"/>
      <c r="N56" s="971">
        <v>4325</v>
      </c>
      <c r="O56" s="971">
        <v>0</v>
      </c>
      <c r="P56" s="970">
        <v>4659</v>
      </c>
      <c r="Q56" s="972">
        <f t="shared" si="1"/>
        <v>8984</v>
      </c>
      <c r="R56" s="970"/>
      <c r="S56" s="971">
        <v>51484</v>
      </c>
      <c r="T56" s="973">
        <v>25671</v>
      </c>
      <c r="U56" s="973">
        <f>77156-1</f>
        <v>77155</v>
      </c>
    </row>
    <row r="57" spans="1:21" x14ac:dyDescent="0.25">
      <c r="A57" s="967">
        <v>90701</v>
      </c>
      <c r="B57" s="968" t="s">
        <v>3682</v>
      </c>
      <c r="C57" s="969">
        <v>2.6581E-3</v>
      </c>
      <c r="D57" s="969">
        <v>2.3587E-3</v>
      </c>
      <c r="E57" s="986">
        <v>1110621</v>
      </c>
      <c r="F57" s="970">
        <v>4060841</v>
      </c>
      <c r="G57" s="970"/>
      <c r="H57" s="971">
        <v>233942</v>
      </c>
      <c r="I57" s="972">
        <v>985977</v>
      </c>
      <c r="J57" s="971">
        <v>579944</v>
      </c>
      <c r="K57" s="970">
        <v>130818</v>
      </c>
      <c r="L57" s="972">
        <f t="shared" si="0"/>
        <v>1930681</v>
      </c>
      <c r="M57" s="970"/>
      <c r="N57" s="971">
        <v>114950</v>
      </c>
      <c r="O57" s="971">
        <v>0</v>
      </c>
      <c r="P57" s="970">
        <v>31847</v>
      </c>
      <c r="Q57" s="972">
        <f t="shared" si="1"/>
        <v>146797</v>
      </c>
      <c r="R57" s="970"/>
      <c r="S57" s="971">
        <v>1368507</v>
      </c>
      <c r="T57" s="973">
        <v>33872</v>
      </c>
      <c r="U57" s="973">
        <v>1402379</v>
      </c>
    </row>
    <row r="58" spans="1:21" x14ac:dyDescent="0.25">
      <c r="A58" s="967">
        <v>90704</v>
      </c>
      <c r="B58" s="968" t="s">
        <v>2702</v>
      </c>
      <c r="C58" s="969">
        <v>3.3300000000000003E-5</v>
      </c>
      <c r="D58" s="969">
        <v>3.4900000000000001E-5</v>
      </c>
      <c r="E58" s="986">
        <v>23859</v>
      </c>
      <c r="F58" s="970">
        <v>50873</v>
      </c>
      <c r="G58" s="970"/>
      <c r="H58" s="971">
        <v>2931</v>
      </c>
      <c r="I58" s="972">
        <v>12352</v>
      </c>
      <c r="J58" s="971">
        <v>7265</v>
      </c>
      <c r="K58" s="970">
        <v>14629</v>
      </c>
      <c r="L58" s="972">
        <f t="shared" si="0"/>
        <v>37177</v>
      </c>
      <c r="M58" s="970"/>
      <c r="N58" s="971">
        <v>1440</v>
      </c>
      <c r="O58" s="971">
        <v>0</v>
      </c>
      <c r="P58" s="970">
        <v>0</v>
      </c>
      <c r="Q58" s="972">
        <f t="shared" si="1"/>
        <v>1440</v>
      </c>
      <c r="R58" s="970"/>
      <c r="S58" s="971">
        <v>17144</v>
      </c>
      <c r="T58" s="973">
        <v>5643</v>
      </c>
      <c r="U58" s="973">
        <f>22788-1</f>
        <v>22787</v>
      </c>
    </row>
    <row r="59" spans="1:21" x14ac:dyDescent="0.25">
      <c r="A59" s="967">
        <v>90705</v>
      </c>
      <c r="B59" s="968" t="s">
        <v>2703</v>
      </c>
      <c r="C59" s="969">
        <v>5.3000000000000001E-5</v>
      </c>
      <c r="D59" s="969">
        <v>3.3899999999999997E-5</v>
      </c>
      <c r="E59" s="986">
        <v>23100</v>
      </c>
      <c r="F59" s="970">
        <v>80969</v>
      </c>
      <c r="G59" s="970"/>
      <c r="H59" s="971">
        <v>4665</v>
      </c>
      <c r="I59" s="972">
        <v>19659</v>
      </c>
      <c r="J59" s="971">
        <v>11564</v>
      </c>
      <c r="K59" s="970">
        <v>18366</v>
      </c>
      <c r="L59" s="972">
        <f t="shared" si="0"/>
        <v>54254</v>
      </c>
      <c r="M59" s="970"/>
      <c r="N59" s="971">
        <v>2292</v>
      </c>
      <c r="O59" s="971">
        <v>0</v>
      </c>
      <c r="P59" s="970">
        <v>0</v>
      </c>
      <c r="Q59" s="972">
        <f t="shared" si="1"/>
        <v>2292</v>
      </c>
      <c r="R59" s="970"/>
      <c r="S59" s="971">
        <v>27287</v>
      </c>
      <c r="T59" s="973">
        <v>6194</v>
      </c>
      <c r="U59" s="973">
        <v>33481</v>
      </c>
    </row>
    <row r="60" spans="1:21" x14ac:dyDescent="0.25">
      <c r="A60" s="967">
        <v>90709</v>
      </c>
      <c r="B60" s="968" t="s">
        <v>2704</v>
      </c>
      <c r="C60" s="969">
        <v>1.2650000000000001E-4</v>
      </c>
      <c r="D60" s="969">
        <v>1.4569999999999999E-4</v>
      </c>
      <c r="E60" s="986">
        <v>61710</v>
      </c>
      <c r="F60" s="970">
        <v>193257</v>
      </c>
      <c r="G60" s="970"/>
      <c r="H60" s="971">
        <v>11133</v>
      </c>
      <c r="I60" s="972">
        <v>46924</v>
      </c>
      <c r="J60" s="971">
        <v>27600</v>
      </c>
      <c r="K60" s="970">
        <v>5085</v>
      </c>
      <c r="L60" s="972">
        <f t="shared" si="0"/>
        <v>90742</v>
      </c>
      <c r="M60" s="970"/>
      <c r="N60" s="971">
        <v>5470</v>
      </c>
      <c r="O60" s="971">
        <v>0</v>
      </c>
      <c r="P60" s="970">
        <v>42511</v>
      </c>
      <c r="Q60" s="972">
        <f t="shared" si="1"/>
        <v>47981</v>
      </c>
      <c r="R60" s="970"/>
      <c r="S60" s="971">
        <v>65128</v>
      </c>
      <c r="T60" s="973">
        <v>-9374</v>
      </c>
      <c r="U60" s="973">
        <v>55754</v>
      </c>
    </row>
    <row r="61" spans="1:21" x14ac:dyDescent="0.25">
      <c r="A61" s="967">
        <v>90711</v>
      </c>
      <c r="B61" s="968" t="s">
        <v>2705</v>
      </c>
      <c r="C61" s="969">
        <v>1.6877000000000001E-3</v>
      </c>
      <c r="D61" s="969">
        <v>1.7302000000000001E-3</v>
      </c>
      <c r="E61" s="986">
        <v>774256</v>
      </c>
      <c r="F61" s="970">
        <v>2578338</v>
      </c>
      <c r="G61" s="970"/>
      <c r="H61" s="971">
        <v>148536</v>
      </c>
      <c r="I61" s="972">
        <v>626023</v>
      </c>
      <c r="J61" s="971">
        <v>368222</v>
      </c>
      <c r="K61" s="970">
        <v>0</v>
      </c>
      <c r="L61" s="972">
        <f t="shared" si="0"/>
        <v>1142781</v>
      </c>
      <c r="M61" s="970"/>
      <c r="N61" s="971">
        <v>72985</v>
      </c>
      <c r="O61" s="971">
        <v>0</v>
      </c>
      <c r="P61" s="970">
        <v>160849</v>
      </c>
      <c r="Q61" s="972">
        <f t="shared" si="1"/>
        <v>233834</v>
      </c>
      <c r="R61" s="970"/>
      <c r="S61" s="971">
        <v>868902</v>
      </c>
      <c r="T61" s="973">
        <v>-68798</v>
      </c>
      <c r="U61" s="973">
        <v>800104</v>
      </c>
    </row>
    <row r="62" spans="1:21" x14ac:dyDescent="0.25">
      <c r="A62" s="967">
        <v>90721</v>
      </c>
      <c r="B62" s="968" t="s">
        <v>2706</v>
      </c>
      <c r="C62" s="969">
        <v>2.8600000000000001E-5</v>
      </c>
      <c r="D62" s="969">
        <v>3.7299999999999999E-5</v>
      </c>
      <c r="E62" s="986">
        <v>15289</v>
      </c>
      <c r="F62" s="970">
        <v>43693</v>
      </c>
      <c r="G62" s="970"/>
      <c r="H62" s="971">
        <v>2517</v>
      </c>
      <c r="I62" s="972">
        <v>10608</v>
      </c>
      <c r="J62" s="971">
        <v>6240</v>
      </c>
      <c r="K62" s="970">
        <v>2956</v>
      </c>
      <c r="L62" s="972">
        <f t="shared" si="0"/>
        <v>22321</v>
      </c>
      <c r="M62" s="970"/>
      <c r="N62" s="971">
        <v>1237</v>
      </c>
      <c r="O62" s="971">
        <v>0</v>
      </c>
      <c r="P62" s="970">
        <v>4943</v>
      </c>
      <c r="Q62" s="972">
        <f t="shared" si="1"/>
        <v>6180</v>
      </c>
      <c r="R62" s="970"/>
      <c r="S62" s="971">
        <v>14725</v>
      </c>
      <c r="T62" s="973">
        <v>1072</v>
      </c>
      <c r="U62" s="973">
        <f>15796+1</f>
        <v>15797</v>
      </c>
    </row>
    <row r="63" spans="1:21" x14ac:dyDescent="0.25">
      <c r="A63" s="967">
        <v>90731</v>
      </c>
      <c r="B63" s="968" t="s">
        <v>2707</v>
      </c>
      <c r="C63" s="969">
        <v>1.741E-4</v>
      </c>
      <c r="D63" s="969">
        <v>1.917E-4</v>
      </c>
      <c r="E63" s="986">
        <v>79540</v>
      </c>
      <c r="F63" s="970">
        <v>265977</v>
      </c>
      <c r="G63" s="970"/>
      <c r="H63" s="971">
        <v>15323</v>
      </c>
      <c r="I63" s="972">
        <v>64580</v>
      </c>
      <c r="J63" s="971">
        <v>37985</v>
      </c>
      <c r="K63" s="970">
        <v>0</v>
      </c>
      <c r="L63" s="972">
        <f t="shared" si="0"/>
        <v>117888</v>
      </c>
      <c r="M63" s="970"/>
      <c r="N63" s="971">
        <v>7529</v>
      </c>
      <c r="O63" s="971">
        <v>0</v>
      </c>
      <c r="P63" s="970">
        <v>18148</v>
      </c>
      <c r="Q63" s="972">
        <f t="shared" si="1"/>
        <v>25677</v>
      </c>
      <c r="R63" s="970"/>
      <c r="S63" s="971">
        <v>89634</v>
      </c>
      <c r="T63" s="973">
        <v>-7025</v>
      </c>
      <c r="U63" s="973">
        <v>82609</v>
      </c>
    </row>
    <row r="64" spans="1:21" x14ac:dyDescent="0.25">
      <c r="A64" s="967">
        <v>90741</v>
      </c>
      <c r="B64" s="968" t="s">
        <v>2708</v>
      </c>
      <c r="C64" s="969">
        <v>9.0999999999999993E-6</v>
      </c>
      <c r="D64" s="969">
        <v>1.2099999999999999E-5</v>
      </c>
      <c r="E64" s="986">
        <v>6433</v>
      </c>
      <c r="F64" s="970">
        <v>13902</v>
      </c>
      <c r="G64" s="970"/>
      <c r="H64" s="971">
        <v>801</v>
      </c>
      <c r="I64" s="972">
        <v>3375</v>
      </c>
      <c r="J64" s="971">
        <v>1985</v>
      </c>
      <c r="K64" s="970">
        <v>2169</v>
      </c>
      <c r="L64" s="972">
        <f t="shared" si="0"/>
        <v>8330</v>
      </c>
      <c r="M64" s="970"/>
      <c r="N64" s="971">
        <v>394</v>
      </c>
      <c r="O64" s="971">
        <v>0</v>
      </c>
      <c r="P64" s="970">
        <v>952</v>
      </c>
      <c r="Q64" s="972">
        <f t="shared" si="1"/>
        <v>1346</v>
      </c>
      <c r="R64" s="970"/>
      <c r="S64" s="971">
        <v>4685</v>
      </c>
      <c r="T64" s="973">
        <v>235</v>
      </c>
      <c r="U64" s="973">
        <v>4920</v>
      </c>
    </row>
    <row r="65" spans="1:21" x14ac:dyDescent="0.25">
      <c r="A65" s="967">
        <v>90751</v>
      </c>
      <c r="B65" s="968" t="s">
        <v>2709</v>
      </c>
      <c r="C65" s="969">
        <v>6.8700000000000003E-5</v>
      </c>
      <c r="D65" s="969">
        <v>6.5599999999999995E-5</v>
      </c>
      <c r="E65" s="986">
        <v>27591</v>
      </c>
      <c r="F65" s="970">
        <v>104955</v>
      </c>
      <c r="G65" s="970"/>
      <c r="H65" s="971">
        <v>6046</v>
      </c>
      <c r="I65" s="972">
        <v>25483</v>
      </c>
      <c r="J65" s="971">
        <v>14989</v>
      </c>
      <c r="K65" s="970">
        <v>4940</v>
      </c>
      <c r="L65" s="972">
        <f t="shared" si="0"/>
        <v>51458</v>
      </c>
      <c r="M65" s="970"/>
      <c r="N65" s="971">
        <v>2971</v>
      </c>
      <c r="O65" s="971">
        <v>0</v>
      </c>
      <c r="P65" s="970">
        <v>1080</v>
      </c>
      <c r="Q65" s="972">
        <f t="shared" si="1"/>
        <v>4051</v>
      </c>
      <c r="R65" s="970"/>
      <c r="S65" s="971">
        <v>35370</v>
      </c>
      <c r="T65" s="973">
        <v>3400</v>
      </c>
      <c r="U65" s="973">
        <v>38770</v>
      </c>
    </row>
    <row r="66" spans="1:21" x14ac:dyDescent="0.25">
      <c r="A66" s="967">
        <v>90801</v>
      </c>
      <c r="B66" s="968" t="s">
        <v>2710</v>
      </c>
      <c r="C66" s="969">
        <v>1.3064000000000001E-3</v>
      </c>
      <c r="D66" s="969">
        <v>1.1404E-3</v>
      </c>
      <c r="E66" s="986">
        <v>521156</v>
      </c>
      <c r="F66" s="970">
        <v>1995817</v>
      </c>
      <c r="G66" s="970"/>
      <c r="H66" s="971">
        <v>114978</v>
      </c>
      <c r="I66" s="972">
        <v>484586</v>
      </c>
      <c r="J66" s="971">
        <v>285030</v>
      </c>
      <c r="K66" s="970">
        <v>151641</v>
      </c>
      <c r="L66" s="972">
        <f t="shared" si="0"/>
        <v>1036235</v>
      </c>
      <c r="M66" s="970"/>
      <c r="N66" s="971">
        <v>56495</v>
      </c>
      <c r="O66" s="971">
        <v>0</v>
      </c>
      <c r="P66" s="970">
        <v>0</v>
      </c>
      <c r="Q66" s="972">
        <f t="shared" si="1"/>
        <v>56495</v>
      </c>
      <c r="R66" s="970"/>
      <c r="S66" s="971">
        <v>672592</v>
      </c>
      <c r="T66" s="973">
        <v>65370</v>
      </c>
      <c r="U66" s="973">
        <v>737962</v>
      </c>
    </row>
    <row r="67" spans="1:21" x14ac:dyDescent="0.25">
      <c r="A67" s="967">
        <v>90804</v>
      </c>
      <c r="B67" s="968" t="s">
        <v>2711</v>
      </c>
      <c r="C67" s="969">
        <v>6.1999999999999999E-6</v>
      </c>
      <c r="D67" s="969">
        <v>6.0000000000000002E-6</v>
      </c>
      <c r="E67" s="986">
        <v>2751</v>
      </c>
      <c r="F67" s="970">
        <v>9472</v>
      </c>
      <c r="G67" s="970"/>
      <c r="H67" s="971">
        <v>546</v>
      </c>
      <c r="I67" s="972">
        <v>2300</v>
      </c>
      <c r="J67" s="971">
        <v>1353</v>
      </c>
      <c r="K67" s="970">
        <v>1462</v>
      </c>
      <c r="L67" s="972">
        <f t="shared" si="0"/>
        <v>5661</v>
      </c>
      <c r="M67" s="970"/>
      <c r="N67" s="971">
        <v>268</v>
      </c>
      <c r="O67" s="971">
        <v>0</v>
      </c>
      <c r="P67" s="970">
        <v>0</v>
      </c>
      <c r="Q67" s="972">
        <f t="shared" si="1"/>
        <v>268</v>
      </c>
      <c r="R67" s="970"/>
      <c r="S67" s="971">
        <v>3192</v>
      </c>
      <c r="T67" s="973">
        <v>893</v>
      </c>
      <c r="U67" s="973">
        <v>4085</v>
      </c>
    </row>
    <row r="68" spans="1:21" x14ac:dyDescent="0.25">
      <c r="A68" s="967">
        <v>90805</v>
      </c>
      <c r="B68" s="968" t="s">
        <v>2712</v>
      </c>
      <c r="C68" s="969">
        <v>5.1900000000000001E-5</v>
      </c>
      <c r="D68" s="969">
        <v>5.5099999999999998E-5</v>
      </c>
      <c r="E68" s="986">
        <v>35600</v>
      </c>
      <c r="F68" s="970">
        <v>79289</v>
      </c>
      <c r="G68" s="970"/>
      <c r="H68" s="971">
        <v>4568</v>
      </c>
      <c r="I68" s="972">
        <v>19252</v>
      </c>
      <c r="J68" s="971">
        <v>11324</v>
      </c>
      <c r="K68" s="970">
        <v>22022</v>
      </c>
      <c r="L68" s="972">
        <f t="shared" si="0"/>
        <v>57166</v>
      </c>
      <c r="M68" s="970"/>
      <c r="N68" s="971">
        <v>2244</v>
      </c>
      <c r="O68" s="971">
        <v>0</v>
      </c>
      <c r="P68" s="970">
        <v>0</v>
      </c>
      <c r="Q68" s="972">
        <f t="shared" si="1"/>
        <v>2244</v>
      </c>
      <c r="R68" s="970"/>
      <c r="S68" s="971">
        <v>26720</v>
      </c>
      <c r="T68" s="973">
        <v>9443</v>
      </c>
      <c r="U68" s="973">
        <v>36163</v>
      </c>
    </row>
    <row r="69" spans="1:21" x14ac:dyDescent="0.25">
      <c r="A69" s="967">
        <v>90808</v>
      </c>
      <c r="B69" s="968" t="s">
        <v>2713</v>
      </c>
      <c r="C69" s="969">
        <v>1.131E-4</v>
      </c>
      <c r="D69" s="969">
        <v>1.109E-4</v>
      </c>
      <c r="E69" s="986">
        <v>56029</v>
      </c>
      <c r="F69" s="970">
        <v>172785</v>
      </c>
      <c r="G69" s="970"/>
      <c r="H69" s="971">
        <v>9954</v>
      </c>
      <c r="I69" s="972">
        <v>41952</v>
      </c>
      <c r="J69" s="971">
        <v>24676</v>
      </c>
      <c r="K69" s="970">
        <v>5678</v>
      </c>
      <c r="L69" s="972">
        <f t="shared" si="0"/>
        <v>82260</v>
      </c>
      <c r="M69" s="970"/>
      <c r="N69" s="971">
        <v>4891</v>
      </c>
      <c r="O69" s="971">
        <v>0</v>
      </c>
      <c r="P69" s="970">
        <v>2008</v>
      </c>
      <c r="Q69" s="972">
        <f t="shared" si="1"/>
        <v>6899</v>
      </c>
      <c r="R69" s="970"/>
      <c r="S69" s="971">
        <v>58229</v>
      </c>
      <c r="T69" s="973">
        <v>731</v>
      </c>
      <c r="U69" s="973">
        <f>58959+1</f>
        <v>58960</v>
      </c>
    </row>
    <row r="70" spans="1:21" x14ac:dyDescent="0.25">
      <c r="A70" s="967">
        <v>90811</v>
      </c>
      <c r="B70" s="968" t="s">
        <v>2714</v>
      </c>
      <c r="C70" s="969">
        <v>3.3599999999999997E-5</v>
      </c>
      <c r="D70" s="969">
        <v>4.0000000000000003E-5</v>
      </c>
      <c r="E70" s="986">
        <v>11655</v>
      </c>
      <c r="F70" s="970">
        <v>51331</v>
      </c>
      <c r="G70" s="970"/>
      <c r="H70" s="971">
        <v>2957</v>
      </c>
      <c r="I70" s="972">
        <v>12463</v>
      </c>
      <c r="J70" s="971">
        <v>7331</v>
      </c>
      <c r="K70" s="970">
        <v>471</v>
      </c>
      <c r="L70" s="972">
        <f t="shared" si="0"/>
        <v>23222</v>
      </c>
      <c r="M70" s="970"/>
      <c r="N70" s="971">
        <v>1453</v>
      </c>
      <c r="O70" s="971">
        <v>0</v>
      </c>
      <c r="P70" s="970">
        <v>8846</v>
      </c>
      <c r="Q70" s="972">
        <f t="shared" si="1"/>
        <v>10299</v>
      </c>
      <c r="R70" s="970"/>
      <c r="S70" s="971">
        <v>17299</v>
      </c>
      <c r="T70" s="973">
        <v>-1986</v>
      </c>
      <c r="U70" s="973">
        <v>15313</v>
      </c>
    </row>
    <row r="71" spans="1:21" x14ac:dyDescent="0.25">
      <c r="A71" s="967">
        <v>90812</v>
      </c>
      <c r="B71" s="968" t="s">
        <v>2715</v>
      </c>
      <c r="C71" s="969">
        <v>2.2900000000000001E-4</v>
      </c>
      <c r="D71" s="969">
        <v>2.13E-4</v>
      </c>
      <c r="E71" s="986">
        <v>105040</v>
      </c>
      <c r="F71" s="970">
        <v>349849</v>
      </c>
      <c r="G71" s="970"/>
      <c r="H71" s="971">
        <v>20155</v>
      </c>
      <c r="I71" s="972">
        <v>84944</v>
      </c>
      <c r="J71" s="971">
        <v>49963</v>
      </c>
      <c r="K71" s="970">
        <v>15087</v>
      </c>
      <c r="L71" s="972">
        <f t="shared" ref="L71:L134" si="2">H71+I71+J71+K71</f>
        <v>170149</v>
      </c>
      <c r="M71" s="970"/>
      <c r="N71" s="971">
        <v>9903</v>
      </c>
      <c r="O71" s="971">
        <v>0</v>
      </c>
      <c r="P71" s="970">
        <v>10549</v>
      </c>
      <c r="Q71" s="972">
        <f t="shared" ref="Q71:Q134" si="3">N71+O71+P71</f>
        <v>20452</v>
      </c>
      <c r="R71" s="970"/>
      <c r="S71" s="971">
        <v>117899</v>
      </c>
      <c r="T71" s="973">
        <v>3117</v>
      </c>
      <c r="U71" s="973">
        <v>121016</v>
      </c>
    </row>
    <row r="72" spans="1:21" x14ac:dyDescent="0.25">
      <c r="A72" s="967">
        <v>90813</v>
      </c>
      <c r="B72" s="968" t="s">
        <v>2716</v>
      </c>
      <c r="C72" s="969">
        <v>5.3000000000000001E-6</v>
      </c>
      <c r="D72" s="969">
        <v>5.4999999999999999E-6</v>
      </c>
      <c r="E72" s="986">
        <v>2061</v>
      </c>
      <c r="F72" s="970">
        <v>8097</v>
      </c>
      <c r="G72" s="970"/>
      <c r="H72" s="971">
        <v>466</v>
      </c>
      <c r="I72" s="972">
        <v>1966</v>
      </c>
      <c r="J72" s="971">
        <v>1156</v>
      </c>
      <c r="K72" s="970">
        <v>0</v>
      </c>
      <c r="L72" s="972">
        <f t="shared" si="2"/>
        <v>3588</v>
      </c>
      <c r="M72" s="970"/>
      <c r="N72" s="971">
        <v>229</v>
      </c>
      <c r="O72" s="971">
        <v>0</v>
      </c>
      <c r="P72" s="970">
        <v>1124</v>
      </c>
      <c r="Q72" s="972">
        <f t="shared" si="3"/>
        <v>1353</v>
      </c>
      <c r="R72" s="970"/>
      <c r="S72" s="971">
        <v>2729</v>
      </c>
      <c r="T72" s="973">
        <v>-505</v>
      </c>
      <c r="U72" s="973">
        <f>2223+1</f>
        <v>2224</v>
      </c>
    </row>
    <row r="73" spans="1:21" x14ac:dyDescent="0.25">
      <c r="A73" s="967">
        <v>90861</v>
      </c>
      <c r="B73" s="968" t="s">
        <v>2717</v>
      </c>
      <c r="C73" s="969">
        <v>4.1999999999999996E-6</v>
      </c>
      <c r="D73" s="969">
        <v>4.7999999999999998E-6</v>
      </c>
      <c r="E73" s="986">
        <v>3703</v>
      </c>
      <c r="F73" s="970">
        <v>6416</v>
      </c>
      <c r="G73" s="970"/>
      <c r="H73" s="971">
        <v>370</v>
      </c>
      <c r="I73" s="972">
        <v>1558</v>
      </c>
      <c r="J73" s="971">
        <v>916</v>
      </c>
      <c r="K73" s="970">
        <v>3211</v>
      </c>
      <c r="L73" s="972">
        <f t="shared" si="2"/>
        <v>6055</v>
      </c>
      <c r="M73" s="970"/>
      <c r="N73" s="971">
        <v>182</v>
      </c>
      <c r="O73" s="971">
        <v>0</v>
      </c>
      <c r="P73" s="970">
        <v>1117</v>
      </c>
      <c r="Q73" s="972">
        <f t="shared" si="3"/>
        <v>1299</v>
      </c>
      <c r="R73" s="970"/>
      <c r="S73" s="971">
        <v>2162</v>
      </c>
      <c r="T73" s="973">
        <v>191</v>
      </c>
      <c r="U73" s="973">
        <v>2353</v>
      </c>
    </row>
    <row r="74" spans="1:21" x14ac:dyDescent="0.25">
      <c r="A74" s="967">
        <v>90901</v>
      </c>
      <c r="B74" s="968" t="s">
        <v>2718</v>
      </c>
      <c r="C74" s="969">
        <v>2.1814999999999998E-3</v>
      </c>
      <c r="D74" s="969">
        <v>2.1302999999999999E-3</v>
      </c>
      <c r="E74" s="986">
        <v>980897</v>
      </c>
      <c r="F74" s="970">
        <v>3332728</v>
      </c>
      <c r="G74" s="970"/>
      <c r="H74" s="971">
        <v>191996</v>
      </c>
      <c r="I74" s="972">
        <v>809191</v>
      </c>
      <c r="J74" s="971">
        <v>475960</v>
      </c>
      <c r="K74" s="970">
        <v>22389</v>
      </c>
      <c r="L74" s="972">
        <f t="shared" si="2"/>
        <v>1499536</v>
      </c>
      <c r="M74" s="970"/>
      <c r="N74" s="971">
        <v>94339</v>
      </c>
      <c r="O74" s="971">
        <v>0</v>
      </c>
      <c r="P74" s="970">
        <v>38005</v>
      </c>
      <c r="Q74" s="972">
        <f t="shared" si="3"/>
        <v>132344</v>
      </c>
      <c r="R74" s="970"/>
      <c r="S74" s="971">
        <v>1123132</v>
      </c>
      <c r="T74" s="973">
        <v>-5969</v>
      </c>
      <c r="U74" s="973">
        <v>1117163</v>
      </c>
    </row>
    <row r="75" spans="1:21" x14ac:dyDescent="0.25">
      <c r="A75" s="967">
        <v>90911</v>
      </c>
      <c r="B75" s="968" t="s">
        <v>2719</v>
      </c>
      <c r="C75" s="969">
        <v>3.9780000000000002E-4</v>
      </c>
      <c r="D75" s="969">
        <v>3.6010000000000003E-4</v>
      </c>
      <c r="E75" s="986">
        <v>159535</v>
      </c>
      <c r="F75" s="970">
        <v>607728</v>
      </c>
      <c r="G75" s="970"/>
      <c r="H75" s="971">
        <v>35011</v>
      </c>
      <c r="I75" s="972">
        <v>147557</v>
      </c>
      <c r="J75" s="971">
        <v>86792</v>
      </c>
      <c r="K75" s="970">
        <v>6806</v>
      </c>
      <c r="L75" s="972">
        <f t="shared" si="2"/>
        <v>276166</v>
      </c>
      <c r="M75" s="970"/>
      <c r="N75" s="971">
        <v>17203</v>
      </c>
      <c r="O75" s="971">
        <v>0</v>
      </c>
      <c r="P75" s="970">
        <v>31482</v>
      </c>
      <c r="Q75" s="972">
        <f t="shared" si="3"/>
        <v>48685</v>
      </c>
      <c r="R75" s="970"/>
      <c r="S75" s="971">
        <v>204805</v>
      </c>
      <c r="T75" s="973">
        <v>-18326</v>
      </c>
      <c r="U75" s="973">
        <v>186479</v>
      </c>
    </row>
    <row r="76" spans="1:21" x14ac:dyDescent="0.25">
      <c r="A76" s="967">
        <v>90917</v>
      </c>
      <c r="B76" s="968" t="s">
        <v>2720</v>
      </c>
      <c r="C76" s="969">
        <v>1.4399999999999999E-5</v>
      </c>
      <c r="D76" s="969">
        <v>1.42E-5</v>
      </c>
      <c r="E76" s="986">
        <v>5784</v>
      </c>
      <c r="F76" s="970">
        <v>21999</v>
      </c>
      <c r="G76" s="970"/>
      <c r="H76" s="971">
        <v>1267</v>
      </c>
      <c r="I76" s="972">
        <v>5342</v>
      </c>
      <c r="J76" s="971">
        <v>3142</v>
      </c>
      <c r="K76" s="970">
        <v>1461</v>
      </c>
      <c r="L76" s="972">
        <f t="shared" si="2"/>
        <v>11212</v>
      </c>
      <c r="M76" s="970"/>
      <c r="N76" s="971">
        <v>623</v>
      </c>
      <c r="O76" s="971">
        <v>0</v>
      </c>
      <c r="P76" s="970">
        <v>966</v>
      </c>
      <c r="Q76" s="972">
        <f t="shared" si="3"/>
        <v>1589</v>
      </c>
      <c r="R76" s="970"/>
      <c r="S76" s="971">
        <v>7414</v>
      </c>
      <c r="T76" s="973">
        <v>-22</v>
      </c>
      <c r="U76" s="973">
        <v>7392</v>
      </c>
    </row>
    <row r="77" spans="1:21" x14ac:dyDescent="0.25">
      <c r="A77" s="967">
        <v>90918</v>
      </c>
      <c r="B77" s="968" t="s">
        <v>2721</v>
      </c>
      <c r="C77" s="969">
        <v>1.19E-5</v>
      </c>
      <c r="D77" s="969">
        <v>1.24E-5</v>
      </c>
      <c r="E77" s="986">
        <v>4773</v>
      </c>
      <c r="F77" s="970">
        <v>18180</v>
      </c>
      <c r="G77" s="970"/>
      <c r="H77" s="971">
        <v>1047</v>
      </c>
      <c r="I77" s="972">
        <v>4414</v>
      </c>
      <c r="J77" s="971">
        <v>2596</v>
      </c>
      <c r="K77" s="970">
        <v>0</v>
      </c>
      <c r="L77" s="972">
        <f t="shared" si="2"/>
        <v>8057</v>
      </c>
      <c r="M77" s="970"/>
      <c r="N77" s="971">
        <v>515</v>
      </c>
      <c r="O77" s="971">
        <v>0</v>
      </c>
      <c r="P77" s="970">
        <v>2553</v>
      </c>
      <c r="Q77" s="972">
        <f t="shared" si="3"/>
        <v>3068</v>
      </c>
      <c r="R77" s="970"/>
      <c r="S77" s="971">
        <v>6127</v>
      </c>
      <c r="T77" s="973">
        <v>-1087</v>
      </c>
      <c r="U77" s="973">
        <f>5039+1</f>
        <v>5040</v>
      </c>
    </row>
    <row r="78" spans="1:21" x14ac:dyDescent="0.25">
      <c r="A78" s="967">
        <v>90921</v>
      </c>
      <c r="B78" s="968" t="s">
        <v>2722</v>
      </c>
      <c r="C78" s="969">
        <v>1.2970000000000001E-4</v>
      </c>
      <c r="D78" s="969">
        <v>8.7399999999999997E-5</v>
      </c>
      <c r="E78" s="986">
        <v>59486</v>
      </c>
      <c r="F78" s="970">
        <v>198146</v>
      </c>
      <c r="G78" s="970"/>
      <c r="H78" s="971">
        <v>11415</v>
      </c>
      <c r="I78" s="972">
        <v>48110</v>
      </c>
      <c r="J78" s="971">
        <v>28298</v>
      </c>
      <c r="K78" s="970">
        <v>31212</v>
      </c>
      <c r="L78" s="972">
        <f t="shared" si="2"/>
        <v>119035</v>
      </c>
      <c r="M78" s="970"/>
      <c r="N78" s="971">
        <v>5609</v>
      </c>
      <c r="O78" s="971">
        <v>0</v>
      </c>
      <c r="P78" s="970">
        <v>7007</v>
      </c>
      <c r="Q78" s="972">
        <f t="shared" si="3"/>
        <v>12616</v>
      </c>
      <c r="R78" s="970"/>
      <c r="S78" s="971">
        <v>66775</v>
      </c>
      <c r="T78" s="973">
        <v>5102</v>
      </c>
      <c r="U78" s="973">
        <v>71877</v>
      </c>
    </row>
    <row r="79" spans="1:21" x14ac:dyDescent="0.25">
      <c r="A79" s="967">
        <v>90931</v>
      </c>
      <c r="B79" s="968" t="s">
        <v>2723</v>
      </c>
      <c r="C79" s="969">
        <v>4.07E-5</v>
      </c>
      <c r="D79" s="969">
        <v>5.1900000000000001E-5</v>
      </c>
      <c r="E79" s="986">
        <v>16168</v>
      </c>
      <c r="F79" s="970">
        <v>62178</v>
      </c>
      <c r="G79" s="970"/>
      <c r="H79" s="971">
        <v>3582</v>
      </c>
      <c r="I79" s="972">
        <v>15097</v>
      </c>
      <c r="J79" s="971">
        <v>8880</v>
      </c>
      <c r="K79" s="970">
        <v>3743</v>
      </c>
      <c r="L79" s="972">
        <f t="shared" si="2"/>
        <v>31302</v>
      </c>
      <c r="M79" s="970"/>
      <c r="N79" s="971">
        <v>1760</v>
      </c>
      <c r="O79" s="971">
        <v>0</v>
      </c>
      <c r="P79" s="970">
        <v>14137</v>
      </c>
      <c r="Q79" s="972">
        <f t="shared" si="3"/>
        <v>15897</v>
      </c>
      <c r="R79" s="970"/>
      <c r="S79" s="971">
        <v>20954</v>
      </c>
      <c r="T79" s="973">
        <v>-1298</v>
      </c>
      <c r="U79" s="973">
        <v>19656</v>
      </c>
    </row>
    <row r="80" spans="1:21" x14ac:dyDescent="0.25">
      <c r="A80" s="967">
        <v>90941</v>
      </c>
      <c r="B80" s="968" t="s">
        <v>2724</v>
      </c>
      <c r="C80" s="969">
        <v>7.0300000000000001E-5</v>
      </c>
      <c r="D80" s="969">
        <v>9.0799999999999998E-5</v>
      </c>
      <c r="E80" s="986">
        <v>35455</v>
      </c>
      <c r="F80" s="970">
        <v>107399</v>
      </c>
      <c r="G80" s="970"/>
      <c r="H80" s="971">
        <v>6187</v>
      </c>
      <c r="I80" s="972">
        <v>26076</v>
      </c>
      <c r="J80" s="971">
        <v>15338</v>
      </c>
      <c r="K80" s="970">
        <v>1686</v>
      </c>
      <c r="L80" s="972">
        <f t="shared" si="2"/>
        <v>49287</v>
      </c>
      <c r="M80" s="970"/>
      <c r="N80" s="971">
        <v>3040</v>
      </c>
      <c r="O80" s="971">
        <v>0</v>
      </c>
      <c r="P80" s="970">
        <v>16031</v>
      </c>
      <c r="Q80" s="972">
        <f t="shared" si="3"/>
        <v>19071</v>
      </c>
      <c r="R80" s="970"/>
      <c r="S80" s="971">
        <v>36194</v>
      </c>
      <c r="T80" s="973">
        <v>-4988</v>
      </c>
      <c r="U80" s="973">
        <f>31205+1</f>
        <v>31206</v>
      </c>
    </row>
    <row r="81" spans="1:21" x14ac:dyDescent="0.25">
      <c r="A81" s="967">
        <v>91001</v>
      </c>
      <c r="B81" s="968" t="s">
        <v>2725</v>
      </c>
      <c r="C81" s="969">
        <v>6.6703999999999999E-3</v>
      </c>
      <c r="D81" s="969">
        <v>6.6189999999999999E-3</v>
      </c>
      <c r="E81" s="986">
        <v>2867178</v>
      </c>
      <c r="F81" s="970">
        <v>10190523</v>
      </c>
      <c r="G81" s="970"/>
      <c r="H81" s="971">
        <v>587069</v>
      </c>
      <c r="I81" s="972">
        <v>2474271</v>
      </c>
      <c r="J81" s="971">
        <v>1455348</v>
      </c>
      <c r="K81" s="970">
        <v>35831</v>
      </c>
      <c r="L81" s="972">
        <f t="shared" si="2"/>
        <v>4552519</v>
      </c>
      <c r="M81" s="970"/>
      <c r="N81" s="971">
        <v>288461</v>
      </c>
      <c r="O81" s="971">
        <v>0</v>
      </c>
      <c r="P81" s="970">
        <v>269013</v>
      </c>
      <c r="Q81" s="972">
        <f t="shared" si="3"/>
        <v>557474</v>
      </c>
      <c r="R81" s="970"/>
      <c r="S81" s="971">
        <v>3434215</v>
      </c>
      <c r="T81" s="973">
        <v>-50061</v>
      </c>
      <c r="U81" s="973">
        <v>3384154</v>
      </c>
    </row>
    <row r="82" spans="1:21" x14ac:dyDescent="0.25">
      <c r="A82" s="967">
        <v>91002</v>
      </c>
      <c r="B82" s="968" t="s">
        <v>2726</v>
      </c>
      <c r="C82" s="969">
        <v>6.8860000000000004E-4</v>
      </c>
      <c r="D82" s="969">
        <v>5.6360000000000004E-4</v>
      </c>
      <c r="E82" s="986">
        <v>257315</v>
      </c>
      <c r="F82" s="970">
        <v>1051990</v>
      </c>
      <c r="G82" s="970"/>
      <c r="H82" s="971">
        <v>60604</v>
      </c>
      <c r="I82" s="972">
        <v>255424</v>
      </c>
      <c r="J82" s="971">
        <v>150239</v>
      </c>
      <c r="K82" s="970">
        <v>39390</v>
      </c>
      <c r="L82" s="972">
        <f t="shared" si="2"/>
        <v>505657</v>
      </c>
      <c r="M82" s="970"/>
      <c r="N82" s="971">
        <v>29779</v>
      </c>
      <c r="O82" s="971">
        <v>0</v>
      </c>
      <c r="P82" s="970">
        <v>48600</v>
      </c>
      <c r="Q82" s="972">
        <f t="shared" si="3"/>
        <v>78379</v>
      </c>
      <c r="R82" s="970"/>
      <c r="S82" s="971">
        <v>354522</v>
      </c>
      <c r="T82" s="973">
        <v>-8849</v>
      </c>
      <c r="U82" s="973">
        <v>345673</v>
      </c>
    </row>
    <row r="83" spans="1:21" x14ac:dyDescent="0.25">
      <c r="A83" s="967">
        <v>91003</v>
      </c>
      <c r="B83" s="968" t="s">
        <v>2727</v>
      </c>
      <c r="C83" s="969">
        <v>5.7260000000000004E-4</v>
      </c>
      <c r="D83" s="969">
        <v>5.6550000000000003E-4</v>
      </c>
      <c r="E83" s="986">
        <v>268789</v>
      </c>
      <c r="F83" s="970">
        <v>874774</v>
      </c>
      <c r="G83" s="970"/>
      <c r="H83" s="971">
        <v>50395</v>
      </c>
      <c r="I83" s="972">
        <v>212396</v>
      </c>
      <c r="J83" s="971">
        <v>124930</v>
      </c>
      <c r="K83" s="970">
        <v>27734</v>
      </c>
      <c r="L83" s="972">
        <f t="shared" si="2"/>
        <v>415455</v>
      </c>
      <c r="M83" s="970"/>
      <c r="N83" s="971">
        <v>24762</v>
      </c>
      <c r="O83" s="971">
        <v>0</v>
      </c>
      <c r="P83" s="970">
        <v>28524</v>
      </c>
      <c r="Q83" s="972">
        <f t="shared" si="3"/>
        <v>53286</v>
      </c>
      <c r="R83" s="970"/>
      <c r="S83" s="971">
        <v>294800</v>
      </c>
      <c r="T83" s="973">
        <v>7266</v>
      </c>
      <c r="U83" s="973">
        <v>302066</v>
      </c>
    </row>
    <row r="84" spans="1:21" x14ac:dyDescent="0.25">
      <c r="A84" s="967">
        <v>91004</v>
      </c>
      <c r="B84" s="968" t="s">
        <v>2728</v>
      </c>
      <c r="C84" s="969">
        <v>2.58E-5</v>
      </c>
      <c r="D84" s="969">
        <v>1.7499999999999998E-5</v>
      </c>
      <c r="E84" s="986">
        <v>13568</v>
      </c>
      <c r="F84" s="970">
        <v>39415</v>
      </c>
      <c r="G84" s="970"/>
      <c r="H84" s="971">
        <v>2271</v>
      </c>
      <c r="I84" s="972">
        <v>9571</v>
      </c>
      <c r="J84" s="971">
        <v>5629</v>
      </c>
      <c r="K84" s="970">
        <v>12153</v>
      </c>
      <c r="L84" s="972">
        <f t="shared" si="2"/>
        <v>29624</v>
      </c>
      <c r="M84" s="970"/>
      <c r="N84" s="971">
        <v>1116</v>
      </c>
      <c r="O84" s="971">
        <v>0</v>
      </c>
      <c r="P84" s="970">
        <v>108</v>
      </c>
      <c r="Q84" s="972">
        <f t="shared" si="3"/>
        <v>1224</v>
      </c>
      <c r="R84" s="970"/>
      <c r="S84" s="971">
        <v>13283</v>
      </c>
      <c r="T84" s="973">
        <v>4277</v>
      </c>
      <c r="U84" s="973">
        <v>17560</v>
      </c>
    </row>
    <row r="85" spans="1:21" x14ac:dyDescent="0.25">
      <c r="A85" s="967">
        <v>91006</v>
      </c>
      <c r="B85" s="968" t="s">
        <v>2729</v>
      </c>
      <c r="C85" s="969">
        <v>1.0317E-3</v>
      </c>
      <c r="D85" s="969">
        <v>1.0096E-3</v>
      </c>
      <c r="E85" s="986">
        <v>446629</v>
      </c>
      <c r="F85" s="970">
        <v>1576152</v>
      </c>
      <c r="G85" s="970"/>
      <c r="H85" s="971">
        <v>90801</v>
      </c>
      <c r="I85" s="972">
        <v>382692</v>
      </c>
      <c r="J85" s="971">
        <v>225096</v>
      </c>
      <c r="K85" s="970">
        <v>18199</v>
      </c>
      <c r="L85" s="972">
        <f t="shared" si="2"/>
        <v>716788</v>
      </c>
      <c r="M85" s="970"/>
      <c r="N85" s="971">
        <v>44616</v>
      </c>
      <c r="O85" s="971">
        <v>0</v>
      </c>
      <c r="P85" s="970">
        <v>22958</v>
      </c>
      <c r="Q85" s="972">
        <f t="shared" si="3"/>
        <v>67574</v>
      </c>
      <c r="R85" s="970"/>
      <c r="S85" s="971">
        <v>531165</v>
      </c>
      <c r="T85" s="973">
        <v>3230</v>
      </c>
      <c r="U85" s="973">
        <v>534395</v>
      </c>
    </row>
    <row r="86" spans="1:21" x14ac:dyDescent="0.25">
      <c r="A86" s="967">
        <v>91007</v>
      </c>
      <c r="B86" s="968" t="s">
        <v>2730</v>
      </c>
      <c r="C86" s="969">
        <v>9.5000000000000005E-6</v>
      </c>
      <c r="D86" s="969">
        <v>1.2500000000000001E-5</v>
      </c>
      <c r="E86" s="986">
        <v>9502</v>
      </c>
      <c r="F86" s="970">
        <v>14513</v>
      </c>
      <c r="G86" s="970"/>
      <c r="H86" s="971">
        <v>836</v>
      </c>
      <c r="I86" s="972">
        <v>3524</v>
      </c>
      <c r="J86" s="971">
        <v>2073</v>
      </c>
      <c r="K86" s="970">
        <v>7476</v>
      </c>
      <c r="L86" s="972">
        <f t="shared" si="2"/>
        <v>13909</v>
      </c>
      <c r="M86" s="970"/>
      <c r="N86" s="971">
        <v>411</v>
      </c>
      <c r="O86" s="971">
        <v>0</v>
      </c>
      <c r="P86" s="970">
        <v>507</v>
      </c>
      <c r="Q86" s="972">
        <f t="shared" si="3"/>
        <v>918</v>
      </c>
      <c r="R86" s="970"/>
      <c r="S86" s="971">
        <v>4891</v>
      </c>
      <c r="T86" s="973">
        <v>2150</v>
      </c>
      <c r="U86" s="973">
        <v>7041</v>
      </c>
    </row>
    <row r="87" spans="1:21" x14ac:dyDescent="0.25">
      <c r="A87" s="967">
        <v>91008</v>
      </c>
      <c r="B87" s="968" t="s">
        <v>2731</v>
      </c>
      <c r="C87" s="969">
        <v>1.236E-4</v>
      </c>
      <c r="D87" s="969">
        <v>1.273E-4</v>
      </c>
      <c r="E87" s="986">
        <v>68974</v>
      </c>
      <c r="F87" s="970">
        <v>188827</v>
      </c>
      <c r="G87" s="970"/>
      <c r="H87" s="971">
        <v>10878</v>
      </c>
      <c r="I87" s="972">
        <v>45847</v>
      </c>
      <c r="J87" s="971">
        <v>26967</v>
      </c>
      <c r="K87" s="970">
        <v>37042</v>
      </c>
      <c r="L87" s="972">
        <f t="shared" si="2"/>
        <v>120734</v>
      </c>
      <c r="M87" s="970"/>
      <c r="N87" s="971">
        <v>5345</v>
      </c>
      <c r="O87" s="971">
        <v>0</v>
      </c>
      <c r="P87" s="970">
        <v>0</v>
      </c>
      <c r="Q87" s="972">
        <f t="shared" si="3"/>
        <v>5345</v>
      </c>
      <c r="R87" s="970"/>
      <c r="S87" s="971">
        <v>63635</v>
      </c>
      <c r="T87" s="973">
        <v>17548</v>
      </c>
      <c r="U87" s="973">
        <v>81183</v>
      </c>
    </row>
    <row r="88" spans="1:21" x14ac:dyDescent="0.25">
      <c r="A88" s="967">
        <v>91009</v>
      </c>
      <c r="B88" s="968" t="s">
        <v>2732</v>
      </c>
      <c r="C88" s="969">
        <v>1.7499999999999998E-5</v>
      </c>
      <c r="D88" s="969">
        <v>1.8700000000000001E-5</v>
      </c>
      <c r="E88" s="986">
        <v>11392</v>
      </c>
      <c r="F88" s="970">
        <v>26735</v>
      </c>
      <c r="G88" s="970"/>
      <c r="H88" s="971">
        <v>1540</v>
      </c>
      <c r="I88" s="972">
        <v>6491</v>
      </c>
      <c r="J88" s="971">
        <v>3818</v>
      </c>
      <c r="K88" s="970">
        <v>4951</v>
      </c>
      <c r="L88" s="972">
        <f t="shared" si="2"/>
        <v>16800</v>
      </c>
      <c r="M88" s="970"/>
      <c r="N88" s="971">
        <v>757</v>
      </c>
      <c r="O88" s="971">
        <v>0</v>
      </c>
      <c r="P88" s="970">
        <v>2458</v>
      </c>
      <c r="Q88" s="972">
        <f t="shared" si="3"/>
        <v>3215</v>
      </c>
      <c r="R88" s="970"/>
      <c r="S88" s="971">
        <v>9010</v>
      </c>
      <c r="T88" s="973">
        <v>187</v>
      </c>
      <c r="U88" s="973">
        <v>9197</v>
      </c>
    </row>
    <row r="89" spans="1:21" x14ac:dyDescent="0.25">
      <c r="A89" s="967">
        <v>91010</v>
      </c>
      <c r="B89" s="968" t="s">
        <v>2733</v>
      </c>
      <c r="C89" s="969">
        <v>7.0099999999999996E-5</v>
      </c>
      <c r="D89" s="969">
        <v>6.8399999999999996E-5</v>
      </c>
      <c r="E89" s="986">
        <v>32517</v>
      </c>
      <c r="F89" s="970">
        <v>107093</v>
      </c>
      <c r="G89" s="970"/>
      <c r="H89" s="971">
        <v>6170</v>
      </c>
      <c r="I89" s="972">
        <v>26003</v>
      </c>
      <c r="J89" s="971">
        <v>15294</v>
      </c>
      <c r="K89" s="970">
        <v>7603</v>
      </c>
      <c r="L89" s="972">
        <f t="shared" si="2"/>
        <v>55070</v>
      </c>
      <c r="M89" s="970"/>
      <c r="N89" s="971">
        <v>3031</v>
      </c>
      <c r="O89" s="971">
        <v>0</v>
      </c>
      <c r="P89" s="970">
        <v>296</v>
      </c>
      <c r="Q89" s="972">
        <f t="shared" si="3"/>
        <v>3327</v>
      </c>
      <c r="R89" s="970"/>
      <c r="S89" s="971">
        <v>36091</v>
      </c>
      <c r="T89" s="973">
        <v>4736</v>
      </c>
      <c r="U89" s="973">
        <v>40827</v>
      </c>
    </row>
    <row r="90" spans="1:21" x14ac:dyDescent="0.25">
      <c r="A90" s="967">
        <v>91011</v>
      </c>
      <c r="B90" s="968" t="s">
        <v>2734</v>
      </c>
      <c r="C90" s="969">
        <v>3.5760000000000002E-4</v>
      </c>
      <c r="D90" s="969">
        <v>3.1789999999999998E-4</v>
      </c>
      <c r="E90" s="986">
        <v>159847</v>
      </c>
      <c r="F90" s="970">
        <v>546314</v>
      </c>
      <c r="G90" s="970"/>
      <c r="H90" s="971">
        <v>31473</v>
      </c>
      <c r="I90" s="972">
        <v>132645</v>
      </c>
      <c r="J90" s="971">
        <v>78021</v>
      </c>
      <c r="K90" s="970">
        <v>43643</v>
      </c>
      <c r="L90" s="972">
        <f t="shared" si="2"/>
        <v>285782</v>
      </c>
      <c r="M90" s="970"/>
      <c r="N90" s="971">
        <v>15464</v>
      </c>
      <c r="O90" s="971">
        <v>0</v>
      </c>
      <c r="P90" s="970">
        <v>0</v>
      </c>
      <c r="Q90" s="972">
        <f t="shared" si="3"/>
        <v>15464</v>
      </c>
      <c r="R90" s="970"/>
      <c r="S90" s="971">
        <v>184108</v>
      </c>
      <c r="T90" s="973">
        <v>16126</v>
      </c>
      <c r="U90" s="973">
        <v>200234</v>
      </c>
    </row>
    <row r="91" spans="1:21" x14ac:dyDescent="0.25">
      <c r="A91" s="967">
        <v>91012</v>
      </c>
      <c r="B91" s="968" t="s">
        <v>2735</v>
      </c>
      <c r="C91" s="969">
        <v>1.9300000000000002E-5</v>
      </c>
      <c r="D91" s="969">
        <v>1.49E-5</v>
      </c>
      <c r="E91" s="986">
        <v>8623</v>
      </c>
      <c r="F91" s="970">
        <v>29485</v>
      </c>
      <c r="G91" s="970"/>
      <c r="H91" s="971">
        <v>1699</v>
      </c>
      <c r="I91" s="972">
        <v>7159</v>
      </c>
      <c r="J91" s="971">
        <v>4211</v>
      </c>
      <c r="K91" s="970">
        <v>5400</v>
      </c>
      <c r="L91" s="972">
        <f t="shared" si="2"/>
        <v>18469</v>
      </c>
      <c r="M91" s="970"/>
      <c r="N91" s="971">
        <v>835</v>
      </c>
      <c r="O91" s="971">
        <v>0</v>
      </c>
      <c r="P91" s="970">
        <v>2458</v>
      </c>
      <c r="Q91" s="972">
        <f t="shared" si="3"/>
        <v>3293</v>
      </c>
      <c r="R91" s="970"/>
      <c r="S91" s="971">
        <v>9936</v>
      </c>
      <c r="T91" s="973">
        <v>-662</v>
      </c>
      <c r="U91" s="973">
        <f>9275-1</f>
        <v>9274</v>
      </c>
    </row>
    <row r="92" spans="1:21" x14ac:dyDescent="0.25">
      <c r="A92" s="967">
        <v>91013</v>
      </c>
      <c r="B92" s="968" t="s">
        <v>2736</v>
      </c>
      <c r="C92" s="969">
        <v>2.34E-5</v>
      </c>
      <c r="D92" s="969">
        <v>2.1800000000000001E-5</v>
      </c>
      <c r="E92" s="986">
        <v>29322</v>
      </c>
      <c r="F92" s="970">
        <v>35749</v>
      </c>
      <c r="G92" s="970"/>
      <c r="H92" s="971">
        <v>2059</v>
      </c>
      <c r="I92" s="972">
        <v>8680</v>
      </c>
      <c r="J92" s="971">
        <v>5105</v>
      </c>
      <c r="K92" s="970">
        <v>31764</v>
      </c>
      <c r="L92" s="972">
        <f t="shared" si="2"/>
        <v>47608</v>
      </c>
      <c r="M92" s="970"/>
      <c r="N92" s="971">
        <v>1012</v>
      </c>
      <c r="O92" s="971">
        <v>0</v>
      </c>
      <c r="P92" s="970">
        <v>0</v>
      </c>
      <c r="Q92" s="972">
        <f t="shared" si="3"/>
        <v>1012</v>
      </c>
      <c r="R92" s="970"/>
      <c r="S92" s="971">
        <v>12047</v>
      </c>
      <c r="T92" s="973">
        <v>9518</v>
      </c>
      <c r="U92" s="973">
        <v>21565</v>
      </c>
    </row>
    <row r="93" spans="1:21" x14ac:dyDescent="0.25">
      <c r="A93" s="967">
        <v>91014</v>
      </c>
      <c r="B93" s="968" t="s">
        <v>2737</v>
      </c>
      <c r="C93" s="969">
        <v>2.22E-4</v>
      </c>
      <c r="D93" s="969">
        <v>2.1499999999999999E-4</v>
      </c>
      <c r="E93" s="986">
        <v>97692</v>
      </c>
      <c r="F93" s="970">
        <v>339155</v>
      </c>
      <c r="G93" s="970"/>
      <c r="H93" s="971">
        <v>19538</v>
      </c>
      <c r="I93" s="972">
        <v>82347</v>
      </c>
      <c r="J93" s="971">
        <v>48436</v>
      </c>
      <c r="K93" s="970">
        <v>1313</v>
      </c>
      <c r="L93" s="972">
        <f t="shared" si="2"/>
        <v>151634</v>
      </c>
      <c r="M93" s="970"/>
      <c r="N93" s="971">
        <v>9600</v>
      </c>
      <c r="O93" s="971">
        <v>0</v>
      </c>
      <c r="P93" s="970">
        <v>11287</v>
      </c>
      <c r="Q93" s="972">
        <f t="shared" si="3"/>
        <v>20887</v>
      </c>
      <c r="R93" s="970"/>
      <c r="S93" s="971">
        <v>114295</v>
      </c>
      <c r="T93" s="973">
        <v>-6129</v>
      </c>
      <c r="U93" s="973">
        <f>108167-1</f>
        <v>108166</v>
      </c>
    </row>
    <row r="94" spans="1:21" x14ac:dyDescent="0.25">
      <c r="A94" s="967">
        <v>91017</v>
      </c>
      <c r="B94" s="968" t="s">
        <v>2738</v>
      </c>
      <c r="C94" s="969">
        <v>2.4300000000000001E-5</v>
      </c>
      <c r="D94" s="969">
        <v>2.3E-5</v>
      </c>
      <c r="E94" s="986">
        <v>12462</v>
      </c>
      <c r="F94" s="970">
        <v>37124</v>
      </c>
      <c r="G94" s="970"/>
      <c r="H94" s="971">
        <v>2139</v>
      </c>
      <c r="I94" s="972">
        <v>9014</v>
      </c>
      <c r="J94" s="971">
        <v>5302</v>
      </c>
      <c r="K94" s="970">
        <v>10242</v>
      </c>
      <c r="L94" s="972">
        <f t="shared" si="2"/>
        <v>26697</v>
      </c>
      <c r="M94" s="970"/>
      <c r="N94" s="971">
        <v>1051</v>
      </c>
      <c r="O94" s="971">
        <v>0</v>
      </c>
      <c r="P94" s="970">
        <v>0</v>
      </c>
      <c r="Q94" s="972">
        <f t="shared" si="3"/>
        <v>1051</v>
      </c>
      <c r="R94" s="970"/>
      <c r="S94" s="971">
        <v>12511</v>
      </c>
      <c r="T94" s="973">
        <v>4025</v>
      </c>
      <c r="U94" s="973">
        <v>16536</v>
      </c>
    </row>
    <row r="95" spans="1:21" x14ac:dyDescent="0.25">
      <c r="A95" s="967">
        <v>91020</v>
      </c>
      <c r="B95" s="968" t="s">
        <v>2739</v>
      </c>
      <c r="C95" s="969">
        <v>2.27E-5</v>
      </c>
      <c r="D95" s="969">
        <v>1.9899999999999999E-5</v>
      </c>
      <c r="E95" s="986">
        <v>10949</v>
      </c>
      <c r="F95" s="970">
        <v>34679</v>
      </c>
      <c r="G95" s="970"/>
      <c r="H95" s="971">
        <v>1998</v>
      </c>
      <c r="I95" s="972">
        <v>8420</v>
      </c>
      <c r="J95" s="971">
        <v>4953</v>
      </c>
      <c r="K95" s="970">
        <v>4064</v>
      </c>
      <c r="L95" s="972">
        <f t="shared" si="2"/>
        <v>19435</v>
      </c>
      <c r="M95" s="970"/>
      <c r="N95" s="971">
        <v>982</v>
      </c>
      <c r="O95" s="971">
        <v>0</v>
      </c>
      <c r="P95" s="970">
        <v>376</v>
      </c>
      <c r="Q95" s="972">
        <f t="shared" si="3"/>
        <v>1358</v>
      </c>
      <c r="R95" s="970"/>
      <c r="S95" s="971">
        <v>11687</v>
      </c>
      <c r="T95" s="973">
        <v>1259</v>
      </c>
      <c r="U95" s="973">
        <v>12946</v>
      </c>
    </row>
    <row r="96" spans="1:21" x14ac:dyDescent="0.25">
      <c r="A96" s="967">
        <v>91021</v>
      </c>
      <c r="B96" s="968" t="s">
        <v>2740</v>
      </c>
      <c r="C96" s="969">
        <v>8.6450000000000003E-4</v>
      </c>
      <c r="D96" s="969">
        <v>8.6989999999999995E-4</v>
      </c>
      <c r="E96" s="986">
        <v>387782</v>
      </c>
      <c r="F96" s="970">
        <v>1320717</v>
      </c>
      <c r="G96" s="970"/>
      <c r="H96" s="971">
        <v>76086</v>
      </c>
      <c r="I96" s="972">
        <v>320672</v>
      </c>
      <c r="J96" s="971">
        <v>188617</v>
      </c>
      <c r="K96" s="970">
        <v>0</v>
      </c>
      <c r="L96" s="972">
        <f t="shared" si="2"/>
        <v>585375</v>
      </c>
      <c r="M96" s="970"/>
      <c r="N96" s="971">
        <v>37385</v>
      </c>
      <c r="O96" s="971">
        <v>0</v>
      </c>
      <c r="P96" s="970">
        <v>82677</v>
      </c>
      <c r="Q96" s="972">
        <f t="shared" si="3"/>
        <v>120062</v>
      </c>
      <c r="R96" s="970"/>
      <c r="S96" s="971">
        <v>445083</v>
      </c>
      <c r="T96" s="973">
        <v>-48679</v>
      </c>
      <c r="U96" s="973">
        <v>396404</v>
      </c>
    </row>
    <row r="97" spans="1:21" x14ac:dyDescent="0.25">
      <c r="A97" s="967">
        <v>91024</v>
      </c>
      <c r="B97" s="968" t="s">
        <v>2741</v>
      </c>
      <c r="C97" s="969">
        <v>7.2999999999999999E-5</v>
      </c>
      <c r="D97" s="969">
        <v>6.6299999999999999E-5</v>
      </c>
      <c r="E97" s="986">
        <v>34458</v>
      </c>
      <c r="F97" s="970">
        <v>111524</v>
      </c>
      <c r="G97" s="970"/>
      <c r="H97" s="971">
        <v>6425</v>
      </c>
      <c r="I97" s="972">
        <v>27078</v>
      </c>
      <c r="J97" s="971">
        <v>15927</v>
      </c>
      <c r="K97" s="970">
        <v>24081</v>
      </c>
      <c r="L97" s="972">
        <f t="shared" si="2"/>
        <v>73511</v>
      </c>
      <c r="M97" s="970"/>
      <c r="N97" s="971">
        <v>3157</v>
      </c>
      <c r="O97" s="971">
        <v>0</v>
      </c>
      <c r="P97" s="970">
        <v>0</v>
      </c>
      <c r="Q97" s="972">
        <f t="shared" si="3"/>
        <v>3157</v>
      </c>
      <c r="R97" s="970"/>
      <c r="S97" s="971">
        <v>37584</v>
      </c>
      <c r="T97" s="973">
        <v>10843</v>
      </c>
      <c r="U97" s="973">
        <f>48426+1</f>
        <v>48427</v>
      </c>
    </row>
    <row r="98" spans="1:21" x14ac:dyDescent="0.25">
      <c r="A98" s="967">
        <v>91026</v>
      </c>
      <c r="B98" s="968" t="s">
        <v>1269</v>
      </c>
      <c r="C98" s="969">
        <v>4.18E-5</v>
      </c>
      <c r="D98" s="969">
        <v>6.0900000000000003E-5</v>
      </c>
      <c r="E98" s="986">
        <v>40781</v>
      </c>
      <c r="F98" s="970">
        <v>63859</v>
      </c>
      <c r="G98" s="970"/>
      <c r="H98" s="971">
        <v>3679</v>
      </c>
      <c r="I98" s="972">
        <v>15505</v>
      </c>
      <c r="J98" s="971">
        <v>9120</v>
      </c>
      <c r="K98" s="970">
        <v>34468</v>
      </c>
      <c r="L98" s="972">
        <f t="shared" si="2"/>
        <v>62772</v>
      </c>
      <c r="M98" s="970"/>
      <c r="N98" s="971">
        <v>1808</v>
      </c>
      <c r="O98" s="971">
        <v>0</v>
      </c>
      <c r="P98" s="970">
        <v>3103</v>
      </c>
      <c r="Q98" s="972">
        <f t="shared" si="3"/>
        <v>4911</v>
      </c>
      <c r="R98" s="970"/>
      <c r="S98" s="971">
        <v>21520</v>
      </c>
      <c r="T98" s="973">
        <v>11546</v>
      </c>
      <c r="U98" s="973">
        <v>33066</v>
      </c>
    </row>
    <row r="99" spans="1:21" x14ac:dyDescent="0.25">
      <c r="A99" s="967">
        <v>91027</v>
      </c>
      <c r="B99" s="968" t="s">
        <v>2742</v>
      </c>
      <c r="C99" s="969">
        <v>1.4E-5</v>
      </c>
      <c r="D99" s="969">
        <v>1.6099999999999998E-5</v>
      </c>
      <c r="E99" s="986">
        <v>15968</v>
      </c>
      <c r="F99" s="970">
        <v>21388</v>
      </c>
      <c r="G99" s="970"/>
      <c r="H99" s="971">
        <v>1232</v>
      </c>
      <c r="I99" s="972">
        <v>5193</v>
      </c>
      <c r="J99" s="971">
        <v>3055</v>
      </c>
      <c r="K99" s="970">
        <v>16343</v>
      </c>
      <c r="L99" s="972">
        <f t="shared" si="2"/>
        <v>25823</v>
      </c>
      <c r="M99" s="970"/>
      <c r="N99" s="971">
        <v>605</v>
      </c>
      <c r="O99" s="971">
        <v>0</v>
      </c>
      <c r="P99" s="970">
        <v>0</v>
      </c>
      <c r="Q99" s="972">
        <f t="shared" si="3"/>
        <v>605</v>
      </c>
      <c r="R99" s="970"/>
      <c r="S99" s="971">
        <v>7208</v>
      </c>
      <c r="T99" s="973">
        <v>6601</v>
      </c>
      <c r="U99" s="973">
        <f>13808+1</f>
        <v>13809</v>
      </c>
    </row>
    <row r="100" spans="1:21" x14ac:dyDescent="0.25">
      <c r="A100" s="967">
        <v>91032</v>
      </c>
      <c r="B100" s="968" t="s">
        <v>2743</v>
      </c>
      <c r="C100" s="969">
        <v>1.8E-5</v>
      </c>
      <c r="D100" s="969">
        <v>1.8600000000000001E-5</v>
      </c>
      <c r="E100" s="986">
        <v>16168</v>
      </c>
      <c r="F100" s="970">
        <v>27499</v>
      </c>
      <c r="G100" s="970"/>
      <c r="H100" s="971">
        <v>1584</v>
      </c>
      <c r="I100" s="972">
        <v>6677</v>
      </c>
      <c r="J100" s="971">
        <v>3927</v>
      </c>
      <c r="K100" s="970">
        <v>14996</v>
      </c>
      <c r="L100" s="972">
        <f t="shared" si="2"/>
        <v>27184</v>
      </c>
      <c r="M100" s="970"/>
      <c r="N100" s="971">
        <v>778</v>
      </c>
      <c r="O100" s="971">
        <v>0</v>
      </c>
      <c r="P100" s="970">
        <v>0</v>
      </c>
      <c r="Q100" s="972">
        <f t="shared" si="3"/>
        <v>778</v>
      </c>
      <c r="R100" s="970"/>
      <c r="S100" s="971">
        <v>9267</v>
      </c>
      <c r="T100" s="973">
        <v>6458</v>
      </c>
      <c r="U100" s="973">
        <v>15725</v>
      </c>
    </row>
    <row r="101" spans="1:21" x14ac:dyDescent="0.25">
      <c r="A101" s="967">
        <v>91041</v>
      </c>
      <c r="B101" s="968" t="s">
        <v>2744</v>
      </c>
      <c r="C101" s="969">
        <v>4.0400000000000001E-4</v>
      </c>
      <c r="D101" s="969">
        <v>4.3609999999999998E-4</v>
      </c>
      <c r="E101" s="986">
        <v>157511</v>
      </c>
      <c r="F101" s="970">
        <v>617200</v>
      </c>
      <c r="G101" s="970"/>
      <c r="H101" s="971">
        <v>35556</v>
      </c>
      <c r="I101" s="972">
        <v>149857</v>
      </c>
      <c r="J101" s="971">
        <v>88145</v>
      </c>
      <c r="K101" s="970">
        <v>0</v>
      </c>
      <c r="L101" s="972">
        <f t="shared" si="2"/>
        <v>273558</v>
      </c>
      <c r="M101" s="970"/>
      <c r="N101" s="971">
        <v>17471</v>
      </c>
      <c r="O101" s="971">
        <v>0</v>
      </c>
      <c r="P101" s="970">
        <v>109443</v>
      </c>
      <c r="Q101" s="972">
        <f t="shared" si="3"/>
        <v>126914</v>
      </c>
      <c r="R101" s="970"/>
      <c r="S101" s="971">
        <v>207997</v>
      </c>
      <c r="T101" s="973">
        <v>-39088</v>
      </c>
      <c r="U101" s="973">
        <v>168909</v>
      </c>
    </row>
    <row r="102" spans="1:21" x14ac:dyDescent="0.25">
      <c r="A102" s="967">
        <v>91042</v>
      </c>
      <c r="B102" s="968" t="s">
        <v>2745</v>
      </c>
      <c r="C102" s="969">
        <v>2.3360000000000001E-4</v>
      </c>
      <c r="D102" s="969">
        <v>2.062E-4</v>
      </c>
      <c r="E102" s="986">
        <v>99551</v>
      </c>
      <c r="F102" s="970">
        <v>356876</v>
      </c>
      <c r="G102" s="970"/>
      <c r="H102" s="971">
        <v>20559</v>
      </c>
      <c r="I102" s="972">
        <v>86650</v>
      </c>
      <c r="J102" s="971">
        <v>50967</v>
      </c>
      <c r="K102" s="970">
        <v>12354</v>
      </c>
      <c r="L102" s="972">
        <f t="shared" si="2"/>
        <v>170530</v>
      </c>
      <c r="M102" s="970"/>
      <c r="N102" s="971">
        <v>10102</v>
      </c>
      <c r="O102" s="971">
        <v>0</v>
      </c>
      <c r="P102" s="970">
        <v>6985</v>
      </c>
      <c r="Q102" s="972">
        <f t="shared" si="3"/>
        <v>17087</v>
      </c>
      <c r="R102" s="970"/>
      <c r="S102" s="971">
        <v>120268</v>
      </c>
      <c r="T102" s="973">
        <v>717</v>
      </c>
      <c r="U102" s="973">
        <f>120984+1</f>
        <v>120985</v>
      </c>
    </row>
    <row r="103" spans="1:21" x14ac:dyDescent="0.25">
      <c r="A103" s="967">
        <v>91047</v>
      </c>
      <c r="B103" s="968" t="s">
        <v>2746</v>
      </c>
      <c r="C103" s="969">
        <v>1.31E-5</v>
      </c>
      <c r="D103" s="969">
        <v>1.3200000000000001E-5</v>
      </c>
      <c r="E103" s="986">
        <v>16396</v>
      </c>
      <c r="F103" s="970">
        <v>20013</v>
      </c>
      <c r="G103" s="970"/>
      <c r="H103" s="971">
        <v>1153</v>
      </c>
      <c r="I103" s="972">
        <v>4859</v>
      </c>
      <c r="J103" s="971">
        <v>2858</v>
      </c>
      <c r="K103" s="970">
        <v>20507</v>
      </c>
      <c r="L103" s="972">
        <f t="shared" si="2"/>
        <v>29377</v>
      </c>
      <c r="M103" s="970"/>
      <c r="N103" s="971">
        <v>567</v>
      </c>
      <c r="O103" s="971">
        <v>0</v>
      </c>
      <c r="P103" s="970">
        <v>0</v>
      </c>
      <c r="Q103" s="972">
        <f t="shared" si="3"/>
        <v>567</v>
      </c>
      <c r="R103" s="970"/>
      <c r="S103" s="971">
        <v>6744</v>
      </c>
      <c r="T103" s="973">
        <v>7559</v>
      </c>
      <c r="U103" s="973">
        <v>14303</v>
      </c>
    </row>
    <row r="104" spans="1:21" x14ac:dyDescent="0.25">
      <c r="A104" s="967">
        <v>91051</v>
      </c>
      <c r="B104" s="968" t="s">
        <v>2747</v>
      </c>
      <c r="C104" s="969">
        <v>6.6400000000000001E-5</v>
      </c>
      <c r="D104" s="969">
        <v>7.6600000000000005E-5</v>
      </c>
      <c r="E104" s="986">
        <v>30964</v>
      </c>
      <c r="F104" s="970">
        <v>101441</v>
      </c>
      <c r="G104" s="970"/>
      <c r="H104" s="971">
        <v>5844</v>
      </c>
      <c r="I104" s="972">
        <v>24630</v>
      </c>
      <c r="J104" s="971">
        <v>14487</v>
      </c>
      <c r="K104" s="970">
        <v>1619</v>
      </c>
      <c r="L104" s="972">
        <f t="shared" si="2"/>
        <v>46580</v>
      </c>
      <c r="M104" s="970"/>
      <c r="N104" s="971">
        <v>2871</v>
      </c>
      <c r="O104" s="971">
        <v>0</v>
      </c>
      <c r="P104" s="970">
        <v>8430</v>
      </c>
      <c r="Q104" s="972">
        <f t="shared" si="3"/>
        <v>11301</v>
      </c>
      <c r="R104" s="970"/>
      <c r="S104" s="971">
        <v>34186</v>
      </c>
      <c r="T104" s="973">
        <v>-1576</v>
      </c>
      <c r="U104" s="973">
        <f>32609+1</f>
        <v>32610</v>
      </c>
    </row>
    <row r="105" spans="1:21" x14ac:dyDescent="0.25">
      <c r="A105" s="967">
        <v>91057</v>
      </c>
      <c r="B105" s="968" t="s">
        <v>2748</v>
      </c>
      <c r="C105" s="969">
        <v>1.4399999999999999E-5</v>
      </c>
      <c r="D105" s="969">
        <v>1.5E-5</v>
      </c>
      <c r="E105" s="986">
        <v>9616</v>
      </c>
      <c r="F105" s="970">
        <v>21999</v>
      </c>
      <c r="G105" s="970"/>
      <c r="H105" s="971">
        <v>1267</v>
      </c>
      <c r="I105" s="972">
        <v>5342</v>
      </c>
      <c r="J105" s="971">
        <v>3142</v>
      </c>
      <c r="K105" s="970">
        <v>5805</v>
      </c>
      <c r="L105" s="972">
        <f t="shared" si="2"/>
        <v>15556</v>
      </c>
      <c r="M105" s="970"/>
      <c r="N105" s="971">
        <v>623</v>
      </c>
      <c r="O105" s="971">
        <v>0</v>
      </c>
      <c r="P105" s="970">
        <v>0</v>
      </c>
      <c r="Q105" s="972">
        <f t="shared" si="3"/>
        <v>623</v>
      </c>
      <c r="R105" s="970"/>
      <c r="S105" s="971">
        <v>7414</v>
      </c>
      <c r="T105" s="973">
        <v>2191</v>
      </c>
      <c r="U105" s="973">
        <v>9605</v>
      </c>
    </row>
    <row r="106" spans="1:21" x14ac:dyDescent="0.25">
      <c r="A106" s="967">
        <v>91061</v>
      </c>
      <c r="B106" s="968" t="s">
        <v>2749</v>
      </c>
      <c r="C106" s="969">
        <v>4.104E-4</v>
      </c>
      <c r="D106" s="969">
        <v>3.7730000000000001E-4</v>
      </c>
      <c r="E106" s="986">
        <v>172504</v>
      </c>
      <c r="F106" s="970">
        <v>626978</v>
      </c>
      <c r="G106" s="970"/>
      <c r="H106" s="971">
        <v>36120</v>
      </c>
      <c r="I106" s="972">
        <v>152231</v>
      </c>
      <c r="J106" s="971">
        <v>89541</v>
      </c>
      <c r="K106" s="970">
        <v>19267</v>
      </c>
      <c r="L106" s="972">
        <f t="shared" si="2"/>
        <v>297159</v>
      </c>
      <c r="M106" s="970"/>
      <c r="N106" s="971">
        <v>17748</v>
      </c>
      <c r="O106" s="971">
        <v>0</v>
      </c>
      <c r="P106" s="970">
        <v>27800</v>
      </c>
      <c r="Q106" s="972">
        <f t="shared" si="3"/>
        <v>45548</v>
      </c>
      <c r="R106" s="970"/>
      <c r="S106" s="971">
        <v>211292</v>
      </c>
      <c r="T106" s="973">
        <v>-13384</v>
      </c>
      <c r="U106" s="973">
        <v>197908</v>
      </c>
    </row>
    <row r="107" spans="1:21" x14ac:dyDescent="0.25">
      <c r="A107" s="967">
        <v>91067</v>
      </c>
      <c r="B107" s="968" t="s">
        <v>2750</v>
      </c>
      <c r="C107" s="969">
        <v>1.5699999999999999E-5</v>
      </c>
      <c r="D107" s="969">
        <v>1.8499999999999999E-5</v>
      </c>
      <c r="E107" s="986">
        <v>9046</v>
      </c>
      <c r="F107" s="970">
        <v>23985</v>
      </c>
      <c r="G107" s="970"/>
      <c r="H107" s="971">
        <v>1382</v>
      </c>
      <c r="I107" s="972">
        <v>5824</v>
      </c>
      <c r="J107" s="971">
        <v>3425</v>
      </c>
      <c r="K107" s="970">
        <v>2413</v>
      </c>
      <c r="L107" s="972">
        <f t="shared" si="2"/>
        <v>13044</v>
      </c>
      <c r="M107" s="970"/>
      <c r="N107" s="971">
        <v>679</v>
      </c>
      <c r="O107" s="971">
        <v>0</v>
      </c>
      <c r="P107" s="970">
        <v>406</v>
      </c>
      <c r="Q107" s="972">
        <f t="shared" si="3"/>
        <v>1085</v>
      </c>
      <c r="R107" s="970"/>
      <c r="S107" s="971">
        <v>8083</v>
      </c>
      <c r="T107" s="973">
        <v>1156</v>
      </c>
      <c r="U107" s="973">
        <v>9239</v>
      </c>
    </row>
    <row r="108" spans="1:21" x14ac:dyDescent="0.25">
      <c r="A108" s="967">
        <v>91071</v>
      </c>
      <c r="B108" s="968" t="s">
        <v>2751</v>
      </c>
      <c r="C108" s="969">
        <v>2.2770000000000001E-4</v>
      </c>
      <c r="D108" s="969">
        <v>2.4379999999999999E-4</v>
      </c>
      <c r="E108" s="986">
        <v>93245</v>
      </c>
      <c r="F108" s="970">
        <v>347863</v>
      </c>
      <c r="G108" s="970"/>
      <c r="H108" s="971">
        <v>20040</v>
      </c>
      <c r="I108" s="972">
        <v>84462</v>
      </c>
      <c r="J108" s="971">
        <v>49680</v>
      </c>
      <c r="K108" s="970">
        <v>8372</v>
      </c>
      <c r="L108" s="972">
        <f t="shared" si="2"/>
        <v>162554</v>
      </c>
      <c r="M108" s="970"/>
      <c r="N108" s="971">
        <v>9847</v>
      </c>
      <c r="O108" s="971">
        <v>0</v>
      </c>
      <c r="P108" s="970">
        <v>22478</v>
      </c>
      <c r="Q108" s="972">
        <f t="shared" si="3"/>
        <v>32325</v>
      </c>
      <c r="R108" s="970"/>
      <c r="S108" s="971">
        <v>117230</v>
      </c>
      <c r="T108" s="973">
        <v>2353</v>
      </c>
      <c r="U108" s="973">
        <v>119583</v>
      </c>
    </row>
    <row r="109" spans="1:21" x14ac:dyDescent="0.25">
      <c r="A109" s="967">
        <v>91077</v>
      </c>
      <c r="B109" s="968" t="s">
        <v>2752</v>
      </c>
      <c r="C109" s="969">
        <v>3.5999999999999998E-6</v>
      </c>
      <c r="D109" s="969">
        <v>3.9999999999999998E-6</v>
      </c>
      <c r="E109" s="986">
        <v>3277</v>
      </c>
      <c r="F109" s="970">
        <v>5500</v>
      </c>
      <c r="G109" s="970"/>
      <c r="H109" s="971">
        <v>317</v>
      </c>
      <c r="I109" s="972">
        <v>1336</v>
      </c>
      <c r="J109" s="971">
        <v>785</v>
      </c>
      <c r="K109" s="970">
        <v>1826</v>
      </c>
      <c r="L109" s="972">
        <f t="shared" si="2"/>
        <v>4264</v>
      </c>
      <c r="M109" s="970"/>
      <c r="N109" s="971">
        <v>156</v>
      </c>
      <c r="O109" s="971">
        <v>0</v>
      </c>
      <c r="P109" s="970">
        <v>51</v>
      </c>
      <c r="Q109" s="972">
        <f t="shared" si="3"/>
        <v>207</v>
      </c>
      <c r="R109" s="970"/>
      <c r="S109" s="971">
        <v>1853</v>
      </c>
      <c r="T109" s="973">
        <v>551</v>
      </c>
      <c r="U109" s="973">
        <f>2405-1</f>
        <v>2404</v>
      </c>
    </row>
    <row r="110" spans="1:21" x14ac:dyDescent="0.25">
      <c r="A110" s="967">
        <v>91081</v>
      </c>
      <c r="B110" s="968" t="s">
        <v>2753</v>
      </c>
      <c r="C110" s="969">
        <v>3.6240000000000003E-4</v>
      </c>
      <c r="D110" s="969">
        <v>3.6499999999999998E-4</v>
      </c>
      <c r="E110" s="986">
        <v>169112</v>
      </c>
      <c r="F110" s="970">
        <v>553647</v>
      </c>
      <c r="G110" s="970"/>
      <c r="H110" s="971">
        <v>31895</v>
      </c>
      <c r="I110" s="972">
        <v>134426</v>
      </c>
      <c r="J110" s="971">
        <v>79068</v>
      </c>
      <c r="K110" s="970">
        <v>1618</v>
      </c>
      <c r="L110" s="972">
        <f t="shared" si="2"/>
        <v>247007</v>
      </c>
      <c r="M110" s="970"/>
      <c r="N110" s="971">
        <v>15672</v>
      </c>
      <c r="O110" s="971">
        <v>0</v>
      </c>
      <c r="P110" s="970">
        <v>13549</v>
      </c>
      <c r="Q110" s="972">
        <f t="shared" si="3"/>
        <v>29221</v>
      </c>
      <c r="R110" s="970"/>
      <c r="S110" s="971">
        <v>186579</v>
      </c>
      <c r="T110" s="973">
        <v>-13101</v>
      </c>
      <c r="U110" s="973">
        <v>173478</v>
      </c>
    </row>
    <row r="111" spans="1:21" x14ac:dyDescent="0.25">
      <c r="A111" s="967">
        <v>91091</v>
      </c>
      <c r="B111" s="968" t="s">
        <v>2754</v>
      </c>
      <c r="C111" s="969">
        <v>5.3790000000000001E-4</v>
      </c>
      <c r="D111" s="969">
        <v>5.6380000000000004E-4</v>
      </c>
      <c r="E111" s="986">
        <v>225749</v>
      </c>
      <c r="F111" s="970">
        <v>821762</v>
      </c>
      <c r="G111" s="970"/>
      <c r="H111" s="971">
        <v>47341</v>
      </c>
      <c r="I111" s="972">
        <v>199525</v>
      </c>
      <c r="J111" s="971">
        <v>117359</v>
      </c>
      <c r="K111" s="970">
        <v>0</v>
      </c>
      <c r="L111" s="972">
        <f t="shared" si="2"/>
        <v>364225</v>
      </c>
      <c r="M111" s="970"/>
      <c r="N111" s="971">
        <v>23261</v>
      </c>
      <c r="O111" s="971">
        <v>0</v>
      </c>
      <c r="P111" s="970">
        <v>66212</v>
      </c>
      <c r="Q111" s="972">
        <f t="shared" si="3"/>
        <v>89473</v>
      </c>
      <c r="R111" s="970"/>
      <c r="S111" s="971">
        <v>276935</v>
      </c>
      <c r="T111" s="973">
        <v>-30835</v>
      </c>
      <c r="U111" s="973">
        <f>246099+1</f>
        <v>246100</v>
      </c>
    </row>
    <row r="112" spans="1:21" x14ac:dyDescent="0.25">
      <c r="A112" s="967">
        <v>91101</v>
      </c>
      <c r="B112" s="968" t="s">
        <v>2755</v>
      </c>
      <c r="C112" s="969">
        <v>1.35581E-2</v>
      </c>
      <c r="D112" s="969">
        <v>1.36685E-2</v>
      </c>
      <c r="E112" s="986">
        <v>5894551</v>
      </c>
      <c r="F112" s="970">
        <v>20713021</v>
      </c>
      <c r="G112" s="970"/>
      <c r="H112" s="971">
        <v>1193262</v>
      </c>
      <c r="I112" s="972">
        <v>5029146</v>
      </c>
      <c r="J112" s="971">
        <v>2958106</v>
      </c>
      <c r="K112" s="970">
        <v>471609</v>
      </c>
      <c r="L112" s="972">
        <f t="shared" si="2"/>
        <v>9652123</v>
      </c>
      <c r="M112" s="970"/>
      <c r="N112" s="971">
        <v>586320</v>
      </c>
      <c r="O112" s="971">
        <v>0</v>
      </c>
      <c r="P112" s="970">
        <v>587664</v>
      </c>
      <c r="Q112" s="972">
        <f t="shared" si="3"/>
        <v>1173984</v>
      </c>
      <c r="R112" s="970"/>
      <c r="S112" s="971">
        <v>6980306</v>
      </c>
      <c r="T112" s="973">
        <v>147859</v>
      </c>
      <c r="U112" s="973">
        <v>7128165</v>
      </c>
    </row>
    <row r="113" spans="1:21" x14ac:dyDescent="0.25">
      <c r="A113" s="967">
        <v>91102</v>
      </c>
      <c r="B113" s="968" t="s">
        <v>2756</v>
      </c>
      <c r="C113" s="969">
        <v>3.2919999999999998E-4</v>
      </c>
      <c r="D113" s="969">
        <v>3.034E-4</v>
      </c>
      <c r="E113" s="986">
        <v>156560</v>
      </c>
      <c r="F113" s="970">
        <v>502926</v>
      </c>
      <c r="G113" s="970"/>
      <c r="H113" s="971">
        <v>28973</v>
      </c>
      <c r="I113" s="972">
        <v>122111</v>
      </c>
      <c r="J113" s="971">
        <v>71825</v>
      </c>
      <c r="K113" s="970">
        <v>35240</v>
      </c>
      <c r="L113" s="972">
        <f t="shared" si="2"/>
        <v>258149</v>
      </c>
      <c r="M113" s="970"/>
      <c r="N113" s="971">
        <v>14236</v>
      </c>
      <c r="O113" s="971">
        <v>0</v>
      </c>
      <c r="P113" s="970">
        <v>33978</v>
      </c>
      <c r="Q113" s="972">
        <f t="shared" si="3"/>
        <v>48214</v>
      </c>
      <c r="R113" s="970"/>
      <c r="S113" s="971">
        <v>169487</v>
      </c>
      <c r="T113" s="973">
        <v>-8323</v>
      </c>
      <c r="U113" s="973">
        <f>161163+1</f>
        <v>161164</v>
      </c>
    </row>
    <row r="114" spans="1:21" x14ac:dyDescent="0.25">
      <c r="A114" s="967">
        <v>91104</v>
      </c>
      <c r="B114" s="968" t="s">
        <v>2757</v>
      </c>
      <c r="C114" s="969">
        <v>7.9000000000000006E-6</v>
      </c>
      <c r="D114" s="969">
        <v>8.1999999999999994E-6</v>
      </c>
      <c r="E114" s="986">
        <v>5628</v>
      </c>
      <c r="F114" s="970">
        <v>12069</v>
      </c>
      <c r="G114" s="970"/>
      <c r="H114" s="971">
        <v>695</v>
      </c>
      <c r="I114" s="972">
        <v>2930</v>
      </c>
      <c r="J114" s="971">
        <v>1724</v>
      </c>
      <c r="K114" s="970">
        <v>2115</v>
      </c>
      <c r="L114" s="972">
        <f t="shared" si="2"/>
        <v>7464</v>
      </c>
      <c r="M114" s="970"/>
      <c r="N114" s="971">
        <v>342</v>
      </c>
      <c r="O114" s="971">
        <v>0</v>
      </c>
      <c r="P114" s="970">
        <v>39</v>
      </c>
      <c r="Q114" s="972">
        <f t="shared" si="3"/>
        <v>381</v>
      </c>
      <c r="R114" s="970"/>
      <c r="S114" s="971">
        <v>4067</v>
      </c>
      <c r="T114" s="973">
        <v>589</v>
      </c>
      <c r="U114" s="973">
        <v>4656</v>
      </c>
    </row>
    <row r="115" spans="1:21" x14ac:dyDescent="0.25">
      <c r="A115" s="967">
        <v>91107</v>
      </c>
      <c r="B115" s="968" t="s">
        <v>3683</v>
      </c>
      <c r="C115" s="969">
        <v>7.08E-5</v>
      </c>
      <c r="D115" s="969">
        <v>6.7899999999999997E-5</v>
      </c>
      <c r="E115" s="986">
        <v>36616</v>
      </c>
      <c r="F115" s="970">
        <v>108163</v>
      </c>
      <c r="G115" s="970"/>
      <c r="H115" s="971">
        <v>6231</v>
      </c>
      <c r="I115" s="972">
        <v>26263</v>
      </c>
      <c r="J115" s="971">
        <v>15447</v>
      </c>
      <c r="K115" s="970">
        <v>13143</v>
      </c>
      <c r="L115" s="972">
        <f t="shared" si="2"/>
        <v>61084</v>
      </c>
      <c r="M115" s="970"/>
      <c r="N115" s="971">
        <v>3062</v>
      </c>
      <c r="O115" s="971">
        <v>0</v>
      </c>
      <c r="P115" s="970">
        <v>0</v>
      </c>
      <c r="Q115" s="972">
        <f t="shared" si="3"/>
        <v>3062</v>
      </c>
      <c r="R115" s="970"/>
      <c r="S115" s="971">
        <v>36451</v>
      </c>
      <c r="T115" s="973">
        <v>5162</v>
      </c>
      <c r="U115" s="973">
        <v>41613</v>
      </c>
    </row>
    <row r="116" spans="1:21" x14ac:dyDescent="0.25">
      <c r="A116" s="967">
        <v>91108</v>
      </c>
      <c r="B116" s="968" t="s">
        <v>2759</v>
      </c>
      <c r="C116" s="969">
        <v>1.2413999999999999E-3</v>
      </c>
      <c r="D116" s="969">
        <v>1.2622E-3</v>
      </c>
      <c r="E116" s="986">
        <v>613476</v>
      </c>
      <c r="F116" s="970">
        <v>1896515</v>
      </c>
      <c r="G116" s="970"/>
      <c r="H116" s="971">
        <v>109257</v>
      </c>
      <c r="I116" s="972">
        <v>460476</v>
      </c>
      <c r="J116" s="971">
        <v>270849</v>
      </c>
      <c r="K116" s="970">
        <v>74887</v>
      </c>
      <c r="L116" s="972">
        <f t="shared" si="2"/>
        <v>915469</v>
      </c>
      <c r="M116" s="970"/>
      <c r="N116" s="971">
        <v>53684</v>
      </c>
      <c r="O116" s="971">
        <v>0</v>
      </c>
      <c r="P116" s="970">
        <v>0</v>
      </c>
      <c r="Q116" s="972">
        <f t="shared" si="3"/>
        <v>53684</v>
      </c>
      <c r="R116" s="970"/>
      <c r="S116" s="971">
        <v>639127</v>
      </c>
      <c r="T116" s="973">
        <v>34876</v>
      </c>
      <c r="U116" s="973">
        <v>674003</v>
      </c>
    </row>
    <row r="117" spans="1:21" x14ac:dyDescent="0.25">
      <c r="A117" s="967">
        <v>91109</v>
      </c>
      <c r="B117" s="968" t="s">
        <v>2760</v>
      </c>
      <c r="C117" s="969">
        <v>9.9599999999999995E-5</v>
      </c>
      <c r="D117" s="969">
        <v>9.2100000000000003E-5</v>
      </c>
      <c r="E117" s="986">
        <v>45066</v>
      </c>
      <c r="F117" s="970">
        <v>152161</v>
      </c>
      <c r="G117" s="970"/>
      <c r="H117" s="971">
        <v>8766</v>
      </c>
      <c r="I117" s="972">
        <v>36945</v>
      </c>
      <c r="J117" s="971">
        <v>21731</v>
      </c>
      <c r="K117" s="970">
        <v>5921</v>
      </c>
      <c r="L117" s="972">
        <f t="shared" si="2"/>
        <v>73363</v>
      </c>
      <c r="M117" s="970"/>
      <c r="N117" s="971">
        <v>4307</v>
      </c>
      <c r="O117" s="971">
        <v>0</v>
      </c>
      <c r="P117" s="970">
        <v>920</v>
      </c>
      <c r="Q117" s="972">
        <f t="shared" si="3"/>
        <v>5227</v>
      </c>
      <c r="R117" s="970"/>
      <c r="S117" s="971">
        <v>51278</v>
      </c>
      <c r="T117" s="973">
        <v>1215</v>
      </c>
      <c r="U117" s="973">
        <v>52493</v>
      </c>
    </row>
    <row r="118" spans="1:21" x14ac:dyDescent="0.25">
      <c r="A118" s="967">
        <v>91111</v>
      </c>
      <c r="B118" s="968" t="s">
        <v>2761</v>
      </c>
      <c r="C118" s="969">
        <v>2.2719999999999999E-4</v>
      </c>
      <c r="D118" s="969">
        <v>2.2359999999999999E-4</v>
      </c>
      <c r="E118" s="986">
        <v>110903</v>
      </c>
      <c r="F118" s="970">
        <v>347099</v>
      </c>
      <c r="G118" s="970"/>
      <c r="H118" s="971">
        <v>19996</v>
      </c>
      <c r="I118" s="972">
        <v>84276</v>
      </c>
      <c r="J118" s="971">
        <v>49570</v>
      </c>
      <c r="K118" s="970">
        <v>25492</v>
      </c>
      <c r="L118" s="972">
        <f t="shared" si="2"/>
        <v>179334</v>
      </c>
      <c r="M118" s="970"/>
      <c r="N118" s="971">
        <v>9825</v>
      </c>
      <c r="O118" s="971">
        <v>0</v>
      </c>
      <c r="P118" s="970">
        <v>0</v>
      </c>
      <c r="Q118" s="972">
        <f t="shared" si="3"/>
        <v>9825</v>
      </c>
      <c r="R118" s="970"/>
      <c r="S118" s="971">
        <v>116973</v>
      </c>
      <c r="T118" s="973">
        <v>10793</v>
      </c>
      <c r="U118" s="973">
        <v>127766</v>
      </c>
    </row>
    <row r="119" spans="1:21" x14ac:dyDescent="0.25">
      <c r="A119" s="967">
        <v>91119</v>
      </c>
      <c r="B119" s="968" t="s">
        <v>1289</v>
      </c>
      <c r="C119" s="969">
        <v>0</v>
      </c>
      <c r="D119" s="969">
        <v>0</v>
      </c>
      <c r="E119" s="986" t="e">
        <v>#N/A</v>
      </c>
      <c r="F119" s="970">
        <v>0</v>
      </c>
      <c r="G119" s="970"/>
      <c r="H119" s="971">
        <v>0</v>
      </c>
      <c r="I119" s="972">
        <v>0</v>
      </c>
      <c r="J119" s="971">
        <v>0</v>
      </c>
      <c r="K119" s="970">
        <v>0</v>
      </c>
      <c r="L119" s="972">
        <f t="shared" si="2"/>
        <v>0</v>
      </c>
      <c r="M119" s="970"/>
      <c r="N119" s="971">
        <v>0</v>
      </c>
      <c r="O119" s="971">
        <v>0</v>
      </c>
      <c r="P119" s="970">
        <v>321091</v>
      </c>
      <c r="Q119" s="972">
        <f t="shared" si="3"/>
        <v>321091</v>
      </c>
      <c r="R119" s="970"/>
      <c r="S119" s="971">
        <v>0</v>
      </c>
      <c r="T119" s="973">
        <v>-324334</v>
      </c>
      <c r="U119" s="973">
        <v>-324334</v>
      </c>
    </row>
    <row r="120" spans="1:21" x14ac:dyDescent="0.25">
      <c r="A120" s="967">
        <v>91120</v>
      </c>
      <c r="B120" s="968" t="s">
        <v>2762</v>
      </c>
      <c r="C120" s="969">
        <v>1.3019999999999999E-4</v>
      </c>
      <c r="D120" s="969">
        <v>1.184E-4</v>
      </c>
      <c r="E120" s="986">
        <v>45449</v>
      </c>
      <c r="F120" s="970">
        <v>198910</v>
      </c>
      <c r="G120" s="970"/>
      <c r="H120" s="971">
        <v>11459</v>
      </c>
      <c r="I120" s="972">
        <v>48295</v>
      </c>
      <c r="J120" s="971">
        <v>28407</v>
      </c>
      <c r="K120" s="970">
        <v>0</v>
      </c>
      <c r="L120" s="972">
        <f t="shared" si="2"/>
        <v>88161</v>
      </c>
      <c r="M120" s="970"/>
      <c r="N120" s="971">
        <v>5630</v>
      </c>
      <c r="O120" s="971">
        <v>0</v>
      </c>
      <c r="P120" s="970">
        <v>21939</v>
      </c>
      <c r="Q120" s="972">
        <f t="shared" si="3"/>
        <v>27569</v>
      </c>
      <c r="R120" s="970"/>
      <c r="S120" s="971">
        <v>67033</v>
      </c>
      <c r="T120" s="973">
        <v>-12131</v>
      </c>
      <c r="U120" s="973">
        <v>54902</v>
      </c>
    </row>
    <row r="121" spans="1:21" x14ac:dyDescent="0.25">
      <c r="A121" s="967">
        <v>91121</v>
      </c>
      <c r="B121" s="968" t="s">
        <v>2763</v>
      </c>
      <c r="C121" s="969">
        <v>9.9927999999999996E-3</v>
      </c>
      <c r="D121" s="969">
        <v>9.7842999999999992E-3</v>
      </c>
      <c r="E121" s="986">
        <v>4272051</v>
      </c>
      <c r="F121" s="970">
        <v>15266230</v>
      </c>
      <c r="G121" s="970"/>
      <c r="H121" s="971">
        <v>879476</v>
      </c>
      <c r="I121" s="972">
        <v>3706660</v>
      </c>
      <c r="J121" s="971">
        <v>2180229</v>
      </c>
      <c r="K121" s="970">
        <v>0</v>
      </c>
      <c r="L121" s="972">
        <f t="shared" si="2"/>
        <v>6766365</v>
      </c>
      <c r="M121" s="970"/>
      <c r="N121" s="971">
        <v>432139</v>
      </c>
      <c r="O121" s="971">
        <v>0</v>
      </c>
      <c r="P121" s="970">
        <v>650994</v>
      </c>
      <c r="Q121" s="972">
        <f t="shared" si="3"/>
        <v>1083133</v>
      </c>
      <c r="R121" s="970"/>
      <c r="S121" s="971">
        <v>5144733</v>
      </c>
      <c r="T121" s="973">
        <v>-324255</v>
      </c>
      <c r="U121" s="973">
        <f>4820479-1</f>
        <v>4820478</v>
      </c>
    </row>
    <row r="122" spans="1:21" x14ac:dyDescent="0.25">
      <c r="A122" s="967">
        <v>91127</v>
      </c>
      <c r="B122" s="968" t="s">
        <v>2764</v>
      </c>
      <c r="C122" s="969">
        <v>2.6879999999999997E-4</v>
      </c>
      <c r="D122" s="969">
        <v>2.8229999999999998E-4</v>
      </c>
      <c r="E122" s="986">
        <v>146935</v>
      </c>
      <c r="F122" s="970">
        <v>410652</v>
      </c>
      <c r="G122" s="970"/>
      <c r="H122" s="971">
        <v>23657</v>
      </c>
      <c r="I122" s="972">
        <v>99706</v>
      </c>
      <c r="J122" s="971">
        <v>58647</v>
      </c>
      <c r="K122" s="970">
        <v>46863</v>
      </c>
      <c r="L122" s="972">
        <f t="shared" si="2"/>
        <v>228873</v>
      </c>
      <c r="M122" s="970"/>
      <c r="N122" s="971">
        <v>11624</v>
      </c>
      <c r="O122" s="971">
        <v>0</v>
      </c>
      <c r="P122" s="970">
        <v>0</v>
      </c>
      <c r="Q122" s="972">
        <f t="shared" si="3"/>
        <v>11624</v>
      </c>
      <c r="R122" s="970"/>
      <c r="S122" s="971">
        <v>138390</v>
      </c>
      <c r="T122" s="973">
        <v>25061</v>
      </c>
      <c r="U122" s="973">
        <v>163451</v>
      </c>
    </row>
    <row r="123" spans="1:21" x14ac:dyDescent="0.25">
      <c r="A123" s="967">
        <v>91128</v>
      </c>
      <c r="B123" s="968" t="s">
        <v>2765</v>
      </c>
      <c r="C123" s="969">
        <v>5.2380000000000005E-4</v>
      </c>
      <c r="D123" s="969">
        <v>5.0929999999999997E-4</v>
      </c>
      <c r="E123" s="986">
        <v>238305</v>
      </c>
      <c r="F123" s="970">
        <v>800221</v>
      </c>
      <c r="G123" s="970"/>
      <c r="H123" s="971">
        <v>46100</v>
      </c>
      <c r="I123" s="972">
        <v>194295</v>
      </c>
      <c r="J123" s="971">
        <v>114283</v>
      </c>
      <c r="K123" s="970">
        <v>15169</v>
      </c>
      <c r="L123" s="972">
        <f t="shared" si="2"/>
        <v>369847</v>
      </c>
      <c r="M123" s="970"/>
      <c r="N123" s="971">
        <v>22652</v>
      </c>
      <c r="O123" s="971">
        <v>0</v>
      </c>
      <c r="P123" s="970">
        <v>6263</v>
      </c>
      <c r="Q123" s="972">
        <f t="shared" si="3"/>
        <v>28915</v>
      </c>
      <c r="R123" s="970"/>
      <c r="S123" s="971">
        <v>269675</v>
      </c>
      <c r="T123" s="973">
        <v>-679</v>
      </c>
      <c r="U123" s="973">
        <v>268996</v>
      </c>
    </row>
    <row r="124" spans="1:21" x14ac:dyDescent="0.25">
      <c r="A124" s="967">
        <v>91138</v>
      </c>
      <c r="B124" s="968" t="s">
        <v>2766</v>
      </c>
      <c r="C124" s="969">
        <v>6.2629999999999999E-4</v>
      </c>
      <c r="D124" s="969">
        <v>6.2350000000000003E-4</v>
      </c>
      <c r="E124" s="986">
        <v>220646</v>
      </c>
      <c r="F124" s="970">
        <v>956813</v>
      </c>
      <c r="G124" s="970"/>
      <c r="H124" s="971">
        <v>55121</v>
      </c>
      <c r="I124" s="972">
        <v>232316</v>
      </c>
      <c r="J124" s="971">
        <v>136646</v>
      </c>
      <c r="K124" s="970">
        <v>0</v>
      </c>
      <c r="L124" s="972">
        <f t="shared" si="2"/>
        <v>424083</v>
      </c>
      <c r="M124" s="970"/>
      <c r="N124" s="971">
        <v>27084</v>
      </c>
      <c r="O124" s="971">
        <v>0</v>
      </c>
      <c r="P124" s="970">
        <v>127984</v>
      </c>
      <c r="Q124" s="972">
        <f t="shared" si="3"/>
        <v>155068</v>
      </c>
      <c r="R124" s="970"/>
      <c r="S124" s="971">
        <v>322447</v>
      </c>
      <c r="T124" s="973">
        <v>-48531</v>
      </c>
      <c r="U124" s="973">
        <v>273916</v>
      </c>
    </row>
    <row r="125" spans="1:21" x14ac:dyDescent="0.25">
      <c r="A125" s="967">
        <v>91141</v>
      </c>
      <c r="B125" s="968" t="s">
        <v>2767</v>
      </c>
      <c r="C125" s="969">
        <v>5.7569999999999995E-4</v>
      </c>
      <c r="D125" s="969">
        <v>5.5679999999999998E-4</v>
      </c>
      <c r="E125" s="986">
        <v>236315</v>
      </c>
      <c r="F125" s="970">
        <v>879510</v>
      </c>
      <c r="G125" s="970"/>
      <c r="H125" s="971">
        <v>50668</v>
      </c>
      <c r="I125" s="972">
        <v>213546</v>
      </c>
      <c r="J125" s="971">
        <v>125606</v>
      </c>
      <c r="K125" s="970">
        <v>0</v>
      </c>
      <c r="L125" s="972">
        <f t="shared" si="2"/>
        <v>389820</v>
      </c>
      <c r="M125" s="970"/>
      <c r="N125" s="971">
        <v>24896</v>
      </c>
      <c r="O125" s="971">
        <v>0</v>
      </c>
      <c r="P125" s="970">
        <v>80393</v>
      </c>
      <c r="Q125" s="972">
        <f t="shared" si="3"/>
        <v>105289</v>
      </c>
      <c r="R125" s="970"/>
      <c r="S125" s="971">
        <v>296396</v>
      </c>
      <c r="T125" s="973">
        <v>-38126</v>
      </c>
      <c r="U125" s="973">
        <v>258270</v>
      </c>
    </row>
    <row r="126" spans="1:21" x14ac:dyDescent="0.25">
      <c r="A126" s="967">
        <v>91147</v>
      </c>
      <c r="B126" s="968" t="s">
        <v>2768</v>
      </c>
      <c r="C126" s="969">
        <v>2.6699999999999998E-5</v>
      </c>
      <c r="D126" s="969">
        <v>2.4199999999999999E-5</v>
      </c>
      <c r="E126" s="986">
        <v>12125</v>
      </c>
      <c r="F126" s="970">
        <v>40790</v>
      </c>
      <c r="G126" s="970"/>
      <c r="H126" s="971">
        <v>2350</v>
      </c>
      <c r="I126" s="972">
        <v>9904</v>
      </c>
      <c r="J126" s="971">
        <v>5825</v>
      </c>
      <c r="K126" s="970">
        <v>8489</v>
      </c>
      <c r="L126" s="972">
        <f t="shared" si="2"/>
        <v>26568</v>
      </c>
      <c r="M126" s="970"/>
      <c r="N126" s="971">
        <v>1155</v>
      </c>
      <c r="O126" s="971">
        <v>0</v>
      </c>
      <c r="P126" s="970">
        <v>0</v>
      </c>
      <c r="Q126" s="972">
        <f t="shared" si="3"/>
        <v>1155</v>
      </c>
      <c r="R126" s="970"/>
      <c r="S126" s="971">
        <v>13746</v>
      </c>
      <c r="T126" s="973">
        <v>4333</v>
      </c>
      <c r="U126" s="973">
        <f>18080-1</f>
        <v>18079</v>
      </c>
    </row>
    <row r="127" spans="1:21" x14ac:dyDescent="0.25">
      <c r="A127" s="967">
        <v>91151</v>
      </c>
      <c r="B127" s="968" t="s">
        <v>2769</v>
      </c>
      <c r="C127" s="969">
        <v>6.3409999999999996E-4</v>
      </c>
      <c r="D127" s="969">
        <v>6.1180000000000002E-4</v>
      </c>
      <c r="E127" s="986">
        <v>254760</v>
      </c>
      <c r="F127" s="970">
        <v>968729</v>
      </c>
      <c r="G127" s="970"/>
      <c r="H127" s="971">
        <v>55808</v>
      </c>
      <c r="I127" s="972">
        <v>235208</v>
      </c>
      <c r="J127" s="971">
        <v>138348</v>
      </c>
      <c r="K127" s="970">
        <v>6907</v>
      </c>
      <c r="L127" s="972">
        <f t="shared" si="2"/>
        <v>436271</v>
      </c>
      <c r="M127" s="970"/>
      <c r="N127" s="971">
        <v>27422</v>
      </c>
      <c r="O127" s="971">
        <v>0</v>
      </c>
      <c r="P127" s="970">
        <v>49311</v>
      </c>
      <c r="Q127" s="972">
        <f t="shared" si="3"/>
        <v>76733</v>
      </c>
      <c r="R127" s="970"/>
      <c r="S127" s="971">
        <v>326463</v>
      </c>
      <c r="T127" s="973">
        <v>-15290</v>
      </c>
      <c r="U127" s="973">
        <f>311172+1</f>
        <v>311173</v>
      </c>
    </row>
    <row r="128" spans="1:21" x14ac:dyDescent="0.25">
      <c r="A128" s="967">
        <v>91154</v>
      </c>
      <c r="B128" s="968" t="s">
        <v>2770</v>
      </c>
      <c r="C128" s="969">
        <v>2.6299999999999999E-5</v>
      </c>
      <c r="D128" s="969">
        <v>1.9599999999999999E-5</v>
      </c>
      <c r="E128" s="986">
        <v>10902</v>
      </c>
      <c r="F128" s="970">
        <v>40179</v>
      </c>
      <c r="G128" s="970"/>
      <c r="H128" s="971">
        <v>2315</v>
      </c>
      <c r="I128" s="972">
        <v>9756</v>
      </c>
      <c r="J128" s="971">
        <v>5738</v>
      </c>
      <c r="K128" s="970">
        <v>7326</v>
      </c>
      <c r="L128" s="972">
        <f t="shared" si="2"/>
        <v>25135</v>
      </c>
      <c r="M128" s="970"/>
      <c r="N128" s="971">
        <v>1137</v>
      </c>
      <c r="O128" s="971">
        <v>0</v>
      </c>
      <c r="P128" s="970">
        <v>0</v>
      </c>
      <c r="Q128" s="972">
        <f t="shared" si="3"/>
        <v>1137</v>
      </c>
      <c r="R128" s="970"/>
      <c r="S128" s="971">
        <v>13540</v>
      </c>
      <c r="T128" s="973">
        <v>2962</v>
      </c>
      <c r="U128" s="973">
        <f>16503-1</f>
        <v>16502</v>
      </c>
    </row>
    <row r="129" spans="1:21" x14ac:dyDescent="0.25">
      <c r="A129" s="967">
        <v>91161</v>
      </c>
      <c r="B129" s="968" t="s">
        <v>2771</v>
      </c>
      <c r="C129" s="969">
        <v>9.2600000000000001E-5</v>
      </c>
      <c r="D129" s="969">
        <v>9.4599999999999996E-5</v>
      </c>
      <c r="E129" s="986">
        <v>44457</v>
      </c>
      <c r="F129" s="970">
        <v>141467</v>
      </c>
      <c r="G129" s="970"/>
      <c r="H129" s="971">
        <v>8150</v>
      </c>
      <c r="I129" s="972">
        <v>34348</v>
      </c>
      <c r="J129" s="971">
        <v>20203</v>
      </c>
      <c r="K129" s="970">
        <v>5327</v>
      </c>
      <c r="L129" s="972">
        <f t="shared" si="2"/>
        <v>68028</v>
      </c>
      <c r="M129" s="970"/>
      <c r="N129" s="971">
        <v>4004</v>
      </c>
      <c r="O129" s="971">
        <v>0</v>
      </c>
      <c r="P129" s="970">
        <v>3079</v>
      </c>
      <c r="Q129" s="972">
        <f t="shared" si="3"/>
        <v>7083</v>
      </c>
      <c r="R129" s="970"/>
      <c r="S129" s="971">
        <v>47675</v>
      </c>
      <c r="T129" s="973">
        <v>935</v>
      </c>
      <c r="U129" s="973">
        <v>48610</v>
      </c>
    </row>
    <row r="130" spans="1:21" x14ac:dyDescent="0.25">
      <c r="A130" s="967">
        <v>91171</v>
      </c>
      <c r="B130" s="968" t="s">
        <v>2772</v>
      </c>
      <c r="C130" s="969">
        <v>1.95E-4</v>
      </c>
      <c r="D130" s="969">
        <v>2.5589999999999999E-4</v>
      </c>
      <c r="E130" s="986">
        <v>93651</v>
      </c>
      <c r="F130" s="970">
        <v>297906</v>
      </c>
      <c r="G130" s="970"/>
      <c r="H130" s="971">
        <v>17162</v>
      </c>
      <c r="I130" s="972">
        <v>72331</v>
      </c>
      <c r="J130" s="971">
        <v>42545</v>
      </c>
      <c r="K130" s="970">
        <v>0</v>
      </c>
      <c r="L130" s="972">
        <f t="shared" si="2"/>
        <v>132038</v>
      </c>
      <c r="M130" s="970"/>
      <c r="N130" s="971">
        <v>8433</v>
      </c>
      <c r="O130" s="971">
        <v>0</v>
      </c>
      <c r="P130" s="970">
        <v>58020</v>
      </c>
      <c r="Q130" s="972">
        <f t="shared" si="3"/>
        <v>66453</v>
      </c>
      <c r="R130" s="970"/>
      <c r="S130" s="971">
        <v>100395</v>
      </c>
      <c r="T130" s="973">
        <v>-21400</v>
      </c>
      <c r="U130" s="973">
        <f>78994+1</f>
        <v>78995</v>
      </c>
    </row>
    <row r="131" spans="1:21" x14ac:dyDescent="0.25">
      <c r="A131" s="967">
        <v>91201</v>
      </c>
      <c r="B131" s="968" t="s">
        <v>2773</v>
      </c>
      <c r="C131" s="969">
        <v>2.2878E-3</v>
      </c>
      <c r="D131" s="969">
        <v>2.3127999999999998E-3</v>
      </c>
      <c r="E131" s="986">
        <v>970291</v>
      </c>
      <c r="F131" s="970">
        <v>3495125</v>
      </c>
      <c r="G131" s="970"/>
      <c r="H131" s="971">
        <v>201352</v>
      </c>
      <c r="I131" s="972">
        <v>848620</v>
      </c>
      <c r="J131" s="971">
        <v>499152</v>
      </c>
      <c r="K131" s="970">
        <v>40348</v>
      </c>
      <c r="L131" s="972">
        <f t="shared" si="2"/>
        <v>1589472</v>
      </c>
      <c r="M131" s="970"/>
      <c r="N131" s="971">
        <v>98936</v>
      </c>
      <c r="O131" s="971">
        <v>0</v>
      </c>
      <c r="P131" s="970">
        <v>96428</v>
      </c>
      <c r="Q131" s="972">
        <f t="shared" si="3"/>
        <v>195364</v>
      </c>
      <c r="R131" s="970"/>
      <c r="S131" s="971">
        <v>1177860</v>
      </c>
      <c r="T131" s="973">
        <v>-568</v>
      </c>
      <c r="U131" s="973">
        <v>1177292</v>
      </c>
    </row>
    <row r="132" spans="1:21" x14ac:dyDescent="0.25">
      <c r="A132" s="967">
        <v>91202</v>
      </c>
      <c r="B132" s="968" t="s">
        <v>2774</v>
      </c>
      <c r="C132" s="969">
        <v>1.9330000000000001E-4</v>
      </c>
      <c r="D132" s="969">
        <v>1.897E-4</v>
      </c>
      <c r="E132" s="986">
        <v>96479</v>
      </c>
      <c r="F132" s="970">
        <v>295309</v>
      </c>
      <c r="G132" s="970"/>
      <c r="H132" s="971">
        <v>17013</v>
      </c>
      <c r="I132" s="972">
        <v>71701</v>
      </c>
      <c r="J132" s="971">
        <v>42174</v>
      </c>
      <c r="K132" s="970">
        <v>27893</v>
      </c>
      <c r="L132" s="972">
        <f t="shared" si="2"/>
        <v>158781</v>
      </c>
      <c r="M132" s="970"/>
      <c r="N132" s="971">
        <v>8359</v>
      </c>
      <c r="O132" s="971">
        <v>0</v>
      </c>
      <c r="P132" s="970">
        <v>0</v>
      </c>
      <c r="Q132" s="972">
        <f t="shared" si="3"/>
        <v>8359</v>
      </c>
      <c r="R132" s="970"/>
      <c r="S132" s="971">
        <v>99519</v>
      </c>
      <c r="T132" s="973">
        <v>12367</v>
      </c>
      <c r="U132" s="973">
        <v>111886</v>
      </c>
    </row>
    <row r="133" spans="1:21" x14ac:dyDescent="0.25">
      <c r="A133" s="967">
        <v>91203</v>
      </c>
      <c r="B133" s="968" t="s">
        <v>2775</v>
      </c>
      <c r="C133" s="969">
        <v>2.1939999999999999E-4</v>
      </c>
      <c r="D133" s="969">
        <v>2.4479999999999999E-4</v>
      </c>
      <c r="E133" s="986">
        <v>127249</v>
      </c>
      <c r="F133" s="970">
        <v>335182</v>
      </c>
      <c r="G133" s="970"/>
      <c r="H133" s="971">
        <v>19310</v>
      </c>
      <c r="I133" s="972">
        <v>81383</v>
      </c>
      <c r="J133" s="971">
        <v>47869</v>
      </c>
      <c r="K133" s="970">
        <v>25236</v>
      </c>
      <c r="L133" s="972">
        <f t="shared" si="2"/>
        <v>173798</v>
      </c>
      <c r="M133" s="970"/>
      <c r="N133" s="971">
        <v>9488</v>
      </c>
      <c r="O133" s="971">
        <v>0</v>
      </c>
      <c r="P133" s="970">
        <v>0</v>
      </c>
      <c r="Q133" s="972">
        <f t="shared" si="3"/>
        <v>9488</v>
      </c>
      <c r="R133" s="970"/>
      <c r="S133" s="971">
        <v>112957</v>
      </c>
      <c r="T133" s="973">
        <v>12508</v>
      </c>
      <c r="U133" s="973">
        <f>125464+1</f>
        <v>125465</v>
      </c>
    </row>
    <row r="134" spans="1:21" x14ac:dyDescent="0.25">
      <c r="A134" s="967">
        <v>91206</v>
      </c>
      <c r="B134" s="968" t="s">
        <v>2776</v>
      </c>
      <c r="C134" s="969">
        <v>8.6450000000000003E-4</v>
      </c>
      <c r="D134" s="969">
        <v>8.2129999999999996E-4</v>
      </c>
      <c r="E134" s="986">
        <v>388200</v>
      </c>
      <c r="F134" s="970">
        <v>1320717</v>
      </c>
      <c r="G134" s="970"/>
      <c r="H134" s="971">
        <v>76086</v>
      </c>
      <c r="I134" s="972">
        <v>320672</v>
      </c>
      <c r="J134" s="971">
        <v>188617</v>
      </c>
      <c r="K134" s="970">
        <v>32943</v>
      </c>
      <c r="L134" s="972">
        <f t="shared" si="2"/>
        <v>618318</v>
      </c>
      <c r="M134" s="970"/>
      <c r="N134" s="971">
        <v>37385</v>
      </c>
      <c r="O134" s="971">
        <v>0</v>
      </c>
      <c r="P134" s="970">
        <v>1131</v>
      </c>
      <c r="Q134" s="972">
        <f t="shared" si="3"/>
        <v>38516</v>
      </c>
      <c r="R134" s="970"/>
      <c r="S134" s="971">
        <v>445083</v>
      </c>
      <c r="T134" s="973">
        <v>15708</v>
      </c>
      <c r="U134" s="973">
        <v>460791</v>
      </c>
    </row>
    <row r="135" spans="1:21" x14ac:dyDescent="0.25">
      <c r="A135" s="967">
        <v>91208</v>
      </c>
      <c r="B135" s="968" t="s">
        <v>2777</v>
      </c>
      <c r="C135" s="969">
        <v>1.42E-5</v>
      </c>
      <c r="D135" s="969">
        <v>1.3699999999999999E-5</v>
      </c>
      <c r="E135" s="986">
        <v>6398</v>
      </c>
      <c r="F135" s="970">
        <v>21694</v>
      </c>
      <c r="G135" s="970"/>
      <c r="H135" s="971">
        <v>1250</v>
      </c>
      <c r="I135" s="972">
        <v>5267</v>
      </c>
      <c r="J135" s="971">
        <v>3098</v>
      </c>
      <c r="K135" s="970">
        <v>3961</v>
      </c>
      <c r="L135" s="972">
        <f t="shared" ref="L135:L198" si="4">H135+I135+J135+K135</f>
        <v>13576</v>
      </c>
      <c r="M135" s="970"/>
      <c r="N135" s="971">
        <v>614</v>
      </c>
      <c r="O135" s="971">
        <v>0</v>
      </c>
      <c r="P135" s="970">
        <v>0</v>
      </c>
      <c r="Q135" s="972">
        <f t="shared" ref="Q135:Q198" si="5">N135+O135+P135</f>
        <v>614</v>
      </c>
      <c r="R135" s="970"/>
      <c r="S135" s="971">
        <v>7311</v>
      </c>
      <c r="T135" s="973">
        <v>3460</v>
      </c>
      <c r="U135" s="973">
        <v>10771</v>
      </c>
    </row>
    <row r="136" spans="1:21" x14ac:dyDescent="0.25">
      <c r="A136" s="967">
        <v>91211</v>
      </c>
      <c r="B136" s="968" t="s">
        <v>2778</v>
      </c>
      <c r="C136" s="969">
        <v>4.5530000000000001E-4</v>
      </c>
      <c r="D136" s="969">
        <v>4.6789999999999999E-4</v>
      </c>
      <c r="E136" s="986">
        <v>223513</v>
      </c>
      <c r="F136" s="970">
        <v>695572</v>
      </c>
      <c r="G136" s="970"/>
      <c r="H136" s="971">
        <v>40071</v>
      </c>
      <c r="I136" s="972">
        <v>168886</v>
      </c>
      <c r="J136" s="971">
        <v>99337</v>
      </c>
      <c r="K136" s="970">
        <v>6745</v>
      </c>
      <c r="L136" s="972">
        <f t="shared" si="4"/>
        <v>315039</v>
      </c>
      <c r="M136" s="970"/>
      <c r="N136" s="971">
        <v>19689</v>
      </c>
      <c r="O136" s="971">
        <v>0</v>
      </c>
      <c r="P136" s="970">
        <v>3315</v>
      </c>
      <c r="Q136" s="972">
        <f t="shared" si="5"/>
        <v>23004</v>
      </c>
      <c r="R136" s="970"/>
      <c r="S136" s="971">
        <v>234408</v>
      </c>
      <c r="T136" s="973">
        <v>1355</v>
      </c>
      <c r="U136" s="973">
        <v>235763</v>
      </c>
    </row>
    <row r="137" spans="1:21" x14ac:dyDescent="0.25">
      <c r="A137" s="967">
        <v>91213</v>
      </c>
      <c r="B137" s="968" t="s">
        <v>2779</v>
      </c>
      <c r="C137" s="969">
        <v>3.2499999999999997E-5</v>
      </c>
      <c r="D137" s="969">
        <v>3.57E-5</v>
      </c>
      <c r="E137" s="986">
        <v>12090</v>
      </c>
      <c r="F137" s="970">
        <v>49651</v>
      </c>
      <c r="G137" s="970"/>
      <c r="H137" s="971">
        <v>2860</v>
      </c>
      <c r="I137" s="972">
        <v>12056</v>
      </c>
      <c r="J137" s="971">
        <v>7091</v>
      </c>
      <c r="K137" s="970">
        <v>0</v>
      </c>
      <c r="L137" s="972">
        <f t="shared" si="4"/>
        <v>22007</v>
      </c>
      <c r="M137" s="970"/>
      <c r="N137" s="971">
        <v>1405</v>
      </c>
      <c r="O137" s="971">
        <v>0</v>
      </c>
      <c r="P137" s="970">
        <v>7680</v>
      </c>
      <c r="Q137" s="972">
        <f t="shared" si="5"/>
        <v>9085</v>
      </c>
      <c r="R137" s="970"/>
      <c r="S137" s="971">
        <v>16732</v>
      </c>
      <c r="T137" s="973">
        <v>-2660</v>
      </c>
      <c r="U137" s="973">
        <v>14072</v>
      </c>
    </row>
    <row r="138" spans="1:21" x14ac:dyDescent="0.25">
      <c r="A138" s="967">
        <v>91214</v>
      </c>
      <c r="B138" s="968" t="s">
        <v>2780</v>
      </c>
      <c r="C138" s="969">
        <v>2.9300000000000001E-5</v>
      </c>
      <c r="D138" s="969">
        <v>2.8200000000000001E-5</v>
      </c>
      <c r="E138" s="986">
        <v>9669</v>
      </c>
      <c r="F138" s="970">
        <v>44762</v>
      </c>
      <c r="G138" s="970"/>
      <c r="H138" s="971">
        <v>2579</v>
      </c>
      <c r="I138" s="972">
        <v>10868</v>
      </c>
      <c r="J138" s="971">
        <v>6393</v>
      </c>
      <c r="K138" s="970">
        <v>1300</v>
      </c>
      <c r="L138" s="972">
        <f t="shared" si="4"/>
        <v>21140</v>
      </c>
      <c r="M138" s="970"/>
      <c r="N138" s="971">
        <v>1267</v>
      </c>
      <c r="O138" s="971">
        <v>0</v>
      </c>
      <c r="P138" s="970">
        <v>3669</v>
      </c>
      <c r="Q138" s="972">
        <f t="shared" si="5"/>
        <v>4936</v>
      </c>
      <c r="R138" s="970"/>
      <c r="S138" s="971">
        <v>15085</v>
      </c>
      <c r="T138" s="973">
        <v>-283</v>
      </c>
      <c r="U138" s="973">
        <v>14802</v>
      </c>
    </row>
    <row r="139" spans="1:21" x14ac:dyDescent="0.25">
      <c r="A139" s="967">
        <v>91217</v>
      </c>
      <c r="B139" s="968" t="s">
        <v>2781</v>
      </c>
      <c r="C139" s="969">
        <v>2.8799999999999999E-5</v>
      </c>
      <c r="D139" s="969">
        <v>2.6699999999999998E-5</v>
      </c>
      <c r="E139" s="986">
        <v>14934</v>
      </c>
      <c r="F139" s="970">
        <v>43998</v>
      </c>
      <c r="G139" s="970"/>
      <c r="H139" s="971">
        <v>2535</v>
      </c>
      <c r="I139" s="972">
        <v>10683</v>
      </c>
      <c r="J139" s="971">
        <v>6284</v>
      </c>
      <c r="K139" s="970">
        <v>10784</v>
      </c>
      <c r="L139" s="972">
        <f t="shared" si="4"/>
        <v>30286</v>
      </c>
      <c r="M139" s="970"/>
      <c r="N139" s="971">
        <v>1245</v>
      </c>
      <c r="O139" s="971">
        <v>0</v>
      </c>
      <c r="P139" s="970">
        <v>0</v>
      </c>
      <c r="Q139" s="972">
        <f t="shared" si="5"/>
        <v>1245</v>
      </c>
      <c r="R139" s="970"/>
      <c r="S139" s="971">
        <v>14828</v>
      </c>
      <c r="T139" s="973">
        <v>4311</v>
      </c>
      <c r="U139" s="973">
        <v>19139</v>
      </c>
    </row>
    <row r="140" spans="1:21" x14ac:dyDescent="0.25">
      <c r="A140" s="967">
        <v>91221</v>
      </c>
      <c r="B140" s="968" t="s">
        <v>2782</v>
      </c>
      <c r="C140" s="969">
        <v>1.3359999999999999E-4</v>
      </c>
      <c r="D140" s="969">
        <v>1.294E-4</v>
      </c>
      <c r="E140" s="986">
        <v>59449</v>
      </c>
      <c r="F140" s="970">
        <v>204104</v>
      </c>
      <c r="G140" s="970"/>
      <c r="H140" s="971">
        <v>11758</v>
      </c>
      <c r="I140" s="972">
        <v>49557</v>
      </c>
      <c r="J140" s="971">
        <v>29149</v>
      </c>
      <c r="K140" s="970">
        <v>5038</v>
      </c>
      <c r="L140" s="972">
        <f t="shared" si="4"/>
        <v>95502</v>
      </c>
      <c r="M140" s="970"/>
      <c r="N140" s="971">
        <v>5778</v>
      </c>
      <c r="O140" s="971">
        <v>0</v>
      </c>
      <c r="P140" s="970">
        <v>7113</v>
      </c>
      <c r="Q140" s="972">
        <f t="shared" si="5"/>
        <v>12891</v>
      </c>
      <c r="R140" s="970"/>
      <c r="S140" s="971">
        <v>68783</v>
      </c>
      <c r="T140" s="973">
        <v>1397</v>
      </c>
      <c r="U140" s="973">
        <v>70180</v>
      </c>
    </row>
    <row r="141" spans="1:21" x14ac:dyDescent="0.25">
      <c r="A141" s="967">
        <v>91231</v>
      </c>
      <c r="B141" s="968" t="s">
        <v>2783</v>
      </c>
      <c r="C141" s="969">
        <v>1.8856000000000001E-3</v>
      </c>
      <c r="D141" s="969">
        <v>1.9957E-3</v>
      </c>
      <c r="E141" s="986">
        <v>867955</v>
      </c>
      <c r="F141" s="970">
        <v>2880674</v>
      </c>
      <c r="G141" s="970"/>
      <c r="H141" s="971">
        <v>165954</v>
      </c>
      <c r="I141" s="972">
        <v>699431</v>
      </c>
      <c r="J141" s="971">
        <v>411400</v>
      </c>
      <c r="K141" s="970">
        <v>10587</v>
      </c>
      <c r="L141" s="972">
        <f t="shared" si="4"/>
        <v>1287372</v>
      </c>
      <c r="M141" s="970"/>
      <c r="N141" s="971">
        <v>81543</v>
      </c>
      <c r="O141" s="971">
        <v>0</v>
      </c>
      <c r="P141" s="970">
        <v>132995</v>
      </c>
      <c r="Q141" s="972">
        <f t="shared" si="5"/>
        <v>214538</v>
      </c>
      <c r="R141" s="970"/>
      <c r="S141" s="971">
        <v>970790</v>
      </c>
      <c r="T141" s="973">
        <v>-32073</v>
      </c>
      <c r="U141" s="973">
        <v>938717</v>
      </c>
    </row>
    <row r="142" spans="1:21" x14ac:dyDescent="0.25">
      <c r="A142" s="967">
        <v>91233</v>
      </c>
      <c r="B142" s="968" t="s">
        <v>2784</v>
      </c>
      <c r="C142" s="969">
        <v>5.8100000000000003E-5</v>
      </c>
      <c r="D142" s="969">
        <v>4.5599999999999997E-5</v>
      </c>
      <c r="E142" s="986">
        <v>21828</v>
      </c>
      <c r="F142" s="970">
        <v>88761</v>
      </c>
      <c r="G142" s="970"/>
      <c r="H142" s="971">
        <v>5113</v>
      </c>
      <c r="I142" s="972">
        <v>21551</v>
      </c>
      <c r="J142" s="971">
        <v>12676</v>
      </c>
      <c r="K142" s="970">
        <v>9544</v>
      </c>
      <c r="L142" s="972">
        <f t="shared" si="4"/>
        <v>48884</v>
      </c>
      <c r="M142" s="970"/>
      <c r="N142" s="971">
        <v>2513</v>
      </c>
      <c r="O142" s="971">
        <v>0</v>
      </c>
      <c r="P142" s="970">
        <v>117</v>
      </c>
      <c r="Q142" s="972">
        <f t="shared" si="5"/>
        <v>2630</v>
      </c>
      <c r="R142" s="970"/>
      <c r="S142" s="971">
        <v>29912</v>
      </c>
      <c r="T142" s="973">
        <v>4289</v>
      </c>
      <c r="U142" s="973">
        <f>34202-1</f>
        <v>34201</v>
      </c>
    </row>
    <row r="143" spans="1:21" x14ac:dyDescent="0.25">
      <c r="A143" s="967">
        <v>91241</v>
      </c>
      <c r="B143" s="968" t="s">
        <v>2785</v>
      </c>
      <c r="C143" s="969">
        <v>3.5500000000000002E-5</v>
      </c>
      <c r="D143" s="969">
        <v>3.68E-5</v>
      </c>
      <c r="E143" s="986">
        <v>17216</v>
      </c>
      <c r="F143" s="970">
        <v>54234</v>
      </c>
      <c r="G143" s="970"/>
      <c r="H143" s="971">
        <v>3124</v>
      </c>
      <c r="I143" s="972">
        <v>13168</v>
      </c>
      <c r="J143" s="971">
        <v>7745</v>
      </c>
      <c r="K143" s="970">
        <v>0</v>
      </c>
      <c r="L143" s="972">
        <f t="shared" si="4"/>
        <v>24037</v>
      </c>
      <c r="M143" s="970"/>
      <c r="N143" s="971">
        <v>1535</v>
      </c>
      <c r="O143" s="971">
        <v>0</v>
      </c>
      <c r="P143" s="970">
        <v>4391</v>
      </c>
      <c r="Q143" s="972">
        <f t="shared" si="5"/>
        <v>5926</v>
      </c>
      <c r="R143" s="970"/>
      <c r="S143" s="971">
        <v>18277</v>
      </c>
      <c r="T143" s="973">
        <v>-2564</v>
      </c>
      <c r="U143" s="973">
        <v>15713</v>
      </c>
    </row>
    <row r="144" spans="1:21" x14ac:dyDescent="0.25">
      <c r="A144" s="967">
        <v>91251</v>
      </c>
      <c r="B144" s="968" t="s">
        <v>2786</v>
      </c>
      <c r="C144" s="969">
        <v>1.9899999999999999E-5</v>
      </c>
      <c r="D144" s="969">
        <v>2.65E-5</v>
      </c>
      <c r="E144" s="986">
        <v>11339</v>
      </c>
      <c r="F144" s="970">
        <v>30402</v>
      </c>
      <c r="G144" s="970"/>
      <c r="H144" s="971">
        <v>1751</v>
      </c>
      <c r="I144" s="972">
        <v>7381</v>
      </c>
      <c r="J144" s="971">
        <v>4342</v>
      </c>
      <c r="K144" s="970">
        <v>2341</v>
      </c>
      <c r="L144" s="972">
        <f t="shared" si="4"/>
        <v>15815</v>
      </c>
      <c r="M144" s="970"/>
      <c r="N144" s="971">
        <v>861</v>
      </c>
      <c r="O144" s="971">
        <v>0</v>
      </c>
      <c r="P144" s="970">
        <v>3540</v>
      </c>
      <c r="Q144" s="972">
        <f t="shared" si="5"/>
        <v>4401</v>
      </c>
      <c r="R144" s="970"/>
      <c r="S144" s="971">
        <v>10245</v>
      </c>
      <c r="T144" s="973">
        <v>1340</v>
      </c>
      <c r="U144" s="973">
        <f>11586-1</f>
        <v>11585</v>
      </c>
    </row>
    <row r="145" spans="1:21" x14ac:dyDescent="0.25">
      <c r="A145" s="967">
        <v>91261</v>
      </c>
      <c r="B145" s="968" t="s">
        <v>2787</v>
      </c>
      <c r="C145" s="969">
        <v>1.03E-5</v>
      </c>
      <c r="D145" s="969">
        <v>9.5000000000000005E-6</v>
      </c>
      <c r="E145" s="986">
        <v>4666</v>
      </c>
      <c r="F145" s="970">
        <v>15736</v>
      </c>
      <c r="G145" s="970"/>
      <c r="H145" s="971">
        <v>907</v>
      </c>
      <c r="I145" s="972">
        <v>3821</v>
      </c>
      <c r="J145" s="971">
        <v>2247</v>
      </c>
      <c r="K145" s="970">
        <v>1784</v>
      </c>
      <c r="L145" s="972">
        <f t="shared" si="4"/>
        <v>8759</v>
      </c>
      <c r="M145" s="970"/>
      <c r="N145" s="971">
        <v>445</v>
      </c>
      <c r="O145" s="971">
        <v>0</v>
      </c>
      <c r="P145" s="970">
        <v>0</v>
      </c>
      <c r="Q145" s="972">
        <f t="shared" si="5"/>
        <v>445</v>
      </c>
      <c r="R145" s="970"/>
      <c r="S145" s="971">
        <v>5303</v>
      </c>
      <c r="T145" s="973">
        <v>850</v>
      </c>
      <c r="U145" s="973">
        <v>6153</v>
      </c>
    </row>
    <row r="146" spans="1:21" x14ac:dyDescent="0.25">
      <c r="A146" s="967">
        <v>91301</v>
      </c>
      <c r="B146" s="968" t="s">
        <v>2788</v>
      </c>
      <c r="C146" s="969">
        <v>7.6985999999999999E-3</v>
      </c>
      <c r="D146" s="969">
        <v>7.7765000000000004E-3</v>
      </c>
      <c r="E146" s="986">
        <v>3428603</v>
      </c>
      <c r="F146" s="970">
        <v>11761328</v>
      </c>
      <c r="G146" s="970"/>
      <c r="H146" s="971">
        <v>677561</v>
      </c>
      <c r="I146" s="972">
        <v>2855665</v>
      </c>
      <c r="J146" s="971">
        <v>1679681</v>
      </c>
      <c r="K146" s="970">
        <v>19915</v>
      </c>
      <c r="L146" s="972">
        <f t="shared" si="4"/>
        <v>5232822</v>
      </c>
      <c r="M146" s="970"/>
      <c r="N146" s="971">
        <v>332926</v>
      </c>
      <c r="O146" s="971">
        <v>0</v>
      </c>
      <c r="P146" s="970">
        <v>249856</v>
      </c>
      <c r="Q146" s="972">
        <f t="shared" si="5"/>
        <v>582782</v>
      </c>
      <c r="R146" s="970"/>
      <c r="S146" s="971">
        <v>3963578</v>
      </c>
      <c r="T146" s="973">
        <v>-98741</v>
      </c>
      <c r="U146" s="973">
        <v>3864837</v>
      </c>
    </row>
    <row r="147" spans="1:21" x14ac:dyDescent="0.25">
      <c r="A147" s="974">
        <v>91302</v>
      </c>
      <c r="B147" s="968" t="s">
        <v>3684</v>
      </c>
      <c r="C147" s="969">
        <v>6.0300000000000002E-4</v>
      </c>
      <c r="D147" s="969">
        <v>5.9190000000000002E-4</v>
      </c>
      <c r="E147" s="986">
        <v>259187</v>
      </c>
      <c r="F147" s="970">
        <v>921217</v>
      </c>
      <c r="G147" s="970"/>
      <c r="H147" s="971">
        <v>53071</v>
      </c>
      <c r="I147" s="972">
        <v>223673</v>
      </c>
      <c r="J147" s="971">
        <v>131563</v>
      </c>
      <c r="K147" s="970">
        <v>32897</v>
      </c>
      <c r="L147" s="972">
        <f t="shared" si="4"/>
        <v>441204</v>
      </c>
      <c r="M147" s="970"/>
      <c r="N147" s="971">
        <v>26077</v>
      </c>
      <c r="O147" s="971">
        <v>0</v>
      </c>
      <c r="P147" s="970">
        <v>6670</v>
      </c>
      <c r="Q147" s="972">
        <f t="shared" si="5"/>
        <v>32747</v>
      </c>
      <c r="R147" s="970"/>
      <c r="S147" s="971">
        <v>310451</v>
      </c>
      <c r="T147" s="973">
        <v>18435</v>
      </c>
      <c r="U147" s="973">
        <v>328886</v>
      </c>
    </row>
    <row r="148" spans="1:21" x14ac:dyDescent="0.25">
      <c r="A148" s="974">
        <v>91306</v>
      </c>
      <c r="B148" s="968" t="s">
        <v>2790</v>
      </c>
      <c r="C148" s="969">
        <v>1.6412E-3</v>
      </c>
      <c r="D148" s="969">
        <v>1.6676E-3</v>
      </c>
      <c r="E148" s="986">
        <v>766698</v>
      </c>
      <c r="F148" s="970">
        <v>2507299</v>
      </c>
      <c r="G148" s="970"/>
      <c r="H148" s="971">
        <v>144444</v>
      </c>
      <c r="I148" s="972">
        <v>608776</v>
      </c>
      <c r="J148" s="971">
        <v>358077</v>
      </c>
      <c r="K148" s="970">
        <v>113707</v>
      </c>
      <c r="L148" s="972">
        <f t="shared" si="4"/>
        <v>1225004</v>
      </c>
      <c r="M148" s="970"/>
      <c r="N148" s="971">
        <v>70974</v>
      </c>
      <c r="O148" s="971">
        <v>0</v>
      </c>
      <c r="P148" s="970">
        <v>7101</v>
      </c>
      <c r="Q148" s="972">
        <f t="shared" si="5"/>
        <v>78075</v>
      </c>
      <c r="R148" s="970"/>
      <c r="S148" s="971">
        <v>844962</v>
      </c>
      <c r="T148" s="973">
        <v>59215</v>
      </c>
      <c r="U148" s="973">
        <v>904177</v>
      </c>
    </row>
    <row r="149" spans="1:21" x14ac:dyDescent="0.25">
      <c r="A149" s="974">
        <v>91308</v>
      </c>
      <c r="B149" s="968" t="s">
        <v>2791</v>
      </c>
      <c r="C149" s="969">
        <v>1.8009999999999999E-4</v>
      </c>
      <c r="D149" s="969">
        <v>2.05E-4</v>
      </c>
      <c r="E149" s="986">
        <v>80232</v>
      </c>
      <c r="F149" s="970">
        <v>275143</v>
      </c>
      <c r="G149" s="970"/>
      <c r="H149" s="971">
        <v>15851</v>
      </c>
      <c r="I149" s="972">
        <v>66805</v>
      </c>
      <c r="J149" s="971">
        <v>39294</v>
      </c>
      <c r="K149" s="970">
        <v>2442</v>
      </c>
      <c r="L149" s="972">
        <f t="shared" si="4"/>
        <v>124392</v>
      </c>
      <c r="M149" s="970"/>
      <c r="N149" s="971">
        <v>7788</v>
      </c>
      <c r="O149" s="971">
        <v>0</v>
      </c>
      <c r="P149" s="970">
        <v>21144</v>
      </c>
      <c r="Q149" s="972">
        <f t="shared" si="5"/>
        <v>28932</v>
      </c>
      <c r="R149" s="970"/>
      <c r="S149" s="971">
        <v>92723</v>
      </c>
      <c r="T149" s="973">
        <v>-3684</v>
      </c>
      <c r="U149" s="973">
        <f>89040-1</f>
        <v>89039</v>
      </c>
    </row>
    <row r="150" spans="1:21" x14ac:dyDescent="0.25">
      <c r="A150" s="967">
        <v>91311</v>
      </c>
      <c r="B150" s="968" t="s">
        <v>2792</v>
      </c>
      <c r="C150" s="969">
        <v>7.6685E-3</v>
      </c>
      <c r="D150" s="969">
        <v>7.6649999999999999E-3</v>
      </c>
      <c r="E150" s="986">
        <v>3305761</v>
      </c>
      <c r="F150" s="970">
        <v>11715344</v>
      </c>
      <c r="G150" s="970"/>
      <c r="H150" s="971">
        <v>674912</v>
      </c>
      <c r="I150" s="972">
        <v>2844500</v>
      </c>
      <c r="J150" s="971">
        <v>1673113</v>
      </c>
      <c r="K150" s="970">
        <v>78345</v>
      </c>
      <c r="L150" s="972">
        <f t="shared" si="4"/>
        <v>5270870</v>
      </c>
      <c r="M150" s="970"/>
      <c r="N150" s="971">
        <v>331624</v>
      </c>
      <c r="O150" s="971">
        <v>0</v>
      </c>
      <c r="P150" s="970">
        <v>516736</v>
      </c>
      <c r="Q150" s="972">
        <f t="shared" si="5"/>
        <v>848360</v>
      </c>
      <c r="R150" s="970"/>
      <c r="S150" s="971">
        <v>3948081</v>
      </c>
      <c r="T150" s="973">
        <v>-187514</v>
      </c>
      <c r="U150" s="973">
        <v>3760567</v>
      </c>
    </row>
    <row r="151" spans="1:21" x14ac:dyDescent="0.25">
      <c r="A151" s="967">
        <v>91317</v>
      </c>
      <c r="B151" s="968" t="s">
        <v>2793</v>
      </c>
      <c r="C151" s="969">
        <v>1.016E-4</v>
      </c>
      <c r="D151" s="969">
        <v>9.0500000000000004E-5</v>
      </c>
      <c r="E151" s="986">
        <v>50865</v>
      </c>
      <c r="F151" s="970">
        <v>155217</v>
      </c>
      <c r="G151" s="970"/>
      <c r="H151" s="971">
        <v>8942</v>
      </c>
      <c r="I151" s="972">
        <v>37687</v>
      </c>
      <c r="J151" s="971">
        <v>22167</v>
      </c>
      <c r="K151" s="970">
        <v>13159</v>
      </c>
      <c r="L151" s="972">
        <f t="shared" si="4"/>
        <v>81955</v>
      </c>
      <c r="M151" s="970"/>
      <c r="N151" s="971">
        <v>4394</v>
      </c>
      <c r="O151" s="971">
        <v>0</v>
      </c>
      <c r="P151" s="970">
        <v>1760</v>
      </c>
      <c r="Q151" s="972">
        <f t="shared" si="5"/>
        <v>6154</v>
      </c>
      <c r="R151" s="970"/>
      <c r="S151" s="971">
        <v>52308</v>
      </c>
      <c r="T151" s="973">
        <v>2823</v>
      </c>
      <c r="U151" s="973">
        <f>55132-1</f>
        <v>55131</v>
      </c>
    </row>
    <row r="152" spans="1:21" x14ac:dyDescent="0.25">
      <c r="A152" s="967">
        <v>91321</v>
      </c>
      <c r="B152" s="968" t="s">
        <v>2794</v>
      </c>
      <c r="C152" s="969">
        <v>4.2799999999999997E-5</v>
      </c>
      <c r="D152" s="969">
        <v>4.1999999999999998E-5</v>
      </c>
      <c r="E152" s="986">
        <v>37213</v>
      </c>
      <c r="F152" s="970">
        <v>65387</v>
      </c>
      <c r="G152" s="970"/>
      <c r="H152" s="971">
        <v>3767</v>
      </c>
      <c r="I152" s="972">
        <v>15876</v>
      </c>
      <c r="J152" s="971">
        <v>9338</v>
      </c>
      <c r="K152" s="970">
        <v>18992</v>
      </c>
      <c r="L152" s="972">
        <f t="shared" si="4"/>
        <v>47973</v>
      </c>
      <c r="M152" s="970"/>
      <c r="N152" s="971">
        <v>1851</v>
      </c>
      <c r="O152" s="971">
        <v>0</v>
      </c>
      <c r="P152" s="970">
        <v>3760</v>
      </c>
      <c r="Q152" s="972">
        <f t="shared" si="5"/>
        <v>5611</v>
      </c>
      <c r="R152" s="970"/>
      <c r="S152" s="971">
        <v>22035</v>
      </c>
      <c r="T152" s="973">
        <v>3437</v>
      </c>
      <c r="U152" s="973">
        <v>25472</v>
      </c>
    </row>
    <row r="153" spans="1:21" x14ac:dyDescent="0.25">
      <c r="A153" s="967">
        <v>91327</v>
      </c>
      <c r="B153" s="968" t="s">
        <v>2795</v>
      </c>
      <c r="C153" s="969">
        <v>8.1999999999999994E-6</v>
      </c>
      <c r="D153" s="969">
        <v>1.03E-5</v>
      </c>
      <c r="E153" s="986">
        <v>4495</v>
      </c>
      <c r="F153" s="970">
        <v>12527</v>
      </c>
      <c r="G153" s="970"/>
      <c r="H153" s="971">
        <v>722</v>
      </c>
      <c r="I153" s="972">
        <v>3042</v>
      </c>
      <c r="J153" s="971">
        <v>1789</v>
      </c>
      <c r="K153" s="970">
        <v>36</v>
      </c>
      <c r="L153" s="972">
        <f t="shared" si="4"/>
        <v>5589</v>
      </c>
      <c r="M153" s="970"/>
      <c r="N153" s="971">
        <v>355</v>
      </c>
      <c r="O153" s="971">
        <v>0</v>
      </c>
      <c r="P153" s="970">
        <v>1563</v>
      </c>
      <c r="Q153" s="972">
        <f t="shared" si="5"/>
        <v>1918</v>
      </c>
      <c r="R153" s="970"/>
      <c r="S153" s="971">
        <v>4222</v>
      </c>
      <c r="T153" s="973">
        <v>-481</v>
      </c>
      <c r="U153" s="973">
        <v>3741</v>
      </c>
    </row>
    <row r="154" spans="1:21" x14ac:dyDescent="0.25">
      <c r="A154" s="967">
        <v>91331</v>
      </c>
      <c r="B154" s="968" t="s">
        <v>2796</v>
      </c>
      <c r="C154" s="969">
        <v>3.0033E-3</v>
      </c>
      <c r="D154" s="969">
        <v>2.8509999999999998E-3</v>
      </c>
      <c r="E154" s="986">
        <v>1190887</v>
      </c>
      <c r="F154" s="970">
        <v>4588210</v>
      </c>
      <c r="G154" s="970"/>
      <c r="H154" s="971">
        <v>264323</v>
      </c>
      <c r="I154" s="972">
        <v>1114023</v>
      </c>
      <c r="J154" s="971">
        <v>655260</v>
      </c>
      <c r="K154" s="970">
        <v>0</v>
      </c>
      <c r="L154" s="972">
        <f t="shared" si="4"/>
        <v>2033606</v>
      </c>
      <c r="M154" s="970"/>
      <c r="N154" s="971">
        <v>129878</v>
      </c>
      <c r="O154" s="971">
        <v>0</v>
      </c>
      <c r="P154" s="970">
        <v>342951</v>
      </c>
      <c r="Q154" s="972">
        <f t="shared" si="5"/>
        <v>472829</v>
      </c>
      <c r="R154" s="970"/>
      <c r="S154" s="971">
        <v>1546231</v>
      </c>
      <c r="T154" s="973">
        <v>-176510</v>
      </c>
      <c r="U154" s="973">
        <v>1369721</v>
      </c>
    </row>
    <row r="155" spans="1:21" x14ac:dyDescent="0.25">
      <c r="A155" s="967">
        <v>91341</v>
      </c>
      <c r="B155" s="968" t="s">
        <v>2797</v>
      </c>
      <c r="C155" s="969">
        <v>2.51E-5</v>
      </c>
      <c r="D155" s="969">
        <v>1.4399999999999999E-5</v>
      </c>
      <c r="E155" s="986">
        <v>9161</v>
      </c>
      <c r="F155" s="970">
        <v>38346</v>
      </c>
      <c r="G155" s="970"/>
      <c r="H155" s="971">
        <v>2209</v>
      </c>
      <c r="I155" s="972">
        <v>9311</v>
      </c>
      <c r="J155" s="971">
        <v>5476</v>
      </c>
      <c r="K155" s="970">
        <v>5566</v>
      </c>
      <c r="L155" s="972">
        <f t="shared" si="4"/>
        <v>22562</v>
      </c>
      <c r="M155" s="970"/>
      <c r="N155" s="971">
        <v>1085</v>
      </c>
      <c r="O155" s="971">
        <v>0</v>
      </c>
      <c r="P155" s="970">
        <v>1759</v>
      </c>
      <c r="Q155" s="972">
        <f t="shared" si="5"/>
        <v>2844</v>
      </c>
      <c r="R155" s="970"/>
      <c r="S155" s="971">
        <v>12923</v>
      </c>
      <c r="T155" s="973">
        <v>939</v>
      </c>
      <c r="U155" s="973">
        <f>13861+1</f>
        <v>13862</v>
      </c>
    </row>
    <row r="156" spans="1:21" x14ac:dyDescent="0.25">
      <c r="A156" s="967">
        <v>91401</v>
      </c>
      <c r="B156" s="968" t="s">
        <v>2798</v>
      </c>
      <c r="C156" s="969">
        <v>3.5885000000000001E-3</v>
      </c>
      <c r="D156" s="969">
        <v>3.6841E-3</v>
      </c>
      <c r="E156" s="986">
        <v>1559430</v>
      </c>
      <c r="F156" s="970">
        <v>5482234</v>
      </c>
      <c r="G156" s="970"/>
      <c r="H156" s="971">
        <v>315827</v>
      </c>
      <c r="I156" s="972">
        <v>1331093</v>
      </c>
      <c r="J156" s="971">
        <v>782939</v>
      </c>
      <c r="K156" s="970">
        <v>17446</v>
      </c>
      <c r="L156" s="972">
        <f t="shared" si="4"/>
        <v>2447305</v>
      </c>
      <c r="M156" s="970"/>
      <c r="N156" s="971">
        <v>155185</v>
      </c>
      <c r="O156" s="971">
        <v>0</v>
      </c>
      <c r="P156" s="970">
        <v>142927</v>
      </c>
      <c r="Q156" s="972">
        <f t="shared" si="5"/>
        <v>298112</v>
      </c>
      <c r="R156" s="970"/>
      <c r="S156" s="971">
        <v>1847518</v>
      </c>
      <c r="T156" s="973">
        <v>-23160</v>
      </c>
      <c r="U156" s="973">
        <v>1824358</v>
      </c>
    </row>
    <row r="157" spans="1:21" x14ac:dyDescent="0.25">
      <c r="A157" s="967">
        <v>91411</v>
      </c>
      <c r="B157" s="968" t="s">
        <v>2799</v>
      </c>
      <c r="C157" s="969">
        <v>3.7829999999999998E-4</v>
      </c>
      <c r="D157" s="969">
        <v>3.5379999999999998E-4</v>
      </c>
      <c r="E157" s="986">
        <v>168365</v>
      </c>
      <c r="F157" s="970">
        <v>577938</v>
      </c>
      <c r="G157" s="970"/>
      <c r="H157" s="971">
        <v>33295</v>
      </c>
      <c r="I157" s="972">
        <v>140324</v>
      </c>
      <c r="J157" s="971">
        <v>82537</v>
      </c>
      <c r="K157" s="970">
        <v>28581</v>
      </c>
      <c r="L157" s="972">
        <f t="shared" si="4"/>
        <v>284737</v>
      </c>
      <c r="M157" s="970"/>
      <c r="N157" s="971">
        <v>16360</v>
      </c>
      <c r="O157" s="971">
        <v>0</v>
      </c>
      <c r="P157" s="970">
        <v>1394</v>
      </c>
      <c r="Q157" s="972">
        <f t="shared" si="5"/>
        <v>17754</v>
      </c>
      <c r="R157" s="970"/>
      <c r="S157" s="971">
        <v>194765</v>
      </c>
      <c r="T157" s="973">
        <v>7766</v>
      </c>
      <c r="U157" s="973">
        <v>202531</v>
      </c>
    </row>
    <row r="158" spans="1:21" x14ac:dyDescent="0.25">
      <c r="A158" s="967">
        <v>91417</v>
      </c>
      <c r="B158" s="968" t="s">
        <v>2800</v>
      </c>
      <c r="C158" s="969">
        <v>9.3000000000000007E-6</v>
      </c>
      <c r="D158" s="969">
        <v>9.9000000000000001E-6</v>
      </c>
      <c r="E158" s="986">
        <v>5289</v>
      </c>
      <c r="F158" s="970">
        <v>14208</v>
      </c>
      <c r="G158" s="970"/>
      <c r="H158" s="971">
        <v>819</v>
      </c>
      <c r="I158" s="972">
        <v>3450</v>
      </c>
      <c r="J158" s="971">
        <v>2029</v>
      </c>
      <c r="K158" s="970">
        <v>2388</v>
      </c>
      <c r="L158" s="972">
        <f t="shared" si="4"/>
        <v>8686</v>
      </c>
      <c r="M158" s="970"/>
      <c r="N158" s="971">
        <v>402</v>
      </c>
      <c r="O158" s="971">
        <v>0</v>
      </c>
      <c r="P158" s="970">
        <v>0</v>
      </c>
      <c r="Q158" s="972">
        <f t="shared" si="5"/>
        <v>402</v>
      </c>
      <c r="R158" s="970"/>
      <c r="S158" s="971">
        <v>4788</v>
      </c>
      <c r="T158" s="973">
        <v>1814</v>
      </c>
      <c r="U158" s="973">
        <v>6602</v>
      </c>
    </row>
    <row r="159" spans="1:21" x14ac:dyDescent="0.25">
      <c r="A159" s="967">
        <v>91421</v>
      </c>
      <c r="B159" s="968" t="s">
        <v>2801</v>
      </c>
      <c r="C159" s="969">
        <v>6.9499999999999995E-5</v>
      </c>
      <c r="D159" s="969">
        <v>7.0400000000000004E-5</v>
      </c>
      <c r="E159" s="986">
        <v>36488</v>
      </c>
      <c r="F159" s="970">
        <v>106177</v>
      </c>
      <c r="G159" s="970"/>
      <c r="H159" s="971">
        <v>6117</v>
      </c>
      <c r="I159" s="972">
        <v>25779</v>
      </c>
      <c r="J159" s="971">
        <v>15164</v>
      </c>
      <c r="K159" s="970">
        <v>4339</v>
      </c>
      <c r="L159" s="972">
        <f t="shared" si="4"/>
        <v>51399</v>
      </c>
      <c r="M159" s="970"/>
      <c r="N159" s="971">
        <v>3006</v>
      </c>
      <c r="O159" s="971">
        <v>0</v>
      </c>
      <c r="P159" s="970">
        <v>3143</v>
      </c>
      <c r="Q159" s="972">
        <f t="shared" si="5"/>
        <v>6149</v>
      </c>
      <c r="R159" s="970"/>
      <c r="S159" s="971">
        <v>35782</v>
      </c>
      <c r="T159" s="973">
        <v>365</v>
      </c>
      <c r="U159" s="973">
        <v>36147</v>
      </c>
    </row>
    <row r="160" spans="1:21" x14ac:dyDescent="0.25">
      <c r="A160" s="967">
        <v>91423</v>
      </c>
      <c r="B160" s="968" t="s">
        <v>2802</v>
      </c>
      <c r="C160" s="969">
        <v>5.38E-5</v>
      </c>
      <c r="D160" s="969">
        <v>3.8699999999999999E-5</v>
      </c>
      <c r="E160" s="986">
        <v>20620</v>
      </c>
      <c r="F160" s="970">
        <v>82191</v>
      </c>
      <c r="G160" s="970"/>
      <c r="H160" s="971">
        <v>4735</v>
      </c>
      <c r="I160" s="972">
        <v>19956</v>
      </c>
      <c r="J160" s="971">
        <v>11738</v>
      </c>
      <c r="K160" s="970">
        <v>13454</v>
      </c>
      <c r="L160" s="972">
        <f t="shared" si="4"/>
        <v>49883</v>
      </c>
      <c r="M160" s="970"/>
      <c r="N160" s="971">
        <v>2327</v>
      </c>
      <c r="O160" s="971">
        <v>0</v>
      </c>
      <c r="P160" s="970">
        <v>2026</v>
      </c>
      <c r="Q160" s="972">
        <f t="shared" si="5"/>
        <v>4353</v>
      </c>
      <c r="R160" s="970"/>
      <c r="S160" s="971">
        <v>27699</v>
      </c>
      <c r="T160" s="973">
        <v>3208</v>
      </c>
      <c r="U160" s="973">
        <f>30906+1</f>
        <v>30907</v>
      </c>
    </row>
    <row r="161" spans="1:21" x14ac:dyDescent="0.25">
      <c r="A161" s="967">
        <v>91431</v>
      </c>
      <c r="B161" s="968" t="s">
        <v>2803</v>
      </c>
      <c r="C161" s="969">
        <v>1.562E-4</v>
      </c>
      <c r="D161" s="969">
        <v>1.417E-4</v>
      </c>
      <c r="E161" s="986">
        <v>80270</v>
      </c>
      <c r="F161" s="970">
        <v>238630</v>
      </c>
      <c r="G161" s="970"/>
      <c r="H161" s="971">
        <v>13747</v>
      </c>
      <c r="I161" s="972">
        <v>57939</v>
      </c>
      <c r="J161" s="971">
        <v>34080</v>
      </c>
      <c r="K161" s="970">
        <v>17694</v>
      </c>
      <c r="L161" s="972">
        <f t="shared" si="4"/>
        <v>123460</v>
      </c>
      <c r="M161" s="970"/>
      <c r="N161" s="971">
        <v>6755</v>
      </c>
      <c r="O161" s="971">
        <v>0</v>
      </c>
      <c r="P161" s="970">
        <v>1767</v>
      </c>
      <c r="Q161" s="972">
        <f t="shared" si="5"/>
        <v>8522</v>
      </c>
      <c r="R161" s="970"/>
      <c r="S161" s="971">
        <v>80419</v>
      </c>
      <c r="T161" s="973">
        <v>4026</v>
      </c>
      <c r="U161" s="973">
        <v>84445</v>
      </c>
    </row>
    <row r="162" spans="1:21" x14ac:dyDescent="0.25">
      <c r="A162" s="967">
        <v>91441</v>
      </c>
      <c r="B162" s="968" t="s">
        <v>2804</v>
      </c>
      <c r="C162" s="969">
        <v>9.5140000000000003E-4</v>
      </c>
      <c r="D162" s="969">
        <v>7.3800000000000005E-4</v>
      </c>
      <c r="E162" s="986">
        <v>316618</v>
      </c>
      <c r="F162" s="970">
        <v>1453476</v>
      </c>
      <c r="G162" s="970"/>
      <c r="H162" s="971">
        <v>83734</v>
      </c>
      <c r="I162" s="972">
        <v>352905</v>
      </c>
      <c r="J162" s="971">
        <v>207576</v>
      </c>
      <c r="K162" s="970">
        <v>46954</v>
      </c>
      <c r="L162" s="972">
        <f t="shared" si="4"/>
        <v>691169</v>
      </c>
      <c r="M162" s="970"/>
      <c r="N162" s="971">
        <v>41143</v>
      </c>
      <c r="O162" s="971">
        <v>0</v>
      </c>
      <c r="P162" s="970">
        <v>103301</v>
      </c>
      <c r="Q162" s="972">
        <f t="shared" si="5"/>
        <v>144444</v>
      </c>
      <c r="R162" s="970"/>
      <c r="S162" s="971">
        <v>489823</v>
      </c>
      <c r="T162" s="973">
        <v>-39929</v>
      </c>
      <c r="U162" s="973">
        <v>449894</v>
      </c>
    </row>
    <row r="163" spans="1:21" x14ac:dyDescent="0.25">
      <c r="A163" s="967">
        <v>91451</v>
      </c>
      <c r="B163" s="968" t="s">
        <v>2805</v>
      </c>
      <c r="C163" s="969">
        <v>1.4760000000000001E-3</v>
      </c>
      <c r="D163" s="969">
        <v>1.5629000000000001E-3</v>
      </c>
      <c r="E163" s="986">
        <v>670223</v>
      </c>
      <c r="F163" s="970">
        <v>2254919</v>
      </c>
      <c r="G163" s="970"/>
      <c r="H163" s="971">
        <v>129904</v>
      </c>
      <c r="I163" s="972">
        <v>547497</v>
      </c>
      <c r="J163" s="971">
        <v>322034</v>
      </c>
      <c r="K163" s="970">
        <v>0</v>
      </c>
      <c r="L163" s="972">
        <f t="shared" si="4"/>
        <v>999435</v>
      </c>
      <c r="M163" s="970"/>
      <c r="N163" s="971">
        <v>63830</v>
      </c>
      <c r="O163" s="971">
        <v>0</v>
      </c>
      <c r="P163" s="970">
        <v>199933</v>
      </c>
      <c r="Q163" s="972">
        <f t="shared" si="5"/>
        <v>263763</v>
      </c>
      <c r="R163" s="970"/>
      <c r="S163" s="971">
        <v>759910</v>
      </c>
      <c r="T163" s="973">
        <v>-85072</v>
      </c>
      <c r="U163" s="973">
        <v>674838</v>
      </c>
    </row>
    <row r="164" spans="1:21" x14ac:dyDescent="0.25">
      <c r="A164" s="967">
        <v>91457</v>
      </c>
      <c r="B164" s="968" t="s">
        <v>2806</v>
      </c>
      <c r="C164" s="969">
        <v>2.23E-5</v>
      </c>
      <c r="D164" s="969">
        <v>2.58E-5</v>
      </c>
      <c r="E164" s="986">
        <v>30670</v>
      </c>
      <c r="F164" s="970">
        <v>34068</v>
      </c>
      <c r="G164" s="970"/>
      <c r="H164" s="971">
        <v>1963</v>
      </c>
      <c r="I164" s="972">
        <v>8272</v>
      </c>
      <c r="J164" s="971">
        <v>4865</v>
      </c>
      <c r="K164" s="970">
        <v>30858</v>
      </c>
      <c r="L164" s="972">
        <f t="shared" si="4"/>
        <v>45958</v>
      </c>
      <c r="M164" s="970"/>
      <c r="N164" s="971">
        <v>964</v>
      </c>
      <c r="O164" s="971">
        <v>0</v>
      </c>
      <c r="P164" s="970">
        <v>0</v>
      </c>
      <c r="Q164" s="972">
        <f t="shared" si="5"/>
        <v>964</v>
      </c>
      <c r="R164" s="970"/>
      <c r="S164" s="971">
        <v>11481</v>
      </c>
      <c r="T164" s="973">
        <v>10929</v>
      </c>
      <c r="U164" s="973">
        <v>22410</v>
      </c>
    </row>
    <row r="165" spans="1:21" x14ac:dyDescent="0.25">
      <c r="A165" s="967">
        <v>91461</v>
      </c>
      <c r="B165" s="968" t="s">
        <v>2807</v>
      </c>
      <c r="C165" s="969">
        <v>9.3999999999999998E-6</v>
      </c>
      <c r="D165" s="969">
        <v>8.6999999999999997E-6</v>
      </c>
      <c r="E165" s="986">
        <v>2932</v>
      </c>
      <c r="F165" s="970">
        <v>14361</v>
      </c>
      <c r="G165" s="970"/>
      <c r="H165" s="971">
        <v>827</v>
      </c>
      <c r="I165" s="972">
        <v>3487</v>
      </c>
      <c r="J165" s="971">
        <v>2051</v>
      </c>
      <c r="K165" s="970">
        <v>2052</v>
      </c>
      <c r="L165" s="972">
        <f t="shared" si="4"/>
        <v>8417</v>
      </c>
      <c r="M165" s="970"/>
      <c r="N165" s="971">
        <v>407</v>
      </c>
      <c r="O165" s="971">
        <v>0</v>
      </c>
      <c r="P165" s="970">
        <v>637</v>
      </c>
      <c r="Q165" s="972">
        <f t="shared" si="5"/>
        <v>1044</v>
      </c>
      <c r="R165" s="970"/>
      <c r="S165" s="971">
        <v>4840</v>
      </c>
      <c r="T165" s="973">
        <v>945</v>
      </c>
      <c r="U165" s="973">
        <f>5784+1</f>
        <v>5785</v>
      </c>
    </row>
    <row r="166" spans="1:21" x14ac:dyDescent="0.25">
      <c r="A166" s="967">
        <v>91501</v>
      </c>
      <c r="B166" s="968" t="s">
        <v>2808</v>
      </c>
      <c r="C166" s="969">
        <v>4.9700000000000005E-4</v>
      </c>
      <c r="D166" s="969">
        <v>5.1099999999999995E-4</v>
      </c>
      <c r="E166" s="986">
        <v>231246</v>
      </c>
      <c r="F166" s="970">
        <v>759278</v>
      </c>
      <c r="G166" s="970"/>
      <c r="H166" s="971">
        <v>43741</v>
      </c>
      <c r="I166" s="972">
        <v>184353</v>
      </c>
      <c r="J166" s="971">
        <v>108435</v>
      </c>
      <c r="K166" s="970">
        <v>24430</v>
      </c>
      <c r="L166" s="972">
        <f t="shared" si="4"/>
        <v>360959</v>
      </c>
      <c r="M166" s="970"/>
      <c r="N166" s="971">
        <v>21493</v>
      </c>
      <c r="O166" s="971">
        <v>0</v>
      </c>
      <c r="P166" s="970">
        <v>6922</v>
      </c>
      <c r="Q166" s="972">
        <f t="shared" si="5"/>
        <v>28415</v>
      </c>
      <c r="R166" s="970"/>
      <c r="S166" s="971">
        <v>255877</v>
      </c>
      <c r="T166" s="973">
        <v>15592</v>
      </c>
      <c r="U166" s="973">
        <v>271469</v>
      </c>
    </row>
    <row r="167" spans="1:21" x14ac:dyDescent="0.25">
      <c r="A167" s="967">
        <v>91504</v>
      </c>
      <c r="B167" s="968" t="s">
        <v>2809</v>
      </c>
      <c r="C167" s="969">
        <v>9.7000000000000003E-6</v>
      </c>
      <c r="D167" s="969">
        <v>1.0200000000000001E-5</v>
      </c>
      <c r="E167" s="986">
        <v>6531</v>
      </c>
      <c r="F167" s="970">
        <v>14819</v>
      </c>
      <c r="G167" s="970"/>
      <c r="H167" s="971">
        <v>854</v>
      </c>
      <c r="I167" s="972">
        <v>3599</v>
      </c>
      <c r="J167" s="971">
        <v>2116</v>
      </c>
      <c r="K167" s="970">
        <v>5620</v>
      </c>
      <c r="L167" s="972">
        <f t="shared" si="4"/>
        <v>12189</v>
      </c>
      <c r="M167" s="970"/>
      <c r="N167" s="971">
        <v>419</v>
      </c>
      <c r="O167" s="971">
        <v>0</v>
      </c>
      <c r="P167" s="970">
        <v>0</v>
      </c>
      <c r="Q167" s="972">
        <f t="shared" si="5"/>
        <v>419</v>
      </c>
      <c r="R167" s="970"/>
      <c r="S167" s="971">
        <v>4994</v>
      </c>
      <c r="T167" s="973">
        <v>2602</v>
      </c>
      <c r="U167" s="973">
        <v>7596</v>
      </c>
    </row>
    <row r="168" spans="1:21" x14ac:dyDescent="0.25">
      <c r="A168" s="967">
        <v>91601</v>
      </c>
      <c r="B168" s="968" t="s">
        <v>2810</v>
      </c>
      <c r="C168" s="969">
        <v>2.8040000000000001E-3</v>
      </c>
      <c r="D168" s="969">
        <v>2.9077999999999999E-3</v>
      </c>
      <c r="E168" s="986">
        <v>1323806</v>
      </c>
      <c r="F168" s="970">
        <v>4283735</v>
      </c>
      <c r="G168" s="970"/>
      <c r="H168" s="971">
        <v>246783</v>
      </c>
      <c r="I168" s="972">
        <v>1040096</v>
      </c>
      <c r="J168" s="971">
        <v>611777</v>
      </c>
      <c r="K168" s="970">
        <v>168530</v>
      </c>
      <c r="L168" s="972">
        <f t="shared" si="4"/>
        <v>2067186</v>
      </c>
      <c r="M168" s="970"/>
      <c r="N168" s="971">
        <v>121259</v>
      </c>
      <c r="O168" s="971">
        <v>0</v>
      </c>
      <c r="P168" s="970">
        <v>40367</v>
      </c>
      <c r="Q168" s="972">
        <f t="shared" si="5"/>
        <v>161626</v>
      </c>
      <c r="R168" s="970"/>
      <c r="S168" s="971">
        <v>1443623</v>
      </c>
      <c r="T168" s="973">
        <v>76132</v>
      </c>
      <c r="U168" s="973">
        <v>1519755</v>
      </c>
    </row>
    <row r="169" spans="1:21" x14ac:dyDescent="0.25">
      <c r="A169" s="967">
        <v>91604</v>
      </c>
      <c r="B169" s="968" t="s">
        <v>2811</v>
      </c>
      <c r="C169" s="969">
        <v>8.8499999999999996E-5</v>
      </c>
      <c r="D169" s="969">
        <v>8.6799999999999996E-5</v>
      </c>
      <c r="E169" s="986">
        <v>50507</v>
      </c>
      <c r="F169" s="970">
        <v>135203</v>
      </c>
      <c r="G169" s="970"/>
      <c r="H169" s="971">
        <v>7789</v>
      </c>
      <c r="I169" s="972">
        <v>32827</v>
      </c>
      <c r="J169" s="971">
        <v>19309</v>
      </c>
      <c r="K169" s="970">
        <v>20977</v>
      </c>
      <c r="L169" s="972">
        <f t="shared" si="4"/>
        <v>80902</v>
      </c>
      <c r="M169" s="970"/>
      <c r="N169" s="971">
        <v>3827</v>
      </c>
      <c r="O169" s="971">
        <v>0</v>
      </c>
      <c r="P169" s="970">
        <v>0</v>
      </c>
      <c r="Q169" s="972">
        <f t="shared" si="5"/>
        <v>3827</v>
      </c>
      <c r="R169" s="970"/>
      <c r="S169" s="971">
        <v>45564</v>
      </c>
      <c r="T169" s="973">
        <v>7680</v>
      </c>
      <c r="U169" s="973">
        <v>53244</v>
      </c>
    </row>
    <row r="170" spans="1:21" x14ac:dyDescent="0.25">
      <c r="A170" s="967">
        <v>91608</v>
      </c>
      <c r="B170" s="968" t="s">
        <v>2812</v>
      </c>
      <c r="C170" s="969">
        <v>1.5349999999999999E-4</v>
      </c>
      <c r="D170" s="969">
        <v>1.208E-4</v>
      </c>
      <c r="E170" s="986">
        <v>45013</v>
      </c>
      <c r="F170" s="970">
        <v>234505</v>
      </c>
      <c r="G170" s="970"/>
      <c r="H170" s="971">
        <v>13510</v>
      </c>
      <c r="I170" s="972">
        <v>56938</v>
      </c>
      <c r="J170" s="971">
        <v>33491</v>
      </c>
      <c r="K170" s="970">
        <v>2430</v>
      </c>
      <c r="L170" s="972">
        <f t="shared" si="4"/>
        <v>106369</v>
      </c>
      <c r="M170" s="970"/>
      <c r="N170" s="971">
        <v>6638</v>
      </c>
      <c r="O170" s="971">
        <v>0</v>
      </c>
      <c r="P170" s="970">
        <v>28763</v>
      </c>
      <c r="Q170" s="972">
        <f t="shared" si="5"/>
        <v>35401</v>
      </c>
      <c r="R170" s="970"/>
      <c r="S170" s="971">
        <v>79029</v>
      </c>
      <c r="T170" s="973">
        <v>-12888</v>
      </c>
      <c r="U170" s="973">
        <f>66140+1</f>
        <v>66141</v>
      </c>
    </row>
    <row r="171" spans="1:21" x14ac:dyDescent="0.25">
      <c r="A171" s="967">
        <v>91611</v>
      </c>
      <c r="B171" s="968" t="s">
        <v>2813</v>
      </c>
      <c r="C171" s="969">
        <v>1.4708E-3</v>
      </c>
      <c r="D171" s="969">
        <v>1.4345E-3</v>
      </c>
      <c r="E171" s="986">
        <v>598449</v>
      </c>
      <c r="F171" s="970">
        <v>2246975</v>
      </c>
      <c r="G171" s="970"/>
      <c r="H171" s="971">
        <v>129447</v>
      </c>
      <c r="I171" s="972">
        <v>545569</v>
      </c>
      <c r="J171" s="971">
        <v>320899</v>
      </c>
      <c r="K171" s="970">
        <v>19333</v>
      </c>
      <c r="L171" s="972">
        <f t="shared" si="4"/>
        <v>1015248</v>
      </c>
      <c r="M171" s="970"/>
      <c r="N171" s="971">
        <v>63605</v>
      </c>
      <c r="O171" s="971">
        <v>0</v>
      </c>
      <c r="P171" s="970">
        <v>53335</v>
      </c>
      <c r="Q171" s="972">
        <f t="shared" si="5"/>
        <v>116940</v>
      </c>
      <c r="R171" s="970"/>
      <c r="S171" s="971">
        <v>757233</v>
      </c>
      <c r="T171" s="973">
        <v>2483</v>
      </c>
      <c r="U171" s="973">
        <f>759715+1</f>
        <v>759716</v>
      </c>
    </row>
    <row r="172" spans="1:21" x14ac:dyDescent="0.25">
      <c r="A172" s="967">
        <v>91621</v>
      </c>
      <c r="B172" s="968" t="s">
        <v>2814</v>
      </c>
      <c r="C172" s="969">
        <v>2.7050000000000002E-4</v>
      </c>
      <c r="D172" s="969">
        <v>2.5240000000000001E-4</v>
      </c>
      <c r="E172" s="986">
        <v>108514</v>
      </c>
      <c r="F172" s="970">
        <v>413249</v>
      </c>
      <c r="G172" s="970"/>
      <c r="H172" s="971">
        <v>23807</v>
      </c>
      <c r="I172" s="972">
        <v>100337</v>
      </c>
      <c r="J172" s="971">
        <v>59018</v>
      </c>
      <c r="K172" s="970">
        <v>13260</v>
      </c>
      <c r="L172" s="972">
        <f t="shared" si="4"/>
        <v>196422</v>
      </c>
      <c r="M172" s="970"/>
      <c r="N172" s="971">
        <v>11698</v>
      </c>
      <c r="O172" s="971">
        <v>0</v>
      </c>
      <c r="P172" s="970">
        <v>14620</v>
      </c>
      <c r="Q172" s="972">
        <f t="shared" si="5"/>
        <v>26318</v>
      </c>
      <c r="R172" s="970"/>
      <c r="S172" s="971">
        <v>139265</v>
      </c>
      <c r="T172" s="973">
        <v>-4185</v>
      </c>
      <c r="U172" s="973">
        <v>135080</v>
      </c>
    </row>
    <row r="173" spans="1:21" x14ac:dyDescent="0.25">
      <c r="A173" s="967">
        <v>91631</v>
      </c>
      <c r="B173" s="968" t="s">
        <v>2815</v>
      </c>
      <c r="C173" s="969">
        <v>5.2249999999999996E-4</v>
      </c>
      <c r="D173" s="969">
        <v>5.3870000000000003E-4</v>
      </c>
      <c r="E173" s="986">
        <v>219722</v>
      </c>
      <c r="F173" s="970">
        <v>798235</v>
      </c>
      <c r="G173" s="970"/>
      <c r="H173" s="971">
        <v>45986</v>
      </c>
      <c r="I173" s="972">
        <v>193812</v>
      </c>
      <c r="J173" s="971">
        <v>113999</v>
      </c>
      <c r="K173" s="970">
        <v>0</v>
      </c>
      <c r="L173" s="972">
        <f t="shared" si="4"/>
        <v>353797</v>
      </c>
      <c r="M173" s="970"/>
      <c r="N173" s="971">
        <v>22596</v>
      </c>
      <c r="O173" s="971">
        <v>0</v>
      </c>
      <c r="P173" s="970">
        <v>52272</v>
      </c>
      <c r="Q173" s="972">
        <f t="shared" si="5"/>
        <v>74868</v>
      </c>
      <c r="R173" s="970"/>
      <c r="S173" s="971">
        <v>269006</v>
      </c>
      <c r="T173" s="973">
        <v>-16747</v>
      </c>
      <c r="U173" s="973">
        <v>252259</v>
      </c>
    </row>
    <row r="174" spans="1:21" x14ac:dyDescent="0.25">
      <c r="A174" s="967">
        <v>91633</v>
      </c>
      <c r="B174" s="968" t="s">
        <v>2816</v>
      </c>
      <c r="C174" s="969">
        <v>2.51E-5</v>
      </c>
      <c r="D174" s="969">
        <v>2.3799999999999999E-5</v>
      </c>
      <c r="E174" s="986">
        <v>11022</v>
      </c>
      <c r="F174" s="970">
        <v>38346</v>
      </c>
      <c r="G174" s="970"/>
      <c r="H174" s="971">
        <v>2209</v>
      </c>
      <c r="I174" s="972">
        <v>9311</v>
      </c>
      <c r="J174" s="971">
        <v>5476</v>
      </c>
      <c r="K174" s="970">
        <v>1513</v>
      </c>
      <c r="L174" s="972">
        <f t="shared" si="4"/>
        <v>18509</v>
      </c>
      <c r="M174" s="970"/>
      <c r="N174" s="971">
        <v>1085</v>
      </c>
      <c r="O174" s="971">
        <v>0</v>
      </c>
      <c r="P174" s="970">
        <v>3215</v>
      </c>
      <c r="Q174" s="972">
        <f t="shared" si="5"/>
        <v>4300</v>
      </c>
      <c r="R174" s="970"/>
      <c r="S174" s="971">
        <v>12923</v>
      </c>
      <c r="T174" s="973">
        <v>-1367</v>
      </c>
      <c r="U174" s="973">
        <f>11555+1</f>
        <v>11556</v>
      </c>
    </row>
    <row r="175" spans="1:21" x14ac:dyDescent="0.25">
      <c r="A175" s="967">
        <v>91641</v>
      </c>
      <c r="B175" s="968" t="s">
        <v>2817</v>
      </c>
      <c r="C175" s="969">
        <v>3.1139999999999998E-4</v>
      </c>
      <c r="D175" s="969">
        <v>2.742E-4</v>
      </c>
      <c r="E175" s="986">
        <v>104379</v>
      </c>
      <c r="F175" s="970">
        <v>475733</v>
      </c>
      <c r="G175" s="970"/>
      <c r="H175" s="971">
        <v>27407</v>
      </c>
      <c r="I175" s="972">
        <v>115509</v>
      </c>
      <c r="J175" s="971">
        <v>67941</v>
      </c>
      <c r="K175" s="970">
        <v>0</v>
      </c>
      <c r="L175" s="972">
        <f t="shared" si="4"/>
        <v>210857</v>
      </c>
      <c r="M175" s="970"/>
      <c r="N175" s="971">
        <v>13466</v>
      </c>
      <c r="O175" s="971">
        <v>0</v>
      </c>
      <c r="P175" s="970">
        <v>55139</v>
      </c>
      <c r="Q175" s="972">
        <f t="shared" si="5"/>
        <v>68605</v>
      </c>
      <c r="R175" s="970"/>
      <c r="S175" s="971">
        <v>160322</v>
      </c>
      <c r="T175" s="973">
        <v>-25877</v>
      </c>
      <c r="U175" s="973">
        <v>134445</v>
      </c>
    </row>
    <row r="176" spans="1:21" x14ac:dyDescent="0.25">
      <c r="A176" s="967">
        <v>91651</v>
      </c>
      <c r="B176" s="968" t="s">
        <v>2818</v>
      </c>
      <c r="C176" s="969">
        <v>4.4440000000000001E-4</v>
      </c>
      <c r="D176" s="969">
        <v>4.6099999999999998E-4</v>
      </c>
      <c r="E176" s="986">
        <v>205102</v>
      </c>
      <c r="F176" s="970">
        <v>678920</v>
      </c>
      <c r="G176" s="970"/>
      <c r="H176" s="971">
        <v>39112</v>
      </c>
      <c r="I176" s="972">
        <v>164843</v>
      </c>
      <c r="J176" s="971">
        <v>96959</v>
      </c>
      <c r="K176" s="970">
        <v>0</v>
      </c>
      <c r="L176" s="972">
        <f t="shared" si="4"/>
        <v>300914</v>
      </c>
      <c r="M176" s="970"/>
      <c r="N176" s="971">
        <v>19218</v>
      </c>
      <c r="O176" s="971">
        <v>0</v>
      </c>
      <c r="P176" s="970">
        <v>30696</v>
      </c>
      <c r="Q176" s="972">
        <f t="shared" si="5"/>
        <v>49914</v>
      </c>
      <c r="R176" s="970"/>
      <c r="S176" s="971">
        <v>228797</v>
      </c>
      <c r="T176" s="973">
        <v>-12407</v>
      </c>
      <c r="U176" s="973">
        <v>216390</v>
      </c>
    </row>
    <row r="177" spans="1:21" x14ac:dyDescent="0.25">
      <c r="A177" s="967">
        <v>91661</v>
      </c>
      <c r="B177" s="968" t="s">
        <v>2819</v>
      </c>
      <c r="C177" s="969">
        <v>1.673E-4</v>
      </c>
      <c r="D177" s="969">
        <v>1.6750000000000001E-4</v>
      </c>
      <c r="E177" s="986">
        <v>56241</v>
      </c>
      <c r="F177" s="970">
        <v>255588</v>
      </c>
      <c r="G177" s="970"/>
      <c r="H177" s="971">
        <v>14724</v>
      </c>
      <c r="I177" s="972">
        <v>62057</v>
      </c>
      <c r="J177" s="971">
        <v>36502</v>
      </c>
      <c r="K177" s="970">
        <v>0</v>
      </c>
      <c r="L177" s="972">
        <f t="shared" si="4"/>
        <v>113283</v>
      </c>
      <c r="M177" s="970"/>
      <c r="N177" s="971">
        <v>7235</v>
      </c>
      <c r="O177" s="971">
        <v>0</v>
      </c>
      <c r="P177" s="970">
        <v>45519</v>
      </c>
      <c r="Q177" s="972">
        <f t="shared" si="5"/>
        <v>52754</v>
      </c>
      <c r="R177" s="970"/>
      <c r="S177" s="971">
        <v>86133</v>
      </c>
      <c r="T177" s="973">
        <v>-16188</v>
      </c>
      <c r="U177" s="973">
        <v>69945</v>
      </c>
    </row>
    <row r="178" spans="1:21" x14ac:dyDescent="0.25">
      <c r="A178" s="967">
        <v>91671</v>
      </c>
      <c r="B178" s="968" t="s">
        <v>2820</v>
      </c>
      <c r="C178" s="969">
        <v>9.6700000000000006E-5</v>
      </c>
      <c r="D178" s="969">
        <v>9.7600000000000001E-5</v>
      </c>
      <c r="E178" s="986">
        <v>43651</v>
      </c>
      <c r="F178" s="970">
        <v>147731</v>
      </c>
      <c r="G178" s="970"/>
      <c r="H178" s="971">
        <v>8511</v>
      </c>
      <c r="I178" s="972">
        <v>35869</v>
      </c>
      <c r="J178" s="971">
        <v>21098</v>
      </c>
      <c r="K178" s="970">
        <v>11497</v>
      </c>
      <c r="L178" s="972">
        <f t="shared" si="4"/>
        <v>76975</v>
      </c>
      <c r="M178" s="970"/>
      <c r="N178" s="971">
        <v>4182</v>
      </c>
      <c r="O178" s="971">
        <v>0</v>
      </c>
      <c r="P178" s="970">
        <v>1197</v>
      </c>
      <c r="Q178" s="972">
        <f t="shared" si="5"/>
        <v>5379</v>
      </c>
      <c r="R178" s="970"/>
      <c r="S178" s="971">
        <v>49785</v>
      </c>
      <c r="T178" s="973">
        <v>5725</v>
      </c>
      <c r="U178" s="973">
        <v>55510</v>
      </c>
    </row>
    <row r="179" spans="1:21" x14ac:dyDescent="0.25">
      <c r="A179" s="967">
        <v>91681</v>
      </c>
      <c r="B179" s="968" t="s">
        <v>2821</v>
      </c>
      <c r="C179" s="969">
        <v>4.728E-4</v>
      </c>
      <c r="D179" s="969">
        <v>4.7130000000000002E-4</v>
      </c>
      <c r="E179" s="986">
        <v>387832</v>
      </c>
      <c r="F179" s="970">
        <v>722307</v>
      </c>
      <c r="G179" s="970"/>
      <c r="H179" s="971">
        <v>41612</v>
      </c>
      <c r="I179" s="972">
        <v>175378</v>
      </c>
      <c r="J179" s="971">
        <v>103156</v>
      </c>
      <c r="K179" s="970">
        <v>274278</v>
      </c>
      <c r="L179" s="972">
        <f t="shared" si="4"/>
        <v>594424</v>
      </c>
      <c r="M179" s="970"/>
      <c r="N179" s="971">
        <v>20446</v>
      </c>
      <c r="O179" s="971">
        <v>0</v>
      </c>
      <c r="P179" s="970">
        <v>4516</v>
      </c>
      <c r="Q179" s="972">
        <f t="shared" si="5"/>
        <v>24962</v>
      </c>
      <c r="R179" s="970"/>
      <c r="S179" s="971">
        <v>243418</v>
      </c>
      <c r="T179" s="973">
        <v>89641</v>
      </c>
      <c r="U179" s="973">
        <v>333059</v>
      </c>
    </row>
    <row r="180" spans="1:21" x14ac:dyDescent="0.25">
      <c r="A180" s="967">
        <v>91691</v>
      </c>
      <c r="B180" s="968" t="s">
        <v>2822</v>
      </c>
      <c r="C180" s="969">
        <v>2.3200000000000001E-5</v>
      </c>
      <c r="D180" s="969">
        <v>2.4199999999999999E-5</v>
      </c>
      <c r="E180" s="986">
        <v>10219</v>
      </c>
      <c r="F180" s="970">
        <v>35443</v>
      </c>
      <c r="G180" s="970"/>
      <c r="H180" s="971">
        <v>2042</v>
      </c>
      <c r="I180" s="972">
        <v>8605</v>
      </c>
      <c r="J180" s="971">
        <v>5062</v>
      </c>
      <c r="K180" s="970">
        <v>1782</v>
      </c>
      <c r="L180" s="972">
        <f t="shared" si="4"/>
        <v>17491</v>
      </c>
      <c r="M180" s="970"/>
      <c r="N180" s="971">
        <v>1003</v>
      </c>
      <c r="O180" s="971">
        <v>0</v>
      </c>
      <c r="P180" s="970">
        <v>1533</v>
      </c>
      <c r="Q180" s="972">
        <f t="shared" si="5"/>
        <v>2536</v>
      </c>
      <c r="R180" s="970"/>
      <c r="S180" s="971">
        <v>11944</v>
      </c>
      <c r="T180" s="973">
        <v>129</v>
      </c>
      <c r="U180" s="973">
        <f>12074-1</f>
        <v>12073</v>
      </c>
    </row>
    <row r="181" spans="1:21" x14ac:dyDescent="0.25">
      <c r="A181" s="967">
        <v>91701</v>
      </c>
      <c r="B181" s="968" t="s">
        <v>2823</v>
      </c>
      <c r="C181" s="969">
        <v>1.2451999999999999E-3</v>
      </c>
      <c r="D181" s="969">
        <v>1.0897000000000001E-3</v>
      </c>
      <c r="E181" s="986">
        <v>542906</v>
      </c>
      <c r="F181" s="970">
        <v>1902321</v>
      </c>
      <c r="G181" s="970"/>
      <c r="H181" s="971">
        <v>109591</v>
      </c>
      <c r="I181" s="972">
        <v>461886</v>
      </c>
      <c r="J181" s="971">
        <v>271678</v>
      </c>
      <c r="K181" s="970">
        <v>95964</v>
      </c>
      <c r="L181" s="972">
        <f t="shared" si="4"/>
        <v>939119</v>
      </c>
      <c r="M181" s="970"/>
      <c r="N181" s="971">
        <v>53849</v>
      </c>
      <c r="O181" s="971">
        <v>0</v>
      </c>
      <c r="P181" s="970">
        <v>6949</v>
      </c>
      <c r="Q181" s="972">
        <f t="shared" si="5"/>
        <v>60798</v>
      </c>
      <c r="R181" s="970"/>
      <c r="S181" s="971">
        <v>641084</v>
      </c>
      <c r="T181" s="973">
        <v>18725</v>
      </c>
      <c r="U181" s="973">
        <v>659809</v>
      </c>
    </row>
    <row r="182" spans="1:21" x14ac:dyDescent="0.25">
      <c r="A182" s="967">
        <v>91704</v>
      </c>
      <c r="B182" s="968" t="s">
        <v>2824</v>
      </c>
      <c r="C182" s="969">
        <v>1.73E-5</v>
      </c>
      <c r="D182" s="969">
        <v>1.6699999999999999E-5</v>
      </c>
      <c r="E182" s="986">
        <v>7506</v>
      </c>
      <c r="F182" s="970">
        <v>26430</v>
      </c>
      <c r="G182" s="970"/>
      <c r="H182" s="971">
        <v>1523</v>
      </c>
      <c r="I182" s="972">
        <v>6417</v>
      </c>
      <c r="J182" s="971">
        <v>3775</v>
      </c>
      <c r="K182" s="970">
        <v>1084</v>
      </c>
      <c r="L182" s="972">
        <f t="shared" si="4"/>
        <v>12799</v>
      </c>
      <c r="M182" s="970"/>
      <c r="N182" s="971">
        <v>748</v>
      </c>
      <c r="O182" s="971">
        <v>0</v>
      </c>
      <c r="P182" s="970">
        <v>0</v>
      </c>
      <c r="Q182" s="972">
        <f t="shared" si="5"/>
        <v>748</v>
      </c>
      <c r="R182" s="970"/>
      <c r="S182" s="971">
        <v>8907</v>
      </c>
      <c r="T182" s="973">
        <v>641</v>
      </c>
      <c r="U182" s="973">
        <v>9548</v>
      </c>
    </row>
    <row r="183" spans="1:21" x14ac:dyDescent="0.25">
      <c r="A183" s="967">
        <v>91706</v>
      </c>
      <c r="B183" s="968" t="s">
        <v>2825</v>
      </c>
      <c r="C183" s="969">
        <v>2.4340000000000001E-4</v>
      </c>
      <c r="D183" s="969">
        <v>2.4279999999999999E-4</v>
      </c>
      <c r="E183" s="986">
        <v>121963</v>
      </c>
      <c r="F183" s="970">
        <v>371848</v>
      </c>
      <c r="G183" s="970"/>
      <c r="H183" s="971">
        <v>21422</v>
      </c>
      <c r="I183" s="972">
        <v>90285</v>
      </c>
      <c r="J183" s="971">
        <v>53105</v>
      </c>
      <c r="K183" s="970">
        <v>9101</v>
      </c>
      <c r="L183" s="972">
        <f t="shared" si="4"/>
        <v>173913</v>
      </c>
      <c r="M183" s="970"/>
      <c r="N183" s="971">
        <v>10526</v>
      </c>
      <c r="O183" s="971">
        <v>0</v>
      </c>
      <c r="P183" s="970">
        <v>8271</v>
      </c>
      <c r="Q183" s="972">
        <f t="shared" si="5"/>
        <v>18797</v>
      </c>
      <c r="R183" s="970"/>
      <c r="S183" s="971">
        <v>125313</v>
      </c>
      <c r="T183" s="973">
        <v>-4120</v>
      </c>
      <c r="U183" s="973">
        <v>121193</v>
      </c>
    </row>
    <row r="184" spans="1:21" x14ac:dyDescent="0.25">
      <c r="A184" s="967">
        <v>91719</v>
      </c>
      <c r="B184" s="968" t="s">
        <v>2826</v>
      </c>
      <c r="C184" s="969">
        <v>4.9700000000000002E-5</v>
      </c>
      <c r="D184" s="969">
        <v>4.9299999999999999E-5</v>
      </c>
      <c r="E184" s="986">
        <v>19656</v>
      </c>
      <c r="F184" s="970">
        <v>75928</v>
      </c>
      <c r="G184" s="970"/>
      <c r="H184" s="971">
        <v>4374</v>
      </c>
      <c r="I184" s="972">
        <v>18435</v>
      </c>
      <c r="J184" s="971">
        <v>10844</v>
      </c>
      <c r="K184" s="970">
        <v>4395</v>
      </c>
      <c r="L184" s="972">
        <f t="shared" si="4"/>
        <v>38048</v>
      </c>
      <c r="M184" s="970"/>
      <c r="N184" s="971">
        <v>2149</v>
      </c>
      <c r="O184" s="971">
        <v>0</v>
      </c>
      <c r="P184" s="970">
        <v>4419</v>
      </c>
      <c r="Q184" s="972">
        <f t="shared" si="5"/>
        <v>6568</v>
      </c>
      <c r="R184" s="970"/>
      <c r="S184" s="971">
        <v>25588</v>
      </c>
      <c r="T184" s="973">
        <v>37</v>
      </c>
      <c r="U184" s="973">
        <v>25625</v>
      </c>
    </row>
    <row r="185" spans="1:21" x14ac:dyDescent="0.25">
      <c r="A185" s="967">
        <v>91801</v>
      </c>
      <c r="B185" s="968" t="s">
        <v>2827</v>
      </c>
      <c r="C185" s="969">
        <v>8.0961000000000002E-3</v>
      </c>
      <c r="D185" s="969">
        <v>8.3853999999999995E-3</v>
      </c>
      <c r="E185" s="986">
        <v>3752769</v>
      </c>
      <c r="F185" s="970">
        <v>12368598</v>
      </c>
      <c r="G185" s="970"/>
      <c r="H185" s="971">
        <v>712546</v>
      </c>
      <c r="I185" s="972">
        <v>3003111</v>
      </c>
      <c r="J185" s="971">
        <v>1766407</v>
      </c>
      <c r="K185" s="970">
        <v>0</v>
      </c>
      <c r="L185" s="972">
        <f t="shared" si="4"/>
        <v>5482064</v>
      </c>
      <c r="M185" s="970"/>
      <c r="N185" s="971">
        <v>350116</v>
      </c>
      <c r="O185" s="971">
        <v>0</v>
      </c>
      <c r="P185" s="970">
        <v>242225</v>
      </c>
      <c r="Q185" s="972">
        <f t="shared" si="5"/>
        <v>592341</v>
      </c>
      <c r="R185" s="970"/>
      <c r="S185" s="971">
        <v>4168229</v>
      </c>
      <c r="T185" s="973">
        <v>-87031</v>
      </c>
      <c r="U185" s="973">
        <f>4081197+1</f>
        <v>4081198</v>
      </c>
    </row>
    <row r="186" spans="1:21" x14ac:dyDescent="0.25">
      <c r="A186" s="967">
        <v>91804</v>
      </c>
      <c r="B186" s="968" t="s">
        <v>2828</v>
      </c>
      <c r="C186" s="969">
        <v>1.3439999999999999E-4</v>
      </c>
      <c r="D186" s="969">
        <v>1.462E-4</v>
      </c>
      <c r="E186" s="986">
        <v>95886</v>
      </c>
      <c r="F186" s="970">
        <v>205326</v>
      </c>
      <c r="G186" s="970"/>
      <c r="H186" s="971">
        <v>11829</v>
      </c>
      <c r="I186" s="972">
        <v>49854</v>
      </c>
      <c r="J186" s="971">
        <v>29323</v>
      </c>
      <c r="K186" s="970">
        <v>55699</v>
      </c>
      <c r="L186" s="972">
        <f t="shared" si="4"/>
        <v>146705</v>
      </c>
      <c r="M186" s="970"/>
      <c r="N186" s="971">
        <v>5812</v>
      </c>
      <c r="O186" s="971">
        <v>0</v>
      </c>
      <c r="P186" s="970">
        <v>0</v>
      </c>
      <c r="Q186" s="972">
        <f t="shared" si="5"/>
        <v>5812</v>
      </c>
      <c r="R186" s="970"/>
      <c r="S186" s="971">
        <v>69195</v>
      </c>
      <c r="T186" s="973">
        <v>23621</v>
      </c>
      <c r="U186" s="973">
        <v>92816</v>
      </c>
    </row>
    <row r="187" spans="1:21" x14ac:dyDescent="0.25">
      <c r="A187" s="967">
        <v>91811</v>
      </c>
      <c r="B187" s="968" t="s">
        <v>2829</v>
      </c>
      <c r="C187" s="969">
        <v>4.5555999999999999E-3</v>
      </c>
      <c r="D187" s="969">
        <v>4.6454000000000001E-3</v>
      </c>
      <c r="E187" s="986">
        <v>1964158</v>
      </c>
      <c r="F187" s="970">
        <v>6959695</v>
      </c>
      <c r="G187" s="970"/>
      <c r="H187" s="971">
        <v>400943</v>
      </c>
      <c r="I187" s="972">
        <v>1689822</v>
      </c>
      <c r="J187" s="971">
        <v>993941</v>
      </c>
      <c r="K187" s="970">
        <v>0</v>
      </c>
      <c r="L187" s="972">
        <f t="shared" si="4"/>
        <v>3084706</v>
      </c>
      <c r="M187" s="970"/>
      <c r="N187" s="971">
        <v>197007</v>
      </c>
      <c r="O187" s="971">
        <v>0</v>
      </c>
      <c r="P187" s="970">
        <v>519421</v>
      </c>
      <c r="Q187" s="972">
        <f t="shared" si="5"/>
        <v>716428</v>
      </c>
      <c r="R187" s="970"/>
      <c r="S187" s="971">
        <v>2345423</v>
      </c>
      <c r="T187" s="973">
        <v>-197590</v>
      </c>
      <c r="U187" s="973">
        <v>2147833</v>
      </c>
    </row>
    <row r="188" spans="1:21" x14ac:dyDescent="0.25">
      <c r="A188" s="967">
        <v>91812</v>
      </c>
      <c r="B188" s="968" t="s">
        <v>2830</v>
      </c>
      <c r="C188" s="969">
        <v>5.0800000000000002E-5</v>
      </c>
      <c r="D188" s="969">
        <v>5.8199999999999998E-5</v>
      </c>
      <c r="E188" s="986">
        <v>26136</v>
      </c>
      <c r="F188" s="970">
        <v>77608</v>
      </c>
      <c r="G188" s="970"/>
      <c r="H188" s="971">
        <v>4471</v>
      </c>
      <c r="I188" s="972">
        <v>18843</v>
      </c>
      <c r="J188" s="971">
        <v>11084</v>
      </c>
      <c r="K188" s="970">
        <v>11326</v>
      </c>
      <c r="L188" s="972">
        <f t="shared" si="4"/>
        <v>45724</v>
      </c>
      <c r="M188" s="970"/>
      <c r="N188" s="971">
        <v>2197</v>
      </c>
      <c r="O188" s="971">
        <v>0</v>
      </c>
      <c r="P188" s="970">
        <v>2710</v>
      </c>
      <c r="Q188" s="972">
        <f t="shared" si="5"/>
        <v>4907</v>
      </c>
      <c r="R188" s="970"/>
      <c r="S188" s="971">
        <v>26154</v>
      </c>
      <c r="T188" s="973">
        <v>4584</v>
      </c>
      <c r="U188" s="973">
        <v>30738</v>
      </c>
    </row>
    <row r="189" spans="1:21" x14ac:dyDescent="0.25">
      <c r="A189" s="967">
        <v>91813</v>
      </c>
      <c r="B189" s="968" t="s">
        <v>2831</v>
      </c>
      <c r="C189" s="969">
        <v>8.6100000000000006E-5</v>
      </c>
      <c r="D189" s="969">
        <v>1.083E-4</v>
      </c>
      <c r="E189" s="986">
        <v>44452</v>
      </c>
      <c r="F189" s="970">
        <v>131537</v>
      </c>
      <c r="G189" s="970"/>
      <c r="H189" s="971">
        <v>7578</v>
      </c>
      <c r="I189" s="972">
        <v>31938</v>
      </c>
      <c r="J189" s="971">
        <v>18785</v>
      </c>
      <c r="K189" s="970">
        <v>10986</v>
      </c>
      <c r="L189" s="972">
        <f t="shared" si="4"/>
        <v>69287</v>
      </c>
      <c r="M189" s="970"/>
      <c r="N189" s="971">
        <v>3723</v>
      </c>
      <c r="O189" s="971">
        <v>0</v>
      </c>
      <c r="P189" s="970">
        <v>13565</v>
      </c>
      <c r="Q189" s="972">
        <f t="shared" si="5"/>
        <v>17288</v>
      </c>
      <c r="R189" s="970"/>
      <c r="S189" s="971">
        <v>44328</v>
      </c>
      <c r="T189" s="973">
        <v>-155</v>
      </c>
      <c r="U189" s="973">
        <v>44173</v>
      </c>
    </row>
    <row r="190" spans="1:21" x14ac:dyDescent="0.25">
      <c r="A190" s="967">
        <v>91818</v>
      </c>
      <c r="B190" s="968" t="s">
        <v>2832</v>
      </c>
      <c r="C190" s="969">
        <v>4.0079999999999998E-4</v>
      </c>
      <c r="D190" s="969">
        <v>3.8559999999999999E-4</v>
      </c>
      <c r="E190" s="986">
        <v>453409</v>
      </c>
      <c r="F190" s="970">
        <v>612311</v>
      </c>
      <c r="G190" s="970"/>
      <c r="H190" s="971">
        <v>35275</v>
      </c>
      <c r="I190" s="972">
        <v>148670</v>
      </c>
      <c r="J190" s="971">
        <v>87447</v>
      </c>
      <c r="K190" s="970">
        <v>469231</v>
      </c>
      <c r="L190" s="972">
        <f t="shared" si="4"/>
        <v>740623</v>
      </c>
      <c r="M190" s="970"/>
      <c r="N190" s="971">
        <v>17333</v>
      </c>
      <c r="O190" s="971">
        <v>0</v>
      </c>
      <c r="P190" s="970">
        <v>5024</v>
      </c>
      <c r="Q190" s="972">
        <f t="shared" si="5"/>
        <v>22357</v>
      </c>
      <c r="R190" s="970"/>
      <c r="S190" s="971">
        <v>206349</v>
      </c>
      <c r="T190" s="973">
        <v>155106</v>
      </c>
      <c r="U190" s="973">
        <f>361456-1</f>
        <v>361455</v>
      </c>
    </row>
    <row r="191" spans="1:21" x14ac:dyDescent="0.25">
      <c r="A191" s="967">
        <v>91819</v>
      </c>
      <c r="B191" s="968" t="s">
        <v>2833</v>
      </c>
      <c r="C191" s="969">
        <v>2.8489999999999999E-4</v>
      </c>
      <c r="D191" s="969">
        <v>2.8200000000000002E-4</v>
      </c>
      <c r="E191" s="986">
        <v>138657</v>
      </c>
      <c r="F191" s="970">
        <v>435248</v>
      </c>
      <c r="G191" s="970"/>
      <c r="H191" s="971">
        <v>25074</v>
      </c>
      <c r="I191" s="972">
        <v>105678</v>
      </c>
      <c r="J191" s="971">
        <v>62159</v>
      </c>
      <c r="K191" s="970">
        <v>15073</v>
      </c>
      <c r="L191" s="972">
        <f t="shared" si="4"/>
        <v>207984</v>
      </c>
      <c r="M191" s="970"/>
      <c r="N191" s="971">
        <v>12321</v>
      </c>
      <c r="O191" s="971">
        <v>0</v>
      </c>
      <c r="P191" s="970">
        <v>8276</v>
      </c>
      <c r="Q191" s="972">
        <f t="shared" si="5"/>
        <v>20597</v>
      </c>
      <c r="R191" s="970"/>
      <c r="S191" s="971">
        <v>146679</v>
      </c>
      <c r="T191" s="973">
        <v>5278</v>
      </c>
      <c r="U191" s="973">
        <v>151957</v>
      </c>
    </row>
    <row r="192" spans="1:21" x14ac:dyDescent="0.25">
      <c r="A192" s="967">
        <v>91821</v>
      </c>
      <c r="B192" s="968" t="s">
        <v>2834</v>
      </c>
      <c r="C192" s="969">
        <v>1.7330000000000001E-4</v>
      </c>
      <c r="D192" s="969">
        <v>1.63E-4</v>
      </c>
      <c r="E192" s="986">
        <v>71126</v>
      </c>
      <c r="F192" s="970">
        <v>264754</v>
      </c>
      <c r="G192" s="970"/>
      <c r="H192" s="971">
        <v>15252</v>
      </c>
      <c r="I192" s="972">
        <v>64283</v>
      </c>
      <c r="J192" s="971">
        <v>37811</v>
      </c>
      <c r="K192" s="970">
        <v>2434</v>
      </c>
      <c r="L192" s="972">
        <f t="shared" si="4"/>
        <v>119780</v>
      </c>
      <c r="M192" s="970"/>
      <c r="N192" s="971">
        <v>7494</v>
      </c>
      <c r="O192" s="971">
        <v>0</v>
      </c>
      <c r="P192" s="970">
        <v>1112</v>
      </c>
      <c r="Q192" s="972">
        <f t="shared" si="5"/>
        <v>8606</v>
      </c>
      <c r="R192" s="970"/>
      <c r="S192" s="971">
        <v>89222</v>
      </c>
      <c r="T192" s="973">
        <v>1572</v>
      </c>
      <c r="U192" s="973">
        <f>90795-1</f>
        <v>90794</v>
      </c>
    </row>
    <row r="193" spans="1:21" x14ac:dyDescent="0.25">
      <c r="A193" s="967">
        <v>91831</v>
      </c>
      <c r="B193" s="968" t="s">
        <v>2835</v>
      </c>
      <c r="C193" s="969">
        <v>3.366E-4</v>
      </c>
      <c r="D193" s="969">
        <v>3.414E-4</v>
      </c>
      <c r="E193" s="986">
        <v>150178</v>
      </c>
      <c r="F193" s="970">
        <v>514232</v>
      </c>
      <c r="G193" s="970"/>
      <c r="H193" s="971">
        <v>29625</v>
      </c>
      <c r="I193" s="972">
        <v>124856</v>
      </c>
      <c r="J193" s="971">
        <v>73439</v>
      </c>
      <c r="K193" s="970">
        <v>7847</v>
      </c>
      <c r="L193" s="972">
        <f t="shared" si="4"/>
        <v>235767</v>
      </c>
      <c r="M193" s="970"/>
      <c r="N193" s="971">
        <v>14556</v>
      </c>
      <c r="O193" s="971">
        <v>0</v>
      </c>
      <c r="P193" s="970">
        <v>13475</v>
      </c>
      <c r="Q193" s="972">
        <f t="shared" si="5"/>
        <v>28031</v>
      </c>
      <c r="R193" s="970"/>
      <c r="S193" s="971">
        <v>173296</v>
      </c>
      <c r="T193" s="973">
        <v>520</v>
      </c>
      <c r="U193" s="973">
        <v>173816</v>
      </c>
    </row>
    <row r="194" spans="1:21" x14ac:dyDescent="0.25">
      <c r="A194" s="967">
        <v>91841</v>
      </c>
      <c r="B194" s="968" t="s">
        <v>2836</v>
      </c>
      <c r="C194" s="969">
        <v>2.5339999999999998E-4</v>
      </c>
      <c r="D194" s="969">
        <v>2.63E-4</v>
      </c>
      <c r="E194" s="986">
        <v>126479</v>
      </c>
      <c r="F194" s="970">
        <v>387125</v>
      </c>
      <c r="G194" s="970"/>
      <c r="H194" s="971">
        <v>22302</v>
      </c>
      <c r="I194" s="972">
        <v>93994</v>
      </c>
      <c r="J194" s="971">
        <v>55287</v>
      </c>
      <c r="K194" s="970">
        <v>1681</v>
      </c>
      <c r="L194" s="972">
        <f t="shared" si="4"/>
        <v>173264</v>
      </c>
      <c r="M194" s="970"/>
      <c r="N194" s="971">
        <v>10958</v>
      </c>
      <c r="O194" s="971">
        <v>0</v>
      </c>
      <c r="P194" s="970">
        <v>14711</v>
      </c>
      <c r="Q194" s="972">
        <f t="shared" si="5"/>
        <v>25669</v>
      </c>
      <c r="R194" s="970"/>
      <c r="S194" s="971">
        <v>130461</v>
      </c>
      <c r="T194" s="973">
        <v>-9727</v>
      </c>
      <c r="U194" s="973">
        <v>120734</v>
      </c>
    </row>
    <row r="195" spans="1:21" x14ac:dyDescent="0.25">
      <c r="A195" s="967">
        <v>91851</v>
      </c>
      <c r="B195" s="968" t="s">
        <v>2837</v>
      </c>
      <c r="C195" s="969">
        <v>7.4910000000000005E-4</v>
      </c>
      <c r="D195" s="969">
        <v>7.2059999999999995E-4</v>
      </c>
      <c r="E195" s="986">
        <v>326836</v>
      </c>
      <c r="F195" s="970">
        <v>1144417</v>
      </c>
      <c r="G195" s="970"/>
      <c r="H195" s="971">
        <v>65929</v>
      </c>
      <c r="I195" s="972">
        <v>277866</v>
      </c>
      <c r="J195" s="971">
        <v>163439</v>
      </c>
      <c r="K195" s="970">
        <v>9030</v>
      </c>
      <c r="L195" s="972">
        <f t="shared" si="4"/>
        <v>516264</v>
      </c>
      <c r="M195" s="970"/>
      <c r="N195" s="971">
        <v>32395</v>
      </c>
      <c r="O195" s="971">
        <v>0</v>
      </c>
      <c r="P195" s="970">
        <v>44287</v>
      </c>
      <c r="Q195" s="972">
        <f t="shared" si="5"/>
        <v>76682</v>
      </c>
      <c r="R195" s="970"/>
      <c r="S195" s="971">
        <v>385670</v>
      </c>
      <c r="T195" s="973">
        <v>-13424</v>
      </c>
      <c r="U195" s="973">
        <v>372246</v>
      </c>
    </row>
    <row r="196" spans="1:21" x14ac:dyDescent="0.25">
      <c r="A196" s="967">
        <v>91861</v>
      </c>
      <c r="B196" s="968" t="s">
        <v>2838</v>
      </c>
      <c r="C196" s="969">
        <v>1.9700000000000001E-5</v>
      </c>
      <c r="D196" s="969">
        <v>1.9899999999999999E-5</v>
      </c>
      <c r="E196" s="986">
        <v>8023</v>
      </c>
      <c r="F196" s="970">
        <v>30096</v>
      </c>
      <c r="G196" s="970"/>
      <c r="H196" s="971">
        <v>1734</v>
      </c>
      <c r="I196" s="972">
        <v>7308</v>
      </c>
      <c r="J196" s="971">
        <v>4298</v>
      </c>
      <c r="K196" s="970">
        <v>2050</v>
      </c>
      <c r="L196" s="972">
        <f t="shared" si="4"/>
        <v>15390</v>
      </c>
      <c r="M196" s="970"/>
      <c r="N196" s="971">
        <v>852</v>
      </c>
      <c r="O196" s="971">
        <v>0</v>
      </c>
      <c r="P196" s="970">
        <v>1061</v>
      </c>
      <c r="Q196" s="972">
        <f t="shared" si="5"/>
        <v>1913</v>
      </c>
      <c r="R196" s="970"/>
      <c r="S196" s="971">
        <v>10142</v>
      </c>
      <c r="T196" s="973">
        <v>692</v>
      </c>
      <c r="U196" s="973">
        <f>10835-1</f>
        <v>10834</v>
      </c>
    </row>
    <row r="197" spans="1:21" x14ac:dyDescent="0.25">
      <c r="A197" s="967">
        <v>91871</v>
      </c>
      <c r="B197" s="968" t="s">
        <v>2839</v>
      </c>
      <c r="C197" s="969">
        <v>1.3319E-3</v>
      </c>
      <c r="D197" s="969">
        <v>1.2712000000000001E-3</v>
      </c>
      <c r="E197" s="986">
        <v>588755</v>
      </c>
      <c r="F197" s="970">
        <v>2034774</v>
      </c>
      <c r="G197" s="970"/>
      <c r="H197" s="971">
        <v>117222</v>
      </c>
      <c r="I197" s="972">
        <v>494045</v>
      </c>
      <c r="J197" s="971">
        <v>290594</v>
      </c>
      <c r="K197" s="970">
        <v>22538</v>
      </c>
      <c r="L197" s="972">
        <f t="shared" si="4"/>
        <v>924399</v>
      </c>
      <c r="M197" s="970"/>
      <c r="N197" s="971">
        <v>57598</v>
      </c>
      <c r="O197" s="971">
        <v>0</v>
      </c>
      <c r="P197" s="970">
        <v>73797</v>
      </c>
      <c r="Q197" s="972">
        <f t="shared" si="5"/>
        <v>131395</v>
      </c>
      <c r="R197" s="970"/>
      <c r="S197" s="971">
        <v>685721</v>
      </c>
      <c r="T197" s="973">
        <v>-28802</v>
      </c>
      <c r="U197" s="973">
        <v>656919</v>
      </c>
    </row>
    <row r="198" spans="1:21" x14ac:dyDescent="0.25">
      <c r="A198" s="967">
        <v>91881</v>
      </c>
      <c r="B198" s="968" t="s">
        <v>2840</v>
      </c>
      <c r="C198" s="969">
        <v>9.3000000000000007E-6</v>
      </c>
      <c r="D198" s="969">
        <v>1.01E-5</v>
      </c>
      <c r="E198" s="986">
        <v>6384</v>
      </c>
      <c r="F198" s="970">
        <v>14208</v>
      </c>
      <c r="G198" s="970"/>
      <c r="H198" s="971">
        <v>819</v>
      </c>
      <c r="I198" s="972">
        <v>3450</v>
      </c>
      <c r="J198" s="971">
        <v>2029</v>
      </c>
      <c r="K198" s="970">
        <v>1155</v>
      </c>
      <c r="L198" s="972">
        <f t="shared" si="4"/>
        <v>7453</v>
      </c>
      <c r="M198" s="970"/>
      <c r="N198" s="971">
        <v>402</v>
      </c>
      <c r="O198" s="971">
        <v>0</v>
      </c>
      <c r="P198" s="970">
        <v>8809</v>
      </c>
      <c r="Q198" s="972">
        <f t="shared" si="5"/>
        <v>9211</v>
      </c>
      <c r="R198" s="970"/>
      <c r="S198" s="971">
        <v>4788</v>
      </c>
      <c r="T198" s="973">
        <v>-5615</v>
      </c>
      <c r="U198" s="973">
        <v>-827</v>
      </c>
    </row>
    <row r="199" spans="1:21" x14ac:dyDescent="0.25">
      <c r="A199" s="967">
        <v>91901</v>
      </c>
      <c r="B199" s="968" t="s">
        <v>2841</v>
      </c>
      <c r="C199" s="969">
        <v>3.6706999999999998E-3</v>
      </c>
      <c r="D199" s="969">
        <v>3.6564000000000002E-3</v>
      </c>
      <c r="E199" s="986">
        <v>1652493</v>
      </c>
      <c r="F199" s="970">
        <v>5607813</v>
      </c>
      <c r="G199" s="970"/>
      <c r="H199" s="971">
        <v>323062</v>
      </c>
      <c r="I199" s="972">
        <v>1361584</v>
      </c>
      <c r="J199" s="971">
        <v>800873</v>
      </c>
      <c r="K199" s="970">
        <v>89719</v>
      </c>
      <c r="L199" s="972">
        <f t="shared" ref="L199:L262" si="6">H199+I199+J199+K199</f>
        <v>2575238</v>
      </c>
      <c r="M199" s="970"/>
      <c r="N199" s="971">
        <v>158739</v>
      </c>
      <c r="O199" s="971">
        <v>0</v>
      </c>
      <c r="P199" s="970">
        <v>16546</v>
      </c>
      <c r="Q199" s="972">
        <f t="shared" ref="Q199:Q262" si="7">N199+O199+P199</f>
        <v>175285</v>
      </c>
      <c r="R199" s="970"/>
      <c r="S199" s="971">
        <v>1889838</v>
      </c>
      <c r="T199" s="973">
        <v>53714</v>
      </c>
      <c r="U199" s="973">
        <v>1943552</v>
      </c>
    </row>
    <row r="200" spans="1:21" x14ac:dyDescent="0.25">
      <c r="A200" s="967">
        <v>91903</v>
      </c>
      <c r="B200" s="968" t="s">
        <v>2842</v>
      </c>
      <c r="C200" s="969">
        <v>8.6999999999999997E-6</v>
      </c>
      <c r="D200" s="969">
        <v>8.3999999999999992E-6</v>
      </c>
      <c r="E200" s="986">
        <v>5739</v>
      </c>
      <c r="F200" s="970">
        <v>13291</v>
      </c>
      <c r="G200" s="970"/>
      <c r="H200" s="971">
        <v>766</v>
      </c>
      <c r="I200" s="972">
        <v>3227</v>
      </c>
      <c r="J200" s="971">
        <v>1898</v>
      </c>
      <c r="K200" s="970">
        <v>2037</v>
      </c>
      <c r="L200" s="972">
        <f t="shared" si="6"/>
        <v>7928</v>
      </c>
      <c r="M200" s="970"/>
      <c r="N200" s="971">
        <v>376</v>
      </c>
      <c r="O200" s="971">
        <v>0</v>
      </c>
      <c r="P200" s="970">
        <v>3011</v>
      </c>
      <c r="Q200" s="972">
        <f t="shared" si="7"/>
        <v>3387</v>
      </c>
      <c r="R200" s="970"/>
      <c r="S200" s="971">
        <v>4479</v>
      </c>
      <c r="T200" s="973">
        <v>-2426</v>
      </c>
      <c r="U200" s="973">
        <v>2053</v>
      </c>
    </row>
    <row r="201" spans="1:21" x14ac:dyDescent="0.25">
      <c r="A201" s="967">
        <v>91904</v>
      </c>
      <c r="B201" s="968" t="s">
        <v>2843</v>
      </c>
      <c r="C201" s="969">
        <v>3.3399999999999999E-5</v>
      </c>
      <c r="D201" s="969">
        <v>2.3300000000000001E-5</v>
      </c>
      <c r="E201" s="986">
        <v>13231</v>
      </c>
      <c r="F201" s="970">
        <v>51026</v>
      </c>
      <c r="G201" s="970"/>
      <c r="H201" s="971">
        <v>2940</v>
      </c>
      <c r="I201" s="972">
        <v>12389</v>
      </c>
      <c r="J201" s="971">
        <v>7287</v>
      </c>
      <c r="K201" s="970">
        <v>11190</v>
      </c>
      <c r="L201" s="972">
        <f t="shared" si="6"/>
        <v>33806</v>
      </c>
      <c r="M201" s="970"/>
      <c r="N201" s="971">
        <v>1444</v>
      </c>
      <c r="O201" s="971">
        <v>0</v>
      </c>
      <c r="P201" s="970">
        <v>0</v>
      </c>
      <c r="Q201" s="972">
        <f t="shared" si="7"/>
        <v>1444</v>
      </c>
      <c r="R201" s="970"/>
      <c r="S201" s="971">
        <v>17196</v>
      </c>
      <c r="T201" s="973">
        <v>4334</v>
      </c>
      <c r="U201" s="973">
        <v>21530</v>
      </c>
    </row>
    <row r="202" spans="1:21" x14ac:dyDescent="0.25">
      <c r="A202" s="967">
        <v>91908</v>
      </c>
      <c r="B202" s="968" t="s">
        <v>2844</v>
      </c>
      <c r="C202" s="969">
        <v>1.6900000000000001E-5</v>
      </c>
      <c r="D202" s="969">
        <v>1.3699999999999999E-5</v>
      </c>
      <c r="E202" s="986">
        <v>5211</v>
      </c>
      <c r="F202" s="970">
        <v>25819</v>
      </c>
      <c r="G202" s="970"/>
      <c r="H202" s="971">
        <v>1487</v>
      </c>
      <c r="I202" s="972">
        <v>6269</v>
      </c>
      <c r="J202" s="971">
        <v>3687</v>
      </c>
      <c r="K202" s="970">
        <v>935</v>
      </c>
      <c r="L202" s="972">
        <f t="shared" si="6"/>
        <v>12378</v>
      </c>
      <c r="M202" s="970"/>
      <c r="N202" s="971">
        <v>731</v>
      </c>
      <c r="O202" s="971">
        <v>0</v>
      </c>
      <c r="P202" s="970">
        <v>2553</v>
      </c>
      <c r="Q202" s="972">
        <f t="shared" si="7"/>
        <v>3284</v>
      </c>
      <c r="R202" s="970"/>
      <c r="S202" s="971">
        <v>8701</v>
      </c>
      <c r="T202" s="973">
        <v>-56</v>
      </c>
      <c r="U202" s="973">
        <v>8645</v>
      </c>
    </row>
    <row r="203" spans="1:21" x14ac:dyDescent="0.25">
      <c r="A203" s="967">
        <v>91911</v>
      </c>
      <c r="B203" s="968" t="s">
        <v>2845</v>
      </c>
      <c r="C203" s="969">
        <v>4.5580000000000002E-4</v>
      </c>
      <c r="D203" s="969">
        <v>4.639E-4</v>
      </c>
      <c r="E203" s="986">
        <v>224257</v>
      </c>
      <c r="F203" s="970">
        <v>696336</v>
      </c>
      <c r="G203" s="970"/>
      <c r="H203" s="971">
        <v>40115</v>
      </c>
      <c r="I203" s="972">
        <v>169071</v>
      </c>
      <c r="J203" s="971">
        <v>99446</v>
      </c>
      <c r="K203" s="970">
        <v>13510</v>
      </c>
      <c r="L203" s="972">
        <f t="shared" si="6"/>
        <v>322142</v>
      </c>
      <c r="M203" s="970"/>
      <c r="N203" s="971">
        <v>19711</v>
      </c>
      <c r="O203" s="971">
        <v>0</v>
      </c>
      <c r="P203" s="970">
        <v>5011</v>
      </c>
      <c r="Q203" s="972">
        <f t="shared" si="7"/>
        <v>24722</v>
      </c>
      <c r="R203" s="970"/>
      <c r="S203" s="971">
        <v>234666</v>
      </c>
      <c r="T203" s="973">
        <v>598</v>
      </c>
      <c r="U203" s="973">
        <v>235264</v>
      </c>
    </row>
    <row r="204" spans="1:21" x14ac:dyDescent="0.25">
      <c r="A204" s="967">
        <v>91917</v>
      </c>
      <c r="B204" s="968" t="s">
        <v>2846</v>
      </c>
      <c r="C204" s="969">
        <v>1.22E-5</v>
      </c>
      <c r="D204" s="969">
        <v>1.36E-5</v>
      </c>
      <c r="E204" s="986">
        <v>6387</v>
      </c>
      <c r="F204" s="970">
        <v>18638</v>
      </c>
      <c r="G204" s="970"/>
      <c r="H204" s="971">
        <v>1074</v>
      </c>
      <c r="I204" s="972">
        <v>4526</v>
      </c>
      <c r="J204" s="971">
        <v>2662</v>
      </c>
      <c r="K204" s="970">
        <v>527</v>
      </c>
      <c r="L204" s="972">
        <f t="shared" si="6"/>
        <v>8789</v>
      </c>
      <c r="M204" s="970"/>
      <c r="N204" s="971">
        <v>528</v>
      </c>
      <c r="O204" s="971">
        <v>0</v>
      </c>
      <c r="P204" s="970">
        <v>310</v>
      </c>
      <c r="Q204" s="972">
        <f t="shared" si="7"/>
        <v>838</v>
      </c>
      <c r="R204" s="970"/>
      <c r="S204" s="971">
        <v>6281</v>
      </c>
      <c r="T204" s="973">
        <v>126</v>
      </c>
      <c r="U204" s="973">
        <v>6407</v>
      </c>
    </row>
    <row r="205" spans="1:21" x14ac:dyDescent="0.25">
      <c r="A205" s="967">
        <v>91921</v>
      </c>
      <c r="B205" s="968" t="s">
        <v>2847</v>
      </c>
      <c r="C205" s="969">
        <v>3.769E-4</v>
      </c>
      <c r="D205" s="969">
        <v>3.6600000000000001E-4</v>
      </c>
      <c r="E205" s="986">
        <v>160505</v>
      </c>
      <c r="F205" s="970">
        <v>575799</v>
      </c>
      <c r="G205" s="970"/>
      <c r="H205" s="971">
        <v>33171</v>
      </c>
      <c r="I205" s="972">
        <v>139804</v>
      </c>
      <c r="J205" s="971">
        <v>82232</v>
      </c>
      <c r="K205" s="970">
        <v>0</v>
      </c>
      <c r="L205" s="972">
        <f t="shared" si="6"/>
        <v>255207</v>
      </c>
      <c r="M205" s="970"/>
      <c r="N205" s="971">
        <v>16299</v>
      </c>
      <c r="O205" s="971">
        <v>0</v>
      </c>
      <c r="P205" s="970">
        <v>10651</v>
      </c>
      <c r="Q205" s="972">
        <f t="shared" si="7"/>
        <v>26950</v>
      </c>
      <c r="R205" s="970"/>
      <c r="S205" s="971">
        <v>194045</v>
      </c>
      <c r="T205" s="973">
        <v>-5316</v>
      </c>
      <c r="U205" s="973">
        <v>188729</v>
      </c>
    </row>
    <row r="206" spans="1:21" x14ac:dyDescent="0.25">
      <c r="A206" s="967">
        <v>92001</v>
      </c>
      <c r="B206" s="968" t="s">
        <v>2848</v>
      </c>
      <c r="C206" s="969">
        <v>1.8143E-3</v>
      </c>
      <c r="D206" s="969">
        <v>1.9604000000000002E-3</v>
      </c>
      <c r="E206" s="986">
        <v>790603</v>
      </c>
      <c r="F206" s="970">
        <v>2771748</v>
      </c>
      <c r="G206" s="970"/>
      <c r="H206" s="971">
        <v>159678</v>
      </c>
      <c r="I206" s="972">
        <v>672984</v>
      </c>
      <c r="J206" s="971">
        <v>395844</v>
      </c>
      <c r="K206" s="970">
        <v>48219</v>
      </c>
      <c r="L206" s="972">
        <f t="shared" si="6"/>
        <v>1276725</v>
      </c>
      <c r="M206" s="970"/>
      <c r="N206" s="971">
        <v>78459</v>
      </c>
      <c r="O206" s="971">
        <v>0</v>
      </c>
      <c r="P206" s="970">
        <v>157894</v>
      </c>
      <c r="Q206" s="972">
        <f t="shared" si="7"/>
        <v>236353</v>
      </c>
      <c r="R206" s="970"/>
      <c r="S206" s="971">
        <v>934081</v>
      </c>
      <c r="T206" s="973">
        <v>-42009</v>
      </c>
      <c r="U206" s="973">
        <f>892073-1</f>
        <v>892072</v>
      </c>
    </row>
    <row r="207" spans="1:21" x14ac:dyDescent="0.25">
      <c r="A207" s="967">
        <v>92005</v>
      </c>
      <c r="B207" s="968" t="s">
        <v>2849</v>
      </c>
      <c r="C207" s="969">
        <v>4.1399999999999997E-5</v>
      </c>
      <c r="D207" s="969">
        <v>4.6499999999999999E-5</v>
      </c>
      <c r="E207" s="986">
        <v>20947</v>
      </c>
      <c r="F207" s="970">
        <v>63248</v>
      </c>
      <c r="G207" s="970"/>
      <c r="H207" s="971">
        <v>3644</v>
      </c>
      <c r="I207" s="972">
        <v>15356</v>
      </c>
      <c r="J207" s="971">
        <v>9033</v>
      </c>
      <c r="K207" s="970">
        <v>1741</v>
      </c>
      <c r="L207" s="972">
        <f t="shared" si="6"/>
        <v>29774</v>
      </c>
      <c r="M207" s="970"/>
      <c r="N207" s="971">
        <v>1790</v>
      </c>
      <c r="O207" s="971">
        <v>0</v>
      </c>
      <c r="P207" s="970">
        <v>2252</v>
      </c>
      <c r="Q207" s="972">
        <f t="shared" si="7"/>
        <v>4042</v>
      </c>
      <c r="R207" s="970"/>
      <c r="S207" s="971">
        <v>21315</v>
      </c>
      <c r="T207" s="973">
        <v>208</v>
      </c>
      <c r="U207" s="973">
        <f>21522+1</f>
        <v>21523</v>
      </c>
    </row>
    <row r="208" spans="1:21" x14ac:dyDescent="0.25">
      <c r="A208" s="967">
        <v>92011</v>
      </c>
      <c r="B208" s="968" t="s">
        <v>2850</v>
      </c>
      <c r="C208" s="969">
        <v>2.0049999999999999E-4</v>
      </c>
      <c r="D208" s="969">
        <v>1.8660000000000001E-4</v>
      </c>
      <c r="E208" s="986">
        <v>90383</v>
      </c>
      <c r="F208" s="970">
        <v>306308</v>
      </c>
      <c r="G208" s="970"/>
      <c r="H208" s="971">
        <v>17646</v>
      </c>
      <c r="I208" s="972">
        <v>74372</v>
      </c>
      <c r="J208" s="971">
        <v>43745</v>
      </c>
      <c r="K208" s="970">
        <v>17614</v>
      </c>
      <c r="L208" s="972">
        <f t="shared" si="6"/>
        <v>153377</v>
      </c>
      <c r="M208" s="970"/>
      <c r="N208" s="971">
        <v>8671</v>
      </c>
      <c r="O208" s="971">
        <v>0</v>
      </c>
      <c r="P208" s="970">
        <v>0</v>
      </c>
      <c r="Q208" s="972">
        <f t="shared" si="7"/>
        <v>8671</v>
      </c>
      <c r="R208" s="970"/>
      <c r="S208" s="971">
        <v>103226</v>
      </c>
      <c r="T208" s="973">
        <v>9780</v>
      </c>
      <c r="U208" s="973">
        <v>113006</v>
      </c>
    </row>
    <row r="209" spans="1:21" x14ac:dyDescent="0.25">
      <c r="A209" s="967">
        <v>92017</v>
      </c>
      <c r="B209" s="968" t="s">
        <v>2851</v>
      </c>
      <c r="C209" s="969">
        <v>3.4199999999999998E-5</v>
      </c>
      <c r="D209" s="969">
        <v>3.5099999999999999E-5</v>
      </c>
      <c r="E209" s="986">
        <v>16941</v>
      </c>
      <c r="F209" s="970">
        <v>52248</v>
      </c>
      <c r="G209" s="970"/>
      <c r="H209" s="971">
        <v>3010</v>
      </c>
      <c r="I209" s="972">
        <v>12686</v>
      </c>
      <c r="J209" s="971">
        <v>7462</v>
      </c>
      <c r="K209" s="970">
        <v>639</v>
      </c>
      <c r="L209" s="972">
        <f t="shared" si="6"/>
        <v>23797</v>
      </c>
      <c r="M209" s="970"/>
      <c r="N209" s="971">
        <v>1479</v>
      </c>
      <c r="O209" s="971">
        <v>0</v>
      </c>
      <c r="P209" s="970">
        <v>1257</v>
      </c>
      <c r="Q209" s="972">
        <f t="shared" si="7"/>
        <v>2736</v>
      </c>
      <c r="R209" s="970"/>
      <c r="S209" s="971">
        <v>17608</v>
      </c>
      <c r="T209" s="973">
        <v>-668</v>
      </c>
      <c r="U209" s="973">
        <f>16939+1</f>
        <v>16940</v>
      </c>
    </row>
    <row r="210" spans="1:21" x14ac:dyDescent="0.25">
      <c r="A210" s="967">
        <v>92021</v>
      </c>
      <c r="B210" s="968" t="s">
        <v>2852</v>
      </c>
      <c r="C210" s="969">
        <v>1.5779999999999999E-4</v>
      </c>
      <c r="D210" s="969">
        <v>1.4249999999999999E-4</v>
      </c>
      <c r="E210" s="986">
        <v>72635</v>
      </c>
      <c r="F210" s="970">
        <v>241075</v>
      </c>
      <c r="G210" s="970"/>
      <c r="H210" s="971">
        <v>13888</v>
      </c>
      <c r="I210" s="972">
        <v>58533</v>
      </c>
      <c r="J210" s="971">
        <v>34429</v>
      </c>
      <c r="K210" s="970">
        <v>30504</v>
      </c>
      <c r="L210" s="972">
        <f t="shared" si="6"/>
        <v>137354</v>
      </c>
      <c r="M210" s="970"/>
      <c r="N210" s="971">
        <v>6824</v>
      </c>
      <c r="O210" s="971">
        <v>0</v>
      </c>
      <c r="P210" s="970">
        <v>11142</v>
      </c>
      <c r="Q210" s="972">
        <f t="shared" si="7"/>
        <v>17966</v>
      </c>
      <c r="R210" s="970"/>
      <c r="S210" s="971">
        <v>81242</v>
      </c>
      <c r="T210" s="973">
        <v>1771</v>
      </c>
      <c r="U210" s="973">
        <f>83014-1</f>
        <v>83013</v>
      </c>
    </row>
    <row r="211" spans="1:21" x14ac:dyDescent="0.25">
      <c r="A211" s="967">
        <v>92101</v>
      </c>
      <c r="B211" s="968" t="s">
        <v>2853</v>
      </c>
      <c r="C211" s="969">
        <v>8.5209999999999995E-4</v>
      </c>
      <c r="D211" s="969">
        <v>8.6870000000000003E-4</v>
      </c>
      <c r="E211" s="986">
        <v>368519</v>
      </c>
      <c r="F211" s="970">
        <v>1301773</v>
      </c>
      <c r="G211" s="970"/>
      <c r="H211" s="971">
        <v>74994</v>
      </c>
      <c r="I211" s="972">
        <v>316072</v>
      </c>
      <c r="J211" s="971">
        <v>185911</v>
      </c>
      <c r="K211" s="970">
        <v>9505</v>
      </c>
      <c r="L211" s="972">
        <f t="shared" si="6"/>
        <v>586482</v>
      </c>
      <c r="M211" s="970"/>
      <c r="N211" s="971">
        <v>36849</v>
      </c>
      <c r="O211" s="971">
        <v>0</v>
      </c>
      <c r="P211" s="970">
        <v>63189</v>
      </c>
      <c r="Q211" s="972">
        <f t="shared" si="7"/>
        <v>100038</v>
      </c>
      <c r="R211" s="970"/>
      <c r="S211" s="971">
        <v>438699</v>
      </c>
      <c r="T211" s="973">
        <v>-10164</v>
      </c>
      <c r="U211" s="973">
        <v>428535</v>
      </c>
    </row>
    <row r="212" spans="1:21" x14ac:dyDescent="0.25">
      <c r="A212" s="967">
        <v>92104</v>
      </c>
      <c r="B212" s="968" t="s">
        <v>2854</v>
      </c>
      <c r="C212" s="969">
        <v>8.6000000000000007E-6</v>
      </c>
      <c r="D212" s="969">
        <v>8.8000000000000004E-6</v>
      </c>
      <c r="E212" s="986">
        <v>5180</v>
      </c>
      <c r="F212" s="970">
        <v>13138</v>
      </c>
      <c r="G212" s="970"/>
      <c r="H212" s="971">
        <v>757</v>
      </c>
      <c r="I212" s="972">
        <v>3190</v>
      </c>
      <c r="J212" s="971">
        <v>1876</v>
      </c>
      <c r="K212" s="970">
        <v>3377</v>
      </c>
      <c r="L212" s="972">
        <f t="shared" si="6"/>
        <v>9200</v>
      </c>
      <c r="M212" s="970"/>
      <c r="N212" s="971">
        <v>372</v>
      </c>
      <c r="O212" s="971">
        <v>0</v>
      </c>
      <c r="P212" s="970">
        <v>0</v>
      </c>
      <c r="Q212" s="972">
        <f t="shared" si="7"/>
        <v>372</v>
      </c>
      <c r="R212" s="970"/>
      <c r="S212" s="971">
        <v>4428</v>
      </c>
      <c r="T212" s="973">
        <v>1850</v>
      </c>
      <c r="U212" s="973">
        <f>6277+1</f>
        <v>6278</v>
      </c>
    </row>
    <row r="213" spans="1:21" x14ac:dyDescent="0.25">
      <c r="A213" s="967">
        <v>92109</v>
      </c>
      <c r="B213" s="968" t="s">
        <v>2855</v>
      </c>
      <c r="C213" s="969">
        <v>1.8809999999999999E-4</v>
      </c>
      <c r="D213" s="969">
        <v>1.7909999999999999E-4</v>
      </c>
      <c r="E213" s="986">
        <v>79223</v>
      </c>
      <c r="F213" s="970">
        <v>287365</v>
      </c>
      <c r="G213" s="970"/>
      <c r="H213" s="971">
        <v>16555</v>
      </c>
      <c r="I213" s="972">
        <v>69773</v>
      </c>
      <c r="J213" s="971">
        <v>41040</v>
      </c>
      <c r="K213" s="970">
        <v>2067</v>
      </c>
      <c r="L213" s="972">
        <f t="shared" si="6"/>
        <v>129435</v>
      </c>
      <c r="M213" s="970"/>
      <c r="N213" s="971">
        <v>8134</v>
      </c>
      <c r="O213" s="971">
        <v>0</v>
      </c>
      <c r="P213" s="970">
        <v>12612</v>
      </c>
      <c r="Q213" s="972">
        <f t="shared" si="7"/>
        <v>20746</v>
      </c>
      <c r="R213" s="970"/>
      <c r="S213" s="971">
        <v>96842</v>
      </c>
      <c r="T213" s="973">
        <v>-5396</v>
      </c>
      <c r="U213" s="973">
        <v>91446</v>
      </c>
    </row>
    <row r="214" spans="1:21" x14ac:dyDescent="0.25">
      <c r="A214" s="967">
        <v>92111</v>
      </c>
      <c r="B214" s="968" t="s">
        <v>2856</v>
      </c>
      <c r="C214" s="969">
        <v>5.0460000000000001E-4</v>
      </c>
      <c r="D214" s="969">
        <v>5.0009999999999996E-4</v>
      </c>
      <c r="E214" s="986">
        <v>231049</v>
      </c>
      <c r="F214" s="970">
        <v>770889</v>
      </c>
      <c r="G214" s="970"/>
      <c r="H214" s="971">
        <v>44410</v>
      </c>
      <c r="I214" s="972">
        <v>187173</v>
      </c>
      <c r="J214" s="971">
        <v>110094</v>
      </c>
      <c r="K214" s="970">
        <v>10602</v>
      </c>
      <c r="L214" s="972">
        <f t="shared" si="6"/>
        <v>352279</v>
      </c>
      <c r="M214" s="970"/>
      <c r="N214" s="971">
        <v>21821</v>
      </c>
      <c r="O214" s="971">
        <v>0</v>
      </c>
      <c r="P214" s="970">
        <v>13269</v>
      </c>
      <c r="Q214" s="972">
        <f t="shared" si="7"/>
        <v>35090</v>
      </c>
      <c r="R214" s="970"/>
      <c r="S214" s="971">
        <v>259790</v>
      </c>
      <c r="T214" s="973">
        <v>2449</v>
      </c>
      <c r="U214" s="973">
        <v>262239</v>
      </c>
    </row>
    <row r="215" spans="1:21" x14ac:dyDescent="0.25">
      <c r="A215" s="967">
        <v>92113</v>
      </c>
      <c r="B215" s="968" t="s">
        <v>2857</v>
      </c>
      <c r="C215" s="969">
        <v>1.4399999999999999E-5</v>
      </c>
      <c r="D215" s="969">
        <v>2.2099999999999998E-5</v>
      </c>
      <c r="E215" s="986">
        <v>10341</v>
      </c>
      <c r="F215" s="970">
        <v>21999</v>
      </c>
      <c r="G215" s="970"/>
      <c r="H215" s="971">
        <v>1267</v>
      </c>
      <c r="I215" s="972">
        <v>5342</v>
      </c>
      <c r="J215" s="971">
        <v>3142</v>
      </c>
      <c r="K215" s="970">
        <v>17604</v>
      </c>
      <c r="L215" s="972">
        <f t="shared" si="6"/>
        <v>27355</v>
      </c>
      <c r="M215" s="970"/>
      <c r="N215" s="971">
        <v>623</v>
      </c>
      <c r="O215" s="971">
        <v>0</v>
      </c>
      <c r="P215" s="970">
        <v>2179</v>
      </c>
      <c r="Q215" s="972">
        <f t="shared" si="7"/>
        <v>2802</v>
      </c>
      <c r="R215" s="970"/>
      <c r="S215" s="971">
        <v>7414</v>
      </c>
      <c r="T215" s="973">
        <v>7173</v>
      </c>
      <c r="U215" s="973">
        <v>14587</v>
      </c>
    </row>
    <row r="216" spans="1:21" x14ac:dyDescent="0.25">
      <c r="A216" s="967">
        <v>92201</v>
      </c>
      <c r="B216" s="968" t="s">
        <v>2858</v>
      </c>
      <c r="C216" s="969">
        <v>9.3389999999999999E-4</v>
      </c>
      <c r="D216" s="969">
        <v>1.0267E-3</v>
      </c>
      <c r="E216" s="986">
        <v>452318</v>
      </c>
      <c r="F216" s="970">
        <v>1426741</v>
      </c>
      <c r="G216" s="970"/>
      <c r="H216" s="971">
        <v>82193</v>
      </c>
      <c r="I216" s="972">
        <v>346414</v>
      </c>
      <c r="J216" s="971">
        <v>203758</v>
      </c>
      <c r="K216" s="970">
        <v>36804</v>
      </c>
      <c r="L216" s="972">
        <f t="shared" si="6"/>
        <v>669169</v>
      </c>
      <c r="M216" s="970"/>
      <c r="N216" s="971">
        <v>40387</v>
      </c>
      <c r="O216" s="971">
        <v>0</v>
      </c>
      <c r="P216" s="970">
        <v>43356</v>
      </c>
      <c r="Q216" s="972">
        <f t="shared" si="7"/>
        <v>83743</v>
      </c>
      <c r="R216" s="970"/>
      <c r="S216" s="971">
        <v>480813</v>
      </c>
      <c r="T216" s="973">
        <v>13056</v>
      </c>
      <c r="U216" s="973">
        <v>493869</v>
      </c>
    </row>
    <row r="217" spans="1:21" x14ac:dyDescent="0.25">
      <c r="A217" s="967">
        <v>92301</v>
      </c>
      <c r="B217" s="968" t="s">
        <v>2859</v>
      </c>
      <c r="C217" s="969">
        <v>5.2129999999999998E-3</v>
      </c>
      <c r="D217" s="969">
        <v>5.2411000000000003E-3</v>
      </c>
      <c r="E217" s="986">
        <v>2376668</v>
      </c>
      <c r="F217" s="970">
        <v>7964020</v>
      </c>
      <c r="G217" s="970"/>
      <c r="H217" s="971">
        <v>458801</v>
      </c>
      <c r="I217" s="972">
        <v>1933674</v>
      </c>
      <c r="J217" s="971">
        <v>1137372</v>
      </c>
      <c r="K217" s="970">
        <v>53669</v>
      </c>
      <c r="L217" s="972">
        <f t="shared" si="6"/>
        <v>3583516</v>
      </c>
      <c r="M217" s="970"/>
      <c r="N217" s="971">
        <v>225436</v>
      </c>
      <c r="O217" s="971">
        <v>0</v>
      </c>
      <c r="P217" s="970">
        <v>40357</v>
      </c>
      <c r="Q217" s="972">
        <f t="shared" si="7"/>
        <v>265793</v>
      </c>
      <c r="R217" s="970"/>
      <c r="S217" s="971">
        <v>2683882</v>
      </c>
      <c r="T217" s="973">
        <v>7360</v>
      </c>
      <c r="U217" s="973">
        <v>2691242</v>
      </c>
    </row>
    <row r="218" spans="1:21" x14ac:dyDescent="0.25">
      <c r="A218" s="967">
        <v>92302</v>
      </c>
      <c r="B218" s="968" t="s">
        <v>3685</v>
      </c>
      <c r="C218" s="969">
        <v>2.9740000000000002E-4</v>
      </c>
      <c r="D218" s="969">
        <v>3.168E-4</v>
      </c>
      <c r="E218" s="986">
        <v>124071</v>
      </c>
      <c r="F218" s="970">
        <v>454345</v>
      </c>
      <c r="G218" s="970"/>
      <c r="H218" s="971">
        <v>26174</v>
      </c>
      <c r="I218" s="972">
        <v>110316</v>
      </c>
      <c r="J218" s="971">
        <v>64887</v>
      </c>
      <c r="K218" s="970">
        <v>0</v>
      </c>
      <c r="L218" s="972">
        <f t="shared" si="6"/>
        <v>201377</v>
      </c>
      <c r="M218" s="970"/>
      <c r="N218" s="971">
        <v>12861</v>
      </c>
      <c r="O218" s="971">
        <v>0</v>
      </c>
      <c r="P218" s="970">
        <v>28639</v>
      </c>
      <c r="Q218" s="972">
        <f t="shared" si="7"/>
        <v>41500</v>
      </c>
      <c r="R218" s="970"/>
      <c r="S218" s="971">
        <v>153115</v>
      </c>
      <c r="T218" s="973">
        <v>-9739</v>
      </c>
      <c r="U218" s="973">
        <v>143376</v>
      </c>
    </row>
    <row r="219" spans="1:21" x14ac:dyDescent="0.25">
      <c r="A219" s="967">
        <v>92311</v>
      </c>
      <c r="B219" s="968" t="s">
        <v>2861</v>
      </c>
      <c r="C219" s="969">
        <v>2.2504999999999999E-3</v>
      </c>
      <c r="D219" s="969">
        <v>2.1857000000000001E-3</v>
      </c>
      <c r="E219" s="986">
        <v>989308</v>
      </c>
      <c r="F219" s="970">
        <v>3438141</v>
      </c>
      <c r="G219" s="970"/>
      <c r="H219" s="971">
        <v>198069</v>
      </c>
      <c r="I219" s="972">
        <v>834785</v>
      </c>
      <c r="J219" s="971">
        <v>491014</v>
      </c>
      <c r="K219" s="970">
        <v>8358</v>
      </c>
      <c r="L219" s="972">
        <f t="shared" si="6"/>
        <v>1532226</v>
      </c>
      <c r="M219" s="970"/>
      <c r="N219" s="971">
        <v>97323</v>
      </c>
      <c r="O219" s="971">
        <v>0</v>
      </c>
      <c r="P219" s="970">
        <v>54246</v>
      </c>
      <c r="Q219" s="972">
        <f t="shared" si="7"/>
        <v>151569</v>
      </c>
      <c r="R219" s="970"/>
      <c r="S219" s="971">
        <v>1158656</v>
      </c>
      <c r="T219" s="973">
        <v>-36529</v>
      </c>
      <c r="U219" s="973">
        <v>1122127</v>
      </c>
    </row>
    <row r="220" spans="1:21" x14ac:dyDescent="0.25">
      <c r="A220" s="967">
        <v>92317</v>
      </c>
      <c r="B220" s="968" t="s">
        <v>2862</v>
      </c>
      <c r="C220" s="969">
        <v>2.94E-5</v>
      </c>
      <c r="D220" s="969">
        <v>2.9600000000000001E-5</v>
      </c>
      <c r="E220" s="986">
        <v>22749</v>
      </c>
      <c r="F220" s="970">
        <v>44915</v>
      </c>
      <c r="G220" s="970"/>
      <c r="H220" s="971">
        <v>2588</v>
      </c>
      <c r="I220" s="972">
        <v>10905</v>
      </c>
      <c r="J220" s="971">
        <v>6414</v>
      </c>
      <c r="K220" s="970">
        <v>15615</v>
      </c>
      <c r="L220" s="972">
        <f t="shared" si="6"/>
        <v>35522</v>
      </c>
      <c r="M220" s="970"/>
      <c r="N220" s="971">
        <v>1271</v>
      </c>
      <c r="O220" s="971">
        <v>0</v>
      </c>
      <c r="P220" s="970">
        <v>0</v>
      </c>
      <c r="Q220" s="972">
        <f t="shared" si="7"/>
        <v>1271</v>
      </c>
      <c r="R220" s="970"/>
      <c r="S220" s="971">
        <v>15136</v>
      </c>
      <c r="T220" s="973">
        <v>6218</v>
      </c>
      <c r="U220" s="973">
        <v>21354</v>
      </c>
    </row>
    <row r="221" spans="1:21" x14ac:dyDescent="0.25">
      <c r="A221" s="967">
        <v>92321</v>
      </c>
      <c r="B221" s="968" t="s">
        <v>2863</v>
      </c>
      <c r="C221" s="969">
        <v>1.1773E-3</v>
      </c>
      <c r="D221" s="969">
        <v>1.2218999999999999E-3</v>
      </c>
      <c r="E221" s="986">
        <v>553266</v>
      </c>
      <c r="F221" s="970">
        <v>1798588</v>
      </c>
      <c r="G221" s="970"/>
      <c r="H221" s="971">
        <v>103615</v>
      </c>
      <c r="I221" s="972">
        <v>436700</v>
      </c>
      <c r="J221" s="971">
        <v>256863</v>
      </c>
      <c r="K221" s="970">
        <v>35464</v>
      </c>
      <c r="L221" s="972">
        <f t="shared" si="6"/>
        <v>832642</v>
      </c>
      <c r="M221" s="970"/>
      <c r="N221" s="971">
        <v>50912</v>
      </c>
      <c r="O221" s="971">
        <v>0</v>
      </c>
      <c r="P221" s="970">
        <v>20669</v>
      </c>
      <c r="Q221" s="972">
        <f t="shared" si="7"/>
        <v>71581</v>
      </c>
      <c r="R221" s="970"/>
      <c r="S221" s="971">
        <v>606126</v>
      </c>
      <c r="T221" s="973">
        <v>20498</v>
      </c>
      <c r="U221" s="973">
        <v>626624</v>
      </c>
    </row>
    <row r="222" spans="1:21" x14ac:dyDescent="0.25">
      <c r="A222" s="967">
        <v>92327</v>
      </c>
      <c r="B222" s="968" t="s">
        <v>2864</v>
      </c>
      <c r="C222" s="969">
        <v>5.6999999999999996E-6</v>
      </c>
      <c r="D222" s="969">
        <v>7.6000000000000001E-6</v>
      </c>
      <c r="E222" s="986">
        <v>5653</v>
      </c>
      <c r="F222" s="970">
        <v>8708</v>
      </c>
      <c r="G222" s="970"/>
      <c r="H222" s="971">
        <v>502</v>
      </c>
      <c r="I222" s="972">
        <v>2115</v>
      </c>
      <c r="J222" s="971">
        <v>1244</v>
      </c>
      <c r="K222" s="970">
        <v>2932</v>
      </c>
      <c r="L222" s="972">
        <f t="shared" si="6"/>
        <v>6793</v>
      </c>
      <c r="M222" s="970"/>
      <c r="N222" s="971">
        <v>246</v>
      </c>
      <c r="O222" s="971">
        <v>0</v>
      </c>
      <c r="P222" s="970">
        <v>0</v>
      </c>
      <c r="Q222" s="972">
        <f t="shared" si="7"/>
        <v>246</v>
      </c>
      <c r="R222" s="970"/>
      <c r="S222" s="971">
        <v>2935</v>
      </c>
      <c r="T222" s="973">
        <v>1142</v>
      </c>
      <c r="U222" s="973">
        <v>4077</v>
      </c>
    </row>
    <row r="223" spans="1:21" x14ac:dyDescent="0.25">
      <c r="A223" s="967">
        <v>92331</v>
      </c>
      <c r="B223" s="968" t="s">
        <v>2865</v>
      </c>
      <c r="C223" s="969">
        <v>1.3970000000000001E-4</v>
      </c>
      <c r="D223" s="969">
        <v>1.393E-4</v>
      </c>
      <c r="E223" s="986">
        <v>60878</v>
      </c>
      <c r="F223" s="970">
        <v>213423</v>
      </c>
      <c r="G223" s="970"/>
      <c r="H223" s="971">
        <v>12295</v>
      </c>
      <c r="I223" s="972">
        <v>51819</v>
      </c>
      <c r="J223" s="971">
        <v>30480</v>
      </c>
      <c r="K223" s="970">
        <v>2070</v>
      </c>
      <c r="L223" s="972">
        <f t="shared" si="6"/>
        <v>96664</v>
      </c>
      <c r="M223" s="970"/>
      <c r="N223" s="971">
        <v>6041</v>
      </c>
      <c r="O223" s="971">
        <v>0</v>
      </c>
      <c r="P223" s="970">
        <v>7559</v>
      </c>
      <c r="Q223" s="972">
        <f t="shared" si="7"/>
        <v>13600</v>
      </c>
      <c r="R223" s="970"/>
      <c r="S223" s="971">
        <v>71924</v>
      </c>
      <c r="T223" s="973">
        <v>-755</v>
      </c>
      <c r="U223" s="973">
        <v>71169</v>
      </c>
    </row>
    <row r="224" spans="1:21" x14ac:dyDescent="0.25">
      <c r="A224" s="967">
        <v>92341</v>
      </c>
      <c r="B224" s="968" t="s">
        <v>2866</v>
      </c>
      <c r="C224" s="969">
        <v>9.7999999999999993E-6</v>
      </c>
      <c r="D224" s="969">
        <v>7.9000000000000006E-6</v>
      </c>
      <c r="E224" s="986">
        <v>3179</v>
      </c>
      <c r="F224" s="970">
        <v>14972</v>
      </c>
      <c r="G224" s="970"/>
      <c r="H224" s="971">
        <v>863</v>
      </c>
      <c r="I224" s="972">
        <v>3635</v>
      </c>
      <c r="J224" s="971">
        <v>2138</v>
      </c>
      <c r="K224" s="970">
        <v>523</v>
      </c>
      <c r="L224" s="972">
        <f t="shared" si="6"/>
        <v>7159</v>
      </c>
      <c r="M224" s="970"/>
      <c r="N224" s="971">
        <v>424</v>
      </c>
      <c r="O224" s="971">
        <v>0</v>
      </c>
      <c r="P224" s="970">
        <v>1977</v>
      </c>
      <c r="Q224" s="972">
        <f t="shared" si="7"/>
        <v>2401</v>
      </c>
      <c r="R224" s="970"/>
      <c r="S224" s="971">
        <v>5045</v>
      </c>
      <c r="T224" s="973">
        <v>-859</v>
      </c>
      <c r="U224" s="973">
        <f>4187-1</f>
        <v>4186</v>
      </c>
    </row>
    <row r="225" spans="1:21" x14ac:dyDescent="0.25">
      <c r="A225" s="967">
        <v>92351</v>
      </c>
      <c r="B225" s="968" t="s">
        <v>2867</v>
      </c>
      <c r="C225" s="969">
        <v>1.8600000000000001E-5</v>
      </c>
      <c r="D225" s="969">
        <v>1.95E-5</v>
      </c>
      <c r="E225" s="986">
        <v>9507</v>
      </c>
      <c r="F225" s="970">
        <v>28416</v>
      </c>
      <c r="G225" s="970"/>
      <c r="H225" s="971">
        <v>1637</v>
      </c>
      <c r="I225" s="972">
        <v>6899</v>
      </c>
      <c r="J225" s="971">
        <v>4058</v>
      </c>
      <c r="K225" s="970">
        <v>746</v>
      </c>
      <c r="L225" s="972">
        <f t="shared" si="6"/>
        <v>13340</v>
      </c>
      <c r="M225" s="970"/>
      <c r="N225" s="971">
        <v>804</v>
      </c>
      <c r="O225" s="971">
        <v>0</v>
      </c>
      <c r="P225" s="970">
        <v>4166</v>
      </c>
      <c r="Q225" s="972">
        <f t="shared" si="7"/>
        <v>4970</v>
      </c>
      <c r="R225" s="970"/>
      <c r="S225" s="971">
        <v>9576</v>
      </c>
      <c r="T225" s="973">
        <v>-1010</v>
      </c>
      <c r="U225" s="973">
        <f>8567-1</f>
        <v>8566</v>
      </c>
    </row>
    <row r="226" spans="1:21" x14ac:dyDescent="0.25">
      <c r="A226" s="967">
        <v>92401</v>
      </c>
      <c r="B226" s="968" t="s">
        <v>2868</v>
      </c>
      <c r="C226" s="969">
        <v>2.6890999999999998E-3</v>
      </c>
      <c r="D226" s="969">
        <v>2.7449000000000002E-3</v>
      </c>
      <c r="E226" s="986">
        <v>1303903</v>
      </c>
      <c r="F226" s="970">
        <v>4108200</v>
      </c>
      <c r="G226" s="970"/>
      <c r="H226" s="971">
        <v>236670</v>
      </c>
      <c r="I226" s="972">
        <v>997476</v>
      </c>
      <c r="J226" s="971">
        <v>586708</v>
      </c>
      <c r="K226" s="970">
        <v>34938</v>
      </c>
      <c r="L226" s="972">
        <f t="shared" si="6"/>
        <v>1855792</v>
      </c>
      <c r="M226" s="970"/>
      <c r="N226" s="971">
        <v>116290</v>
      </c>
      <c r="O226" s="971">
        <v>0</v>
      </c>
      <c r="P226" s="970">
        <v>3448</v>
      </c>
      <c r="Q226" s="972">
        <f t="shared" si="7"/>
        <v>119738</v>
      </c>
      <c r="R226" s="970"/>
      <c r="S226" s="971">
        <v>1384467</v>
      </c>
      <c r="T226" s="973">
        <v>19009</v>
      </c>
      <c r="U226" s="973">
        <v>1403476</v>
      </c>
    </row>
    <row r="227" spans="1:21" x14ac:dyDescent="0.25">
      <c r="A227" s="967">
        <v>92403</v>
      </c>
      <c r="B227" s="968" t="s">
        <v>2869</v>
      </c>
      <c r="C227" s="969">
        <v>1.11E-5</v>
      </c>
      <c r="D227" s="969">
        <v>9.7999999999999993E-6</v>
      </c>
      <c r="E227" s="986">
        <v>5892</v>
      </c>
      <c r="F227" s="970">
        <v>16958</v>
      </c>
      <c r="G227" s="970"/>
      <c r="H227" s="971">
        <v>977</v>
      </c>
      <c r="I227" s="972">
        <v>4117</v>
      </c>
      <c r="J227" s="971">
        <v>2422</v>
      </c>
      <c r="K227" s="970">
        <v>1858</v>
      </c>
      <c r="L227" s="972">
        <f t="shared" si="6"/>
        <v>9374</v>
      </c>
      <c r="M227" s="970"/>
      <c r="N227" s="971">
        <v>480</v>
      </c>
      <c r="O227" s="971">
        <v>0</v>
      </c>
      <c r="P227" s="970">
        <v>1307</v>
      </c>
      <c r="Q227" s="972">
        <f t="shared" si="7"/>
        <v>1787</v>
      </c>
      <c r="R227" s="970"/>
      <c r="S227" s="971">
        <v>5715</v>
      </c>
      <c r="T227" s="973">
        <v>135</v>
      </c>
      <c r="U227" s="973">
        <f>5849+1</f>
        <v>5850</v>
      </c>
    </row>
    <row r="228" spans="1:21" x14ac:dyDescent="0.25">
      <c r="A228" s="967">
        <v>92411</v>
      </c>
      <c r="B228" s="968" t="s">
        <v>2870</v>
      </c>
      <c r="C228" s="969">
        <v>5.0469999999999996E-4</v>
      </c>
      <c r="D228" s="969">
        <v>4.8030000000000002E-4</v>
      </c>
      <c r="E228" s="986">
        <v>203732</v>
      </c>
      <c r="F228" s="970">
        <v>771042</v>
      </c>
      <c r="G228" s="970"/>
      <c r="H228" s="971">
        <v>44419</v>
      </c>
      <c r="I228" s="972">
        <v>187210</v>
      </c>
      <c r="J228" s="971">
        <v>110115</v>
      </c>
      <c r="K228" s="970">
        <v>369</v>
      </c>
      <c r="L228" s="972">
        <f t="shared" si="6"/>
        <v>342113</v>
      </c>
      <c r="M228" s="970"/>
      <c r="N228" s="971">
        <v>21826</v>
      </c>
      <c r="O228" s="971">
        <v>0</v>
      </c>
      <c r="P228" s="970">
        <v>44165</v>
      </c>
      <c r="Q228" s="972">
        <f t="shared" si="7"/>
        <v>65991</v>
      </c>
      <c r="R228" s="970"/>
      <c r="S228" s="971">
        <v>259842</v>
      </c>
      <c r="T228" s="973">
        <v>-17900</v>
      </c>
      <c r="U228" s="973">
        <v>241942</v>
      </c>
    </row>
    <row r="229" spans="1:21" x14ac:dyDescent="0.25">
      <c r="A229" s="967">
        <v>92414</v>
      </c>
      <c r="B229" s="968" t="s">
        <v>1397</v>
      </c>
      <c r="C229" s="969">
        <v>0</v>
      </c>
      <c r="D229" s="969">
        <v>0</v>
      </c>
      <c r="E229" s="986" t="e">
        <v>#N/A</v>
      </c>
      <c r="F229" s="970">
        <v>0</v>
      </c>
      <c r="G229" s="970"/>
      <c r="H229" s="971">
        <v>0</v>
      </c>
      <c r="I229" s="972">
        <v>0</v>
      </c>
      <c r="J229" s="971">
        <v>0</v>
      </c>
      <c r="K229" s="970">
        <v>0</v>
      </c>
      <c r="L229" s="972">
        <f t="shared" si="6"/>
        <v>0</v>
      </c>
      <c r="M229" s="970"/>
      <c r="N229" s="971">
        <v>0</v>
      </c>
      <c r="O229" s="971">
        <v>0</v>
      </c>
      <c r="P229" s="970">
        <v>5712</v>
      </c>
      <c r="Q229" s="972">
        <f t="shared" si="7"/>
        <v>5712</v>
      </c>
      <c r="R229" s="970"/>
      <c r="S229" s="971">
        <v>0</v>
      </c>
      <c r="T229" s="973">
        <v>-2445</v>
      </c>
      <c r="U229" s="973">
        <v>-2445</v>
      </c>
    </row>
    <row r="230" spans="1:21" x14ac:dyDescent="0.25">
      <c r="A230" s="967">
        <v>92417</v>
      </c>
      <c r="B230" s="968" t="s">
        <v>2871</v>
      </c>
      <c r="C230" s="969">
        <v>1.8300000000000001E-5</v>
      </c>
      <c r="D230" s="969">
        <v>1.77E-5</v>
      </c>
      <c r="E230" s="986">
        <v>5972</v>
      </c>
      <c r="F230" s="970">
        <v>27957</v>
      </c>
      <c r="G230" s="970"/>
      <c r="H230" s="971">
        <v>1611</v>
      </c>
      <c r="I230" s="972">
        <v>6788</v>
      </c>
      <c r="J230" s="971">
        <v>3993</v>
      </c>
      <c r="K230" s="970">
        <v>0</v>
      </c>
      <c r="L230" s="972">
        <f t="shared" si="6"/>
        <v>12392</v>
      </c>
      <c r="M230" s="970"/>
      <c r="N230" s="971">
        <v>791</v>
      </c>
      <c r="O230" s="971">
        <v>0</v>
      </c>
      <c r="P230" s="970">
        <v>2726</v>
      </c>
      <c r="Q230" s="972">
        <f t="shared" si="7"/>
        <v>3517</v>
      </c>
      <c r="R230" s="970"/>
      <c r="S230" s="971">
        <v>9422</v>
      </c>
      <c r="T230" s="973">
        <v>-895</v>
      </c>
      <c r="U230" s="973">
        <v>8527</v>
      </c>
    </row>
    <row r="231" spans="1:21" x14ac:dyDescent="0.25">
      <c r="A231" s="967">
        <v>92421</v>
      </c>
      <c r="B231" s="968" t="s">
        <v>2872</v>
      </c>
      <c r="C231" s="969">
        <v>8.8000000000000004E-6</v>
      </c>
      <c r="D231" s="969">
        <v>9.0000000000000002E-6</v>
      </c>
      <c r="E231" s="986">
        <v>7580</v>
      </c>
      <c r="F231" s="970">
        <v>13444</v>
      </c>
      <c r="G231" s="970"/>
      <c r="H231" s="971">
        <v>774</v>
      </c>
      <c r="I231" s="972">
        <v>3264</v>
      </c>
      <c r="J231" s="971">
        <v>1920</v>
      </c>
      <c r="K231" s="970">
        <v>3546</v>
      </c>
      <c r="L231" s="972">
        <f t="shared" si="6"/>
        <v>9504</v>
      </c>
      <c r="M231" s="970"/>
      <c r="N231" s="971">
        <v>381</v>
      </c>
      <c r="O231" s="971">
        <v>0</v>
      </c>
      <c r="P231" s="970">
        <v>1149</v>
      </c>
      <c r="Q231" s="972">
        <f t="shared" si="7"/>
        <v>1530</v>
      </c>
      <c r="R231" s="970"/>
      <c r="S231" s="971">
        <v>4531</v>
      </c>
      <c r="T231" s="973">
        <v>935</v>
      </c>
      <c r="U231" s="973">
        <v>5466</v>
      </c>
    </row>
    <row r="232" spans="1:21" x14ac:dyDescent="0.25">
      <c r="A232" s="967">
        <v>92427</v>
      </c>
      <c r="B232" s="968" t="s">
        <v>2873</v>
      </c>
      <c r="C232" s="969">
        <v>3.9999999999999998E-7</v>
      </c>
      <c r="D232" s="969">
        <v>6.9999999999999997E-7</v>
      </c>
      <c r="E232" s="986">
        <v>1463</v>
      </c>
      <c r="F232" s="970">
        <v>611</v>
      </c>
      <c r="G232" s="970"/>
      <c r="H232" s="971">
        <v>35</v>
      </c>
      <c r="I232" s="972">
        <v>148</v>
      </c>
      <c r="J232" s="971">
        <v>87</v>
      </c>
      <c r="K232" s="970">
        <v>1998</v>
      </c>
      <c r="L232" s="972">
        <f t="shared" si="6"/>
        <v>2268</v>
      </c>
      <c r="M232" s="970"/>
      <c r="N232" s="971">
        <v>17</v>
      </c>
      <c r="O232" s="971">
        <v>0</v>
      </c>
      <c r="P232" s="970">
        <v>0</v>
      </c>
      <c r="Q232" s="972">
        <f t="shared" si="7"/>
        <v>17</v>
      </c>
      <c r="R232" s="970"/>
      <c r="S232" s="971">
        <v>206</v>
      </c>
      <c r="T232" s="973">
        <v>841</v>
      </c>
      <c r="U232" s="973">
        <v>1047</v>
      </c>
    </row>
    <row r="233" spans="1:21" x14ac:dyDescent="0.25">
      <c r="A233" s="967">
        <v>92431</v>
      </c>
      <c r="B233" s="968" t="s">
        <v>2874</v>
      </c>
      <c r="C233" s="969">
        <v>3.0800000000000003E-5</v>
      </c>
      <c r="D233" s="969">
        <v>1.8499999999999999E-5</v>
      </c>
      <c r="E233" s="986">
        <v>22456</v>
      </c>
      <c r="F233" s="970">
        <v>47054</v>
      </c>
      <c r="G233" s="970"/>
      <c r="H233" s="971">
        <v>2711</v>
      </c>
      <c r="I233" s="972">
        <v>11425</v>
      </c>
      <c r="J233" s="971">
        <v>6720</v>
      </c>
      <c r="K233" s="970">
        <v>18832</v>
      </c>
      <c r="L233" s="972">
        <f t="shared" si="6"/>
        <v>39688</v>
      </c>
      <c r="M233" s="970"/>
      <c r="N233" s="971">
        <v>1332</v>
      </c>
      <c r="O233" s="971">
        <v>0</v>
      </c>
      <c r="P233" s="970">
        <v>3766</v>
      </c>
      <c r="Q233" s="972">
        <f t="shared" si="7"/>
        <v>5098</v>
      </c>
      <c r="R233" s="970"/>
      <c r="S233" s="971">
        <v>15857</v>
      </c>
      <c r="T233" s="973">
        <v>4147</v>
      </c>
      <c r="U233" s="973">
        <v>20004</v>
      </c>
    </row>
    <row r="234" spans="1:21" x14ac:dyDescent="0.25">
      <c r="A234" s="967">
        <v>92441</v>
      </c>
      <c r="B234" s="968" t="s">
        <v>2875</v>
      </c>
      <c r="C234" s="969">
        <v>7.7999999999999999E-5</v>
      </c>
      <c r="D234" s="969">
        <v>9.2299999999999994E-5</v>
      </c>
      <c r="E234" s="986">
        <v>38185</v>
      </c>
      <c r="F234" s="970">
        <v>119162</v>
      </c>
      <c r="G234" s="970"/>
      <c r="H234" s="971">
        <v>6865</v>
      </c>
      <c r="I234" s="972">
        <v>28933</v>
      </c>
      <c r="J234" s="971">
        <v>17018</v>
      </c>
      <c r="K234" s="970">
        <v>0</v>
      </c>
      <c r="L234" s="972">
        <f t="shared" si="6"/>
        <v>52816</v>
      </c>
      <c r="M234" s="970"/>
      <c r="N234" s="971">
        <v>3373</v>
      </c>
      <c r="O234" s="971">
        <v>0</v>
      </c>
      <c r="P234" s="970">
        <v>15306</v>
      </c>
      <c r="Q234" s="972">
        <f t="shared" si="7"/>
        <v>18679</v>
      </c>
      <c r="R234" s="970"/>
      <c r="S234" s="971">
        <v>40158</v>
      </c>
      <c r="T234" s="973">
        <v>-6990</v>
      </c>
      <c r="U234" s="973">
        <f>33167+1</f>
        <v>33168</v>
      </c>
    </row>
    <row r="235" spans="1:21" x14ac:dyDescent="0.25">
      <c r="A235" s="967">
        <v>92444</v>
      </c>
      <c r="B235" s="968" t="s">
        <v>2876</v>
      </c>
      <c r="C235" s="969">
        <v>1.7999999999999999E-6</v>
      </c>
      <c r="D235" s="969">
        <v>1.9999999999999999E-6</v>
      </c>
      <c r="E235" s="986">
        <v>2108</v>
      </c>
      <c r="F235" s="970">
        <v>2750</v>
      </c>
      <c r="G235" s="970"/>
      <c r="H235" s="971">
        <v>158</v>
      </c>
      <c r="I235" s="972">
        <v>667</v>
      </c>
      <c r="J235" s="971">
        <v>393</v>
      </c>
      <c r="K235" s="970">
        <v>2573</v>
      </c>
      <c r="L235" s="972">
        <f t="shared" si="6"/>
        <v>3791</v>
      </c>
      <c r="M235" s="970"/>
      <c r="N235" s="971">
        <v>78</v>
      </c>
      <c r="O235" s="971">
        <v>0</v>
      </c>
      <c r="P235" s="970">
        <v>0</v>
      </c>
      <c r="Q235" s="972">
        <f t="shared" si="7"/>
        <v>78</v>
      </c>
      <c r="R235" s="970"/>
      <c r="S235" s="971">
        <v>927</v>
      </c>
      <c r="T235" s="973">
        <v>1194</v>
      </c>
      <c r="U235" s="973">
        <v>2121</v>
      </c>
    </row>
    <row r="236" spans="1:21" x14ac:dyDescent="0.25">
      <c r="A236" s="967">
        <v>92451</v>
      </c>
      <c r="B236" s="968" t="s">
        <v>2877</v>
      </c>
      <c r="C236" s="969">
        <v>1.3070000000000001E-4</v>
      </c>
      <c r="D236" s="969">
        <v>1.4559999999999999E-4</v>
      </c>
      <c r="E236" s="986">
        <v>77938</v>
      </c>
      <c r="F236" s="970">
        <v>199673</v>
      </c>
      <c r="G236" s="970"/>
      <c r="H236" s="971">
        <v>11503</v>
      </c>
      <c r="I236" s="972">
        <v>48481</v>
      </c>
      <c r="J236" s="971">
        <v>28516</v>
      </c>
      <c r="K236" s="970">
        <v>29255</v>
      </c>
      <c r="L236" s="972">
        <f t="shared" si="6"/>
        <v>117755</v>
      </c>
      <c r="M236" s="970"/>
      <c r="N236" s="971">
        <v>5652</v>
      </c>
      <c r="O236" s="971">
        <v>0</v>
      </c>
      <c r="P236" s="970">
        <v>0</v>
      </c>
      <c r="Q236" s="972">
        <f t="shared" si="7"/>
        <v>5652</v>
      </c>
      <c r="R236" s="970"/>
      <c r="S236" s="971">
        <v>67290</v>
      </c>
      <c r="T236" s="973">
        <v>12363</v>
      </c>
      <c r="U236" s="973">
        <v>79653</v>
      </c>
    </row>
    <row r="237" spans="1:21" x14ac:dyDescent="0.25">
      <c r="A237" s="967">
        <v>92461</v>
      </c>
      <c r="B237" s="968" t="s">
        <v>2878</v>
      </c>
      <c r="C237" s="969">
        <v>7.1099999999999994E-5</v>
      </c>
      <c r="D237" s="969">
        <v>7.2999999999999999E-5</v>
      </c>
      <c r="E237" s="986">
        <v>40872</v>
      </c>
      <c r="F237" s="970">
        <v>108621</v>
      </c>
      <c r="G237" s="970"/>
      <c r="H237" s="971">
        <v>6258</v>
      </c>
      <c r="I237" s="972">
        <v>26373</v>
      </c>
      <c r="J237" s="971">
        <v>15513</v>
      </c>
      <c r="K237" s="970">
        <v>12982</v>
      </c>
      <c r="L237" s="972">
        <f t="shared" si="6"/>
        <v>61126</v>
      </c>
      <c r="M237" s="970"/>
      <c r="N237" s="971">
        <v>3075</v>
      </c>
      <c r="O237" s="971">
        <v>0</v>
      </c>
      <c r="P237" s="970">
        <v>4965</v>
      </c>
      <c r="Q237" s="972">
        <f t="shared" si="7"/>
        <v>8040</v>
      </c>
      <c r="R237" s="970"/>
      <c r="S237" s="971">
        <v>36605</v>
      </c>
      <c r="T237" s="973">
        <v>1157</v>
      </c>
      <c r="U237" s="973">
        <f>37763-1</f>
        <v>37762</v>
      </c>
    </row>
    <row r="238" spans="1:21" x14ac:dyDescent="0.25">
      <c r="A238" s="967">
        <v>92501</v>
      </c>
      <c r="B238" s="968" t="s">
        <v>2879</v>
      </c>
      <c r="C238" s="969">
        <v>3.8252E-3</v>
      </c>
      <c r="D238" s="969">
        <v>3.8141E-3</v>
      </c>
      <c r="E238" s="986">
        <v>1869584</v>
      </c>
      <c r="F238" s="970">
        <v>5843846</v>
      </c>
      <c r="G238" s="970"/>
      <c r="H238" s="971">
        <v>336660</v>
      </c>
      <c r="I238" s="972">
        <v>1418892</v>
      </c>
      <c r="J238" s="971">
        <v>834582</v>
      </c>
      <c r="K238" s="970">
        <v>137822</v>
      </c>
      <c r="L238" s="972">
        <f t="shared" si="6"/>
        <v>2727956</v>
      </c>
      <c r="M238" s="970"/>
      <c r="N238" s="971">
        <v>165421</v>
      </c>
      <c r="O238" s="971">
        <v>0</v>
      </c>
      <c r="P238" s="970">
        <v>9032</v>
      </c>
      <c r="Q238" s="972">
        <f t="shared" si="7"/>
        <v>174453</v>
      </c>
      <c r="R238" s="970"/>
      <c r="S238" s="971">
        <v>1969381</v>
      </c>
      <c r="T238" s="973">
        <v>45362</v>
      </c>
      <c r="U238" s="973">
        <v>2014743</v>
      </c>
    </row>
    <row r="239" spans="1:21" x14ac:dyDescent="0.25">
      <c r="A239" s="967">
        <v>92502</v>
      </c>
      <c r="B239" s="968" t="s">
        <v>2880</v>
      </c>
      <c r="C239" s="969">
        <v>2.7500000000000001E-5</v>
      </c>
      <c r="D239" s="969">
        <v>2.8799999999999999E-5</v>
      </c>
      <c r="E239" s="986">
        <v>14164</v>
      </c>
      <c r="F239" s="970">
        <v>42012</v>
      </c>
      <c r="G239" s="970"/>
      <c r="H239" s="971">
        <v>2420</v>
      </c>
      <c r="I239" s="972">
        <v>10201</v>
      </c>
      <c r="J239" s="971">
        <v>6000</v>
      </c>
      <c r="K239" s="970">
        <v>3940</v>
      </c>
      <c r="L239" s="972">
        <f t="shared" si="6"/>
        <v>22561</v>
      </c>
      <c r="M239" s="970"/>
      <c r="N239" s="971">
        <v>1189</v>
      </c>
      <c r="O239" s="971">
        <v>0</v>
      </c>
      <c r="P239" s="970">
        <v>2154</v>
      </c>
      <c r="Q239" s="972">
        <f t="shared" si="7"/>
        <v>3343</v>
      </c>
      <c r="R239" s="970"/>
      <c r="S239" s="971">
        <v>14158</v>
      </c>
      <c r="T239" s="973">
        <v>-13</v>
      </c>
      <c r="U239" s="973">
        <v>14145</v>
      </c>
    </row>
    <row r="240" spans="1:21" x14ac:dyDescent="0.25">
      <c r="A240" s="967">
        <v>92504</v>
      </c>
      <c r="B240" s="968" t="s">
        <v>2881</v>
      </c>
      <c r="C240" s="969">
        <v>8.4300000000000003E-5</v>
      </c>
      <c r="D240" s="969">
        <v>7.2799999999999994E-5</v>
      </c>
      <c r="E240" s="986">
        <v>49664</v>
      </c>
      <c r="F240" s="970">
        <v>128787</v>
      </c>
      <c r="G240" s="970"/>
      <c r="H240" s="971">
        <v>7419</v>
      </c>
      <c r="I240" s="972">
        <v>31269</v>
      </c>
      <c r="J240" s="971">
        <v>18393</v>
      </c>
      <c r="K240" s="970">
        <v>29049</v>
      </c>
      <c r="L240" s="972">
        <f t="shared" si="6"/>
        <v>86130</v>
      </c>
      <c r="M240" s="970"/>
      <c r="N240" s="971">
        <v>3646</v>
      </c>
      <c r="O240" s="971">
        <v>0</v>
      </c>
      <c r="P240" s="970">
        <v>27</v>
      </c>
      <c r="Q240" s="972">
        <f t="shared" si="7"/>
        <v>3673</v>
      </c>
      <c r="R240" s="970"/>
      <c r="S240" s="971">
        <v>43401</v>
      </c>
      <c r="T240" s="973">
        <v>10026</v>
      </c>
      <c r="U240" s="973">
        <v>53427</v>
      </c>
    </row>
    <row r="241" spans="1:21" x14ac:dyDescent="0.25">
      <c r="A241" s="967">
        <v>92505</v>
      </c>
      <c r="B241" s="968" t="s">
        <v>2882</v>
      </c>
      <c r="C241" s="969">
        <v>1.9239999999999999E-4</v>
      </c>
      <c r="D241" s="969">
        <v>1.8709999999999999E-4</v>
      </c>
      <c r="E241" s="986">
        <v>119136</v>
      </c>
      <c r="F241" s="970">
        <v>293934</v>
      </c>
      <c r="G241" s="970"/>
      <c r="H241" s="971">
        <v>16933</v>
      </c>
      <c r="I241" s="972">
        <v>71367</v>
      </c>
      <c r="J241" s="971">
        <v>41978</v>
      </c>
      <c r="K241" s="970">
        <v>59108</v>
      </c>
      <c r="L241" s="972">
        <f t="shared" si="6"/>
        <v>189386</v>
      </c>
      <c r="M241" s="970"/>
      <c r="N241" s="971">
        <v>8320</v>
      </c>
      <c r="O241" s="971">
        <v>0</v>
      </c>
      <c r="P241" s="970">
        <v>0</v>
      </c>
      <c r="Q241" s="972">
        <f t="shared" si="7"/>
        <v>8320</v>
      </c>
      <c r="R241" s="970"/>
      <c r="S241" s="971">
        <v>99056</v>
      </c>
      <c r="T241" s="973">
        <v>23320</v>
      </c>
      <c r="U241" s="973">
        <v>122376</v>
      </c>
    </row>
    <row r="242" spans="1:21" x14ac:dyDescent="0.25">
      <c r="A242" s="967">
        <v>92506</v>
      </c>
      <c r="B242" s="968" t="s">
        <v>2883</v>
      </c>
      <c r="C242" s="969">
        <v>4.7500000000000003E-5</v>
      </c>
      <c r="D242" s="969">
        <v>4.3699999999999998E-5</v>
      </c>
      <c r="E242" s="986">
        <v>26570</v>
      </c>
      <c r="F242" s="970">
        <v>72567</v>
      </c>
      <c r="G242" s="970"/>
      <c r="H242" s="971">
        <v>4181</v>
      </c>
      <c r="I242" s="972">
        <v>17619</v>
      </c>
      <c r="J242" s="971">
        <v>10364</v>
      </c>
      <c r="K242" s="970">
        <v>17893</v>
      </c>
      <c r="L242" s="972">
        <f t="shared" si="6"/>
        <v>50057</v>
      </c>
      <c r="M242" s="970"/>
      <c r="N242" s="971">
        <v>2054</v>
      </c>
      <c r="O242" s="971">
        <v>0</v>
      </c>
      <c r="P242" s="970">
        <v>0</v>
      </c>
      <c r="Q242" s="972">
        <f t="shared" si="7"/>
        <v>2054</v>
      </c>
      <c r="R242" s="970"/>
      <c r="S242" s="971">
        <v>24455</v>
      </c>
      <c r="T242" s="973">
        <v>7399</v>
      </c>
      <c r="U242" s="973">
        <v>31854</v>
      </c>
    </row>
    <row r="243" spans="1:21" x14ac:dyDescent="0.25">
      <c r="A243" s="967">
        <v>92507</v>
      </c>
      <c r="B243" s="968" t="s">
        <v>2884</v>
      </c>
      <c r="C243" s="969">
        <v>9.5699999999999995E-5</v>
      </c>
      <c r="D243" s="969">
        <v>7.6799999999999997E-5</v>
      </c>
      <c r="E243" s="986">
        <v>40750</v>
      </c>
      <c r="F243" s="970">
        <v>146203</v>
      </c>
      <c r="G243" s="970"/>
      <c r="H243" s="971">
        <v>8423</v>
      </c>
      <c r="I243" s="972">
        <v>35498</v>
      </c>
      <c r="J243" s="971">
        <v>20880</v>
      </c>
      <c r="K243" s="970">
        <v>10349</v>
      </c>
      <c r="L243" s="972">
        <f t="shared" si="6"/>
        <v>75150</v>
      </c>
      <c r="M243" s="970"/>
      <c r="N243" s="971">
        <v>4139</v>
      </c>
      <c r="O243" s="971">
        <v>0</v>
      </c>
      <c r="P243" s="970">
        <v>14283</v>
      </c>
      <c r="Q243" s="972">
        <f t="shared" si="7"/>
        <v>18422</v>
      </c>
      <c r="R243" s="970"/>
      <c r="S243" s="971">
        <v>49271</v>
      </c>
      <c r="T243" s="973">
        <v>-5512</v>
      </c>
      <c r="U243" s="973">
        <f>43758+1</f>
        <v>43759</v>
      </c>
    </row>
    <row r="244" spans="1:21" x14ac:dyDescent="0.25">
      <c r="A244" s="967">
        <v>92508</v>
      </c>
      <c r="B244" s="968" t="s">
        <v>2885</v>
      </c>
      <c r="C244" s="969">
        <v>3.1E-4</v>
      </c>
      <c r="D244" s="969">
        <v>3.1930000000000001E-4</v>
      </c>
      <c r="E244" s="986">
        <v>152021</v>
      </c>
      <c r="F244" s="970">
        <v>473594</v>
      </c>
      <c r="G244" s="970"/>
      <c r="H244" s="971">
        <v>27283</v>
      </c>
      <c r="I244" s="972">
        <v>114989</v>
      </c>
      <c r="J244" s="971">
        <v>67636</v>
      </c>
      <c r="K244" s="970">
        <v>5884</v>
      </c>
      <c r="L244" s="972">
        <f t="shared" si="6"/>
        <v>215792</v>
      </c>
      <c r="M244" s="970"/>
      <c r="N244" s="971">
        <v>13406</v>
      </c>
      <c r="O244" s="971">
        <v>0</v>
      </c>
      <c r="P244" s="970">
        <v>1407</v>
      </c>
      <c r="Q244" s="972">
        <f t="shared" si="7"/>
        <v>14813</v>
      </c>
      <c r="R244" s="970"/>
      <c r="S244" s="971">
        <v>159602</v>
      </c>
      <c r="T244" s="973">
        <v>3411</v>
      </c>
      <c r="U244" s="973">
        <v>163013</v>
      </c>
    </row>
    <row r="245" spans="1:21" x14ac:dyDescent="0.25">
      <c r="A245" s="967">
        <v>92511</v>
      </c>
      <c r="B245" s="968" t="s">
        <v>2887</v>
      </c>
      <c r="C245" s="969">
        <v>3.3240000000000001E-3</v>
      </c>
      <c r="D245" s="969">
        <v>3.4164E-3</v>
      </c>
      <c r="E245" s="986">
        <v>1524503</v>
      </c>
      <c r="F245" s="970">
        <v>5078151</v>
      </c>
      <c r="G245" s="970"/>
      <c r="H245" s="971">
        <v>292549</v>
      </c>
      <c r="I245" s="972">
        <v>1232981</v>
      </c>
      <c r="J245" s="971">
        <v>725230</v>
      </c>
      <c r="K245" s="970">
        <v>12146</v>
      </c>
      <c r="L245" s="972">
        <f t="shared" si="6"/>
        <v>2262906</v>
      </c>
      <c r="M245" s="970"/>
      <c r="N245" s="971">
        <v>143746</v>
      </c>
      <c r="O245" s="971">
        <v>0</v>
      </c>
      <c r="P245" s="970">
        <v>237633</v>
      </c>
      <c r="Q245" s="972">
        <f t="shared" si="7"/>
        <v>381379</v>
      </c>
      <c r="R245" s="970"/>
      <c r="S245" s="971">
        <v>1711341</v>
      </c>
      <c r="T245" s="973">
        <v>-72839</v>
      </c>
      <c r="U245" s="973">
        <f>1638503-1</f>
        <v>1638502</v>
      </c>
    </row>
    <row r="246" spans="1:21" x14ac:dyDescent="0.25">
      <c r="A246" s="967">
        <v>92513</v>
      </c>
      <c r="B246" s="968" t="s">
        <v>2888</v>
      </c>
      <c r="C246" s="969">
        <v>4.0328999999999999E-3</v>
      </c>
      <c r="D246" s="969">
        <v>3.9753000000000002E-3</v>
      </c>
      <c r="E246" s="986">
        <v>1669954</v>
      </c>
      <c r="F246" s="970">
        <v>6161154</v>
      </c>
      <c r="G246" s="970"/>
      <c r="H246" s="971">
        <v>354940</v>
      </c>
      <c r="I246" s="972">
        <v>1495936</v>
      </c>
      <c r="J246" s="971">
        <v>879898</v>
      </c>
      <c r="K246" s="970">
        <f>1481541+87063+162533</f>
        <v>1731137</v>
      </c>
      <c r="L246" s="972">
        <f t="shared" si="6"/>
        <v>4461911</v>
      </c>
      <c r="M246" s="970"/>
      <c r="N246" s="971">
        <v>174403</v>
      </c>
      <c r="O246" s="971">
        <v>0</v>
      </c>
      <c r="P246" s="970">
        <f>106570+867533+690246</f>
        <v>1664349</v>
      </c>
      <c r="Q246" s="972">
        <f t="shared" si="7"/>
        <v>1838752</v>
      </c>
      <c r="R246" s="970"/>
      <c r="S246" s="971">
        <v>2076314</v>
      </c>
      <c r="T246" s="973">
        <f>491379-223763-102954</f>
        <v>164662</v>
      </c>
      <c r="U246" s="973">
        <f>2567693-223763-102954</f>
        <v>2240976</v>
      </c>
    </row>
    <row r="247" spans="1:21" x14ac:dyDescent="0.25">
      <c r="A247" s="967">
        <v>92521</v>
      </c>
      <c r="B247" s="968" t="s">
        <v>2889</v>
      </c>
      <c r="C247" s="969">
        <v>8.6899999999999998E-5</v>
      </c>
      <c r="D247" s="969">
        <v>8.9800000000000001E-5</v>
      </c>
      <c r="E247" s="986">
        <v>37384</v>
      </c>
      <c r="F247" s="970">
        <v>132759</v>
      </c>
      <c r="G247" s="970"/>
      <c r="H247" s="971">
        <v>7648</v>
      </c>
      <c r="I247" s="972">
        <v>32235</v>
      </c>
      <c r="J247" s="971">
        <v>18960</v>
      </c>
      <c r="K247" s="970">
        <v>3168</v>
      </c>
      <c r="L247" s="972">
        <f t="shared" si="6"/>
        <v>62011</v>
      </c>
      <c r="M247" s="970"/>
      <c r="N247" s="971">
        <v>3758</v>
      </c>
      <c r="O247" s="971">
        <v>0</v>
      </c>
      <c r="P247" s="970">
        <v>10611</v>
      </c>
      <c r="Q247" s="972">
        <f t="shared" si="7"/>
        <v>14369</v>
      </c>
      <c r="R247" s="970"/>
      <c r="S247" s="971">
        <v>44740</v>
      </c>
      <c r="T247" s="973">
        <v>-2554</v>
      </c>
      <c r="U247" s="973">
        <v>42186</v>
      </c>
    </row>
    <row r="248" spans="1:21" x14ac:dyDescent="0.25">
      <c r="A248" s="967">
        <v>92531</v>
      </c>
      <c r="B248" s="968" t="s">
        <v>2890</v>
      </c>
      <c r="C248" s="969">
        <v>8.6490000000000004E-4</v>
      </c>
      <c r="D248" s="969">
        <v>8.3779999999999998E-4</v>
      </c>
      <c r="E248" s="986">
        <v>358464</v>
      </c>
      <c r="F248" s="970">
        <v>1321328</v>
      </c>
      <c r="G248" s="970"/>
      <c r="H248" s="971">
        <v>76121</v>
      </c>
      <c r="I248" s="972">
        <v>320820</v>
      </c>
      <c r="J248" s="971">
        <v>188704</v>
      </c>
      <c r="K248" s="970">
        <v>0</v>
      </c>
      <c r="L248" s="972">
        <f t="shared" si="6"/>
        <v>585645</v>
      </c>
      <c r="M248" s="970"/>
      <c r="N248" s="971">
        <v>37403</v>
      </c>
      <c r="O248" s="971">
        <v>0</v>
      </c>
      <c r="P248" s="970">
        <v>124043</v>
      </c>
      <c r="Q248" s="972">
        <f t="shared" si="7"/>
        <v>161446</v>
      </c>
      <c r="R248" s="970"/>
      <c r="S248" s="971">
        <v>445289</v>
      </c>
      <c r="T248" s="973">
        <v>-61397</v>
      </c>
      <c r="U248" s="973">
        <v>383892</v>
      </c>
    </row>
    <row r="249" spans="1:21" x14ac:dyDescent="0.25">
      <c r="A249" s="967">
        <v>92541</v>
      </c>
      <c r="B249" s="968" t="s">
        <v>2891</v>
      </c>
      <c r="C249" s="969">
        <v>1.4469999999999999E-4</v>
      </c>
      <c r="D249" s="969">
        <v>1.4300000000000001E-4</v>
      </c>
      <c r="E249" s="986">
        <v>58964</v>
      </c>
      <c r="F249" s="970">
        <v>221062</v>
      </c>
      <c r="G249" s="970"/>
      <c r="H249" s="971">
        <v>12735</v>
      </c>
      <c r="I249" s="972">
        <v>53674</v>
      </c>
      <c r="J249" s="971">
        <v>31571</v>
      </c>
      <c r="K249" s="970">
        <v>7292</v>
      </c>
      <c r="L249" s="972">
        <f t="shared" si="6"/>
        <v>105272</v>
      </c>
      <c r="M249" s="970"/>
      <c r="N249" s="971">
        <v>6258</v>
      </c>
      <c r="O249" s="971">
        <v>0</v>
      </c>
      <c r="P249" s="970">
        <v>7300</v>
      </c>
      <c r="Q249" s="972">
        <f t="shared" si="7"/>
        <v>13558</v>
      </c>
      <c r="R249" s="970"/>
      <c r="S249" s="971">
        <v>74498</v>
      </c>
      <c r="T249" s="973">
        <v>2019</v>
      </c>
      <c r="U249" s="973">
        <v>76517</v>
      </c>
    </row>
    <row r="250" spans="1:21" x14ac:dyDescent="0.25">
      <c r="A250" s="967">
        <v>92551</v>
      </c>
      <c r="B250" s="968" t="s">
        <v>2892</v>
      </c>
      <c r="C250" s="969">
        <v>5.3300000000000001E-5</v>
      </c>
      <c r="D250" s="969">
        <v>4.18E-5</v>
      </c>
      <c r="E250" s="986">
        <v>19992</v>
      </c>
      <c r="F250" s="970">
        <v>81428</v>
      </c>
      <c r="G250" s="970"/>
      <c r="H250" s="971">
        <v>4691</v>
      </c>
      <c r="I250" s="972">
        <v>19771</v>
      </c>
      <c r="J250" s="971">
        <v>11629</v>
      </c>
      <c r="K250" s="970">
        <v>7529</v>
      </c>
      <c r="L250" s="972">
        <f t="shared" si="6"/>
        <v>43620</v>
      </c>
      <c r="M250" s="970"/>
      <c r="N250" s="971">
        <v>2305</v>
      </c>
      <c r="O250" s="971">
        <v>0</v>
      </c>
      <c r="P250" s="970">
        <v>8359</v>
      </c>
      <c r="Q250" s="972">
        <f t="shared" si="7"/>
        <v>10664</v>
      </c>
      <c r="R250" s="970"/>
      <c r="S250" s="971">
        <v>27441</v>
      </c>
      <c r="T250" s="973">
        <v>961</v>
      </c>
      <c r="U250" s="973">
        <v>28402</v>
      </c>
    </row>
    <row r="251" spans="1:21" x14ac:dyDescent="0.25">
      <c r="A251" s="967">
        <v>92561</v>
      </c>
      <c r="B251" s="968" t="s">
        <v>2893</v>
      </c>
      <c r="C251" s="969">
        <v>2.2200000000000001E-5</v>
      </c>
      <c r="D251" s="969">
        <v>2.2900000000000001E-5</v>
      </c>
      <c r="E251" s="986">
        <v>11716</v>
      </c>
      <c r="F251" s="970">
        <v>33915</v>
      </c>
      <c r="G251" s="970"/>
      <c r="H251" s="971">
        <v>1954</v>
      </c>
      <c r="I251" s="972">
        <v>8235</v>
      </c>
      <c r="J251" s="971">
        <v>4844</v>
      </c>
      <c r="K251" s="970">
        <v>5369</v>
      </c>
      <c r="L251" s="972">
        <f t="shared" si="6"/>
        <v>20402</v>
      </c>
      <c r="M251" s="970"/>
      <c r="N251" s="971">
        <v>960</v>
      </c>
      <c r="O251" s="971">
        <v>0</v>
      </c>
      <c r="P251" s="970">
        <v>0</v>
      </c>
      <c r="Q251" s="972">
        <f t="shared" si="7"/>
        <v>960</v>
      </c>
      <c r="R251" s="970"/>
      <c r="S251" s="971">
        <v>11430</v>
      </c>
      <c r="T251" s="973">
        <v>2639</v>
      </c>
      <c r="U251" s="973">
        <f>14068+1</f>
        <v>14069</v>
      </c>
    </row>
    <row r="252" spans="1:21" x14ac:dyDescent="0.25">
      <c r="A252" s="967">
        <v>92571</v>
      </c>
      <c r="B252" s="968" t="s">
        <v>2894</v>
      </c>
      <c r="C252" s="969">
        <v>1.01E-5</v>
      </c>
      <c r="D252" s="969">
        <v>3.1E-6</v>
      </c>
      <c r="E252" s="986">
        <v>6486</v>
      </c>
      <c r="F252" s="970">
        <v>15430</v>
      </c>
      <c r="G252" s="970"/>
      <c r="H252" s="971">
        <v>889</v>
      </c>
      <c r="I252" s="972">
        <v>3746</v>
      </c>
      <c r="J252" s="971">
        <v>2204</v>
      </c>
      <c r="K252" s="970">
        <v>9367</v>
      </c>
      <c r="L252" s="972">
        <f t="shared" si="6"/>
        <v>16206</v>
      </c>
      <c r="M252" s="970"/>
      <c r="N252" s="971">
        <v>437</v>
      </c>
      <c r="O252" s="971">
        <v>0</v>
      </c>
      <c r="P252" s="970">
        <v>100</v>
      </c>
      <c r="Q252" s="972">
        <f t="shared" si="7"/>
        <v>537</v>
      </c>
      <c r="R252" s="970"/>
      <c r="S252" s="971">
        <v>5200</v>
      </c>
      <c r="T252" s="973">
        <v>2687</v>
      </c>
      <c r="U252" s="973">
        <v>7887</v>
      </c>
    </row>
    <row r="253" spans="1:21" x14ac:dyDescent="0.25">
      <c r="A253" s="967">
        <v>92601</v>
      </c>
      <c r="B253" s="968" t="s">
        <v>2895</v>
      </c>
      <c r="C253" s="969">
        <v>1.51874E-2</v>
      </c>
      <c r="D253" s="969">
        <v>1.54185E-2</v>
      </c>
      <c r="E253" s="986">
        <v>7108398</v>
      </c>
      <c r="F253" s="970">
        <v>23202140</v>
      </c>
      <c r="G253" s="970"/>
      <c r="H253" s="971">
        <v>1336658</v>
      </c>
      <c r="I253" s="972">
        <v>5633508</v>
      </c>
      <c r="J253" s="971">
        <v>3313587</v>
      </c>
      <c r="K253" s="970">
        <v>134811</v>
      </c>
      <c r="L253" s="972">
        <f t="shared" si="6"/>
        <v>10418564</v>
      </c>
      <c r="M253" s="970"/>
      <c r="N253" s="971">
        <v>656779</v>
      </c>
      <c r="O253" s="971">
        <v>0</v>
      </c>
      <c r="P253" s="970">
        <v>46060</v>
      </c>
      <c r="Q253" s="972">
        <f t="shared" si="7"/>
        <v>702839</v>
      </c>
      <c r="R253" s="970"/>
      <c r="S253" s="971">
        <v>7819142</v>
      </c>
      <c r="T253" s="973">
        <v>112074</v>
      </c>
      <c r="U253" s="973">
        <f>7931215+1</f>
        <v>7931216</v>
      </c>
    </row>
    <row r="254" spans="1:21" x14ac:dyDescent="0.25">
      <c r="A254" s="967">
        <v>92602</v>
      </c>
      <c r="B254" s="968" t="s">
        <v>2896</v>
      </c>
      <c r="C254" s="969">
        <v>8.3000000000000002E-6</v>
      </c>
      <c r="D254" s="969">
        <v>8.1999999999999994E-6</v>
      </c>
      <c r="E254" s="986">
        <v>3605</v>
      </c>
      <c r="F254" s="970">
        <v>12680</v>
      </c>
      <c r="G254" s="970"/>
      <c r="H254" s="971">
        <v>730</v>
      </c>
      <c r="I254" s="972">
        <v>3079</v>
      </c>
      <c r="J254" s="971">
        <v>1811</v>
      </c>
      <c r="K254" s="970">
        <v>352</v>
      </c>
      <c r="L254" s="972">
        <f t="shared" si="6"/>
        <v>5972</v>
      </c>
      <c r="M254" s="970"/>
      <c r="N254" s="971">
        <v>359</v>
      </c>
      <c r="O254" s="971">
        <v>0</v>
      </c>
      <c r="P254" s="970">
        <v>927</v>
      </c>
      <c r="Q254" s="972">
        <f t="shared" si="7"/>
        <v>1286</v>
      </c>
      <c r="R254" s="970"/>
      <c r="S254" s="971">
        <v>4273</v>
      </c>
      <c r="T254" s="973">
        <v>-99</v>
      </c>
      <c r="U254" s="973">
        <v>4174</v>
      </c>
    </row>
    <row r="255" spans="1:21" x14ac:dyDescent="0.25">
      <c r="A255" s="967">
        <v>92604</v>
      </c>
      <c r="B255" s="968" t="s">
        <v>2897</v>
      </c>
      <c r="C255" s="969">
        <v>3.4099999999999999E-4</v>
      </c>
      <c r="D255" s="969">
        <v>3.4380000000000001E-4</v>
      </c>
      <c r="E255" s="986">
        <v>178691</v>
      </c>
      <c r="F255" s="970">
        <v>520954</v>
      </c>
      <c r="G255" s="970"/>
      <c r="H255" s="971">
        <v>30012</v>
      </c>
      <c r="I255" s="972">
        <v>126488</v>
      </c>
      <c r="J255" s="971">
        <v>74399</v>
      </c>
      <c r="K255" s="970">
        <v>52760</v>
      </c>
      <c r="L255" s="972">
        <f t="shared" si="6"/>
        <v>283659</v>
      </c>
      <c r="M255" s="970"/>
      <c r="N255" s="971">
        <v>14747</v>
      </c>
      <c r="O255" s="971">
        <v>0</v>
      </c>
      <c r="P255" s="970">
        <v>0</v>
      </c>
      <c r="Q255" s="972">
        <f t="shared" si="7"/>
        <v>14747</v>
      </c>
      <c r="R255" s="970"/>
      <c r="S255" s="971">
        <v>175562</v>
      </c>
      <c r="T255" s="973">
        <v>23975</v>
      </c>
      <c r="U255" s="973">
        <v>199537</v>
      </c>
    </row>
    <row r="256" spans="1:21" x14ac:dyDescent="0.25">
      <c r="A256" s="967">
        <v>92607</v>
      </c>
      <c r="B256" s="968" t="s">
        <v>2898</v>
      </c>
      <c r="C256" s="969">
        <v>6.6400000000000001E-5</v>
      </c>
      <c r="D256" s="969">
        <v>7.0400000000000004E-5</v>
      </c>
      <c r="E256" s="986">
        <v>38427</v>
      </c>
      <c r="F256" s="970">
        <v>101441</v>
      </c>
      <c r="G256" s="970"/>
      <c r="H256" s="971">
        <v>5844</v>
      </c>
      <c r="I256" s="972">
        <v>24630</v>
      </c>
      <c r="J256" s="971">
        <v>14487</v>
      </c>
      <c r="K256" s="970">
        <v>9416</v>
      </c>
      <c r="L256" s="972">
        <f t="shared" si="6"/>
        <v>54377</v>
      </c>
      <c r="M256" s="970"/>
      <c r="N256" s="971">
        <v>2871</v>
      </c>
      <c r="O256" s="971">
        <v>0</v>
      </c>
      <c r="P256" s="970">
        <v>0</v>
      </c>
      <c r="Q256" s="972">
        <f t="shared" si="7"/>
        <v>2871</v>
      </c>
      <c r="R256" s="970"/>
      <c r="S256" s="971">
        <v>34186</v>
      </c>
      <c r="T256" s="973">
        <v>4781</v>
      </c>
      <c r="U256" s="973">
        <f>38966+1</f>
        <v>38967</v>
      </c>
    </row>
    <row r="257" spans="1:21" x14ac:dyDescent="0.25">
      <c r="A257" s="967">
        <v>92608</v>
      </c>
      <c r="B257" s="968" t="s">
        <v>2899</v>
      </c>
      <c r="C257" s="969">
        <v>0</v>
      </c>
      <c r="D257" s="969">
        <v>0</v>
      </c>
      <c r="E257" s="986" t="e">
        <v>#N/A</v>
      </c>
      <c r="F257" s="970">
        <v>0</v>
      </c>
      <c r="G257" s="970"/>
      <c r="H257" s="971">
        <v>0</v>
      </c>
      <c r="I257" s="972">
        <v>0</v>
      </c>
      <c r="J257" s="971">
        <v>0</v>
      </c>
      <c r="K257" s="970">
        <v>0</v>
      </c>
      <c r="L257" s="972">
        <f t="shared" si="6"/>
        <v>0</v>
      </c>
      <c r="M257" s="970"/>
      <c r="N257" s="971">
        <v>0</v>
      </c>
      <c r="O257" s="971">
        <v>0</v>
      </c>
      <c r="P257" s="970">
        <v>69935</v>
      </c>
      <c r="Q257" s="972">
        <f t="shared" si="7"/>
        <v>69935</v>
      </c>
      <c r="R257" s="970"/>
      <c r="S257" s="971">
        <v>0</v>
      </c>
      <c r="T257" s="973">
        <v>-69872</v>
      </c>
      <c r="U257" s="973">
        <v>-69872</v>
      </c>
    </row>
    <row r="258" spans="1:21" x14ac:dyDescent="0.25">
      <c r="A258" s="967">
        <v>92611</v>
      </c>
      <c r="B258" s="968" t="s">
        <v>2900</v>
      </c>
      <c r="C258" s="969">
        <v>1.3080899999999999E-2</v>
      </c>
      <c r="D258" s="969">
        <v>1.3650799999999999E-2</v>
      </c>
      <c r="E258" s="986">
        <v>5890415</v>
      </c>
      <c r="F258" s="970">
        <v>19983992</v>
      </c>
      <c r="G258" s="970"/>
      <c r="H258" s="971">
        <v>1151263</v>
      </c>
      <c r="I258" s="972">
        <v>4852137</v>
      </c>
      <c r="J258" s="971">
        <v>2853991</v>
      </c>
      <c r="K258" s="970">
        <v>10109</v>
      </c>
      <c r="L258" s="972">
        <f t="shared" si="6"/>
        <v>8867500</v>
      </c>
      <c r="M258" s="970"/>
      <c r="N258" s="971">
        <v>565684</v>
      </c>
      <c r="O258" s="971">
        <v>0</v>
      </c>
      <c r="P258" s="970">
        <v>976593</v>
      </c>
      <c r="Q258" s="972">
        <f t="shared" si="7"/>
        <v>1542277</v>
      </c>
      <c r="R258" s="970"/>
      <c r="S258" s="971">
        <v>6734623</v>
      </c>
      <c r="T258" s="973">
        <v>-313138</v>
      </c>
      <c r="U258" s="973">
        <v>6421485</v>
      </c>
    </row>
    <row r="259" spans="1:21" x14ac:dyDescent="0.25">
      <c r="A259" s="967">
        <v>92613</v>
      </c>
      <c r="B259" s="968" t="s">
        <v>2901</v>
      </c>
      <c r="C259" s="969">
        <v>2.6439999999999998E-4</v>
      </c>
      <c r="D259" s="969">
        <v>2.81E-4</v>
      </c>
      <c r="E259" s="986">
        <v>143121</v>
      </c>
      <c r="F259" s="970">
        <v>403930</v>
      </c>
      <c r="G259" s="970"/>
      <c r="H259" s="971">
        <v>23270</v>
      </c>
      <c r="I259" s="972">
        <v>98075</v>
      </c>
      <c r="J259" s="971">
        <v>57687</v>
      </c>
      <c r="K259" s="970">
        <v>84489</v>
      </c>
      <c r="L259" s="972">
        <f t="shared" si="6"/>
        <v>263521</v>
      </c>
      <c r="M259" s="970"/>
      <c r="N259" s="971">
        <v>11434</v>
      </c>
      <c r="O259" s="971">
        <v>0</v>
      </c>
      <c r="P259" s="970">
        <v>941</v>
      </c>
      <c r="Q259" s="972">
        <f t="shared" si="7"/>
        <v>12375</v>
      </c>
      <c r="R259" s="970"/>
      <c r="S259" s="971">
        <v>136125</v>
      </c>
      <c r="T259" s="973">
        <v>41506</v>
      </c>
      <c r="U259" s="973">
        <v>177631</v>
      </c>
    </row>
    <row r="260" spans="1:21" x14ac:dyDescent="0.25">
      <c r="A260" s="967">
        <v>92614</v>
      </c>
      <c r="B260" s="968" t="s">
        <v>2902</v>
      </c>
      <c r="C260" s="969">
        <v>5.7273000000000003E-3</v>
      </c>
      <c r="D260" s="969">
        <v>5.6468000000000004E-3</v>
      </c>
      <c r="E260" s="986">
        <v>4788008</v>
      </c>
      <c r="F260" s="970">
        <v>8749728</v>
      </c>
      <c r="G260" s="970"/>
      <c r="H260" s="971">
        <v>504065</v>
      </c>
      <c r="I260" s="972">
        <v>2124444</v>
      </c>
      <c r="J260" s="971">
        <v>1249582</v>
      </c>
      <c r="K260" s="970">
        <v>3908054</v>
      </c>
      <c r="L260" s="972">
        <f t="shared" si="6"/>
        <v>7786145</v>
      </c>
      <c r="M260" s="970"/>
      <c r="N260" s="971">
        <v>247677</v>
      </c>
      <c r="O260" s="971">
        <v>0</v>
      </c>
      <c r="P260" s="970">
        <v>0</v>
      </c>
      <c r="Q260" s="972">
        <f t="shared" si="7"/>
        <v>247677</v>
      </c>
      <c r="R260" s="970"/>
      <c r="S260" s="971">
        <v>2948666</v>
      </c>
      <c r="T260" s="973">
        <v>1416067</v>
      </c>
      <c r="U260" s="973">
        <v>4364733</v>
      </c>
    </row>
    <row r="261" spans="1:21" x14ac:dyDescent="0.25">
      <c r="A261" s="967">
        <v>92621</v>
      </c>
      <c r="B261" s="968" t="s">
        <v>2903</v>
      </c>
      <c r="C261" s="969">
        <v>2.72E-5</v>
      </c>
      <c r="D261" s="969">
        <v>3.2799999999999998E-5</v>
      </c>
      <c r="E261" s="986">
        <v>11243</v>
      </c>
      <c r="F261" s="970">
        <v>41554</v>
      </c>
      <c r="G261" s="970"/>
      <c r="H261" s="971">
        <v>2394</v>
      </c>
      <c r="I261" s="972">
        <v>10089</v>
      </c>
      <c r="J261" s="971">
        <v>5934</v>
      </c>
      <c r="K261" s="970">
        <v>872</v>
      </c>
      <c r="L261" s="972">
        <f t="shared" si="6"/>
        <v>19289</v>
      </c>
      <c r="M261" s="970"/>
      <c r="N261" s="971">
        <v>1176</v>
      </c>
      <c r="O261" s="971">
        <v>0</v>
      </c>
      <c r="P261" s="970">
        <v>6521</v>
      </c>
      <c r="Q261" s="972">
        <f t="shared" si="7"/>
        <v>7697</v>
      </c>
      <c r="R261" s="970"/>
      <c r="S261" s="971">
        <v>14004</v>
      </c>
      <c r="T261" s="973">
        <v>-1988</v>
      </c>
      <c r="U261" s="973">
        <v>12016</v>
      </c>
    </row>
    <row r="262" spans="1:21" x14ac:dyDescent="0.25">
      <c r="A262" s="967">
        <v>92631</v>
      </c>
      <c r="B262" s="968" t="s">
        <v>2904</v>
      </c>
      <c r="C262" s="969">
        <v>9.2710000000000004E-4</v>
      </c>
      <c r="D262" s="969">
        <v>1.0068E-3</v>
      </c>
      <c r="E262" s="986">
        <v>397128</v>
      </c>
      <c r="F262" s="970">
        <v>1416352</v>
      </c>
      <c r="G262" s="970"/>
      <c r="H262" s="971">
        <v>81595</v>
      </c>
      <c r="I262" s="972">
        <v>343892</v>
      </c>
      <c r="J262" s="971">
        <v>202275</v>
      </c>
      <c r="K262" s="970">
        <v>0</v>
      </c>
      <c r="L262" s="972">
        <f t="shared" si="6"/>
        <v>627762</v>
      </c>
      <c r="M262" s="970"/>
      <c r="N262" s="971">
        <v>40092</v>
      </c>
      <c r="O262" s="971">
        <v>0</v>
      </c>
      <c r="P262" s="970">
        <v>146834</v>
      </c>
      <c r="Q262" s="972">
        <f t="shared" si="7"/>
        <v>186926</v>
      </c>
      <c r="R262" s="970"/>
      <c r="S262" s="971">
        <v>477312</v>
      </c>
      <c r="T262" s="973">
        <v>-49734</v>
      </c>
      <c r="U262" s="973">
        <v>427578</v>
      </c>
    </row>
    <row r="263" spans="1:21" x14ac:dyDescent="0.25">
      <c r="A263" s="967">
        <v>92641</v>
      </c>
      <c r="B263" s="968" t="s">
        <v>2905</v>
      </c>
      <c r="C263" s="969">
        <v>1.0200000000000001E-5</v>
      </c>
      <c r="D263" s="969">
        <v>1.03E-5</v>
      </c>
      <c r="E263" s="986">
        <v>5720</v>
      </c>
      <c r="F263" s="970">
        <v>15583</v>
      </c>
      <c r="G263" s="970"/>
      <c r="H263" s="971">
        <v>898</v>
      </c>
      <c r="I263" s="972">
        <v>3784</v>
      </c>
      <c r="J263" s="971">
        <v>2225</v>
      </c>
      <c r="K263" s="970">
        <v>2556</v>
      </c>
      <c r="L263" s="972">
        <f t="shared" ref="L263:L326" si="8">H263+I263+J263+K263</f>
        <v>9463</v>
      </c>
      <c r="M263" s="970"/>
      <c r="N263" s="971">
        <v>441</v>
      </c>
      <c r="O263" s="971">
        <v>0</v>
      </c>
      <c r="P263" s="970">
        <v>945</v>
      </c>
      <c r="Q263" s="972">
        <f t="shared" ref="Q263:Q326" si="9">N263+O263+P263</f>
        <v>1386</v>
      </c>
      <c r="R263" s="970"/>
      <c r="S263" s="971">
        <v>5251</v>
      </c>
      <c r="T263" s="973">
        <v>173</v>
      </c>
      <c r="U263" s="973">
        <v>5424</v>
      </c>
    </row>
    <row r="264" spans="1:21" x14ac:dyDescent="0.25">
      <c r="A264" s="967">
        <v>92651</v>
      </c>
      <c r="B264" s="968" t="s">
        <v>2906</v>
      </c>
      <c r="C264" s="969">
        <v>2.6000000000000001E-6</v>
      </c>
      <c r="D264" s="969">
        <v>2.6000000000000001E-6</v>
      </c>
      <c r="E264" s="986">
        <v>3151</v>
      </c>
      <c r="F264" s="970">
        <v>3972</v>
      </c>
      <c r="G264" s="970"/>
      <c r="H264" s="971">
        <v>229</v>
      </c>
      <c r="I264" s="972">
        <v>964</v>
      </c>
      <c r="J264" s="971">
        <v>567</v>
      </c>
      <c r="K264" s="970">
        <v>3432</v>
      </c>
      <c r="L264" s="972">
        <f t="shared" si="8"/>
        <v>5192</v>
      </c>
      <c r="M264" s="970"/>
      <c r="N264" s="971">
        <v>112</v>
      </c>
      <c r="O264" s="971">
        <v>0</v>
      </c>
      <c r="P264" s="970">
        <v>0</v>
      </c>
      <c r="Q264" s="972">
        <f t="shared" si="9"/>
        <v>112</v>
      </c>
      <c r="R264" s="970"/>
      <c r="S264" s="971">
        <v>1339</v>
      </c>
      <c r="T264" s="973">
        <v>1345</v>
      </c>
      <c r="U264" s="973">
        <f>2683+1</f>
        <v>2684</v>
      </c>
    </row>
    <row r="265" spans="1:21" x14ac:dyDescent="0.25">
      <c r="A265" s="967">
        <v>92661</v>
      </c>
      <c r="B265" s="968" t="s">
        <v>2907</v>
      </c>
      <c r="C265" s="969">
        <v>6.9999999999999999E-4</v>
      </c>
      <c r="D265" s="969">
        <v>6.6299999999999996E-4</v>
      </c>
      <c r="E265" s="986">
        <v>591164</v>
      </c>
      <c r="F265" s="970">
        <v>1069406</v>
      </c>
      <c r="G265" s="970"/>
      <c r="H265" s="971">
        <v>61608</v>
      </c>
      <c r="I265" s="972">
        <v>259653</v>
      </c>
      <c r="J265" s="971">
        <v>152726</v>
      </c>
      <c r="K265" s="970">
        <v>446841</v>
      </c>
      <c r="L265" s="972">
        <f t="shared" si="8"/>
        <v>920828</v>
      </c>
      <c r="M265" s="970"/>
      <c r="N265" s="971">
        <v>30272</v>
      </c>
      <c r="O265" s="971">
        <v>0</v>
      </c>
      <c r="P265" s="970">
        <v>16877</v>
      </c>
      <c r="Q265" s="972">
        <f t="shared" si="9"/>
        <v>47149</v>
      </c>
      <c r="R265" s="970"/>
      <c r="S265" s="971">
        <v>360391</v>
      </c>
      <c r="T265" s="973">
        <v>130287</v>
      </c>
      <c r="U265" s="973">
        <v>490678</v>
      </c>
    </row>
    <row r="266" spans="1:21" x14ac:dyDescent="0.25">
      <c r="A266" s="967">
        <v>92671</v>
      </c>
      <c r="B266" s="968" t="s">
        <v>2908</v>
      </c>
      <c r="C266" s="969">
        <v>2.6000000000000001E-6</v>
      </c>
      <c r="D266" s="969">
        <v>2.9000000000000002E-6</v>
      </c>
      <c r="E266" s="986">
        <v>5279</v>
      </c>
      <c r="F266" s="970">
        <v>3972</v>
      </c>
      <c r="G266" s="970"/>
      <c r="H266" s="971">
        <v>229</v>
      </c>
      <c r="I266" s="972">
        <v>964</v>
      </c>
      <c r="J266" s="971">
        <v>567</v>
      </c>
      <c r="K266" s="970">
        <v>6237</v>
      </c>
      <c r="L266" s="972">
        <f t="shared" si="8"/>
        <v>7997</v>
      </c>
      <c r="M266" s="970"/>
      <c r="N266" s="971">
        <v>112</v>
      </c>
      <c r="O266" s="971">
        <v>0</v>
      </c>
      <c r="P266" s="970">
        <v>0</v>
      </c>
      <c r="Q266" s="972">
        <f t="shared" si="9"/>
        <v>112</v>
      </c>
      <c r="R266" s="970"/>
      <c r="S266" s="971">
        <v>1339</v>
      </c>
      <c r="T266" s="973">
        <v>2205</v>
      </c>
      <c r="U266" s="973">
        <f>3543+1</f>
        <v>3544</v>
      </c>
    </row>
    <row r="267" spans="1:21" x14ac:dyDescent="0.25">
      <c r="A267" s="967">
        <v>92681</v>
      </c>
      <c r="B267" s="968" t="s">
        <v>2909</v>
      </c>
      <c r="C267" s="969">
        <v>1.17E-5</v>
      </c>
      <c r="D267" s="969">
        <v>1.01E-5</v>
      </c>
      <c r="E267" s="986">
        <v>11572</v>
      </c>
      <c r="F267" s="970">
        <v>17874</v>
      </c>
      <c r="G267" s="970"/>
      <c r="H267" s="971">
        <v>1030</v>
      </c>
      <c r="I267" s="972">
        <v>4340</v>
      </c>
      <c r="J267" s="971">
        <v>2553</v>
      </c>
      <c r="K267" s="970">
        <v>13621</v>
      </c>
      <c r="L267" s="972">
        <f t="shared" si="8"/>
        <v>21544</v>
      </c>
      <c r="M267" s="970"/>
      <c r="N267" s="971">
        <v>506</v>
      </c>
      <c r="O267" s="971">
        <v>0</v>
      </c>
      <c r="P267" s="970">
        <v>0</v>
      </c>
      <c r="Q267" s="972">
        <f t="shared" si="9"/>
        <v>506</v>
      </c>
      <c r="R267" s="970"/>
      <c r="S267" s="971">
        <v>6024</v>
      </c>
      <c r="T267" s="973">
        <v>4960</v>
      </c>
      <c r="U267" s="973">
        <v>10984</v>
      </c>
    </row>
    <row r="268" spans="1:21" x14ac:dyDescent="0.25">
      <c r="A268" s="967">
        <v>92701</v>
      </c>
      <c r="B268" s="968" t="s">
        <v>2910</v>
      </c>
      <c r="C268" s="969">
        <v>3.0777000000000001E-3</v>
      </c>
      <c r="D268" s="969">
        <v>2.9588000000000001E-3</v>
      </c>
      <c r="E268" s="986">
        <v>1358591</v>
      </c>
      <c r="F268" s="970">
        <v>4701873</v>
      </c>
      <c r="G268" s="970"/>
      <c r="H268" s="971">
        <v>270871</v>
      </c>
      <c r="I268" s="972">
        <v>1141620</v>
      </c>
      <c r="J268" s="971">
        <v>671493</v>
      </c>
      <c r="K268" s="970">
        <v>48990</v>
      </c>
      <c r="L268" s="972">
        <f t="shared" si="8"/>
        <v>2132974</v>
      </c>
      <c r="M268" s="970"/>
      <c r="N268" s="971">
        <v>133095</v>
      </c>
      <c r="O268" s="971">
        <v>0</v>
      </c>
      <c r="P268" s="970">
        <v>42924</v>
      </c>
      <c r="Q268" s="972">
        <f t="shared" si="9"/>
        <v>176019</v>
      </c>
      <c r="R268" s="970"/>
      <c r="S268" s="971">
        <v>1584535</v>
      </c>
      <c r="T268" s="973">
        <v>-25139</v>
      </c>
      <c r="U268" s="973">
        <f>1559397-1</f>
        <v>1559396</v>
      </c>
    </row>
    <row r="269" spans="1:21" x14ac:dyDescent="0.25">
      <c r="A269" s="967">
        <v>92704</v>
      </c>
      <c r="B269" s="968" t="s">
        <v>2911</v>
      </c>
      <c r="C269" s="969">
        <v>4.1600000000000002E-5</v>
      </c>
      <c r="D269" s="969">
        <v>4.7700000000000001E-5</v>
      </c>
      <c r="E269" s="986">
        <v>18894</v>
      </c>
      <c r="F269" s="970">
        <v>63553</v>
      </c>
      <c r="G269" s="970"/>
      <c r="H269" s="971">
        <v>3661</v>
      </c>
      <c r="I269" s="972">
        <v>15431</v>
      </c>
      <c r="J269" s="971">
        <v>9076</v>
      </c>
      <c r="K269" s="970">
        <v>1560</v>
      </c>
      <c r="L269" s="972">
        <f t="shared" si="8"/>
        <v>29728</v>
      </c>
      <c r="M269" s="970"/>
      <c r="N269" s="971">
        <v>1799</v>
      </c>
      <c r="O269" s="971">
        <v>0</v>
      </c>
      <c r="P269" s="970">
        <v>5674</v>
      </c>
      <c r="Q269" s="972">
        <f t="shared" si="9"/>
        <v>7473</v>
      </c>
      <c r="R269" s="970"/>
      <c r="S269" s="971">
        <v>21418</v>
      </c>
      <c r="T269" s="973">
        <v>-706</v>
      </c>
      <c r="U269" s="973">
        <f>20711+1</f>
        <v>20712</v>
      </c>
    </row>
    <row r="270" spans="1:21" x14ac:dyDescent="0.25">
      <c r="A270" s="967">
        <v>92801</v>
      </c>
      <c r="B270" s="968" t="s">
        <v>2912</v>
      </c>
      <c r="C270" s="969">
        <v>5.0951E-3</v>
      </c>
      <c r="D270" s="969">
        <v>5.1701000000000004E-3</v>
      </c>
      <c r="E270" s="986">
        <v>2417020</v>
      </c>
      <c r="F270" s="970">
        <v>7783901</v>
      </c>
      <c r="G270" s="970"/>
      <c r="H270" s="971">
        <v>448425</v>
      </c>
      <c r="I270" s="972">
        <v>1889940</v>
      </c>
      <c r="J270" s="971">
        <v>1111649</v>
      </c>
      <c r="K270" s="970">
        <v>152907</v>
      </c>
      <c r="L270" s="972">
        <f t="shared" si="8"/>
        <v>3602921</v>
      </c>
      <c r="M270" s="970"/>
      <c r="N270" s="971">
        <v>220338</v>
      </c>
      <c r="O270" s="971">
        <v>0</v>
      </c>
      <c r="P270" s="970">
        <v>0</v>
      </c>
      <c r="Q270" s="972">
        <f t="shared" si="9"/>
        <v>220338</v>
      </c>
      <c r="R270" s="970"/>
      <c r="S270" s="971">
        <v>2623182</v>
      </c>
      <c r="T270" s="973">
        <v>81450</v>
      </c>
      <c r="U270" s="973">
        <f>2704631+1</f>
        <v>2704632</v>
      </c>
    </row>
    <row r="271" spans="1:21" x14ac:dyDescent="0.25">
      <c r="A271" s="967">
        <v>92802</v>
      </c>
      <c r="B271" s="968" t="s">
        <v>2913</v>
      </c>
      <c r="C271" s="969">
        <v>1.2970000000000001E-4</v>
      </c>
      <c r="D271" s="969">
        <v>1.3410000000000001E-4</v>
      </c>
      <c r="E271" s="986">
        <v>55828</v>
      </c>
      <c r="F271" s="970">
        <v>198146</v>
      </c>
      <c r="G271" s="970"/>
      <c r="H271" s="971">
        <v>11415</v>
      </c>
      <c r="I271" s="972">
        <v>48110</v>
      </c>
      <c r="J271" s="971">
        <v>28298</v>
      </c>
      <c r="K271" s="970">
        <v>0</v>
      </c>
      <c r="L271" s="972">
        <f t="shared" si="8"/>
        <v>87823</v>
      </c>
      <c r="M271" s="970"/>
      <c r="N271" s="971">
        <v>5609</v>
      </c>
      <c r="O271" s="971">
        <v>0</v>
      </c>
      <c r="P271" s="970">
        <v>17517</v>
      </c>
      <c r="Q271" s="972">
        <f t="shared" si="9"/>
        <v>23126</v>
      </c>
      <c r="R271" s="970"/>
      <c r="S271" s="971">
        <v>66775</v>
      </c>
      <c r="T271" s="973">
        <v>-6938</v>
      </c>
      <c r="U271" s="973">
        <v>59837</v>
      </c>
    </row>
    <row r="272" spans="1:21" x14ac:dyDescent="0.25">
      <c r="A272" s="967">
        <v>92804</v>
      </c>
      <c r="B272" s="968" t="s">
        <v>2914</v>
      </c>
      <c r="C272" s="969">
        <v>1.36E-4</v>
      </c>
      <c r="D272" s="969">
        <v>1.47E-4</v>
      </c>
      <c r="E272" s="986">
        <v>57777</v>
      </c>
      <c r="F272" s="970">
        <v>207770</v>
      </c>
      <c r="G272" s="970"/>
      <c r="H272" s="971">
        <v>11969</v>
      </c>
      <c r="I272" s="972">
        <v>50447</v>
      </c>
      <c r="J272" s="971">
        <v>29672</v>
      </c>
      <c r="K272" s="970">
        <v>8730</v>
      </c>
      <c r="L272" s="972">
        <f t="shared" si="8"/>
        <v>100818</v>
      </c>
      <c r="M272" s="970"/>
      <c r="N272" s="971">
        <v>5881</v>
      </c>
      <c r="O272" s="971">
        <v>0</v>
      </c>
      <c r="P272" s="970">
        <v>12427</v>
      </c>
      <c r="Q272" s="972">
        <f t="shared" si="9"/>
        <v>18308</v>
      </c>
      <c r="R272" s="970"/>
      <c r="S272" s="971">
        <v>70019</v>
      </c>
      <c r="T272" s="973">
        <v>-172</v>
      </c>
      <c r="U272" s="973">
        <v>69847</v>
      </c>
    </row>
    <row r="273" spans="1:21" x14ac:dyDescent="0.25">
      <c r="A273" s="967">
        <v>92811</v>
      </c>
      <c r="B273" s="968" t="s">
        <v>2915</v>
      </c>
      <c r="C273" s="969">
        <v>1.0036000000000001E-3</v>
      </c>
      <c r="D273" s="969">
        <v>9.8569999999999994E-4</v>
      </c>
      <c r="E273" s="986">
        <v>442635</v>
      </c>
      <c r="F273" s="970">
        <v>1533223</v>
      </c>
      <c r="G273" s="970"/>
      <c r="H273" s="971">
        <v>88328</v>
      </c>
      <c r="I273" s="972">
        <v>372269</v>
      </c>
      <c r="J273" s="971">
        <v>218965</v>
      </c>
      <c r="K273" s="970">
        <v>0</v>
      </c>
      <c r="L273" s="972">
        <f t="shared" si="8"/>
        <v>679562</v>
      </c>
      <c r="M273" s="970"/>
      <c r="N273" s="971">
        <v>43401</v>
      </c>
      <c r="O273" s="971">
        <v>0</v>
      </c>
      <c r="P273" s="970">
        <v>85272</v>
      </c>
      <c r="Q273" s="972">
        <f t="shared" si="9"/>
        <v>128673</v>
      </c>
      <c r="R273" s="970"/>
      <c r="S273" s="971">
        <v>516697</v>
      </c>
      <c r="T273" s="973">
        <v>-36667</v>
      </c>
      <c r="U273" s="973">
        <v>480030</v>
      </c>
    </row>
    <row r="274" spans="1:21" x14ac:dyDescent="0.25">
      <c r="A274" s="967">
        <v>92821</v>
      </c>
      <c r="B274" s="968" t="s">
        <v>2916</v>
      </c>
      <c r="C274" s="969">
        <v>9.9400000000000009E-4</v>
      </c>
      <c r="D274" s="969">
        <v>1.0139999999999999E-3</v>
      </c>
      <c r="E274" s="986">
        <v>481049</v>
      </c>
      <c r="F274" s="970">
        <v>1518557</v>
      </c>
      <c r="G274" s="970"/>
      <c r="H274" s="971">
        <v>87483</v>
      </c>
      <c r="I274" s="972">
        <v>368707</v>
      </c>
      <c r="J274" s="971">
        <v>216871</v>
      </c>
      <c r="K274" s="970">
        <v>24870</v>
      </c>
      <c r="L274" s="972">
        <f t="shared" si="8"/>
        <v>697931</v>
      </c>
      <c r="M274" s="970"/>
      <c r="N274" s="971">
        <v>42986</v>
      </c>
      <c r="O274" s="971">
        <v>0</v>
      </c>
      <c r="P274" s="970">
        <v>0</v>
      </c>
      <c r="Q274" s="972">
        <f t="shared" si="9"/>
        <v>42986</v>
      </c>
      <c r="R274" s="970"/>
      <c r="S274" s="971">
        <v>511755</v>
      </c>
      <c r="T274" s="973">
        <v>10495</v>
      </c>
      <c r="U274" s="973">
        <v>522250</v>
      </c>
    </row>
    <row r="275" spans="1:21" x14ac:dyDescent="0.25">
      <c r="A275" s="967">
        <v>92831</v>
      </c>
      <c r="B275" s="968" t="s">
        <v>2917</v>
      </c>
      <c r="C275" s="969">
        <v>2.1829999999999999E-4</v>
      </c>
      <c r="D275" s="969">
        <v>2.476E-4</v>
      </c>
      <c r="E275" s="986">
        <v>122076</v>
      </c>
      <c r="F275" s="970">
        <v>333502</v>
      </c>
      <c r="G275" s="970"/>
      <c r="H275" s="971">
        <v>19213</v>
      </c>
      <c r="I275" s="972">
        <v>80975</v>
      </c>
      <c r="J275" s="971">
        <v>47629</v>
      </c>
      <c r="K275" s="970">
        <v>19156</v>
      </c>
      <c r="L275" s="972">
        <f t="shared" si="8"/>
        <v>166973</v>
      </c>
      <c r="M275" s="970"/>
      <c r="N275" s="971">
        <v>9440</v>
      </c>
      <c r="O275" s="971">
        <v>0</v>
      </c>
      <c r="P275" s="970">
        <v>2159</v>
      </c>
      <c r="Q275" s="972">
        <f t="shared" si="9"/>
        <v>11599</v>
      </c>
      <c r="R275" s="970"/>
      <c r="S275" s="971">
        <v>112390</v>
      </c>
      <c r="T275" s="973">
        <v>9503</v>
      </c>
      <c r="U275" s="973">
        <f>121894-1</f>
        <v>121893</v>
      </c>
    </row>
    <row r="276" spans="1:21" x14ac:dyDescent="0.25">
      <c r="A276" s="967">
        <v>92841</v>
      </c>
      <c r="B276" s="968" t="s">
        <v>2918</v>
      </c>
      <c r="C276" s="969">
        <v>2.7809999999999998E-4</v>
      </c>
      <c r="D276" s="969">
        <v>2.8160000000000001E-4</v>
      </c>
      <c r="E276" s="986">
        <v>116983</v>
      </c>
      <c r="F276" s="970">
        <v>424860</v>
      </c>
      <c r="G276" s="970"/>
      <c r="H276" s="971">
        <v>24476</v>
      </c>
      <c r="I276" s="972">
        <v>103157</v>
      </c>
      <c r="J276" s="971">
        <v>60676</v>
      </c>
      <c r="K276" s="970">
        <v>5821</v>
      </c>
      <c r="L276" s="972">
        <f t="shared" si="8"/>
        <v>194130</v>
      </c>
      <c r="M276" s="970"/>
      <c r="N276" s="971">
        <v>12026</v>
      </c>
      <c r="O276" s="971">
        <v>0</v>
      </c>
      <c r="P276" s="970">
        <v>13149</v>
      </c>
      <c r="Q276" s="972">
        <f t="shared" si="9"/>
        <v>25175</v>
      </c>
      <c r="R276" s="970"/>
      <c r="S276" s="971">
        <v>143178</v>
      </c>
      <c r="T276" s="973">
        <v>2288</v>
      </c>
      <c r="U276" s="973">
        <v>145466</v>
      </c>
    </row>
    <row r="277" spans="1:21" x14ac:dyDescent="0.25">
      <c r="A277" s="967">
        <v>92851</v>
      </c>
      <c r="B277" s="968" t="s">
        <v>2919</v>
      </c>
      <c r="C277" s="969">
        <v>4.6079999999999998E-4</v>
      </c>
      <c r="D277" s="969">
        <v>4.3909999999999999E-4</v>
      </c>
      <c r="E277" s="986">
        <v>187164</v>
      </c>
      <c r="F277" s="970">
        <v>703975</v>
      </c>
      <c r="G277" s="970"/>
      <c r="H277" s="971">
        <v>40555</v>
      </c>
      <c r="I277" s="972">
        <v>170926</v>
      </c>
      <c r="J277" s="971">
        <v>100537</v>
      </c>
      <c r="K277" s="970">
        <v>0</v>
      </c>
      <c r="L277" s="972">
        <f t="shared" si="8"/>
        <v>312018</v>
      </c>
      <c r="M277" s="970"/>
      <c r="N277" s="971">
        <v>19927</v>
      </c>
      <c r="O277" s="971">
        <v>0</v>
      </c>
      <c r="P277" s="970">
        <v>62664</v>
      </c>
      <c r="Q277" s="972">
        <f t="shared" si="9"/>
        <v>82591</v>
      </c>
      <c r="R277" s="970"/>
      <c r="S277" s="971">
        <v>237240</v>
      </c>
      <c r="T277" s="973">
        <v>-35531</v>
      </c>
      <c r="U277" s="973">
        <v>201709</v>
      </c>
    </row>
    <row r="278" spans="1:21" x14ac:dyDescent="0.25">
      <c r="A278" s="967">
        <v>92861</v>
      </c>
      <c r="B278" s="968" t="s">
        <v>2920</v>
      </c>
      <c r="C278" s="969">
        <v>3.6010000000000003E-4</v>
      </c>
      <c r="D278" s="969">
        <v>3.3629999999999999E-4</v>
      </c>
      <c r="E278" s="986">
        <v>121951</v>
      </c>
      <c r="F278" s="970">
        <v>550133</v>
      </c>
      <c r="G278" s="970"/>
      <c r="H278" s="971">
        <v>31693</v>
      </c>
      <c r="I278" s="972">
        <v>133573</v>
      </c>
      <c r="J278" s="971">
        <v>78567</v>
      </c>
      <c r="K278" s="970">
        <v>0</v>
      </c>
      <c r="L278" s="972">
        <f t="shared" si="8"/>
        <v>243833</v>
      </c>
      <c r="M278" s="970"/>
      <c r="N278" s="971">
        <v>15573</v>
      </c>
      <c r="O278" s="971">
        <v>0</v>
      </c>
      <c r="P278" s="970">
        <v>83092</v>
      </c>
      <c r="Q278" s="972">
        <f t="shared" si="9"/>
        <v>98665</v>
      </c>
      <c r="R278" s="970"/>
      <c r="S278" s="971">
        <v>185395</v>
      </c>
      <c r="T278" s="973">
        <v>-36908</v>
      </c>
      <c r="U278" s="973">
        <f>148488-1</f>
        <v>148487</v>
      </c>
    </row>
    <row r="279" spans="1:21" x14ac:dyDescent="0.25">
      <c r="A279" s="967">
        <v>92901</v>
      </c>
      <c r="B279" s="968" t="s">
        <v>2921</v>
      </c>
      <c r="C279" s="969">
        <v>5.5082999999999998E-3</v>
      </c>
      <c r="D279" s="969">
        <v>5.7581000000000004E-3</v>
      </c>
      <c r="E279" s="986">
        <v>2645958</v>
      </c>
      <c r="F279" s="970">
        <v>8415157</v>
      </c>
      <c r="G279" s="970"/>
      <c r="H279" s="971">
        <v>484791</v>
      </c>
      <c r="I279" s="972">
        <v>2043211</v>
      </c>
      <c r="J279" s="971">
        <v>1201801</v>
      </c>
      <c r="K279" s="970">
        <v>65697</v>
      </c>
      <c r="L279" s="972">
        <f t="shared" si="8"/>
        <v>3795500</v>
      </c>
      <c r="M279" s="970"/>
      <c r="N279" s="971">
        <v>238206</v>
      </c>
      <c r="O279" s="971">
        <v>0</v>
      </c>
      <c r="P279" s="970">
        <v>124949</v>
      </c>
      <c r="Q279" s="972">
        <f t="shared" si="9"/>
        <v>363155</v>
      </c>
      <c r="R279" s="970"/>
      <c r="S279" s="971">
        <v>2835915</v>
      </c>
      <c r="T279" s="973">
        <v>6522</v>
      </c>
      <c r="U279" s="973">
        <f>2842438-1</f>
        <v>2842437</v>
      </c>
    </row>
    <row r="280" spans="1:21" x14ac:dyDescent="0.25">
      <c r="A280" s="967">
        <v>92911</v>
      </c>
      <c r="B280" s="968" t="s">
        <v>2922</v>
      </c>
      <c r="C280" s="969">
        <v>1.9548999999999999E-3</v>
      </c>
      <c r="D280" s="969">
        <v>1.9442999999999999E-3</v>
      </c>
      <c r="E280" s="986">
        <v>924132</v>
      </c>
      <c r="F280" s="970">
        <v>2986546</v>
      </c>
      <c r="G280" s="970"/>
      <c r="H280" s="971">
        <v>172053</v>
      </c>
      <c r="I280" s="972">
        <v>725137</v>
      </c>
      <c r="J280" s="971">
        <v>426520</v>
      </c>
      <c r="K280" s="970">
        <v>28442</v>
      </c>
      <c r="L280" s="972">
        <f t="shared" si="8"/>
        <v>1352152</v>
      </c>
      <c r="M280" s="970"/>
      <c r="N280" s="971">
        <v>84540</v>
      </c>
      <c r="O280" s="971">
        <v>0</v>
      </c>
      <c r="P280" s="970">
        <v>113525</v>
      </c>
      <c r="Q280" s="972">
        <f t="shared" si="9"/>
        <v>198065</v>
      </c>
      <c r="R280" s="970"/>
      <c r="S280" s="971">
        <v>1006469</v>
      </c>
      <c r="T280" s="973">
        <v>-55041</v>
      </c>
      <c r="U280" s="973">
        <v>951428</v>
      </c>
    </row>
    <row r="281" spans="1:21" x14ac:dyDescent="0.25">
      <c r="A281" s="967">
        <v>92913</v>
      </c>
      <c r="B281" s="968" t="s">
        <v>2923</v>
      </c>
      <c r="C281" s="969">
        <v>2.1999999999999999E-5</v>
      </c>
      <c r="D281" s="969">
        <v>2.37E-5</v>
      </c>
      <c r="E281" s="986">
        <v>57760</v>
      </c>
      <c r="F281" s="970">
        <v>33610</v>
      </c>
      <c r="G281" s="970"/>
      <c r="H281" s="971">
        <v>1936</v>
      </c>
      <c r="I281" s="972">
        <v>8160</v>
      </c>
      <c r="J281" s="971">
        <v>4800</v>
      </c>
      <c r="K281" s="970">
        <v>79442</v>
      </c>
      <c r="L281" s="972">
        <f t="shared" si="8"/>
        <v>94338</v>
      </c>
      <c r="M281" s="970"/>
      <c r="N281" s="971">
        <v>951</v>
      </c>
      <c r="O281" s="971">
        <v>0</v>
      </c>
      <c r="P281" s="970">
        <v>2047</v>
      </c>
      <c r="Q281" s="972">
        <f t="shared" si="9"/>
        <v>2998</v>
      </c>
      <c r="R281" s="970"/>
      <c r="S281" s="971">
        <v>11327</v>
      </c>
      <c r="T281" s="973">
        <v>25513</v>
      </c>
      <c r="U281" s="973">
        <v>36840</v>
      </c>
    </row>
    <row r="282" spans="1:21" x14ac:dyDescent="0.25">
      <c r="A282" s="967">
        <v>92914</v>
      </c>
      <c r="B282" s="968" t="s">
        <v>3686</v>
      </c>
      <c r="C282" s="969">
        <v>2.8900000000000001E-5</v>
      </c>
      <c r="D282" s="969">
        <v>0</v>
      </c>
      <c r="E282" s="986">
        <v>10513</v>
      </c>
      <c r="F282" s="970">
        <v>44151</v>
      </c>
      <c r="G282" s="970"/>
      <c r="H282" s="971">
        <v>2544</v>
      </c>
      <c r="I282" s="972">
        <v>10720</v>
      </c>
      <c r="J282" s="971">
        <v>6305</v>
      </c>
      <c r="K282" s="970">
        <v>17173</v>
      </c>
      <c r="L282" s="972">
        <f t="shared" si="8"/>
        <v>36742</v>
      </c>
      <c r="M282" s="970"/>
      <c r="N282" s="971">
        <v>1250</v>
      </c>
      <c r="O282" s="971">
        <v>0</v>
      </c>
      <c r="P282" s="970">
        <v>0</v>
      </c>
      <c r="Q282" s="972">
        <f t="shared" si="9"/>
        <v>1250</v>
      </c>
      <c r="R282" s="970"/>
      <c r="S282" s="971">
        <v>14879</v>
      </c>
      <c r="T282" s="973">
        <v>4293</v>
      </c>
      <c r="U282" s="973">
        <v>19172</v>
      </c>
    </row>
    <row r="283" spans="1:21" x14ac:dyDescent="0.25">
      <c r="A283" s="967">
        <v>92917</v>
      </c>
      <c r="B283" s="968" t="s">
        <v>2924</v>
      </c>
      <c r="C283" s="969">
        <v>1.4800000000000001E-5</v>
      </c>
      <c r="D283" s="969">
        <v>2.0000000000000002E-5</v>
      </c>
      <c r="E283" s="986">
        <v>16082</v>
      </c>
      <c r="F283" s="970">
        <v>22610</v>
      </c>
      <c r="G283" s="970"/>
      <c r="H283" s="971">
        <v>1303</v>
      </c>
      <c r="I283" s="972">
        <v>5490</v>
      </c>
      <c r="J283" s="971">
        <v>3229</v>
      </c>
      <c r="K283" s="970">
        <v>13223</v>
      </c>
      <c r="L283" s="972">
        <f t="shared" si="8"/>
        <v>23245</v>
      </c>
      <c r="M283" s="970"/>
      <c r="N283" s="971">
        <v>640</v>
      </c>
      <c r="O283" s="971">
        <v>0</v>
      </c>
      <c r="P283" s="970">
        <v>0</v>
      </c>
      <c r="Q283" s="972">
        <f t="shared" si="9"/>
        <v>640</v>
      </c>
      <c r="R283" s="970"/>
      <c r="S283" s="971">
        <v>7620</v>
      </c>
      <c r="T283" s="973">
        <v>6352</v>
      </c>
      <c r="U283" s="973">
        <f>13971+1</f>
        <v>13972</v>
      </c>
    </row>
    <row r="284" spans="1:21" x14ac:dyDescent="0.25">
      <c r="A284" s="967">
        <v>92921</v>
      </c>
      <c r="B284" s="968" t="s">
        <v>2925</v>
      </c>
      <c r="C284" s="969">
        <v>7.4400000000000006E-5</v>
      </c>
      <c r="D284" s="969">
        <v>6.2899999999999997E-5</v>
      </c>
      <c r="E284" s="986">
        <v>41073</v>
      </c>
      <c r="F284" s="970">
        <v>113663</v>
      </c>
      <c r="G284" s="970"/>
      <c r="H284" s="971">
        <v>6548</v>
      </c>
      <c r="I284" s="972">
        <v>27597</v>
      </c>
      <c r="J284" s="971">
        <v>16233</v>
      </c>
      <c r="K284" s="970">
        <v>13244</v>
      </c>
      <c r="L284" s="972">
        <f t="shared" si="8"/>
        <v>63622</v>
      </c>
      <c r="M284" s="970"/>
      <c r="N284" s="971">
        <v>3217</v>
      </c>
      <c r="O284" s="971">
        <v>0</v>
      </c>
      <c r="P284" s="970">
        <v>7831</v>
      </c>
      <c r="Q284" s="972">
        <f t="shared" si="9"/>
        <v>11048</v>
      </c>
      <c r="R284" s="970"/>
      <c r="S284" s="971">
        <v>38304</v>
      </c>
      <c r="T284" s="973">
        <v>-2914</v>
      </c>
      <c r="U284" s="973">
        <v>35390</v>
      </c>
    </row>
    <row r="285" spans="1:21" x14ac:dyDescent="0.25">
      <c r="A285" s="967">
        <v>92931</v>
      </c>
      <c r="B285" s="968" t="s">
        <v>2926</v>
      </c>
      <c r="C285" s="969">
        <v>2.3996E-3</v>
      </c>
      <c r="D285" s="969">
        <v>2.5048000000000002E-3</v>
      </c>
      <c r="E285" s="986">
        <v>1109331</v>
      </c>
      <c r="F285" s="970">
        <v>3665924</v>
      </c>
      <c r="G285" s="970"/>
      <c r="H285" s="971">
        <v>211191</v>
      </c>
      <c r="I285" s="972">
        <v>890091</v>
      </c>
      <c r="J285" s="971">
        <v>523545</v>
      </c>
      <c r="K285" s="970">
        <v>7721</v>
      </c>
      <c r="L285" s="972">
        <f t="shared" si="8"/>
        <v>1632548</v>
      </c>
      <c r="M285" s="970"/>
      <c r="N285" s="971">
        <v>103771</v>
      </c>
      <c r="O285" s="971">
        <v>0</v>
      </c>
      <c r="P285" s="970">
        <v>147858</v>
      </c>
      <c r="Q285" s="972">
        <f t="shared" si="9"/>
        <v>251629</v>
      </c>
      <c r="R285" s="970"/>
      <c r="S285" s="971">
        <v>1235420</v>
      </c>
      <c r="T285" s="973">
        <v>-41276</v>
      </c>
      <c r="U285" s="973">
        <v>1194144</v>
      </c>
    </row>
    <row r="286" spans="1:21" x14ac:dyDescent="0.25">
      <c r="A286" s="967">
        <v>92941</v>
      </c>
      <c r="B286" s="968" t="s">
        <v>1450</v>
      </c>
      <c r="C286" s="969">
        <v>1.2300000000000001E-5</v>
      </c>
      <c r="D286" s="969">
        <v>1.84E-5</v>
      </c>
      <c r="E286" s="986">
        <v>8547</v>
      </c>
      <c r="F286" s="970">
        <v>18791</v>
      </c>
      <c r="G286" s="970"/>
      <c r="H286" s="971">
        <v>1083</v>
      </c>
      <c r="I286" s="972">
        <v>4563</v>
      </c>
      <c r="J286" s="971">
        <v>2684</v>
      </c>
      <c r="K286" s="970">
        <v>6612</v>
      </c>
      <c r="L286" s="972">
        <f t="shared" si="8"/>
        <v>14942</v>
      </c>
      <c r="M286" s="970"/>
      <c r="N286" s="971">
        <v>532</v>
      </c>
      <c r="O286" s="971">
        <v>0</v>
      </c>
      <c r="P286" s="970">
        <v>1770</v>
      </c>
      <c r="Q286" s="972">
        <f t="shared" si="9"/>
        <v>2302</v>
      </c>
      <c r="R286" s="970"/>
      <c r="S286" s="971">
        <v>6333</v>
      </c>
      <c r="T286" s="973">
        <v>3162</v>
      </c>
      <c r="U286" s="973">
        <v>9495</v>
      </c>
    </row>
    <row r="287" spans="1:21" x14ac:dyDescent="0.25">
      <c r="A287" s="967">
        <v>93001</v>
      </c>
      <c r="B287" s="968" t="s">
        <v>2927</v>
      </c>
      <c r="C287" s="969">
        <v>2.2227000000000002E-3</v>
      </c>
      <c r="D287" s="969">
        <v>2.2739000000000001E-3</v>
      </c>
      <c r="E287" s="986">
        <v>981066</v>
      </c>
      <c r="F287" s="970">
        <v>3395670</v>
      </c>
      <c r="G287" s="970"/>
      <c r="H287" s="971">
        <v>195622</v>
      </c>
      <c r="I287" s="972">
        <v>824473</v>
      </c>
      <c r="J287" s="971">
        <v>484949</v>
      </c>
      <c r="K287" s="970">
        <v>8733</v>
      </c>
      <c r="L287" s="972">
        <f t="shared" si="8"/>
        <v>1513777</v>
      </c>
      <c r="M287" s="970"/>
      <c r="N287" s="971">
        <v>96121</v>
      </c>
      <c r="O287" s="971">
        <v>0</v>
      </c>
      <c r="P287" s="970">
        <v>123729</v>
      </c>
      <c r="Q287" s="972">
        <f t="shared" si="9"/>
        <v>219850</v>
      </c>
      <c r="R287" s="970"/>
      <c r="S287" s="971">
        <v>1144344</v>
      </c>
      <c r="T287" s="973">
        <v>-57358</v>
      </c>
      <c r="U287" s="973">
        <v>1086986</v>
      </c>
    </row>
    <row r="288" spans="1:21" x14ac:dyDescent="0.25">
      <c r="A288" s="967">
        <v>93009</v>
      </c>
      <c r="B288" s="968" t="s">
        <v>2928</v>
      </c>
      <c r="C288" s="969">
        <v>1.47E-5</v>
      </c>
      <c r="D288" s="969">
        <v>1.5400000000000002E-5</v>
      </c>
      <c r="E288" s="986">
        <v>5348</v>
      </c>
      <c r="F288" s="970">
        <v>22458</v>
      </c>
      <c r="G288" s="970"/>
      <c r="H288" s="971">
        <v>1294</v>
      </c>
      <c r="I288" s="972">
        <v>5453</v>
      </c>
      <c r="J288" s="971">
        <v>3207</v>
      </c>
      <c r="K288" s="970">
        <v>0</v>
      </c>
      <c r="L288" s="972">
        <f t="shared" si="8"/>
        <v>9954</v>
      </c>
      <c r="M288" s="970"/>
      <c r="N288" s="971">
        <v>636</v>
      </c>
      <c r="O288" s="971">
        <v>0</v>
      </c>
      <c r="P288" s="970">
        <v>4280</v>
      </c>
      <c r="Q288" s="972">
        <f t="shared" si="9"/>
        <v>4916</v>
      </c>
      <c r="R288" s="970"/>
      <c r="S288" s="971">
        <v>7568</v>
      </c>
      <c r="T288" s="973">
        <v>-1918</v>
      </c>
      <c r="U288" s="973">
        <v>5650</v>
      </c>
    </row>
    <row r="289" spans="1:21" x14ac:dyDescent="0.25">
      <c r="A289" s="967">
        <v>93011</v>
      </c>
      <c r="B289" s="968" t="s">
        <v>2929</v>
      </c>
      <c r="C289" s="969">
        <v>2.2699999999999999E-4</v>
      </c>
      <c r="D289" s="969">
        <v>2.6160000000000002E-4</v>
      </c>
      <c r="E289" s="986">
        <v>118523</v>
      </c>
      <c r="F289" s="970">
        <v>346793</v>
      </c>
      <c r="G289" s="970"/>
      <c r="H289" s="971">
        <v>19978</v>
      </c>
      <c r="I289" s="972">
        <v>84202</v>
      </c>
      <c r="J289" s="971">
        <v>49527</v>
      </c>
      <c r="K289" s="970">
        <v>1542</v>
      </c>
      <c r="L289" s="972">
        <f t="shared" si="8"/>
        <v>155249</v>
      </c>
      <c r="M289" s="970"/>
      <c r="N289" s="971">
        <v>9817</v>
      </c>
      <c r="O289" s="971">
        <v>0</v>
      </c>
      <c r="P289" s="970">
        <v>15019</v>
      </c>
      <c r="Q289" s="972">
        <f t="shared" si="9"/>
        <v>24836</v>
      </c>
      <c r="R289" s="970"/>
      <c r="S289" s="971">
        <v>116870</v>
      </c>
      <c r="T289" s="973">
        <v>-3863</v>
      </c>
      <c r="U289" s="973">
        <v>113007</v>
      </c>
    </row>
    <row r="290" spans="1:21" x14ac:dyDescent="0.25">
      <c r="A290" s="967">
        <v>93021</v>
      </c>
      <c r="B290" s="968" t="s">
        <v>2930</v>
      </c>
      <c r="C290" s="969">
        <v>3.4199999999999998E-5</v>
      </c>
      <c r="D290" s="969">
        <v>2.8900000000000001E-5</v>
      </c>
      <c r="E290" s="986">
        <v>12994</v>
      </c>
      <c r="F290" s="970">
        <v>52248</v>
      </c>
      <c r="G290" s="970"/>
      <c r="H290" s="971">
        <v>3010</v>
      </c>
      <c r="I290" s="972">
        <v>12686</v>
      </c>
      <c r="J290" s="971">
        <v>7462</v>
      </c>
      <c r="K290" s="970">
        <v>3788</v>
      </c>
      <c r="L290" s="972">
        <f t="shared" si="8"/>
        <v>26946</v>
      </c>
      <c r="M290" s="970"/>
      <c r="N290" s="971">
        <v>1479</v>
      </c>
      <c r="O290" s="971">
        <v>0</v>
      </c>
      <c r="P290" s="970">
        <v>4978</v>
      </c>
      <c r="Q290" s="972">
        <f t="shared" si="9"/>
        <v>6457</v>
      </c>
      <c r="R290" s="970"/>
      <c r="S290" s="971">
        <v>17608</v>
      </c>
      <c r="T290" s="973">
        <v>260</v>
      </c>
      <c r="U290" s="973">
        <v>17868</v>
      </c>
    </row>
    <row r="291" spans="1:21" x14ac:dyDescent="0.25">
      <c r="A291" s="967">
        <v>93027</v>
      </c>
      <c r="B291" s="968" t="s">
        <v>2931</v>
      </c>
      <c r="C291" s="969">
        <v>1.6699999999999999E-5</v>
      </c>
      <c r="D291" s="969">
        <v>1.6699999999999999E-5</v>
      </c>
      <c r="E291" s="986">
        <v>8270</v>
      </c>
      <c r="F291" s="970">
        <v>25513</v>
      </c>
      <c r="G291" s="970"/>
      <c r="H291" s="971">
        <v>1470</v>
      </c>
      <c r="I291" s="972">
        <v>6194</v>
      </c>
      <c r="J291" s="971">
        <v>3644</v>
      </c>
      <c r="K291" s="970">
        <v>1152</v>
      </c>
      <c r="L291" s="972">
        <f t="shared" si="8"/>
        <v>12460</v>
      </c>
      <c r="M291" s="970"/>
      <c r="N291" s="971">
        <v>722</v>
      </c>
      <c r="O291" s="971">
        <v>0</v>
      </c>
      <c r="P291" s="970">
        <v>834</v>
      </c>
      <c r="Q291" s="972">
        <f t="shared" si="9"/>
        <v>1556</v>
      </c>
      <c r="R291" s="970"/>
      <c r="S291" s="971">
        <v>8598</v>
      </c>
      <c r="T291" s="973">
        <v>-308</v>
      </c>
      <c r="U291" s="973">
        <v>8290</v>
      </c>
    </row>
    <row r="292" spans="1:21" x14ac:dyDescent="0.25">
      <c r="A292" s="967">
        <v>93031</v>
      </c>
      <c r="B292" s="968" t="s">
        <v>2932</v>
      </c>
      <c r="C292" s="969">
        <v>2.1699999999999999E-5</v>
      </c>
      <c r="D292" s="969">
        <v>2.2399999999999999E-5</v>
      </c>
      <c r="E292" s="986">
        <v>20397</v>
      </c>
      <c r="F292" s="970">
        <v>33152</v>
      </c>
      <c r="G292" s="970"/>
      <c r="H292" s="971">
        <v>1910</v>
      </c>
      <c r="I292" s="972">
        <v>8050</v>
      </c>
      <c r="J292" s="971">
        <v>4735</v>
      </c>
      <c r="K292" s="970">
        <v>18910</v>
      </c>
      <c r="L292" s="972">
        <f t="shared" si="8"/>
        <v>33605</v>
      </c>
      <c r="M292" s="970"/>
      <c r="N292" s="971">
        <v>938</v>
      </c>
      <c r="O292" s="971">
        <v>0</v>
      </c>
      <c r="P292" s="970">
        <v>221</v>
      </c>
      <c r="Q292" s="972">
        <f t="shared" si="9"/>
        <v>1159</v>
      </c>
      <c r="R292" s="970"/>
      <c r="S292" s="971">
        <v>11172</v>
      </c>
      <c r="T292" s="973">
        <v>5880</v>
      </c>
      <c r="U292" s="973">
        <v>17052</v>
      </c>
    </row>
    <row r="293" spans="1:21" x14ac:dyDescent="0.25">
      <c r="A293" s="967">
        <v>93101</v>
      </c>
      <c r="B293" s="968" t="s">
        <v>2933</v>
      </c>
      <c r="C293" s="969">
        <v>3.5159000000000002E-3</v>
      </c>
      <c r="D293" s="969">
        <v>3.5771000000000002E-3</v>
      </c>
      <c r="E293" s="986">
        <v>1521217</v>
      </c>
      <c r="F293" s="970">
        <v>5371321</v>
      </c>
      <c r="G293" s="970"/>
      <c r="H293" s="971">
        <v>309438</v>
      </c>
      <c r="I293" s="972">
        <v>1304163</v>
      </c>
      <c r="J293" s="971">
        <v>767099</v>
      </c>
      <c r="K293" s="970">
        <v>104257</v>
      </c>
      <c r="L293" s="972">
        <f t="shared" si="8"/>
        <v>2484957</v>
      </c>
      <c r="M293" s="970"/>
      <c r="N293" s="971">
        <v>152045</v>
      </c>
      <c r="O293" s="971">
        <v>0</v>
      </c>
      <c r="P293" s="970">
        <v>115334</v>
      </c>
      <c r="Q293" s="972">
        <f t="shared" si="9"/>
        <v>267379</v>
      </c>
      <c r="R293" s="970"/>
      <c r="S293" s="971">
        <v>1810140</v>
      </c>
      <c r="T293" s="973">
        <v>39451</v>
      </c>
      <c r="U293" s="973">
        <v>1849591</v>
      </c>
    </row>
    <row r="294" spans="1:21" x14ac:dyDescent="0.25">
      <c r="A294" s="967">
        <v>93103</v>
      </c>
      <c r="B294" s="968" t="s">
        <v>2126</v>
      </c>
      <c r="C294" s="969">
        <v>1.7099999999999999E-5</v>
      </c>
      <c r="D294" s="969">
        <v>1.7200000000000001E-5</v>
      </c>
      <c r="E294" s="986">
        <v>5686</v>
      </c>
      <c r="F294" s="970">
        <v>26124</v>
      </c>
      <c r="G294" s="970"/>
      <c r="H294" s="971">
        <v>1505</v>
      </c>
      <c r="I294" s="972">
        <v>6343</v>
      </c>
      <c r="J294" s="971">
        <v>3731</v>
      </c>
      <c r="K294" s="970">
        <v>6718</v>
      </c>
      <c r="L294" s="972">
        <f t="shared" si="8"/>
        <v>18297</v>
      </c>
      <c r="M294" s="970"/>
      <c r="N294" s="971">
        <v>739</v>
      </c>
      <c r="O294" s="971">
        <v>0</v>
      </c>
      <c r="P294" s="970">
        <v>1798</v>
      </c>
      <c r="Q294" s="972">
        <f t="shared" si="9"/>
        <v>2537</v>
      </c>
      <c r="R294" s="970"/>
      <c r="S294" s="971">
        <v>8804</v>
      </c>
      <c r="T294" s="973">
        <v>2085</v>
      </c>
      <c r="U294" s="973">
        <v>10889</v>
      </c>
    </row>
    <row r="295" spans="1:21" x14ac:dyDescent="0.25">
      <c r="A295" s="967">
        <v>93108</v>
      </c>
      <c r="B295" s="968" t="s">
        <v>2934</v>
      </c>
      <c r="C295" s="969">
        <v>2.6624999999999999E-3</v>
      </c>
      <c r="D295" s="969">
        <v>2.5661999999999998E-3</v>
      </c>
      <c r="E295" s="986">
        <v>1189197</v>
      </c>
      <c r="F295" s="970">
        <v>4067562</v>
      </c>
      <c r="G295" s="970"/>
      <c r="H295" s="971">
        <v>234329</v>
      </c>
      <c r="I295" s="972">
        <v>987609</v>
      </c>
      <c r="J295" s="971">
        <v>580904</v>
      </c>
      <c r="K295" s="970">
        <v>274861</v>
      </c>
      <c r="L295" s="972">
        <f t="shared" si="8"/>
        <v>2077703</v>
      </c>
      <c r="M295" s="970"/>
      <c r="N295" s="971">
        <v>115140</v>
      </c>
      <c r="O295" s="971">
        <v>0</v>
      </c>
      <c r="P295" s="970">
        <v>0</v>
      </c>
      <c r="Q295" s="972">
        <f t="shared" si="9"/>
        <v>115140</v>
      </c>
      <c r="R295" s="970"/>
      <c r="S295" s="971">
        <v>1370772</v>
      </c>
      <c r="T295" s="973">
        <v>189775</v>
      </c>
      <c r="U295" s="973">
        <v>1560547</v>
      </c>
    </row>
    <row r="296" spans="1:21" x14ac:dyDescent="0.25">
      <c r="A296" s="967">
        <v>93111</v>
      </c>
      <c r="B296" s="968" t="s">
        <v>2935</v>
      </c>
      <c r="C296" s="969">
        <v>5.8499999999999999E-5</v>
      </c>
      <c r="D296" s="969">
        <v>7.08E-5</v>
      </c>
      <c r="E296" s="986">
        <v>27143</v>
      </c>
      <c r="F296" s="970">
        <v>89372</v>
      </c>
      <c r="G296" s="970"/>
      <c r="H296" s="971">
        <v>5149</v>
      </c>
      <c r="I296" s="972">
        <v>21700</v>
      </c>
      <c r="J296" s="971">
        <v>12764</v>
      </c>
      <c r="K296" s="970">
        <v>0</v>
      </c>
      <c r="L296" s="972">
        <f t="shared" si="8"/>
        <v>39613</v>
      </c>
      <c r="M296" s="970"/>
      <c r="N296" s="971">
        <v>2530</v>
      </c>
      <c r="O296" s="971">
        <v>0</v>
      </c>
      <c r="P296" s="970">
        <v>15463</v>
      </c>
      <c r="Q296" s="972">
        <f t="shared" si="9"/>
        <v>17993</v>
      </c>
      <c r="R296" s="970"/>
      <c r="S296" s="971">
        <v>30118</v>
      </c>
      <c r="T296" s="973">
        <v>-5541</v>
      </c>
      <c r="U296" s="973">
        <f>24578-1</f>
        <v>24577</v>
      </c>
    </row>
    <row r="297" spans="1:21" x14ac:dyDescent="0.25">
      <c r="A297" s="967">
        <v>93121</v>
      </c>
      <c r="B297" s="968" t="s">
        <v>2936</v>
      </c>
      <c r="C297" s="969">
        <v>6.2299999999999996E-5</v>
      </c>
      <c r="D297" s="969">
        <v>5.8900000000000002E-5</v>
      </c>
      <c r="E297" s="986">
        <v>28306</v>
      </c>
      <c r="F297" s="970">
        <v>95177</v>
      </c>
      <c r="G297" s="970"/>
      <c r="H297" s="971">
        <v>5483</v>
      </c>
      <c r="I297" s="972">
        <v>23109</v>
      </c>
      <c r="J297" s="971">
        <v>13593</v>
      </c>
      <c r="K297" s="970">
        <v>2043</v>
      </c>
      <c r="L297" s="972">
        <f t="shared" si="8"/>
        <v>44228</v>
      </c>
      <c r="M297" s="970"/>
      <c r="N297" s="971">
        <v>2694</v>
      </c>
      <c r="O297" s="971">
        <v>0</v>
      </c>
      <c r="P297" s="970">
        <v>9059</v>
      </c>
      <c r="Q297" s="972">
        <f t="shared" si="9"/>
        <v>11753</v>
      </c>
      <c r="R297" s="970"/>
      <c r="S297" s="971">
        <v>32075</v>
      </c>
      <c r="T297" s="973">
        <v>-3552</v>
      </c>
      <c r="U297" s="973">
        <f>28522+1</f>
        <v>28523</v>
      </c>
    </row>
    <row r="298" spans="1:21" x14ac:dyDescent="0.25">
      <c r="A298" s="967">
        <v>93127</v>
      </c>
      <c r="B298" s="968" t="s">
        <v>2937</v>
      </c>
      <c r="C298" s="969">
        <v>6.9E-6</v>
      </c>
      <c r="D298" s="969">
        <v>6.8000000000000001E-6</v>
      </c>
      <c r="E298" s="986">
        <v>3239</v>
      </c>
      <c r="F298" s="970">
        <v>10541</v>
      </c>
      <c r="G298" s="970"/>
      <c r="H298" s="971">
        <v>607</v>
      </c>
      <c r="I298" s="972">
        <v>2560</v>
      </c>
      <c r="J298" s="971">
        <v>1505</v>
      </c>
      <c r="K298" s="970">
        <v>124</v>
      </c>
      <c r="L298" s="972">
        <f t="shared" si="8"/>
        <v>4796</v>
      </c>
      <c r="M298" s="970"/>
      <c r="N298" s="971">
        <v>298</v>
      </c>
      <c r="O298" s="971">
        <v>0</v>
      </c>
      <c r="P298" s="970">
        <v>731</v>
      </c>
      <c r="Q298" s="972">
        <f t="shared" si="9"/>
        <v>1029</v>
      </c>
      <c r="R298" s="970"/>
      <c r="S298" s="971">
        <v>3552</v>
      </c>
      <c r="T298" s="973">
        <v>-369</v>
      </c>
      <c r="U298" s="973">
        <v>3183</v>
      </c>
    </row>
    <row r="299" spans="1:21" x14ac:dyDescent="0.25">
      <c r="A299" s="967">
        <v>93131</v>
      </c>
      <c r="B299" s="968" t="s">
        <v>2938</v>
      </c>
      <c r="C299" s="969">
        <v>2.218E-4</v>
      </c>
      <c r="D299" s="969">
        <v>2.3939999999999999E-4</v>
      </c>
      <c r="E299" s="986">
        <v>95091</v>
      </c>
      <c r="F299" s="970">
        <v>338849</v>
      </c>
      <c r="G299" s="970"/>
      <c r="H299" s="971">
        <v>19521</v>
      </c>
      <c r="I299" s="972">
        <v>82273</v>
      </c>
      <c r="J299" s="971">
        <v>48392</v>
      </c>
      <c r="K299" s="970">
        <v>7888</v>
      </c>
      <c r="L299" s="972">
        <f t="shared" si="8"/>
        <v>158074</v>
      </c>
      <c r="M299" s="970"/>
      <c r="N299" s="971">
        <v>9592</v>
      </c>
      <c r="O299" s="971">
        <v>0</v>
      </c>
      <c r="P299" s="970">
        <v>21906</v>
      </c>
      <c r="Q299" s="972">
        <f t="shared" si="9"/>
        <v>31498</v>
      </c>
      <c r="R299" s="970"/>
      <c r="S299" s="971">
        <v>114192</v>
      </c>
      <c r="T299" s="973">
        <v>-530</v>
      </c>
      <c r="U299" s="973">
        <v>113662</v>
      </c>
    </row>
    <row r="300" spans="1:21" x14ac:dyDescent="0.25">
      <c r="A300" s="967">
        <v>93137</v>
      </c>
      <c r="B300" s="968" t="s">
        <v>2939</v>
      </c>
      <c r="C300" s="969">
        <v>3.3000000000000002E-6</v>
      </c>
      <c r="D300" s="969">
        <v>1.9E-6</v>
      </c>
      <c r="E300" s="986">
        <v>2530</v>
      </c>
      <c r="F300" s="970">
        <v>5041</v>
      </c>
      <c r="G300" s="970"/>
      <c r="H300" s="971">
        <v>290</v>
      </c>
      <c r="I300" s="972">
        <v>1224</v>
      </c>
      <c r="J300" s="971">
        <v>720</v>
      </c>
      <c r="K300" s="970">
        <v>2709</v>
      </c>
      <c r="L300" s="972">
        <f t="shared" si="8"/>
        <v>4943</v>
      </c>
      <c r="M300" s="970"/>
      <c r="N300" s="971">
        <v>143</v>
      </c>
      <c r="O300" s="971">
        <v>0</v>
      </c>
      <c r="P300" s="970">
        <v>0</v>
      </c>
      <c r="Q300" s="972">
        <f t="shared" si="9"/>
        <v>143</v>
      </c>
      <c r="R300" s="970"/>
      <c r="S300" s="971">
        <v>1699</v>
      </c>
      <c r="T300" s="973">
        <v>839</v>
      </c>
      <c r="U300" s="973">
        <v>2538</v>
      </c>
    </row>
    <row r="301" spans="1:21" x14ac:dyDescent="0.25">
      <c r="A301" s="967">
        <v>93141</v>
      </c>
      <c r="B301" s="968" t="s">
        <v>2940</v>
      </c>
      <c r="C301" s="969">
        <v>4.1100000000000003E-5</v>
      </c>
      <c r="D301" s="969">
        <v>4.5500000000000001E-5</v>
      </c>
      <c r="E301" s="986">
        <v>16199</v>
      </c>
      <c r="F301" s="970">
        <v>62789</v>
      </c>
      <c r="G301" s="970"/>
      <c r="H301" s="971">
        <v>3617</v>
      </c>
      <c r="I301" s="972">
        <v>15246</v>
      </c>
      <c r="J301" s="971">
        <v>8967</v>
      </c>
      <c r="K301" s="970">
        <v>2083</v>
      </c>
      <c r="L301" s="972">
        <f t="shared" si="8"/>
        <v>29913</v>
      </c>
      <c r="M301" s="970"/>
      <c r="N301" s="971">
        <v>1777</v>
      </c>
      <c r="O301" s="971">
        <v>0</v>
      </c>
      <c r="P301" s="970">
        <v>7408</v>
      </c>
      <c r="Q301" s="972">
        <f t="shared" si="9"/>
        <v>9185</v>
      </c>
      <c r="R301" s="970"/>
      <c r="S301" s="971">
        <v>21160</v>
      </c>
      <c r="T301" s="973">
        <v>-351</v>
      </c>
      <c r="U301" s="973">
        <v>20809</v>
      </c>
    </row>
    <row r="302" spans="1:21" x14ac:dyDescent="0.25">
      <c r="A302" s="967">
        <v>93151</v>
      </c>
      <c r="B302" s="968" t="s">
        <v>2941</v>
      </c>
      <c r="C302" s="969">
        <v>3.4279999999999998E-4</v>
      </c>
      <c r="D302" s="969">
        <v>3.6539999999999999E-4</v>
      </c>
      <c r="E302" s="986">
        <v>156182</v>
      </c>
      <c r="F302" s="970">
        <v>523703</v>
      </c>
      <c r="G302" s="970"/>
      <c r="H302" s="971">
        <v>30170</v>
      </c>
      <c r="I302" s="972">
        <v>127156</v>
      </c>
      <c r="J302" s="971">
        <v>74792</v>
      </c>
      <c r="K302" s="970">
        <v>3795</v>
      </c>
      <c r="L302" s="972">
        <f t="shared" si="8"/>
        <v>235913</v>
      </c>
      <c r="M302" s="970"/>
      <c r="N302" s="971">
        <v>14824</v>
      </c>
      <c r="O302" s="971">
        <v>0</v>
      </c>
      <c r="P302" s="970">
        <v>19989</v>
      </c>
      <c r="Q302" s="972">
        <f t="shared" si="9"/>
        <v>34813</v>
      </c>
      <c r="R302" s="970"/>
      <c r="S302" s="971">
        <v>176489</v>
      </c>
      <c r="T302" s="973">
        <v>-4355</v>
      </c>
      <c r="U302" s="973">
        <f>172133+1</f>
        <v>172134</v>
      </c>
    </row>
    <row r="303" spans="1:21" x14ac:dyDescent="0.25">
      <c r="A303" s="967">
        <v>93157</v>
      </c>
      <c r="B303" s="968" t="s">
        <v>2942</v>
      </c>
      <c r="C303" s="969">
        <v>3.5999999999999998E-6</v>
      </c>
      <c r="D303" s="969">
        <v>3.8E-6</v>
      </c>
      <c r="E303" s="986">
        <v>6045</v>
      </c>
      <c r="F303" s="970">
        <v>5500</v>
      </c>
      <c r="G303" s="970"/>
      <c r="H303" s="971">
        <v>317</v>
      </c>
      <c r="I303" s="972">
        <v>1336</v>
      </c>
      <c r="J303" s="971">
        <v>785</v>
      </c>
      <c r="K303" s="970">
        <v>6931</v>
      </c>
      <c r="L303" s="972">
        <f t="shared" si="8"/>
        <v>9369</v>
      </c>
      <c r="M303" s="970"/>
      <c r="N303" s="971">
        <v>156</v>
      </c>
      <c r="O303" s="971">
        <v>0</v>
      </c>
      <c r="P303" s="970">
        <v>340</v>
      </c>
      <c r="Q303" s="972">
        <f t="shared" si="9"/>
        <v>496</v>
      </c>
      <c r="R303" s="970"/>
      <c r="S303" s="971">
        <v>1853</v>
      </c>
      <c r="T303" s="973">
        <v>2783</v>
      </c>
      <c r="U303" s="973">
        <f>4637-1</f>
        <v>4636</v>
      </c>
    </row>
    <row r="304" spans="1:21" x14ac:dyDescent="0.25">
      <c r="A304" s="967">
        <v>93161</v>
      </c>
      <c r="B304" s="968" t="s">
        <v>2943</v>
      </c>
      <c r="C304" s="969">
        <v>1.038E-4</v>
      </c>
      <c r="D304" s="969">
        <v>6.2500000000000001E-5</v>
      </c>
      <c r="E304" s="986">
        <v>47956</v>
      </c>
      <c r="F304" s="970">
        <v>158578</v>
      </c>
      <c r="G304" s="970"/>
      <c r="H304" s="971">
        <v>9136</v>
      </c>
      <c r="I304" s="972">
        <v>38503</v>
      </c>
      <c r="J304" s="971">
        <v>22647</v>
      </c>
      <c r="K304" s="970">
        <v>35990</v>
      </c>
      <c r="L304" s="972">
        <f t="shared" si="8"/>
        <v>106276</v>
      </c>
      <c r="M304" s="970"/>
      <c r="N304" s="971">
        <v>4489</v>
      </c>
      <c r="O304" s="971">
        <v>0</v>
      </c>
      <c r="P304" s="970">
        <v>0</v>
      </c>
      <c r="Q304" s="972">
        <f t="shared" si="9"/>
        <v>4489</v>
      </c>
      <c r="R304" s="970"/>
      <c r="S304" s="971">
        <v>53441</v>
      </c>
      <c r="T304" s="973">
        <v>13001</v>
      </c>
      <c r="U304" s="973">
        <v>66442</v>
      </c>
    </row>
    <row r="305" spans="1:21" x14ac:dyDescent="0.25">
      <c r="A305" s="967">
        <v>93171</v>
      </c>
      <c r="B305" s="968" t="s">
        <v>2944</v>
      </c>
      <c r="C305" s="969">
        <v>5.2000000000000002E-6</v>
      </c>
      <c r="D305" s="969">
        <v>5.8000000000000004E-6</v>
      </c>
      <c r="E305" s="986">
        <v>3889</v>
      </c>
      <c r="F305" s="970">
        <v>7944</v>
      </c>
      <c r="G305" s="970"/>
      <c r="H305" s="971">
        <v>458</v>
      </c>
      <c r="I305" s="972">
        <v>1929</v>
      </c>
      <c r="J305" s="971">
        <v>1135</v>
      </c>
      <c r="K305" s="970">
        <v>1960</v>
      </c>
      <c r="L305" s="972">
        <f t="shared" si="8"/>
        <v>5482</v>
      </c>
      <c r="M305" s="970"/>
      <c r="N305" s="971">
        <v>225</v>
      </c>
      <c r="O305" s="971">
        <v>0</v>
      </c>
      <c r="P305" s="970">
        <v>0</v>
      </c>
      <c r="Q305" s="972">
        <f t="shared" si="9"/>
        <v>225</v>
      </c>
      <c r="R305" s="970"/>
      <c r="S305" s="971">
        <v>2677</v>
      </c>
      <c r="T305" s="973">
        <v>791</v>
      </c>
      <c r="U305" s="973">
        <v>3468</v>
      </c>
    </row>
    <row r="306" spans="1:21" x14ac:dyDescent="0.25">
      <c r="A306" s="967">
        <v>93181</v>
      </c>
      <c r="B306" s="968" t="s">
        <v>2945</v>
      </c>
      <c r="C306" s="969">
        <v>1.13E-5</v>
      </c>
      <c r="D306" s="969">
        <v>1.1E-5</v>
      </c>
      <c r="E306" s="986">
        <v>5393</v>
      </c>
      <c r="F306" s="970">
        <v>17263</v>
      </c>
      <c r="G306" s="970"/>
      <c r="H306" s="971">
        <v>995</v>
      </c>
      <c r="I306" s="972">
        <v>4191</v>
      </c>
      <c r="J306" s="971">
        <v>2465</v>
      </c>
      <c r="K306" s="970">
        <v>772</v>
      </c>
      <c r="L306" s="972">
        <f t="shared" si="8"/>
        <v>8423</v>
      </c>
      <c r="M306" s="970"/>
      <c r="N306" s="971">
        <v>489</v>
      </c>
      <c r="O306" s="971">
        <v>0</v>
      </c>
      <c r="P306" s="970">
        <v>28</v>
      </c>
      <c r="Q306" s="972">
        <f t="shared" si="9"/>
        <v>517</v>
      </c>
      <c r="R306" s="970"/>
      <c r="S306" s="971">
        <v>5818</v>
      </c>
      <c r="T306" s="973">
        <v>412</v>
      </c>
      <c r="U306" s="973">
        <v>6230</v>
      </c>
    </row>
    <row r="307" spans="1:21" x14ac:dyDescent="0.25">
      <c r="A307" s="967">
        <v>93191</v>
      </c>
      <c r="B307" s="968" t="s">
        <v>2946</v>
      </c>
      <c r="C307" s="969">
        <v>2.4600000000000002E-5</v>
      </c>
      <c r="D307" s="969">
        <v>3.3000000000000003E-5</v>
      </c>
      <c r="E307" s="986">
        <v>16089</v>
      </c>
      <c r="F307" s="970">
        <v>37582</v>
      </c>
      <c r="G307" s="970"/>
      <c r="H307" s="971">
        <v>2165</v>
      </c>
      <c r="I307" s="972">
        <v>9125</v>
      </c>
      <c r="J307" s="971">
        <v>5367</v>
      </c>
      <c r="K307" s="970">
        <v>1713</v>
      </c>
      <c r="L307" s="972">
        <f t="shared" si="8"/>
        <v>18370</v>
      </c>
      <c r="M307" s="970"/>
      <c r="N307" s="971">
        <v>1064</v>
      </c>
      <c r="O307" s="971">
        <v>0</v>
      </c>
      <c r="P307" s="970">
        <v>2443</v>
      </c>
      <c r="Q307" s="972">
        <f t="shared" si="9"/>
        <v>3507</v>
      </c>
      <c r="R307" s="970"/>
      <c r="S307" s="971">
        <v>12665</v>
      </c>
      <c r="T307" s="973">
        <v>-169</v>
      </c>
      <c r="U307" s="973">
        <v>12496</v>
      </c>
    </row>
    <row r="308" spans="1:21" x14ac:dyDescent="0.25">
      <c r="A308" s="967">
        <v>93201</v>
      </c>
      <c r="B308" s="968" t="s">
        <v>2947</v>
      </c>
      <c r="C308" s="969">
        <v>1.5517E-2</v>
      </c>
      <c r="D308" s="969">
        <v>1.5819699999999999E-2</v>
      </c>
      <c r="E308" s="986">
        <v>7119270</v>
      </c>
      <c r="F308" s="970">
        <v>23705678</v>
      </c>
      <c r="G308" s="970"/>
      <c r="H308" s="971">
        <v>1365667</v>
      </c>
      <c r="I308" s="972">
        <v>5755768</v>
      </c>
      <c r="J308" s="971">
        <v>3385499</v>
      </c>
      <c r="K308" s="970">
        <v>809545</v>
      </c>
      <c r="L308" s="972">
        <f t="shared" si="8"/>
        <v>11316479</v>
      </c>
      <c r="M308" s="970"/>
      <c r="N308" s="971">
        <v>671033</v>
      </c>
      <c r="O308" s="971">
        <v>0</v>
      </c>
      <c r="P308" s="970">
        <v>206420</v>
      </c>
      <c r="Q308" s="972">
        <f t="shared" si="9"/>
        <v>877453</v>
      </c>
      <c r="R308" s="970"/>
      <c r="S308" s="971">
        <v>7988834</v>
      </c>
      <c r="T308" s="973">
        <v>397964</v>
      </c>
      <c r="U308" s="973">
        <f>8386799-1</f>
        <v>8386798</v>
      </c>
    </row>
    <row r="309" spans="1:21" x14ac:dyDescent="0.25">
      <c r="A309" s="967">
        <v>93202</v>
      </c>
      <c r="B309" s="968" t="s">
        <v>2948</v>
      </c>
      <c r="C309" s="969">
        <v>0</v>
      </c>
      <c r="D309" s="969">
        <v>0</v>
      </c>
      <c r="E309" s="986" t="e">
        <v>#N/A</v>
      </c>
      <c r="F309" s="970">
        <v>0</v>
      </c>
      <c r="G309" s="970"/>
      <c r="H309" s="971">
        <v>0</v>
      </c>
      <c r="I309" s="972">
        <v>0</v>
      </c>
      <c r="J309" s="971">
        <v>0</v>
      </c>
      <c r="K309" s="970">
        <v>0</v>
      </c>
      <c r="L309" s="972">
        <f t="shared" si="8"/>
        <v>0</v>
      </c>
      <c r="M309" s="970"/>
      <c r="N309" s="971">
        <v>0</v>
      </c>
      <c r="O309" s="971">
        <v>0</v>
      </c>
      <c r="P309" s="970">
        <v>212519</v>
      </c>
      <c r="Q309" s="972">
        <f t="shared" si="9"/>
        <v>212519</v>
      </c>
      <c r="R309" s="970"/>
      <c r="S309" s="971">
        <v>0</v>
      </c>
      <c r="T309" s="973">
        <v>-109544</v>
      </c>
      <c r="U309" s="973">
        <v>-109544</v>
      </c>
    </row>
    <row r="310" spans="1:21" x14ac:dyDescent="0.25">
      <c r="A310" s="967">
        <v>93204</v>
      </c>
      <c r="B310" s="968" t="s">
        <v>2949</v>
      </c>
      <c r="C310" s="969">
        <v>3.0279999999999999E-4</v>
      </c>
      <c r="D310" s="969">
        <v>2.9480000000000001E-4</v>
      </c>
      <c r="E310" s="986">
        <v>157546</v>
      </c>
      <c r="F310" s="970">
        <v>462595</v>
      </c>
      <c r="G310" s="970"/>
      <c r="H310" s="971">
        <v>26650</v>
      </c>
      <c r="I310" s="972">
        <v>112319</v>
      </c>
      <c r="J310" s="971">
        <v>66065</v>
      </c>
      <c r="K310" s="970">
        <v>24167</v>
      </c>
      <c r="L310" s="972">
        <f t="shared" si="8"/>
        <v>229201</v>
      </c>
      <c r="M310" s="970"/>
      <c r="N310" s="971">
        <v>13095</v>
      </c>
      <c r="O310" s="971">
        <v>0</v>
      </c>
      <c r="P310" s="970">
        <v>9452</v>
      </c>
      <c r="Q310" s="972">
        <f t="shared" si="9"/>
        <v>22547</v>
      </c>
      <c r="R310" s="970"/>
      <c r="S310" s="971">
        <v>155895</v>
      </c>
      <c r="T310" s="973">
        <v>782</v>
      </c>
      <c r="U310" s="973">
        <v>156677</v>
      </c>
    </row>
    <row r="311" spans="1:21" x14ac:dyDescent="0.25">
      <c r="A311" s="967">
        <v>93209</v>
      </c>
      <c r="B311" s="968" t="s">
        <v>2950</v>
      </c>
      <c r="C311" s="969">
        <v>4.6693999999999998E-3</v>
      </c>
      <c r="D311" s="969">
        <v>4.5113999999999996E-3</v>
      </c>
      <c r="E311" s="986">
        <v>2094525</v>
      </c>
      <c r="F311" s="970">
        <v>7133550</v>
      </c>
      <c r="G311" s="970"/>
      <c r="H311" s="971">
        <v>410959</v>
      </c>
      <c r="I311" s="972">
        <v>1732035</v>
      </c>
      <c r="J311" s="971">
        <v>1018770</v>
      </c>
      <c r="K311" s="970">
        <v>838336</v>
      </c>
      <c r="L311" s="972">
        <f t="shared" si="8"/>
        <v>4000100</v>
      </c>
      <c r="M311" s="970"/>
      <c r="N311" s="971">
        <v>201928</v>
      </c>
      <c r="O311" s="971">
        <v>0</v>
      </c>
      <c r="P311" s="970">
        <v>0</v>
      </c>
      <c r="Q311" s="972">
        <f t="shared" si="9"/>
        <v>201928</v>
      </c>
      <c r="R311" s="970"/>
      <c r="S311" s="971">
        <v>2404013</v>
      </c>
      <c r="T311" s="973">
        <v>551077</v>
      </c>
      <c r="U311" s="973">
        <v>2955090</v>
      </c>
    </row>
    <row r="312" spans="1:21" x14ac:dyDescent="0.25">
      <c r="A312" s="967">
        <v>93211</v>
      </c>
      <c r="B312" s="968" t="s">
        <v>2951</v>
      </c>
      <c r="C312" s="969">
        <v>2.0374099999999999E-2</v>
      </c>
      <c r="D312" s="969">
        <v>2.0456800000000001E-2</v>
      </c>
      <c r="E312" s="986">
        <v>9330077</v>
      </c>
      <c r="F312" s="970">
        <v>31125981</v>
      </c>
      <c r="G312" s="970"/>
      <c r="H312" s="971">
        <v>1793145</v>
      </c>
      <c r="I312" s="972">
        <v>7557426</v>
      </c>
      <c r="J312" s="971">
        <v>4445221</v>
      </c>
      <c r="K312" s="970">
        <v>0</v>
      </c>
      <c r="L312" s="972">
        <f t="shared" si="8"/>
        <v>13795792</v>
      </c>
      <c r="M312" s="970"/>
      <c r="N312" s="971">
        <v>881078</v>
      </c>
      <c r="O312" s="971">
        <v>0</v>
      </c>
      <c r="P312" s="970">
        <v>991023</v>
      </c>
      <c r="Q312" s="972">
        <f t="shared" si="9"/>
        <v>1872101</v>
      </c>
      <c r="R312" s="970"/>
      <c r="S312" s="971">
        <v>10489483</v>
      </c>
      <c r="T312" s="973">
        <v>-507236</v>
      </c>
      <c r="U312" s="973">
        <v>9982247</v>
      </c>
    </row>
    <row r="313" spans="1:21" x14ac:dyDescent="0.25">
      <c r="A313" s="967">
        <v>93212</v>
      </c>
      <c r="B313" s="968" t="s">
        <v>2952</v>
      </c>
      <c r="C313" s="969">
        <v>2.2130000000000001E-4</v>
      </c>
      <c r="D313" s="969">
        <v>2.052E-4</v>
      </c>
      <c r="E313" s="986">
        <v>193584</v>
      </c>
      <c r="F313" s="970">
        <v>338085</v>
      </c>
      <c r="G313" s="970"/>
      <c r="H313" s="971">
        <v>19477</v>
      </c>
      <c r="I313" s="972">
        <v>82087</v>
      </c>
      <c r="J313" s="971">
        <v>48283</v>
      </c>
      <c r="K313" s="970">
        <v>158429</v>
      </c>
      <c r="L313" s="972">
        <f t="shared" si="8"/>
        <v>308276</v>
      </c>
      <c r="M313" s="970"/>
      <c r="N313" s="971">
        <v>9570</v>
      </c>
      <c r="O313" s="971">
        <v>0</v>
      </c>
      <c r="P313" s="970">
        <v>0</v>
      </c>
      <c r="Q313" s="972">
        <f t="shared" si="9"/>
        <v>9570</v>
      </c>
      <c r="R313" s="970"/>
      <c r="S313" s="971">
        <v>113935</v>
      </c>
      <c r="T313" s="973">
        <v>53448</v>
      </c>
      <c r="U313" s="973">
        <v>167383</v>
      </c>
    </row>
    <row r="314" spans="1:21" x14ac:dyDescent="0.25">
      <c r="A314" s="967">
        <v>93219</v>
      </c>
      <c r="B314" s="968" t="s">
        <v>2953</v>
      </c>
      <c r="C314" s="969">
        <v>2.6289999999999999E-4</v>
      </c>
      <c r="D314" s="969">
        <v>2.286E-4</v>
      </c>
      <c r="E314" s="986">
        <v>120179</v>
      </c>
      <c r="F314" s="970">
        <v>401638</v>
      </c>
      <c r="G314" s="970"/>
      <c r="H314" s="971">
        <v>23138</v>
      </c>
      <c r="I314" s="972">
        <v>97518</v>
      </c>
      <c r="J314" s="971">
        <v>57360</v>
      </c>
      <c r="K314" s="970">
        <v>22706</v>
      </c>
      <c r="L314" s="972">
        <f t="shared" si="8"/>
        <v>200722</v>
      </c>
      <c r="M314" s="970"/>
      <c r="N314" s="971">
        <v>11369</v>
      </c>
      <c r="O314" s="971">
        <v>0</v>
      </c>
      <c r="P314" s="970">
        <v>9094</v>
      </c>
      <c r="Q314" s="972">
        <f t="shared" si="9"/>
        <v>20463</v>
      </c>
      <c r="R314" s="970"/>
      <c r="S314" s="971">
        <v>135352</v>
      </c>
      <c r="T314" s="973">
        <v>1456</v>
      </c>
      <c r="U314" s="973">
        <f>136809-1</f>
        <v>136808</v>
      </c>
    </row>
    <row r="315" spans="1:21" x14ac:dyDescent="0.25">
      <c r="A315" s="967">
        <v>93301</v>
      </c>
      <c r="B315" s="968" t="s">
        <v>2954</v>
      </c>
      <c r="C315" s="969">
        <v>2.5243000000000002E-3</v>
      </c>
      <c r="D315" s="969">
        <v>2.5330999999999999E-3</v>
      </c>
      <c r="E315" s="986">
        <v>1153746</v>
      </c>
      <c r="F315" s="970">
        <v>3856431</v>
      </c>
      <c r="G315" s="970"/>
      <c r="H315" s="971">
        <v>222166</v>
      </c>
      <c r="I315" s="972">
        <v>936346</v>
      </c>
      <c r="J315" s="971">
        <v>550752</v>
      </c>
      <c r="K315" s="970">
        <v>47371</v>
      </c>
      <c r="L315" s="972">
        <f t="shared" si="8"/>
        <v>1756635</v>
      </c>
      <c r="M315" s="970"/>
      <c r="N315" s="971">
        <v>109163</v>
      </c>
      <c r="O315" s="971">
        <v>0</v>
      </c>
      <c r="P315" s="970">
        <v>61692</v>
      </c>
      <c r="Q315" s="972">
        <f t="shared" si="9"/>
        <v>170855</v>
      </c>
      <c r="R315" s="970"/>
      <c r="S315" s="971">
        <v>1299621</v>
      </c>
      <c r="T315" s="973">
        <v>-19789</v>
      </c>
      <c r="U315" s="973">
        <f>1279831+1</f>
        <v>1279832</v>
      </c>
    </row>
    <row r="316" spans="1:21" x14ac:dyDescent="0.25">
      <c r="A316" s="967">
        <v>93304</v>
      </c>
      <c r="B316" s="968" t="s">
        <v>2955</v>
      </c>
      <c r="C316" s="969">
        <v>3.0300000000000001E-5</v>
      </c>
      <c r="D316" s="969">
        <v>3.4400000000000003E-5</v>
      </c>
      <c r="E316" s="986">
        <v>18289</v>
      </c>
      <c r="F316" s="970">
        <v>46290</v>
      </c>
      <c r="G316" s="970"/>
      <c r="H316" s="971">
        <v>2667</v>
      </c>
      <c r="I316" s="972">
        <v>11239</v>
      </c>
      <c r="J316" s="971">
        <v>6611</v>
      </c>
      <c r="K316" s="970">
        <v>9418</v>
      </c>
      <c r="L316" s="972">
        <f t="shared" si="8"/>
        <v>29935</v>
      </c>
      <c r="M316" s="970"/>
      <c r="N316" s="971">
        <v>1310</v>
      </c>
      <c r="O316" s="971">
        <v>0</v>
      </c>
      <c r="P316" s="970">
        <v>0</v>
      </c>
      <c r="Q316" s="972">
        <f t="shared" si="9"/>
        <v>1310</v>
      </c>
      <c r="R316" s="970"/>
      <c r="S316" s="971">
        <v>15600</v>
      </c>
      <c r="T316" s="973">
        <v>5129</v>
      </c>
      <c r="U316" s="973">
        <v>20729</v>
      </c>
    </row>
    <row r="317" spans="1:21" x14ac:dyDescent="0.25">
      <c r="A317" s="967">
        <v>93305</v>
      </c>
      <c r="B317" s="968" t="s">
        <v>2956</v>
      </c>
      <c r="C317" s="969">
        <v>4.6999999999999997E-5</v>
      </c>
      <c r="D317" s="969">
        <v>4.9400000000000001E-5</v>
      </c>
      <c r="E317" s="986">
        <v>19565</v>
      </c>
      <c r="F317" s="970">
        <v>71803</v>
      </c>
      <c r="G317" s="970"/>
      <c r="H317" s="971">
        <v>4137</v>
      </c>
      <c r="I317" s="972">
        <v>17434</v>
      </c>
      <c r="J317" s="971">
        <v>10254</v>
      </c>
      <c r="K317" s="970">
        <v>0</v>
      </c>
      <c r="L317" s="972">
        <f t="shared" si="8"/>
        <v>31825</v>
      </c>
      <c r="M317" s="970"/>
      <c r="N317" s="971">
        <v>2033</v>
      </c>
      <c r="O317" s="971">
        <v>0</v>
      </c>
      <c r="P317" s="970">
        <v>5631</v>
      </c>
      <c r="Q317" s="972">
        <f t="shared" si="9"/>
        <v>7664</v>
      </c>
      <c r="R317" s="970"/>
      <c r="S317" s="971">
        <v>24198</v>
      </c>
      <c r="T317" s="973">
        <v>-1929</v>
      </c>
      <c r="U317" s="973">
        <v>22269</v>
      </c>
    </row>
    <row r="318" spans="1:21" x14ac:dyDescent="0.25">
      <c r="A318" s="967">
        <v>93309</v>
      </c>
      <c r="B318" s="968" t="s">
        <v>2957</v>
      </c>
      <c r="C318" s="969">
        <v>1.63E-4</v>
      </c>
      <c r="D318" s="969">
        <v>1.716E-4</v>
      </c>
      <c r="E318" s="986">
        <v>89051</v>
      </c>
      <c r="F318" s="970">
        <v>249019</v>
      </c>
      <c r="G318" s="970"/>
      <c r="H318" s="971">
        <v>14346</v>
      </c>
      <c r="I318" s="972">
        <v>60462</v>
      </c>
      <c r="J318" s="971">
        <v>35563</v>
      </c>
      <c r="K318" s="970">
        <v>22457</v>
      </c>
      <c r="L318" s="972">
        <f t="shared" si="8"/>
        <v>132828</v>
      </c>
      <c r="M318" s="970"/>
      <c r="N318" s="971">
        <v>7049</v>
      </c>
      <c r="O318" s="971">
        <v>0</v>
      </c>
      <c r="P318" s="970">
        <v>981</v>
      </c>
      <c r="Q318" s="972">
        <f t="shared" si="9"/>
        <v>8030</v>
      </c>
      <c r="R318" s="970"/>
      <c r="S318" s="971">
        <v>83920</v>
      </c>
      <c r="T318" s="973">
        <v>7147</v>
      </c>
      <c r="U318" s="973">
        <v>91067</v>
      </c>
    </row>
    <row r="319" spans="1:21" x14ac:dyDescent="0.25">
      <c r="A319" s="967">
        <v>93311</v>
      </c>
      <c r="B319" s="968" t="s">
        <v>2958</v>
      </c>
      <c r="C319" s="969">
        <v>1.1665E-3</v>
      </c>
      <c r="D319" s="969">
        <v>1.1567000000000001E-3</v>
      </c>
      <c r="E319" s="986">
        <v>529432</v>
      </c>
      <c r="F319" s="970">
        <v>1782089</v>
      </c>
      <c r="G319" s="970"/>
      <c r="H319" s="971">
        <v>102665</v>
      </c>
      <c r="I319" s="972">
        <v>432693</v>
      </c>
      <c r="J319" s="971">
        <v>254507</v>
      </c>
      <c r="K319" s="970">
        <v>1699</v>
      </c>
      <c r="L319" s="972">
        <f t="shared" si="8"/>
        <v>791564</v>
      </c>
      <c r="M319" s="970"/>
      <c r="N319" s="971">
        <v>50445</v>
      </c>
      <c r="O319" s="971">
        <v>0</v>
      </c>
      <c r="P319" s="970">
        <v>83745</v>
      </c>
      <c r="Q319" s="972">
        <f t="shared" si="9"/>
        <v>134190</v>
      </c>
      <c r="R319" s="970"/>
      <c r="S319" s="971">
        <v>600566</v>
      </c>
      <c r="T319" s="973">
        <v>-37677</v>
      </c>
      <c r="U319" s="973">
        <v>562889</v>
      </c>
    </row>
    <row r="320" spans="1:21" x14ac:dyDescent="0.25">
      <c r="A320" s="967">
        <v>93317</v>
      </c>
      <c r="B320" s="968" t="s">
        <v>2959</v>
      </c>
      <c r="C320" s="969">
        <v>5.0099999999999998E-5</v>
      </c>
      <c r="D320" s="969">
        <v>4.8099999999999997E-5</v>
      </c>
      <c r="E320" s="986">
        <v>21779</v>
      </c>
      <c r="F320" s="970">
        <v>76539</v>
      </c>
      <c r="G320" s="970"/>
      <c r="H320" s="971">
        <v>4409</v>
      </c>
      <c r="I320" s="972">
        <v>18583</v>
      </c>
      <c r="J320" s="971">
        <v>10931</v>
      </c>
      <c r="K320" s="970">
        <v>805</v>
      </c>
      <c r="L320" s="972">
        <f t="shared" si="8"/>
        <v>34728</v>
      </c>
      <c r="M320" s="970"/>
      <c r="N320" s="971">
        <v>2167</v>
      </c>
      <c r="O320" s="971">
        <v>0</v>
      </c>
      <c r="P320" s="970">
        <v>277</v>
      </c>
      <c r="Q320" s="972">
        <f t="shared" si="9"/>
        <v>2444</v>
      </c>
      <c r="R320" s="970"/>
      <c r="S320" s="971">
        <v>25794</v>
      </c>
      <c r="T320" s="973">
        <v>-23</v>
      </c>
      <c r="U320" s="973">
        <f>25770+1</f>
        <v>25771</v>
      </c>
    </row>
    <row r="321" spans="1:21" x14ac:dyDescent="0.25">
      <c r="A321" s="967">
        <v>93321</v>
      </c>
      <c r="B321" s="968" t="s">
        <v>2960</v>
      </c>
      <c r="C321" s="969">
        <v>7.3600000000000002E-3</v>
      </c>
      <c r="D321" s="969">
        <v>7.4706E-3</v>
      </c>
      <c r="E321" s="986">
        <v>3205902</v>
      </c>
      <c r="F321" s="970">
        <v>11244041</v>
      </c>
      <c r="G321" s="970"/>
      <c r="H321" s="971">
        <v>647761</v>
      </c>
      <c r="I321" s="972">
        <v>2730067</v>
      </c>
      <c r="J321" s="971">
        <v>1605805</v>
      </c>
      <c r="K321" s="970">
        <v>0</v>
      </c>
      <c r="L321" s="972">
        <f t="shared" si="8"/>
        <v>4983633</v>
      </c>
      <c r="M321" s="970"/>
      <c r="N321" s="971">
        <v>318283</v>
      </c>
      <c r="O321" s="971">
        <v>0</v>
      </c>
      <c r="P321" s="970">
        <v>681688</v>
      </c>
      <c r="Q321" s="972">
        <f t="shared" si="9"/>
        <v>999971</v>
      </c>
      <c r="R321" s="970"/>
      <c r="S321" s="971">
        <v>3789252</v>
      </c>
      <c r="T321" s="973">
        <v>-330030</v>
      </c>
      <c r="U321" s="973">
        <f>3459221+1</f>
        <v>3459222</v>
      </c>
    </row>
    <row r="322" spans="1:21" x14ac:dyDescent="0.25">
      <c r="A322" s="967">
        <v>93323</v>
      </c>
      <c r="B322" s="968" t="s">
        <v>2961</v>
      </c>
      <c r="C322" s="969">
        <v>2.19E-5</v>
      </c>
      <c r="D322" s="969">
        <v>1.0200000000000001E-5</v>
      </c>
      <c r="E322" s="986">
        <v>8923</v>
      </c>
      <c r="F322" s="970">
        <v>33457</v>
      </c>
      <c r="G322" s="970"/>
      <c r="H322" s="971">
        <v>1927</v>
      </c>
      <c r="I322" s="972">
        <v>8123</v>
      </c>
      <c r="J322" s="971">
        <v>4778</v>
      </c>
      <c r="K322" s="970">
        <v>8607</v>
      </c>
      <c r="L322" s="972">
        <f t="shared" si="8"/>
        <v>23435</v>
      </c>
      <c r="M322" s="970"/>
      <c r="N322" s="971">
        <v>947</v>
      </c>
      <c r="O322" s="971">
        <v>0</v>
      </c>
      <c r="P322" s="970">
        <v>1100</v>
      </c>
      <c r="Q322" s="972">
        <f t="shared" si="9"/>
        <v>2047</v>
      </c>
      <c r="R322" s="970"/>
      <c r="S322" s="971">
        <v>11275</v>
      </c>
      <c r="T322" s="973">
        <v>2519</v>
      </c>
      <c r="U322" s="973">
        <v>13794</v>
      </c>
    </row>
    <row r="323" spans="1:21" x14ac:dyDescent="0.25">
      <c r="A323" s="967">
        <v>93331</v>
      </c>
      <c r="B323" s="968" t="s">
        <v>2962</v>
      </c>
      <c r="C323" s="969">
        <v>1.208E-4</v>
      </c>
      <c r="D323" s="969">
        <v>1.3090000000000001E-4</v>
      </c>
      <c r="E323" s="986">
        <v>56936</v>
      </c>
      <c r="F323" s="970">
        <v>184549</v>
      </c>
      <c r="G323" s="970"/>
      <c r="H323" s="971">
        <v>10632</v>
      </c>
      <c r="I323" s="972">
        <v>44809</v>
      </c>
      <c r="J323" s="971">
        <v>26356</v>
      </c>
      <c r="K323" s="970">
        <v>2512</v>
      </c>
      <c r="L323" s="972">
        <f t="shared" si="8"/>
        <v>84309</v>
      </c>
      <c r="M323" s="970"/>
      <c r="N323" s="971">
        <v>5224</v>
      </c>
      <c r="O323" s="971">
        <v>0</v>
      </c>
      <c r="P323" s="970">
        <v>11531</v>
      </c>
      <c r="Q323" s="972">
        <f t="shared" si="9"/>
        <v>16755</v>
      </c>
      <c r="R323" s="970"/>
      <c r="S323" s="971">
        <v>62193</v>
      </c>
      <c r="T323" s="973">
        <v>-2506</v>
      </c>
      <c r="U323" s="973">
        <v>59687</v>
      </c>
    </row>
    <row r="324" spans="1:21" x14ac:dyDescent="0.25">
      <c r="A324" s="967">
        <v>93333</v>
      </c>
      <c r="B324" s="968" t="s">
        <v>2963</v>
      </c>
      <c r="C324" s="969">
        <v>1.796E-4</v>
      </c>
      <c r="D324" s="969">
        <v>1.9990000000000001E-4</v>
      </c>
      <c r="E324" s="986">
        <v>190543</v>
      </c>
      <c r="F324" s="970">
        <v>274379</v>
      </c>
      <c r="G324" s="970"/>
      <c r="H324" s="971">
        <v>15807</v>
      </c>
      <c r="I324" s="972">
        <v>66619</v>
      </c>
      <c r="J324" s="971">
        <v>39185</v>
      </c>
      <c r="K324" s="970">
        <v>194737</v>
      </c>
      <c r="L324" s="972">
        <f t="shared" si="8"/>
        <v>316348</v>
      </c>
      <c r="M324" s="970"/>
      <c r="N324" s="971">
        <v>7767</v>
      </c>
      <c r="O324" s="971">
        <v>0</v>
      </c>
      <c r="P324" s="970">
        <v>0</v>
      </c>
      <c r="Q324" s="972">
        <f t="shared" si="9"/>
        <v>7767</v>
      </c>
      <c r="R324" s="970"/>
      <c r="S324" s="971">
        <v>92466</v>
      </c>
      <c r="T324" s="973">
        <v>74695</v>
      </c>
      <c r="U324" s="973">
        <v>167161</v>
      </c>
    </row>
    <row r="325" spans="1:21" x14ac:dyDescent="0.25">
      <c r="A325" s="967">
        <v>93341</v>
      </c>
      <c r="B325" s="968" t="s">
        <v>2964</v>
      </c>
      <c r="C325" s="969">
        <v>2.34E-5</v>
      </c>
      <c r="D325" s="969">
        <v>2.73E-5</v>
      </c>
      <c r="E325" s="986">
        <v>12933</v>
      </c>
      <c r="F325" s="970">
        <v>35749</v>
      </c>
      <c r="G325" s="970"/>
      <c r="H325" s="971">
        <v>2059</v>
      </c>
      <c r="I325" s="972">
        <v>8680</v>
      </c>
      <c r="J325" s="971">
        <v>5105</v>
      </c>
      <c r="K325" s="970">
        <v>1866</v>
      </c>
      <c r="L325" s="972">
        <f t="shared" si="8"/>
        <v>17710</v>
      </c>
      <c r="M325" s="970"/>
      <c r="N325" s="971">
        <v>1012</v>
      </c>
      <c r="O325" s="971">
        <v>0</v>
      </c>
      <c r="P325" s="970">
        <v>863</v>
      </c>
      <c r="Q325" s="972">
        <f t="shared" si="9"/>
        <v>1875</v>
      </c>
      <c r="R325" s="970"/>
      <c r="S325" s="971">
        <v>12047</v>
      </c>
      <c r="T325" s="973">
        <v>708</v>
      </c>
      <c r="U325" s="973">
        <v>12755</v>
      </c>
    </row>
    <row r="326" spans="1:21" x14ac:dyDescent="0.25">
      <c r="A326" s="967">
        <v>93351</v>
      </c>
      <c r="B326" s="968" t="s">
        <v>2965</v>
      </c>
      <c r="C326" s="969">
        <v>3.4E-5</v>
      </c>
      <c r="D326" s="969">
        <v>1.5999999999999999E-5</v>
      </c>
      <c r="E326" s="986">
        <v>16319</v>
      </c>
      <c r="F326" s="970">
        <v>51943</v>
      </c>
      <c r="G326" s="970"/>
      <c r="H326" s="971">
        <v>2992</v>
      </c>
      <c r="I326" s="972">
        <v>12611</v>
      </c>
      <c r="J326" s="971">
        <v>7418</v>
      </c>
      <c r="K326" s="970">
        <v>18867</v>
      </c>
      <c r="L326" s="972">
        <f t="shared" si="8"/>
        <v>41888</v>
      </c>
      <c r="M326" s="970"/>
      <c r="N326" s="971">
        <v>1470</v>
      </c>
      <c r="O326" s="971">
        <v>0</v>
      </c>
      <c r="P326" s="970">
        <v>4169</v>
      </c>
      <c r="Q326" s="972">
        <f t="shared" si="9"/>
        <v>5639</v>
      </c>
      <c r="R326" s="970"/>
      <c r="S326" s="971">
        <v>17505</v>
      </c>
      <c r="T326" s="973">
        <v>2906</v>
      </c>
      <c r="U326" s="973">
        <f>20410+1</f>
        <v>20411</v>
      </c>
    </row>
    <row r="327" spans="1:21" x14ac:dyDescent="0.25">
      <c r="A327" s="967">
        <v>93401</v>
      </c>
      <c r="B327" s="968" t="s">
        <v>2966</v>
      </c>
      <c r="C327" s="969">
        <v>1.3834900000000001E-2</v>
      </c>
      <c r="D327" s="969">
        <v>1.37997E-2</v>
      </c>
      <c r="E327" s="986">
        <v>6356857</v>
      </c>
      <c r="F327" s="970">
        <v>21135895</v>
      </c>
      <c r="G327" s="970"/>
      <c r="H327" s="971">
        <v>1217623</v>
      </c>
      <c r="I327" s="972">
        <v>5131821</v>
      </c>
      <c r="J327" s="971">
        <v>3018498</v>
      </c>
      <c r="K327" s="970">
        <v>99926</v>
      </c>
      <c r="L327" s="972">
        <f t="shared" ref="L327:L390" si="10">H327+I327+J327+K327</f>
        <v>9467868</v>
      </c>
      <c r="M327" s="970"/>
      <c r="N327" s="971">
        <v>598290</v>
      </c>
      <c r="O327" s="971">
        <v>0</v>
      </c>
      <c r="P327" s="970">
        <v>186001</v>
      </c>
      <c r="Q327" s="972">
        <f t="shared" ref="Q327:Q390" si="11">N327+O327+P327</f>
        <v>784291</v>
      </c>
      <c r="R327" s="970"/>
      <c r="S327" s="971">
        <v>7122815</v>
      </c>
      <c r="T327" s="973">
        <v>-76616</v>
      </c>
      <c r="U327" s="973">
        <v>7046199</v>
      </c>
    </row>
    <row r="328" spans="1:21" x14ac:dyDescent="0.25">
      <c r="A328" s="967">
        <v>93402</v>
      </c>
      <c r="B328" s="968" t="s">
        <v>2967</v>
      </c>
      <c r="C328" s="969">
        <v>9.8800000000000003E-5</v>
      </c>
      <c r="D328" s="969">
        <v>9.2999999999999997E-5</v>
      </c>
      <c r="E328" s="986">
        <v>38604</v>
      </c>
      <c r="F328" s="970">
        <v>150939</v>
      </c>
      <c r="G328" s="970"/>
      <c r="H328" s="971">
        <v>8695</v>
      </c>
      <c r="I328" s="972">
        <v>36648</v>
      </c>
      <c r="J328" s="971">
        <v>21556</v>
      </c>
      <c r="K328" s="970">
        <v>5545</v>
      </c>
      <c r="L328" s="972">
        <f t="shared" si="10"/>
        <v>72444</v>
      </c>
      <c r="M328" s="970"/>
      <c r="N328" s="971">
        <v>4273</v>
      </c>
      <c r="O328" s="971">
        <v>0</v>
      </c>
      <c r="P328" s="970">
        <v>3446</v>
      </c>
      <c r="Q328" s="972">
        <f t="shared" si="11"/>
        <v>7719</v>
      </c>
      <c r="R328" s="970"/>
      <c r="S328" s="971">
        <v>50867</v>
      </c>
      <c r="T328" s="973">
        <v>3029</v>
      </c>
      <c r="U328" s="973">
        <f>53895+1</f>
        <v>53896</v>
      </c>
    </row>
    <row r="329" spans="1:21" x14ac:dyDescent="0.25">
      <c r="A329" s="967">
        <v>93406</v>
      </c>
      <c r="B329" s="968" t="s">
        <v>2968</v>
      </c>
      <c r="C329" s="969">
        <v>6.5059999999999998E-4</v>
      </c>
      <c r="D329" s="969">
        <v>7.1170000000000001E-4</v>
      </c>
      <c r="E329" s="986">
        <v>289720</v>
      </c>
      <c r="F329" s="970">
        <v>993937</v>
      </c>
      <c r="G329" s="970"/>
      <c r="H329" s="971">
        <v>57260</v>
      </c>
      <c r="I329" s="972">
        <v>241329</v>
      </c>
      <c r="J329" s="971">
        <v>141948</v>
      </c>
      <c r="K329" s="970">
        <v>26056</v>
      </c>
      <c r="L329" s="972">
        <f t="shared" si="10"/>
        <v>466593</v>
      </c>
      <c r="M329" s="970"/>
      <c r="N329" s="971">
        <v>28135</v>
      </c>
      <c r="O329" s="971">
        <v>0</v>
      </c>
      <c r="P329" s="970">
        <v>48133</v>
      </c>
      <c r="Q329" s="972">
        <f t="shared" si="11"/>
        <v>76268</v>
      </c>
      <c r="R329" s="970"/>
      <c r="S329" s="971">
        <v>334958</v>
      </c>
      <c r="T329" s="973">
        <v>7011</v>
      </c>
      <c r="U329" s="973">
        <f>341968+1</f>
        <v>341969</v>
      </c>
    </row>
    <row r="330" spans="1:21" x14ac:dyDescent="0.25">
      <c r="A330" s="967">
        <v>93408</v>
      </c>
      <c r="B330" s="968" t="s">
        <v>2969</v>
      </c>
      <c r="C330" s="969">
        <v>0</v>
      </c>
      <c r="D330" s="969">
        <v>1.8967999999999999E-3</v>
      </c>
      <c r="E330" s="986">
        <v>73962</v>
      </c>
      <c r="F330" s="970">
        <v>0</v>
      </c>
      <c r="G330" s="970"/>
      <c r="H330" s="971">
        <v>0</v>
      </c>
      <c r="I330" s="972">
        <v>0</v>
      </c>
      <c r="J330" s="971">
        <v>0</v>
      </c>
      <c r="K330" s="970">
        <v>173575</v>
      </c>
      <c r="L330" s="972">
        <f t="shared" si="10"/>
        <v>173575</v>
      </c>
      <c r="M330" s="970"/>
      <c r="N330" s="971">
        <v>0</v>
      </c>
      <c r="O330" s="971">
        <v>0</v>
      </c>
      <c r="P330" s="970">
        <v>1605024</v>
      </c>
      <c r="Q330" s="972">
        <f t="shared" si="11"/>
        <v>1605024</v>
      </c>
      <c r="R330" s="970"/>
      <c r="S330" s="971">
        <v>0</v>
      </c>
      <c r="T330" s="973">
        <v>-292149</v>
      </c>
      <c r="U330" s="973">
        <v>-292149</v>
      </c>
    </row>
    <row r="331" spans="1:21" x14ac:dyDescent="0.25">
      <c r="A331" s="967">
        <v>93411</v>
      </c>
      <c r="B331" s="968" t="s">
        <v>2970</v>
      </c>
      <c r="C331" s="969">
        <v>1.7454999999999998E-2</v>
      </c>
      <c r="D331" s="969">
        <v>1.73309E-2</v>
      </c>
      <c r="E331" s="986">
        <v>8222694</v>
      </c>
      <c r="F331" s="970">
        <v>26666405</v>
      </c>
      <c r="G331" s="970"/>
      <c r="H331" s="971">
        <v>1536232</v>
      </c>
      <c r="I331" s="972">
        <v>6474635</v>
      </c>
      <c r="J331" s="971">
        <v>3808332</v>
      </c>
      <c r="K331" s="970">
        <v>250711</v>
      </c>
      <c r="L331" s="972">
        <f t="shared" si="10"/>
        <v>12069910</v>
      </c>
      <c r="M331" s="970"/>
      <c r="N331" s="971">
        <v>754841</v>
      </c>
      <c r="O331" s="971">
        <v>0</v>
      </c>
      <c r="P331" s="970">
        <v>594754</v>
      </c>
      <c r="Q331" s="972">
        <f t="shared" si="11"/>
        <v>1349595</v>
      </c>
      <c r="R331" s="970"/>
      <c r="S331" s="971">
        <v>8986602</v>
      </c>
      <c r="T331" s="973">
        <v>-306468</v>
      </c>
      <c r="U331" s="973">
        <v>8680134</v>
      </c>
    </row>
    <row r="332" spans="1:21" x14ac:dyDescent="0.25">
      <c r="A332" s="967">
        <v>93413</v>
      </c>
      <c r="B332" s="968" t="s">
        <v>2971</v>
      </c>
      <c r="C332" s="969">
        <v>7.7070000000000003E-4</v>
      </c>
      <c r="D332" s="969">
        <v>8.0130000000000002E-4</v>
      </c>
      <c r="E332" s="986">
        <v>378796</v>
      </c>
      <c r="F332" s="970">
        <v>1177416</v>
      </c>
      <c r="G332" s="970"/>
      <c r="H332" s="971">
        <v>67830</v>
      </c>
      <c r="I332" s="972">
        <v>285878</v>
      </c>
      <c r="J332" s="971">
        <v>168151</v>
      </c>
      <c r="K332" s="970">
        <v>0</v>
      </c>
      <c r="L332" s="972">
        <f t="shared" si="10"/>
        <v>521859</v>
      </c>
      <c r="M332" s="970"/>
      <c r="N332" s="971">
        <v>33329</v>
      </c>
      <c r="O332" s="971">
        <v>0</v>
      </c>
      <c r="P332" s="970">
        <v>35372</v>
      </c>
      <c r="Q332" s="972">
        <f t="shared" si="11"/>
        <v>68701</v>
      </c>
      <c r="R332" s="970"/>
      <c r="S332" s="971">
        <v>396790</v>
      </c>
      <c r="T332" s="973">
        <v>-17507</v>
      </c>
      <c r="U332" s="973">
        <v>379283</v>
      </c>
    </row>
    <row r="333" spans="1:21" x14ac:dyDescent="0.25">
      <c r="A333" s="967">
        <v>93417</v>
      </c>
      <c r="B333" s="968" t="s">
        <v>2972</v>
      </c>
      <c r="C333" s="969">
        <v>3.4430000000000002E-4</v>
      </c>
      <c r="D333" s="969">
        <v>4.1130000000000002E-4</v>
      </c>
      <c r="E333" s="986">
        <v>172878</v>
      </c>
      <c r="F333" s="970">
        <v>525995</v>
      </c>
      <c r="G333" s="970"/>
      <c r="H333" s="971">
        <v>30302</v>
      </c>
      <c r="I333" s="972">
        <v>127712</v>
      </c>
      <c r="J333" s="971">
        <v>75119</v>
      </c>
      <c r="K333" s="970">
        <v>15432</v>
      </c>
      <c r="L333" s="972">
        <f t="shared" si="10"/>
        <v>248565</v>
      </c>
      <c r="M333" s="970"/>
      <c r="N333" s="971">
        <v>14889</v>
      </c>
      <c r="O333" s="971">
        <v>0</v>
      </c>
      <c r="P333" s="970">
        <v>33069</v>
      </c>
      <c r="Q333" s="972">
        <f t="shared" si="11"/>
        <v>47958</v>
      </c>
      <c r="R333" s="970"/>
      <c r="S333" s="971">
        <v>177261</v>
      </c>
      <c r="T333" s="973">
        <v>5883</v>
      </c>
      <c r="U333" s="973">
        <v>183144</v>
      </c>
    </row>
    <row r="334" spans="1:21" x14ac:dyDescent="0.25">
      <c r="A334" s="967">
        <v>93421</v>
      </c>
      <c r="B334" s="968" t="s">
        <v>2973</v>
      </c>
      <c r="C334" s="969">
        <v>2.1294999999999999E-3</v>
      </c>
      <c r="D334" s="969">
        <v>2.1646E-3</v>
      </c>
      <c r="E334" s="986">
        <v>893357</v>
      </c>
      <c r="F334" s="970">
        <v>3253286</v>
      </c>
      <c r="G334" s="970"/>
      <c r="H334" s="971">
        <v>187419</v>
      </c>
      <c r="I334" s="972">
        <v>789902</v>
      </c>
      <c r="J334" s="971">
        <v>464614</v>
      </c>
      <c r="K334" s="970">
        <v>0</v>
      </c>
      <c r="L334" s="972">
        <f t="shared" si="10"/>
        <v>1441935</v>
      </c>
      <c r="M334" s="970"/>
      <c r="N334" s="971">
        <v>92090</v>
      </c>
      <c r="O334" s="971">
        <v>0</v>
      </c>
      <c r="P334" s="970">
        <v>273225</v>
      </c>
      <c r="Q334" s="972">
        <f t="shared" si="11"/>
        <v>365315</v>
      </c>
      <c r="R334" s="970"/>
      <c r="S334" s="971">
        <v>1096360</v>
      </c>
      <c r="T334" s="973">
        <v>-126565</v>
      </c>
      <c r="U334" s="973">
        <v>969795</v>
      </c>
    </row>
    <row r="335" spans="1:21" x14ac:dyDescent="0.25">
      <c r="A335" s="967">
        <v>93431</v>
      </c>
      <c r="B335" s="968" t="s">
        <v>2974</v>
      </c>
      <c r="C335" s="969">
        <v>1.2689999999999999E-4</v>
      </c>
      <c r="D335" s="969">
        <v>1.127E-4</v>
      </c>
      <c r="E335" s="986">
        <v>61080</v>
      </c>
      <c r="F335" s="970">
        <v>193868</v>
      </c>
      <c r="G335" s="970"/>
      <c r="H335" s="971">
        <v>11169</v>
      </c>
      <c r="I335" s="972">
        <v>47071</v>
      </c>
      <c r="J335" s="971">
        <v>27687</v>
      </c>
      <c r="K335" s="970">
        <v>12612</v>
      </c>
      <c r="L335" s="972">
        <f t="shared" si="10"/>
        <v>98539</v>
      </c>
      <c r="M335" s="970"/>
      <c r="N335" s="971">
        <v>5488</v>
      </c>
      <c r="O335" s="971">
        <v>0</v>
      </c>
      <c r="P335" s="970">
        <v>5397</v>
      </c>
      <c r="Q335" s="972">
        <f t="shared" si="11"/>
        <v>10885</v>
      </c>
      <c r="R335" s="970"/>
      <c r="S335" s="971">
        <v>65334</v>
      </c>
      <c r="T335" s="973">
        <v>1734</v>
      </c>
      <c r="U335" s="973">
        <v>67068</v>
      </c>
    </row>
    <row r="336" spans="1:21" x14ac:dyDescent="0.25">
      <c r="A336" s="967">
        <v>93441</v>
      </c>
      <c r="B336" s="968" t="s">
        <v>2975</v>
      </c>
      <c r="C336" s="969">
        <v>1.54E-4</v>
      </c>
      <c r="D336" s="969">
        <v>1.4970000000000001E-4</v>
      </c>
      <c r="E336" s="986">
        <v>77933</v>
      </c>
      <c r="F336" s="970">
        <v>235269</v>
      </c>
      <c r="G336" s="970"/>
      <c r="H336" s="971">
        <v>13554</v>
      </c>
      <c r="I336" s="972">
        <v>57124</v>
      </c>
      <c r="J336" s="971">
        <v>33600</v>
      </c>
      <c r="K336" s="970">
        <v>30786</v>
      </c>
      <c r="L336" s="972">
        <f t="shared" si="10"/>
        <v>135064</v>
      </c>
      <c r="M336" s="970"/>
      <c r="N336" s="971">
        <v>6660</v>
      </c>
      <c r="O336" s="971">
        <v>0</v>
      </c>
      <c r="P336" s="970">
        <v>0</v>
      </c>
      <c r="Q336" s="972">
        <f t="shared" si="11"/>
        <v>6660</v>
      </c>
      <c r="R336" s="970"/>
      <c r="S336" s="971">
        <v>79286</v>
      </c>
      <c r="T336" s="973">
        <v>14822</v>
      </c>
      <c r="U336" s="973">
        <v>94108</v>
      </c>
    </row>
    <row r="337" spans="1:21" x14ac:dyDescent="0.25">
      <c r="A337" s="967">
        <v>93442</v>
      </c>
      <c r="B337" s="968" t="s">
        <v>2976</v>
      </c>
      <c r="C337" s="969">
        <v>1.505E-4</v>
      </c>
      <c r="D337" s="969">
        <v>1.3540000000000001E-4</v>
      </c>
      <c r="E337" s="986">
        <v>57507</v>
      </c>
      <c r="F337" s="970">
        <v>229922</v>
      </c>
      <c r="G337" s="970"/>
      <c r="H337" s="971">
        <v>13246</v>
      </c>
      <c r="I337" s="972">
        <v>55826</v>
      </c>
      <c r="J337" s="971">
        <v>32836</v>
      </c>
      <c r="K337" s="970">
        <v>5191</v>
      </c>
      <c r="L337" s="972">
        <f t="shared" si="10"/>
        <v>107099</v>
      </c>
      <c r="M337" s="970"/>
      <c r="N337" s="971">
        <v>6508</v>
      </c>
      <c r="O337" s="971">
        <v>0</v>
      </c>
      <c r="P337" s="970">
        <v>20988</v>
      </c>
      <c r="Q337" s="972">
        <f t="shared" si="11"/>
        <v>27496</v>
      </c>
      <c r="R337" s="970"/>
      <c r="S337" s="971">
        <v>77484</v>
      </c>
      <c r="T337" s="973">
        <v>-6353</v>
      </c>
      <c r="U337" s="973">
        <v>71131</v>
      </c>
    </row>
    <row r="338" spans="1:21" x14ac:dyDescent="0.25">
      <c r="A338" s="967">
        <v>93451</v>
      </c>
      <c r="B338" s="968" t="s">
        <v>2977</v>
      </c>
      <c r="C338" s="969">
        <v>7.0900000000000002E-5</v>
      </c>
      <c r="D338" s="969">
        <v>7.6899999999999999E-5</v>
      </c>
      <c r="E338" s="986">
        <v>41775</v>
      </c>
      <c r="F338" s="970">
        <v>108316</v>
      </c>
      <c r="G338" s="970"/>
      <c r="H338" s="971">
        <v>6240</v>
      </c>
      <c r="I338" s="972">
        <v>26299</v>
      </c>
      <c r="J338" s="971">
        <v>15469</v>
      </c>
      <c r="K338" s="970">
        <v>16242</v>
      </c>
      <c r="L338" s="972">
        <f t="shared" si="10"/>
        <v>64250</v>
      </c>
      <c r="M338" s="970"/>
      <c r="N338" s="971">
        <v>3066</v>
      </c>
      <c r="O338" s="971">
        <v>0</v>
      </c>
      <c r="P338" s="970">
        <v>1492</v>
      </c>
      <c r="Q338" s="972">
        <f t="shared" si="11"/>
        <v>4558</v>
      </c>
      <c r="R338" s="970"/>
      <c r="S338" s="971">
        <v>36502</v>
      </c>
      <c r="T338" s="973">
        <v>5181</v>
      </c>
      <c r="U338" s="973">
        <f>41684-1</f>
        <v>41683</v>
      </c>
    </row>
    <row r="339" spans="1:21" x14ac:dyDescent="0.25">
      <c r="A339" s="967">
        <v>93461</v>
      </c>
      <c r="B339" s="968" t="s">
        <v>2978</v>
      </c>
      <c r="C339" s="969">
        <v>1.66E-5</v>
      </c>
      <c r="D339" s="969">
        <v>1.7200000000000001E-5</v>
      </c>
      <c r="E339" s="986">
        <v>8264</v>
      </c>
      <c r="F339" s="970">
        <v>25360</v>
      </c>
      <c r="G339" s="970"/>
      <c r="H339" s="971">
        <v>1461</v>
      </c>
      <c r="I339" s="972">
        <v>6157</v>
      </c>
      <c r="J339" s="971">
        <v>3622</v>
      </c>
      <c r="K339" s="970">
        <v>580</v>
      </c>
      <c r="L339" s="972">
        <f t="shared" si="10"/>
        <v>11820</v>
      </c>
      <c r="M339" s="970"/>
      <c r="N339" s="971">
        <v>718</v>
      </c>
      <c r="O339" s="971">
        <v>0</v>
      </c>
      <c r="P339" s="970">
        <v>0</v>
      </c>
      <c r="Q339" s="972">
        <f t="shared" si="11"/>
        <v>718</v>
      </c>
      <c r="R339" s="970"/>
      <c r="S339" s="971">
        <v>8546</v>
      </c>
      <c r="T339" s="973">
        <v>254</v>
      </c>
      <c r="U339" s="973">
        <f>8801-1</f>
        <v>8800</v>
      </c>
    </row>
    <row r="340" spans="1:21" x14ac:dyDescent="0.25">
      <c r="A340" s="967">
        <v>93471</v>
      </c>
      <c r="B340" s="968" t="s">
        <v>2979</v>
      </c>
      <c r="C340" s="969">
        <v>1.31E-5</v>
      </c>
      <c r="D340" s="969">
        <v>1.1800000000000001E-5</v>
      </c>
      <c r="E340" s="986">
        <v>8324</v>
      </c>
      <c r="F340" s="970">
        <v>20013</v>
      </c>
      <c r="G340" s="970"/>
      <c r="H340" s="971">
        <v>1153</v>
      </c>
      <c r="I340" s="972">
        <v>4859</v>
      </c>
      <c r="J340" s="971">
        <v>2858</v>
      </c>
      <c r="K340" s="970">
        <v>4280</v>
      </c>
      <c r="L340" s="972">
        <f t="shared" si="10"/>
        <v>13150</v>
      </c>
      <c r="M340" s="970"/>
      <c r="N340" s="971">
        <v>567</v>
      </c>
      <c r="O340" s="971">
        <v>0</v>
      </c>
      <c r="P340" s="970">
        <v>63</v>
      </c>
      <c r="Q340" s="972">
        <f t="shared" si="11"/>
        <v>630</v>
      </c>
      <c r="R340" s="970"/>
      <c r="S340" s="971">
        <v>6744</v>
      </c>
      <c r="T340" s="973">
        <v>1243</v>
      </c>
      <c r="U340" s="973">
        <v>7987</v>
      </c>
    </row>
    <row r="341" spans="1:21" x14ac:dyDescent="0.25">
      <c r="A341" s="967">
        <v>93501</v>
      </c>
      <c r="B341" s="968" t="s">
        <v>2980</v>
      </c>
      <c r="C341" s="969">
        <v>3.6113999999999999E-3</v>
      </c>
      <c r="D341" s="969">
        <v>3.4039000000000001E-3</v>
      </c>
      <c r="E341" s="986">
        <v>1661033</v>
      </c>
      <c r="F341" s="970">
        <v>5517219</v>
      </c>
      <c r="G341" s="970"/>
      <c r="H341" s="971">
        <v>317843</v>
      </c>
      <c r="I341" s="972">
        <v>1339587</v>
      </c>
      <c r="J341" s="971">
        <v>787935</v>
      </c>
      <c r="K341" s="970">
        <v>233815</v>
      </c>
      <c r="L341" s="972">
        <f t="shared" si="10"/>
        <v>2679180</v>
      </c>
      <c r="M341" s="970"/>
      <c r="N341" s="971">
        <v>156175</v>
      </c>
      <c r="O341" s="971">
        <v>0</v>
      </c>
      <c r="P341" s="970">
        <v>57589</v>
      </c>
      <c r="Q341" s="972">
        <f t="shared" si="11"/>
        <v>213764</v>
      </c>
      <c r="R341" s="970"/>
      <c r="S341" s="971">
        <v>1859308</v>
      </c>
      <c r="T341" s="973">
        <v>88331</v>
      </c>
      <c r="U341" s="973">
        <v>1947639</v>
      </c>
    </row>
    <row r="342" spans="1:21" x14ac:dyDescent="0.25">
      <c r="A342" s="967">
        <v>93511</v>
      </c>
      <c r="B342" s="968" t="s">
        <v>2981</v>
      </c>
      <c r="C342" s="969">
        <v>8.8300000000000005E-5</v>
      </c>
      <c r="D342" s="969">
        <v>9.8999999999999994E-5</v>
      </c>
      <c r="E342" s="986">
        <v>45050</v>
      </c>
      <c r="F342" s="970">
        <v>134898</v>
      </c>
      <c r="G342" s="970"/>
      <c r="H342" s="971">
        <v>7771</v>
      </c>
      <c r="I342" s="972">
        <v>32753</v>
      </c>
      <c r="J342" s="971">
        <v>19265</v>
      </c>
      <c r="K342" s="970">
        <v>2589</v>
      </c>
      <c r="L342" s="972">
        <f t="shared" si="10"/>
        <v>62378</v>
      </c>
      <c r="M342" s="970"/>
      <c r="N342" s="971">
        <v>3819</v>
      </c>
      <c r="O342" s="971">
        <v>0</v>
      </c>
      <c r="P342" s="970">
        <v>13801</v>
      </c>
      <c r="Q342" s="972">
        <f t="shared" si="11"/>
        <v>17620</v>
      </c>
      <c r="R342" s="970"/>
      <c r="S342" s="971">
        <v>45461</v>
      </c>
      <c r="T342" s="973">
        <v>-2683</v>
      </c>
      <c r="U342" s="973">
        <v>42778</v>
      </c>
    </row>
    <row r="343" spans="1:21" x14ac:dyDescent="0.25">
      <c r="A343" s="967">
        <v>93517</v>
      </c>
      <c r="B343" s="968" t="s">
        <v>2982</v>
      </c>
      <c r="C343" s="969">
        <v>6.0000000000000002E-6</v>
      </c>
      <c r="D343" s="969">
        <v>6.4999999999999996E-6</v>
      </c>
      <c r="E343" s="986">
        <v>4387</v>
      </c>
      <c r="F343" s="970">
        <v>9166</v>
      </c>
      <c r="G343" s="970"/>
      <c r="H343" s="971">
        <v>528</v>
      </c>
      <c r="I343" s="972">
        <v>2226</v>
      </c>
      <c r="J343" s="971">
        <v>1309</v>
      </c>
      <c r="K343" s="970">
        <v>3133</v>
      </c>
      <c r="L343" s="972">
        <f t="shared" si="10"/>
        <v>7196</v>
      </c>
      <c r="M343" s="970"/>
      <c r="N343" s="971">
        <v>259</v>
      </c>
      <c r="O343" s="971">
        <v>0</v>
      </c>
      <c r="P343" s="970">
        <v>503</v>
      </c>
      <c r="Q343" s="972">
        <f t="shared" si="11"/>
        <v>762</v>
      </c>
      <c r="R343" s="970"/>
      <c r="S343" s="971">
        <v>3089</v>
      </c>
      <c r="T343" s="973">
        <v>771</v>
      </c>
      <c r="U343" s="973">
        <v>3860</v>
      </c>
    </row>
    <row r="344" spans="1:21" x14ac:dyDescent="0.25">
      <c r="A344" s="967">
        <v>93521</v>
      </c>
      <c r="B344" s="968" t="s">
        <v>2983</v>
      </c>
      <c r="C344" s="969">
        <v>4.5649999999999998E-4</v>
      </c>
      <c r="D344" s="969">
        <v>5.6389999999999999E-4</v>
      </c>
      <c r="E344" s="986">
        <v>213305</v>
      </c>
      <c r="F344" s="970">
        <v>697406</v>
      </c>
      <c r="G344" s="970"/>
      <c r="H344" s="971">
        <v>40177</v>
      </c>
      <c r="I344" s="972">
        <v>169331</v>
      </c>
      <c r="J344" s="971">
        <v>99599</v>
      </c>
      <c r="K344" s="970">
        <v>7159</v>
      </c>
      <c r="L344" s="972">
        <f t="shared" si="10"/>
        <v>316266</v>
      </c>
      <c r="M344" s="970"/>
      <c r="N344" s="971">
        <v>19741</v>
      </c>
      <c r="O344" s="971">
        <v>0</v>
      </c>
      <c r="P344" s="970">
        <v>74583</v>
      </c>
      <c r="Q344" s="972">
        <f t="shared" si="11"/>
        <v>94324</v>
      </c>
      <c r="R344" s="970"/>
      <c r="S344" s="971">
        <v>235026</v>
      </c>
      <c r="T344" s="973">
        <v>-19847</v>
      </c>
      <c r="U344" s="973">
        <f>215180-1</f>
        <v>215179</v>
      </c>
    </row>
    <row r="345" spans="1:21" x14ac:dyDescent="0.25">
      <c r="A345" s="967">
        <v>93527</v>
      </c>
      <c r="B345" s="968" t="s">
        <v>2984</v>
      </c>
      <c r="C345" s="969">
        <v>1.2099999999999999E-5</v>
      </c>
      <c r="D345" s="969">
        <v>5.4E-6</v>
      </c>
      <c r="E345" s="986">
        <v>9591</v>
      </c>
      <c r="F345" s="970">
        <v>18485</v>
      </c>
      <c r="G345" s="970"/>
      <c r="H345" s="971">
        <v>1065</v>
      </c>
      <c r="I345" s="972">
        <v>4488</v>
      </c>
      <c r="J345" s="971">
        <v>2640</v>
      </c>
      <c r="K345" s="970">
        <v>15016</v>
      </c>
      <c r="L345" s="972">
        <f t="shared" si="10"/>
        <v>23209</v>
      </c>
      <c r="M345" s="970"/>
      <c r="N345" s="971">
        <v>523</v>
      </c>
      <c r="O345" s="971">
        <v>0</v>
      </c>
      <c r="P345" s="970">
        <v>0</v>
      </c>
      <c r="Q345" s="972">
        <f t="shared" si="11"/>
        <v>523</v>
      </c>
      <c r="R345" s="970"/>
      <c r="S345" s="971">
        <v>6230</v>
      </c>
      <c r="T345" s="973">
        <v>5872</v>
      </c>
      <c r="U345" s="973">
        <f>12101+1</f>
        <v>12102</v>
      </c>
    </row>
    <row r="346" spans="1:21" x14ac:dyDescent="0.25">
      <c r="A346" s="967">
        <v>93531</v>
      </c>
      <c r="B346" s="968" t="s">
        <v>2985</v>
      </c>
      <c r="C346" s="969">
        <v>1.7E-5</v>
      </c>
      <c r="D346" s="969">
        <v>2.4000000000000001E-5</v>
      </c>
      <c r="E346" s="986">
        <v>11624</v>
      </c>
      <c r="F346" s="970">
        <v>25971</v>
      </c>
      <c r="G346" s="970"/>
      <c r="H346" s="971">
        <v>1496</v>
      </c>
      <c r="I346" s="972">
        <v>6306</v>
      </c>
      <c r="J346" s="971">
        <v>3709</v>
      </c>
      <c r="K346" s="970">
        <v>791</v>
      </c>
      <c r="L346" s="972">
        <f t="shared" si="10"/>
        <v>12302</v>
      </c>
      <c r="M346" s="970"/>
      <c r="N346" s="971">
        <v>735</v>
      </c>
      <c r="O346" s="971">
        <v>0</v>
      </c>
      <c r="P346" s="970">
        <v>2743</v>
      </c>
      <c r="Q346" s="972">
        <f t="shared" si="11"/>
        <v>3478</v>
      </c>
      <c r="R346" s="970"/>
      <c r="S346" s="971">
        <v>8752</v>
      </c>
      <c r="T346" s="973">
        <v>-1210</v>
      </c>
      <c r="U346" s="973">
        <v>7542</v>
      </c>
    </row>
    <row r="347" spans="1:21" x14ac:dyDescent="0.25">
      <c r="A347" s="967">
        <v>93537</v>
      </c>
      <c r="B347" s="968" t="s">
        <v>2986</v>
      </c>
      <c r="C347" s="969">
        <v>1.1199999999999999E-5</v>
      </c>
      <c r="D347" s="969">
        <v>1.17E-5</v>
      </c>
      <c r="E347" s="986">
        <v>4064</v>
      </c>
      <c r="F347" s="970">
        <v>17110</v>
      </c>
      <c r="G347" s="970"/>
      <c r="H347" s="971">
        <v>986</v>
      </c>
      <c r="I347" s="972">
        <v>4154</v>
      </c>
      <c r="J347" s="971">
        <v>2444</v>
      </c>
      <c r="K347" s="970">
        <v>0</v>
      </c>
      <c r="L347" s="972">
        <f t="shared" si="10"/>
        <v>7584</v>
      </c>
      <c r="M347" s="970"/>
      <c r="N347" s="971">
        <v>484</v>
      </c>
      <c r="O347" s="971">
        <v>0</v>
      </c>
      <c r="P347" s="970">
        <v>1898</v>
      </c>
      <c r="Q347" s="972">
        <f t="shared" si="11"/>
        <v>2382</v>
      </c>
      <c r="R347" s="970"/>
      <c r="S347" s="971">
        <v>5766</v>
      </c>
      <c r="T347" s="973">
        <v>-575</v>
      </c>
      <c r="U347" s="973">
        <v>5191</v>
      </c>
    </row>
    <row r="348" spans="1:21" x14ac:dyDescent="0.25">
      <c r="A348" s="967">
        <v>93541</v>
      </c>
      <c r="B348" s="968" t="s">
        <v>2987</v>
      </c>
      <c r="C348" s="969">
        <v>1.0560000000000001E-4</v>
      </c>
      <c r="D348" s="969">
        <v>1.061E-4</v>
      </c>
      <c r="E348" s="986">
        <v>49276</v>
      </c>
      <c r="F348" s="970">
        <v>161328</v>
      </c>
      <c r="G348" s="970"/>
      <c r="H348" s="971">
        <v>9294</v>
      </c>
      <c r="I348" s="972">
        <v>39171</v>
      </c>
      <c r="J348" s="971">
        <v>23040</v>
      </c>
      <c r="K348" s="970">
        <v>4560</v>
      </c>
      <c r="L348" s="972">
        <f t="shared" si="10"/>
        <v>76065</v>
      </c>
      <c r="M348" s="970"/>
      <c r="N348" s="971">
        <v>4567</v>
      </c>
      <c r="O348" s="971">
        <v>0</v>
      </c>
      <c r="P348" s="970">
        <v>781</v>
      </c>
      <c r="Q348" s="972">
        <f t="shared" si="11"/>
        <v>5348</v>
      </c>
      <c r="R348" s="970"/>
      <c r="S348" s="971">
        <v>54368</v>
      </c>
      <c r="T348" s="973">
        <v>4003</v>
      </c>
      <c r="U348" s="973">
        <f>58370+1</f>
        <v>58371</v>
      </c>
    </row>
    <row r="349" spans="1:21" x14ac:dyDescent="0.25">
      <c r="A349" s="967">
        <v>93601</v>
      </c>
      <c r="B349" s="968" t="s">
        <v>2988</v>
      </c>
      <c r="C349" s="969">
        <v>1.0721400000000001E-2</v>
      </c>
      <c r="D349" s="969">
        <v>1.1139899999999999E-2</v>
      </c>
      <c r="E349" s="986">
        <v>5038240</v>
      </c>
      <c r="F349" s="970">
        <v>16379329</v>
      </c>
      <c r="G349" s="970"/>
      <c r="H349" s="971">
        <v>943601</v>
      </c>
      <c r="I349" s="972">
        <v>3976921</v>
      </c>
      <c r="J349" s="971">
        <v>2339195</v>
      </c>
      <c r="K349" s="970">
        <v>65732</v>
      </c>
      <c r="L349" s="972">
        <f t="shared" si="10"/>
        <v>7325449</v>
      </c>
      <c r="M349" s="970"/>
      <c r="N349" s="971">
        <v>463647</v>
      </c>
      <c r="O349" s="971">
        <v>0</v>
      </c>
      <c r="P349" s="970">
        <v>282932</v>
      </c>
      <c r="Q349" s="972">
        <f t="shared" si="11"/>
        <v>746579</v>
      </c>
      <c r="R349" s="970"/>
      <c r="S349" s="971">
        <v>5519848</v>
      </c>
      <c r="T349" s="973">
        <v>-87424</v>
      </c>
      <c r="U349" s="973">
        <f>5432425-1</f>
        <v>5432424</v>
      </c>
    </row>
    <row r="350" spans="1:21" x14ac:dyDescent="0.25">
      <c r="A350" s="967">
        <v>93602</v>
      </c>
      <c r="B350" s="968" t="s">
        <v>2989</v>
      </c>
      <c r="C350" s="969">
        <v>1.7540000000000001E-4</v>
      </c>
      <c r="D350" s="969">
        <v>1.7200000000000001E-4</v>
      </c>
      <c r="E350" s="986">
        <v>82188</v>
      </c>
      <c r="F350" s="970">
        <v>267963</v>
      </c>
      <c r="G350" s="970"/>
      <c r="H350" s="971">
        <v>15437</v>
      </c>
      <c r="I350" s="972">
        <v>65062</v>
      </c>
      <c r="J350" s="971">
        <v>38269</v>
      </c>
      <c r="K350" s="970">
        <v>4381</v>
      </c>
      <c r="L350" s="972">
        <f t="shared" si="10"/>
        <v>123149</v>
      </c>
      <c r="M350" s="970"/>
      <c r="N350" s="971">
        <v>7585</v>
      </c>
      <c r="O350" s="971">
        <v>0</v>
      </c>
      <c r="P350" s="970">
        <v>10262</v>
      </c>
      <c r="Q350" s="972">
        <f t="shared" si="11"/>
        <v>17847</v>
      </c>
      <c r="R350" s="970"/>
      <c r="S350" s="971">
        <v>90304</v>
      </c>
      <c r="T350" s="973">
        <v>-2871</v>
      </c>
      <c r="U350" s="973">
        <v>87433</v>
      </c>
    </row>
    <row r="351" spans="1:21" x14ac:dyDescent="0.25">
      <c r="A351" s="967">
        <v>93609</v>
      </c>
      <c r="B351" s="968" t="s">
        <v>2990</v>
      </c>
      <c r="C351" s="969">
        <v>3.7629999999999999E-3</v>
      </c>
      <c r="D351" s="969">
        <v>3.0569E-3</v>
      </c>
      <c r="E351" s="986">
        <v>1743934</v>
      </c>
      <c r="F351" s="970">
        <v>5748822</v>
      </c>
      <c r="G351" s="970"/>
      <c r="H351" s="971">
        <v>331185</v>
      </c>
      <c r="I351" s="972">
        <v>1395821</v>
      </c>
      <c r="J351" s="971">
        <v>821011</v>
      </c>
      <c r="K351" s="970">
        <v>823315</v>
      </c>
      <c r="L351" s="972">
        <f t="shared" si="10"/>
        <v>3371332</v>
      </c>
      <c r="M351" s="970"/>
      <c r="N351" s="971">
        <v>162731</v>
      </c>
      <c r="O351" s="971">
        <v>0</v>
      </c>
      <c r="P351" s="970">
        <v>0</v>
      </c>
      <c r="Q351" s="972">
        <f t="shared" si="11"/>
        <v>162731</v>
      </c>
      <c r="R351" s="970"/>
      <c r="S351" s="971">
        <v>1937358</v>
      </c>
      <c r="T351" s="973">
        <v>360052</v>
      </c>
      <c r="U351" s="973">
        <v>2297410</v>
      </c>
    </row>
    <row r="352" spans="1:21" x14ac:dyDescent="0.25">
      <c r="A352" s="967">
        <v>93610</v>
      </c>
      <c r="B352" s="968" t="s">
        <v>2991</v>
      </c>
      <c r="C352" s="969">
        <v>1.33E-5</v>
      </c>
      <c r="D352" s="969">
        <v>6.4999999999999996E-6</v>
      </c>
      <c r="E352" s="986">
        <v>5846</v>
      </c>
      <c r="F352" s="970">
        <v>20319</v>
      </c>
      <c r="G352" s="970"/>
      <c r="H352" s="971">
        <v>1171</v>
      </c>
      <c r="I352" s="972">
        <v>4933</v>
      </c>
      <c r="J352" s="971">
        <v>2902</v>
      </c>
      <c r="K352" s="970">
        <v>6303</v>
      </c>
      <c r="L352" s="972">
        <f t="shared" si="10"/>
        <v>15309</v>
      </c>
      <c r="M352" s="970"/>
      <c r="N352" s="971">
        <v>575</v>
      </c>
      <c r="O352" s="971">
        <v>0</v>
      </c>
      <c r="P352" s="970">
        <v>3373</v>
      </c>
      <c r="Q352" s="972">
        <f t="shared" si="11"/>
        <v>3948</v>
      </c>
      <c r="R352" s="970"/>
      <c r="S352" s="971">
        <v>6847</v>
      </c>
      <c r="T352" s="973">
        <v>1242</v>
      </c>
      <c r="U352" s="973">
        <f>8090-1</f>
        <v>8089</v>
      </c>
    </row>
    <row r="353" spans="1:21" x14ac:dyDescent="0.25">
      <c r="A353" s="967">
        <v>93611</v>
      </c>
      <c r="B353" s="968" t="s">
        <v>2992</v>
      </c>
      <c r="C353" s="969">
        <v>6.9544000000000003E-3</v>
      </c>
      <c r="D353" s="969">
        <v>6.9325000000000003E-3</v>
      </c>
      <c r="E353" s="986">
        <v>3250733</v>
      </c>
      <c r="F353" s="970">
        <v>10624397</v>
      </c>
      <c r="G353" s="970"/>
      <c r="H353" s="971">
        <v>612064</v>
      </c>
      <c r="I353" s="972">
        <v>2579617</v>
      </c>
      <c r="J353" s="971">
        <v>1517311</v>
      </c>
      <c r="K353" s="970">
        <v>61146</v>
      </c>
      <c r="L353" s="972">
        <f t="shared" si="10"/>
        <v>4770138</v>
      </c>
      <c r="M353" s="970"/>
      <c r="N353" s="971">
        <v>300743</v>
      </c>
      <c r="O353" s="971">
        <v>0</v>
      </c>
      <c r="P353" s="970">
        <v>153061</v>
      </c>
      <c r="Q353" s="972">
        <f t="shared" si="11"/>
        <v>453804</v>
      </c>
      <c r="R353" s="970"/>
      <c r="S353" s="971">
        <v>3580431</v>
      </c>
      <c r="T353" s="973">
        <v>-98066</v>
      </c>
      <c r="U353" s="973">
        <v>3482365</v>
      </c>
    </row>
    <row r="354" spans="1:21" x14ac:dyDescent="0.25">
      <c r="A354" s="967">
        <v>93617</v>
      </c>
      <c r="B354" s="968" t="s">
        <v>2993</v>
      </c>
      <c r="C354" s="969">
        <v>8.2799999999999993E-5</v>
      </c>
      <c r="D354" s="969">
        <v>9.5000000000000005E-5</v>
      </c>
      <c r="E354" s="986">
        <v>49100</v>
      </c>
      <c r="F354" s="970">
        <v>126495</v>
      </c>
      <c r="G354" s="970"/>
      <c r="H354" s="971">
        <v>7287</v>
      </c>
      <c r="I354" s="972">
        <v>30714</v>
      </c>
      <c r="J354" s="971">
        <v>18065</v>
      </c>
      <c r="K354" s="970">
        <v>19622</v>
      </c>
      <c r="L354" s="972">
        <f t="shared" si="10"/>
        <v>75688</v>
      </c>
      <c r="M354" s="970"/>
      <c r="N354" s="971">
        <v>3581</v>
      </c>
      <c r="O354" s="971">
        <v>0</v>
      </c>
      <c r="P354" s="970">
        <v>0</v>
      </c>
      <c r="Q354" s="972">
        <f t="shared" si="11"/>
        <v>3581</v>
      </c>
      <c r="R354" s="970"/>
      <c r="S354" s="971">
        <v>42629</v>
      </c>
      <c r="T354" s="973">
        <v>10180</v>
      </c>
      <c r="U354" s="973">
        <v>52809</v>
      </c>
    </row>
    <row r="355" spans="1:21" x14ac:dyDescent="0.25">
      <c r="A355" s="967">
        <v>93618</v>
      </c>
      <c r="B355" s="968" t="s">
        <v>2994</v>
      </c>
      <c r="C355" s="969">
        <v>1.11E-5</v>
      </c>
      <c r="D355" s="969">
        <v>1.17E-5</v>
      </c>
      <c r="E355" s="986">
        <v>23982</v>
      </c>
      <c r="F355" s="970">
        <v>16958</v>
      </c>
      <c r="G355" s="970"/>
      <c r="H355" s="971">
        <v>977</v>
      </c>
      <c r="I355" s="972">
        <v>4117</v>
      </c>
      <c r="J355" s="971">
        <v>2422</v>
      </c>
      <c r="K355" s="970">
        <v>33625</v>
      </c>
      <c r="L355" s="972">
        <f t="shared" si="10"/>
        <v>41141</v>
      </c>
      <c r="M355" s="970"/>
      <c r="N355" s="971">
        <v>480</v>
      </c>
      <c r="O355" s="971">
        <v>0</v>
      </c>
      <c r="P355" s="970">
        <v>0</v>
      </c>
      <c r="Q355" s="972">
        <f t="shared" si="11"/>
        <v>480</v>
      </c>
      <c r="R355" s="970"/>
      <c r="S355" s="971">
        <v>5715</v>
      </c>
      <c r="T355" s="973">
        <v>12182</v>
      </c>
      <c r="U355" s="973">
        <v>17897</v>
      </c>
    </row>
    <row r="356" spans="1:21" x14ac:dyDescent="0.25">
      <c r="A356" s="967">
        <v>93621</v>
      </c>
      <c r="B356" s="968" t="s">
        <v>2995</v>
      </c>
      <c r="C356" s="969">
        <v>9.5719999999999996E-4</v>
      </c>
      <c r="D356" s="969">
        <v>8.5320000000000003E-4</v>
      </c>
      <c r="E356" s="986">
        <v>412639</v>
      </c>
      <c r="F356" s="970">
        <v>1462336</v>
      </c>
      <c r="G356" s="970"/>
      <c r="H356" s="971">
        <v>84244</v>
      </c>
      <c r="I356" s="972">
        <v>355057</v>
      </c>
      <c r="J356" s="971">
        <v>208842</v>
      </c>
      <c r="K356" s="970">
        <v>48292</v>
      </c>
      <c r="L356" s="972">
        <f t="shared" si="10"/>
        <v>696435</v>
      </c>
      <c r="M356" s="970"/>
      <c r="N356" s="971">
        <v>41394</v>
      </c>
      <c r="O356" s="971">
        <v>0</v>
      </c>
      <c r="P356" s="970">
        <v>79767</v>
      </c>
      <c r="Q356" s="972">
        <f t="shared" si="11"/>
        <v>121161</v>
      </c>
      <c r="R356" s="970"/>
      <c r="S356" s="971">
        <v>492809</v>
      </c>
      <c r="T356" s="973">
        <v>-26570</v>
      </c>
      <c r="U356" s="973">
        <f>466238+1</f>
        <v>466239</v>
      </c>
    </row>
    <row r="357" spans="1:21" x14ac:dyDescent="0.25">
      <c r="A357" s="967">
        <v>93623</v>
      </c>
      <c r="B357" s="968" t="s">
        <v>2996</v>
      </c>
      <c r="C357" s="969">
        <v>1.2799999999999999E-5</v>
      </c>
      <c r="D357" s="969">
        <v>1.2500000000000001E-5</v>
      </c>
      <c r="E357" s="986">
        <v>8720</v>
      </c>
      <c r="F357" s="970">
        <v>19555</v>
      </c>
      <c r="G357" s="970"/>
      <c r="H357" s="971">
        <v>1127</v>
      </c>
      <c r="I357" s="972">
        <v>4748</v>
      </c>
      <c r="J357" s="971">
        <v>2793</v>
      </c>
      <c r="K357" s="970">
        <v>5501</v>
      </c>
      <c r="L357" s="972">
        <f t="shared" si="10"/>
        <v>14169</v>
      </c>
      <c r="M357" s="970"/>
      <c r="N357" s="971">
        <v>554</v>
      </c>
      <c r="O357" s="971">
        <v>0</v>
      </c>
      <c r="P357" s="970">
        <v>1</v>
      </c>
      <c r="Q357" s="972">
        <f t="shared" si="11"/>
        <v>555</v>
      </c>
      <c r="R357" s="970"/>
      <c r="S357" s="971">
        <v>6590</v>
      </c>
      <c r="T357" s="973">
        <v>1908</v>
      </c>
      <c r="U357" s="973">
        <v>8498</v>
      </c>
    </row>
    <row r="358" spans="1:21" x14ac:dyDescent="0.25">
      <c r="A358" s="967">
        <v>93631</v>
      </c>
      <c r="B358" s="968" t="s">
        <v>2997</v>
      </c>
      <c r="C358" s="969">
        <v>2.252E-4</v>
      </c>
      <c r="D358" s="969">
        <v>2.3440000000000001E-4</v>
      </c>
      <c r="E358" s="986">
        <v>100501</v>
      </c>
      <c r="F358" s="970">
        <v>344043</v>
      </c>
      <c r="G358" s="970"/>
      <c r="H358" s="971">
        <v>19820</v>
      </c>
      <c r="I358" s="972">
        <v>83534</v>
      </c>
      <c r="J358" s="971">
        <v>49134</v>
      </c>
      <c r="K358" s="970">
        <v>435</v>
      </c>
      <c r="L358" s="972">
        <f t="shared" si="10"/>
        <v>152923</v>
      </c>
      <c r="M358" s="970"/>
      <c r="N358" s="971">
        <v>9739</v>
      </c>
      <c r="O358" s="971">
        <v>0</v>
      </c>
      <c r="P358" s="970">
        <v>20459</v>
      </c>
      <c r="Q358" s="972">
        <f t="shared" si="11"/>
        <v>30198</v>
      </c>
      <c r="R358" s="970"/>
      <c r="S358" s="971">
        <v>115943</v>
      </c>
      <c r="T358" s="973">
        <v>-7001</v>
      </c>
      <c r="U358" s="973">
        <v>108942</v>
      </c>
    </row>
    <row r="359" spans="1:21" x14ac:dyDescent="0.25">
      <c r="A359" s="967">
        <v>93641</v>
      </c>
      <c r="B359" s="968" t="s">
        <v>2998</v>
      </c>
      <c r="C359" s="969">
        <v>4.0450000000000002E-4</v>
      </c>
      <c r="D359" s="969">
        <v>4.3550000000000001E-4</v>
      </c>
      <c r="E359" s="986">
        <v>197852</v>
      </c>
      <c r="F359" s="970">
        <v>617964</v>
      </c>
      <c r="G359" s="970"/>
      <c r="H359" s="971">
        <v>35600</v>
      </c>
      <c r="I359" s="972">
        <v>150042</v>
      </c>
      <c r="J359" s="971">
        <v>88254</v>
      </c>
      <c r="K359" s="970">
        <v>14033</v>
      </c>
      <c r="L359" s="972">
        <f t="shared" si="10"/>
        <v>287929</v>
      </c>
      <c r="M359" s="970"/>
      <c r="N359" s="971">
        <v>17493</v>
      </c>
      <c r="O359" s="971">
        <v>0</v>
      </c>
      <c r="P359" s="970">
        <v>11062</v>
      </c>
      <c r="Q359" s="972">
        <f t="shared" si="11"/>
        <v>28555</v>
      </c>
      <c r="R359" s="970"/>
      <c r="S359" s="971">
        <v>208254</v>
      </c>
      <c r="T359" s="973">
        <v>4772</v>
      </c>
      <c r="U359" s="973">
        <v>213026</v>
      </c>
    </row>
    <row r="360" spans="1:21" x14ac:dyDescent="0.25">
      <c r="A360" s="967">
        <v>93647</v>
      </c>
      <c r="B360" s="968" t="s">
        <v>2999</v>
      </c>
      <c r="C360" s="969">
        <v>6.0000000000000002E-6</v>
      </c>
      <c r="D360" s="969">
        <v>6.1E-6</v>
      </c>
      <c r="E360" s="986">
        <v>9062</v>
      </c>
      <c r="F360" s="970">
        <v>9166</v>
      </c>
      <c r="G360" s="970"/>
      <c r="H360" s="971">
        <v>528</v>
      </c>
      <c r="I360" s="972">
        <v>2226</v>
      </c>
      <c r="J360" s="971">
        <v>1309</v>
      </c>
      <c r="K360" s="970">
        <v>12039</v>
      </c>
      <c r="L360" s="972">
        <f t="shared" si="10"/>
        <v>16102</v>
      </c>
      <c r="M360" s="970"/>
      <c r="N360" s="971">
        <v>259</v>
      </c>
      <c r="O360" s="971">
        <v>0</v>
      </c>
      <c r="P360" s="970">
        <v>0</v>
      </c>
      <c r="Q360" s="972">
        <f t="shared" si="11"/>
        <v>259</v>
      </c>
      <c r="R360" s="970"/>
      <c r="S360" s="971">
        <v>3089</v>
      </c>
      <c r="T360" s="973">
        <v>4642</v>
      </c>
      <c r="U360" s="973">
        <v>7731</v>
      </c>
    </row>
    <row r="361" spans="1:21" x14ac:dyDescent="0.25">
      <c r="A361" s="967">
        <v>93651</v>
      </c>
      <c r="B361" s="968" t="s">
        <v>3000</v>
      </c>
      <c r="C361" s="969">
        <v>4.3800000000000002E-4</v>
      </c>
      <c r="D361" s="969">
        <v>4.282E-4</v>
      </c>
      <c r="E361" s="986">
        <v>185953</v>
      </c>
      <c r="F361" s="970">
        <v>669143</v>
      </c>
      <c r="G361" s="970"/>
      <c r="H361" s="971">
        <v>38549</v>
      </c>
      <c r="I361" s="972">
        <v>162468</v>
      </c>
      <c r="J361" s="971">
        <v>95563</v>
      </c>
      <c r="K361" s="970">
        <v>5830</v>
      </c>
      <c r="L361" s="972">
        <f t="shared" si="10"/>
        <v>302410</v>
      </c>
      <c r="M361" s="970"/>
      <c r="N361" s="971">
        <v>18941</v>
      </c>
      <c r="O361" s="971">
        <v>0</v>
      </c>
      <c r="P361" s="970">
        <v>13910</v>
      </c>
      <c r="Q361" s="972">
        <f t="shared" si="11"/>
        <v>32851</v>
      </c>
      <c r="R361" s="970"/>
      <c r="S361" s="971">
        <v>225502</v>
      </c>
      <c r="T361" s="973">
        <v>-1521</v>
      </c>
      <c r="U361" s="973">
        <f>223980+1</f>
        <v>223981</v>
      </c>
    </row>
    <row r="362" spans="1:21" x14ac:dyDescent="0.25">
      <c r="A362" s="967">
        <v>93661</v>
      </c>
      <c r="B362" s="968" t="s">
        <v>3001</v>
      </c>
      <c r="C362" s="969">
        <v>1.3410000000000001E-4</v>
      </c>
      <c r="D362" s="969">
        <v>1.3420000000000001E-4</v>
      </c>
      <c r="E362" s="986">
        <v>66084</v>
      </c>
      <c r="F362" s="970">
        <v>204868</v>
      </c>
      <c r="G362" s="970"/>
      <c r="H362" s="971">
        <v>11802</v>
      </c>
      <c r="I362" s="972">
        <v>49742</v>
      </c>
      <c r="J362" s="971">
        <v>29258</v>
      </c>
      <c r="K362" s="970">
        <v>11769</v>
      </c>
      <c r="L362" s="972">
        <f t="shared" si="10"/>
        <v>102571</v>
      </c>
      <c r="M362" s="970"/>
      <c r="N362" s="971">
        <v>5799</v>
      </c>
      <c r="O362" s="971">
        <v>0</v>
      </c>
      <c r="P362" s="970">
        <v>0</v>
      </c>
      <c r="Q362" s="972">
        <f t="shared" si="11"/>
        <v>5799</v>
      </c>
      <c r="R362" s="970"/>
      <c r="S362" s="971">
        <v>69041</v>
      </c>
      <c r="T362" s="973">
        <v>4842</v>
      </c>
      <c r="U362" s="973">
        <v>73883</v>
      </c>
    </row>
    <row r="363" spans="1:21" x14ac:dyDescent="0.25">
      <c r="A363" s="967">
        <v>93671</v>
      </c>
      <c r="B363" s="968" t="s">
        <v>3002</v>
      </c>
      <c r="C363" s="969">
        <v>3.5530000000000002E-4</v>
      </c>
      <c r="D363" s="969">
        <v>3.6900000000000002E-4</v>
      </c>
      <c r="E363" s="986">
        <v>172672</v>
      </c>
      <c r="F363" s="970">
        <v>542800</v>
      </c>
      <c r="G363" s="970"/>
      <c r="H363" s="971">
        <v>31270</v>
      </c>
      <c r="I363" s="972">
        <v>131793</v>
      </c>
      <c r="J363" s="971">
        <v>77519</v>
      </c>
      <c r="K363" s="970">
        <v>38666</v>
      </c>
      <c r="L363" s="972">
        <f t="shared" si="10"/>
        <v>279248</v>
      </c>
      <c r="M363" s="970"/>
      <c r="N363" s="971">
        <v>15365</v>
      </c>
      <c r="O363" s="971">
        <v>0</v>
      </c>
      <c r="P363" s="970">
        <v>2899</v>
      </c>
      <c r="Q363" s="972">
        <f t="shared" si="11"/>
        <v>18264</v>
      </c>
      <c r="R363" s="970"/>
      <c r="S363" s="971">
        <v>182924</v>
      </c>
      <c r="T363" s="973">
        <v>28467</v>
      </c>
      <c r="U363" s="973">
        <v>211391</v>
      </c>
    </row>
    <row r="364" spans="1:21" x14ac:dyDescent="0.25">
      <c r="A364" s="967">
        <v>93677</v>
      </c>
      <c r="B364" s="968" t="s">
        <v>1522</v>
      </c>
      <c r="C364" s="969">
        <v>0</v>
      </c>
      <c r="D364" s="969">
        <v>0</v>
      </c>
      <c r="E364" s="986" t="e">
        <v>#N/A</v>
      </c>
      <c r="F364" s="970">
        <v>0</v>
      </c>
      <c r="G364" s="970"/>
      <c r="H364" s="971">
        <v>0</v>
      </c>
      <c r="I364" s="972">
        <v>0</v>
      </c>
      <c r="J364" s="971">
        <v>0</v>
      </c>
      <c r="K364" s="970">
        <v>0</v>
      </c>
      <c r="L364" s="972">
        <f t="shared" si="10"/>
        <v>0</v>
      </c>
      <c r="M364" s="970"/>
      <c r="N364" s="971">
        <v>0</v>
      </c>
      <c r="O364" s="971">
        <v>0</v>
      </c>
      <c r="P364" s="970">
        <v>718</v>
      </c>
      <c r="Q364" s="972">
        <f t="shared" si="11"/>
        <v>718</v>
      </c>
      <c r="R364" s="970"/>
      <c r="S364" s="971">
        <v>0</v>
      </c>
      <c r="T364" s="973">
        <v>-725</v>
      </c>
      <c r="U364" s="973">
        <v>-725</v>
      </c>
    </row>
    <row r="365" spans="1:21" x14ac:dyDescent="0.25">
      <c r="A365" s="967">
        <v>93681</v>
      </c>
      <c r="B365" s="968" t="s">
        <v>3003</v>
      </c>
      <c r="C365" s="969">
        <v>1.1179999999999999E-4</v>
      </c>
      <c r="D365" s="969">
        <v>1.1010000000000001E-4</v>
      </c>
      <c r="E365" s="986">
        <v>48115</v>
      </c>
      <c r="F365" s="970">
        <v>170799</v>
      </c>
      <c r="G365" s="970"/>
      <c r="H365" s="971">
        <v>9840</v>
      </c>
      <c r="I365" s="972">
        <v>41470</v>
      </c>
      <c r="J365" s="971">
        <v>24393</v>
      </c>
      <c r="K365" s="970">
        <v>264</v>
      </c>
      <c r="L365" s="972">
        <f t="shared" si="10"/>
        <v>75967</v>
      </c>
      <c r="M365" s="970"/>
      <c r="N365" s="971">
        <v>4835</v>
      </c>
      <c r="O365" s="971">
        <v>0</v>
      </c>
      <c r="P365" s="970">
        <v>12629</v>
      </c>
      <c r="Q365" s="972">
        <f t="shared" si="11"/>
        <v>17464</v>
      </c>
      <c r="R365" s="970"/>
      <c r="S365" s="971">
        <v>57560</v>
      </c>
      <c r="T365" s="973">
        <v>-6498</v>
      </c>
      <c r="U365" s="973">
        <f>51061+1</f>
        <v>51062</v>
      </c>
    </row>
    <row r="366" spans="1:21" x14ac:dyDescent="0.25">
      <c r="A366" s="967">
        <v>93691</v>
      </c>
      <c r="B366" s="968" t="s">
        <v>3004</v>
      </c>
      <c r="C366" s="969">
        <v>1.0858E-3</v>
      </c>
      <c r="D366" s="969">
        <v>1.1251E-3</v>
      </c>
      <c r="E366" s="986">
        <v>464182</v>
      </c>
      <c r="F366" s="970">
        <v>1658802</v>
      </c>
      <c r="G366" s="970"/>
      <c r="H366" s="971">
        <v>95562</v>
      </c>
      <c r="I366" s="972">
        <v>402759</v>
      </c>
      <c r="J366" s="971">
        <v>236900</v>
      </c>
      <c r="K366" s="970">
        <v>0</v>
      </c>
      <c r="L366" s="972">
        <f t="shared" si="10"/>
        <v>735221</v>
      </c>
      <c r="M366" s="970"/>
      <c r="N366" s="971">
        <v>46955</v>
      </c>
      <c r="O366" s="971">
        <v>0</v>
      </c>
      <c r="P366" s="970">
        <v>115438</v>
      </c>
      <c r="Q366" s="972">
        <f t="shared" si="11"/>
        <v>162393</v>
      </c>
      <c r="R366" s="970"/>
      <c r="S366" s="971">
        <v>559018</v>
      </c>
      <c r="T366" s="973">
        <v>-42411</v>
      </c>
      <c r="U366" s="973">
        <v>516607</v>
      </c>
    </row>
    <row r="367" spans="1:21" x14ac:dyDescent="0.25">
      <c r="A367" s="967">
        <v>93701</v>
      </c>
      <c r="B367" s="968" t="s">
        <v>3687</v>
      </c>
      <c r="C367" s="969">
        <v>4.5800000000000002E-4</v>
      </c>
      <c r="D367" s="969">
        <v>4.6200000000000001E-4</v>
      </c>
      <c r="E367" s="986">
        <v>201820</v>
      </c>
      <c r="F367" s="970">
        <v>699697</v>
      </c>
      <c r="G367" s="970"/>
      <c r="H367" s="971">
        <v>40309</v>
      </c>
      <c r="I367" s="972">
        <v>169888</v>
      </c>
      <c r="J367" s="971">
        <v>99926</v>
      </c>
      <c r="K367" s="970">
        <v>7923</v>
      </c>
      <c r="L367" s="972">
        <f t="shared" si="10"/>
        <v>318046</v>
      </c>
      <c r="M367" s="970"/>
      <c r="N367" s="971">
        <v>19806</v>
      </c>
      <c r="O367" s="971">
        <v>0</v>
      </c>
      <c r="P367" s="970">
        <v>17631</v>
      </c>
      <c r="Q367" s="972">
        <f t="shared" si="11"/>
        <v>37437</v>
      </c>
      <c r="R367" s="970"/>
      <c r="S367" s="971">
        <v>235799</v>
      </c>
      <c r="T367" s="973">
        <v>566</v>
      </c>
      <c r="U367" s="973">
        <v>236365</v>
      </c>
    </row>
    <row r="368" spans="1:21" x14ac:dyDescent="0.25">
      <c r="A368" s="967">
        <v>93704</v>
      </c>
      <c r="B368" s="968" t="s">
        <v>3006</v>
      </c>
      <c r="C368" s="969">
        <v>3.0000000000000001E-6</v>
      </c>
      <c r="D368" s="969">
        <v>3.3000000000000002E-6</v>
      </c>
      <c r="E368" s="986">
        <v>1962</v>
      </c>
      <c r="F368" s="970">
        <v>4583</v>
      </c>
      <c r="G368" s="970"/>
      <c r="H368" s="971">
        <v>264</v>
      </c>
      <c r="I368" s="972">
        <v>1113</v>
      </c>
      <c r="J368" s="971">
        <v>655</v>
      </c>
      <c r="K368" s="970">
        <v>578</v>
      </c>
      <c r="L368" s="972">
        <f t="shared" si="10"/>
        <v>2610</v>
      </c>
      <c r="M368" s="970"/>
      <c r="N368" s="971">
        <v>130</v>
      </c>
      <c r="O368" s="971">
        <v>0</v>
      </c>
      <c r="P368" s="970">
        <v>49</v>
      </c>
      <c r="Q368" s="972">
        <f t="shared" si="11"/>
        <v>179</v>
      </c>
      <c r="R368" s="970"/>
      <c r="S368" s="971">
        <v>1545</v>
      </c>
      <c r="T368" s="973">
        <v>136</v>
      </c>
      <c r="U368" s="973">
        <v>1681</v>
      </c>
    </row>
    <row r="369" spans="1:21" x14ac:dyDescent="0.25">
      <c r="A369" s="967">
        <v>93801</v>
      </c>
      <c r="B369" s="968" t="s">
        <v>3007</v>
      </c>
      <c r="C369" s="969">
        <v>4.7889999999999999E-4</v>
      </c>
      <c r="D369" s="969">
        <v>5.4180000000000005E-4</v>
      </c>
      <c r="E369" s="986">
        <v>205984</v>
      </c>
      <c r="F369" s="970">
        <v>731627</v>
      </c>
      <c r="G369" s="970"/>
      <c r="H369" s="971">
        <v>42148</v>
      </c>
      <c r="I369" s="972">
        <v>177639</v>
      </c>
      <c r="J369" s="971">
        <v>104486</v>
      </c>
      <c r="K369" s="970">
        <v>113630</v>
      </c>
      <c r="L369" s="972">
        <f t="shared" si="10"/>
        <v>437903</v>
      </c>
      <c r="M369" s="970"/>
      <c r="N369" s="971">
        <v>20710</v>
      </c>
      <c r="O369" s="971">
        <v>0</v>
      </c>
      <c r="P369" s="970">
        <v>54734</v>
      </c>
      <c r="Q369" s="972">
        <f t="shared" si="11"/>
        <v>75444</v>
      </c>
      <c r="R369" s="970"/>
      <c r="S369" s="971">
        <v>246559</v>
      </c>
      <c r="T369" s="973">
        <v>28052</v>
      </c>
      <c r="U369" s="973">
        <v>274611</v>
      </c>
    </row>
    <row r="370" spans="1:21" x14ac:dyDescent="0.25">
      <c r="A370" s="967">
        <v>93803</v>
      </c>
      <c r="B370" s="968" t="s">
        <v>3008</v>
      </c>
      <c r="C370" s="969">
        <v>1.1900000000000001E-4</v>
      </c>
      <c r="D370" s="969">
        <v>1.4469999999999999E-4</v>
      </c>
      <c r="E370" s="986">
        <v>50573</v>
      </c>
      <c r="F370" s="970">
        <v>181799</v>
      </c>
      <c r="G370" s="970"/>
      <c r="H370" s="971">
        <v>10473</v>
      </c>
      <c r="I370" s="972">
        <v>44141</v>
      </c>
      <c r="J370" s="971">
        <v>25963</v>
      </c>
      <c r="K370" s="970">
        <v>0</v>
      </c>
      <c r="L370" s="972">
        <f t="shared" si="10"/>
        <v>80577</v>
      </c>
      <c r="M370" s="970"/>
      <c r="N370" s="971">
        <v>5146</v>
      </c>
      <c r="O370" s="971">
        <v>0</v>
      </c>
      <c r="P370" s="970">
        <v>42594</v>
      </c>
      <c r="Q370" s="972">
        <f t="shared" si="11"/>
        <v>47740</v>
      </c>
      <c r="R370" s="970"/>
      <c r="S370" s="971">
        <v>61266</v>
      </c>
      <c r="T370" s="973">
        <v>-17510</v>
      </c>
      <c r="U370" s="973">
        <v>43756</v>
      </c>
    </row>
    <row r="371" spans="1:21" x14ac:dyDescent="0.25">
      <c r="A371" s="967">
        <v>93806</v>
      </c>
      <c r="B371" s="968" t="s">
        <v>3009</v>
      </c>
      <c r="C371" s="969">
        <v>9.3900000000000006E-5</v>
      </c>
      <c r="D371" s="969">
        <v>7.3700000000000002E-5</v>
      </c>
      <c r="E371" s="986">
        <v>41336</v>
      </c>
      <c r="F371" s="970">
        <v>143453</v>
      </c>
      <c r="G371" s="970"/>
      <c r="H371" s="971">
        <v>8264</v>
      </c>
      <c r="I371" s="972">
        <v>34831</v>
      </c>
      <c r="J371" s="971">
        <v>20487</v>
      </c>
      <c r="K371" s="970">
        <v>13283</v>
      </c>
      <c r="L371" s="972">
        <f t="shared" si="10"/>
        <v>76865</v>
      </c>
      <c r="M371" s="970"/>
      <c r="N371" s="971">
        <v>4061</v>
      </c>
      <c r="O371" s="971">
        <v>0</v>
      </c>
      <c r="P371" s="970">
        <v>10049</v>
      </c>
      <c r="Q371" s="972">
        <f t="shared" si="11"/>
        <v>14110</v>
      </c>
      <c r="R371" s="970"/>
      <c r="S371" s="971">
        <v>48344</v>
      </c>
      <c r="T371" s="973">
        <v>-6121</v>
      </c>
      <c r="U371" s="973">
        <v>42223</v>
      </c>
    </row>
    <row r="372" spans="1:21" x14ac:dyDescent="0.25">
      <c r="A372" s="967">
        <v>93821</v>
      </c>
      <c r="B372" s="968" t="s">
        <v>3010</v>
      </c>
      <c r="C372" s="969">
        <v>2.9899999999999998E-5</v>
      </c>
      <c r="D372" s="969">
        <v>5.7200000000000001E-5</v>
      </c>
      <c r="E372" s="986">
        <v>36177</v>
      </c>
      <c r="F372" s="970">
        <v>45679</v>
      </c>
      <c r="G372" s="970"/>
      <c r="H372" s="971">
        <v>2632</v>
      </c>
      <c r="I372" s="972">
        <v>11090</v>
      </c>
      <c r="J372" s="971">
        <v>6524</v>
      </c>
      <c r="K372" s="970">
        <v>18424</v>
      </c>
      <c r="L372" s="972">
        <f t="shared" si="10"/>
        <v>38670</v>
      </c>
      <c r="M372" s="970"/>
      <c r="N372" s="971">
        <v>1293</v>
      </c>
      <c r="O372" s="971">
        <v>0</v>
      </c>
      <c r="P372" s="970">
        <v>343</v>
      </c>
      <c r="Q372" s="972">
        <f t="shared" si="11"/>
        <v>1636</v>
      </c>
      <c r="R372" s="970"/>
      <c r="S372" s="971">
        <v>15394</v>
      </c>
      <c r="T372" s="973">
        <v>7633</v>
      </c>
      <c r="U372" s="973">
        <f>23026+1</f>
        <v>23027</v>
      </c>
    </row>
    <row r="373" spans="1:21" x14ac:dyDescent="0.25">
      <c r="A373" s="967">
        <v>93901</v>
      </c>
      <c r="B373" s="968" t="s">
        <v>3011</v>
      </c>
      <c r="C373" s="969">
        <v>1.7974E-3</v>
      </c>
      <c r="D373" s="969">
        <v>1.8059E-3</v>
      </c>
      <c r="E373" s="986">
        <v>887170</v>
      </c>
      <c r="F373" s="970">
        <v>2745929</v>
      </c>
      <c r="G373" s="970"/>
      <c r="H373" s="971">
        <v>158191</v>
      </c>
      <c r="I373" s="972">
        <v>666715</v>
      </c>
      <c r="J373" s="971">
        <v>392157</v>
      </c>
      <c r="K373" s="970">
        <v>89069</v>
      </c>
      <c r="L373" s="972">
        <f t="shared" si="10"/>
        <v>1306132</v>
      </c>
      <c r="M373" s="970"/>
      <c r="N373" s="971">
        <v>77729</v>
      </c>
      <c r="O373" s="971">
        <v>0</v>
      </c>
      <c r="P373" s="970">
        <v>0</v>
      </c>
      <c r="Q373" s="972">
        <f t="shared" si="11"/>
        <v>77729</v>
      </c>
      <c r="R373" s="970"/>
      <c r="S373" s="971">
        <v>925381</v>
      </c>
      <c r="T373" s="973">
        <v>32657</v>
      </c>
      <c r="U373" s="973">
        <v>958038</v>
      </c>
    </row>
    <row r="374" spans="1:21" x14ac:dyDescent="0.25">
      <c r="A374" s="967">
        <v>93904</v>
      </c>
      <c r="B374" s="968" t="s">
        <v>3012</v>
      </c>
      <c r="C374" s="969">
        <v>3.0000000000000001E-5</v>
      </c>
      <c r="D374" s="969">
        <v>2.4700000000000001E-5</v>
      </c>
      <c r="E374" s="986">
        <v>17302</v>
      </c>
      <c r="F374" s="970">
        <v>45832</v>
      </c>
      <c r="G374" s="970"/>
      <c r="H374" s="971">
        <v>2640</v>
      </c>
      <c r="I374" s="972">
        <v>11128</v>
      </c>
      <c r="J374" s="971">
        <v>6545</v>
      </c>
      <c r="K374" s="970">
        <v>9710</v>
      </c>
      <c r="L374" s="972">
        <f t="shared" si="10"/>
        <v>30023</v>
      </c>
      <c r="M374" s="970"/>
      <c r="N374" s="971">
        <v>1297</v>
      </c>
      <c r="O374" s="971">
        <v>0</v>
      </c>
      <c r="P374" s="970">
        <v>28</v>
      </c>
      <c r="Q374" s="972">
        <f t="shared" si="11"/>
        <v>1325</v>
      </c>
      <c r="R374" s="970"/>
      <c r="S374" s="971">
        <v>15445</v>
      </c>
      <c r="T374" s="973">
        <v>3144</v>
      </c>
      <c r="U374" s="973">
        <v>18589</v>
      </c>
    </row>
    <row r="375" spans="1:21" x14ac:dyDescent="0.25">
      <c r="A375" s="967">
        <v>93906</v>
      </c>
      <c r="B375" s="968" t="s">
        <v>3013</v>
      </c>
      <c r="C375" s="969">
        <v>3.3882000000000001E-3</v>
      </c>
      <c r="D375" s="969">
        <v>3.4513E-3</v>
      </c>
      <c r="E375" s="986">
        <v>1486051</v>
      </c>
      <c r="F375" s="970">
        <v>5176231</v>
      </c>
      <c r="G375" s="970"/>
      <c r="H375" s="971">
        <v>298199</v>
      </c>
      <c r="I375" s="972">
        <v>1256796</v>
      </c>
      <c r="J375" s="971">
        <v>739237</v>
      </c>
      <c r="K375" s="970">
        <v>14983</v>
      </c>
      <c r="L375" s="972">
        <f t="shared" si="10"/>
        <v>2309215</v>
      </c>
      <c r="M375" s="970"/>
      <c r="N375" s="971">
        <v>146523</v>
      </c>
      <c r="O375" s="971">
        <v>0</v>
      </c>
      <c r="P375" s="970">
        <v>222323</v>
      </c>
      <c r="Q375" s="972">
        <f t="shared" si="11"/>
        <v>368846</v>
      </c>
      <c r="R375" s="970"/>
      <c r="S375" s="971">
        <v>1744394</v>
      </c>
      <c r="T375" s="973">
        <v>-70525</v>
      </c>
      <c r="U375" s="973">
        <v>1673869</v>
      </c>
    </row>
    <row r="376" spans="1:21" x14ac:dyDescent="0.25">
      <c r="A376" s="967">
        <v>93908</v>
      </c>
      <c r="B376" s="968" t="s">
        <v>3688</v>
      </c>
      <c r="C376" s="969">
        <v>5.1219999999999998E-4</v>
      </c>
      <c r="D376" s="969">
        <v>5.0239999999999996E-4</v>
      </c>
      <c r="E376" s="986">
        <v>237114</v>
      </c>
      <c r="F376" s="970">
        <v>782500</v>
      </c>
      <c r="G376" s="970"/>
      <c r="H376" s="971">
        <v>45079</v>
      </c>
      <c r="I376" s="972">
        <v>189992</v>
      </c>
      <c r="J376" s="971">
        <v>111752</v>
      </c>
      <c r="K376" s="970">
        <v>12340</v>
      </c>
      <c r="L376" s="972">
        <f t="shared" si="10"/>
        <v>359163</v>
      </c>
      <c r="M376" s="970"/>
      <c r="N376" s="971">
        <v>22150</v>
      </c>
      <c r="O376" s="971">
        <v>0</v>
      </c>
      <c r="P376" s="970">
        <v>16479</v>
      </c>
      <c r="Q376" s="972">
        <f t="shared" si="11"/>
        <v>38629</v>
      </c>
      <c r="R376" s="970"/>
      <c r="S376" s="971">
        <v>263703</v>
      </c>
      <c r="T376" s="973">
        <v>-2302</v>
      </c>
      <c r="U376" s="973">
        <v>261401</v>
      </c>
    </row>
    <row r="377" spans="1:21" x14ac:dyDescent="0.25">
      <c r="A377" s="967">
        <v>93910</v>
      </c>
      <c r="B377" s="968" t="s">
        <v>3015</v>
      </c>
      <c r="C377" s="969">
        <v>2.786E-4</v>
      </c>
      <c r="D377" s="969">
        <v>2.9129999999999998E-4</v>
      </c>
      <c r="E377" s="986">
        <v>117578</v>
      </c>
      <c r="F377" s="970">
        <v>425624</v>
      </c>
      <c r="G377" s="970"/>
      <c r="H377" s="971">
        <v>24520</v>
      </c>
      <c r="I377" s="972">
        <v>103342</v>
      </c>
      <c r="J377" s="971">
        <v>60785</v>
      </c>
      <c r="K377" s="970">
        <v>0</v>
      </c>
      <c r="L377" s="972">
        <f t="shared" si="10"/>
        <v>188647</v>
      </c>
      <c r="M377" s="970"/>
      <c r="N377" s="971">
        <v>12048</v>
      </c>
      <c r="O377" s="971">
        <v>0</v>
      </c>
      <c r="P377" s="970">
        <v>34002</v>
      </c>
      <c r="Q377" s="972">
        <f t="shared" si="11"/>
        <v>46050</v>
      </c>
      <c r="R377" s="970"/>
      <c r="S377" s="971">
        <v>143436</v>
      </c>
      <c r="T377" s="973">
        <v>-14513</v>
      </c>
      <c r="U377" s="973">
        <v>128923</v>
      </c>
    </row>
    <row r="378" spans="1:21" x14ac:dyDescent="0.25">
      <c r="A378" s="967">
        <v>93911</v>
      </c>
      <c r="B378" s="968" t="s">
        <v>3016</v>
      </c>
      <c r="C378" s="969">
        <v>6.3429999999999997E-4</v>
      </c>
      <c r="D378" s="969">
        <v>6.9890000000000002E-4</v>
      </c>
      <c r="E378" s="986">
        <v>301989</v>
      </c>
      <c r="F378" s="970">
        <v>969035</v>
      </c>
      <c r="G378" s="970"/>
      <c r="H378" s="971">
        <v>55825</v>
      </c>
      <c r="I378" s="972">
        <v>235283</v>
      </c>
      <c r="J378" s="971">
        <v>138392</v>
      </c>
      <c r="K378" s="970">
        <v>13175</v>
      </c>
      <c r="L378" s="972">
        <f t="shared" si="10"/>
        <v>442675</v>
      </c>
      <c r="M378" s="970"/>
      <c r="N378" s="971">
        <v>27430</v>
      </c>
      <c r="O378" s="971">
        <v>0</v>
      </c>
      <c r="P378" s="970">
        <v>54353</v>
      </c>
      <c r="Q378" s="972">
        <f t="shared" si="11"/>
        <v>81783</v>
      </c>
      <c r="R378" s="970"/>
      <c r="S378" s="971">
        <v>326566</v>
      </c>
      <c r="T378" s="973">
        <v>-6922</v>
      </c>
      <c r="U378" s="973">
        <v>319644</v>
      </c>
    </row>
    <row r="379" spans="1:21" x14ac:dyDescent="0.25">
      <c r="A379" s="967">
        <v>93913</v>
      </c>
      <c r="B379" s="968" t="s">
        <v>3017</v>
      </c>
      <c r="C379" s="969">
        <v>5.8799999999999999E-5</v>
      </c>
      <c r="D379" s="969">
        <v>6.2600000000000004E-5</v>
      </c>
      <c r="E379" s="986">
        <v>29910</v>
      </c>
      <c r="F379" s="970">
        <v>89830</v>
      </c>
      <c r="G379" s="970"/>
      <c r="H379" s="971">
        <v>5175</v>
      </c>
      <c r="I379" s="972">
        <v>21810</v>
      </c>
      <c r="J379" s="971">
        <v>12829</v>
      </c>
      <c r="K379" s="970">
        <v>2902</v>
      </c>
      <c r="L379" s="972">
        <f t="shared" si="10"/>
        <v>42716</v>
      </c>
      <c r="M379" s="970"/>
      <c r="N379" s="971">
        <v>2543</v>
      </c>
      <c r="O379" s="971">
        <v>0</v>
      </c>
      <c r="P379" s="970">
        <v>1064</v>
      </c>
      <c r="Q379" s="972">
        <f t="shared" si="11"/>
        <v>3607</v>
      </c>
      <c r="R379" s="970"/>
      <c r="S379" s="971">
        <v>30273</v>
      </c>
      <c r="T379" s="973">
        <v>476</v>
      </c>
      <c r="U379" s="973">
        <v>30749</v>
      </c>
    </row>
    <row r="380" spans="1:21" x14ac:dyDescent="0.25">
      <c r="A380" s="967">
        <v>93914</v>
      </c>
      <c r="B380" s="968" t="s">
        <v>3018</v>
      </c>
      <c r="C380" s="969">
        <v>8.1000000000000004E-6</v>
      </c>
      <c r="D380" s="969">
        <v>9.0999999999999993E-6</v>
      </c>
      <c r="E380" s="986">
        <v>6536</v>
      </c>
      <c r="F380" s="970">
        <v>12375</v>
      </c>
      <c r="G380" s="970"/>
      <c r="H380" s="971">
        <v>713</v>
      </c>
      <c r="I380" s="972">
        <v>3005</v>
      </c>
      <c r="J380" s="971">
        <v>1767</v>
      </c>
      <c r="K380" s="970">
        <v>3568</v>
      </c>
      <c r="L380" s="972">
        <f t="shared" si="10"/>
        <v>9053</v>
      </c>
      <c r="M380" s="970"/>
      <c r="N380" s="971">
        <v>350</v>
      </c>
      <c r="O380" s="971">
        <v>0</v>
      </c>
      <c r="P380" s="970">
        <v>0</v>
      </c>
      <c r="Q380" s="972">
        <f t="shared" si="11"/>
        <v>350</v>
      </c>
      <c r="R380" s="970"/>
      <c r="S380" s="971">
        <v>4170</v>
      </c>
      <c r="T380" s="973">
        <v>1520</v>
      </c>
      <c r="U380" s="973">
        <v>5690</v>
      </c>
    </row>
    <row r="381" spans="1:21" x14ac:dyDescent="0.25">
      <c r="A381" s="967">
        <v>93921</v>
      </c>
      <c r="B381" s="968" t="s">
        <v>3019</v>
      </c>
      <c r="C381" s="969">
        <v>2.9020000000000001E-4</v>
      </c>
      <c r="D381" s="969">
        <v>2.7139999999999998E-4</v>
      </c>
      <c r="E381" s="986">
        <v>126884</v>
      </c>
      <c r="F381" s="970">
        <v>443345</v>
      </c>
      <c r="G381" s="970"/>
      <c r="H381" s="971">
        <v>25541</v>
      </c>
      <c r="I381" s="972">
        <v>107645</v>
      </c>
      <c r="J381" s="971">
        <v>63316</v>
      </c>
      <c r="K381" s="970">
        <v>16222</v>
      </c>
      <c r="L381" s="972">
        <f t="shared" si="10"/>
        <v>212724</v>
      </c>
      <c r="M381" s="970"/>
      <c r="N381" s="971">
        <v>12550</v>
      </c>
      <c r="O381" s="971">
        <v>0</v>
      </c>
      <c r="P381" s="970">
        <v>5036</v>
      </c>
      <c r="Q381" s="972">
        <f t="shared" si="11"/>
        <v>17586</v>
      </c>
      <c r="R381" s="970"/>
      <c r="S381" s="971">
        <v>149408</v>
      </c>
      <c r="T381" s="973">
        <v>6326</v>
      </c>
      <c r="U381" s="973">
        <v>155734</v>
      </c>
    </row>
    <row r="382" spans="1:21" x14ac:dyDescent="0.25">
      <c r="A382" s="967">
        <v>93931</v>
      </c>
      <c r="B382" s="968" t="s">
        <v>3020</v>
      </c>
      <c r="C382" s="969">
        <v>5.0029999999999996E-4</v>
      </c>
      <c r="D382" s="969">
        <v>5.2260000000000002E-4</v>
      </c>
      <c r="E382" s="986">
        <v>212623</v>
      </c>
      <c r="F382" s="970">
        <v>764320</v>
      </c>
      <c r="G382" s="970"/>
      <c r="H382" s="971">
        <v>44032</v>
      </c>
      <c r="I382" s="972">
        <v>185578</v>
      </c>
      <c r="J382" s="971">
        <v>109155</v>
      </c>
      <c r="K382" s="970">
        <v>107572</v>
      </c>
      <c r="L382" s="972">
        <f t="shared" si="10"/>
        <v>446337</v>
      </c>
      <c r="M382" s="970"/>
      <c r="N382" s="971">
        <v>21635</v>
      </c>
      <c r="O382" s="971">
        <v>0</v>
      </c>
      <c r="P382" s="970">
        <v>39017</v>
      </c>
      <c r="Q382" s="972">
        <f t="shared" si="11"/>
        <v>60652</v>
      </c>
      <c r="R382" s="970"/>
      <c r="S382" s="971">
        <v>257576</v>
      </c>
      <c r="T382" s="973">
        <v>79129</v>
      </c>
      <c r="U382" s="973">
        <v>336705</v>
      </c>
    </row>
    <row r="383" spans="1:21" x14ac:dyDescent="0.25">
      <c r="A383" s="967">
        <v>94001</v>
      </c>
      <c r="B383" s="968" t="s">
        <v>3021</v>
      </c>
      <c r="C383" s="969">
        <v>9.209E-4</v>
      </c>
      <c r="D383" s="969">
        <v>9.0240000000000003E-4</v>
      </c>
      <c r="E383" s="986">
        <v>430503</v>
      </c>
      <c r="F383" s="970">
        <v>1406880</v>
      </c>
      <c r="G383" s="970"/>
      <c r="H383" s="971">
        <v>81049</v>
      </c>
      <c r="I383" s="972">
        <v>341592</v>
      </c>
      <c r="J383" s="971">
        <v>200922</v>
      </c>
      <c r="K383" s="970">
        <v>45532</v>
      </c>
      <c r="L383" s="972">
        <f t="shared" si="10"/>
        <v>669095</v>
      </c>
      <c r="M383" s="970"/>
      <c r="N383" s="971">
        <v>39824</v>
      </c>
      <c r="O383" s="971">
        <v>0</v>
      </c>
      <c r="P383" s="970">
        <v>27168</v>
      </c>
      <c r="Q383" s="972">
        <f t="shared" si="11"/>
        <v>66992</v>
      </c>
      <c r="R383" s="970"/>
      <c r="S383" s="971">
        <v>474120</v>
      </c>
      <c r="T383" s="973">
        <v>-12411</v>
      </c>
      <c r="U383" s="973">
        <v>461709</v>
      </c>
    </row>
    <row r="384" spans="1:21" x14ac:dyDescent="0.25">
      <c r="A384" s="967">
        <v>94002</v>
      </c>
      <c r="B384" s="968" t="s">
        <v>3022</v>
      </c>
      <c r="C384" s="969">
        <v>7.0999999999999998E-6</v>
      </c>
      <c r="D384" s="969">
        <v>7.6000000000000001E-6</v>
      </c>
      <c r="E384" s="986">
        <v>4693</v>
      </c>
      <c r="F384" s="970">
        <v>10847</v>
      </c>
      <c r="G384" s="970"/>
      <c r="H384" s="971">
        <v>625</v>
      </c>
      <c r="I384" s="972">
        <v>2633</v>
      </c>
      <c r="J384" s="971">
        <v>1549</v>
      </c>
      <c r="K384" s="970">
        <v>1428</v>
      </c>
      <c r="L384" s="972">
        <f t="shared" si="10"/>
        <v>6235</v>
      </c>
      <c r="M384" s="970"/>
      <c r="N384" s="971">
        <v>307</v>
      </c>
      <c r="O384" s="971">
        <v>0</v>
      </c>
      <c r="P384" s="970">
        <v>214</v>
      </c>
      <c r="Q384" s="972">
        <f t="shared" si="11"/>
        <v>521</v>
      </c>
      <c r="R384" s="970"/>
      <c r="S384" s="971">
        <v>3655</v>
      </c>
      <c r="T384" s="973">
        <v>237</v>
      </c>
      <c r="U384" s="973">
        <v>3892</v>
      </c>
    </row>
    <row r="385" spans="1:21" x14ac:dyDescent="0.25">
      <c r="A385" s="967">
        <v>94004</v>
      </c>
      <c r="B385" s="968" t="s">
        <v>3023</v>
      </c>
      <c r="C385" s="969">
        <v>7.3000000000000004E-6</v>
      </c>
      <c r="D385" s="969">
        <v>2.7999999999999999E-6</v>
      </c>
      <c r="E385" s="986">
        <v>4145</v>
      </c>
      <c r="F385" s="970">
        <v>11152</v>
      </c>
      <c r="G385" s="970"/>
      <c r="H385" s="971">
        <v>642</v>
      </c>
      <c r="I385" s="972">
        <v>2708</v>
      </c>
      <c r="J385" s="971">
        <v>1593</v>
      </c>
      <c r="K385" s="970">
        <v>4768</v>
      </c>
      <c r="L385" s="972">
        <f t="shared" si="10"/>
        <v>9711</v>
      </c>
      <c r="M385" s="970"/>
      <c r="N385" s="971">
        <v>316</v>
      </c>
      <c r="O385" s="971">
        <v>0</v>
      </c>
      <c r="P385" s="970">
        <v>626</v>
      </c>
      <c r="Q385" s="972">
        <f t="shared" si="11"/>
        <v>942</v>
      </c>
      <c r="R385" s="970"/>
      <c r="S385" s="971">
        <v>3758</v>
      </c>
      <c r="T385" s="973">
        <v>706</v>
      </c>
      <c r="U385" s="973">
        <v>4464</v>
      </c>
    </row>
    <row r="386" spans="1:21" x14ac:dyDescent="0.25">
      <c r="A386" s="967">
        <v>94005</v>
      </c>
      <c r="B386" s="968" t="s">
        <v>3024</v>
      </c>
      <c r="C386" s="969">
        <v>0</v>
      </c>
      <c r="D386" s="969">
        <v>5.4999999999999999E-6</v>
      </c>
      <c r="E386" s="986">
        <v>560</v>
      </c>
      <c r="F386" s="970">
        <v>0</v>
      </c>
      <c r="G386" s="970"/>
      <c r="H386" s="971">
        <v>0</v>
      </c>
      <c r="I386" s="972">
        <v>0</v>
      </c>
      <c r="J386" s="971">
        <v>0</v>
      </c>
      <c r="K386" s="970">
        <v>0</v>
      </c>
      <c r="L386" s="972">
        <f t="shared" si="10"/>
        <v>0</v>
      </c>
      <c r="M386" s="970"/>
      <c r="N386" s="971">
        <v>0</v>
      </c>
      <c r="O386" s="971">
        <v>0</v>
      </c>
      <c r="P386" s="970">
        <v>5864</v>
      </c>
      <c r="Q386" s="972">
        <f t="shared" si="11"/>
        <v>5864</v>
      </c>
      <c r="R386" s="970"/>
      <c r="S386" s="971">
        <v>0</v>
      </c>
      <c r="T386" s="973">
        <v>-1984</v>
      </c>
      <c r="U386" s="973">
        <v>-1984</v>
      </c>
    </row>
    <row r="387" spans="1:21" x14ac:dyDescent="0.25">
      <c r="A387" s="967">
        <v>94011</v>
      </c>
      <c r="B387" s="968" t="s">
        <v>3025</v>
      </c>
      <c r="C387" s="969">
        <v>2.3600000000000001E-5</v>
      </c>
      <c r="D387" s="969">
        <v>2.5599999999999999E-5</v>
      </c>
      <c r="E387" s="986">
        <v>9233</v>
      </c>
      <c r="F387" s="970">
        <v>36054</v>
      </c>
      <c r="G387" s="970"/>
      <c r="H387" s="971">
        <v>2077</v>
      </c>
      <c r="I387" s="972">
        <v>8754</v>
      </c>
      <c r="J387" s="971">
        <v>5149</v>
      </c>
      <c r="K387" s="970">
        <v>3216</v>
      </c>
      <c r="L387" s="972">
        <f t="shared" si="10"/>
        <v>19196</v>
      </c>
      <c r="M387" s="970"/>
      <c r="N387" s="971">
        <v>1021</v>
      </c>
      <c r="O387" s="971">
        <v>0</v>
      </c>
      <c r="P387" s="970">
        <v>3156</v>
      </c>
      <c r="Q387" s="972">
        <f t="shared" si="11"/>
        <v>4177</v>
      </c>
      <c r="R387" s="970"/>
      <c r="S387" s="971">
        <v>12150</v>
      </c>
      <c r="T387" s="973">
        <v>-16</v>
      </c>
      <c r="U387" s="973">
        <v>12134</v>
      </c>
    </row>
    <row r="388" spans="1:21" x14ac:dyDescent="0.25">
      <c r="A388" s="967">
        <v>94021</v>
      </c>
      <c r="B388" s="968" t="s">
        <v>3026</v>
      </c>
      <c r="C388" s="969">
        <v>9.3399999999999993E-5</v>
      </c>
      <c r="D388" s="969">
        <v>8.1699999999999994E-5</v>
      </c>
      <c r="E388" s="986">
        <v>47346</v>
      </c>
      <c r="F388" s="970">
        <v>142689</v>
      </c>
      <c r="G388" s="970"/>
      <c r="H388" s="971">
        <v>8220</v>
      </c>
      <c r="I388" s="972">
        <v>34645</v>
      </c>
      <c r="J388" s="971">
        <v>20378</v>
      </c>
      <c r="K388" s="970">
        <v>20025</v>
      </c>
      <c r="L388" s="972">
        <f t="shared" si="10"/>
        <v>83268</v>
      </c>
      <c r="M388" s="970"/>
      <c r="N388" s="971">
        <v>4039</v>
      </c>
      <c r="O388" s="971">
        <v>0</v>
      </c>
      <c r="P388" s="970">
        <v>0</v>
      </c>
      <c r="Q388" s="972">
        <f t="shared" si="11"/>
        <v>4039</v>
      </c>
      <c r="R388" s="970"/>
      <c r="S388" s="971">
        <v>48086</v>
      </c>
      <c r="T388" s="973">
        <v>8567</v>
      </c>
      <c r="U388" s="973">
        <v>56653</v>
      </c>
    </row>
    <row r="389" spans="1:21" x14ac:dyDescent="0.25">
      <c r="A389" s="967">
        <v>94031</v>
      </c>
      <c r="B389" s="968" t="s">
        <v>3027</v>
      </c>
      <c r="C389" s="969">
        <v>5.4E-6</v>
      </c>
      <c r="D389" s="969">
        <v>8.1000000000000004E-6</v>
      </c>
      <c r="E389" s="986">
        <v>6800</v>
      </c>
      <c r="F389" s="970">
        <v>8250</v>
      </c>
      <c r="G389" s="970"/>
      <c r="H389" s="971">
        <v>475</v>
      </c>
      <c r="I389" s="972">
        <v>2003</v>
      </c>
      <c r="J389" s="971">
        <v>1178</v>
      </c>
      <c r="K389" s="970">
        <v>7232</v>
      </c>
      <c r="L389" s="972">
        <f t="shared" si="10"/>
        <v>10888</v>
      </c>
      <c r="M389" s="970"/>
      <c r="N389" s="971">
        <v>234</v>
      </c>
      <c r="O389" s="971">
        <v>0</v>
      </c>
      <c r="P389" s="970">
        <v>41</v>
      </c>
      <c r="Q389" s="972">
        <f t="shared" si="11"/>
        <v>275</v>
      </c>
      <c r="R389" s="970"/>
      <c r="S389" s="971">
        <v>2780</v>
      </c>
      <c r="T389" s="973">
        <v>2829</v>
      </c>
      <c r="U389" s="973">
        <v>5609</v>
      </c>
    </row>
    <row r="390" spans="1:21" x14ac:dyDescent="0.25">
      <c r="A390" s="967">
        <v>94101</v>
      </c>
      <c r="B390" s="968" t="s">
        <v>3028</v>
      </c>
      <c r="C390" s="969">
        <v>1.8321799999999999E-2</v>
      </c>
      <c r="D390" s="969">
        <v>1.85028E-2</v>
      </c>
      <c r="E390" s="986">
        <v>8515875</v>
      </c>
      <c r="F390" s="970">
        <v>27990635</v>
      </c>
      <c r="G390" s="970"/>
      <c r="H390" s="971">
        <v>1612520</v>
      </c>
      <c r="I390" s="972">
        <v>6796161</v>
      </c>
      <c r="J390" s="971">
        <v>3997450</v>
      </c>
      <c r="K390" s="970">
        <v>271577</v>
      </c>
      <c r="L390" s="972">
        <f t="shared" si="10"/>
        <v>12677708</v>
      </c>
      <c r="M390" s="970"/>
      <c r="N390" s="971">
        <v>792326</v>
      </c>
      <c r="O390" s="971">
        <v>0</v>
      </c>
      <c r="P390" s="970">
        <v>721969</v>
      </c>
      <c r="Q390" s="972">
        <f t="shared" si="11"/>
        <v>1514295</v>
      </c>
      <c r="R390" s="970"/>
      <c r="S390" s="971">
        <v>9432869</v>
      </c>
      <c r="T390" s="973">
        <v>-270678</v>
      </c>
      <c r="U390" s="973">
        <v>9162191</v>
      </c>
    </row>
    <row r="391" spans="1:21" x14ac:dyDescent="0.25">
      <c r="A391" s="967">
        <v>94102</v>
      </c>
      <c r="B391" s="968" t="s">
        <v>3029</v>
      </c>
      <c r="C391" s="969">
        <v>2.965E-4</v>
      </c>
      <c r="D391" s="969">
        <v>2.7569999999999998E-4</v>
      </c>
      <c r="E391" s="986">
        <v>104557</v>
      </c>
      <c r="F391" s="970">
        <v>452970</v>
      </c>
      <c r="G391" s="970"/>
      <c r="H391" s="971">
        <v>26095</v>
      </c>
      <c r="I391" s="972">
        <v>109981</v>
      </c>
      <c r="J391" s="971">
        <v>64690</v>
      </c>
      <c r="K391" s="970">
        <v>2570</v>
      </c>
      <c r="L391" s="972">
        <f t="shared" ref="L391:L454" si="12">H391+I391+J391+K391</f>
        <v>203336</v>
      </c>
      <c r="M391" s="970"/>
      <c r="N391" s="971">
        <v>12822</v>
      </c>
      <c r="O391" s="971">
        <v>0</v>
      </c>
      <c r="P391" s="970">
        <v>36856</v>
      </c>
      <c r="Q391" s="972">
        <f t="shared" ref="Q391:Q454" si="13">N391+O391+P391</f>
        <v>49678</v>
      </c>
      <c r="R391" s="970"/>
      <c r="S391" s="971">
        <v>152651</v>
      </c>
      <c r="T391" s="973">
        <v>-11311</v>
      </c>
      <c r="U391" s="973">
        <v>141340</v>
      </c>
    </row>
    <row r="392" spans="1:21" x14ac:dyDescent="0.25">
      <c r="A392" s="967">
        <v>94108</v>
      </c>
      <c r="B392" s="968" t="s">
        <v>3030</v>
      </c>
      <c r="C392" s="969">
        <v>3.1389999999999999E-4</v>
      </c>
      <c r="D392" s="969">
        <v>3.1809999999999998E-4</v>
      </c>
      <c r="E392" s="986">
        <v>112936</v>
      </c>
      <c r="F392" s="970">
        <v>479552</v>
      </c>
      <c r="G392" s="970"/>
      <c r="H392" s="971">
        <v>27627</v>
      </c>
      <c r="I392" s="972">
        <v>116436</v>
      </c>
      <c r="J392" s="971">
        <v>68487</v>
      </c>
      <c r="K392" s="970">
        <v>0</v>
      </c>
      <c r="L392" s="972">
        <f t="shared" si="12"/>
        <v>212550</v>
      </c>
      <c r="M392" s="970"/>
      <c r="N392" s="971">
        <v>13575</v>
      </c>
      <c r="O392" s="971">
        <v>0</v>
      </c>
      <c r="P392" s="970">
        <v>108607</v>
      </c>
      <c r="Q392" s="972">
        <f t="shared" si="13"/>
        <v>122182</v>
      </c>
      <c r="R392" s="970"/>
      <c r="S392" s="971">
        <v>161610</v>
      </c>
      <c r="T392" s="973">
        <v>-47459</v>
      </c>
      <c r="U392" s="973">
        <v>114151</v>
      </c>
    </row>
    <row r="393" spans="1:21" x14ac:dyDescent="0.25">
      <c r="A393" s="967">
        <v>94109</v>
      </c>
      <c r="B393" s="968" t="s">
        <v>3031</v>
      </c>
      <c r="C393" s="969">
        <v>9.09E-5</v>
      </c>
      <c r="D393" s="969">
        <v>1.0399999999999999E-4</v>
      </c>
      <c r="E393" s="986">
        <v>31710</v>
      </c>
      <c r="F393" s="970">
        <v>138870</v>
      </c>
      <c r="G393" s="970"/>
      <c r="H393" s="971">
        <v>8000</v>
      </c>
      <c r="I393" s="972">
        <v>33718</v>
      </c>
      <c r="J393" s="971">
        <v>19833</v>
      </c>
      <c r="K393" s="970">
        <v>796</v>
      </c>
      <c r="L393" s="972">
        <f t="shared" si="12"/>
        <v>62347</v>
      </c>
      <c r="M393" s="970"/>
      <c r="N393" s="971">
        <v>3931</v>
      </c>
      <c r="O393" s="971">
        <v>0</v>
      </c>
      <c r="P393" s="970">
        <v>41294</v>
      </c>
      <c r="Q393" s="972">
        <f t="shared" si="13"/>
        <v>45225</v>
      </c>
      <c r="R393" s="970"/>
      <c r="S393" s="971">
        <v>46799</v>
      </c>
      <c r="T393" s="973">
        <v>-12890</v>
      </c>
      <c r="U393" s="973">
        <v>33909</v>
      </c>
    </row>
    <row r="394" spans="1:21" x14ac:dyDescent="0.25">
      <c r="A394" s="967">
        <v>94111</v>
      </c>
      <c r="B394" s="968" t="s">
        <v>3032</v>
      </c>
      <c r="C394" s="969">
        <v>2.5682300000000002E-2</v>
      </c>
      <c r="D394" s="969">
        <v>2.5623300000000002E-2</v>
      </c>
      <c r="E394" s="986">
        <v>11270051</v>
      </c>
      <c r="F394" s="970">
        <v>39235440</v>
      </c>
      <c r="G394" s="970"/>
      <c r="H394" s="971">
        <v>2260325</v>
      </c>
      <c r="I394" s="972">
        <v>9526412</v>
      </c>
      <c r="J394" s="971">
        <v>5603364</v>
      </c>
      <c r="K394" s="970">
        <v>7528</v>
      </c>
      <c r="L394" s="972">
        <f t="shared" si="12"/>
        <v>17397629</v>
      </c>
      <c r="M394" s="970"/>
      <c r="N394" s="971">
        <v>1110631</v>
      </c>
      <c r="O394" s="971">
        <v>0</v>
      </c>
      <c r="P394" s="970">
        <v>1491627</v>
      </c>
      <c r="Q394" s="972">
        <f t="shared" si="13"/>
        <v>2602258</v>
      </c>
      <c r="R394" s="970"/>
      <c r="S394" s="971">
        <v>13222378</v>
      </c>
      <c r="T394" s="973">
        <v>-524586</v>
      </c>
      <c r="U394" s="973">
        <v>12697792</v>
      </c>
    </row>
    <row r="395" spans="1:21" x14ac:dyDescent="0.25">
      <c r="A395" s="967">
        <v>94112</v>
      </c>
      <c r="B395" s="968" t="s">
        <v>3033</v>
      </c>
      <c r="C395" s="969">
        <v>1.6699999999999999E-4</v>
      </c>
      <c r="D395" s="969">
        <v>1.6530000000000001E-4</v>
      </c>
      <c r="E395" s="986">
        <v>68640</v>
      </c>
      <c r="F395" s="970">
        <v>255130</v>
      </c>
      <c r="G395" s="970"/>
      <c r="H395" s="971">
        <v>14698</v>
      </c>
      <c r="I395" s="972">
        <v>61946</v>
      </c>
      <c r="J395" s="971">
        <v>36436</v>
      </c>
      <c r="K395" s="970">
        <v>0</v>
      </c>
      <c r="L395" s="972">
        <f t="shared" si="12"/>
        <v>113080</v>
      </c>
      <c r="M395" s="970"/>
      <c r="N395" s="971">
        <v>7222</v>
      </c>
      <c r="O395" s="971">
        <v>0</v>
      </c>
      <c r="P395" s="970">
        <v>18973</v>
      </c>
      <c r="Q395" s="972">
        <f t="shared" si="13"/>
        <v>26195</v>
      </c>
      <c r="R395" s="970"/>
      <c r="S395" s="971">
        <v>85979</v>
      </c>
      <c r="T395" s="973">
        <v>-8534</v>
      </c>
      <c r="U395" s="973">
        <v>77445</v>
      </c>
    </row>
    <row r="396" spans="1:21" x14ac:dyDescent="0.25">
      <c r="A396" s="967">
        <v>94117</v>
      </c>
      <c r="B396" s="968" t="s">
        <v>3034</v>
      </c>
      <c r="C396" s="969">
        <v>3.9809999999999997E-4</v>
      </c>
      <c r="D396" s="969">
        <v>4.0709999999999997E-4</v>
      </c>
      <c r="E396" s="986">
        <v>179744</v>
      </c>
      <c r="F396" s="970">
        <v>608187</v>
      </c>
      <c r="G396" s="970"/>
      <c r="H396" s="971">
        <v>35037</v>
      </c>
      <c r="I396" s="972">
        <v>147669</v>
      </c>
      <c r="J396" s="971">
        <v>86857</v>
      </c>
      <c r="K396" s="970">
        <v>8133</v>
      </c>
      <c r="L396" s="972">
        <f t="shared" si="12"/>
        <v>277696</v>
      </c>
      <c r="M396" s="970"/>
      <c r="N396" s="971">
        <v>17216</v>
      </c>
      <c r="O396" s="971">
        <v>0</v>
      </c>
      <c r="P396" s="970">
        <v>15587</v>
      </c>
      <c r="Q396" s="972">
        <f t="shared" si="13"/>
        <v>32803</v>
      </c>
      <c r="R396" s="970"/>
      <c r="S396" s="971">
        <v>204959</v>
      </c>
      <c r="T396" s="973">
        <v>-79</v>
      </c>
      <c r="U396" s="973">
        <v>204880</v>
      </c>
    </row>
    <row r="397" spans="1:21" x14ac:dyDescent="0.25">
      <c r="A397" s="967">
        <v>94118</v>
      </c>
      <c r="B397" s="968" t="s">
        <v>3035</v>
      </c>
      <c r="C397" s="969">
        <v>1.494E-4</v>
      </c>
      <c r="D397" s="969">
        <v>1.63E-4</v>
      </c>
      <c r="E397" s="986">
        <v>57233</v>
      </c>
      <c r="F397" s="970">
        <v>228242</v>
      </c>
      <c r="G397" s="970"/>
      <c r="H397" s="971">
        <v>13149</v>
      </c>
      <c r="I397" s="972">
        <v>55417</v>
      </c>
      <c r="J397" s="971">
        <v>32596</v>
      </c>
      <c r="K397" s="970">
        <v>0</v>
      </c>
      <c r="L397" s="972">
        <f t="shared" si="12"/>
        <v>101162</v>
      </c>
      <c r="M397" s="970"/>
      <c r="N397" s="971">
        <v>6461</v>
      </c>
      <c r="O397" s="971">
        <v>0</v>
      </c>
      <c r="P397" s="970">
        <v>56599</v>
      </c>
      <c r="Q397" s="972">
        <f t="shared" si="13"/>
        <v>63060</v>
      </c>
      <c r="R397" s="970"/>
      <c r="S397" s="971">
        <v>76918</v>
      </c>
      <c r="T397" s="973">
        <v>-24768</v>
      </c>
      <c r="U397" s="973">
        <v>52150</v>
      </c>
    </row>
    <row r="398" spans="1:21" x14ac:dyDescent="0.25">
      <c r="A398" s="967">
        <v>94121</v>
      </c>
      <c r="B398" s="968" t="s">
        <v>3036</v>
      </c>
      <c r="C398" s="969">
        <v>1.1246000000000001E-2</v>
      </c>
      <c r="D398" s="969">
        <v>1.12823E-2</v>
      </c>
      <c r="E398" s="986">
        <v>5240634</v>
      </c>
      <c r="F398" s="970">
        <v>17180773</v>
      </c>
      <c r="G398" s="970"/>
      <c r="H398" s="971">
        <v>989772</v>
      </c>
      <c r="I398" s="972">
        <v>4171512</v>
      </c>
      <c r="J398" s="971">
        <v>2453652</v>
      </c>
      <c r="K398" s="970">
        <v>65556</v>
      </c>
      <c r="L398" s="972">
        <f t="shared" si="12"/>
        <v>7680492</v>
      </c>
      <c r="M398" s="970"/>
      <c r="N398" s="971">
        <v>486333</v>
      </c>
      <c r="O398" s="971">
        <v>0</v>
      </c>
      <c r="P398" s="970">
        <v>276825</v>
      </c>
      <c r="Q398" s="972">
        <f t="shared" si="13"/>
        <v>763158</v>
      </c>
      <c r="R398" s="970"/>
      <c r="S398" s="971">
        <v>5789936</v>
      </c>
      <c r="T398" s="973">
        <v>-128084</v>
      </c>
      <c r="U398" s="973">
        <v>5661852</v>
      </c>
    </row>
    <row r="399" spans="1:21" x14ac:dyDescent="0.25">
      <c r="A399" s="967">
        <v>94127</v>
      </c>
      <c r="B399" s="968" t="s">
        <v>3037</v>
      </c>
      <c r="C399" s="969">
        <v>1.7310000000000001E-4</v>
      </c>
      <c r="D399" s="969">
        <v>1.528E-4</v>
      </c>
      <c r="E399" s="986">
        <v>70093</v>
      </c>
      <c r="F399" s="970">
        <v>264449</v>
      </c>
      <c r="G399" s="970"/>
      <c r="H399" s="971">
        <v>15235</v>
      </c>
      <c r="I399" s="972">
        <v>64208</v>
      </c>
      <c r="J399" s="971">
        <v>37767</v>
      </c>
      <c r="K399" s="970">
        <v>8697</v>
      </c>
      <c r="L399" s="972">
        <f t="shared" si="12"/>
        <v>125907</v>
      </c>
      <c r="M399" s="970"/>
      <c r="N399" s="971">
        <v>7486</v>
      </c>
      <c r="O399" s="971">
        <v>0</v>
      </c>
      <c r="P399" s="970">
        <v>398</v>
      </c>
      <c r="Q399" s="972">
        <f t="shared" si="13"/>
        <v>7884</v>
      </c>
      <c r="R399" s="970"/>
      <c r="S399" s="971">
        <v>89119</v>
      </c>
      <c r="T399" s="973">
        <v>2605</v>
      </c>
      <c r="U399" s="973">
        <v>91724</v>
      </c>
    </row>
    <row r="400" spans="1:21" x14ac:dyDescent="0.25">
      <c r="A400" s="967">
        <v>94131</v>
      </c>
      <c r="B400" s="968" t="s">
        <v>3038</v>
      </c>
      <c r="C400" s="969">
        <v>1.7479999999999999E-4</v>
      </c>
      <c r="D400" s="969">
        <v>2.0049999999999999E-4</v>
      </c>
      <c r="E400" s="986">
        <v>91156</v>
      </c>
      <c r="F400" s="970">
        <v>267046</v>
      </c>
      <c r="G400" s="970"/>
      <c r="H400" s="971">
        <v>15384</v>
      </c>
      <c r="I400" s="972">
        <v>64840</v>
      </c>
      <c r="J400" s="971">
        <v>38138</v>
      </c>
      <c r="K400" s="970">
        <v>3004</v>
      </c>
      <c r="L400" s="972">
        <f t="shared" si="12"/>
        <v>121366</v>
      </c>
      <c r="M400" s="970"/>
      <c r="N400" s="971">
        <v>7559</v>
      </c>
      <c r="O400" s="971">
        <v>0</v>
      </c>
      <c r="P400" s="970">
        <v>9062</v>
      </c>
      <c r="Q400" s="972">
        <f t="shared" si="13"/>
        <v>16621</v>
      </c>
      <c r="R400" s="970"/>
      <c r="S400" s="971">
        <v>89995</v>
      </c>
      <c r="T400" s="973">
        <v>-1148</v>
      </c>
      <c r="U400" s="973">
        <v>88847</v>
      </c>
    </row>
    <row r="401" spans="1:21" x14ac:dyDescent="0.25">
      <c r="A401" s="967">
        <v>94151</v>
      </c>
      <c r="B401" s="968" t="s">
        <v>3039</v>
      </c>
      <c r="C401" s="969">
        <v>4.1590000000000003E-4</v>
      </c>
      <c r="D401" s="969">
        <v>4.2870000000000001E-4</v>
      </c>
      <c r="E401" s="986">
        <v>171244</v>
      </c>
      <c r="F401" s="970">
        <v>635380</v>
      </c>
      <c r="G401" s="970"/>
      <c r="H401" s="971">
        <v>36604</v>
      </c>
      <c r="I401" s="972">
        <v>154271</v>
      </c>
      <c r="J401" s="971">
        <v>90741</v>
      </c>
      <c r="K401" s="970">
        <v>0</v>
      </c>
      <c r="L401" s="972">
        <f t="shared" si="12"/>
        <v>281616</v>
      </c>
      <c r="M401" s="970"/>
      <c r="N401" s="971">
        <v>17986</v>
      </c>
      <c r="O401" s="971">
        <v>0</v>
      </c>
      <c r="P401" s="970">
        <v>36672</v>
      </c>
      <c r="Q401" s="972">
        <f t="shared" si="13"/>
        <v>54658</v>
      </c>
      <c r="R401" s="970"/>
      <c r="S401" s="971">
        <v>214124</v>
      </c>
      <c r="T401" s="973">
        <v>-12878</v>
      </c>
      <c r="U401" s="973">
        <v>201246</v>
      </c>
    </row>
    <row r="402" spans="1:21" x14ac:dyDescent="0.25">
      <c r="A402" s="967">
        <v>94157</v>
      </c>
      <c r="B402" s="968" t="s">
        <v>3040</v>
      </c>
      <c r="C402" s="969">
        <v>8.8999999999999995E-6</v>
      </c>
      <c r="D402" s="969">
        <v>9.3999999999999998E-6</v>
      </c>
      <c r="E402" s="986">
        <v>5186</v>
      </c>
      <c r="F402" s="970">
        <v>13597</v>
      </c>
      <c r="G402" s="970"/>
      <c r="H402" s="971">
        <v>783</v>
      </c>
      <c r="I402" s="972">
        <v>3302</v>
      </c>
      <c r="J402" s="971">
        <v>1942</v>
      </c>
      <c r="K402" s="970">
        <v>3748</v>
      </c>
      <c r="L402" s="972">
        <f t="shared" si="12"/>
        <v>9775</v>
      </c>
      <c r="M402" s="970"/>
      <c r="N402" s="971">
        <v>385</v>
      </c>
      <c r="O402" s="971">
        <v>0</v>
      </c>
      <c r="P402" s="970">
        <v>0</v>
      </c>
      <c r="Q402" s="972">
        <f t="shared" si="13"/>
        <v>385</v>
      </c>
      <c r="R402" s="970"/>
      <c r="S402" s="971">
        <v>4582</v>
      </c>
      <c r="T402" s="973">
        <v>2084</v>
      </c>
      <c r="U402" s="973">
        <v>6666</v>
      </c>
    </row>
    <row r="403" spans="1:21" x14ac:dyDescent="0.25">
      <c r="A403" s="967">
        <v>94161</v>
      </c>
      <c r="B403" s="968" t="s">
        <v>3041</v>
      </c>
      <c r="C403" s="969">
        <v>5.1900000000000001E-5</v>
      </c>
      <c r="D403" s="969">
        <v>5.7899999999999998E-5</v>
      </c>
      <c r="E403" s="986">
        <v>24925</v>
      </c>
      <c r="F403" s="970">
        <v>79289</v>
      </c>
      <c r="G403" s="970"/>
      <c r="H403" s="971">
        <v>4568</v>
      </c>
      <c r="I403" s="972">
        <v>19252</v>
      </c>
      <c r="J403" s="971">
        <v>11324</v>
      </c>
      <c r="K403" s="970">
        <v>5455</v>
      </c>
      <c r="L403" s="972">
        <f t="shared" si="12"/>
        <v>40599</v>
      </c>
      <c r="M403" s="970"/>
      <c r="N403" s="971">
        <v>2244</v>
      </c>
      <c r="O403" s="971">
        <v>0</v>
      </c>
      <c r="P403" s="970">
        <v>3144</v>
      </c>
      <c r="Q403" s="972">
        <f t="shared" si="13"/>
        <v>5388</v>
      </c>
      <c r="R403" s="970"/>
      <c r="S403" s="971">
        <v>26720</v>
      </c>
      <c r="T403" s="973">
        <v>2302</v>
      </c>
      <c r="U403" s="973">
        <v>29022</v>
      </c>
    </row>
    <row r="404" spans="1:21" x14ac:dyDescent="0.25">
      <c r="A404" s="967">
        <v>94168</v>
      </c>
      <c r="B404" s="968" t="s">
        <v>3042</v>
      </c>
      <c r="C404" s="969">
        <v>2.5899999999999999E-5</v>
      </c>
      <c r="D404" s="969">
        <v>3.4E-5</v>
      </c>
      <c r="E404" s="986">
        <v>14686</v>
      </c>
      <c r="F404" s="970">
        <v>39568</v>
      </c>
      <c r="G404" s="970"/>
      <c r="H404" s="971">
        <v>2279</v>
      </c>
      <c r="I404" s="972">
        <v>9607</v>
      </c>
      <c r="J404" s="971">
        <v>5651</v>
      </c>
      <c r="K404" s="970">
        <v>0</v>
      </c>
      <c r="L404" s="972">
        <f t="shared" si="12"/>
        <v>17537</v>
      </c>
      <c r="M404" s="970"/>
      <c r="N404" s="971">
        <v>1120</v>
      </c>
      <c r="O404" s="971">
        <v>0</v>
      </c>
      <c r="P404" s="970">
        <v>11664</v>
      </c>
      <c r="Q404" s="972">
        <f t="shared" si="13"/>
        <v>12784</v>
      </c>
      <c r="R404" s="970"/>
      <c r="S404" s="971">
        <v>13334</v>
      </c>
      <c r="T404" s="973">
        <v>-5442</v>
      </c>
      <c r="U404" s="973">
        <v>7892</v>
      </c>
    </row>
    <row r="405" spans="1:21" x14ac:dyDescent="0.25">
      <c r="A405" s="967">
        <v>94171</v>
      </c>
      <c r="B405" s="968" t="s">
        <v>3043</v>
      </c>
      <c r="C405" s="969">
        <v>6.9800000000000003E-5</v>
      </c>
      <c r="D405" s="969">
        <v>5.5000000000000002E-5</v>
      </c>
      <c r="E405" s="986">
        <v>26828</v>
      </c>
      <c r="F405" s="970">
        <v>106635</v>
      </c>
      <c r="G405" s="970"/>
      <c r="H405" s="971">
        <v>6143</v>
      </c>
      <c r="I405" s="972">
        <v>25891</v>
      </c>
      <c r="J405" s="971">
        <v>15229</v>
      </c>
      <c r="K405" s="970">
        <v>10026</v>
      </c>
      <c r="L405" s="972">
        <f t="shared" si="12"/>
        <v>57289</v>
      </c>
      <c r="M405" s="970"/>
      <c r="N405" s="971">
        <v>3019</v>
      </c>
      <c r="O405" s="971">
        <v>0</v>
      </c>
      <c r="P405" s="970">
        <v>862</v>
      </c>
      <c r="Q405" s="972">
        <f t="shared" si="13"/>
        <v>3881</v>
      </c>
      <c r="R405" s="970"/>
      <c r="S405" s="971">
        <v>35936</v>
      </c>
      <c r="T405" s="973">
        <v>2780</v>
      </c>
      <c r="U405" s="973">
        <v>38716</v>
      </c>
    </row>
    <row r="406" spans="1:21" x14ac:dyDescent="0.25">
      <c r="A406" s="967">
        <v>94172</v>
      </c>
      <c r="B406" s="968" t="s">
        <v>3044</v>
      </c>
      <c r="C406" s="969">
        <v>2.6289999999999999E-4</v>
      </c>
      <c r="D406" s="969">
        <v>2.6699999999999998E-4</v>
      </c>
      <c r="E406" s="986">
        <v>91553</v>
      </c>
      <c r="F406" s="970">
        <v>401638</v>
      </c>
      <c r="G406" s="970"/>
      <c r="H406" s="971">
        <v>23138</v>
      </c>
      <c r="I406" s="972">
        <v>97518</v>
      </c>
      <c r="J406" s="971">
        <v>57360</v>
      </c>
      <c r="K406" s="970">
        <v>0</v>
      </c>
      <c r="L406" s="972">
        <f t="shared" si="12"/>
        <v>178016</v>
      </c>
      <c r="M406" s="970"/>
      <c r="N406" s="971">
        <v>11369</v>
      </c>
      <c r="O406" s="971">
        <v>0</v>
      </c>
      <c r="P406" s="970">
        <v>90059</v>
      </c>
      <c r="Q406" s="972">
        <f t="shared" si="13"/>
        <v>101428</v>
      </c>
      <c r="R406" s="970"/>
      <c r="S406" s="971">
        <v>135352</v>
      </c>
      <c r="T406" s="973">
        <v>-41178</v>
      </c>
      <c r="U406" s="973">
        <v>94174</v>
      </c>
    </row>
    <row r="407" spans="1:21" x14ac:dyDescent="0.25">
      <c r="A407" s="967">
        <v>94201</v>
      </c>
      <c r="B407" s="968" t="s">
        <v>3045</v>
      </c>
      <c r="C407" s="969">
        <v>3.3658999999999998E-3</v>
      </c>
      <c r="D407" s="969">
        <v>3.4813000000000001E-3</v>
      </c>
      <c r="E407" s="986">
        <v>1556105</v>
      </c>
      <c r="F407" s="970">
        <v>5142163</v>
      </c>
      <c r="G407" s="970"/>
      <c r="H407" s="971">
        <v>296236</v>
      </c>
      <c r="I407" s="972">
        <v>1248524</v>
      </c>
      <c r="J407" s="971">
        <v>734372</v>
      </c>
      <c r="K407" s="970">
        <v>37947</v>
      </c>
      <c r="L407" s="972">
        <f t="shared" si="12"/>
        <v>2317079</v>
      </c>
      <c r="M407" s="970"/>
      <c r="N407" s="971">
        <v>145558</v>
      </c>
      <c r="O407" s="971">
        <v>0</v>
      </c>
      <c r="P407" s="970">
        <v>70514</v>
      </c>
      <c r="Q407" s="972">
        <f t="shared" si="13"/>
        <v>216072</v>
      </c>
      <c r="R407" s="970"/>
      <c r="S407" s="971">
        <v>1732913</v>
      </c>
      <c r="T407" s="973">
        <v>-942</v>
      </c>
      <c r="U407" s="973">
        <v>1731971</v>
      </c>
    </row>
    <row r="408" spans="1:21" x14ac:dyDescent="0.25">
      <c r="A408" s="967">
        <v>94204</v>
      </c>
      <c r="B408" s="968" t="s">
        <v>3046</v>
      </c>
      <c r="C408" s="969">
        <v>2.5899999999999999E-5</v>
      </c>
      <c r="D408" s="969">
        <v>2.4899999999999999E-5</v>
      </c>
      <c r="E408" s="986">
        <v>17428</v>
      </c>
      <c r="F408" s="970">
        <v>39568</v>
      </c>
      <c r="G408" s="970"/>
      <c r="H408" s="971">
        <v>2279</v>
      </c>
      <c r="I408" s="972">
        <v>9607</v>
      </c>
      <c r="J408" s="971">
        <v>5651</v>
      </c>
      <c r="K408" s="970">
        <v>12190</v>
      </c>
      <c r="L408" s="972">
        <f t="shared" si="12"/>
        <v>29727</v>
      </c>
      <c r="M408" s="970"/>
      <c r="N408" s="971">
        <v>1120</v>
      </c>
      <c r="O408" s="971">
        <v>0</v>
      </c>
      <c r="P408" s="970">
        <v>0</v>
      </c>
      <c r="Q408" s="972">
        <f t="shared" si="13"/>
        <v>1120</v>
      </c>
      <c r="R408" s="970"/>
      <c r="S408" s="971">
        <v>13334</v>
      </c>
      <c r="T408" s="973">
        <v>4996</v>
      </c>
      <c r="U408" s="973">
        <v>18330</v>
      </c>
    </row>
    <row r="409" spans="1:21" x14ac:dyDescent="0.25">
      <c r="A409" s="967">
        <v>94205</v>
      </c>
      <c r="B409" s="968" t="s">
        <v>3047</v>
      </c>
      <c r="C409" s="969">
        <v>2.0699999999999998E-5</v>
      </c>
      <c r="D409" s="969">
        <v>2.6100000000000001E-5</v>
      </c>
      <c r="E409" s="986">
        <v>11902</v>
      </c>
      <c r="F409" s="970">
        <v>31624</v>
      </c>
      <c r="G409" s="970"/>
      <c r="H409" s="971">
        <v>1822</v>
      </c>
      <c r="I409" s="972">
        <v>7678</v>
      </c>
      <c r="J409" s="971">
        <v>4516</v>
      </c>
      <c r="K409" s="970">
        <v>1652</v>
      </c>
      <c r="L409" s="972">
        <f t="shared" si="12"/>
        <v>15668</v>
      </c>
      <c r="M409" s="970"/>
      <c r="N409" s="971">
        <v>895</v>
      </c>
      <c r="O409" s="971">
        <v>0</v>
      </c>
      <c r="P409" s="970">
        <v>5048</v>
      </c>
      <c r="Q409" s="972">
        <f t="shared" si="13"/>
        <v>5943</v>
      </c>
      <c r="R409" s="970"/>
      <c r="S409" s="971">
        <v>10657</v>
      </c>
      <c r="T409" s="973">
        <v>-3026</v>
      </c>
      <c r="U409" s="973">
        <v>7631</v>
      </c>
    </row>
    <row r="410" spans="1:21" x14ac:dyDescent="0.25">
      <c r="A410" s="967">
        <v>94209</v>
      </c>
      <c r="B410" s="968" t="s">
        <v>3048</v>
      </c>
      <c r="C410" s="969">
        <v>3.4190000000000002E-4</v>
      </c>
      <c r="D410" s="969">
        <v>3.2909999999999998E-4</v>
      </c>
      <c r="E410" s="986">
        <v>157003</v>
      </c>
      <c r="F410" s="970">
        <v>522328</v>
      </c>
      <c r="G410" s="970"/>
      <c r="H410" s="971">
        <v>30091</v>
      </c>
      <c r="I410" s="972">
        <v>126822</v>
      </c>
      <c r="J410" s="971">
        <v>74596</v>
      </c>
      <c r="K410" s="970">
        <v>23431</v>
      </c>
      <c r="L410" s="972">
        <f t="shared" si="12"/>
        <v>254940</v>
      </c>
      <c r="M410" s="970"/>
      <c r="N410" s="971">
        <v>14785</v>
      </c>
      <c r="O410" s="971">
        <v>0</v>
      </c>
      <c r="P410" s="970">
        <v>7196</v>
      </c>
      <c r="Q410" s="972">
        <f t="shared" si="13"/>
        <v>21981</v>
      </c>
      <c r="R410" s="970"/>
      <c r="S410" s="971">
        <v>176025</v>
      </c>
      <c r="T410" s="973">
        <v>9128</v>
      </c>
      <c r="U410" s="973">
        <v>185153</v>
      </c>
    </row>
    <row r="411" spans="1:21" x14ac:dyDescent="0.25">
      <c r="A411" s="967">
        <v>94211</v>
      </c>
      <c r="B411" s="968" t="s">
        <v>3049</v>
      </c>
      <c r="C411" s="969">
        <v>1.3660000000000001E-4</v>
      </c>
      <c r="D411" s="969">
        <v>1.2400000000000001E-4</v>
      </c>
      <c r="E411" s="986">
        <v>61663</v>
      </c>
      <c r="F411" s="970">
        <v>208687</v>
      </c>
      <c r="G411" s="970"/>
      <c r="H411" s="971">
        <v>12022</v>
      </c>
      <c r="I411" s="972">
        <v>50669</v>
      </c>
      <c r="J411" s="971">
        <v>29803</v>
      </c>
      <c r="K411" s="970">
        <v>7857</v>
      </c>
      <c r="L411" s="972">
        <f t="shared" si="12"/>
        <v>100351</v>
      </c>
      <c r="M411" s="970"/>
      <c r="N411" s="971">
        <v>5907</v>
      </c>
      <c r="O411" s="971">
        <v>0</v>
      </c>
      <c r="P411" s="970">
        <v>17326</v>
      </c>
      <c r="Q411" s="972">
        <f t="shared" si="13"/>
        <v>23233</v>
      </c>
      <c r="R411" s="970"/>
      <c r="S411" s="971">
        <v>70328</v>
      </c>
      <c r="T411" s="973">
        <v>-11553</v>
      </c>
      <c r="U411" s="973">
        <v>58775</v>
      </c>
    </row>
    <row r="412" spans="1:21" x14ac:dyDescent="0.25">
      <c r="A412" s="967">
        <v>94221</v>
      </c>
      <c r="B412" s="968" t="s">
        <v>3050</v>
      </c>
      <c r="C412" s="969">
        <v>1.0436E-3</v>
      </c>
      <c r="D412" s="969">
        <v>1.0705999999999999E-3</v>
      </c>
      <c r="E412" s="986">
        <v>459328</v>
      </c>
      <c r="F412" s="970">
        <v>1594332</v>
      </c>
      <c r="G412" s="970"/>
      <c r="H412" s="971">
        <v>91848</v>
      </c>
      <c r="I412" s="972">
        <v>387106</v>
      </c>
      <c r="J412" s="971">
        <v>227693</v>
      </c>
      <c r="K412" s="970">
        <v>63725</v>
      </c>
      <c r="L412" s="972">
        <f t="shared" si="12"/>
        <v>770372</v>
      </c>
      <c r="M412" s="970"/>
      <c r="N412" s="971">
        <v>45130</v>
      </c>
      <c r="O412" s="971">
        <v>0</v>
      </c>
      <c r="P412" s="970">
        <v>120971</v>
      </c>
      <c r="Q412" s="972">
        <f t="shared" si="13"/>
        <v>166101</v>
      </c>
      <c r="R412" s="970"/>
      <c r="S412" s="971">
        <v>537291</v>
      </c>
      <c r="T412" s="973">
        <v>-24799</v>
      </c>
      <c r="U412" s="973">
        <v>512492</v>
      </c>
    </row>
    <row r="413" spans="1:21" x14ac:dyDescent="0.25">
      <c r="A413" s="967">
        <v>94231</v>
      </c>
      <c r="B413" s="968" t="s">
        <v>3051</v>
      </c>
      <c r="C413" s="969">
        <v>2.2609999999999999E-4</v>
      </c>
      <c r="D413" s="969">
        <v>2.1269999999999999E-4</v>
      </c>
      <c r="E413" s="986">
        <v>101171</v>
      </c>
      <c r="F413" s="970">
        <v>345418</v>
      </c>
      <c r="G413" s="970"/>
      <c r="H413" s="971">
        <v>19899</v>
      </c>
      <c r="I413" s="972">
        <v>83868</v>
      </c>
      <c r="J413" s="971">
        <v>49330</v>
      </c>
      <c r="K413" s="970">
        <v>8354</v>
      </c>
      <c r="L413" s="972">
        <f t="shared" si="12"/>
        <v>161451</v>
      </c>
      <c r="M413" s="970"/>
      <c r="N413" s="971">
        <v>9778</v>
      </c>
      <c r="O413" s="971">
        <v>0</v>
      </c>
      <c r="P413" s="970">
        <v>6714</v>
      </c>
      <c r="Q413" s="972">
        <f t="shared" si="13"/>
        <v>16492</v>
      </c>
      <c r="R413" s="970"/>
      <c r="S413" s="971">
        <v>116406</v>
      </c>
      <c r="T413" s="973">
        <v>-2799</v>
      </c>
      <c r="U413" s="973">
        <v>113607</v>
      </c>
    </row>
    <row r="414" spans="1:21" x14ac:dyDescent="0.25">
      <c r="A414" s="967">
        <v>94241</v>
      </c>
      <c r="B414" s="968" t="s">
        <v>3052</v>
      </c>
      <c r="C414" s="969">
        <v>1.2669999999999999E-4</v>
      </c>
      <c r="D414" s="969">
        <v>8.4099999999999998E-5</v>
      </c>
      <c r="E414" s="986">
        <v>53317</v>
      </c>
      <c r="F414" s="970">
        <v>193563</v>
      </c>
      <c r="G414" s="970"/>
      <c r="H414" s="971">
        <v>11151</v>
      </c>
      <c r="I414" s="972">
        <v>46997</v>
      </c>
      <c r="J414" s="971">
        <v>27643</v>
      </c>
      <c r="K414" s="970">
        <v>26711</v>
      </c>
      <c r="L414" s="972">
        <f t="shared" si="12"/>
        <v>112502</v>
      </c>
      <c r="M414" s="970"/>
      <c r="N414" s="971">
        <v>5479</v>
      </c>
      <c r="O414" s="971">
        <v>0</v>
      </c>
      <c r="P414" s="970">
        <v>856</v>
      </c>
      <c r="Q414" s="972">
        <f t="shared" si="13"/>
        <v>6335</v>
      </c>
      <c r="R414" s="970"/>
      <c r="S414" s="971">
        <v>65231</v>
      </c>
      <c r="T414" s="973">
        <v>6835</v>
      </c>
      <c r="U414" s="973">
        <v>72066</v>
      </c>
    </row>
    <row r="415" spans="1:21" x14ac:dyDescent="0.25">
      <c r="A415" s="967">
        <v>94251</v>
      </c>
      <c r="B415" s="968" t="s">
        <v>3053</v>
      </c>
      <c r="C415" s="969">
        <v>1.95E-5</v>
      </c>
      <c r="D415" s="969">
        <v>1.4E-5</v>
      </c>
      <c r="E415" s="986">
        <v>8455</v>
      </c>
      <c r="F415" s="970">
        <v>29791</v>
      </c>
      <c r="G415" s="970"/>
      <c r="H415" s="971">
        <v>1716</v>
      </c>
      <c r="I415" s="972">
        <v>7233</v>
      </c>
      <c r="J415" s="971">
        <v>4255</v>
      </c>
      <c r="K415" s="970">
        <v>3290</v>
      </c>
      <c r="L415" s="972">
        <f t="shared" si="12"/>
        <v>16494</v>
      </c>
      <c r="M415" s="970"/>
      <c r="N415" s="971">
        <v>843</v>
      </c>
      <c r="O415" s="971">
        <v>0</v>
      </c>
      <c r="P415" s="970">
        <v>6508</v>
      </c>
      <c r="Q415" s="972">
        <f t="shared" si="13"/>
        <v>7351</v>
      </c>
      <c r="R415" s="970"/>
      <c r="S415" s="971">
        <v>10039</v>
      </c>
      <c r="T415" s="973">
        <v>-2297</v>
      </c>
      <c r="U415" s="973">
        <v>7742</v>
      </c>
    </row>
    <row r="416" spans="1:21" x14ac:dyDescent="0.25">
      <c r="A416" s="967">
        <v>94261</v>
      </c>
      <c r="B416" s="968" t="s">
        <v>3054</v>
      </c>
      <c r="C416" s="969">
        <v>3.9199999999999997E-5</v>
      </c>
      <c r="D416" s="969">
        <v>2.9499999999999999E-5</v>
      </c>
      <c r="E416" s="986">
        <v>18726</v>
      </c>
      <c r="F416" s="970">
        <v>59887</v>
      </c>
      <c r="G416" s="970"/>
      <c r="H416" s="971">
        <v>3450</v>
      </c>
      <c r="I416" s="972">
        <v>14541</v>
      </c>
      <c r="J416" s="971">
        <v>8553</v>
      </c>
      <c r="K416" s="970">
        <v>15518</v>
      </c>
      <c r="L416" s="972">
        <f t="shared" si="12"/>
        <v>42062</v>
      </c>
      <c r="M416" s="970"/>
      <c r="N416" s="971">
        <v>1695</v>
      </c>
      <c r="O416" s="971">
        <v>0</v>
      </c>
      <c r="P416" s="970">
        <v>0</v>
      </c>
      <c r="Q416" s="972">
        <f t="shared" si="13"/>
        <v>1695</v>
      </c>
      <c r="R416" s="970"/>
      <c r="S416" s="971">
        <v>20182</v>
      </c>
      <c r="T416" s="973">
        <v>5508</v>
      </c>
      <c r="U416" s="973">
        <v>25690</v>
      </c>
    </row>
    <row r="417" spans="1:21" x14ac:dyDescent="0.25">
      <c r="A417" s="967">
        <v>94301</v>
      </c>
      <c r="B417" s="968" t="s">
        <v>3055</v>
      </c>
      <c r="C417" s="969">
        <v>6.2988999999999996E-3</v>
      </c>
      <c r="D417" s="969">
        <v>6.0746999999999997E-3</v>
      </c>
      <c r="E417" s="986">
        <v>2799560</v>
      </c>
      <c r="F417" s="970">
        <v>9622974</v>
      </c>
      <c r="G417" s="970"/>
      <c r="H417" s="971">
        <v>554372</v>
      </c>
      <c r="I417" s="972">
        <v>2336470</v>
      </c>
      <c r="J417" s="971">
        <v>1374294</v>
      </c>
      <c r="K417" s="970">
        <v>85982</v>
      </c>
      <c r="L417" s="972">
        <f t="shared" si="12"/>
        <v>4351118</v>
      </c>
      <c r="M417" s="970"/>
      <c r="N417" s="971">
        <v>272396</v>
      </c>
      <c r="O417" s="971">
        <v>0</v>
      </c>
      <c r="P417" s="970">
        <v>117980</v>
      </c>
      <c r="Q417" s="972">
        <f t="shared" si="13"/>
        <v>390376</v>
      </c>
      <c r="R417" s="970"/>
      <c r="S417" s="971">
        <v>3242951</v>
      </c>
      <c r="T417" s="973">
        <v>-22710</v>
      </c>
      <c r="U417" s="973">
        <v>3220241</v>
      </c>
    </row>
    <row r="418" spans="1:21" x14ac:dyDescent="0.25">
      <c r="A418" s="967">
        <v>94311</v>
      </c>
      <c r="B418" s="968" t="s">
        <v>3056</v>
      </c>
      <c r="C418" s="969">
        <v>7.8540000000000001E-4</v>
      </c>
      <c r="D418" s="969">
        <v>7.4399999999999998E-4</v>
      </c>
      <c r="E418" s="986">
        <v>355079</v>
      </c>
      <c r="F418" s="970">
        <v>1199874</v>
      </c>
      <c r="G418" s="970"/>
      <c r="H418" s="971">
        <v>69124</v>
      </c>
      <c r="I418" s="972">
        <v>291331</v>
      </c>
      <c r="J418" s="971">
        <v>171359</v>
      </c>
      <c r="K418" s="970">
        <v>26150</v>
      </c>
      <c r="L418" s="972">
        <f t="shared" si="12"/>
        <v>557964</v>
      </c>
      <c r="M418" s="970"/>
      <c r="N418" s="971">
        <v>33965</v>
      </c>
      <c r="O418" s="971">
        <v>0</v>
      </c>
      <c r="P418" s="970">
        <v>52115</v>
      </c>
      <c r="Q418" s="972">
        <f t="shared" si="13"/>
        <v>86080</v>
      </c>
      <c r="R418" s="970"/>
      <c r="S418" s="971">
        <v>404358</v>
      </c>
      <c r="T418" s="973">
        <v>-13365</v>
      </c>
      <c r="U418" s="973">
        <v>390993</v>
      </c>
    </row>
    <row r="419" spans="1:21" x14ac:dyDescent="0.25">
      <c r="A419" s="967">
        <v>94313</v>
      </c>
      <c r="B419" s="968" t="s">
        <v>3057</v>
      </c>
      <c r="C419" s="969">
        <v>1.8700000000000001E-5</v>
      </c>
      <c r="D419" s="969">
        <v>2.0299999999999999E-5</v>
      </c>
      <c r="E419" s="986">
        <v>12663</v>
      </c>
      <c r="F419" s="970">
        <v>28568</v>
      </c>
      <c r="G419" s="970"/>
      <c r="H419" s="971">
        <v>1646</v>
      </c>
      <c r="I419" s="972">
        <v>6936</v>
      </c>
      <c r="J419" s="971">
        <v>4080</v>
      </c>
      <c r="K419" s="970">
        <v>7421</v>
      </c>
      <c r="L419" s="972">
        <f t="shared" si="12"/>
        <v>20083</v>
      </c>
      <c r="M419" s="970"/>
      <c r="N419" s="971">
        <v>809</v>
      </c>
      <c r="O419" s="971">
        <v>0</v>
      </c>
      <c r="P419" s="970">
        <v>0</v>
      </c>
      <c r="Q419" s="972">
        <f t="shared" si="13"/>
        <v>809</v>
      </c>
      <c r="R419" s="970"/>
      <c r="S419" s="971">
        <v>9628</v>
      </c>
      <c r="T419" s="973">
        <v>3124</v>
      </c>
      <c r="U419" s="973">
        <v>12752</v>
      </c>
    </row>
    <row r="420" spans="1:21" x14ac:dyDescent="0.25">
      <c r="A420" s="967">
        <v>94317</v>
      </c>
      <c r="B420" s="968" t="s">
        <v>3058</v>
      </c>
      <c r="C420" s="969">
        <v>1.2E-5</v>
      </c>
      <c r="D420" s="969">
        <v>1.2099999999999999E-5</v>
      </c>
      <c r="E420" s="986">
        <v>9618</v>
      </c>
      <c r="F420" s="970">
        <v>18333</v>
      </c>
      <c r="G420" s="970"/>
      <c r="H420" s="971">
        <v>1056</v>
      </c>
      <c r="I420" s="972">
        <v>4451</v>
      </c>
      <c r="J420" s="971">
        <v>2618</v>
      </c>
      <c r="K420" s="970">
        <v>7663</v>
      </c>
      <c r="L420" s="972">
        <f t="shared" si="12"/>
        <v>15788</v>
      </c>
      <c r="M420" s="970"/>
      <c r="N420" s="971">
        <v>519</v>
      </c>
      <c r="O420" s="971">
        <v>0</v>
      </c>
      <c r="P420" s="970">
        <v>0</v>
      </c>
      <c r="Q420" s="972">
        <f t="shared" si="13"/>
        <v>519</v>
      </c>
      <c r="R420" s="970"/>
      <c r="S420" s="971">
        <v>6178</v>
      </c>
      <c r="T420" s="973">
        <v>3130</v>
      </c>
      <c r="U420" s="973">
        <v>9308</v>
      </c>
    </row>
    <row r="421" spans="1:21" x14ac:dyDescent="0.25">
      <c r="A421" s="967">
        <v>94321</v>
      </c>
      <c r="B421" s="968" t="s">
        <v>3059</v>
      </c>
      <c r="C421" s="969">
        <v>2.7760000000000003E-4</v>
      </c>
      <c r="D421" s="969">
        <v>2.7070000000000002E-4</v>
      </c>
      <c r="E421" s="986">
        <v>115395</v>
      </c>
      <c r="F421" s="970">
        <v>424096</v>
      </c>
      <c r="G421" s="970"/>
      <c r="H421" s="971">
        <v>24432</v>
      </c>
      <c r="I421" s="972">
        <v>102971</v>
      </c>
      <c r="J421" s="971">
        <v>60567</v>
      </c>
      <c r="K421" s="970">
        <v>1692</v>
      </c>
      <c r="L421" s="972">
        <f t="shared" si="12"/>
        <v>189662</v>
      </c>
      <c r="M421" s="970"/>
      <c r="N421" s="971">
        <v>12005</v>
      </c>
      <c r="O421" s="971">
        <v>0</v>
      </c>
      <c r="P421" s="970">
        <v>19924</v>
      </c>
      <c r="Q421" s="972">
        <f t="shared" si="13"/>
        <v>31929</v>
      </c>
      <c r="R421" s="970"/>
      <c r="S421" s="971">
        <v>142921</v>
      </c>
      <c r="T421" s="973">
        <v>-5646</v>
      </c>
      <c r="U421" s="973">
        <v>137275</v>
      </c>
    </row>
    <row r="422" spans="1:21" x14ac:dyDescent="0.25">
      <c r="A422" s="967">
        <v>94331</v>
      </c>
      <c r="B422" s="968" t="s">
        <v>3060</v>
      </c>
      <c r="C422" s="969">
        <v>1.3569999999999999E-4</v>
      </c>
      <c r="D422" s="969">
        <v>1.517E-4</v>
      </c>
      <c r="E422" s="986">
        <v>68284</v>
      </c>
      <c r="F422" s="970">
        <v>207312</v>
      </c>
      <c r="G422" s="970"/>
      <c r="H422" s="971">
        <v>11943</v>
      </c>
      <c r="I422" s="972">
        <v>50336</v>
      </c>
      <c r="J422" s="971">
        <v>29607</v>
      </c>
      <c r="K422" s="970">
        <v>7715</v>
      </c>
      <c r="L422" s="972">
        <f t="shared" si="12"/>
        <v>99601</v>
      </c>
      <c r="M422" s="970"/>
      <c r="N422" s="971">
        <v>5868</v>
      </c>
      <c r="O422" s="971">
        <v>0</v>
      </c>
      <c r="P422" s="970">
        <v>10557</v>
      </c>
      <c r="Q422" s="972">
        <f t="shared" si="13"/>
        <v>16425</v>
      </c>
      <c r="R422" s="970"/>
      <c r="S422" s="971">
        <v>69864</v>
      </c>
      <c r="T422" s="973">
        <v>2981</v>
      </c>
      <c r="U422" s="973">
        <v>72845</v>
      </c>
    </row>
    <row r="423" spans="1:21" x14ac:dyDescent="0.25">
      <c r="A423" s="967">
        <v>94341</v>
      </c>
      <c r="B423" s="968" t="s">
        <v>3061</v>
      </c>
      <c r="C423" s="969">
        <v>9.4699999999999998E-5</v>
      </c>
      <c r="D423" s="969">
        <v>8.1000000000000004E-5</v>
      </c>
      <c r="E423" s="986">
        <v>38534</v>
      </c>
      <c r="F423" s="970">
        <v>144675</v>
      </c>
      <c r="G423" s="970"/>
      <c r="H423" s="971">
        <v>8335</v>
      </c>
      <c r="I423" s="972">
        <v>35127</v>
      </c>
      <c r="J423" s="971">
        <v>20662</v>
      </c>
      <c r="K423" s="970">
        <v>5564</v>
      </c>
      <c r="L423" s="972">
        <f t="shared" si="12"/>
        <v>69688</v>
      </c>
      <c r="M423" s="970"/>
      <c r="N423" s="971">
        <v>4095</v>
      </c>
      <c r="O423" s="971">
        <v>0</v>
      </c>
      <c r="P423" s="970">
        <v>5713</v>
      </c>
      <c r="Q423" s="972">
        <f t="shared" si="13"/>
        <v>9808</v>
      </c>
      <c r="R423" s="970"/>
      <c r="S423" s="971">
        <v>48756</v>
      </c>
      <c r="T423" s="973">
        <v>-1783</v>
      </c>
      <c r="U423" s="973">
        <v>46973</v>
      </c>
    </row>
    <row r="424" spans="1:21" x14ac:dyDescent="0.25">
      <c r="A424" s="967">
        <v>94347</v>
      </c>
      <c r="B424" s="968" t="s">
        <v>3062</v>
      </c>
      <c r="C424" s="969">
        <v>1.22E-5</v>
      </c>
      <c r="D424" s="969">
        <v>1.2300000000000001E-5</v>
      </c>
      <c r="E424" s="986">
        <v>8691</v>
      </c>
      <c r="F424" s="970">
        <v>18638</v>
      </c>
      <c r="G424" s="970"/>
      <c r="H424" s="971">
        <v>1074</v>
      </c>
      <c r="I424" s="972">
        <v>4526</v>
      </c>
      <c r="J424" s="971">
        <v>2662</v>
      </c>
      <c r="K424" s="970">
        <v>4271</v>
      </c>
      <c r="L424" s="972">
        <f t="shared" si="12"/>
        <v>12533</v>
      </c>
      <c r="M424" s="970"/>
      <c r="N424" s="971">
        <v>528</v>
      </c>
      <c r="O424" s="971">
        <v>0</v>
      </c>
      <c r="P424" s="970">
        <v>0</v>
      </c>
      <c r="Q424" s="972">
        <f t="shared" si="13"/>
        <v>528</v>
      </c>
      <c r="R424" s="970"/>
      <c r="S424" s="971">
        <v>6281</v>
      </c>
      <c r="T424" s="973">
        <v>1892</v>
      </c>
      <c r="U424" s="973">
        <v>8173</v>
      </c>
    </row>
    <row r="425" spans="1:21" x14ac:dyDescent="0.25">
      <c r="A425" s="967">
        <v>94351</v>
      </c>
      <c r="B425" s="968" t="s">
        <v>3063</v>
      </c>
      <c r="C425" s="969">
        <v>2.433E-4</v>
      </c>
      <c r="D425" s="969">
        <v>2.377E-4</v>
      </c>
      <c r="E425" s="986">
        <v>104639</v>
      </c>
      <c r="F425" s="970">
        <v>371695</v>
      </c>
      <c r="G425" s="970"/>
      <c r="H425" s="971">
        <v>21413</v>
      </c>
      <c r="I425" s="972">
        <v>90248</v>
      </c>
      <c r="J425" s="971">
        <v>53083</v>
      </c>
      <c r="K425" s="970">
        <v>1592</v>
      </c>
      <c r="L425" s="972">
        <f t="shared" si="12"/>
        <v>166336</v>
      </c>
      <c r="M425" s="970"/>
      <c r="N425" s="971">
        <v>10522</v>
      </c>
      <c r="O425" s="971">
        <v>0</v>
      </c>
      <c r="P425" s="970">
        <v>4723</v>
      </c>
      <c r="Q425" s="972">
        <f t="shared" si="13"/>
        <v>15245</v>
      </c>
      <c r="R425" s="970"/>
      <c r="S425" s="971">
        <v>125262</v>
      </c>
      <c r="T425" s="973">
        <v>-1683</v>
      </c>
      <c r="U425" s="973">
        <v>123579</v>
      </c>
    </row>
    <row r="426" spans="1:21" x14ac:dyDescent="0.25">
      <c r="A426" s="967">
        <v>94401</v>
      </c>
      <c r="B426" s="968" t="s">
        <v>3689</v>
      </c>
      <c r="C426" s="969">
        <v>3.2718000000000001E-3</v>
      </c>
      <c r="D426" s="969">
        <v>3.4548999999999999E-3</v>
      </c>
      <c r="E426" s="986">
        <v>1551159</v>
      </c>
      <c r="F426" s="970">
        <v>4998404</v>
      </c>
      <c r="G426" s="970"/>
      <c r="H426" s="971">
        <v>287954</v>
      </c>
      <c r="I426" s="972">
        <v>1213619</v>
      </c>
      <c r="J426" s="971">
        <v>713841</v>
      </c>
      <c r="K426" s="970">
        <v>20795</v>
      </c>
      <c r="L426" s="972">
        <f t="shared" si="12"/>
        <v>2236209</v>
      </c>
      <c r="M426" s="970"/>
      <c r="N426" s="971">
        <v>141489</v>
      </c>
      <c r="O426" s="971">
        <v>0</v>
      </c>
      <c r="P426" s="970">
        <v>83776</v>
      </c>
      <c r="Q426" s="972">
        <f t="shared" si="13"/>
        <v>225265</v>
      </c>
      <c r="R426" s="970"/>
      <c r="S426" s="971">
        <v>1684467</v>
      </c>
      <c r="T426" s="973">
        <v>-11283</v>
      </c>
      <c r="U426" s="973">
        <v>1673184</v>
      </c>
    </row>
    <row r="427" spans="1:21" x14ac:dyDescent="0.25">
      <c r="A427" s="967">
        <v>94402</v>
      </c>
      <c r="B427" s="968" t="s">
        <v>3064</v>
      </c>
      <c r="C427" s="969">
        <v>0</v>
      </c>
      <c r="D427" s="969">
        <v>0</v>
      </c>
      <c r="E427" s="986" t="e">
        <v>#N/A</v>
      </c>
      <c r="F427" s="970">
        <v>0</v>
      </c>
      <c r="G427" s="970"/>
      <c r="H427" s="971">
        <v>0</v>
      </c>
      <c r="I427" s="972">
        <v>0</v>
      </c>
      <c r="J427" s="971">
        <v>0</v>
      </c>
      <c r="K427" s="970">
        <v>0</v>
      </c>
      <c r="L427" s="972">
        <f t="shared" si="12"/>
        <v>0</v>
      </c>
      <c r="M427" s="970"/>
      <c r="N427" s="971">
        <v>0</v>
      </c>
      <c r="O427" s="971">
        <v>0</v>
      </c>
      <c r="P427" s="970">
        <v>1774367</v>
      </c>
      <c r="Q427" s="972">
        <f t="shared" si="13"/>
        <v>1774367</v>
      </c>
      <c r="R427" s="970"/>
      <c r="S427" s="971">
        <v>0</v>
      </c>
      <c r="T427" s="973">
        <v>-1007431</v>
      </c>
      <c r="U427" s="973">
        <v>-1007431</v>
      </c>
    </row>
    <row r="428" spans="1:21" x14ac:dyDescent="0.25">
      <c r="A428" s="967">
        <v>94403</v>
      </c>
      <c r="B428" s="968" t="s">
        <v>3690</v>
      </c>
      <c r="C428" s="969">
        <v>2.2099999999999998E-5</v>
      </c>
      <c r="D428" s="969">
        <v>0</v>
      </c>
      <c r="E428" s="986">
        <v>9904</v>
      </c>
      <c r="F428" s="970">
        <v>33763</v>
      </c>
      <c r="G428" s="970"/>
      <c r="H428" s="971">
        <v>1945</v>
      </c>
      <c r="I428" s="972">
        <v>8198</v>
      </c>
      <c r="J428" s="971">
        <v>4822</v>
      </c>
      <c r="K428" s="970">
        <v>14624</v>
      </c>
      <c r="L428" s="972">
        <f t="shared" si="12"/>
        <v>29589</v>
      </c>
      <c r="M428" s="970"/>
      <c r="N428" s="971">
        <v>956</v>
      </c>
      <c r="O428" s="971">
        <v>0</v>
      </c>
      <c r="P428" s="970">
        <v>0</v>
      </c>
      <c r="Q428" s="972">
        <f t="shared" si="13"/>
        <v>956</v>
      </c>
      <c r="R428" s="970"/>
      <c r="S428" s="971">
        <v>11378</v>
      </c>
      <c r="T428" s="973">
        <v>3656</v>
      </c>
      <c r="U428" s="973">
        <v>15034</v>
      </c>
    </row>
    <row r="429" spans="1:21" x14ac:dyDescent="0.25">
      <c r="A429" s="967">
        <v>94408</v>
      </c>
      <c r="B429" s="968" t="s">
        <v>3065</v>
      </c>
      <c r="C429" s="969">
        <v>4.2400000000000001E-5</v>
      </c>
      <c r="D429" s="969">
        <v>4.0099999999999999E-5</v>
      </c>
      <c r="E429" s="986">
        <v>14750</v>
      </c>
      <c r="F429" s="970">
        <v>64775</v>
      </c>
      <c r="G429" s="970"/>
      <c r="H429" s="971">
        <v>3732</v>
      </c>
      <c r="I429" s="972">
        <v>15728</v>
      </c>
      <c r="J429" s="971">
        <v>9251</v>
      </c>
      <c r="K429" s="970">
        <v>7577</v>
      </c>
      <c r="L429" s="972">
        <f t="shared" si="12"/>
        <v>36288</v>
      </c>
      <c r="M429" s="970"/>
      <c r="N429" s="971">
        <v>1834</v>
      </c>
      <c r="O429" s="971">
        <v>0</v>
      </c>
      <c r="P429" s="970">
        <v>4064</v>
      </c>
      <c r="Q429" s="972">
        <f t="shared" si="13"/>
        <v>5898</v>
      </c>
      <c r="R429" s="970"/>
      <c r="S429" s="971">
        <v>21829</v>
      </c>
      <c r="T429" s="973">
        <v>382</v>
      </c>
      <c r="U429" s="973">
        <v>22211</v>
      </c>
    </row>
    <row r="430" spans="1:21" x14ac:dyDescent="0.25">
      <c r="A430" s="967">
        <v>94411</v>
      </c>
      <c r="B430" s="968" t="s">
        <v>3066</v>
      </c>
      <c r="C430" s="969">
        <v>1.2672E-3</v>
      </c>
      <c r="D430" s="969">
        <v>1.1592E-3</v>
      </c>
      <c r="E430" s="986">
        <v>555106</v>
      </c>
      <c r="F430" s="970">
        <v>1935931</v>
      </c>
      <c r="G430" s="970"/>
      <c r="H430" s="971">
        <v>111528</v>
      </c>
      <c r="I430" s="972">
        <v>470046</v>
      </c>
      <c r="J430" s="971">
        <v>276478</v>
      </c>
      <c r="K430" s="970">
        <v>63511</v>
      </c>
      <c r="L430" s="972">
        <f t="shared" si="12"/>
        <v>921563</v>
      </c>
      <c r="M430" s="970"/>
      <c r="N430" s="971">
        <v>54800</v>
      </c>
      <c r="O430" s="971">
        <v>0</v>
      </c>
      <c r="P430" s="970">
        <v>4125</v>
      </c>
      <c r="Q430" s="972">
        <f t="shared" si="13"/>
        <v>58925</v>
      </c>
      <c r="R430" s="970"/>
      <c r="S430" s="971">
        <v>652410</v>
      </c>
      <c r="T430" s="973">
        <v>18114</v>
      </c>
      <c r="U430" s="973">
        <v>670524</v>
      </c>
    </row>
    <row r="431" spans="1:21" x14ac:dyDescent="0.25">
      <c r="A431" s="967">
        <v>94412</v>
      </c>
      <c r="B431" s="968" t="s">
        <v>3067</v>
      </c>
      <c r="C431" s="969">
        <v>1.5099999999999999E-5</v>
      </c>
      <c r="D431" s="969">
        <v>1.63E-5</v>
      </c>
      <c r="E431" s="986">
        <v>13059</v>
      </c>
      <c r="F431" s="970">
        <v>23069</v>
      </c>
      <c r="G431" s="970"/>
      <c r="H431" s="971">
        <v>1329</v>
      </c>
      <c r="I431" s="972">
        <v>5602</v>
      </c>
      <c r="J431" s="971">
        <v>3295</v>
      </c>
      <c r="K431" s="970">
        <v>12533</v>
      </c>
      <c r="L431" s="972">
        <f t="shared" si="12"/>
        <v>22759</v>
      </c>
      <c r="M431" s="970"/>
      <c r="N431" s="971">
        <v>653</v>
      </c>
      <c r="O431" s="971">
        <v>0</v>
      </c>
      <c r="P431" s="970">
        <v>0</v>
      </c>
      <c r="Q431" s="972">
        <f t="shared" si="13"/>
        <v>653</v>
      </c>
      <c r="R431" s="970"/>
      <c r="S431" s="971">
        <v>7774</v>
      </c>
      <c r="T431" s="973">
        <v>5893</v>
      </c>
      <c r="U431" s="973">
        <v>13667</v>
      </c>
    </row>
    <row r="432" spans="1:21" x14ac:dyDescent="0.25">
      <c r="A432" s="967">
        <v>94421</v>
      </c>
      <c r="B432" s="968" t="s">
        <v>3068</v>
      </c>
      <c r="C432" s="969">
        <v>1.6679999999999999E-4</v>
      </c>
      <c r="D432" s="969">
        <v>1.6899999999999999E-4</v>
      </c>
      <c r="E432" s="986">
        <v>80768</v>
      </c>
      <c r="F432" s="970">
        <v>254824</v>
      </c>
      <c r="G432" s="970"/>
      <c r="H432" s="971">
        <v>14680</v>
      </c>
      <c r="I432" s="972">
        <v>61871</v>
      </c>
      <c r="J432" s="971">
        <v>36392</v>
      </c>
      <c r="K432" s="970">
        <v>4157</v>
      </c>
      <c r="L432" s="972">
        <f t="shared" si="12"/>
        <v>117100</v>
      </c>
      <c r="M432" s="970"/>
      <c r="N432" s="971">
        <v>7213</v>
      </c>
      <c r="O432" s="971">
        <v>0</v>
      </c>
      <c r="P432" s="970">
        <v>6763</v>
      </c>
      <c r="Q432" s="972">
        <f t="shared" si="13"/>
        <v>13976</v>
      </c>
      <c r="R432" s="970"/>
      <c r="S432" s="971">
        <v>85876</v>
      </c>
      <c r="T432" s="973">
        <v>-3870</v>
      </c>
      <c r="U432" s="973">
        <v>82006</v>
      </c>
    </row>
    <row r="433" spans="1:21" x14ac:dyDescent="0.25">
      <c r="A433" s="967">
        <v>94427</v>
      </c>
      <c r="B433" s="968" t="s">
        <v>3069</v>
      </c>
      <c r="C433" s="969">
        <v>1.5699999999999999E-5</v>
      </c>
      <c r="D433" s="969">
        <v>1.29E-5</v>
      </c>
      <c r="E433" s="986">
        <v>9340</v>
      </c>
      <c r="F433" s="970">
        <v>23985</v>
      </c>
      <c r="G433" s="970"/>
      <c r="H433" s="971">
        <v>1382</v>
      </c>
      <c r="I433" s="972">
        <v>5824</v>
      </c>
      <c r="J433" s="971">
        <v>3425</v>
      </c>
      <c r="K433" s="970">
        <v>4090</v>
      </c>
      <c r="L433" s="972">
        <f t="shared" si="12"/>
        <v>14721</v>
      </c>
      <c r="M433" s="970"/>
      <c r="N433" s="971">
        <v>679</v>
      </c>
      <c r="O433" s="971">
        <v>0</v>
      </c>
      <c r="P433" s="970">
        <v>478</v>
      </c>
      <c r="Q433" s="972">
        <f t="shared" si="13"/>
        <v>1157</v>
      </c>
      <c r="R433" s="970"/>
      <c r="S433" s="971">
        <v>8083</v>
      </c>
      <c r="T433" s="973">
        <v>943</v>
      </c>
      <c r="U433" s="973">
        <v>9026</v>
      </c>
    </row>
    <row r="434" spans="1:21" x14ac:dyDescent="0.25">
      <c r="A434" s="967">
        <v>94428</v>
      </c>
      <c r="B434" s="968" t="s">
        <v>3070</v>
      </c>
      <c r="C434" s="969">
        <v>6.5199999999999999E-5</v>
      </c>
      <c r="D434" s="969">
        <v>7.4400000000000006E-5</v>
      </c>
      <c r="E434" s="986">
        <v>33460</v>
      </c>
      <c r="F434" s="970">
        <v>99608</v>
      </c>
      <c r="G434" s="970"/>
      <c r="H434" s="971">
        <v>5738</v>
      </c>
      <c r="I434" s="972">
        <v>24185</v>
      </c>
      <c r="J434" s="971">
        <v>14225</v>
      </c>
      <c r="K434" s="970">
        <v>2315</v>
      </c>
      <c r="L434" s="972">
        <f t="shared" si="12"/>
        <v>46463</v>
      </c>
      <c r="M434" s="970"/>
      <c r="N434" s="971">
        <v>2820</v>
      </c>
      <c r="O434" s="971">
        <v>0</v>
      </c>
      <c r="P434" s="970">
        <v>3346</v>
      </c>
      <c r="Q434" s="972">
        <f t="shared" si="13"/>
        <v>6166</v>
      </c>
      <c r="R434" s="970"/>
      <c r="S434" s="971">
        <v>33568</v>
      </c>
      <c r="T434" s="973">
        <v>366</v>
      </c>
      <c r="U434" s="973">
        <v>33934</v>
      </c>
    </row>
    <row r="435" spans="1:21" x14ac:dyDescent="0.25">
      <c r="A435" s="967">
        <v>94431</v>
      </c>
      <c r="B435" s="968" t="s">
        <v>3071</v>
      </c>
      <c r="C435" s="969">
        <v>4.2440000000000002E-4</v>
      </c>
      <c r="D435" s="969">
        <v>3.7589999999999998E-4</v>
      </c>
      <c r="E435" s="986">
        <v>293286</v>
      </c>
      <c r="F435" s="970">
        <v>648366</v>
      </c>
      <c r="G435" s="970"/>
      <c r="H435" s="971">
        <v>37352</v>
      </c>
      <c r="I435" s="972">
        <v>157424</v>
      </c>
      <c r="J435" s="971">
        <v>92596</v>
      </c>
      <c r="K435" s="970">
        <v>210809</v>
      </c>
      <c r="L435" s="972">
        <f t="shared" si="12"/>
        <v>498181</v>
      </c>
      <c r="M435" s="970"/>
      <c r="N435" s="971">
        <v>18353</v>
      </c>
      <c r="O435" s="971">
        <v>0</v>
      </c>
      <c r="P435" s="970">
        <v>611</v>
      </c>
      <c r="Q435" s="972">
        <f t="shared" si="13"/>
        <v>18964</v>
      </c>
      <c r="R435" s="970"/>
      <c r="S435" s="971">
        <v>218500</v>
      </c>
      <c r="T435" s="973">
        <v>68328</v>
      </c>
      <c r="U435" s="973">
        <v>286828</v>
      </c>
    </row>
    <row r="436" spans="1:21" x14ac:dyDescent="0.25">
      <c r="A436" s="967">
        <v>94437</v>
      </c>
      <c r="B436" s="968" t="s">
        <v>3072</v>
      </c>
      <c r="C436" s="969">
        <v>1.5299999999999999E-5</v>
      </c>
      <c r="D436" s="969">
        <v>1.34E-5</v>
      </c>
      <c r="E436" s="986">
        <v>12848</v>
      </c>
      <c r="F436" s="970">
        <v>23374</v>
      </c>
      <c r="G436" s="970"/>
      <c r="H436" s="971">
        <v>1347</v>
      </c>
      <c r="I436" s="972">
        <v>5675</v>
      </c>
      <c r="J436" s="971">
        <v>3338</v>
      </c>
      <c r="K436" s="970">
        <v>13868</v>
      </c>
      <c r="L436" s="972">
        <f t="shared" si="12"/>
        <v>24228</v>
      </c>
      <c r="M436" s="970"/>
      <c r="N436" s="971">
        <v>662</v>
      </c>
      <c r="O436" s="971">
        <v>0</v>
      </c>
      <c r="P436" s="970">
        <v>0</v>
      </c>
      <c r="Q436" s="972">
        <f t="shared" si="13"/>
        <v>662</v>
      </c>
      <c r="R436" s="970"/>
      <c r="S436" s="971">
        <v>7877</v>
      </c>
      <c r="T436" s="973">
        <v>5640</v>
      </c>
      <c r="U436" s="973">
        <v>13517</v>
      </c>
    </row>
    <row r="437" spans="1:21" x14ac:dyDescent="0.25">
      <c r="A437" s="967">
        <v>94501</v>
      </c>
      <c r="B437" s="968" t="s">
        <v>3073</v>
      </c>
      <c r="C437" s="969">
        <v>5.6991000000000003E-3</v>
      </c>
      <c r="D437" s="969">
        <v>5.8474E-3</v>
      </c>
      <c r="E437" s="986">
        <v>2726192</v>
      </c>
      <c r="F437" s="970">
        <v>8706646</v>
      </c>
      <c r="G437" s="970"/>
      <c r="H437" s="971">
        <v>501583</v>
      </c>
      <c r="I437" s="972">
        <v>2113984</v>
      </c>
      <c r="J437" s="971">
        <v>1243430</v>
      </c>
      <c r="K437" s="970">
        <v>145440</v>
      </c>
      <c r="L437" s="972">
        <f t="shared" si="12"/>
        <v>4004437</v>
      </c>
      <c r="M437" s="970"/>
      <c r="N437" s="971">
        <v>246458</v>
      </c>
      <c r="O437" s="971">
        <v>0</v>
      </c>
      <c r="P437" s="970">
        <v>11569</v>
      </c>
      <c r="Q437" s="972">
        <f t="shared" si="13"/>
        <v>258027</v>
      </c>
      <c r="R437" s="970"/>
      <c r="S437" s="971">
        <v>2934147</v>
      </c>
      <c r="T437" s="973">
        <v>99795</v>
      </c>
      <c r="U437" s="973">
        <v>3033942</v>
      </c>
    </row>
    <row r="438" spans="1:21" x14ac:dyDescent="0.25">
      <c r="A438" s="967">
        <v>94511</v>
      </c>
      <c r="B438" s="968" t="s">
        <v>3074</v>
      </c>
      <c r="C438" s="969">
        <v>1.8538999999999999E-3</v>
      </c>
      <c r="D438" s="969">
        <v>1.7432000000000001E-3</v>
      </c>
      <c r="E438" s="986">
        <v>773013</v>
      </c>
      <c r="F438" s="970">
        <v>2832246</v>
      </c>
      <c r="G438" s="970"/>
      <c r="H438" s="971">
        <v>163164</v>
      </c>
      <c r="I438" s="972">
        <v>687673</v>
      </c>
      <c r="J438" s="971">
        <v>404484</v>
      </c>
      <c r="K438" s="970">
        <v>155537</v>
      </c>
      <c r="L438" s="972">
        <f t="shared" si="12"/>
        <v>1410858</v>
      </c>
      <c r="M438" s="970"/>
      <c r="N438" s="971">
        <v>80172</v>
      </c>
      <c r="O438" s="971">
        <v>0</v>
      </c>
      <c r="P438" s="970">
        <v>31633</v>
      </c>
      <c r="Q438" s="972">
        <f t="shared" si="13"/>
        <v>111805</v>
      </c>
      <c r="R438" s="970"/>
      <c r="S438" s="971">
        <v>954469</v>
      </c>
      <c r="T438" s="973">
        <v>72914</v>
      </c>
      <c r="U438" s="973">
        <v>1027383</v>
      </c>
    </row>
    <row r="439" spans="1:21" x14ac:dyDescent="0.25">
      <c r="A439" s="967">
        <v>94512</v>
      </c>
      <c r="B439" s="968" t="s">
        <v>3075</v>
      </c>
      <c r="C439" s="969">
        <v>0</v>
      </c>
      <c r="D439" s="969">
        <v>0</v>
      </c>
      <c r="E439" s="986" t="e">
        <v>#N/A</v>
      </c>
      <c r="F439" s="970">
        <v>0</v>
      </c>
      <c r="G439" s="970"/>
      <c r="H439" s="971">
        <v>0</v>
      </c>
      <c r="I439" s="972">
        <v>0</v>
      </c>
      <c r="J439" s="971">
        <v>0</v>
      </c>
      <c r="K439" s="970">
        <v>0</v>
      </c>
      <c r="L439" s="972">
        <f t="shared" si="12"/>
        <v>0</v>
      </c>
      <c r="M439" s="970"/>
      <c r="N439" s="971">
        <v>0</v>
      </c>
      <c r="O439" s="971">
        <v>0</v>
      </c>
      <c r="P439" s="970">
        <v>138579</v>
      </c>
      <c r="Q439" s="972">
        <f t="shared" si="13"/>
        <v>138579</v>
      </c>
      <c r="R439" s="970"/>
      <c r="S439" s="971">
        <v>0</v>
      </c>
      <c r="T439" s="973">
        <v>-78713</v>
      </c>
      <c r="U439" s="973">
        <v>-78713</v>
      </c>
    </row>
    <row r="440" spans="1:21" x14ac:dyDescent="0.25">
      <c r="A440" s="967">
        <v>94517</v>
      </c>
      <c r="B440" s="968" t="s">
        <v>3076</v>
      </c>
      <c r="C440" s="969">
        <v>4.7599999999999998E-5</v>
      </c>
      <c r="D440" s="969">
        <v>4.9599999999999999E-5</v>
      </c>
      <c r="E440" s="986">
        <v>31750</v>
      </c>
      <c r="F440" s="970">
        <v>72720</v>
      </c>
      <c r="G440" s="970"/>
      <c r="H440" s="971">
        <v>4189</v>
      </c>
      <c r="I440" s="972">
        <v>17656</v>
      </c>
      <c r="J440" s="971">
        <v>10385</v>
      </c>
      <c r="K440" s="970">
        <v>18702</v>
      </c>
      <c r="L440" s="972">
        <f t="shared" si="12"/>
        <v>50932</v>
      </c>
      <c r="M440" s="970"/>
      <c r="N440" s="971">
        <v>2058</v>
      </c>
      <c r="O440" s="971">
        <v>0</v>
      </c>
      <c r="P440" s="970">
        <v>0</v>
      </c>
      <c r="Q440" s="972">
        <f t="shared" si="13"/>
        <v>2058</v>
      </c>
      <c r="R440" s="970"/>
      <c r="S440" s="971">
        <v>24507</v>
      </c>
      <c r="T440" s="973">
        <v>9021</v>
      </c>
      <c r="U440" s="973">
        <v>33528</v>
      </c>
    </row>
    <row r="441" spans="1:21" x14ac:dyDescent="0.25">
      <c r="A441" s="967">
        <v>94521</v>
      </c>
      <c r="B441" s="968" t="s">
        <v>3077</v>
      </c>
      <c r="C441" s="969">
        <v>1.517E-4</v>
      </c>
      <c r="D441" s="969">
        <v>1.2410000000000001E-4</v>
      </c>
      <c r="E441" s="986">
        <v>61289</v>
      </c>
      <c r="F441" s="970">
        <v>231756</v>
      </c>
      <c r="G441" s="970"/>
      <c r="H441" s="971">
        <v>13351</v>
      </c>
      <c r="I441" s="972">
        <v>56271</v>
      </c>
      <c r="J441" s="971">
        <v>33098</v>
      </c>
      <c r="K441" s="970">
        <v>15354</v>
      </c>
      <c r="L441" s="972">
        <f t="shared" si="12"/>
        <v>118074</v>
      </c>
      <c r="M441" s="970"/>
      <c r="N441" s="971">
        <v>6560</v>
      </c>
      <c r="O441" s="971">
        <v>0</v>
      </c>
      <c r="P441" s="970">
        <v>13856</v>
      </c>
      <c r="Q441" s="972">
        <f t="shared" si="13"/>
        <v>20416</v>
      </c>
      <c r="R441" s="970"/>
      <c r="S441" s="971">
        <v>78102</v>
      </c>
      <c r="T441" s="973">
        <v>429</v>
      </c>
      <c r="U441" s="973">
        <v>78531</v>
      </c>
    </row>
    <row r="442" spans="1:21" x14ac:dyDescent="0.25">
      <c r="A442" s="967">
        <v>94527</v>
      </c>
      <c r="B442" s="968" t="s">
        <v>3078</v>
      </c>
      <c r="C442" s="969">
        <v>5.4E-6</v>
      </c>
      <c r="D442" s="969">
        <v>6.3999999999999997E-6</v>
      </c>
      <c r="E442" s="986">
        <v>2382</v>
      </c>
      <c r="F442" s="970">
        <v>8250</v>
      </c>
      <c r="G442" s="970"/>
      <c r="H442" s="971">
        <v>475</v>
      </c>
      <c r="I442" s="972">
        <v>2003</v>
      </c>
      <c r="J442" s="971">
        <v>1178</v>
      </c>
      <c r="K442" s="970">
        <v>308</v>
      </c>
      <c r="L442" s="972">
        <f t="shared" si="12"/>
        <v>3964</v>
      </c>
      <c r="M442" s="970"/>
      <c r="N442" s="971">
        <v>234</v>
      </c>
      <c r="O442" s="971">
        <v>0</v>
      </c>
      <c r="P442" s="970">
        <v>3369</v>
      </c>
      <c r="Q442" s="972">
        <f t="shared" si="13"/>
        <v>3603</v>
      </c>
      <c r="R442" s="970"/>
      <c r="S442" s="971">
        <v>2780</v>
      </c>
      <c r="T442" s="973">
        <v>-953</v>
      </c>
      <c r="U442" s="973">
        <v>1827</v>
      </c>
    </row>
    <row r="443" spans="1:21" x14ac:dyDescent="0.25">
      <c r="A443" s="967">
        <v>94531</v>
      </c>
      <c r="B443" s="968" t="s">
        <v>3079</v>
      </c>
      <c r="C443" s="969">
        <v>1.5E-5</v>
      </c>
      <c r="D443" s="969">
        <v>1.5500000000000001E-5</v>
      </c>
      <c r="E443" s="986">
        <v>11396</v>
      </c>
      <c r="F443" s="970">
        <v>22916</v>
      </c>
      <c r="G443" s="970"/>
      <c r="H443" s="971">
        <v>1320</v>
      </c>
      <c r="I443" s="972">
        <v>5564</v>
      </c>
      <c r="J443" s="971">
        <v>3273</v>
      </c>
      <c r="K443" s="970">
        <v>6665</v>
      </c>
      <c r="L443" s="972">
        <f t="shared" si="12"/>
        <v>16822</v>
      </c>
      <c r="M443" s="970"/>
      <c r="N443" s="971">
        <v>649</v>
      </c>
      <c r="O443" s="971">
        <v>0</v>
      </c>
      <c r="P443" s="970">
        <v>0</v>
      </c>
      <c r="Q443" s="972">
        <f t="shared" si="13"/>
        <v>649</v>
      </c>
      <c r="R443" s="970"/>
      <c r="S443" s="971">
        <v>7723</v>
      </c>
      <c r="T443" s="973">
        <v>2681</v>
      </c>
      <c r="U443" s="973">
        <v>10404</v>
      </c>
    </row>
    <row r="444" spans="1:21" x14ac:dyDescent="0.25">
      <c r="A444" s="967">
        <v>94532</v>
      </c>
      <c r="B444" s="968" t="s">
        <v>3080</v>
      </c>
      <c r="C444" s="969">
        <v>8.7800000000000006E-5</v>
      </c>
      <c r="D444" s="969">
        <v>9.4099999999999997E-5</v>
      </c>
      <c r="E444" s="986">
        <v>45014</v>
      </c>
      <c r="F444" s="970">
        <v>134134</v>
      </c>
      <c r="G444" s="970"/>
      <c r="H444" s="971">
        <v>7727</v>
      </c>
      <c r="I444" s="972">
        <v>32568</v>
      </c>
      <c r="J444" s="971">
        <v>19156</v>
      </c>
      <c r="K444" s="970">
        <v>0</v>
      </c>
      <c r="L444" s="972">
        <f t="shared" si="12"/>
        <v>59451</v>
      </c>
      <c r="M444" s="970"/>
      <c r="N444" s="971">
        <v>3797</v>
      </c>
      <c r="O444" s="971">
        <v>0</v>
      </c>
      <c r="P444" s="970">
        <v>10367</v>
      </c>
      <c r="Q444" s="972">
        <f t="shared" si="13"/>
        <v>14164</v>
      </c>
      <c r="R444" s="970"/>
      <c r="S444" s="971">
        <v>45203</v>
      </c>
      <c r="T444" s="973">
        <v>-5525</v>
      </c>
      <c r="U444" s="973">
        <v>39678</v>
      </c>
    </row>
    <row r="445" spans="1:21" x14ac:dyDescent="0.25">
      <c r="A445" s="967">
        <v>94541</v>
      </c>
      <c r="B445" s="968" t="s">
        <v>3081</v>
      </c>
      <c r="C445" s="969">
        <v>2.9300000000000002E-4</v>
      </c>
      <c r="D445" s="969">
        <v>2.9839999999999999E-4</v>
      </c>
      <c r="E445" s="986">
        <v>124372</v>
      </c>
      <c r="F445" s="970">
        <v>447623</v>
      </c>
      <c r="G445" s="970"/>
      <c r="H445" s="971">
        <v>25787</v>
      </c>
      <c r="I445" s="972">
        <v>108683</v>
      </c>
      <c r="J445" s="971">
        <v>63927</v>
      </c>
      <c r="K445" s="970">
        <v>0</v>
      </c>
      <c r="L445" s="972">
        <f t="shared" si="12"/>
        <v>198397</v>
      </c>
      <c r="M445" s="970"/>
      <c r="N445" s="971">
        <v>12671</v>
      </c>
      <c r="O445" s="971">
        <v>0</v>
      </c>
      <c r="P445" s="970">
        <v>27614</v>
      </c>
      <c r="Q445" s="972">
        <f t="shared" si="13"/>
        <v>40285</v>
      </c>
      <c r="R445" s="970"/>
      <c r="S445" s="971">
        <v>150849</v>
      </c>
      <c r="T445" s="973">
        <v>-10625</v>
      </c>
      <c r="U445" s="973">
        <v>140224</v>
      </c>
    </row>
    <row r="446" spans="1:21" x14ac:dyDescent="0.25">
      <c r="A446" s="967">
        <v>94547</v>
      </c>
      <c r="B446" s="968" t="s">
        <v>3082</v>
      </c>
      <c r="C446" s="969">
        <v>1.08E-5</v>
      </c>
      <c r="D446" s="969">
        <v>1.24E-5</v>
      </c>
      <c r="E446" s="986">
        <v>8019</v>
      </c>
      <c r="F446" s="970">
        <v>16499</v>
      </c>
      <c r="G446" s="970"/>
      <c r="H446" s="971">
        <v>951</v>
      </c>
      <c r="I446" s="972">
        <v>4006</v>
      </c>
      <c r="J446" s="971">
        <v>2356</v>
      </c>
      <c r="K446" s="970">
        <v>2853</v>
      </c>
      <c r="L446" s="972">
        <f t="shared" si="12"/>
        <v>10166</v>
      </c>
      <c r="M446" s="970"/>
      <c r="N446" s="971">
        <v>467</v>
      </c>
      <c r="O446" s="971">
        <v>0</v>
      </c>
      <c r="P446" s="970">
        <v>0</v>
      </c>
      <c r="Q446" s="972">
        <f t="shared" si="13"/>
        <v>467</v>
      </c>
      <c r="R446" s="970"/>
      <c r="S446" s="971">
        <v>5560</v>
      </c>
      <c r="T446" s="973">
        <v>1000</v>
      </c>
      <c r="U446" s="973">
        <v>6560</v>
      </c>
    </row>
    <row r="447" spans="1:21" x14ac:dyDescent="0.25">
      <c r="A447" s="967">
        <v>94551</v>
      </c>
      <c r="B447" s="968" t="s">
        <v>3083</v>
      </c>
      <c r="C447" s="969">
        <v>4.1900000000000002E-5</v>
      </c>
      <c r="D447" s="969">
        <v>4.5899999999999998E-5</v>
      </c>
      <c r="E447" s="986">
        <v>24929</v>
      </c>
      <c r="F447" s="970">
        <v>64012</v>
      </c>
      <c r="G447" s="970"/>
      <c r="H447" s="971">
        <v>3688</v>
      </c>
      <c r="I447" s="972">
        <v>15543</v>
      </c>
      <c r="J447" s="971">
        <v>9142</v>
      </c>
      <c r="K447" s="970">
        <v>11600</v>
      </c>
      <c r="L447" s="972">
        <f t="shared" si="12"/>
        <v>39973</v>
      </c>
      <c r="M447" s="970"/>
      <c r="N447" s="971">
        <v>1812</v>
      </c>
      <c r="O447" s="971">
        <v>0</v>
      </c>
      <c r="P447" s="970">
        <v>1576</v>
      </c>
      <c r="Q447" s="972">
        <f t="shared" si="13"/>
        <v>3388</v>
      </c>
      <c r="R447" s="970"/>
      <c r="S447" s="971">
        <v>21572</v>
      </c>
      <c r="T447" s="973">
        <v>4116</v>
      </c>
      <c r="U447" s="973">
        <v>25688</v>
      </c>
    </row>
    <row r="448" spans="1:21" x14ac:dyDescent="0.25">
      <c r="A448" s="967">
        <v>94601</v>
      </c>
      <c r="B448" s="968" t="s">
        <v>3084</v>
      </c>
      <c r="C448" s="969">
        <v>1.0602999999999999E-3</v>
      </c>
      <c r="D448" s="969">
        <v>1.0011E-3</v>
      </c>
      <c r="E448" s="986">
        <v>501425</v>
      </c>
      <c r="F448" s="970">
        <v>1619845</v>
      </c>
      <c r="G448" s="970"/>
      <c r="H448" s="971">
        <v>93318</v>
      </c>
      <c r="I448" s="972">
        <v>393300</v>
      </c>
      <c r="J448" s="971">
        <v>231336</v>
      </c>
      <c r="K448" s="970">
        <v>77480</v>
      </c>
      <c r="L448" s="972">
        <f t="shared" si="12"/>
        <v>795434</v>
      </c>
      <c r="M448" s="970"/>
      <c r="N448" s="971">
        <v>45853</v>
      </c>
      <c r="O448" s="971">
        <v>0</v>
      </c>
      <c r="P448" s="970">
        <v>2182</v>
      </c>
      <c r="Q448" s="972">
        <f t="shared" si="13"/>
        <v>48035</v>
      </c>
      <c r="R448" s="970"/>
      <c r="S448" s="971">
        <v>545889</v>
      </c>
      <c r="T448" s="973">
        <v>21640</v>
      </c>
      <c r="U448" s="973">
        <v>567529</v>
      </c>
    </row>
    <row r="449" spans="1:21" x14ac:dyDescent="0.25">
      <c r="A449" s="967">
        <v>94604</v>
      </c>
      <c r="B449" s="968" t="s">
        <v>3085</v>
      </c>
      <c r="C449" s="969">
        <v>2.62E-5</v>
      </c>
      <c r="D449" s="969">
        <v>2.65E-5</v>
      </c>
      <c r="E449" s="986">
        <v>14408</v>
      </c>
      <c r="F449" s="970">
        <v>40026</v>
      </c>
      <c r="G449" s="970"/>
      <c r="H449" s="971">
        <v>2306</v>
      </c>
      <c r="I449" s="972">
        <v>9718</v>
      </c>
      <c r="J449" s="971">
        <v>5716</v>
      </c>
      <c r="K449" s="970">
        <v>2471</v>
      </c>
      <c r="L449" s="972">
        <f t="shared" si="12"/>
        <v>20211</v>
      </c>
      <c r="M449" s="970"/>
      <c r="N449" s="971">
        <v>1133</v>
      </c>
      <c r="O449" s="971">
        <v>0</v>
      </c>
      <c r="P449" s="970">
        <v>26</v>
      </c>
      <c r="Q449" s="972">
        <f t="shared" si="13"/>
        <v>1159</v>
      </c>
      <c r="R449" s="970"/>
      <c r="S449" s="971">
        <v>13489</v>
      </c>
      <c r="T449" s="973">
        <v>697</v>
      </c>
      <c r="U449" s="973">
        <v>14186</v>
      </c>
    </row>
    <row r="450" spans="1:21" x14ac:dyDescent="0.25">
      <c r="A450" s="967">
        <v>94606</v>
      </c>
      <c r="B450" s="968" t="s">
        <v>3086</v>
      </c>
      <c r="C450" s="969">
        <v>2.3550000000000001E-4</v>
      </c>
      <c r="D450" s="969">
        <v>2.6229999999999998E-4</v>
      </c>
      <c r="E450" s="986">
        <v>106916</v>
      </c>
      <c r="F450" s="970">
        <v>359779</v>
      </c>
      <c r="G450" s="970"/>
      <c r="H450" s="971">
        <v>20727</v>
      </c>
      <c r="I450" s="972">
        <v>87355</v>
      </c>
      <c r="J450" s="971">
        <v>51381</v>
      </c>
      <c r="K450" s="970">
        <v>0</v>
      </c>
      <c r="L450" s="972">
        <f t="shared" si="12"/>
        <v>159463</v>
      </c>
      <c r="M450" s="970"/>
      <c r="N450" s="971">
        <v>10184</v>
      </c>
      <c r="O450" s="971">
        <v>0</v>
      </c>
      <c r="P450" s="970">
        <v>51703</v>
      </c>
      <c r="Q450" s="972">
        <f t="shared" si="13"/>
        <v>61887</v>
      </c>
      <c r="R450" s="970"/>
      <c r="S450" s="971">
        <v>121246</v>
      </c>
      <c r="T450" s="973">
        <v>-24169</v>
      </c>
      <c r="U450" s="973">
        <v>97077</v>
      </c>
    </row>
    <row r="451" spans="1:21" x14ac:dyDescent="0.25">
      <c r="A451" s="967">
        <v>94611</v>
      </c>
      <c r="B451" s="968" t="s">
        <v>3087</v>
      </c>
      <c r="C451" s="969">
        <v>3.6850000000000001E-4</v>
      </c>
      <c r="D451" s="969">
        <v>4.4450000000000002E-4</v>
      </c>
      <c r="E451" s="986">
        <v>191641</v>
      </c>
      <c r="F451" s="970">
        <v>562966</v>
      </c>
      <c r="G451" s="970"/>
      <c r="H451" s="971">
        <v>32432</v>
      </c>
      <c r="I451" s="972">
        <v>136689</v>
      </c>
      <c r="J451" s="971">
        <v>80399</v>
      </c>
      <c r="K451" s="970">
        <v>2567</v>
      </c>
      <c r="L451" s="972">
        <f t="shared" si="12"/>
        <v>252087</v>
      </c>
      <c r="M451" s="970"/>
      <c r="N451" s="971">
        <v>15936</v>
      </c>
      <c r="O451" s="971">
        <v>0</v>
      </c>
      <c r="P451" s="970">
        <v>35426</v>
      </c>
      <c r="Q451" s="972">
        <f t="shared" si="13"/>
        <v>51362</v>
      </c>
      <c r="R451" s="970"/>
      <c r="S451" s="971">
        <v>189720</v>
      </c>
      <c r="T451" s="973">
        <v>-9323</v>
      </c>
      <c r="U451" s="973">
        <v>180397</v>
      </c>
    </row>
    <row r="452" spans="1:21" x14ac:dyDescent="0.25">
      <c r="A452" s="967">
        <v>94621</v>
      </c>
      <c r="B452" s="968" t="s">
        <v>3088</v>
      </c>
      <c r="C452" s="969">
        <v>9.7600000000000001E-5</v>
      </c>
      <c r="D452" s="969">
        <v>1.3119999999999999E-4</v>
      </c>
      <c r="E452" s="986">
        <v>66541</v>
      </c>
      <c r="F452" s="970">
        <v>149106</v>
      </c>
      <c r="G452" s="970"/>
      <c r="H452" s="971">
        <v>8590</v>
      </c>
      <c r="I452" s="972">
        <v>36203</v>
      </c>
      <c r="J452" s="971">
        <v>21294</v>
      </c>
      <c r="K452" s="970">
        <v>6585</v>
      </c>
      <c r="L452" s="972">
        <f t="shared" si="12"/>
        <v>72672</v>
      </c>
      <c r="M452" s="970"/>
      <c r="N452" s="971">
        <v>4221</v>
      </c>
      <c r="O452" s="971">
        <v>0</v>
      </c>
      <c r="P452" s="970">
        <v>18055</v>
      </c>
      <c r="Q452" s="972">
        <f t="shared" si="13"/>
        <v>22276</v>
      </c>
      <c r="R452" s="970"/>
      <c r="S452" s="971">
        <v>50249</v>
      </c>
      <c r="T452" s="973">
        <v>-1288</v>
      </c>
      <c r="U452" s="973">
        <v>48961</v>
      </c>
    </row>
    <row r="453" spans="1:21" x14ac:dyDescent="0.25">
      <c r="A453" s="967">
        <v>94631</v>
      </c>
      <c r="B453" s="968" t="s">
        <v>3089</v>
      </c>
      <c r="C453" s="969">
        <v>3.9100000000000002E-5</v>
      </c>
      <c r="D453" s="969">
        <v>3.9799999999999998E-5</v>
      </c>
      <c r="E453" s="986">
        <v>22453</v>
      </c>
      <c r="F453" s="970">
        <v>59734</v>
      </c>
      <c r="G453" s="970"/>
      <c r="H453" s="971">
        <v>3441</v>
      </c>
      <c r="I453" s="972">
        <v>14504</v>
      </c>
      <c r="J453" s="971">
        <v>8531</v>
      </c>
      <c r="K453" s="970">
        <v>6569</v>
      </c>
      <c r="L453" s="972">
        <f t="shared" si="12"/>
        <v>33045</v>
      </c>
      <c r="M453" s="970"/>
      <c r="N453" s="971">
        <v>1691</v>
      </c>
      <c r="O453" s="971">
        <v>0</v>
      </c>
      <c r="P453" s="970">
        <v>0</v>
      </c>
      <c r="Q453" s="972">
        <f t="shared" si="13"/>
        <v>1691</v>
      </c>
      <c r="R453" s="970"/>
      <c r="S453" s="971">
        <v>20130</v>
      </c>
      <c r="T453" s="973">
        <v>2517</v>
      </c>
      <c r="U453" s="973">
        <v>22647</v>
      </c>
    </row>
    <row r="454" spans="1:21" x14ac:dyDescent="0.25">
      <c r="A454" s="967">
        <v>94641</v>
      </c>
      <c r="B454" s="968" t="s">
        <v>3090</v>
      </c>
      <c r="C454" s="969">
        <v>3.8999999999999999E-6</v>
      </c>
      <c r="D454" s="969">
        <v>4.6999999999999999E-6</v>
      </c>
      <c r="E454" s="986">
        <v>5004</v>
      </c>
      <c r="F454" s="970">
        <v>5958</v>
      </c>
      <c r="G454" s="970"/>
      <c r="H454" s="971">
        <v>343</v>
      </c>
      <c r="I454" s="972">
        <v>1446</v>
      </c>
      <c r="J454" s="971">
        <v>851</v>
      </c>
      <c r="K454" s="970">
        <v>5156</v>
      </c>
      <c r="L454" s="972">
        <f t="shared" si="12"/>
        <v>7796</v>
      </c>
      <c r="M454" s="970"/>
      <c r="N454" s="971">
        <v>169</v>
      </c>
      <c r="O454" s="971">
        <v>0</v>
      </c>
      <c r="P454" s="970">
        <v>0</v>
      </c>
      <c r="Q454" s="972">
        <f t="shared" si="13"/>
        <v>169</v>
      </c>
      <c r="R454" s="970"/>
      <c r="S454" s="971">
        <v>2008</v>
      </c>
      <c r="T454" s="973">
        <v>2187</v>
      </c>
      <c r="U454" s="973">
        <v>4195</v>
      </c>
    </row>
    <row r="455" spans="1:21" x14ac:dyDescent="0.25">
      <c r="A455" s="967">
        <v>94701</v>
      </c>
      <c r="B455" s="968" t="s">
        <v>3091</v>
      </c>
      <c r="C455" s="969">
        <v>2.5446000000000002E-3</v>
      </c>
      <c r="D455" s="969">
        <v>2.5636000000000001E-3</v>
      </c>
      <c r="E455" s="986">
        <v>1148600</v>
      </c>
      <c r="F455" s="970">
        <v>3887444</v>
      </c>
      <c r="G455" s="970"/>
      <c r="H455" s="971">
        <v>223953</v>
      </c>
      <c r="I455" s="972">
        <v>943877</v>
      </c>
      <c r="J455" s="971">
        <v>555181</v>
      </c>
      <c r="K455" s="970">
        <v>45251</v>
      </c>
      <c r="L455" s="972">
        <f t="shared" ref="L455:L518" si="14">H455+I455+J455+K455</f>
        <v>1768262</v>
      </c>
      <c r="M455" s="970"/>
      <c r="N455" s="971">
        <v>110041</v>
      </c>
      <c r="O455" s="971">
        <v>0</v>
      </c>
      <c r="P455" s="970">
        <v>103182</v>
      </c>
      <c r="Q455" s="972">
        <f t="shared" ref="Q455:Q518" si="15">N455+O455+P455</f>
        <v>213223</v>
      </c>
      <c r="R455" s="970"/>
      <c r="S455" s="971">
        <v>1310072</v>
      </c>
      <c r="T455" s="973">
        <v>-2731</v>
      </c>
      <c r="U455" s="973">
        <v>1307341</v>
      </c>
    </row>
    <row r="456" spans="1:21" x14ac:dyDescent="0.25">
      <c r="A456" s="967">
        <v>94704</v>
      </c>
      <c r="B456" s="968" t="s">
        <v>3092</v>
      </c>
      <c r="C456" s="969">
        <v>9.5000000000000005E-6</v>
      </c>
      <c r="D456" s="969">
        <v>1.04E-5</v>
      </c>
      <c r="E456" s="986">
        <v>5070</v>
      </c>
      <c r="F456" s="970">
        <v>14513</v>
      </c>
      <c r="G456" s="970"/>
      <c r="H456" s="971">
        <v>836</v>
      </c>
      <c r="I456" s="972">
        <v>3524</v>
      </c>
      <c r="J456" s="971">
        <v>2073</v>
      </c>
      <c r="K456" s="970">
        <v>77</v>
      </c>
      <c r="L456" s="972">
        <f t="shared" si="14"/>
        <v>6510</v>
      </c>
      <c r="M456" s="970"/>
      <c r="N456" s="971">
        <v>411</v>
      </c>
      <c r="O456" s="971">
        <v>0</v>
      </c>
      <c r="P456" s="970">
        <v>100</v>
      </c>
      <c r="Q456" s="972">
        <f t="shared" si="15"/>
        <v>511</v>
      </c>
      <c r="R456" s="970"/>
      <c r="S456" s="971">
        <v>4891</v>
      </c>
      <c r="T456" s="973">
        <v>38</v>
      </c>
      <c r="U456" s="973">
        <v>4929</v>
      </c>
    </row>
    <row r="457" spans="1:21" x14ac:dyDescent="0.25">
      <c r="A457" s="967">
        <v>94711</v>
      </c>
      <c r="B457" s="968" t="s">
        <v>3093</v>
      </c>
      <c r="C457" s="969">
        <v>3.3599999999999998E-4</v>
      </c>
      <c r="D457" s="969">
        <v>3.5110000000000002E-4</v>
      </c>
      <c r="E457" s="986">
        <v>165327</v>
      </c>
      <c r="F457" s="970">
        <v>513315</v>
      </c>
      <c r="G457" s="970"/>
      <c r="H457" s="971">
        <v>29572</v>
      </c>
      <c r="I457" s="972">
        <v>124633</v>
      </c>
      <c r="J457" s="971">
        <v>73308</v>
      </c>
      <c r="K457" s="970">
        <v>9113</v>
      </c>
      <c r="L457" s="972">
        <f t="shared" si="14"/>
        <v>236626</v>
      </c>
      <c r="M457" s="970"/>
      <c r="N457" s="971">
        <v>14530</v>
      </c>
      <c r="O457" s="971">
        <v>0</v>
      </c>
      <c r="P457" s="970">
        <v>6693</v>
      </c>
      <c r="Q457" s="972">
        <f t="shared" si="15"/>
        <v>21223</v>
      </c>
      <c r="R457" s="970"/>
      <c r="S457" s="971">
        <v>172988</v>
      </c>
      <c r="T457" s="973">
        <v>1163</v>
      </c>
      <c r="U457" s="973">
        <v>174151</v>
      </c>
    </row>
    <row r="458" spans="1:21" x14ac:dyDescent="0.25">
      <c r="A458" s="967">
        <v>94801</v>
      </c>
      <c r="B458" s="968" t="s">
        <v>3094</v>
      </c>
      <c r="C458" s="969">
        <v>7.2440000000000004E-4</v>
      </c>
      <c r="D458" s="969">
        <v>7.6539999999999996E-4</v>
      </c>
      <c r="E458" s="986">
        <v>342416</v>
      </c>
      <c r="F458" s="970">
        <v>1106683</v>
      </c>
      <c r="G458" s="970"/>
      <c r="H458" s="971">
        <v>63755</v>
      </c>
      <c r="I458" s="972">
        <v>268704</v>
      </c>
      <c r="J458" s="971">
        <v>158050</v>
      </c>
      <c r="K458" s="970">
        <v>40380</v>
      </c>
      <c r="L458" s="972">
        <f t="shared" si="14"/>
        <v>530889</v>
      </c>
      <c r="M458" s="970"/>
      <c r="N458" s="971">
        <v>31327</v>
      </c>
      <c r="O458" s="971">
        <v>0</v>
      </c>
      <c r="P458" s="970">
        <v>19605</v>
      </c>
      <c r="Q458" s="972">
        <f t="shared" si="15"/>
        <v>50932</v>
      </c>
      <c r="R458" s="970"/>
      <c r="S458" s="971">
        <v>372953</v>
      </c>
      <c r="T458" s="973">
        <v>17711</v>
      </c>
      <c r="U458" s="973">
        <v>390664</v>
      </c>
    </row>
    <row r="459" spans="1:21" x14ac:dyDescent="0.25">
      <c r="A459" s="967">
        <v>94804</v>
      </c>
      <c r="B459" s="968" t="s">
        <v>3095</v>
      </c>
      <c r="C459" s="969">
        <v>3.8E-6</v>
      </c>
      <c r="D459" s="969">
        <v>3.8E-6</v>
      </c>
      <c r="E459" s="986">
        <v>2740</v>
      </c>
      <c r="F459" s="970">
        <v>5805</v>
      </c>
      <c r="G459" s="970"/>
      <c r="H459" s="971">
        <v>334</v>
      </c>
      <c r="I459" s="972">
        <v>1409</v>
      </c>
      <c r="J459" s="971">
        <v>829</v>
      </c>
      <c r="K459" s="970">
        <v>2556</v>
      </c>
      <c r="L459" s="972">
        <f t="shared" si="14"/>
        <v>5128</v>
      </c>
      <c r="M459" s="970"/>
      <c r="N459" s="971">
        <v>164</v>
      </c>
      <c r="O459" s="971">
        <v>0</v>
      </c>
      <c r="P459" s="970">
        <v>218</v>
      </c>
      <c r="Q459" s="972">
        <f t="shared" si="15"/>
        <v>382</v>
      </c>
      <c r="R459" s="970"/>
      <c r="S459" s="971">
        <v>1956</v>
      </c>
      <c r="T459" s="973">
        <v>1879</v>
      </c>
      <c r="U459" s="973">
        <v>3835</v>
      </c>
    </row>
    <row r="460" spans="1:21" x14ac:dyDescent="0.25">
      <c r="A460" s="967">
        <v>94812</v>
      </c>
      <c r="B460" s="968" t="s">
        <v>3096</v>
      </c>
      <c r="C460" s="969">
        <v>3.3000000000000003E-5</v>
      </c>
      <c r="D460" s="969">
        <v>3.3500000000000001E-5</v>
      </c>
      <c r="E460" s="986">
        <v>19658</v>
      </c>
      <c r="F460" s="970">
        <v>50415</v>
      </c>
      <c r="G460" s="970"/>
      <c r="H460" s="971">
        <v>2904</v>
      </c>
      <c r="I460" s="972">
        <v>12241</v>
      </c>
      <c r="J460" s="971">
        <v>7200</v>
      </c>
      <c r="K460" s="970">
        <v>10442</v>
      </c>
      <c r="L460" s="972">
        <f t="shared" si="14"/>
        <v>32787</v>
      </c>
      <c r="M460" s="970"/>
      <c r="N460" s="971">
        <v>1427</v>
      </c>
      <c r="O460" s="971">
        <v>0</v>
      </c>
      <c r="P460" s="970">
        <v>0</v>
      </c>
      <c r="Q460" s="972">
        <f t="shared" si="15"/>
        <v>1427</v>
      </c>
      <c r="R460" s="970"/>
      <c r="S460" s="971">
        <v>16990</v>
      </c>
      <c r="T460" s="973">
        <v>4040</v>
      </c>
      <c r="U460" s="973">
        <v>21030</v>
      </c>
    </row>
    <row r="461" spans="1:21" x14ac:dyDescent="0.25">
      <c r="A461" s="967">
        <v>94901</v>
      </c>
      <c r="B461" s="968" t="s">
        <v>3097</v>
      </c>
      <c r="C461" s="969">
        <v>6.7841999999999998E-3</v>
      </c>
      <c r="D461" s="969">
        <v>7.0014999999999999E-3</v>
      </c>
      <c r="E461" s="986">
        <v>3201093</v>
      </c>
      <c r="F461" s="970">
        <v>10364378</v>
      </c>
      <c r="G461" s="970"/>
      <c r="H461" s="971">
        <v>597084</v>
      </c>
      <c r="I461" s="972">
        <v>2516484</v>
      </c>
      <c r="J461" s="971">
        <v>1480177</v>
      </c>
      <c r="K461" s="970">
        <v>16760</v>
      </c>
      <c r="L461" s="972">
        <f t="shared" si="14"/>
        <v>4610505</v>
      </c>
      <c r="M461" s="970"/>
      <c r="N461" s="971">
        <v>293383</v>
      </c>
      <c r="O461" s="971">
        <v>0</v>
      </c>
      <c r="P461" s="970">
        <v>129476</v>
      </c>
      <c r="Q461" s="972">
        <f t="shared" si="15"/>
        <v>422859</v>
      </c>
      <c r="R461" s="970"/>
      <c r="S461" s="971">
        <v>3492805</v>
      </c>
      <c r="T461" s="973">
        <v>-36324</v>
      </c>
      <c r="U461" s="973">
        <v>3456481</v>
      </c>
    </row>
    <row r="462" spans="1:21" x14ac:dyDescent="0.25">
      <c r="A462" s="967">
        <v>94908</v>
      </c>
      <c r="B462" s="968" t="s">
        <v>3098</v>
      </c>
      <c r="C462" s="969">
        <v>7.7000000000000008E-6</v>
      </c>
      <c r="D462" s="969">
        <v>3.9799999999999998E-5</v>
      </c>
      <c r="E462" s="986">
        <v>7868</v>
      </c>
      <c r="F462" s="970">
        <v>11763</v>
      </c>
      <c r="G462" s="970"/>
      <c r="H462" s="971">
        <v>678</v>
      </c>
      <c r="I462" s="972">
        <v>2857</v>
      </c>
      <c r="J462" s="971">
        <v>1680</v>
      </c>
      <c r="K462" s="970">
        <v>0</v>
      </c>
      <c r="L462" s="972">
        <f t="shared" si="14"/>
        <v>5215</v>
      </c>
      <c r="M462" s="970"/>
      <c r="N462" s="971">
        <v>333</v>
      </c>
      <c r="O462" s="971">
        <v>0</v>
      </c>
      <c r="P462" s="970">
        <v>21664</v>
      </c>
      <c r="Q462" s="972">
        <f t="shared" si="15"/>
        <v>21997</v>
      </c>
      <c r="R462" s="970"/>
      <c r="S462" s="971">
        <v>3964</v>
      </c>
      <c r="T462" s="973">
        <v>-6783</v>
      </c>
      <c r="U462" s="973">
        <v>-2819</v>
      </c>
    </row>
    <row r="463" spans="1:21" x14ac:dyDescent="0.25">
      <c r="A463" s="967">
        <v>94911</v>
      </c>
      <c r="B463" s="968" t="s">
        <v>3099</v>
      </c>
      <c r="C463" s="969">
        <v>2.8311E-3</v>
      </c>
      <c r="D463" s="969">
        <v>2.7745999999999999E-3</v>
      </c>
      <c r="E463" s="986">
        <v>1295988</v>
      </c>
      <c r="F463" s="970">
        <v>4325137</v>
      </c>
      <c r="G463" s="970"/>
      <c r="H463" s="971">
        <v>249168</v>
      </c>
      <c r="I463" s="972">
        <v>1050149</v>
      </c>
      <c r="J463" s="971">
        <v>617689</v>
      </c>
      <c r="K463" s="970">
        <v>39747</v>
      </c>
      <c r="L463" s="972">
        <f t="shared" si="14"/>
        <v>1956753</v>
      </c>
      <c r="M463" s="970"/>
      <c r="N463" s="971">
        <v>122431</v>
      </c>
      <c r="O463" s="971">
        <v>0</v>
      </c>
      <c r="P463" s="970">
        <v>40147</v>
      </c>
      <c r="Q463" s="972">
        <f t="shared" si="15"/>
        <v>162578</v>
      </c>
      <c r="R463" s="970"/>
      <c r="S463" s="971">
        <v>1457575</v>
      </c>
      <c r="T463" s="973">
        <v>-7457</v>
      </c>
      <c r="U463" s="973">
        <v>1450118</v>
      </c>
    </row>
    <row r="464" spans="1:21" x14ac:dyDescent="0.25">
      <c r="A464" s="967">
        <v>94917</v>
      </c>
      <c r="B464" s="968" t="s">
        <v>3100</v>
      </c>
      <c r="C464" s="969">
        <v>3.5099999999999999E-5</v>
      </c>
      <c r="D464" s="969">
        <v>3.7400000000000001E-5</v>
      </c>
      <c r="E464" s="986">
        <v>27131</v>
      </c>
      <c r="F464" s="970">
        <v>53623</v>
      </c>
      <c r="G464" s="970"/>
      <c r="H464" s="971">
        <v>3089</v>
      </c>
      <c r="I464" s="972">
        <v>13020</v>
      </c>
      <c r="J464" s="971">
        <v>7658</v>
      </c>
      <c r="K464" s="970">
        <v>16574</v>
      </c>
      <c r="L464" s="972">
        <f t="shared" si="14"/>
        <v>40341</v>
      </c>
      <c r="M464" s="970"/>
      <c r="N464" s="971">
        <v>1518</v>
      </c>
      <c r="O464" s="971">
        <v>0</v>
      </c>
      <c r="P464" s="970">
        <v>0</v>
      </c>
      <c r="Q464" s="972">
        <f t="shared" si="15"/>
        <v>1518</v>
      </c>
      <c r="R464" s="970"/>
      <c r="S464" s="971">
        <v>18071</v>
      </c>
      <c r="T464" s="973">
        <v>7114</v>
      </c>
      <c r="U464" s="973">
        <v>25185</v>
      </c>
    </row>
    <row r="465" spans="1:21" x14ac:dyDescent="0.25">
      <c r="A465" s="967">
        <v>94921</v>
      </c>
      <c r="B465" s="968" t="s">
        <v>3101</v>
      </c>
      <c r="C465" s="969">
        <v>3.9515000000000002E-3</v>
      </c>
      <c r="D465" s="969">
        <v>3.7063E-3</v>
      </c>
      <c r="E465" s="986">
        <v>1632572</v>
      </c>
      <c r="F465" s="970">
        <v>6036797</v>
      </c>
      <c r="G465" s="970"/>
      <c r="H465" s="971">
        <v>347775</v>
      </c>
      <c r="I465" s="972">
        <v>1465741</v>
      </c>
      <c r="J465" s="971">
        <v>862138</v>
      </c>
      <c r="K465" s="970">
        <v>19200</v>
      </c>
      <c r="L465" s="972">
        <f t="shared" si="14"/>
        <v>2694854</v>
      </c>
      <c r="M465" s="970"/>
      <c r="N465" s="971">
        <v>170883</v>
      </c>
      <c r="O465" s="971">
        <v>0</v>
      </c>
      <c r="P465" s="970">
        <v>350239</v>
      </c>
      <c r="Q465" s="972">
        <f t="shared" si="15"/>
        <v>521122</v>
      </c>
      <c r="R465" s="970"/>
      <c r="S465" s="971">
        <v>2034406</v>
      </c>
      <c r="T465" s="973">
        <v>-150626</v>
      </c>
      <c r="U465" s="973">
        <v>1883780</v>
      </c>
    </row>
    <row r="466" spans="1:21" x14ac:dyDescent="0.25">
      <c r="A466" s="967">
        <v>94923</v>
      </c>
      <c r="B466" s="968" t="s">
        <v>3102</v>
      </c>
      <c r="C466" s="969">
        <v>3.0700000000000001E-5</v>
      </c>
      <c r="D466" s="969">
        <v>2.4499999999999999E-5</v>
      </c>
      <c r="E466" s="986">
        <v>14810</v>
      </c>
      <c r="F466" s="970">
        <v>46901</v>
      </c>
      <c r="G466" s="970"/>
      <c r="H466" s="971">
        <v>2702</v>
      </c>
      <c r="I466" s="972">
        <v>11387</v>
      </c>
      <c r="J466" s="971">
        <v>6698</v>
      </c>
      <c r="K466" s="970">
        <v>5727</v>
      </c>
      <c r="L466" s="972">
        <f t="shared" si="14"/>
        <v>26514</v>
      </c>
      <c r="M466" s="970"/>
      <c r="N466" s="971">
        <v>1328</v>
      </c>
      <c r="O466" s="971">
        <v>0</v>
      </c>
      <c r="P466" s="970">
        <v>86</v>
      </c>
      <c r="Q466" s="972">
        <f t="shared" si="15"/>
        <v>1414</v>
      </c>
      <c r="R466" s="970"/>
      <c r="S466" s="971">
        <v>15806</v>
      </c>
      <c r="T466" s="973">
        <v>1556</v>
      </c>
      <c r="U466" s="973">
        <v>17362</v>
      </c>
    </row>
    <row r="467" spans="1:21" x14ac:dyDescent="0.25">
      <c r="A467" s="967">
        <v>94927</v>
      </c>
      <c r="B467" s="968" t="s">
        <v>3103</v>
      </c>
      <c r="C467" s="969">
        <v>3.0599999999999998E-5</v>
      </c>
      <c r="D467" s="969">
        <v>3.3899999999999997E-5</v>
      </c>
      <c r="E467" s="986">
        <v>17353</v>
      </c>
      <c r="F467" s="970">
        <v>46748</v>
      </c>
      <c r="G467" s="970"/>
      <c r="H467" s="971">
        <v>2693</v>
      </c>
      <c r="I467" s="972">
        <v>11350</v>
      </c>
      <c r="J467" s="971">
        <v>6676</v>
      </c>
      <c r="K467" s="970">
        <v>2683</v>
      </c>
      <c r="L467" s="972">
        <f t="shared" si="14"/>
        <v>23402</v>
      </c>
      <c r="M467" s="970"/>
      <c r="N467" s="971">
        <v>1323</v>
      </c>
      <c r="O467" s="971">
        <v>0</v>
      </c>
      <c r="P467" s="970">
        <v>26</v>
      </c>
      <c r="Q467" s="972">
        <f t="shared" si="15"/>
        <v>1349</v>
      </c>
      <c r="R467" s="970"/>
      <c r="S467" s="971">
        <v>15754</v>
      </c>
      <c r="T467" s="973">
        <v>911</v>
      </c>
      <c r="U467" s="973">
        <v>16665</v>
      </c>
    </row>
    <row r="468" spans="1:21" x14ac:dyDescent="0.25">
      <c r="A468" s="967">
        <v>94931</v>
      </c>
      <c r="B468" s="968" t="s">
        <v>3104</v>
      </c>
      <c r="C468" s="969">
        <v>2.163E-4</v>
      </c>
      <c r="D468" s="969">
        <v>2.1130000000000001E-4</v>
      </c>
      <c r="E468" s="986">
        <v>96302</v>
      </c>
      <c r="F468" s="970">
        <v>330446</v>
      </c>
      <c r="G468" s="970"/>
      <c r="H468" s="971">
        <v>19037</v>
      </c>
      <c r="I468" s="972">
        <v>80233</v>
      </c>
      <c r="J468" s="971">
        <v>47192</v>
      </c>
      <c r="K468" s="970">
        <v>954</v>
      </c>
      <c r="L468" s="972">
        <f t="shared" si="14"/>
        <v>147416</v>
      </c>
      <c r="M468" s="970"/>
      <c r="N468" s="971">
        <v>9354</v>
      </c>
      <c r="O468" s="971">
        <v>0</v>
      </c>
      <c r="P468" s="970">
        <v>15740</v>
      </c>
      <c r="Q468" s="972">
        <f t="shared" si="15"/>
        <v>25094</v>
      </c>
      <c r="R468" s="970"/>
      <c r="S468" s="971">
        <v>111361</v>
      </c>
      <c r="T468" s="973">
        <v>-7901</v>
      </c>
      <c r="U468" s="973">
        <v>103460</v>
      </c>
    </row>
    <row r="469" spans="1:21" x14ac:dyDescent="0.25">
      <c r="A469" s="967">
        <v>94941</v>
      </c>
      <c r="B469" s="968" t="s">
        <v>3105</v>
      </c>
      <c r="C469" s="969">
        <v>5.7879999999999997E-4</v>
      </c>
      <c r="D469" s="969">
        <v>5.2959999999999997E-4</v>
      </c>
      <c r="E469" s="986">
        <v>242954</v>
      </c>
      <c r="F469" s="970">
        <v>884246</v>
      </c>
      <c r="G469" s="970"/>
      <c r="H469" s="971">
        <v>50941</v>
      </c>
      <c r="I469" s="972">
        <v>214696</v>
      </c>
      <c r="J469" s="971">
        <v>126283</v>
      </c>
      <c r="K469" s="970">
        <v>68775</v>
      </c>
      <c r="L469" s="972">
        <f t="shared" si="14"/>
        <v>460695</v>
      </c>
      <c r="M469" s="970"/>
      <c r="N469" s="971">
        <v>25030</v>
      </c>
      <c r="O469" s="971">
        <v>0</v>
      </c>
      <c r="P469" s="970">
        <v>0</v>
      </c>
      <c r="Q469" s="972">
        <f t="shared" si="15"/>
        <v>25030</v>
      </c>
      <c r="R469" s="970"/>
      <c r="S469" s="971">
        <v>297992</v>
      </c>
      <c r="T469" s="973">
        <v>46151</v>
      </c>
      <c r="U469" s="973">
        <v>344143</v>
      </c>
    </row>
    <row r="470" spans="1:21" x14ac:dyDescent="0.25">
      <c r="A470" s="967">
        <v>95001</v>
      </c>
      <c r="B470" s="968" t="s">
        <v>3106</v>
      </c>
      <c r="C470" s="969">
        <v>2.4867000000000001E-3</v>
      </c>
      <c r="D470" s="969">
        <v>2.3779000000000001E-3</v>
      </c>
      <c r="E470" s="986">
        <v>1196131</v>
      </c>
      <c r="F470" s="970">
        <v>3798989</v>
      </c>
      <c r="G470" s="970"/>
      <c r="H470" s="971">
        <v>218857</v>
      </c>
      <c r="I470" s="972">
        <v>922399</v>
      </c>
      <c r="J470" s="971">
        <v>542548</v>
      </c>
      <c r="K470" s="970">
        <v>176888</v>
      </c>
      <c r="L470" s="972">
        <f t="shared" si="14"/>
        <v>1860692</v>
      </c>
      <c r="M470" s="970"/>
      <c r="N470" s="971">
        <v>107537</v>
      </c>
      <c r="O470" s="971">
        <v>0</v>
      </c>
      <c r="P470" s="970">
        <v>3991</v>
      </c>
      <c r="Q470" s="972">
        <f t="shared" si="15"/>
        <v>111528</v>
      </c>
      <c r="R470" s="970"/>
      <c r="S470" s="971">
        <v>1280263</v>
      </c>
      <c r="T470" s="973">
        <v>51652</v>
      </c>
      <c r="U470" s="973">
        <v>1331915</v>
      </c>
    </row>
    <row r="471" spans="1:21" x14ac:dyDescent="0.25">
      <c r="A471" s="967">
        <v>95002</v>
      </c>
      <c r="B471" s="968" t="s">
        <v>3107</v>
      </c>
      <c r="C471" s="969">
        <v>1.907E-4</v>
      </c>
      <c r="D471" s="969">
        <v>2.0120000000000001E-4</v>
      </c>
      <c r="E471" s="986">
        <v>100854</v>
      </c>
      <c r="F471" s="970">
        <v>291337</v>
      </c>
      <c r="G471" s="970"/>
      <c r="H471" s="971">
        <v>16784</v>
      </c>
      <c r="I471" s="972">
        <v>70737</v>
      </c>
      <c r="J471" s="971">
        <v>41607</v>
      </c>
      <c r="K471" s="970">
        <v>15647</v>
      </c>
      <c r="L471" s="972">
        <f t="shared" si="14"/>
        <v>144775</v>
      </c>
      <c r="M471" s="970"/>
      <c r="N471" s="971">
        <v>8247</v>
      </c>
      <c r="O471" s="971">
        <v>0</v>
      </c>
      <c r="P471" s="970">
        <v>0</v>
      </c>
      <c r="Q471" s="972">
        <f t="shared" si="15"/>
        <v>8247</v>
      </c>
      <c r="R471" s="970"/>
      <c r="S471" s="971">
        <v>98181</v>
      </c>
      <c r="T471" s="973">
        <v>6293</v>
      </c>
      <c r="U471" s="973">
        <v>104474</v>
      </c>
    </row>
    <row r="472" spans="1:21" x14ac:dyDescent="0.25">
      <c r="A472" s="967">
        <v>95005</v>
      </c>
      <c r="B472" s="968" t="s">
        <v>3108</v>
      </c>
      <c r="C472" s="969">
        <v>2.2949999999999999E-4</v>
      </c>
      <c r="D472" s="969">
        <v>2.3829999999999999E-4</v>
      </c>
      <c r="E472" s="986">
        <v>111067</v>
      </c>
      <c r="F472" s="970">
        <v>350612</v>
      </c>
      <c r="G472" s="970"/>
      <c r="H472" s="971">
        <v>20199</v>
      </c>
      <c r="I472" s="972">
        <v>85129</v>
      </c>
      <c r="J472" s="971">
        <v>50072</v>
      </c>
      <c r="K472" s="970">
        <v>13727</v>
      </c>
      <c r="L472" s="972">
        <f t="shared" si="14"/>
        <v>169127</v>
      </c>
      <c r="M472" s="970"/>
      <c r="N472" s="971">
        <v>9925</v>
      </c>
      <c r="O472" s="971">
        <v>0</v>
      </c>
      <c r="P472" s="970">
        <v>1630</v>
      </c>
      <c r="Q472" s="972">
        <f t="shared" si="15"/>
        <v>11555</v>
      </c>
      <c r="R472" s="970"/>
      <c r="S472" s="971">
        <v>118157</v>
      </c>
      <c r="T472" s="973">
        <v>9042</v>
      </c>
      <c r="U472" s="973">
        <v>127199</v>
      </c>
    </row>
    <row r="473" spans="1:21" x14ac:dyDescent="0.25">
      <c r="A473" s="967">
        <v>95008</v>
      </c>
      <c r="B473" s="968" t="s">
        <v>3109</v>
      </c>
      <c r="C473" s="969">
        <v>1.1519999999999999E-4</v>
      </c>
      <c r="D473" s="969">
        <v>1.169E-4</v>
      </c>
      <c r="E473" s="986">
        <v>62834</v>
      </c>
      <c r="F473" s="970">
        <v>175994</v>
      </c>
      <c r="G473" s="970"/>
      <c r="H473" s="971">
        <v>10139</v>
      </c>
      <c r="I473" s="972">
        <v>42731</v>
      </c>
      <c r="J473" s="971">
        <v>25134</v>
      </c>
      <c r="K473" s="970">
        <v>19189</v>
      </c>
      <c r="L473" s="972">
        <f t="shared" si="14"/>
        <v>97193</v>
      </c>
      <c r="M473" s="970"/>
      <c r="N473" s="971">
        <v>4982</v>
      </c>
      <c r="O473" s="971">
        <v>0</v>
      </c>
      <c r="P473" s="970">
        <v>6239</v>
      </c>
      <c r="Q473" s="972">
        <f t="shared" si="15"/>
        <v>11221</v>
      </c>
      <c r="R473" s="970"/>
      <c r="S473" s="971">
        <v>59310</v>
      </c>
      <c r="T473" s="973">
        <v>9098</v>
      </c>
      <c r="U473" s="973">
        <v>68408</v>
      </c>
    </row>
    <row r="474" spans="1:21" x14ac:dyDescent="0.25">
      <c r="A474" s="967">
        <v>95009</v>
      </c>
      <c r="B474" s="968" t="s">
        <v>3691</v>
      </c>
      <c r="C474" s="969">
        <v>4.2208999999999997E-3</v>
      </c>
      <c r="D474" s="969">
        <v>3.9902000000000002E-3</v>
      </c>
      <c r="E474" s="986">
        <v>1917856</v>
      </c>
      <c r="F474" s="970">
        <v>6448366</v>
      </c>
      <c r="G474" s="970"/>
      <c r="H474" s="971">
        <v>371486</v>
      </c>
      <c r="I474" s="972">
        <v>1565671</v>
      </c>
      <c r="J474" s="971">
        <v>920916</v>
      </c>
      <c r="K474" s="970">
        <v>897451</v>
      </c>
      <c r="L474" s="972">
        <f t="shared" si="14"/>
        <v>3755524</v>
      </c>
      <c r="M474" s="970"/>
      <c r="N474" s="971">
        <v>182533</v>
      </c>
      <c r="O474" s="971">
        <v>0</v>
      </c>
      <c r="P474" s="970">
        <v>0</v>
      </c>
      <c r="Q474" s="972">
        <f t="shared" si="15"/>
        <v>182533</v>
      </c>
      <c r="R474" s="970"/>
      <c r="S474" s="971">
        <v>2173105</v>
      </c>
      <c r="T474" s="973">
        <v>582135</v>
      </c>
      <c r="U474" s="973">
        <v>2755240</v>
      </c>
    </row>
    <row r="475" spans="1:21" x14ac:dyDescent="0.25">
      <c r="A475" s="967">
        <v>95011</v>
      </c>
      <c r="B475" s="968" t="s">
        <v>3111</v>
      </c>
      <c r="C475" s="969">
        <v>1.8000000000000001E-4</v>
      </c>
      <c r="D475" s="969">
        <v>1.707E-4</v>
      </c>
      <c r="E475" s="986">
        <v>78934</v>
      </c>
      <c r="F475" s="970">
        <v>274990</v>
      </c>
      <c r="G475" s="970"/>
      <c r="H475" s="971">
        <v>15842</v>
      </c>
      <c r="I475" s="972">
        <v>66768</v>
      </c>
      <c r="J475" s="971">
        <v>39272</v>
      </c>
      <c r="K475" s="970">
        <v>3275</v>
      </c>
      <c r="L475" s="972">
        <f t="shared" si="14"/>
        <v>125157</v>
      </c>
      <c r="M475" s="970"/>
      <c r="N475" s="971">
        <v>7784</v>
      </c>
      <c r="O475" s="971">
        <v>0</v>
      </c>
      <c r="P475" s="970">
        <v>8909</v>
      </c>
      <c r="Q475" s="972">
        <f t="shared" si="15"/>
        <v>16693</v>
      </c>
      <c r="R475" s="970"/>
      <c r="S475" s="971">
        <v>92672</v>
      </c>
      <c r="T475" s="973">
        <v>-3840</v>
      </c>
      <c r="U475" s="973">
        <v>88832</v>
      </c>
    </row>
    <row r="476" spans="1:21" x14ac:dyDescent="0.25">
      <c r="A476" s="967">
        <v>95017</v>
      </c>
      <c r="B476" s="968" t="s">
        <v>3112</v>
      </c>
      <c r="C476" s="969">
        <v>3.8800000000000001E-5</v>
      </c>
      <c r="D476" s="969">
        <v>3.5800000000000003E-5</v>
      </c>
      <c r="E476" s="986">
        <v>15330</v>
      </c>
      <c r="F476" s="970">
        <v>59276</v>
      </c>
      <c r="G476" s="970"/>
      <c r="H476" s="971">
        <v>3415</v>
      </c>
      <c r="I476" s="972">
        <v>14392</v>
      </c>
      <c r="J476" s="971">
        <v>8465</v>
      </c>
      <c r="K476" s="970">
        <v>13339</v>
      </c>
      <c r="L476" s="972">
        <f t="shared" si="14"/>
        <v>39611</v>
      </c>
      <c r="M476" s="970"/>
      <c r="N476" s="971">
        <v>1678</v>
      </c>
      <c r="O476" s="971">
        <v>0</v>
      </c>
      <c r="P476" s="970">
        <v>0</v>
      </c>
      <c r="Q476" s="972">
        <f t="shared" si="15"/>
        <v>1678</v>
      </c>
      <c r="R476" s="970"/>
      <c r="S476" s="971">
        <v>19976</v>
      </c>
      <c r="T476" s="973">
        <v>7635</v>
      </c>
      <c r="U476" s="973">
        <v>27611</v>
      </c>
    </row>
    <row r="477" spans="1:21" x14ac:dyDescent="0.25">
      <c r="A477" s="967">
        <v>95101</v>
      </c>
      <c r="B477" s="968" t="s">
        <v>3113</v>
      </c>
      <c r="C477" s="969">
        <v>8.3750999999999999E-3</v>
      </c>
      <c r="D477" s="969">
        <v>8.0955999999999997E-3</v>
      </c>
      <c r="E477" s="986">
        <v>3555097</v>
      </c>
      <c r="F477" s="970">
        <v>12794833</v>
      </c>
      <c r="G477" s="970"/>
      <c r="H477" s="971">
        <v>737101</v>
      </c>
      <c r="I477" s="972">
        <v>3106601</v>
      </c>
      <c r="J477" s="971">
        <v>1827279</v>
      </c>
      <c r="K477" s="970">
        <v>39562</v>
      </c>
      <c r="L477" s="972">
        <f t="shared" si="14"/>
        <v>5710543</v>
      </c>
      <c r="M477" s="970"/>
      <c r="N477" s="971">
        <v>362181</v>
      </c>
      <c r="O477" s="971">
        <v>0</v>
      </c>
      <c r="P477" s="970">
        <v>114122</v>
      </c>
      <c r="Q477" s="972">
        <f t="shared" si="15"/>
        <v>476303</v>
      </c>
      <c r="R477" s="970"/>
      <c r="S477" s="971">
        <v>4311870</v>
      </c>
      <c r="T477" s="973">
        <v>1978</v>
      </c>
      <c r="U477" s="973">
        <v>4313848</v>
      </c>
    </row>
    <row r="478" spans="1:21" x14ac:dyDescent="0.25">
      <c r="A478" s="967">
        <v>95103</v>
      </c>
      <c r="B478" s="968" t="s">
        <v>3114</v>
      </c>
      <c r="C478" s="969">
        <v>4.9100000000000001E-5</v>
      </c>
      <c r="D478" s="969">
        <v>6.02E-5</v>
      </c>
      <c r="E478" s="986">
        <v>33036</v>
      </c>
      <c r="F478" s="970">
        <v>75011</v>
      </c>
      <c r="G478" s="970"/>
      <c r="H478" s="971">
        <v>4321</v>
      </c>
      <c r="I478" s="972">
        <v>18213</v>
      </c>
      <c r="J478" s="971">
        <v>10713</v>
      </c>
      <c r="K478" s="970">
        <v>24203</v>
      </c>
      <c r="L478" s="972">
        <f t="shared" si="14"/>
        <v>57450</v>
      </c>
      <c r="M478" s="970"/>
      <c r="N478" s="971">
        <v>2123</v>
      </c>
      <c r="O478" s="971">
        <v>0</v>
      </c>
      <c r="P478" s="970">
        <v>0</v>
      </c>
      <c r="Q478" s="972">
        <f t="shared" si="15"/>
        <v>2123</v>
      </c>
      <c r="R478" s="970"/>
      <c r="S478" s="971">
        <v>25279</v>
      </c>
      <c r="T478" s="973">
        <v>18053</v>
      </c>
      <c r="U478" s="973">
        <v>43332</v>
      </c>
    </row>
    <row r="479" spans="1:21" x14ac:dyDescent="0.25">
      <c r="A479" s="967">
        <v>95104</v>
      </c>
      <c r="B479" s="968" t="s">
        <v>3115</v>
      </c>
      <c r="C479" s="969">
        <v>1.02E-4</v>
      </c>
      <c r="D479" s="969">
        <v>1.011E-4</v>
      </c>
      <c r="E479" s="986">
        <v>55856</v>
      </c>
      <c r="F479" s="970">
        <v>155828</v>
      </c>
      <c r="G479" s="970"/>
      <c r="H479" s="971">
        <v>8977</v>
      </c>
      <c r="I479" s="972">
        <v>37835</v>
      </c>
      <c r="J479" s="971">
        <v>22254</v>
      </c>
      <c r="K479" s="970">
        <v>19729</v>
      </c>
      <c r="L479" s="972">
        <f t="shared" si="14"/>
        <v>88795</v>
      </c>
      <c r="M479" s="970"/>
      <c r="N479" s="971">
        <v>4411</v>
      </c>
      <c r="O479" s="971">
        <v>0</v>
      </c>
      <c r="P479" s="970">
        <v>0</v>
      </c>
      <c r="Q479" s="972">
        <f t="shared" si="15"/>
        <v>4411</v>
      </c>
      <c r="R479" s="970"/>
      <c r="S479" s="971">
        <v>52514</v>
      </c>
      <c r="T479" s="973">
        <v>8399</v>
      </c>
      <c r="U479" s="973">
        <v>60913</v>
      </c>
    </row>
    <row r="480" spans="1:21" x14ac:dyDescent="0.25">
      <c r="A480" s="967">
        <v>95105</v>
      </c>
      <c r="B480" s="968" t="s">
        <v>3116</v>
      </c>
      <c r="C480" s="969">
        <v>6.1099999999999994E-5</v>
      </c>
      <c r="D480" s="969">
        <v>6.3700000000000003E-5</v>
      </c>
      <c r="E480" s="986">
        <v>33363</v>
      </c>
      <c r="F480" s="970">
        <v>93344</v>
      </c>
      <c r="G480" s="970"/>
      <c r="H480" s="971">
        <v>5377</v>
      </c>
      <c r="I480" s="972">
        <v>22664</v>
      </c>
      <c r="J480" s="971">
        <v>13331</v>
      </c>
      <c r="K480" s="970">
        <v>8129</v>
      </c>
      <c r="L480" s="972">
        <f t="shared" si="14"/>
        <v>49501</v>
      </c>
      <c r="M480" s="970"/>
      <c r="N480" s="971">
        <v>2642</v>
      </c>
      <c r="O480" s="971">
        <v>0</v>
      </c>
      <c r="P480" s="970">
        <v>0</v>
      </c>
      <c r="Q480" s="972">
        <f t="shared" si="15"/>
        <v>2642</v>
      </c>
      <c r="R480" s="970"/>
      <c r="S480" s="971">
        <v>31457</v>
      </c>
      <c r="T480" s="973">
        <v>4018</v>
      </c>
      <c r="U480" s="973">
        <v>35475</v>
      </c>
    </row>
    <row r="481" spans="1:21" x14ac:dyDescent="0.25">
      <c r="A481" s="967">
        <v>95106</v>
      </c>
      <c r="B481" s="968" t="s">
        <v>3117</v>
      </c>
      <c r="C481" s="969">
        <v>1.2099999999999999E-5</v>
      </c>
      <c r="D481" s="969">
        <v>1.3900000000000001E-5</v>
      </c>
      <c r="E481" s="986">
        <v>5272</v>
      </c>
      <c r="F481" s="970">
        <v>18485</v>
      </c>
      <c r="G481" s="970"/>
      <c r="H481" s="971">
        <v>1065</v>
      </c>
      <c r="I481" s="972">
        <v>4488</v>
      </c>
      <c r="J481" s="971">
        <v>2640</v>
      </c>
      <c r="K481" s="970">
        <v>4918</v>
      </c>
      <c r="L481" s="972">
        <f t="shared" si="14"/>
        <v>13111</v>
      </c>
      <c r="M481" s="970"/>
      <c r="N481" s="971">
        <v>523</v>
      </c>
      <c r="O481" s="971">
        <v>0</v>
      </c>
      <c r="P481" s="970">
        <v>1433</v>
      </c>
      <c r="Q481" s="972">
        <f t="shared" si="15"/>
        <v>1956</v>
      </c>
      <c r="R481" s="970"/>
      <c r="S481" s="971">
        <v>6230</v>
      </c>
      <c r="T481" s="973">
        <v>2234</v>
      </c>
      <c r="U481" s="973">
        <v>8464</v>
      </c>
    </row>
    <row r="482" spans="1:21" x14ac:dyDescent="0.25">
      <c r="A482" s="967">
        <v>95110</v>
      </c>
      <c r="B482" s="968" t="s">
        <v>3118</v>
      </c>
      <c r="C482" s="969">
        <v>4.2902000000000001E-3</v>
      </c>
      <c r="D482" s="969">
        <v>4.4609000000000003E-3</v>
      </c>
      <c r="E482" s="986">
        <v>1965505</v>
      </c>
      <c r="F482" s="970">
        <v>6554237</v>
      </c>
      <c r="G482" s="970"/>
      <c r="H482" s="971">
        <v>377585</v>
      </c>
      <c r="I482" s="972">
        <v>1591377</v>
      </c>
      <c r="J482" s="971">
        <v>936036</v>
      </c>
      <c r="K482" s="970">
        <v>0</v>
      </c>
      <c r="L482" s="972">
        <f t="shared" si="14"/>
        <v>2904998</v>
      </c>
      <c r="M482" s="970"/>
      <c r="N482" s="971">
        <v>185530</v>
      </c>
      <c r="O482" s="971">
        <v>0</v>
      </c>
      <c r="P482" s="970">
        <v>1097124</v>
      </c>
      <c r="Q482" s="972">
        <f t="shared" si="15"/>
        <v>1282654</v>
      </c>
      <c r="R482" s="970"/>
      <c r="S482" s="971">
        <v>2208784</v>
      </c>
      <c r="T482" s="973">
        <v>-636198</v>
      </c>
      <c r="U482" s="973">
        <v>1572586</v>
      </c>
    </row>
    <row r="483" spans="1:21" x14ac:dyDescent="0.25">
      <c r="A483" s="967">
        <v>95111</v>
      </c>
      <c r="B483" s="968" t="s">
        <v>3119</v>
      </c>
      <c r="C483" s="969">
        <v>1.0778999999999999E-3</v>
      </c>
      <c r="D483" s="969">
        <v>1.0709000000000001E-3</v>
      </c>
      <c r="E483" s="986">
        <v>470003</v>
      </c>
      <c r="F483" s="970">
        <v>1646733</v>
      </c>
      <c r="G483" s="970"/>
      <c r="H483" s="971">
        <v>94867</v>
      </c>
      <c r="I483" s="972">
        <v>399829</v>
      </c>
      <c r="J483" s="971">
        <v>235176</v>
      </c>
      <c r="K483" s="970">
        <v>0</v>
      </c>
      <c r="L483" s="972">
        <f t="shared" si="14"/>
        <v>729872</v>
      </c>
      <c r="M483" s="970"/>
      <c r="N483" s="971">
        <v>46614</v>
      </c>
      <c r="O483" s="971">
        <v>0</v>
      </c>
      <c r="P483" s="970">
        <v>120462</v>
      </c>
      <c r="Q483" s="972">
        <f t="shared" si="15"/>
        <v>167076</v>
      </c>
      <c r="R483" s="970"/>
      <c r="S483" s="971">
        <v>554950</v>
      </c>
      <c r="T483" s="973">
        <v>-59518</v>
      </c>
      <c r="U483" s="973">
        <v>495432</v>
      </c>
    </row>
    <row r="484" spans="1:21" x14ac:dyDescent="0.25">
      <c r="A484" s="967">
        <v>95113</v>
      </c>
      <c r="B484" s="968" t="s">
        <v>3120</v>
      </c>
      <c r="C484" s="969">
        <v>4.6699999999999997E-5</v>
      </c>
      <c r="D484" s="969">
        <v>4.7500000000000003E-5</v>
      </c>
      <c r="E484" s="986">
        <v>66187</v>
      </c>
      <c r="F484" s="970">
        <v>71345</v>
      </c>
      <c r="G484" s="970"/>
      <c r="H484" s="971">
        <v>4110</v>
      </c>
      <c r="I484" s="972">
        <v>17322</v>
      </c>
      <c r="J484" s="971">
        <v>10189</v>
      </c>
      <c r="K484" s="970">
        <v>82563</v>
      </c>
      <c r="L484" s="972">
        <f t="shared" si="14"/>
        <v>114184</v>
      </c>
      <c r="M484" s="970"/>
      <c r="N484" s="971">
        <v>2020</v>
      </c>
      <c r="O484" s="971">
        <v>0</v>
      </c>
      <c r="P484" s="970">
        <v>0</v>
      </c>
      <c r="Q484" s="972">
        <f t="shared" si="15"/>
        <v>2020</v>
      </c>
      <c r="R484" s="970"/>
      <c r="S484" s="971">
        <v>24043</v>
      </c>
      <c r="T484" s="973">
        <v>31359</v>
      </c>
      <c r="U484" s="973">
        <v>55402</v>
      </c>
    </row>
    <row r="485" spans="1:21" x14ac:dyDescent="0.25">
      <c r="A485" s="967">
        <v>95121</v>
      </c>
      <c r="B485" s="968" t="s">
        <v>3121</v>
      </c>
      <c r="C485" s="969">
        <v>4.9770000000000001E-4</v>
      </c>
      <c r="D485" s="969">
        <v>4.9580000000000002E-4</v>
      </c>
      <c r="E485" s="986">
        <v>224754</v>
      </c>
      <c r="F485" s="970">
        <v>760348</v>
      </c>
      <c r="G485" s="970"/>
      <c r="H485" s="971">
        <v>43803</v>
      </c>
      <c r="I485" s="972">
        <v>184613</v>
      </c>
      <c r="J485" s="971">
        <v>108588</v>
      </c>
      <c r="K485" s="970">
        <v>12640</v>
      </c>
      <c r="L485" s="972">
        <f t="shared" si="14"/>
        <v>349644</v>
      </c>
      <c r="M485" s="970"/>
      <c r="N485" s="971">
        <v>21523</v>
      </c>
      <c r="O485" s="971">
        <v>0</v>
      </c>
      <c r="P485" s="970">
        <v>14371</v>
      </c>
      <c r="Q485" s="972">
        <f t="shared" si="15"/>
        <v>35894</v>
      </c>
      <c r="R485" s="970"/>
      <c r="S485" s="971">
        <v>256238</v>
      </c>
      <c r="T485" s="973">
        <v>-7628</v>
      </c>
      <c r="U485" s="973">
        <v>248610</v>
      </c>
    </row>
    <row r="486" spans="1:21" x14ac:dyDescent="0.25">
      <c r="A486" s="967">
        <v>95122</v>
      </c>
      <c r="B486" s="968" t="s">
        <v>3122</v>
      </c>
      <c r="C486" s="969">
        <v>6.4999999999999996E-6</v>
      </c>
      <c r="D486" s="969">
        <v>2.7999999999999999E-6</v>
      </c>
      <c r="E486" s="986">
        <v>3103</v>
      </c>
      <c r="F486" s="970">
        <v>9930</v>
      </c>
      <c r="G486" s="970"/>
      <c r="H486" s="971">
        <v>572</v>
      </c>
      <c r="I486" s="972">
        <v>2411</v>
      </c>
      <c r="J486" s="971">
        <v>1418</v>
      </c>
      <c r="K486" s="970">
        <v>3675</v>
      </c>
      <c r="L486" s="972">
        <f t="shared" si="14"/>
        <v>8076</v>
      </c>
      <c r="M486" s="970"/>
      <c r="N486" s="971">
        <v>281</v>
      </c>
      <c r="O486" s="971">
        <v>0</v>
      </c>
      <c r="P486" s="970">
        <v>0</v>
      </c>
      <c r="Q486" s="972">
        <f t="shared" si="15"/>
        <v>281</v>
      </c>
      <c r="R486" s="970"/>
      <c r="S486" s="971">
        <v>3346</v>
      </c>
      <c r="T486" s="973">
        <v>1103</v>
      </c>
      <c r="U486" s="973">
        <v>4449</v>
      </c>
    </row>
    <row r="487" spans="1:21" x14ac:dyDescent="0.25">
      <c r="A487" s="967">
        <v>95123</v>
      </c>
      <c r="B487" s="968" t="s">
        <v>3123</v>
      </c>
      <c r="C487" s="969">
        <v>5.7399999999999999E-5</v>
      </c>
      <c r="D487" s="969">
        <v>5.6700000000000003E-5</v>
      </c>
      <c r="E487" s="986">
        <v>29191</v>
      </c>
      <c r="F487" s="970">
        <v>87691</v>
      </c>
      <c r="G487" s="970"/>
      <c r="H487" s="971">
        <v>5052</v>
      </c>
      <c r="I487" s="972">
        <v>21291</v>
      </c>
      <c r="J487" s="971">
        <v>12524</v>
      </c>
      <c r="K487" s="970">
        <v>8811</v>
      </c>
      <c r="L487" s="972">
        <f t="shared" si="14"/>
        <v>47678</v>
      </c>
      <c r="M487" s="970"/>
      <c r="N487" s="971">
        <v>2482</v>
      </c>
      <c r="O487" s="971">
        <v>0</v>
      </c>
      <c r="P487" s="970">
        <v>1459</v>
      </c>
      <c r="Q487" s="972">
        <f t="shared" si="15"/>
        <v>3941</v>
      </c>
      <c r="R487" s="970"/>
      <c r="S487" s="971">
        <v>29552</v>
      </c>
      <c r="T487" s="973">
        <v>1830</v>
      </c>
      <c r="U487" s="973">
        <v>31382</v>
      </c>
    </row>
    <row r="488" spans="1:21" x14ac:dyDescent="0.25">
      <c r="A488" s="967">
        <v>95131</v>
      </c>
      <c r="B488" s="968" t="s">
        <v>3124</v>
      </c>
      <c r="C488" s="969">
        <v>1.6682999999999999E-3</v>
      </c>
      <c r="D488" s="969">
        <v>1.5451E-3</v>
      </c>
      <c r="E488" s="986">
        <v>749707</v>
      </c>
      <c r="F488" s="970">
        <v>2548700</v>
      </c>
      <c r="G488" s="970"/>
      <c r="H488" s="971">
        <v>146829</v>
      </c>
      <c r="I488" s="972">
        <v>618827</v>
      </c>
      <c r="J488" s="971">
        <v>363990</v>
      </c>
      <c r="K488" s="970">
        <v>105945</v>
      </c>
      <c r="L488" s="972">
        <f t="shared" si="14"/>
        <v>1235591</v>
      </c>
      <c r="M488" s="970"/>
      <c r="N488" s="971">
        <v>72146</v>
      </c>
      <c r="O488" s="971">
        <v>0</v>
      </c>
      <c r="P488" s="970">
        <v>846</v>
      </c>
      <c r="Q488" s="972">
        <f t="shared" si="15"/>
        <v>72992</v>
      </c>
      <c r="R488" s="970"/>
      <c r="S488" s="971">
        <v>858914</v>
      </c>
      <c r="T488" s="973">
        <v>33842</v>
      </c>
      <c r="U488" s="973">
        <v>892756</v>
      </c>
    </row>
    <row r="489" spans="1:21" x14ac:dyDescent="0.25">
      <c r="A489" s="967">
        <v>95141</v>
      </c>
      <c r="B489" s="968" t="s">
        <v>3125</v>
      </c>
      <c r="C489" s="969">
        <v>3.2220000000000003E-4</v>
      </c>
      <c r="D489" s="969">
        <v>3.1819999999999998E-4</v>
      </c>
      <c r="E489" s="986">
        <v>131053</v>
      </c>
      <c r="F489" s="970">
        <v>492232</v>
      </c>
      <c r="G489" s="970"/>
      <c r="H489" s="971">
        <v>28357</v>
      </c>
      <c r="I489" s="972">
        <v>119515</v>
      </c>
      <c r="J489" s="971">
        <v>70298</v>
      </c>
      <c r="K489" s="970">
        <v>1251</v>
      </c>
      <c r="L489" s="972">
        <f t="shared" si="14"/>
        <v>219421</v>
      </c>
      <c r="M489" s="970"/>
      <c r="N489" s="971">
        <v>13934</v>
      </c>
      <c r="O489" s="971">
        <v>0</v>
      </c>
      <c r="P489" s="970">
        <v>29129</v>
      </c>
      <c r="Q489" s="972">
        <f t="shared" si="15"/>
        <v>43063</v>
      </c>
      <c r="R489" s="970"/>
      <c r="S489" s="971">
        <v>165883</v>
      </c>
      <c r="T489" s="973">
        <v>-11233</v>
      </c>
      <c r="U489" s="973">
        <v>154650</v>
      </c>
    </row>
    <row r="490" spans="1:21" x14ac:dyDescent="0.25">
      <c r="A490" s="967">
        <v>95151</v>
      </c>
      <c r="B490" s="968" t="s">
        <v>3126</v>
      </c>
      <c r="C490" s="969">
        <v>1.092E-4</v>
      </c>
      <c r="D490" s="969">
        <v>1.158E-4</v>
      </c>
      <c r="E490" s="986">
        <v>46663</v>
      </c>
      <c r="F490" s="970">
        <v>166827</v>
      </c>
      <c r="G490" s="970"/>
      <c r="H490" s="971">
        <v>9611</v>
      </c>
      <c r="I490" s="972">
        <v>40506</v>
      </c>
      <c r="J490" s="971">
        <v>23825</v>
      </c>
      <c r="K490" s="970">
        <v>364</v>
      </c>
      <c r="L490" s="972">
        <f t="shared" si="14"/>
        <v>74306</v>
      </c>
      <c r="M490" s="970"/>
      <c r="N490" s="971">
        <v>4722</v>
      </c>
      <c r="O490" s="971">
        <v>0</v>
      </c>
      <c r="P490" s="970">
        <v>10802</v>
      </c>
      <c r="Q490" s="972">
        <f t="shared" si="15"/>
        <v>15524</v>
      </c>
      <c r="R490" s="970"/>
      <c r="S490" s="971">
        <v>56221</v>
      </c>
      <c r="T490" s="973">
        <v>-3332</v>
      </c>
      <c r="U490" s="973">
        <v>52889</v>
      </c>
    </row>
    <row r="491" spans="1:21" x14ac:dyDescent="0.25">
      <c r="A491" s="967">
        <v>95161</v>
      </c>
      <c r="B491" s="968" t="s">
        <v>3127</v>
      </c>
      <c r="C491" s="969">
        <v>6.8100000000000002E-5</v>
      </c>
      <c r="D491" s="969">
        <v>7.4800000000000002E-5</v>
      </c>
      <c r="E491" s="986">
        <v>38087</v>
      </c>
      <c r="F491" s="970">
        <v>104038</v>
      </c>
      <c r="G491" s="970"/>
      <c r="H491" s="971">
        <v>5994</v>
      </c>
      <c r="I491" s="972">
        <v>25261</v>
      </c>
      <c r="J491" s="971">
        <v>14858</v>
      </c>
      <c r="K491" s="970">
        <v>5468</v>
      </c>
      <c r="L491" s="972">
        <f t="shared" si="14"/>
        <v>51581</v>
      </c>
      <c r="M491" s="970"/>
      <c r="N491" s="971">
        <v>2945</v>
      </c>
      <c r="O491" s="971">
        <v>0</v>
      </c>
      <c r="P491" s="970">
        <v>1353</v>
      </c>
      <c r="Q491" s="972">
        <f t="shared" si="15"/>
        <v>4298</v>
      </c>
      <c r="R491" s="970"/>
      <c r="S491" s="971">
        <v>35061</v>
      </c>
      <c r="T491" s="973">
        <v>1287</v>
      </c>
      <c r="U491" s="973">
        <v>36348</v>
      </c>
    </row>
    <row r="492" spans="1:21" x14ac:dyDescent="0.25">
      <c r="A492" s="967">
        <v>95171</v>
      </c>
      <c r="B492" s="968" t="s">
        <v>3128</v>
      </c>
      <c r="C492" s="969">
        <v>1.0459999999999999E-4</v>
      </c>
      <c r="D492" s="969">
        <v>1.2300000000000001E-4</v>
      </c>
      <c r="E492" s="986">
        <v>53917</v>
      </c>
      <c r="F492" s="970">
        <v>159800</v>
      </c>
      <c r="G492" s="970"/>
      <c r="H492" s="971">
        <v>9206</v>
      </c>
      <c r="I492" s="972">
        <v>38799</v>
      </c>
      <c r="J492" s="971">
        <v>22822</v>
      </c>
      <c r="K492" s="970">
        <v>6705</v>
      </c>
      <c r="L492" s="972">
        <f t="shared" si="14"/>
        <v>77532</v>
      </c>
      <c r="M492" s="970"/>
      <c r="N492" s="971">
        <v>4523</v>
      </c>
      <c r="O492" s="971">
        <v>0</v>
      </c>
      <c r="P492" s="970">
        <v>14987</v>
      </c>
      <c r="Q492" s="972">
        <f t="shared" si="15"/>
        <v>19510</v>
      </c>
      <c r="R492" s="970"/>
      <c r="S492" s="971">
        <v>53853</v>
      </c>
      <c r="T492" s="973">
        <v>-3646</v>
      </c>
      <c r="U492" s="973">
        <v>50207</v>
      </c>
    </row>
    <row r="493" spans="1:21" x14ac:dyDescent="0.25">
      <c r="A493" s="967">
        <v>95181</v>
      </c>
      <c r="B493" s="968" t="s">
        <v>3129</v>
      </c>
      <c r="C493" s="969">
        <v>7.7100000000000004E-5</v>
      </c>
      <c r="D493" s="969">
        <v>7.7899999999999996E-5</v>
      </c>
      <c r="E493" s="986">
        <v>30099</v>
      </c>
      <c r="F493" s="970">
        <v>117787</v>
      </c>
      <c r="G493" s="970"/>
      <c r="H493" s="971">
        <v>6786</v>
      </c>
      <c r="I493" s="972">
        <v>28599</v>
      </c>
      <c r="J493" s="971">
        <v>16822</v>
      </c>
      <c r="K493" s="970">
        <v>1069</v>
      </c>
      <c r="L493" s="972">
        <f t="shared" si="14"/>
        <v>53276</v>
      </c>
      <c r="M493" s="970"/>
      <c r="N493" s="971">
        <v>3334</v>
      </c>
      <c r="O493" s="971">
        <v>0</v>
      </c>
      <c r="P493" s="970">
        <v>9474</v>
      </c>
      <c r="Q493" s="972">
        <f t="shared" si="15"/>
        <v>12808</v>
      </c>
      <c r="R493" s="970"/>
      <c r="S493" s="971">
        <v>39694</v>
      </c>
      <c r="T493" s="973">
        <v>-2444</v>
      </c>
      <c r="U493" s="973">
        <v>37250</v>
      </c>
    </row>
    <row r="494" spans="1:21" x14ac:dyDescent="0.25">
      <c r="A494" s="967">
        <v>95191</v>
      </c>
      <c r="B494" s="968" t="s">
        <v>3130</v>
      </c>
      <c r="C494" s="969">
        <v>5.3999999999999998E-5</v>
      </c>
      <c r="D494" s="969">
        <v>5.3999999999999998E-5</v>
      </c>
      <c r="E494" s="986">
        <v>31311</v>
      </c>
      <c r="F494" s="970">
        <v>82497</v>
      </c>
      <c r="G494" s="970"/>
      <c r="H494" s="971">
        <v>4753</v>
      </c>
      <c r="I494" s="972">
        <v>20031</v>
      </c>
      <c r="J494" s="971">
        <v>11782</v>
      </c>
      <c r="K494" s="970">
        <v>12522</v>
      </c>
      <c r="L494" s="972">
        <f t="shared" si="14"/>
        <v>49088</v>
      </c>
      <c r="M494" s="970"/>
      <c r="N494" s="971">
        <v>2335</v>
      </c>
      <c r="O494" s="971">
        <v>0</v>
      </c>
      <c r="P494" s="970">
        <v>5293</v>
      </c>
      <c r="Q494" s="972">
        <f t="shared" si="15"/>
        <v>7628</v>
      </c>
      <c r="R494" s="970"/>
      <c r="S494" s="971">
        <v>27802</v>
      </c>
      <c r="T494" s="973">
        <v>4438</v>
      </c>
      <c r="U494" s="973">
        <v>32240</v>
      </c>
    </row>
    <row r="495" spans="1:21" x14ac:dyDescent="0.25">
      <c r="A495" s="967">
        <v>95201</v>
      </c>
      <c r="B495" s="968" t="s">
        <v>3131</v>
      </c>
      <c r="C495" s="969">
        <v>7.0969999999999996E-4</v>
      </c>
      <c r="D495" s="969">
        <v>6.8329999999999997E-4</v>
      </c>
      <c r="E495" s="986">
        <v>303949</v>
      </c>
      <c r="F495" s="970">
        <v>1084225</v>
      </c>
      <c r="G495" s="970"/>
      <c r="H495" s="971">
        <v>62461</v>
      </c>
      <c r="I495" s="972">
        <v>263252</v>
      </c>
      <c r="J495" s="971">
        <v>154842</v>
      </c>
      <c r="K495" s="970">
        <v>6474</v>
      </c>
      <c r="L495" s="972">
        <f t="shared" si="14"/>
        <v>487029</v>
      </c>
      <c r="M495" s="970"/>
      <c r="N495" s="971">
        <v>30691</v>
      </c>
      <c r="O495" s="971">
        <v>0</v>
      </c>
      <c r="P495" s="970">
        <v>21158</v>
      </c>
      <c r="Q495" s="972">
        <f t="shared" si="15"/>
        <v>51849</v>
      </c>
      <c r="R495" s="970"/>
      <c r="S495" s="971">
        <v>365385</v>
      </c>
      <c r="T495" s="973">
        <v>-9663</v>
      </c>
      <c r="U495" s="973">
        <v>355722</v>
      </c>
    </row>
    <row r="496" spans="1:21" x14ac:dyDescent="0.25">
      <c r="A496" s="967">
        <v>95204</v>
      </c>
      <c r="B496" s="968" t="s">
        <v>3132</v>
      </c>
      <c r="C496" s="969">
        <v>1.26E-5</v>
      </c>
      <c r="D496" s="969">
        <v>1.1600000000000001E-5</v>
      </c>
      <c r="E496" s="986">
        <v>7226</v>
      </c>
      <c r="F496" s="970">
        <v>19249</v>
      </c>
      <c r="G496" s="970"/>
      <c r="H496" s="971">
        <v>1109</v>
      </c>
      <c r="I496" s="972">
        <v>4674</v>
      </c>
      <c r="J496" s="971">
        <v>2749</v>
      </c>
      <c r="K496" s="970">
        <v>1824</v>
      </c>
      <c r="L496" s="972">
        <f t="shared" si="14"/>
        <v>10356</v>
      </c>
      <c r="M496" s="970"/>
      <c r="N496" s="971">
        <v>545</v>
      </c>
      <c r="O496" s="971">
        <v>0</v>
      </c>
      <c r="P496" s="970">
        <v>1143</v>
      </c>
      <c r="Q496" s="972">
        <f t="shared" si="15"/>
        <v>1688</v>
      </c>
      <c r="R496" s="970"/>
      <c r="S496" s="971">
        <v>6487</v>
      </c>
      <c r="T496" s="973">
        <v>-195</v>
      </c>
      <c r="U496" s="973">
        <v>6292</v>
      </c>
    </row>
    <row r="497" spans="1:21" x14ac:dyDescent="0.25">
      <c r="A497" s="967">
        <v>95205</v>
      </c>
      <c r="B497" s="968" t="s">
        <v>3133</v>
      </c>
      <c r="C497" s="969">
        <v>4.5000000000000001E-6</v>
      </c>
      <c r="D497" s="969">
        <v>4.7999999999999998E-6</v>
      </c>
      <c r="E497" s="986">
        <v>2455</v>
      </c>
      <c r="F497" s="970">
        <v>6875</v>
      </c>
      <c r="G497" s="970"/>
      <c r="H497" s="971">
        <v>396</v>
      </c>
      <c r="I497" s="972">
        <v>1669</v>
      </c>
      <c r="J497" s="971">
        <v>982</v>
      </c>
      <c r="K497" s="970">
        <v>605</v>
      </c>
      <c r="L497" s="972">
        <f t="shared" si="14"/>
        <v>3652</v>
      </c>
      <c r="M497" s="970"/>
      <c r="N497" s="971">
        <v>195</v>
      </c>
      <c r="O497" s="971">
        <v>0</v>
      </c>
      <c r="P497" s="970">
        <v>0</v>
      </c>
      <c r="Q497" s="972">
        <f t="shared" si="15"/>
        <v>195</v>
      </c>
      <c r="R497" s="970"/>
      <c r="S497" s="971">
        <v>2317</v>
      </c>
      <c r="T497" s="973">
        <v>311</v>
      </c>
      <c r="U497" s="973">
        <v>2628</v>
      </c>
    </row>
    <row r="498" spans="1:21" x14ac:dyDescent="0.25">
      <c r="A498" s="967">
        <v>95211</v>
      </c>
      <c r="B498" s="968" t="s">
        <v>3134</v>
      </c>
      <c r="C498" s="969">
        <v>8.3999999999999992E-6</v>
      </c>
      <c r="D498" s="969">
        <v>9.2E-6</v>
      </c>
      <c r="E498" s="986">
        <v>4222</v>
      </c>
      <c r="F498" s="970">
        <v>12833</v>
      </c>
      <c r="G498" s="970"/>
      <c r="H498" s="971">
        <v>739</v>
      </c>
      <c r="I498" s="972">
        <v>3115</v>
      </c>
      <c r="J498" s="971">
        <v>1833</v>
      </c>
      <c r="K498" s="970">
        <v>1455</v>
      </c>
      <c r="L498" s="972">
        <f t="shared" si="14"/>
        <v>7142</v>
      </c>
      <c r="M498" s="970"/>
      <c r="N498" s="971">
        <v>363</v>
      </c>
      <c r="O498" s="971">
        <v>0</v>
      </c>
      <c r="P498" s="970">
        <v>1231</v>
      </c>
      <c r="Q498" s="972">
        <f t="shared" si="15"/>
        <v>1594</v>
      </c>
      <c r="R498" s="970"/>
      <c r="S498" s="971">
        <v>4325</v>
      </c>
      <c r="T498" s="973">
        <v>-523</v>
      </c>
      <c r="U498" s="973">
        <v>3802</v>
      </c>
    </row>
    <row r="499" spans="1:21" x14ac:dyDescent="0.25">
      <c r="A499" s="967">
        <v>95221</v>
      </c>
      <c r="B499" s="968" t="s">
        <v>3135</v>
      </c>
      <c r="C499" s="969">
        <v>4.4100000000000001E-5</v>
      </c>
      <c r="D499" s="969">
        <v>1.6900000000000001E-5</v>
      </c>
      <c r="E499" s="986">
        <v>20361</v>
      </c>
      <c r="F499" s="970">
        <v>67373</v>
      </c>
      <c r="G499" s="970"/>
      <c r="H499" s="971">
        <v>3881</v>
      </c>
      <c r="I499" s="972">
        <v>16358</v>
      </c>
      <c r="J499" s="971">
        <v>9622</v>
      </c>
      <c r="K499" s="970">
        <v>21037</v>
      </c>
      <c r="L499" s="972">
        <f t="shared" si="14"/>
        <v>50898</v>
      </c>
      <c r="M499" s="970"/>
      <c r="N499" s="971">
        <v>1907</v>
      </c>
      <c r="O499" s="971">
        <v>0</v>
      </c>
      <c r="P499" s="970">
        <v>11299</v>
      </c>
      <c r="Q499" s="972">
        <f t="shared" si="15"/>
        <v>13206</v>
      </c>
      <c r="R499" s="970"/>
      <c r="S499" s="971">
        <v>22705</v>
      </c>
      <c r="T499" s="973">
        <v>2535</v>
      </c>
      <c r="U499" s="973">
        <v>25240</v>
      </c>
    </row>
    <row r="500" spans="1:21" x14ac:dyDescent="0.25">
      <c r="A500" s="967">
        <v>95301</v>
      </c>
      <c r="B500" s="968" t="s">
        <v>3136</v>
      </c>
      <c r="C500" s="969">
        <v>2.3917999999999999E-3</v>
      </c>
      <c r="D500" s="969">
        <v>2.4063999999999999E-3</v>
      </c>
      <c r="E500" s="986">
        <v>1141657</v>
      </c>
      <c r="F500" s="970">
        <v>3654008</v>
      </c>
      <c r="G500" s="970"/>
      <c r="H500" s="971">
        <v>210505</v>
      </c>
      <c r="I500" s="972">
        <v>887197</v>
      </c>
      <c r="J500" s="971">
        <v>521843</v>
      </c>
      <c r="K500" s="970">
        <v>73478</v>
      </c>
      <c r="L500" s="972">
        <f t="shared" si="14"/>
        <v>1693023</v>
      </c>
      <c r="M500" s="970"/>
      <c r="N500" s="971">
        <v>103433</v>
      </c>
      <c r="O500" s="971">
        <v>0</v>
      </c>
      <c r="P500" s="970">
        <v>11228</v>
      </c>
      <c r="Q500" s="972">
        <f t="shared" si="15"/>
        <v>114661</v>
      </c>
      <c r="R500" s="970"/>
      <c r="S500" s="971">
        <v>1231404</v>
      </c>
      <c r="T500" s="973">
        <v>19362</v>
      </c>
      <c r="U500" s="973">
        <f>1250765+1</f>
        <v>1250766</v>
      </c>
    </row>
    <row r="501" spans="1:21" x14ac:dyDescent="0.25">
      <c r="A501" s="967">
        <v>95311</v>
      </c>
      <c r="B501" s="968" t="s">
        <v>3137</v>
      </c>
      <c r="C501" s="969">
        <v>2.6873999999999999E-3</v>
      </c>
      <c r="D501" s="969">
        <v>2.6841999999999999E-3</v>
      </c>
      <c r="E501" s="986">
        <v>1275634</v>
      </c>
      <c r="F501" s="970">
        <v>4105603</v>
      </c>
      <c r="G501" s="970"/>
      <c r="H501" s="971">
        <v>236521</v>
      </c>
      <c r="I501" s="972">
        <v>996846</v>
      </c>
      <c r="J501" s="971">
        <v>586337</v>
      </c>
      <c r="K501" s="970">
        <v>41083</v>
      </c>
      <c r="L501" s="972">
        <f t="shared" si="14"/>
        <v>1860787</v>
      </c>
      <c r="M501" s="970"/>
      <c r="N501" s="971">
        <v>116217</v>
      </c>
      <c r="O501" s="971">
        <v>0</v>
      </c>
      <c r="P501" s="970">
        <v>117171</v>
      </c>
      <c r="Q501" s="972">
        <f t="shared" si="15"/>
        <v>233388</v>
      </c>
      <c r="R501" s="970"/>
      <c r="S501" s="971">
        <v>1383592</v>
      </c>
      <c r="T501" s="973">
        <v>-46704</v>
      </c>
      <c r="U501" s="973">
        <v>1336888</v>
      </c>
    </row>
    <row r="502" spans="1:21" x14ac:dyDescent="0.25">
      <c r="A502" s="967">
        <v>95317</v>
      </c>
      <c r="B502" s="968" t="s">
        <v>3138</v>
      </c>
      <c r="C502" s="969">
        <v>4.8900000000000003E-5</v>
      </c>
      <c r="D502" s="969">
        <v>5.1400000000000003E-5</v>
      </c>
      <c r="E502" s="986">
        <v>27511</v>
      </c>
      <c r="F502" s="970">
        <v>74706</v>
      </c>
      <c r="G502" s="970"/>
      <c r="H502" s="971">
        <v>4304</v>
      </c>
      <c r="I502" s="972">
        <v>18138</v>
      </c>
      <c r="J502" s="971">
        <v>10669</v>
      </c>
      <c r="K502" s="970">
        <v>6328</v>
      </c>
      <c r="L502" s="972">
        <f t="shared" si="14"/>
        <v>39439</v>
      </c>
      <c r="M502" s="970"/>
      <c r="N502" s="971">
        <v>2115</v>
      </c>
      <c r="O502" s="971">
        <v>0</v>
      </c>
      <c r="P502" s="970">
        <v>38</v>
      </c>
      <c r="Q502" s="972">
        <f t="shared" si="15"/>
        <v>2153</v>
      </c>
      <c r="R502" s="970"/>
      <c r="S502" s="971">
        <v>25176</v>
      </c>
      <c r="T502" s="973">
        <v>2474</v>
      </c>
      <c r="U502" s="973">
        <v>27650</v>
      </c>
    </row>
    <row r="503" spans="1:21" x14ac:dyDescent="0.25">
      <c r="A503" s="967">
        <v>95321</v>
      </c>
      <c r="B503" s="968" t="s">
        <v>3139</v>
      </c>
      <c r="C503" s="969">
        <v>4.71E-5</v>
      </c>
      <c r="D503" s="969">
        <v>5.7000000000000003E-5</v>
      </c>
      <c r="E503" s="986">
        <v>27222</v>
      </c>
      <c r="F503" s="970">
        <v>71956</v>
      </c>
      <c r="G503" s="970"/>
      <c r="H503" s="971">
        <v>4145</v>
      </c>
      <c r="I503" s="972">
        <v>17471</v>
      </c>
      <c r="J503" s="971">
        <v>10276</v>
      </c>
      <c r="K503" s="970">
        <v>3087</v>
      </c>
      <c r="L503" s="972">
        <f t="shared" si="14"/>
        <v>34979</v>
      </c>
      <c r="M503" s="970"/>
      <c r="N503" s="971">
        <v>2037</v>
      </c>
      <c r="O503" s="971">
        <v>0</v>
      </c>
      <c r="P503" s="970">
        <v>2158</v>
      </c>
      <c r="Q503" s="972">
        <f t="shared" si="15"/>
        <v>4195</v>
      </c>
      <c r="R503" s="970"/>
      <c r="S503" s="971">
        <v>24249</v>
      </c>
      <c r="T503" s="973">
        <v>1089</v>
      </c>
      <c r="U503" s="973">
        <v>25338</v>
      </c>
    </row>
    <row r="504" spans="1:21" x14ac:dyDescent="0.25">
      <c r="A504" s="967">
        <v>95401</v>
      </c>
      <c r="B504" s="968" t="s">
        <v>3140</v>
      </c>
      <c r="C504" s="969">
        <v>2.9992E-3</v>
      </c>
      <c r="D504" s="969">
        <v>2.9979999999999998E-3</v>
      </c>
      <c r="E504" s="986">
        <v>1351002</v>
      </c>
      <c r="F504" s="970">
        <v>4581947</v>
      </c>
      <c r="G504" s="970"/>
      <c r="H504" s="971">
        <v>263963</v>
      </c>
      <c r="I504" s="972">
        <v>1112502</v>
      </c>
      <c r="J504" s="971">
        <v>654365</v>
      </c>
      <c r="K504" s="970">
        <v>27695</v>
      </c>
      <c r="L504" s="972">
        <f t="shared" si="14"/>
        <v>2058525</v>
      </c>
      <c r="M504" s="970"/>
      <c r="N504" s="971">
        <v>129700</v>
      </c>
      <c r="O504" s="971">
        <v>0</v>
      </c>
      <c r="P504" s="970">
        <v>19902</v>
      </c>
      <c r="Q504" s="972">
        <f t="shared" si="15"/>
        <v>149602</v>
      </c>
      <c r="R504" s="970"/>
      <c r="S504" s="971">
        <v>1544120</v>
      </c>
      <c r="T504" s="973">
        <v>10089</v>
      </c>
      <c r="U504" s="973">
        <v>1554209</v>
      </c>
    </row>
    <row r="505" spans="1:21" x14ac:dyDescent="0.25">
      <c r="A505" s="967">
        <v>95404</v>
      </c>
      <c r="B505" s="968" t="s">
        <v>3141</v>
      </c>
      <c r="C505" s="969">
        <v>5.3100000000000003E-5</v>
      </c>
      <c r="D505" s="969">
        <v>4.9799999999999998E-5</v>
      </c>
      <c r="E505" s="986">
        <v>22123</v>
      </c>
      <c r="F505" s="970">
        <v>81122</v>
      </c>
      <c r="G505" s="970"/>
      <c r="H505" s="971">
        <v>4673</v>
      </c>
      <c r="I505" s="972">
        <v>19697</v>
      </c>
      <c r="J505" s="971">
        <v>11585</v>
      </c>
      <c r="K505" s="970">
        <v>5158</v>
      </c>
      <c r="L505" s="972">
        <f t="shared" si="14"/>
        <v>41113</v>
      </c>
      <c r="M505" s="970"/>
      <c r="N505" s="971">
        <v>2296</v>
      </c>
      <c r="O505" s="971">
        <v>0</v>
      </c>
      <c r="P505" s="970">
        <v>0</v>
      </c>
      <c r="Q505" s="972">
        <f t="shared" si="15"/>
        <v>2296</v>
      </c>
      <c r="R505" s="970"/>
      <c r="S505" s="971">
        <v>27338</v>
      </c>
      <c r="T505" s="973">
        <v>1949</v>
      </c>
      <c r="U505" s="973">
        <v>29287</v>
      </c>
    </row>
    <row r="506" spans="1:21" x14ac:dyDescent="0.25">
      <c r="A506" s="967">
        <v>95405</v>
      </c>
      <c r="B506" s="968" t="s">
        <v>3142</v>
      </c>
      <c r="C506" s="969">
        <v>1.84E-5</v>
      </c>
      <c r="D506" s="969">
        <v>1.84E-5</v>
      </c>
      <c r="E506" s="986">
        <v>17053</v>
      </c>
      <c r="F506" s="970">
        <v>28110</v>
      </c>
      <c r="G506" s="970"/>
      <c r="H506" s="971">
        <v>1619</v>
      </c>
      <c r="I506" s="972">
        <v>6826</v>
      </c>
      <c r="J506" s="971">
        <v>4015</v>
      </c>
      <c r="K506" s="970">
        <v>15544</v>
      </c>
      <c r="L506" s="972">
        <f t="shared" si="14"/>
        <v>28004</v>
      </c>
      <c r="M506" s="970"/>
      <c r="N506" s="971">
        <v>796</v>
      </c>
      <c r="O506" s="971">
        <v>0</v>
      </c>
      <c r="P506" s="970">
        <v>0</v>
      </c>
      <c r="Q506" s="972">
        <f t="shared" si="15"/>
        <v>796</v>
      </c>
      <c r="R506" s="970"/>
      <c r="S506" s="971">
        <v>9473</v>
      </c>
      <c r="T506" s="973">
        <v>5475</v>
      </c>
      <c r="U506" s="973">
        <v>14948</v>
      </c>
    </row>
    <row r="507" spans="1:21" x14ac:dyDescent="0.25">
      <c r="A507" s="967">
        <v>95411</v>
      </c>
      <c r="B507" s="968" t="s">
        <v>3143</v>
      </c>
      <c r="C507" s="969">
        <v>2.2173000000000002E-3</v>
      </c>
      <c r="D507" s="969">
        <v>2.3272000000000002E-3</v>
      </c>
      <c r="E507" s="986">
        <v>1058017</v>
      </c>
      <c r="F507" s="970">
        <v>3387420</v>
      </c>
      <c r="G507" s="970"/>
      <c r="H507" s="971">
        <v>195147</v>
      </c>
      <c r="I507" s="972">
        <v>822470</v>
      </c>
      <c r="J507" s="971">
        <v>483771</v>
      </c>
      <c r="K507" s="970">
        <v>14015</v>
      </c>
      <c r="L507" s="972">
        <f t="shared" si="14"/>
        <v>1515403</v>
      </c>
      <c r="M507" s="970"/>
      <c r="N507" s="971">
        <v>95887</v>
      </c>
      <c r="O507" s="971">
        <v>0</v>
      </c>
      <c r="P507" s="970">
        <v>60237</v>
      </c>
      <c r="Q507" s="972">
        <f t="shared" si="15"/>
        <v>156124</v>
      </c>
      <c r="R507" s="970"/>
      <c r="S507" s="971">
        <v>1141564</v>
      </c>
      <c r="T507" s="973">
        <v>-23907</v>
      </c>
      <c r="U507" s="973">
        <f>1117656+1</f>
        <v>1117657</v>
      </c>
    </row>
    <row r="508" spans="1:21" x14ac:dyDescent="0.25">
      <c r="A508" s="967">
        <v>95412</v>
      </c>
      <c r="B508" s="968" t="s">
        <v>3144</v>
      </c>
      <c r="C508" s="969">
        <v>0</v>
      </c>
      <c r="D508" s="969">
        <v>0</v>
      </c>
      <c r="E508" s="986" t="e">
        <v>#N/A</v>
      </c>
      <c r="F508" s="970">
        <v>0</v>
      </c>
      <c r="G508" s="970"/>
      <c r="H508" s="971">
        <v>0</v>
      </c>
      <c r="I508" s="972">
        <v>0</v>
      </c>
      <c r="J508" s="971">
        <v>0</v>
      </c>
      <c r="K508" s="970">
        <v>0</v>
      </c>
      <c r="L508" s="972">
        <f t="shared" si="14"/>
        <v>0</v>
      </c>
      <c r="M508" s="970"/>
      <c r="N508" s="971">
        <v>0</v>
      </c>
      <c r="O508" s="971">
        <v>0</v>
      </c>
      <c r="P508" s="970">
        <v>27831</v>
      </c>
      <c r="Q508" s="972">
        <f t="shared" si="15"/>
        <v>27831</v>
      </c>
      <c r="R508" s="970"/>
      <c r="S508" s="971">
        <v>0</v>
      </c>
      <c r="T508" s="973">
        <v>-18518</v>
      </c>
      <c r="U508" s="973">
        <v>-18518</v>
      </c>
    </row>
    <row r="509" spans="1:21" x14ac:dyDescent="0.25">
      <c r="A509" s="967">
        <v>95413</v>
      </c>
      <c r="B509" s="968" t="s">
        <v>3145</v>
      </c>
      <c r="C509" s="969">
        <v>2.5809999999999999E-4</v>
      </c>
      <c r="D509" s="969">
        <v>2.945E-4</v>
      </c>
      <c r="E509" s="986">
        <v>285392</v>
      </c>
      <c r="F509" s="970">
        <v>394305</v>
      </c>
      <c r="G509" s="970"/>
      <c r="H509" s="971">
        <v>22716</v>
      </c>
      <c r="I509" s="972">
        <v>95737</v>
      </c>
      <c r="J509" s="971">
        <v>56312</v>
      </c>
      <c r="K509" s="970">
        <v>247679</v>
      </c>
      <c r="L509" s="972">
        <f t="shared" si="14"/>
        <v>422444</v>
      </c>
      <c r="M509" s="970"/>
      <c r="N509" s="971">
        <v>11162</v>
      </c>
      <c r="O509" s="971">
        <v>0</v>
      </c>
      <c r="P509" s="970">
        <v>9401</v>
      </c>
      <c r="Q509" s="972">
        <f t="shared" si="15"/>
        <v>20563</v>
      </c>
      <c r="R509" s="970"/>
      <c r="S509" s="971">
        <v>132881</v>
      </c>
      <c r="T509" s="973">
        <v>77340</v>
      </c>
      <c r="U509" s="973">
        <v>210221</v>
      </c>
    </row>
    <row r="510" spans="1:21" x14ac:dyDescent="0.25">
      <c r="A510" s="967">
        <v>95415</v>
      </c>
      <c r="B510" s="968" t="s">
        <v>3146</v>
      </c>
      <c r="C510" s="969">
        <v>6.2899999999999997E-5</v>
      </c>
      <c r="D510" s="969">
        <v>7.9499999999999994E-5</v>
      </c>
      <c r="E510" s="986">
        <v>28158</v>
      </c>
      <c r="F510" s="970">
        <v>96094</v>
      </c>
      <c r="G510" s="970"/>
      <c r="H510" s="971">
        <v>5536</v>
      </c>
      <c r="I510" s="972">
        <v>23331</v>
      </c>
      <c r="J510" s="971">
        <v>13724</v>
      </c>
      <c r="K510" s="970">
        <v>5301</v>
      </c>
      <c r="L510" s="972">
        <f t="shared" si="14"/>
        <v>47892</v>
      </c>
      <c r="M510" s="970"/>
      <c r="N510" s="971">
        <v>2720</v>
      </c>
      <c r="O510" s="971">
        <v>0</v>
      </c>
      <c r="P510" s="970">
        <v>16874</v>
      </c>
      <c r="Q510" s="972">
        <f t="shared" si="15"/>
        <v>19594</v>
      </c>
      <c r="R510" s="970"/>
      <c r="S510" s="971">
        <v>32384</v>
      </c>
      <c r="T510" s="973">
        <v>-165</v>
      </c>
      <c r="U510" s="973">
        <v>32219</v>
      </c>
    </row>
    <row r="511" spans="1:21" x14ac:dyDescent="0.25">
      <c r="A511" s="967">
        <v>95421</v>
      </c>
      <c r="B511" s="968" t="s">
        <v>3147</v>
      </c>
      <c r="C511" s="969">
        <v>3.8699999999999999E-5</v>
      </c>
      <c r="D511" s="969">
        <v>3.9100000000000002E-5</v>
      </c>
      <c r="E511" s="986">
        <v>18385</v>
      </c>
      <c r="F511" s="970">
        <v>59123</v>
      </c>
      <c r="G511" s="970"/>
      <c r="H511" s="971">
        <v>3406</v>
      </c>
      <c r="I511" s="972">
        <v>14355</v>
      </c>
      <c r="J511" s="971">
        <v>8444</v>
      </c>
      <c r="K511" s="970">
        <v>226</v>
      </c>
      <c r="L511" s="972">
        <f t="shared" si="14"/>
        <v>26431</v>
      </c>
      <c r="M511" s="970"/>
      <c r="N511" s="971">
        <v>1674</v>
      </c>
      <c r="O511" s="971">
        <v>0</v>
      </c>
      <c r="P511" s="970">
        <v>9353</v>
      </c>
      <c r="Q511" s="972">
        <f t="shared" si="15"/>
        <v>11027</v>
      </c>
      <c r="R511" s="970"/>
      <c r="S511" s="971">
        <v>19924</v>
      </c>
      <c r="T511" s="973">
        <v>-4913</v>
      </c>
      <c r="U511" s="973">
        <f>15012-1</f>
        <v>15011</v>
      </c>
    </row>
    <row r="512" spans="1:21" x14ac:dyDescent="0.25">
      <c r="A512" s="967">
        <v>95431</v>
      </c>
      <c r="B512" s="968" t="s">
        <v>3148</v>
      </c>
      <c r="C512" s="969">
        <v>1.5300000000000001E-4</v>
      </c>
      <c r="D512" s="969">
        <v>1.8009999999999999E-4</v>
      </c>
      <c r="E512" s="986">
        <v>61885</v>
      </c>
      <c r="F512" s="970">
        <v>233742</v>
      </c>
      <c r="G512" s="970"/>
      <c r="H512" s="971">
        <v>13466</v>
      </c>
      <c r="I512" s="972">
        <v>56753</v>
      </c>
      <c r="J512" s="971">
        <v>33382</v>
      </c>
      <c r="K512" s="970">
        <v>224</v>
      </c>
      <c r="L512" s="972">
        <f t="shared" si="14"/>
        <v>103825</v>
      </c>
      <c r="M512" s="970"/>
      <c r="N512" s="971">
        <v>6616</v>
      </c>
      <c r="O512" s="971">
        <v>0</v>
      </c>
      <c r="P512" s="970">
        <v>34003</v>
      </c>
      <c r="Q512" s="972">
        <f t="shared" si="15"/>
        <v>40619</v>
      </c>
      <c r="R512" s="970"/>
      <c r="S512" s="971">
        <v>78771</v>
      </c>
      <c r="T512" s="973">
        <v>-9919</v>
      </c>
      <c r="U512" s="973">
        <v>68852</v>
      </c>
    </row>
    <row r="513" spans="1:21" x14ac:dyDescent="0.25">
      <c r="A513" s="967">
        <v>95501</v>
      </c>
      <c r="B513" s="968" t="s">
        <v>3149</v>
      </c>
      <c r="C513" s="969">
        <v>4.8764999999999998E-3</v>
      </c>
      <c r="D513" s="969">
        <v>4.7917999999999997E-3</v>
      </c>
      <c r="E513" s="986">
        <v>2104813</v>
      </c>
      <c r="F513" s="970">
        <v>7449941</v>
      </c>
      <c r="G513" s="970"/>
      <c r="H513" s="971">
        <v>429186</v>
      </c>
      <c r="I513" s="972">
        <v>1808855</v>
      </c>
      <c r="J513" s="971">
        <v>1063955</v>
      </c>
      <c r="K513" s="970">
        <v>31695</v>
      </c>
      <c r="L513" s="972">
        <f t="shared" si="14"/>
        <v>3333691</v>
      </c>
      <c r="M513" s="970"/>
      <c r="N513" s="971">
        <v>210884</v>
      </c>
      <c r="O513" s="971">
        <v>0</v>
      </c>
      <c r="P513" s="970">
        <v>124610</v>
      </c>
      <c r="Q513" s="972">
        <f t="shared" si="15"/>
        <v>335494</v>
      </c>
      <c r="R513" s="970"/>
      <c r="S513" s="971">
        <v>2510637</v>
      </c>
      <c r="T513" s="973">
        <v>-8646</v>
      </c>
      <c r="U513" s="973">
        <v>2501991</v>
      </c>
    </row>
    <row r="514" spans="1:21" x14ac:dyDescent="0.25">
      <c r="A514" s="967">
        <v>95504</v>
      </c>
      <c r="B514" s="968" t="s">
        <v>3150</v>
      </c>
      <c r="C514" s="969">
        <v>9.3999999999999998E-6</v>
      </c>
      <c r="D514" s="969">
        <v>8.8999999999999995E-6</v>
      </c>
      <c r="E514" s="986">
        <v>9297</v>
      </c>
      <c r="F514" s="970">
        <v>14361</v>
      </c>
      <c r="G514" s="970"/>
      <c r="H514" s="971">
        <v>827</v>
      </c>
      <c r="I514" s="972">
        <v>3487</v>
      </c>
      <c r="J514" s="971">
        <v>2051</v>
      </c>
      <c r="K514" s="970">
        <v>7912</v>
      </c>
      <c r="L514" s="972">
        <f t="shared" si="14"/>
        <v>14277</v>
      </c>
      <c r="M514" s="970"/>
      <c r="N514" s="971">
        <v>407</v>
      </c>
      <c r="O514" s="971">
        <v>0</v>
      </c>
      <c r="P514" s="970">
        <v>0</v>
      </c>
      <c r="Q514" s="972">
        <f t="shared" si="15"/>
        <v>407</v>
      </c>
      <c r="R514" s="970"/>
      <c r="S514" s="971">
        <v>4840</v>
      </c>
      <c r="T514" s="973">
        <v>2952</v>
      </c>
      <c r="U514" s="973">
        <f>7791+1</f>
        <v>7792</v>
      </c>
    </row>
    <row r="515" spans="1:21" x14ac:dyDescent="0.25">
      <c r="A515" s="967">
        <v>95511</v>
      </c>
      <c r="B515" s="968" t="s">
        <v>3151</v>
      </c>
      <c r="C515" s="969">
        <v>9.7460000000000005E-4</v>
      </c>
      <c r="D515" s="969">
        <v>9.6049999999999998E-4</v>
      </c>
      <c r="E515" s="986">
        <v>484188</v>
      </c>
      <c r="F515" s="970">
        <v>1488919</v>
      </c>
      <c r="G515" s="970"/>
      <c r="H515" s="971">
        <v>85776</v>
      </c>
      <c r="I515" s="972">
        <v>361511</v>
      </c>
      <c r="J515" s="971">
        <v>212638</v>
      </c>
      <c r="K515" s="970">
        <v>44242</v>
      </c>
      <c r="L515" s="972">
        <f t="shared" si="14"/>
        <v>704167</v>
      </c>
      <c r="M515" s="970"/>
      <c r="N515" s="971">
        <v>42147</v>
      </c>
      <c r="O515" s="971">
        <v>0</v>
      </c>
      <c r="P515" s="970">
        <v>52155</v>
      </c>
      <c r="Q515" s="972">
        <f t="shared" si="15"/>
        <v>94302</v>
      </c>
      <c r="R515" s="970"/>
      <c r="S515" s="971">
        <v>501767</v>
      </c>
      <c r="T515" s="973">
        <v>-4607</v>
      </c>
      <c r="U515" s="973">
        <v>497160</v>
      </c>
    </row>
    <row r="516" spans="1:21" x14ac:dyDescent="0.25">
      <c r="A516" s="967">
        <v>95513</v>
      </c>
      <c r="B516" s="968" t="s">
        <v>3152</v>
      </c>
      <c r="C516" s="969">
        <v>4.6699999999999997E-5</v>
      </c>
      <c r="D516" s="969">
        <v>4.5500000000000001E-5</v>
      </c>
      <c r="E516" s="986">
        <v>31793</v>
      </c>
      <c r="F516" s="970">
        <v>71345</v>
      </c>
      <c r="G516" s="970"/>
      <c r="H516" s="971">
        <v>4110</v>
      </c>
      <c r="I516" s="972">
        <v>17322</v>
      </c>
      <c r="J516" s="971">
        <v>10189</v>
      </c>
      <c r="K516" s="970">
        <v>21773</v>
      </c>
      <c r="L516" s="972">
        <f t="shared" si="14"/>
        <v>53394</v>
      </c>
      <c r="M516" s="970"/>
      <c r="N516" s="971">
        <v>2020</v>
      </c>
      <c r="O516" s="971">
        <v>0</v>
      </c>
      <c r="P516" s="970">
        <v>0</v>
      </c>
      <c r="Q516" s="972">
        <f t="shared" si="15"/>
        <v>2020</v>
      </c>
      <c r="R516" s="970"/>
      <c r="S516" s="971">
        <v>24043</v>
      </c>
      <c r="T516" s="973">
        <v>9103</v>
      </c>
      <c r="U516" s="973">
        <v>33146</v>
      </c>
    </row>
    <row r="517" spans="1:21" x14ac:dyDescent="0.25">
      <c r="A517" s="967">
        <v>95517</v>
      </c>
      <c r="B517" s="968" t="s">
        <v>3153</v>
      </c>
      <c r="C517" s="969">
        <v>2.4499999999999999E-5</v>
      </c>
      <c r="D517" s="969">
        <v>1.66E-5</v>
      </c>
      <c r="E517" s="986">
        <v>15695</v>
      </c>
      <c r="F517" s="970">
        <v>37429</v>
      </c>
      <c r="G517" s="970"/>
      <c r="H517" s="971">
        <v>2156</v>
      </c>
      <c r="I517" s="972">
        <v>9087</v>
      </c>
      <c r="J517" s="971">
        <v>5345</v>
      </c>
      <c r="K517" s="970">
        <v>17989</v>
      </c>
      <c r="L517" s="972">
        <f t="shared" si="14"/>
        <v>34577</v>
      </c>
      <c r="M517" s="970"/>
      <c r="N517" s="971">
        <v>1060</v>
      </c>
      <c r="O517" s="971">
        <v>0</v>
      </c>
      <c r="P517" s="970">
        <v>0</v>
      </c>
      <c r="Q517" s="972">
        <f t="shared" si="15"/>
        <v>1060</v>
      </c>
      <c r="R517" s="970"/>
      <c r="S517" s="971">
        <v>12614</v>
      </c>
      <c r="T517" s="973">
        <v>6544</v>
      </c>
      <c r="U517" s="973">
        <v>19158</v>
      </c>
    </row>
    <row r="518" spans="1:21" x14ac:dyDescent="0.25">
      <c r="A518" s="967">
        <v>95601</v>
      </c>
      <c r="B518" s="968" t="s">
        <v>3154</v>
      </c>
      <c r="C518" s="969">
        <v>2.6280000000000001E-3</v>
      </c>
      <c r="D518" s="969">
        <v>2.6592999999999999E-3</v>
      </c>
      <c r="E518" s="986">
        <v>1208853</v>
      </c>
      <c r="F518" s="970">
        <v>4014856</v>
      </c>
      <c r="G518" s="970"/>
      <c r="H518" s="971">
        <v>231293</v>
      </c>
      <c r="I518" s="972">
        <v>974812</v>
      </c>
      <c r="J518" s="971">
        <v>573377</v>
      </c>
      <c r="K518" s="970">
        <v>85590</v>
      </c>
      <c r="L518" s="972">
        <f t="shared" si="14"/>
        <v>1865072</v>
      </c>
      <c r="M518" s="970"/>
      <c r="N518" s="971">
        <v>113648</v>
      </c>
      <c r="O518" s="971">
        <v>0</v>
      </c>
      <c r="P518" s="970">
        <v>19082</v>
      </c>
      <c r="Q518" s="972">
        <f t="shared" si="15"/>
        <v>132730</v>
      </c>
      <c r="R518" s="970"/>
      <c r="S518" s="971">
        <v>1353010</v>
      </c>
      <c r="T518" s="973">
        <v>47697</v>
      </c>
      <c r="U518" s="973">
        <v>1400707</v>
      </c>
    </row>
    <row r="519" spans="1:21" x14ac:dyDescent="0.25">
      <c r="A519" s="967">
        <v>95611</v>
      </c>
      <c r="B519" s="968" t="s">
        <v>3155</v>
      </c>
      <c r="C519" s="969">
        <v>4.0660000000000002E-4</v>
      </c>
      <c r="D519" s="969">
        <v>3.9540000000000002E-4</v>
      </c>
      <c r="E519" s="986">
        <v>186384</v>
      </c>
      <c r="F519" s="970">
        <v>621172</v>
      </c>
      <c r="G519" s="970"/>
      <c r="H519" s="971">
        <v>35785</v>
      </c>
      <c r="I519" s="972">
        <v>150821</v>
      </c>
      <c r="J519" s="971">
        <v>88712</v>
      </c>
      <c r="K519" s="970">
        <v>8653</v>
      </c>
      <c r="L519" s="972">
        <f t="shared" ref="L519:L582" si="16">H519+I519+J519+K519</f>
        <v>283971</v>
      </c>
      <c r="M519" s="970"/>
      <c r="N519" s="971">
        <v>17583</v>
      </c>
      <c r="O519" s="971">
        <v>0</v>
      </c>
      <c r="P519" s="970">
        <v>3649</v>
      </c>
      <c r="Q519" s="972">
        <f t="shared" ref="Q519:Q582" si="17">N519+O519+P519</f>
        <v>21232</v>
      </c>
      <c r="R519" s="970"/>
      <c r="S519" s="971">
        <v>209336</v>
      </c>
      <c r="T519" s="973">
        <v>1212</v>
      </c>
      <c r="U519" s="973">
        <f>210547+1</f>
        <v>210548</v>
      </c>
    </row>
    <row r="520" spans="1:21" x14ac:dyDescent="0.25">
      <c r="A520" s="967">
        <v>95617</v>
      </c>
      <c r="B520" s="968" t="s">
        <v>3156</v>
      </c>
      <c r="C520" s="969">
        <v>1.6399999999999999E-5</v>
      </c>
      <c r="D520" s="969">
        <v>1.6500000000000001E-5</v>
      </c>
      <c r="E520" s="986">
        <v>8201</v>
      </c>
      <c r="F520" s="970">
        <v>25055</v>
      </c>
      <c r="G520" s="970"/>
      <c r="H520" s="971">
        <v>1443</v>
      </c>
      <c r="I520" s="972">
        <v>6084</v>
      </c>
      <c r="J520" s="971">
        <v>3578</v>
      </c>
      <c r="K520" s="970">
        <v>722</v>
      </c>
      <c r="L520" s="972">
        <f t="shared" si="16"/>
        <v>11827</v>
      </c>
      <c r="M520" s="970"/>
      <c r="N520" s="971">
        <v>709</v>
      </c>
      <c r="O520" s="971">
        <v>0</v>
      </c>
      <c r="P520" s="970">
        <v>1277</v>
      </c>
      <c r="Q520" s="972">
        <f t="shared" si="17"/>
        <v>1986</v>
      </c>
      <c r="R520" s="970"/>
      <c r="S520" s="971">
        <v>8443</v>
      </c>
      <c r="T520" s="973">
        <v>-659</v>
      </c>
      <c r="U520" s="973">
        <v>7784</v>
      </c>
    </row>
    <row r="521" spans="1:21" x14ac:dyDescent="0.25">
      <c r="A521" s="967">
        <v>95621</v>
      </c>
      <c r="B521" s="968" t="s">
        <v>3157</v>
      </c>
      <c r="C521" s="969">
        <v>4.5360000000000002E-4</v>
      </c>
      <c r="D521" s="969">
        <v>4.8020000000000002E-4</v>
      </c>
      <c r="E521" s="986">
        <v>227836</v>
      </c>
      <c r="F521" s="970">
        <v>692975</v>
      </c>
      <c r="G521" s="970"/>
      <c r="H521" s="971">
        <v>39922</v>
      </c>
      <c r="I521" s="972">
        <v>168255</v>
      </c>
      <c r="J521" s="971">
        <v>98966</v>
      </c>
      <c r="K521" s="970">
        <v>3166</v>
      </c>
      <c r="L521" s="972">
        <f t="shared" si="16"/>
        <v>310309</v>
      </c>
      <c r="M521" s="970"/>
      <c r="N521" s="971">
        <v>19616</v>
      </c>
      <c r="O521" s="971">
        <v>0</v>
      </c>
      <c r="P521" s="970">
        <v>4423</v>
      </c>
      <c r="Q521" s="972">
        <f t="shared" si="17"/>
        <v>24039</v>
      </c>
      <c r="R521" s="970"/>
      <c r="S521" s="971">
        <v>233533</v>
      </c>
      <c r="T521" s="973">
        <v>1481</v>
      </c>
      <c r="U521" s="973">
        <f>235015-1</f>
        <v>235014</v>
      </c>
    </row>
    <row r="522" spans="1:21" x14ac:dyDescent="0.25">
      <c r="A522" s="967">
        <v>95701</v>
      </c>
      <c r="B522" s="968" t="s">
        <v>3158</v>
      </c>
      <c r="C522" s="969">
        <v>1.3747E-3</v>
      </c>
      <c r="D522" s="969">
        <v>1.291E-3</v>
      </c>
      <c r="E522" s="986">
        <v>600622</v>
      </c>
      <c r="F522" s="970">
        <v>2100161</v>
      </c>
      <c r="G522" s="970"/>
      <c r="H522" s="971">
        <v>120989</v>
      </c>
      <c r="I522" s="972">
        <v>509922</v>
      </c>
      <c r="J522" s="971">
        <v>299932</v>
      </c>
      <c r="K522" s="970">
        <v>62898</v>
      </c>
      <c r="L522" s="972">
        <f t="shared" si="16"/>
        <v>993741</v>
      </c>
      <c r="M522" s="970"/>
      <c r="N522" s="971">
        <v>59449</v>
      </c>
      <c r="O522" s="971">
        <v>0</v>
      </c>
      <c r="P522" s="970">
        <v>0</v>
      </c>
      <c r="Q522" s="972">
        <f t="shared" si="17"/>
        <v>59449</v>
      </c>
      <c r="R522" s="970"/>
      <c r="S522" s="971">
        <v>707756</v>
      </c>
      <c r="T522" s="973">
        <v>28646</v>
      </c>
      <c r="U522" s="973">
        <v>736402</v>
      </c>
    </row>
    <row r="523" spans="1:21" x14ac:dyDescent="0.25">
      <c r="A523" s="967">
        <v>95711</v>
      </c>
      <c r="B523" s="968" t="s">
        <v>3159</v>
      </c>
      <c r="C523" s="969">
        <v>1.394E-4</v>
      </c>
      <c r="D523" s="969">
        <v>1.382E-4</v>
      </c>
      <c r="E523" s="986">
        <v>55785</v>
      </c>
      <c r="F523" s="970">
        <v>212965</v>
      </c>
      <c r="G523" s="970"/>
      <c r="H523" s="971">
        <v>12269</v>
      </c>
      <c r="I523" s="972">
        <v>51708</v>
      </c>
      <c r="J523" s="971">
        <v>30414</v>
      </c>
      <c r="K523" s="970">
        <v>6056</v>
      </c>
      <c r="L523" s="972">
        <f t="shared" si="16"/>
        <v>100447</v>
      </c>
      <c r="M523" s="970"/>
      <c r="N523" s="971">
        <v>6028</v>
      </c>
      <c r="O523" s="971">
        <v>0</v>
      </c>
      <c r="P523" s="970">
        <v>5836</v>
      </c>
      <c r="Q523" s="972">
        <f t="shared" si="17"/>
        <v>11864</v>
      </c>
      <c r="R523" s="970"/>
      <c r="S523" s="971">
        <v>71769</v>
      </c>
      <c r="T523" s="973">
        <v>1663</v>
      </c>
      <c r="U523" s="973">
        <v>73432</v>
      </c>
    </row>
    <row r="524" spans="1:21" x14ac:dyDescent="0.25">
      <c r="A524" s="967">
        <v>95721</v>
      </c>
      <c r="B524" s="968" t="s">
        <v>3160</v>
      </c>
      <c r="C524" s="969">
        <v>6.7600000000000003E-5</v>
      </c>
      <c r="D524" s="969">
        <v>6.6199999999999996E-5</v>
      </c>
      <c r="E524" s="986">
        <v>25093</v>
      </c>
      <c r="F524" s="970">
        <v>103274</v>
      </c>
      <c r="G524" s="970"/>
      <c r="H524" s="971">
        <v>5950</v>
      </c>
      <c r="I524" s="972">
        <v>25075</v>
      </c>
      <c r="J524" s="971">
        <v>14749</v>
      </c>
      <c r="K524" s="970">
        <v>0</v>
      </c>
      <c r="L524" s="972">
        <f t="shared" si="16"/>
        <v>45774</v>
      </c>
      <c r="M524" s="970"/>
      <c r="N524" s="971">
        <v>2923</v>
      </c>
      <c r="O524" s="971">
        <v>0</v>
      </c>
      <c r="P524" s="970">
        <v>9622</v>
      </c>
      <c r="Q524" s="972">
        <f t="shared" si="17"/>
        <v>12545</v>
      </c>
      <c r="R524" s="970"/>
      <c r="S524" s="971">
        <v>34803</v>
      </c>
      <c r="T524" s="973">
        <v>-4619</v>
      </c>
      <c r="U524" s="973">
        <f>30185-1</f>
        <v>30184</v>
      </c>
    </row>
    <row r="525" spans="1:21" x14ac:dyDescent="0.25">
      <c r="A525" s="967">
        <v>95733</v>
      </c>
      <c r="B525" s="968" t="s">
        <v>3161</v>
      </c>
      <c r="C525" s="969">
        <v>1.5400000000000002E-5</v>
      </c>
      <c r="D525" s="969">
        <v>1.56E-5</v>
      </c>
      <c r="E525" s="986">
        <v>6898</v>
      </c>
      <c r="F525" s="970">
        <v>23527</v>
      </c>
      <c r="G525" s="970"/>
      <c r="H525" s="971">
        <v>1355</v>
      </c>
      <c r="I525" s="972">
        <v>5712</v>
      </c>
      <c r="J525" s="971">
        <v>3360</v>
      </c>
      <c r="K525" s="970">
        <v>581</v>
      </c>
      <c r="L525" s="972">
        <f t="shared" si="16"/>
        <v>11008</v>
      </c>
      <c r="M525" s="970"/>
      <c r="N525" s="971">
        <v>666</v>
      </c>
      <c r="O525" s="971">
        <v>0</v>
      </c>
      <c r="P525" s="970">
        <v>464</v>
      </c>
      <c r="Q525" s="972">
        <f t="shared" si="17"/>
        <v>1130</v>
      </c>
      <c r="R525" s="970"/>
      <c r="S525" s="971">
        <v>7929</v>
      </c>
      <c r="T525" s="973">
        <v>209</v>
      </c>
      <c r="U525" s="973">
        <v>8138</v>
      </c>
    </row>
    <row r="526" spans="1:21" x14ac:dyDescent="0.25">
      <c r="A526" s="967">
        <v>95801</v>
      </c>
      <c r="B526" s="968" t="s">
        <v>3162</v>
      </c>
      <c r="C526" s="969">
        <v>9.6310000000000005E-4</v>
      </c>
      <c r="D526" s="969">
        <v>8.9349999999999998E-4</v>
      </c>
      <c r="E526" s="986">
        <v>449779</v>
      </c>
      <c r="F526" s="970">
        <v>1471350</v>
      </c>
      <c r="G526" s="970"/>
      <c r="H526" s="971">
        <v>84763</v>
      </c>
      <c r="I526" s="972">
        <v>357246</v>
      </c>
      <c r="J526" s="971">
        <v>210129</v>
      </c>
      <c r="K526" s="970">
        <v>62205</v>
      </c>
      <c r="L526" s="972">
        <f t="shared" si="16"/>
        <v>714343</v>
      </c>
      <c r="M526" s="970"/>
      <c r="N526" s="971">
        <v>41649</v>
      </c>
      <c r="O526" s="971">
        <v>0</v>
      </c>
      <c r="P526" s="970">
        <v>4103</v>
      </c>
      <c r="Q526" s="972">
        <f t="shared" si="17"/>
        <v>45752</v>
      </c>
      <c r="R526" s="970"/>
      <c r="S526" s="971">
        <v>495846</v>
      </c>
      <c r="T526" s="973">
        <v>14399</v>
      </c>
      <c r="U526" s="973">
        <v>510245</v>
      </c>
    </row>
    <row r="527" spans="1:21" x14ac:dyDescent="0.25">
      <c r="A527" s="967">
        <v>95802</v>
      </c>
      <c r="B527" s="968" t="s">
        <v>3163</v>
      </c>
      <c r="C527" s="969">
        <v>6.1E-6</v>
      </c>
      <c r="D527" s="969">
        <v>6.8000000000000001E-6</v>
      </c>
      <c r="E527" s="986">
        <v>5124</v>
      </c>
      <c r="F527" s="970">
        <v>9319</v>
      </c>
      <c r="G527" s="970"/>
      <c r="H527" s="971">
        <v>537</v>
      </c>
      <c r="I527" s="972">
        <v>2263</v>
      </c>
      <c r="J527" s="971">
        <v>1331</v>
      </c>
      <c r="K527" s="970">
        <v>3297</v>
      </c>
      <c r="L527" s="972">
        <f t="shared" si="16"/>
        <v>7428</v>
      </c>
      <c r="M527" s="970"/>
      <c r="N527" s="971">
        <v>264</v>
      </c>
      <c r="O527" s="971">
        <v>0</v>
      </c>
      <c r="P527" s="970">
        <v>1248</v>
      </c>
      <c r="Q527" s="972">
        <f t="shared" si="17"/>
        <v>1512</v>
      </c>
      <c r="R527" s="970"/>
      <c r="S527" s="971">
        <v>3141</v>
      </c>
      <c r="T527" s="973">
        <v>-81</v>
      </c>
      <c r="U527" s="973">
        <v>3060</v>
      </c>
    </row>
    <row r="528" spans="1:21" x14ac:dyDescent="0.25">
      <c r="A528" s="967">
        <v>95804</v>
      </c>
      <c r="B528" s="968" t="s">
        <v>3164</v>
      </c>
      <c r="C528" s="969">
        <v>2.19E-5</v>
      </c>
      <c r="D528" s="969">
        <v>1.63E-5</v>
      </c>
      <c r="E528" s="986">
        <v>7566</v>
      </c>
      <c r="F528" s="970">
        <v>33457</v>
      </c>
      <c r="G528" s="970"/>
      <c r="H528" s="971">
        <v>1927</v>
      </c>
      <c r="I528" s="972">
        <v>8123</v>
      </c>
      <c r="J528" s="971">
        <v>4778</v>
      </c>
      <c r="K528" s="970">
        <v>3631</v>
      </c>
      <c r="L528" s="972">
        <f t="shared" si="16"/>
        <v>18459</v>
      </c>
      <c r="M528" s="970"/>
      <c r="N528" s="971">
        <v>947</v>
      </c>
      <c r="O528" s="971">
        <v>0</v>
      </c>
      <c r="P528" s="970">
        <v>0</v>
      </c>
      <c r="Q528" s="972">
        <f t="shared" si="17"/>
        <v>947</v>
      </c>
      <c r="R528" s="970"/>
      <c r="S528" s="971">
        <v>11275</v>
      </c>
      <c r="T528" s="973">
        <v>1628</v>
      </c>
      <c r="U528" s="973">
        <f>12904-1</f>
        <v>12903</v>
      </c>
    </row>
    <row r="529" spans="1:21" x14ac:dyDescent="0.25">
      <c r="A529" s="967">
        <v>95811</v>
      </c>
      <c r="B529" s="968" t="s">
        <v>3165</v>
      </c>
      <c r="C529" s="969">
        <v>5.3129999999999996E-4</v>
      </c>
      <c r="D529" s="969">
        <v>5.3410000000000003E-4</v>
      </c>
      <c r="E529" s="986">
        <v>243909</v>
      </c>
      <c r="F529" s="970">
        <v>811679</v>
      </c>
      <c r="G529" s="970"/>
      <c r="H529" s="971">
        <v>46760</v>
      </c>
      <c r="I529" s="972">
        <v>197076</v>
      </c>
      <c r="J529" s="971">
        <v>115919</v>
      </c>
      <c r="K529" s="970">
        <v>1678</v>
      </c>
      <c r="L529" s="972">
        <f t="shared" si="16"/>
        <v>361433</v>
      </c>
      <c r="M529" s="970"/>
      <c r="N529" s="971">
        <v>22976</v>
      </c>
      <c r="O529" s="971">
        <v>0</v>
      </c>
      <c r="P529" s="970">
        <v>5329</v>
      </c>
      <c r="Q529" s="972">
        <f t="shared" si="17"/>
        <v>28305</v>
      </c>
      <c r="R529" s="970"/>
      <c r="S529" s="971">
        <v>273537</v>
      </c>
      <c r="T529" s="973">
        <v>-1501</v>
      </c>
      <c r="U529" s="973">
        <f>272035+1</f>
        <v>272036</v>
      </c>
    </row>
    <row r="530" spans="1:21" x14ac:dyDescent="0.25">
      <c r="A530" s="967">
        <v>95813</v>
      </c>
      <c r="B530" s="968" t="s">
        <v>3166</v>
      </c>
      <c r="C530" s="969">
        <v>4.88E-5</v>
      </c>
      <c r="D530" s="969">
        <v>4.4400000000000002E-5</v>
      </c>
      <c r="E530" s="986">
        <v>63299</v>
      </c>
      <c r="F530" s="970">
        <v>74553</v>
      </c>
      <c r="G530" s="970"/>
      <c r="H530" s="971">
        <v>4295</v>
      </c>
      <c r="I530" s="972">
        <v>18101</v>
      </c>
      <c r="J530" s="971">
        <v>10647</v>
      </c>
      <c r="K530" s="970">
        <v>72000</v>
      </c>
      <c r="L530" s="972">
        <f t="shared" si="16"/>
        <v>105043</v>
      </c>
      <c r="M530" s="970"/>
      <c r="N530" s="971">
        <v>2110</v>
      </c>
      <c r="O530" s="971">
        <v>0</v>
      </c>
      <c r="P530" s="970">
        <v>0</v>
      </c>
      <c r="Q530" s="972">
        <f t="shared" si="17"/>
        <v>2110</v>
      </c>
      <c r="R530" s="970"/>
      <c r="S530" s="971">
        <v>25124</v>
      </c>
      <c r="T530" s="973">
        <v>24457</v>
      </c>
      <c r="U530" s="973">
        <v>49581</v>
      </c>
    </row>
    <row r="531" spans="1:21" x14ac:dyDescent="0.25">
      <c r="A531" s="967">
        <v>95821</v>
      </c>
      <c r="B531" s="968" t="s">
        <v>3167</v>
      </c>
      <c r="C531" s="969">
        <v>0</v>
      </c>
      <c r="D531" s="969">
        <v>1.7E-6</v>
      </c>
      <c r="E531" s="986">
        <v>610</v>
      </c>
      <c r="F531" s="970">
        <v>0</v>
      </c>
      <c r="G531" s="970"/>
      <c r="H531" s="971">
        <v>0</v>
      </c>
      <c r="I531" s="972">
        <v>0</v>
      </c>
      <c r="J531" s="971">
        <v>0</v>
      </c>
      <c r="K531" s="970">
        <v>1293</v>
      </c>
      <c r="L531" s="972">
        <f t="shared" si="16"/>
        <v>1293</v>
      </c>
      <c r="M531" s="970"/>
      <c r="N531" s="971">
        <v>0</v>
      </c>
      <c r="O531" s="971">
        <v>0</v>
      </c>
      <c r="P531" s="970">
        <v>652</v>
      </c>
      <c r="Q531" s="972">
        <f t="shared" si="17"/>
        <v>652</v>
      </c>
      <c r="R531" s="970"/>
      <c r="S531" s="971">
        <v>0</v>
      </c>
      <c r="T531" s="973">
        <v>460</v>
      </c>
      <c r="U531" s="973">
        <v>460</v>
      </c>
    </row>
    <row r="532" spans="1:21" x14ac:dyDescent="0.25">
      <c r="A532" s="967">
        <v>95831</v>
      </c>
      <c r="B532" s="968" t="s">
        <v>3168</v>
      </c>
      <c r="C532" s="969">
        <v>1.6799999999999998E-5</v>
      </c>
      <c r="D532" s="969">
        <v>1.36E-5</v>
      </c>
      <c r="E532" s="986">
        <v>22034</v>
      </c>
      <c r="F532" s="970">
        <v>25666</v>
      </c>
      <c r="G532" s="970"/>
      <c r="H532" s="971">
        <v>1479</v>
      </c>
      <c r="I532" s="972">
        <v>6232</v>
      </c>
      <c r="J532" s="971">
        <v>3665</v>
      </c>
      <c r="K532" s="970">
        <v>23962</v>
      </c>
      <c r="L532" s="972">
        <f t="shared" si="16"/>
        <v>35338</v>
      </c>
      <c r="M532" s="970"/>
      <c r="N532" s="971">
        <v>727</v>
      </c>
      <c r="O532" s="971">
        <v>0</v>
      </c>
      <c r="P532" s="970">
        <v>0</v>
      </c>
      <c r="Q532" s="972">
        <f t="shared" si="17"/>
        <v>727</v>
      </c>
      <c r="R532" s="970"/>
      <c r="S532" s="971">
        <v>8649</v>
      </c>
      <c r="T532" s="973">
        <v>8068</v>
      </c>
      <c r="U532" s="973">
        <v>16717</v>
      </c>
    </row>
    <row r="533" spans="1:21" x14ac:dyDescent="0.25">
      <c r="A533" s="967">
        <v>95841</v>
      </c>
      <c r="B533" s="968" t="s">
        <v>3169</v>
      </c>
      <c r="C533" s="969">
        <v>2.0999999999999999E-5</v>
      </c>
      <c r="D533" s="969">
        <v>2.1100000000000001E-5</v>
      </c>
      <c r="E533" s="986">
        <v>10805</v>
      </c>
      <c r="F533" s="970">
        <v>32082</v>
      </c>
      <c r="G533" s="970"/>
      <c r="H533" s="971">
        <v>1848</v>
      </c>
      <c r="I533" s="972">
        <v>7790</v>
      </c>
      <c r="J533" s="971">
        <v>4582</v>
      </c>
      <c r="K533" s="970">
        <v>2103</v>
      </c>
      <c r="L533" s="972">
        <f t="shared" si="16"/>
        <v>16323</v>
      </c>
      <c r="M533" s="970"/>
      <c r="N533" s="971">
        <v>908</v>
      </c>
      <c r="O533" s="971">
        <v>0</v>
      </c>
      <c r="P533" s="970">
        <v>0</v>
      </c>
      <c r="Q533" s="972">
        <f t="shared" si="17"/>
        <v>908</v>
      </c>
      <c r="R533" s="970"/>
      <c r="S533" s="971">
        <v>10812</v>
      </c>
      <c r="T533" s="973">
        <v>817</v>
      </c>
      <c r="U533" s="973">
        <v>11629</v>
      </c>
    </row>
    <row r="534" spans="1:21" x14ac:dyDescent="0.25">
      <c r="A534" s="967">
        <v>95851</v>
      </c>
      <c r="B534" s="968" t="s">
        <v>3170</v>
      </c>
      <c r="C534" s="969">
        <v>1.327E-4</v>
      </c>
      <c r="D534" s="969">
        <v>1.3009999999999999E-4</v>
      </c>
      <c r="E534" s="986">
        <v>142459</v>
      </c>
      <c r="F534" s="970">
        <v>202729</v>
      </c>
      <c r="G534" s="970"/>
      <c r="H534" s="971">
        <v>11679</v>
      </c>
      <c r="I534" s="972">
        <v>49223</v>
      </c>
      <c r="J534" s="971">
        <v>28952</v>
      </c>
      <c r="K534" s="970">
        <v>130637</v>
      </c>
      <c r="L534" s="972">
        <f t="shared" si="16"/>
        <v>220491</v>
      </c>
      <c r="M534" s="970"/>
      <c r="N534" s="971">
        <v>5739</v>
      </c>
      <c r="O534" s="971">
        <v>0</v>
      </c>
      <c r="P534" s="970">
        <v>4180</v>
      </c>
      <c r="Q534" s="972">
        <f t="shared" si="17"/>
        <v>9919</v>
      </c>
      <c r="R534" s="970"/>
      <c r="S534" s="971">
        <v>68320</v>
      </c>
      <c r="T534" s="973">
        <v>39831</v>
      </c>
      <c r="U534" s="973">
        <v>108151</v>
      </c>
    </row>
    <row r="535" spans="1:21" x14ac:dyDescent="0.25">
      <c r="A535" s="967">
        <v>95853</v>
      </c>
      <c r="B535" s="968" t="s">
        <v>3171</v>
      </c>
      <c r="C535" s="969">
        <v>2.69E-5</v>
      </c>
      <c r="D535" s="969">
        <v>2.4000000000000001E-5</v>
      </c>
      <c r="E535" s="986">
        <v>14344</v>
      </c>
      <c r="F535" s="970">
        <v>41096</v>
      </c>
      <c r="G535" s="970"/>
      <c r="H535" s="971">
        <v>2367</v>
      </c>
      <c r="I535" s="972">
        <v>9978</v>
      </c>
      <c r="J535" s="971">
        <v>5869</v>
      </c>
      <c r="K535" s="970">
        <v>8793</v>
      </c>
      <c r="L535" s="972">
        <f t="shared" si="16"/>
        <v>27007</v>
      </c>
      <c r="M535" s="970"/>
      <c r="N535" s="971">
        <v>1163</v>
      </c>
      <c r="O535" s="971">
        <v>0</v>
      </c>
      <c r="P535" s="970">
        <v>0</v>
      </c>
      <c r="Q535" s="972">
        <f t="shared" si="17"/>
        <v>1163</v>
      </c>
      <c r="R535" s="970"/>
      <c r="S535" s="971">
        <v>13849</v>
      </c>
      <c r="T535" s="973">
        <v>3675</v>
      </c>
      <c r="U535" s="973">
        <f>17525-1</f>
        <v>17524</v>
      </c>
    </row>
    <row r="536" spans="1:21" x14ac:dyDescent="0.25">
      <c r="A536" s="967">
        <v>95901</v>
      </c>
      <c r="B536" s="968" t="s">
        <v>3172</v>
      </c>
      <c r="C536" s="969">
        <v>1.8714999999999999E-3</v>
      </c>
      <c r="D536" s="969">
        <v>1.8266999999999999E-3</v>
      </c>
      <c r="E536" s="986">
        <v>815702</v>
      </c>
      <c r="F536" s="970">
        <v>2859134</v>
      </c>
      <c r="G536" s="970"/>
      <c r="H536" s="971">
        <v>164713</v>
      </c>
      <c r="I536" s="972">
        <v>694201</v>
      </c>
      <c r="J536" s="971">
        <v>408324</v>
      </c>
      <c r="K536" s="970">
        <v>36652</v>
      </c>
      <c r="L536" s="972">
        <f t="shared" si="16"/>
        <v>1303890</v>
      </c>
      <c r="M536" s="970"/>
      <c r="N536" s="971">
        <v>80933</v>
      </c>
      <c r="O536" s="971">
        <v>0</v>
      </c>
      <c r="P536" s="970">
        <v>13191</v>
      </c>
      <c r="Q536" s="972">
        <f t="shared" si="17"/>
        <v>94124</v>
      </c>
      <c r="R536" s="970"/>
      <c r="S536" s="971">
        <v>963531</v>
      </c>
      <c r="T536" s="973">
        <v>28466</v>
      </c>
      <c r="U536" s="973">
        <v>991997</v>
      </c>
    </row>
    <row r="537" spans="1:21" x14ac:dyDescent="0.25">
      <c r="A537" s="967">
        <v>95908</v>
      </c>
      <c r="B537" s="968" t="s">
        <v>3173</v>
      </c>
      <c r="C537" s="969">
        <v>7.2200000000000007E-5</v>
      </c>
      <c r="D537" s="969">
        <v>7.2000000000000002E-5</v>
      </c>
      <c r="E537" s="986">
        <v>24598</v>
      </c>
      <c r="F537" s="970">
        <v>110302</v>
      </c>
      <c r="G537" s="970"/>
      <c r="H537" s="971">
        <v>6354</v>
      </c>
      <c r="I537" s="972">
        <v>26781</v>
      </c>
      <c r="J537" s="971">
        <v>15753</v>
      </c>
      <c r="K537" s="970">
        <v>0</v>
      </c>
      <c r="L537" s="972">
        <f t="shared" si="16"/>
        <v>48888</v>
      </c>
      <c r="M537" s="970"/>
      <c r="N537" s="971">
        <v>3122</v>
      </c>
      <c r="O537" s="971">
        <v>0</v>
      </c>
      <c r="P537" s="970">
        <v>22164</v>
      </c>
      <c r="Q537" s="972">
        <f t="shared" si="17"/>
        <v>25286</v>
      </c>
      <c r="R537" s="970"/>
      <c r="S537" s="971">
        <v>37172</v>
      </c>
      <c r="T537" s="973">
        <v>-10736</v>
      </c>
      <c r="U537" s="973">
        <v>26436</v>
      </c>
    </row>
    <row r="538" spans="1:21" x14ac:dyDescent="0.25">
      <c r="A538" s="967">
        <v>95911</v>
      </c>
      <c r="B538" s="968" t="s">
        <v>3174</v>
      </c>
      <c r="C538" s="969">
        <v>5.7450000000000003E-4</v>
      </c>
      <c r="D538" s="969">
        <v>5.6979999999999997E-4</v>
      </c>
      <c r="E538" s="986">
        <v>244845</v>
      </c>
      <c r="F538" s="970">
        <v>877677</v>
      </c>
      <c r="G538" s="970"/>
      <c r="H538" s="971">
        <v>50562</v>
      </c>
      <c r="I538" s="972">
        <v>213101</v>
      </c>
      <c r="J538" s="971">
        <v>125344</v>
      </c>
      <c r="K538" s="970">
        <v>2898</v>
      </c>
      <c r="L538" s="972">
        <f t="shared" si="16"/>
        <v>391905</v>
      </c>
      <c r="M538" s="970"/>
      <c r="N538" s="971">
        <v>24844</v>
      </c>
      <c r="O538" s="971">
        <v>0</v>
      </c>
      <c r="P538" s="970">
        <v>40952</v>
      </c>
      <c r="Q538" s="972">
        <f t="shared" si="17"/>
        <v>65796</v>
      </c>
      <c r="R538" s="970"/>
      <c r="S538" s="971">
        <v>295778</v>
      </c>
      <c r="T538" s="973">
        <v>-14076</v>
      </c>
      <c r="U538" s="973">
        <v>281702</v>
      </c>
    </row>
    <row r="539" spans="1:21" x14ac:dyDescent="0.25">
      <c r="A539" s="967">
        <v>95917</v>
      </c>
      <c r="B539" s="968" t="s">
        <v>3175</v>
      </c>
      <c r="C539" s="969">
        <v>2.6699999999999998E-5</v>
      </c>
      <c r="D539" s="969">
        <v>2.2399999999999999E-5</v>
      </c>
      <c r="E539" s="986">
        <v>11001</v>
      </c>
      <c r="F539" s="970">
        <v>40790</v>
      </c>
      <c r="G539" s="970"/>
      <c r="H539" s="971">
        <v>2350</v>
      </c>
      <c r="I539" s="972">
        <v>9904</v>
      </c>
      <c r="J539" s="971">
        <v>5825</v>
      </c>
      <c r="K539" s="970">
        <v>4378</v>
      </c>
      <c r="L539" s="972">
        <f t="shared" si="16"/>
        <v>22457</v>
      </c>
      <c r="M539" s="970"/>
      <c r="N539" s="971">
        <v>1155</v>
      </c>
      <c r="O539" s="971">
        <v>0</v>
      </c>
      <c r="P539" s="970">
        <v>501</v>
      </c>
      <c r="Q539" s="972">
        <f t="shared" si="17"/>
        <v>1656</v>
      </c>
      <c r="R539" s="970"/>
      <c r="S539" s="971">
        <v>13746</v>
      </c>
      <c r="T539" s="973">
        <v>2216</v>
      </c>
      <c r="U539" s="973">
        <v>15962</v>
      </c>
    </row>
    <row r="540" spans="1:21" x14ac:dyDescent="0.25">
      <c r="A540" s="967">
        <v>95921</v>
      </c>
      <c r="B540" s="968" t="s">
        <v>3176</v>
      </c>
      <c r="C540" s="969">
        <v>4.7500000000000003E-5</v>
      </c>
      <c r="D540" s="969">
        <v>4.4700000000000002E-5</v>
      </c>
      <c r="E540" s="986">
        <v>19772</v>
      </c>
      <c r="F540" s="970">
        <v>72567</v>
      </c>
      <c r="G540" s="970"/>
      <c r="H540" s="971">
        <v>4181</v>
      </c>
      <c r="I540" s="972">
        <v>17619</v>
      </c>
      <c r="J540" s="971">
        <v>10364</v>
      </c>
      <c r="K540" s="970">
        <v>3925</v>
      </c>
      <c r="L540" s="972">
        <f t="shared" si="16"/>
        <v>36089</v>
      </c>
      <c r="M540" s="970"/>
      <c r="N540" s="971">
        <v>2054</v>
      </c>
      <c r="O540" s="971">
        <v>0</v>
      </c>
      <c r="P540" s="970">
        <v>948</v>
      </c>
      <c r="Q540" s="972">
        <f t="shared" si="17"/>
        <v>3002</v>
      </c>
      <c r="R540" s="970"/>
      <c r="S540" s="971">
        <v>24455</v>
      </c>
      <c r="T540" s="973">
        <v>526</v>
      </c>
      <c r="U540" s="973">
        <v>24981</v>
      </c>
    </row>
    <row r="541" spans="1:21" x14ac:dyDescent="0.25">
      <c r="A541" s="967">
        <v>96001</v>
      </c>
      <c r="B541" s="968" t="s">
        <v>3177</v>
      </c>
      <c r="C541" s="969">
        <v>4.4386399999999999E-2</v>
      </c>
      <c r="D541" s="969">
        <v>4.43519E-2</v>
      </c>
      <c r="E541" s="986">
        <v>20012605</v>
      </c>
      <c r="F541" s="970">
        <v>67810124</v>
      </c>
      <c r="G541" s="970"/>
      <c r="H541" s="971">
        <v>3906491</v>
      </c>
      <c r="I541" s="972">
        <v>16464380</v>
      </c>
      <c r="J541" s="971">
        <v>9684225</v>
      </c>
      <c r="K541" s="970">
        <v>1457342</v>
      </c>
      <c r="L541" s="972">
        <f t="shared" si="16"/>
        <v>31512438</v>
      </c>
      <c r="M541" s="970"/>
      <c r="N541" s="971">
        <v>1919490</v>
      </c>
      <c r="O541" s="971">
        <v>0</v>
      </c>
      <c r="P541" s="970">
        <v>477903</v>
      </c>
      <c r="Q541" s="972">
        <f t="shared" si="17"/>
        <v>2397393</v>
      </c>
      <c r="R541" s="970"/>
      <c r="S541" s="971">
        <v>22852072</v>
      </c>
      <c r="T541" s="973">
        <v>1208760</v>
      </c>
      <c r="U541" s="973">
        <v>24060832</v>
      </c>
    </row>
    <row r="542" spans="1:21" x14ac:dyDescent="0.25">
      <c r="A542" s="967">
        <v>96003</v>
      </c>
      <c r="B542" s="968" t="s">
        <v>3178</v>
      </c>
      <c r="C542" s="969">
        <v>1.6523E-3</v>
      </c>
      <c r="D542" s="969">
        <v>1.7309000000000001E-3</v>
      </c>
      <c r="E542" s="986">
        <v>743373</v>
      </c>
      <c r="F542" s="970">
        <v>2524257</v>
      </c>
      <c r="G542" s="970"/>
      <c r="H542" s="971">
        <v>145421</v>
      </c>
      <c r="I542" s="972">
        <v>612893</v>
      </c>
      <c r="J542" s="971">
        <v>360499</v>
      </c>
      <c r="K542" s="970">
        <v>3089</v>
      </c>
      <c r="L542" s="972">
        <f t="shared" si="16"/>
        <v>1121902</v>
      </c>
      <c r="M542" s="970"/>
      <c r="N542" s="971">
        <v>71454</v>
      </c>
      <c r="O542" s="971">
        <v>0</v>
      </c>
      <c r="P542" s="970">
        <v>135978</v>
      </c>
      <c r="Q542" s="972">
        <f t="shared" si="17"/>
        <v>207432</v>
      </c>
      <c r="R542" s="970"/>
      <c r="S542" s="971">
        <v>850677</v>
      </c>
      <c r="T542" s="973">
        <v>-56030</v>
      </c>
      <c r="U542" s="973">
        <v>794647</v>
      </c>
    </row>
    <row r="543" spans="1:21" x14ac:dyDescent="0.25">
      <c r="A543" s="967">
        <v>96004</v>
      </c>
      <c r="B543" s="968" t="s">
        <v>3179</v>
      </c>
      <c r="C543" s="969">
        <v>8.9439999999999995E-4</v>
      </c>
      <c r="D543" s="969">
        <v>8.7699999999999996E-4</v>
      </c>
      <c r="E543" s="986">
        <v>462352</v>
      </c>
      <c r="F543" s="970">
        <v>1366395</v>
      </c>
      <c r="G543" s="970"/>
      <c r="H543" s="971">
        <v>78717</v>
      </c>
      <c r="I543" s="972">
        <v>331762</v>
      </c>
      <c r="J543" s="971">
        <v>195140</v>
      </c>
      <c r="K543" s="970">
        <v>149546</v>
      </c>
      <c r="L543" s="972">
        <f t="shared" si="16"/>
        <v>755165</v>
      </c>
      <c r="M543" s="970"/>
      <c r="N543" s="971">
        <v>38678</v>
      </c>
      <c r="O543" s="971">
        <v>0</v>
      </c>
      <c r="P543" s="970">
        <v>0</v>
      </c>
      <c r="Q543" s="972">
        <f t="shared" si="17"/>
        <v>38678</v>
      </c>
      <c r="R543" s="970"/>
      <c r="S543" s="971">
        <v>460476</v>
      </c>
      <c r="T543" s="973">
        <v>65505</v>
      </c>
      <c r="U543" s="973">
        <f>525982-1</f>
        <v>525981</v>
      </c>
    </row>
    <row r="544" spans="1:21" x14ac:dyDescent="0.25">
      <c r="A544" s="967">
        <v>96005</v>
      </c>
      <c r="B544" s="968" t="s">
        <v>3180</v>
      </c>
      <c r="C544" s="969">
        <v>2.6733999999999998E-3</v>
      </c>
      <c r="D544" s="969">
        <v>2.6457E-3</v>
      </c>
      <c r="E544" s="986">
        <v>1240290</v>
      </c>
      <c r="F544" s="970">
        <v>4084215</v>
      </c>
      <c r="G544" s="970"/>
      <c r="H544" s="971">
        <v>235289</v>
      </c>
      <c r="I544" s="972">
        <v>991653</v>
      </c>
      <c r="J544" s="971">
        <v>583282</v>
      </c>
      <c r="K544" s="970">
        <v>222285</v>
      </c>
      <c r="L544" s="972">
        <f t="shared" si="16"/>
        <v>2032509</v>
      </c>
      <c r="M544" s="970"/>
      <c r="N544" s="971">
        <v>115611</v>
      </c>
      <c r="O544" s="971">
        <v>0</v>
      </c>
      <c r="P544" s="970">
        <v>0</v>
      </c>
      <c r="Q544" s="972">
        <f t="shared" si="17"/>
        <v>115611</v>
      </c>
      <c r="R544" s="970"/>
      <c r="S544" s="971">
        <v>1376384</v>
      </c>
      <c r="T544" s="973">
        <v>159087</v>
      </c>
      <c r="U544" s="973">
        <v>1535471</v>
      </c>
    </row>
    <row r="545" spans="1:21" x14ac:dyDescent="0.25">
      <c r="A545" s="967">
        <v>96008</v>
      </c>
      <c r="B545" s="968" t="s">
        <v>3181</v>
      </c>
      <c r="C545" s="969">
        <v>5.9955E-3</v>
      </c>
      <c r="D545" s="969">
        <v>5.9388000000000002E-3</v>
      </c>
      <c r="E545" s="986">
        <v>2075076</v>
      </c>
      <c r="F545" s="970">
        <v>9159463</v>
      </c>
      <c r="G545" s="970"/>
      <c r="H545" s="971">
        <v>527670</v>
      </c>
      <c r="I545" s="972">
        <v>2223929</v>
      </c>
      <c r="J545" s="971">
        <v>1308098</v>
      </c>
      <c r="K545" s="970">
        <v>0</v>
      </c>
      <c r="L545" s="972">
        <f t="shared" si="16"/>
        <v>4059697</v>
      </c>
      <c r="M545" s="970"/>
      <c r="N545" s="971">
        <v>259275</v>
      </c>
      <c r="O545" s="971">
        <v>0</v>
      </c>
      <c r="P545" s="970">
        <v>767021</v>
      </c>
      <c r="Q545" s="972">
        <f t="shared" si="17"/>
        <v>1026296</v>
      </c>
      <c r="R545" s="970"/>
      <c r="S545" s="971">
        <v>3086747</v>
      </c>
      <c r="T545" s="973">
        <v>-274630</v>
      </c>
      <c r="U545" s="973">
        <v>2812117</v>
      </c>
    </row>
    <row r="546" spans="1:21" x14ac:dyDescent="0.25">
      <c r="A546" s="967">
        <v>96009</v>
      </c>
      <c r="B546" s="968" t="s">
        <v>3182</v>
      </c>
      <c r="C546" s="969">
        <v>3.7609999999999998E-4</v>
      </c>
      <c r="D546" s="969">
        <v>3.5980000000000002E-4</v>
      </c>
      <c r="E546" s="986">
        <v>192063</v>
      </c>
      <c r="F546" s="970">
        <v>574577</v>
      </c>
      <c r="G546" s="970"/>
      <c r="H546" s="971">
        <v>33101</v>
      </c>
      <c r="I546" s="972">
        <v>139508</v>
      </c>
      <c r="J546" s="971">
        <v>82057</v>
      </c>
      <c r="K546" s="970">
        <v>33181</v>
      </c>
      <c r="L546" s="972">
        <f t="shared" si="16"/>
        <v>287847</v>
      </c>
      <c r="M546" s="970"/>
      <c r="N546" s="971">
        <v>16264</v>
      </c>
      <c r="O546" s="971">
        <v>0</v>
      </c>
      <c r="P546" s="970">
        <v>2595</v>
      </c>
      <c r="Q546" s="972">
        <f t="shared" si="17"/>
        <v>18859</v>
      </c>
      <c r="R546" s="970"/>
      <c r="S546" s="971">
        <v>193633</v>
      </c>
      <c r="T546" s="973">
        <v>11508</v>
      </c>
      <c r="U546" s="973">
        <v>205141</v>
      </c>
    </row>
    <row r="547" spans="1:21" x14ac:dyDescent="0.25">
      <c r="A547" s="967">
        <v>96011</v>
      </c>
      <c r="B547" s="968" t="s">
        <v>3183</v>
      </c>
      <c r="C547" s="969">
        <v>6.1150400000000001E-2</v>
      </c>
      <c r="D547" s="969">
        <v>6.0489000000000001E-2</v>
      </c>
      <c r="E547" s="986">
        <v>28379211</v>
      </c>
      <c r="F547" s="970">
        <v>93420873</v>
      </c>
      <c r="G547" s="970"/>
      <c r="H547" s="971">
        <v>5381908</v>
      </c>
      <c r="I547" s="972">
        <v>22682701</v>
      </c>
      <c r="J547" s="971">
        <v>13341794</v>
      </c>
      <c r="K547" s="970">
        <v>796221</v>
      </c>
      <c r="L547" s="972">
        <f t="shared" si="16"/>
        <v>42202624</v>
      </c>
      <c r="M547" s="970"/>
      <c r="N547" s="971">
        <v>2644449</v>
      </c>
      <c r="O547" s="971">
        <v>0</v>
      </c>
      <c r="P547" s="970">
        <v>51460</v>
      </c>
      <c r="Q547" s="972">
        <f t="shared" si="17"/>
        <v>2695909</v>
      </c>
      <c r="R547" s="970"/>
      <c r="S547" s="971">
        <v>31482917</v>
      </c>
      <c r="T547" s="973">
        <v>212508</v>
      </c>
      <c r="U547" s="973">
        <v>31695425</v>
      </c>
    </row>
    <row r="548" spans="1:21" x14ac:dyDescent="0.25">
      <c r="A548" s="967">
        <v>96012</v>
      </c>
      <c r="B548" s="968" t="s">
        <v>3184</v>
      </c>
      <c r="C548" s="969">
        <v>2.4417000000000002E-3</v>
      </c>
      <c r="D548" s="969">
        <v>2.4095000000000002E-3</v>
      </c>
      <c r="E548" s="986">
        <v>1092788</v>
      </c>
      <c r="F548" s="970">
        <v>3730241</v>
      </c>
      <c r="G548" s="970"/>
      <c r="H548" s="971">
        <v>214896</v>
      </c>
      <c r="I548" s="972">
        <v>905707</v>
      </c>
      <c r="J548" s="971">
        <v>532730</v>
      </c>
      <c r="K548" s="970">
        <v>77080</v>
      </c>
      <c r="L548" s="972">
        <f t="shared" si="16"/>
        <v>1730413</v>
      </c>
      <c r="M548" s="970"/>
      <c r="N548" s="971">
        <v>105591</v>
      </c>
      <c r="O548" s="971">
        <v>0</v>
      </c>
      <c r="P548" s="970">
        <v>937</v>
      </c>
      <c r="Q548" s="972">
        <f t="shared" si="17"/>
        <v>106528</v>
      </c>
      <c r="R548" s="970"/>
      <c r="S548" s="971">
        <v>1257095</v>
      </c>
      <c r="T548" s="973">
        <v>35595</v>
      </c>
      <c r="U548" s="973">
        <v>1292690</v>
      </c>
    </row>
    <row r="549" spans="1:21" x14ac:dyDescent="0.25">
      <c r="A549" s="967">
        <v>96018</v>
      </c>
      <c r="B549" s="968" t="s">
        <v>3185</v>
      </c>
      <c r="C549" s="969">
        <v>4.3600000000000003E-5</v>
      </c>
      <c r="D549" s="969">
        <v>3.6199999999999999E-5</v>
      </c>
      <c r="E549" s="986">
        <v>18035</v>
      </c>
      <c r="F549" s="970">
        <v>66609</v>
      </c>
      <c r="G549" s="970"/>
      <c r="H549" s="971">
        <v>3837</v>
      </c>
      <c r="I549" s="972">
        <v>16173</v>
      </c>
      <c r="J549" s="971">
        <v>9513</v>
      </c>
      <c r="K549" s="970">
        <v>9704</v>
      </c>
      <c r="L549" s="972">
        <f t="shared" si="16"/>
        <v>39227</v>
      </c>
      <c r="M549" s="970"/>
      <c r="N549" s="971">
        <v>1885</v>
      </c>
      <c r="O549" s="971">
        <v>0</v>
      </c>
      <c r="P549" s="970">
        <v>0</v>
      </c>
      <c r="Q549" s="972">
        <f t="shared" si="17"/>
        <v>1885</v>
      </c>
      <c r="R549" s="970"/>
      <c r="S549" s="971">
        <v>22447</v>
      </c>
      <c r="T549" s="973">
        <v>5913</v>
      </c>
      <c r="U549" s="973">
        <v>28360</v>
      </c>
    </row>
    <row r="550" spans="1:21" x14ac:dyDescent="0.25">
      <c r="A550" s="967">
        <v>96021</v>
      </c>
      <c r="B550" s="968" t="s">
        <v>3186</v>
      </c>
      <c r="C550" s="969">
        <v>7.2090000000000001E-4</v>
      </c>
      <c r="D550" s="969">
        <v>8.5829999999999999E-4</v>
      </c>
      <c r="E550" s="986">
        <v>327690</v>
      </c>
      <c r="F550" s="970">
        <v>1101336</v>
      </c>
      <c r="G550" s="970"/>
      <c r="H550" s="971">
        <v>63447</v>
      </c>
      <c r="I550" s="972">
        <v>267406</v>
      </c>
      <c r="J550" s="971">
        <v>157286</v>
      </c>
      <c r="K550" s="970">
        <v>31959</v>
      </c>
      <c r="L550" s="972">
        <f t="shared" si="16"/>
        <v>520098</v>
      </c>
      <c r="M550" s="970"/>
      <c r="N550" s="971">
        <v>31175</v>
      </c>
      <c r="O550" s="971">
        <v>0</v>
      </c>
      <c r="P550" s="970">
        <v>119309</v>
      </c>
      <c r="Q550" s="972">
        <f t="shared" si="17"/>
        <v>150484</v>
      </c>
      <c r="R550" s="970"/>
      <c r="S550" s="971">
        <v>371151</v>
      </c>
      <c r="T550" s="973">
        <v>-13869</v>
      </c>
      <c r="U550" s="973">
        <v>357282</v>
      </c>
    </row>
    <row r="551" spans="1:21" x14ac:dyDescent="0.25">
      <c r="A551" s="967">
        <v>96031</v>
      </c>
      <c r="B551" s="968" t="s">
        <v>3187</v>
      </c>
      <c r="C551" s="969">
        <v>8.2580000000000001E-4</v>
      </c>
      <c r="D551" s="969">
        <v>9.0189999999999997E-4</v>
      </c>
      <c r="E551" s="986">
        <v>325476</v>
      </c>
      <c r="F551" s="970">
        <v>1261594</v>
      </c>
      <c r="G551" s="970"/>
      <c r="H551" s="971">
        <v>72679</v>
      </c>
      <c r="I551" s="972">
        <v>306317</v>
      </c>
      <c r="J551" s="971">
        <v>180173</v>
      </c>
      <c r="K551" s="970">
        <v>0</v>
      </c>
      <c r="L551" s="972">
        <f t="shared" si="16"/>
        <v>559169</v>
      </c>
      <c r="M551" s="970"/>
      <c r="N551" s="971">
        <v>35712</v>
      </c>
      <c r="O551" s="971">
        <v>0</v>
      </c>
      <c r="P551" s="970">
        <v>179263</v>
      </c>
      <c r="Q551" s="972">
        <f t="shared" si="17"/>
        <v>214975</v>
      </c>
      <c r="R551" s="970"/>
      <c r="S551" s="971">
        <v>425158</v>
      </c>
      <c r="T551" s="973">
        <v>-74461</v>
      </c>
      <c r="U551" s="973">
        <v>350697</v>
      </c>
    </row>
    <row r="552" spans="1:21" x14ac:dyDescent="0.25">
      <c r="A552" s="967">
        <v>96041</v>
      </c>
      <c r="B552" s="968" t="s">
        <v>3188</v>
      </c>
      <c r="C552" s="969">
        <v>1.7361E-3</v>
      </c>
      <c r="D552" s="969">
        <v>1.7323E-3</v>
      </c>
      <c r="E552" s="986">
        <v>721544</v>
      </c>
      <c r="F552" s="970">
        <v>2652280</v>
      </c>
      <c r="G552" s="970"/>
      <c r="H552" s="971">
        <v>152796</v>
      </c>
      <c r="I552" s="972">
        <v>643977</v>
      </c>
      <c r="J552" s="971">
        <v>378782</v>
      </c>
      <c r="K552" s="970">
        <v>0</v>
      </c>
      <c r="L552" s="972">
        <f t="shared" si="16"/>
        <v>1175555</v>
      </c>
      <c r="M552" s="970"/>
      <c r="N552" s="971">
        <v>75078</v>
      </c>
      <c r="O552" s="971">
        <v>0</v>
      </c>
      <c r="P552" s="970">
        <v>139404</v>
      </c>
      <c r="Q552" s="972">
        <f t="shared" si="17"/>
        <v>214482</v>
      </c>
      <c r="R552" s="970"/>
      <c r="S552" s="971">
        <v>893821</v>
      </c>
      <c r="T552" s="973">
        <v>-60075</v>
      </c>
      <c r="U552" s="973">
        <v>833746</v>
      </c>
    </row>
    <row r="553" spans="1:21" x14ac:dyDescent="0.25">
      <c r="A553" s="967">
        <v>96051</v>
      </c>
      <c r="B553" s="968" t="s">
        <v>3189</v>
      </c>
      <c r="C553" s="969">
        <v>1.0062000000000001E-3</v>
      </c>
      <c r="D553" s="969">
        <v>1.0258000000000001E-3</v>
      </c>
      <c r="E553" s="986">
        <v>418346</v>
      </c>
      <c r="F553" s="970">
        <v>1537195</v>
      </c>
      <c r="G553" s="970"/>
      <c r="H553" s="971">
        <v>88557</v>
      </c>
      <c r="I553" s="972">
        <v>373233</v>
      </c>
      <c r="J553" s="971">
        <v>219533</v>
      </c>
      <c r="K553" s="970">
        <v>0</v>
      </c>
      <c r="L553" s="972">
        <f t="shared" si="16"/>
        <v>681323</v>
      </c>
      <c r="M553" s="970"/>
      <c r="N553" s="971">
        <v>43513</v>
      </c>
      <c r="O553" s="971">
        <v>0</v>
      </c>
      <c r="P553" s="970">
        <v>109605</v>
      </c>
      <c r="Q553" s="972">
        <f t="shared" si="17"/>
        <v>153118</v>
      </c>
      <c r="R553" s="970"/>
      <c r="S553" s="971">
        <v>518036</v>
      </c>
      <c r="T553" s="973">
        <v>-44751</v>
      </c>
      <c r="U553" s="973">
        <v>473285</v>
      </c>
    </row>
    <row r="554" spans="1:21" x14ac:dyDescent="0.25">
      <c r="A554" s="967">
        <v>96061</v>
      </c>
      <c r="B554" s="968" t="s">
        <v>3190</v>
      </c>
      <c r="C554" s="969">
        <v>3.3950000000000001E-4</v>
      </c>
      <c r="D554" s="969">
        <v>3.0800000000000001E-4</v>
      </c>
      <c r="E554" s="986">
        <v>154988</v>
      </c>
      <c r="F554" s="970">
        <v>518662</v>
      </c>
      <c r="G554" s="970"/>
      <c r="H554" s="971">
        <v>29880</v>
      </c>
      <c r="I554" s="972">
        <v>125932</v>
      </c>
      <c r="J554" s="971">
        <v>74072</v>
      </c>
      <c r="K554" s="970">
        <v>21868</v>
      </c>
      <c r="L554" s="972">
        <f t="shared" si="16"/>
        <v>251752</v>
      </c>
      <c r="M554" s="970"/>
      <c r="N554" s="971">
        <v>14682</v>
      </c>
      <c r="O554" s="971">
        <v>0</v>
      </c>
      <c r="P554" s="970">
        <v>7447</v>
      </c>
      <c r="Q554" s="972">
        <f t="shared" si="17"/>
        <v>22129</v>
      </c>
      <c r="R554" s="970"/>
      <c r="S554" s="971">
        <v>174790</v>
      </c>
      <c r="T554" s="973">
        <v>2241</v>
      </c>
      <c r="U554" s="973">
        <v>177031</v>
      </c>
    </row>
    <row r="555" spans="1:21" x14ac:dyDescent="0.25">
      <c r="A555" s="967">
        <v>96071</v>
      </c>
      <c r="B555" s="968" t="s">
        <v>3191</v>
      </c>
      <c r="C555" s="969">
        <v>1.1367E-3</v>
      </c>
      <c r="D555" s="969">
        <v>1.1280999999999999E-3</v>
      </c>
      <c r="E555" s="986">
        <v>554009</v>
      </c>
      <c r="F555" s="970">
        <v>1736563</v>
      </c>
      <c r="G555" s="970"/>
      <c r="H555" s="971">
        <v>100042</v>
      </c>
      <c r="I555" s="972">
        <v>421639</v>
      </c>
      <c r="J555" s="971">
        <v>248005</v>
      </c>
      <c r="K555" s="970">
        <v>72999</v>
      </c>
      <c r="L555" s="972">
        <f t="shared" si="16"/>
        <v>842685</v>
      </c>
      <c r="M555" s="970"/>
      <c r="N555" s="971">
        <v>49157</v>
      </c>
      <c r="O555" s="971">
        <v>0</v>
      </c>
      <c r="P555" s="970">
        <v>71715</v>
      </c>
      <c r="Q555" s="972">
        <f t="shared" si="17"/>
        <v>120872</v>
      </c>
      <c r="R555" s="970"/>
      <c r="S555" s="971">
        <v>585223</v>
      </c>
      <c r="T555" s="973">
        <v>-1282</v>
      </c>
      <c r="U555" s="973">
        <v>583941</v>
      </c>
    </row>
    <row r="556" spans="1:21" x14ac:dyDescent="0.25">
      <c r="A556" s="967">
        <v>96081</v>
      </c>
      <c r="B556" s="968" t="s">
        <v>3192</v>
      </c>
      <c r="C556" s="969">
        <v>5.0900000000000001E-4</v>
      </c>
      <c r="D556" s="969">
        <v>4.7820000000000002E-4</v>
      </c>
      <c r="E556" s="986">
        <v>211520</v>
      </c>
      <c r="F556" s="970">
        <v>777611</v>
      </c>
      <c r="G556" s="970"/>
      <c r="H556" s="971">
        <v>44798</v>
      </c>
      <c r="I556" s="972">
        <v>188805</v>
      </c>
      <c r="J556" s="971">
        <v>111054</v>
      </c>
      <c r="K556" s="970">
        <v>10640</v>
      </c>
      <c r="L556" s="972">
        <f t="shared" si="16"/>
        <v>355297</v>
      </c>
      <c r="M556" s="970"/>
      <c r="N556" s="971">
        <v>22012</v>
      </c>
      <c r="O556" s="971">
        <v>0</v>
      </c>
      <c r="P556" s="970">
        <v>4115</v>
      </c>
      <c r="Q556" s="972">
        <f t="shared" si="17"/>
        <v>26127</v>
      </c>
      <c r="R556" s="970"/>
      <c r="S556" s="971">
        <v>262056</v>
      </c>
      <c r="T556" s="973">
        <v>5137</v>
      </c>
      <c r="U556" s="973">
        <v>267193</v>
      </c>
    </row>
    <row r="557" spans="1:21" x14ac:dyDescent="0.25">
      <c r="A557" s="967">
        <v>96101</v>
      </c>
      <c r="B557" s="968" t="s">
        <v>3193</v>
      </c>
      <c r="C557" s="969">
        <v>7.6749999999999995E-4</v>
      </c>
      <c r="D557" s="969">
        <v>7.5860000000000001E-4</v>
      </c>
      <c r="E557" s="986">
        <v>371541</v>
      </c>
      <c r="F557" s="970">
        <v>1172527</v>
      </c>
      <c r="G557" s="970"/>
      <c r="H557" s="971">
        <v>67548</v>
      </c>
      <c r="I557" s="972">
        <v>284691</v>
      </c>
      <c r="J557" s="971">
        <v>167453</v>
      </c>
      <c r="K557" s="970">
        <v>39221</v>
      </c>
      <c r="L557" s="972">
        <f t="shared" si="16"/>
        <v>558913</v>
      </c>
      <c r="M557" s="970"/>
      <c r="N557" s="971">
        <v>33191</v>
      </c>
      <c r="O557" s="971">
        <v>0</v>
      </c>
      <c r="P557" s="970">
        <v>3498</v>
      </c>
      <c r="Q557" s="972">
        <f t="shared" si="17"/>
        <v>36689</v>
      </c>
      <c r="R557" s="970"/>
      <c r="S557" s="971">
        <v>395143</v>
      </c>
      <c r="T557" s="973">
        <v>17230</v>
      </c>
      <c r="U557" s="973">
        <v>412373</v>
      </c>
    </row>
    <row r="558" spans="1:21" x14ac:dyDescent="0.25">
      <c r="A558" s="967">
        <v>96102</v>
      </c>
      <c r="B558" s="968" t="s">
        <v>3194</v>
      </c>
      <c r="C558" s="969">
        <v>1.36E-5</v>
      </c>
      <c r="D558" s="969">
        <v>1.42E-5</v>
      </c>
      <c r="E558" s="986">
        <v>5078</v>
      </c>
      <c r="F558" s="970">
        <v>20777</v>
      </c>
      <c r="G558" s="970"/>
      <c r="H558" s="971">
        <v>1197</v>
      </c>
      <c r="I558" s="972">
        <v>5045</v>
      </c>
      <c r="J558" s="971">
        <v>2967</v>
      </c>
      <c r="K558" s="970">
        <v>0</v>
      </c>
      <c r="L558" s="972">
        <f t="shared" si="16"/>
        <v>9209</v>
      </c>
      <c r="M558" s="970"/>
      <c r="N558" s="971">
        <v>588</v>
      </c>
      <c r="O558" s="971">
        <v>0</v>
      </c>
      <c r="P558" s="970">
        <v>3137</v>
      </c>
      <c r="Q558" s="972">
        <f t="shared" si="17"/>
        <v>3725</v>
      </c>
      <c r="R558" s="970"/>
      <c r="S558" s="971">
        <v>7002</v>
      </c>
      <c r="T558" s="973">
        <v>-1435</v>
      </c>
      <c r="U558" s="973">
        <v>5567</v>
      </c>
    </row>
    <row r="559" spans="1:21" x14ac:dyDescent="0.25">
      <c r="A559" s="967">
        <v>96111</v>
      </c>
      <c r="B559" s="968" t="s">
        <v>3195</v>
      </c>
      <c r="C559" s="969">
        <v>1.5349999999999999E-4</v>
      </c>
      <c r="D559" s="969">
        <v>1.6119999999999999E-4</v>
      </c>
      <c r="E559" s="986">
        <v>74819</v>
      </c>
      <c r="F559" s="970">
        <v>234505</v>
      </c>
      <c r="G559" s="970"/>
      <c r="H559" s="971">
        <v>13510</v>
      </c>
      <c r="I559" s="972">
        <v>56938</v>
      </c>
      <c r="J559" s="971">
        <v>33491</v>
      </c>
      <c r="K559" s="970">
        <v>9403</v>
      </c>
      <c r="L559" s="972">
        <f t="shared" si="16"/>
        <v>113342</v>
      </c>
      <c r="M559" s="970"/>
      <c r="N559" s="971">
        <v>6638</v>
      </c>
      <c r="O559" s="971">
        <v>0</v>
      </c>
      <c r="P559" s="970">
        <v>1683</v>
      </c>
      <c r="Q559" s="972">
        <f t="shared" si="17"/>
        <v>8321</v>
      </c>
      <c r="R559" s="970"/>
      <c r="S559" s="971">
        <v>79029</v>
      </c>
      <c r="T559" s="973">
        <v>6754</v>
      </c>
      <c r="U559" s="973">
        <v>85783</v>
      </c>
    </row>
    <row r="560" spans="1:21" x14ac:dyDescent="0.25">
      <c r="A560" s="967">
        <v>96121</v>
      </c>
      <c r="B560" s="968" t="s">
        <v>3196</v>
      </c>
      <c r="C560" s="969">
        <v>2.2500000000000001E-5</v>
      </c>
      <c r="D560" s="969">
        <v>2.2099999999999998E-5</v>
      </c>
      <c r="E560" s="986">
        <v>9052</v>
      </c>
      <c r="F560" s="970">
        <v>34374</v>
      </c>
      <c r="G560" s="970"/>
      <c r="H560" s="971">
        <v>1980</v>
      </c>
      <c r="I560" s="972">
        <v>8346</v>
      </c>
      <c r="J560" s="971">
        <v>4909</v>
      </c>
      <c r="K560" s="970">
        <v>397</v>
      </c>
      <c r="L560" s="972">
        <f t="shared" si="16"/>
        <v>15632</v>
      </c>
      <c r="M560" s="970"/>
      <c r="N560" s="971">
        <v>973</v>
      </c>
      <c r="O560" s="971">
        <v>0</v>
      </c>
      <c r="P560" s="970">
        <v>1764</v>
      </c>
      <c r="Q560" s="972">
        <f t="shared" si="17"/>
        <v>2737</v>
      </c>
      <c r="R560" s="970"/>
      <c r="S560" s="971">
        <v>11584</v>
      </c>
      <c r="T560" s="973">
        <v>-946</v>
      </c>
      <c r="U560" s="973">
        <v>10638</v>
      </c>
    </row>
    <row r="561" spans="1:21" x14ac:dyDescent="0.25">
      <c r="A561" s="967">
        <v>96201</v>
      </c>
      <c r="B561" s="968" t="s">
        <v>3197</v>
      </c>
      <c r="C561" s="969">
        <v>1.1788E-3</v>
      </c>
      <c r="D561" s="969">
        <v>1.2302999999999999E-3</v>
      </c>
      <c r="E561" s="986">
        <v>527645</v>
      </c>
      <c r="F561" s="970">
        <v>1800880</v>
      </c>
      <c r="G561" s="970"/>
      <c r="H561" s="971">
        <v>103747</v>
      </c>
      <c r="I561" s="972">
        <v>437256</v>
      </c>
      <c r="J561" s="971">
        <v>257191</v>
      </c>
      <c r="K561" s="970">
        <v>0</v>
      </c>
      <c r="L561" s="972">
        <f t="shared" si="16"/>
        <v>798194</v>
      </c>
      <c r="M561" s="970"/>
      <c r="N561" s="971">
        <v>50977</v>
      </c>
      <c r="O561" s="971">
        <v>0</v>
      </c>
      <c r="P561" s="970">
        <v>73119</v>
      </c>
      <c r="Q561" s="972">
        <f t="shared" si="17"/>
        <v>124096</v>
      </c>
      <c r="R561" s="970"/>
      <c r="S561" s="971">
        <v>606898</v>
      </c>
      <c r="T561" s="973">
        <v>-23257</v>
      </c>
      <c r="U561" s="973">
        <v>583641</v>
      </c>
    </row>
    <row r="562" spans="1:21" x14ac:dyDescent="0.25">
      <c r="A562" s="967">
        <v>96204</v>
      </c>
      <c r="B562" s="968" t="s">
        <v>3198</v>
      </c>
      <c r="C562" s="969">
        <v>1.5099999999999999E-5</v>
      </c>
      <c r="D562" s="969">
        <v>1.5400000000000002E-5</v>
      </c>
      <c r="E562" s="986">
        <v>8503</v>
      </c>
      <c r="F562" s="970">
        <v>23069</v>
      </c>
      <c r="G562" s="970"/>
      <c r="H562" s="971">
        <v>1329</v>
      </c>
      <c r="I562" s="972">
        <v>5602</v>
      </c>
      <c r="J562" s="971">
        <v>3295</v>
      </c>
      <c r="K562" s="970">
        <v>3517</v>
      </c>
      <c r="L562" s="972">
        <f t="shared" si="16"/>
        <v>13743</v>
      </c>
      <c r="M562" s="970"/>
      <c r="N562" s="971">
        <v>653</v>
      </c>
      <c r="O562" s="971">
        <v>0</v>
      </c>
      <c r="P562" s="970">
        <v>0</v>
      </c>
      <c r="Q562" s="972">
        <f t="shared" si="17"/>
        <v>653</v>
      </c>
      <c r="R562" s="970"/>
      <c r="S562" s="971">
        <v>7774</v>
      </c>
      <c r="T562" s="973">
        <v>1655</v>
      </c>
      <c r="U562" s="973">
        <f>9430-1</f>
        <v>9429</v>
      </c>
    </row>
    <row r="563" spans="1:21" x14ac:dyDescent="0.25">
      <c r="A563" s="967">
        <v>96211</v>
      </c>
      <c r="B563" s="968" t="s">
        <v>3199</v>
      </c>
      <c r="C563" s="969">
        <v>2.62E-5</v>
      </c>
      <c r="D563" s="969">
        <v>3.0700000000000001E-5</v>
      </c>
      <c r="E563" s="986">
        <v>16678</v>
      </c>
      <c r="F563" s="970">
        <v>40026</v>
      </c>
      <c r="G563" s="970"/>
      <c r="H563" s="971">
        <v>2306</v>
      </c>
      <c r="I563" s="972">
        <v>9718</v>
      </c>
      <c r="J563" s="971">
        <v>5716</v>
      </c>
      <c r="K563" s="970">
        <v>4494</v>
      </c>
      <c r="L563" s="972">
        <f t="shared" si="16"/>
        <v>22234</v>
      </c>
      <c r="M563" s="970"/>
      <c r="N563" s="971">
        <v>1133</v>
      </c>
      <c r="O563" s="971">
        <v>0</v>
      </c>
      <c r="P563" s="970">
        <v>4462</v>
      </c>
      <c r="Q563" s="972">
        <f t="shared" si="17"/>
        <v>5595</v>
      </c>
      <c r="R563" s="970"/>
      <c r="S563" s="971">
        <v>13489</v>
      </c>
      <c r="T563" s="973">
        <v>-2681</v>
      </c>
      <c r="U563" s="973">
        <v>10808</v>
      </c>
    </row>
    <row r="564" spans="1:21" x14ac:dyDescent="0.25">
      <c r="A564" s="967">
        <v>96221</v>
      </c>
      <c r="B564" s="968" t="s">
        <v>3200</v>
      </c>
      <c r="C564" s="969">
        <v>2.3350000000000001E-4</v>
      </c>
      <c r="D564" s="969">
        <v>2.287E-4</v>
      </c>
      <c r="E564" s="986">
        <v>98415</v>
      </c>
      <c r="F564" s="970">
        <v>356723</v>
      </c>
      <c r="G564" s="970"/>
      <c r="H564" s="971">
        <v>20551</v>
      </c>
      <c r="I564" s="972">
        <v>86613</v>
      </c>
      <c r="J564" s="971">
        <v>50945</v>
      </c>
      <c r="K564" s="970">
        <v>2439</v>
      </c>
      <c r="L564" s="972">
        <f t="shared" si="16"/>
        <v>160548</v>
      </c>
      <c r="M564" s="970"/>
      <c r="N564" s="971">
        <v>10098</v>
      </c>
      <c r="O564" s="971">
        <v>0</v>
      </c>
      <c r="P564" s="970">
        <v>15042</v>
      </c>
      <c r="Q564" s="972">
        <f t="shared" si="17"/>
        <v>25140</v>
      </c>
      <c r="R564" s="970"/>
      <c r="S564" s="971">
        <v>120216</v>
      </c>
      <c r="T564" s="973">
        <v>-3357</v>
      </c>
      <c r="U564" s="973">
        <f>116860-1</f>
        <v>116859</v>
      </c>
    </row>
    <row r="565" spans="1:21" x14ac:dyDescent="0.25">
      <c r="A565" s="967">
        <v>96231</v>
      </c>
      <c r="B565" s="968" t="s">
        <v>3201</v>
      </c>
      <c r="C565" s="969">
        <v>1.3339999999999999E-4</v>
      </c>
      <c r="D565" s="969">
        <v>1.145E-4</v>
      </c>
      <c r="E565" s="986">
        <v>48595</v>
      </c>
      <c r="F565" s="970">
        <v>203798</v>
      </c>
      <c r="G565" s="970"/>
      <c r="H565" s="971">
        <v>11741</v>
      </c>
      <c r="I565" s="972">
        <v>49482</v>
      </c>
      <c r="J565" s="971">
        <v>29105</v>
      </c>
      <c r="K565" s="970">
        <v>2554</v>
      </c>
      <c r="L565" s="972">
        <f t="shared" si="16"/>
        <v>92882</v>
      </c>
      <c r="M565" s="970"/>
      <c r="N565" s="971">
        <v>5769</v>
      </c>
      <c r="O565" s="971">
        <v>0</v>
      </c>
      <c r="P565" s="970">
        <v>14959</v>
      </c>
      <c r="Q565" s="972">
        <f t="shared" si="17"/>
        <v>20728</v>
      </c>
      <c r="R565" s="970"/>
      <c r="S565" s="971">
        <v>68680</v>
      </c>
      <c r="T565" s="973">
        <v>-7094</v>
      </c>
      <c r="U565" s="973">
        <v>61586</v>
      </c>
    </row>
    <row r="566" spans="1:21" x14ac:dyDescent="0.25">
      <c r="A566" s="967">
        <v>96241</v>
      </c>
      <c r="B566" s="968" t="s">
        <v>3202</v>
      </c>
      <c r="C566" s="969">
        <v>4.4700000000000002E-5</v>
      </c>
      <c r="D566" s="969">
        <v>4.6100000000000002E-5</v>
      </c>
      <c r="E566" s="986">
        <v>22791</v>
      </c>
      <c r="F566" s="970">
        <v>68289</v>
      </c>
      <c r="G566" s="970"/>
      <c r="H566" s="971">
        <v>3934</v>
      </c>
      <c r="I566" s="972">
        <v>16580</v>
      </c>
      <c r="J566" s="971">
        <v>9753</v>
      </c>
      <c r="K566" s="970">
        <v>5027</v>
      </c>
      <c r="L566" s="972">
        <f t="shared" si="16"/>
        <v>35294</v>
      </c>
      <c r="M566" s="970"/>
      <c r="N566" s="971">
        <v>1933</v>
      </c>
      <c r="O566" s="971">
        <v>0</v>
      </c>
      <c r="P566" s="970">
        <v>4371</v>
      </c>
      <c r="Q566" s="972">
        <f t="shared" si="17"/>
        <v>6304</v>
      </c>
      <c r="R566" s="970"/>
      <c r="S566" s="971">
        <v>23014</v>
      </c>
      <c r="T566" s="973">
        <v>2407</v>
      </c>
      <c r="U566" s="973">
        <f>25420+1</f>
        <v>25421</v>
      </c>
    </row>
    <row r="567" spans="1:21" x14ac:dyDescent="0.25">
      <c r="A567" s="967">
        <v>96251</v>
      </c>
      <c r="B567" s="968" t="s">
        <v>3203</v>
      </c>
      <c r="C567" s="969">
        <v>9.3999999999999994E-5</v>
      </c>
      <c r="D567" s="969">
        <v>7.7100000000000004E-5</v>
      </c>
      <c r="E567" s="986">
        <v>36737</v>
      </c>
      <c r="F567" s="970">
        <v>143606</v>
      </c>
      <c r="G567" s="970"/>
      <c r="H567" s="971">
        <v>8273</v>
      </c>
      <c r="I567" s="972">
        <v>34868</v>
      </c>
      <c r="J567" s="971">
        <v>20509</v>
      </c>
      <c r="K567" s="970">
        <v>6198</v>
      </c>
      <c r="L567" s="972">
        <f t="shared" si="16"/>
        <v>69848</v>
      </c>
      <c r="M567" s="970"/>
      <c r="N567" s="971">
        <v>4065</v>
      </c>
      <c r="O567" s="971">
        <v>0</v>
      </c>
      <c r="P567" s="970">
        <v>16886</v>
      </c>
      <c r="Q567" s="972">
        <f t="shared" si="17"/>
        <v>20951</v>
      </c>
      <c r="R567" s="970"/>
      <c r="S567" s="971">
        <v>48395</v>
      </c>
      <c r="T567" s="973">
        <v>-7102</v>
      </c>
      <c r="U567" s="973">
        <v>41293</v>
      </c>
    </row>
    <row r="568" spans="1:21" x14ac:dyDescent="0.25">
      <c r="A568" s="967">
        <v>96301</v>
      </c>
      <c r="B568" s="968" t="s">
        <v>3204</v>
      </c>
      <c r="C568" s="969">
        <v>4.3712999999999998E-3</v>
      </c>
      <c r="D568" s="969">
        <v>4.3785999999999999E-3</v>
      </c>
      <c r="E568" s="986">
        <v>1938350</v>
      </c>
      <c r="F568" s="970">
        <v>6678136</v>
      </c>
      <c r="G568" s="970"/>
      <c r="H568" s="971">
        <v>384722</v>
      </c>
      <c r="I568" s="972">
        <v>1621460</v>
      </c>
      <c r="J568" s="971">
        <v>953730</v>
      </c>
      <c r="K568" s="970">
        <v>60786</v>
      </c>
      <c r="L568" s="972">
        <f t="shared" si="16"/>
        <v>3020698</v>
      </c>
      <c r="M568" s="970"/>
      <c r="N568" s="971">
        <v>189037</v>
      </c>
      <c r="O568" s="971">
        <v>0</v>
      </c>
      <c r="P568" s="970">
        <v>160488</v>
      </c>
      <c r="Q568" s="972">
        <f t="shared" si="17"/>
        <v>349525</v>
      </c>
      <c r="R568" s="970"/>
      <c r="S568" s="971">
        <v>2250538</v>
      </c>
      <c r="T568" s="973">
        <v>-27776</v>
      </c>
      <c r="U568" s="973">
        <v>2222762</v>
      </c>
    </row>
    <row r="569" spans="1:21" x14ac:dyDescent="0.25">
      <c r="A569" s="967">
        <v>96302</v>
      </c>
      <c r="B569" s="968" t="s">
        <v>3205</v>
      </c>
      <c r="C569" s="969">
        <v>2.5199999999999999E-5</v>
      </c>
      <c r="D569" s="969">
        <v>1.9199999999999999E-5</v>
      </c>
      <c r="E569" s="986">
        <v>12121</v>
      </c>
      <c r="F569" s="970">
        <v>38499</v>
      </c>
      <c r="G569" s="970"/>
      <c r="H569" s="971">
        <v>2218</v>
      </c>
      <c r="I569" s="972">
        <v>9347</v>
      </c>
      <c r="J569" s="971">
        <v>5498</v>
      </c>
      <c r="K569" s="970">
        <v>7399</v>
      </c>
      <c r="L569" s="972">
        <f t="shared" si="16"/>
        <v>24462</v>
      </c>
      <c r="M569" s="970"/>
      <c r="N569" s="971">
        <v>1090</v>
      </c>
      <c r="O569" s="971">
        <v>0</v>
      </c>
      <c r="P569" s="970">
        <v>0</v>
      </c>
      <c r="Q569" s="972">
        <f t="shared" si="17"/>
        <v>1090</v>
      </c>
      <c r="R569" s="970"/>
      <c r="S569" s="971">
        <v>12974</v>
      </c>
      <c r="T569" s="973">
        <v>2631</v>
      </c>
      <c r="U569" s="973">
        <v>15605</v>
      </c>
    </row>
    <row r="570" spans="1:21" x14ac:dyDescent="0.25">
      <c r="A570" s="967">
        <v>96304</v>
      </c>
      <c r="B570" s="968" t="s">
        <v>3206</v>
      </c>
      <c r="C570" s="969">
        <v>4.5500000000000001E-5</v>
      </c>
      <c r="D570" s="969">
        <v>5.4599999999999999E-5</v>
      </c>
      <c r="E570" s="986">
        <v>27294</v>
      </c>
      <c r="F570" s="970">
        <v>69511</v>
      </c>
      <c r="G570" s="970"/>
      <c r="H570" s="971">
        <v>4005</v>
      </c>
      <c r="I570" s="972">
        <v>16877</v>
      </c>
      <c r="J570" s="971">
        <v>9927</v>
      </c>
      <c r="K570" s="970">
        <v>5469</v>
      </c>
      <c r="L570" s="972">
        <f t="shared" si="16"/>
        <v>36278</v>
      </c>
      <c r="M570" s="970"/>
      <c r="N570" s="971">
        <v>1968</v>
      </c>
      <c r="O570" s="971">
        <v>0</v>
      </c>
      <c r="P570" s="970">
        <v>1092</v>
      </c>
      <c r="Q570" s="972">
        <f t="shared" si="17"/>
        <v>3060</v>
      </c>
      <c r="R570" s="970"/>
      <c r="S570" s="971">
        <v>23425</v>
      </c>
      <c r="T570" s="973">
        <v>2085</v>
      </c>
      <c r="U570" s="973">
        <v>25510</v>
      </c>
    </row>
    <row r="571" spans="1:21" x14ac:dyDescent="0.25">
      <c r="A571" s="967">
        <v>96305</v>
      </c>
      <c r="B571" s="968" t="s">
        <v>3207</v>
      </c>
      <c r="C571" s="969">
        <v>4.5500000000000001E-5</v>
      </c>
      <c r="D571" s="969">
        <v>4.8199999999999999E-5</v>
      </c>
      <c r="E571" s="986">
        <v>30520</v>
      </c>
      <c r="F571" s="970">
        <v>69511</v>
      </c>
      <c r="G571" s="970"/>
      <c r="H571" s="971">
        <v>4005</v>
      </c>
      <c r="I571" s="972">
        <v>16877</v>
      </c>
      <c r="J571" s="971">
        <v>9927</v>
      </c>
      <c r="K571" s="970">
        <v>13328</v>
      </c>
      <c r="L571" s="972">
        <f t="shared" si="16"/>
        <v>44137</v>
      </c>
      <c r="M571" s="970"/>
      <c r="N571" s="971">
        <v>1968</v>
      </c>
      <c r="O571" s="971">
        <v>0</v>
      </c>
      <c r="P571" s="970">
        <v>0</v>
      </c>
      <c r="Q571" s="972">
        <f t="shared" si="17"/>
        <v>1968</v>
      </c>
      <c r="R571" s="970"/>
      <c r="S571" s="971">
        <v>23425</v>
      </c>
      <c r="T571" s="973">
        <v>4752</v>
      </c>
      <c r="U571" s="973">
        <v>28177</v>
      </c>
    </row>
    <row r="572" spans="1:21" x14ac:dyDescent="0.25">
      <c r="A572" s="967">
        <v>96310</v>
      </c>
      <c r="B572" s="968" t="s">
        <v>3208</v>
      </c>
      <c r="C572" s="969">
        <v>6.1099999999999994E-5</v>
      </c>
      <c r="D572" s="969">
        <v>4.88E-5</v>
      </c>
      <c r="E572" s="986">
        <v>26767</v>
      </c>
      <c r="F572" s="970">
        <v>93344</v>
      </c>
      <c r="G572" s="970"/>
      <c r="H572" s="971">
        <v>5377</v>
      </c>
      <c r="I572" s="972">
        <v>22664</v>
      </c>
      <c r="J572" s="971">
        <v>13331</v>
      </c>
      <c r="K572" s="970">
        <v>10507</v>
      </c>
      <c r="L572" s="972">
        <f t="shared" si="16"/>
        <v>51879</v>
      </c>
      <c r="M572" s="970"/>
      <c r="N572" s="971">
        <v>2642</v>
      </c>
      <c r="O572" s="971">
        <v>0</v>
      </c>
      <c r="P572" s="970">
        <v>3055</v>
      </c>
      <c r="Q572" s="972">
        <f t="shared" si="17"/>
        <v>5697</v>
      </c>
      <c r="R572" s="970"/>
      <c r="S572" s="971">
        <v>31457</v>
      </c>
      <c r="T572" s="973">
        <v>3506</v>
      </c>
      <c r="U572" s="973">
        <v>34963</v>
      </c>
    </row>
    <row r="573" spans="1:21" x14ac:dyDescent="0.25">
      <c r="A573" s="967">
        <v>96311</v>
      </c>
      <c r="B573" s="968" t="s">
        <v>3209</v>
      </c>
      <c r="C573" s="969">
        <v>1.3113000000000001E-3</v>
      </c>
      <c r="D573" s="969">
        <v>1.4082999999999999E-3</v>
      </c>
      <c r="E573" s="986">
        <v>595124</v>
      </c>
      <c r="F573" s="970">
        <v>2003303</v>
      </c>
      <c r="G573" s="970"/>
      <c r="H573" s="971">
        <v>115409</v>
      </c>
      <c r="I573" s="972">
        <v>486404</v>
      </c>
      <c r="J573" s="971">
        <v>286099</v>
      </c>
      <c r="K573" s="970">
        <v>11041</v>
      </c>
      <c r="L573" s="972">
        <f t="shared" si="16"/>
        <v>898953</v>
      </c>
      <c r="M573" s="970"/>
      <c r="N573" s="971">
        <v>56707</v>
      </c>
      <c r="O573" s="971">
        <v>0</v>
      </c>
      <c r="P573" s="970">
        <v>139297</v>
      </c>
      <c r="Q573" s="972">
        <f t="shared" si="17"/>
        <v>196004</v>
      </c>
      <c r="R573" s="970"/>
      <c r="S573" s="971">
        <v>675115</v>
      </c>
      <c r="T573" s="973">
        <v>-33999</v>
      </c>
      <c r="U573" s="973">
        <v>641116</v>
      </c>
    </row>
    <row r="574" spans="1:21" x14ac:dyDescent="0.25">
      <c r="A574" s="967">
        <v>96312</v>
      </c>
      <c r="B574" s="968" t="s">
        <v>3210</v>
      </c>
      <c r="C574" s="969">
        <v>1.5999999999999999E-5</v>
      </c>
      <c r="D574" s="969">
        <v>1.5999999999999999E-6</v>
      </c>
      <c r="E574" s="986">
        <v>4820</v>
      </c>
      <c r="F574" s="970">
        <v>24444</v>
      </c>
      <c r="G574" s="970"/>
      <c r="H574" s="971">
        <v>1408</v>
      </c>
      <c r="I574" s="972">
        <v>5935</v>
      </c>
      <c r="J574" s="971">
        <v>3491</v>
      </c>
      <c r="K574" s="970">
        <v>7668</v>
      </c>
      <c r="L574" s="972">
        <f t="shared" si="16"/>
        <v>18502</v>
      </c>
      <c r="M574" s="970"/>
      <c r="N574" s="971">
        <v>692</v>
      </c>
      <c r="O574" s="971">
        <v>0</v>
      </c>
      <c r="P574" s="970">
        <v>1864</v>
      </c>
      <c r="Q574" s="972">
        <f t="shared" si="17"/>
        <v>2556</v>
      </c>
      <c r="R574" s="970"/>
      <c r="S574" s="971">
        <v>8238</v>
      </c>
      <c r="T574" s="973">
        <v>374</v>
      </c>
      <c r="U574" s="973">
        <v>8612</v>
      </c>
    </row>
    <row r="575" spans="1:21" x14ac:dyDescent="0.25">
      <c r="A575" s="967">
        <v>96318</v>
      </c>
      <c r="B575" s="968" t="s">
        <v>3211</v>
      </c>
      <c r="C575" s="969">
        <v>2.1684999999999999E-3</v>
      </c>
      <c r="D575" s="969">
        <v>1.7782E-3</v>
      </c>
      <c r="E575" s="986">
        <v>1061238</v>
      </c>
      <c r="F575" s="970">
        <v>3312867</v>
      </c>
      <c r="G575" s="970"/>
      <c r="H575" s="971">
        <v>190852</v>
      </c>
      <c r="I575" s="972">
        <v>804368</v>
      </c>
      <c r="J575" s="971">
        <v>473123</v>
      </c>
      <c r="K575" s="970">
        <v>7711758</v>
      </c>
      <c r="L575" s="972">
        <f t="shared" si="16"/>
        <v>9180101</v>
      </c>
      <c r="M575" s="970"/>
      <c r="N575" s="971">
        <v>93777</v>
      </c>
      <c r="O575" s="971">
        <v>0</v>
      </c>
      <c r="P575" s="970">
        <v>0</v>
      </c>
      <c r="Q575" s="972">
        <f t="shared" si="17"/>
        <v>93777</v>
      </c>
      <c r="R575" s="970"/>
      <c r="S575" s="971">
        <v>1116439</v>
      </c>
      <c r="T575" s="973">
        <v>2665103</v>
      </c>
      <c r="U575" s="973">
        <v>3781542</v>
      </c>
    </row>
    <row r="576" spans="1:21" x14ac:dyDescent="0.25">
      <c r="A576" s="967">
        <v>96321</v>
      </c>
      <c r="B576" s="968" t="s">
        <v>3212</v>
      </c>
      <c r="C576" s="969">
        <v>3.6900000000000002E-5</v>
      </c>
      <c r="D576" s="969">
        <v>3.7400000000000001E-5</v>
      </c>
      <c r="E576" s="986">
        <v>18737</v>
      </c>
      <c r="F576" s="970">
        <v>56373</v>
      </c>
      <c r="G576" s="970"/>
      <c r="H576" s="971">
        <v>3248</v>
      </c>
      <c r="I576" s="972">
        <v>13687</v>
      </c>
      <c r="J576" s="971">
        <v>8051</v>
      </c>
      <c r="K576" s="970">
        <v>1642</v>
      </c>
      <c r="L576" s="972">
        <f t="shared" si="16"/>
        <v>26628</v>
      </c>
      <c r="M576" s="970"/>
      <c r="N576" s="971">
        <v>1596</v>
      </c>
      <c r="O576" s="971">
        <v>0</v>
      </c>
      <c r="P576" s="970">
        <v>2449</v>
      </c>
      <c r="Q576" s="972">
        <f t="shared" si="17"/>
        <v>4045</v>
      </c>
      <c r="R576" s="970"/>
      <c r="S576" s="971">
        <v>18998</v>
      </c>
      <c r="T576" s="973">
        <v>-489</v>
      </c>
      <c r="U576" s="973">
        <v>18509</v>
      </c>
    </row>
    <row r="577" spans="1:21" x14ac:dyDescent="0.25">
      <c r="A577" s="967">
        <v>96331</v>
      </c>
      <c r="B577" s="968" t="s">
        <v>3213</v>
      </c>
      <c r="C577" s="969">
        <v>7.0850000000000004E-4</v>
      </c>
      <c r="D577" s="969">
        <v>7.1699999999999997E-4</v>
      </c>
      <c r="E577" s="986">
        <v>321182</v>
      </c>
      <c r="F577" s="970">
        <v>1082392</v>
      </c>
      <c r="G577" s="970"/>
      <c r="H577" s="971">
        <v>62356</v>
      </c>
      <c r="I577" s="972">
        <v>262806</v>
      </c>
      <c r="J577" s="971">
        <v>154581</v>
      </c>
      <c r="K577" s="970">
        <v>3107</v>
      </c>
      <c r="L577" s="972">
        <f t="shared" si="16"/>
        <v>482850</v>
      </c>
      <c r="M577" s="970"/>
      <c r="N577" s="971">
        <v>30639</v>
      </c>
      <c r="O577" s="971">
        <v>0</v>
      </c>
      <c r="P577" s="970">
        <v>53524</v>
      </c>
      <c r="Q577" s="972">
        <f t="shared" si="17"/>
        <v>84163</v>
      </c>
      <c r="R577" s="970"/>
      <c r="S577" s="971">
        <v>364767</v>
      </c>
      <c r="T577" s="973">
        <v>-22322</v>
      </c>
      <c r="U577" s="973">
        <v>342445</v>
      </c>
    </row>
    <row r="578" spans="1:21" x14ac:dyDescent="0.25">
      <c r="A578" s="967">
        <v>96341</v>
      </c>
      <c r="B578" s="968" t="s">
        <v>3214</v>
      </c>
      <c r="C578" s="969">
        <v>8.3800000000000004E-5</v>
      </c>
      <c r="D578" s="969">
        <v>9.1600000000000004E-5</v>
      </c>
      <c r="E578" s="986">
        <v>35036</v>
      </c>
      <c r="F578" s="970">
        <v>128023</v>
      </c>
      <c r="G578" s="970"/>
      <c r="H578" s="971">
        <v>7375</v>
      </c>
      <c r="I578" s="972">
        <v>31084</v>
      </c>
      <c r="J578" s="971">
        <v>18283</v>
      </c>
      <c r="K578" s="970">
        <v>8694</v>
      </c>
      <c r="L578" s="972">
        <f t="shared" si="16"/>
        <v>65436</v>
      </c>
      <c r="M578" s="970"/>
      <c r="N578" s="971">
        <v>3624</v>
      </c>
      <c r="O578" s="971">
        <v>0</v>
      </c>
      <c r="P578" s="970">
        <v>13544</v>
      </c>
      <c r="Q578" s="972">
        <f t="shared" si="17"/>
        <v>17168</v>
      </c>
      <c r="R578" s="970"/>
      <c r="S578" s="971">
        <v>43144</v>
      </c>
      <c r="T578" s="973">
        <v>-3090</v>
      </c>
      <c r="U578" s="973">
        <v>40054</v>
      </c>
    </row>
    <row r="579" spans="1:21" x14ac:dyDescent="0.25">
      <c r="A579" s="967">
        <v>96351</v>
      </c>
      <c r="B579" s="968" t="s">
        <v>3215</v>
      </c>
      <c r="C579" s="969">
        <v>1.0616E-3</v>
      </c>
      <c r="D579" s="969">
        <v>1.0736000000000001E-3</v>
      </c>
      <c r="E579" s="986">
        <v>488441</v>
      </c>
      <c r="F579" s="970">
        <v>1621831</v>
      </c>
      <c r="G579" s="970"/>
      <c r="H579" s="971">
        <v>93432</v>
      </c>
      <c r="I579" s="972">
        <v>393782</v>
      </c>
      <c r="J579" s="971">
        <v>231620</v>
      </c>
      <c r="K579" s="970">
        <v>5421</v>
      </c>
      <c r="L579" s="972">
        <f t="shared" si="16"/>
        <v>724255</v>
      </c>
      <c r="M579" s="970"/>
      <c r="N579" s="971">
        <v>45909</v>
      </c>
      <c r="O579" s="971">
        <v>0</v>
      </c>
      <c r="P579" s="970">
        <v>28542</v>
      </c>
      <c r="Q579" s="972">
        <f t="shared" si="17"/>
        <v>74451</v>
      </c>
      <c r="R579" s="970"/>
      <c r="S579" s="971">
        <v>546558</v>
      </c>
      <c r="T579" s="973">
        <v>-5218</v>
      </c>
      <c r="U579" s="973">
        <v>541340</v>
      </c>
    </row>
    <row r="580" spans="1:21" x14ac:dyDescent="0.25">
      <c r="A580" s="967">
        <v>96361</v>
      </c>
      <c r="B580" s="968" t="s">
        <v>3216</v>
      </c>
      <c r="C580" s="969">
        <v>5.5699999999999999E-5</v>
      </c>
      <c r="D580" s="969">
        <v>5.8900000000000002E-5</v>
      </c>
      <c r="E580" s="986">
        <v>24289</v>
      </c>
      <c r="F580" s="970">
        <v>85094</v>
      </c>
      <c r="G580" s="970"/>
      <c r="H580" s="971">
        <v>4902</v>
      </c>
      <c r="I580" s="972">
        <v>20661</v>
      </c>
      <c r="J580" s="971">
        <v>12153</v>
      </c>
      <c r="K580" s="970">
        <v>3403</v>
      </c>
      <c r="L580" s="972">
        <f t="shared" si="16"/>
        <v>41119</v>
      </c>
      <c r="M580" s="970"/>
      <c r="N580" s="971">
        <v>2409</v>
      </c>
      <c r="O580" s="971">
        <v>0</v>
      </c>
      <c r="P580" s="970">
        <v>3423</v>
      </c>
      <c r="Q580" s="972">
        <f t="shared" si="17"/>
        <v>5832</v>
      </c>
      <c r="R580" s="970"/>
      <c r="S580" s="971">
        <v>28677</v>
      </c>
      <c r="T580" s="973">
        <v>936</v>
      </c>
      <c r="U580" s="973">
        <f>29612+1</f>
        <v>29613</v>
      </c>
    </row>
    <row r="581" spans="1:21" x14ac:dyDescent="0.25">
      <c r="A581" s="967">
        <v>96371</v>
      </c>
      <c r="B581" s="968" t="s">
        <v>3217</v>
      </c>
      <c r="C581" s="969">
        <v>1.5249999999999999E-4</v>
      </c>
      <c r="D581" s="969">
        <v>1.6359999999999999E-4</v>
      </c>
      <c r="E581" s="986">
        <v>67276</v>
      </c>
      <c r="F581" s="970">
        <v>232978</v>
      </c>
      <c r="G581" s="970"/>
      <c r="H581" s="971">
        <v>13422</v>
      </c>
      <c r="I581" s="972">
        <v>56568</v>
      </c>
      <c r="J581" s="971">
        <v>33272</v>
      </c>
      <c r="K581" s="970">
        <v>1335</v>
      </c>
      <c r="L581" s="972">
        <f t="shared" si="16"/>
        <v>104597</v>
      </c>
      <c r="M581" s="970"/>
      <c r="N581" s="971">
        <v>6595</v>
      </c>
      <c r="O581" s="971">
        <v>0</v>
      </c>
      <c r="P581" s="970">
        <v>14966</v>
      </c>
      <c r="Q581" s="972">
        <f t="shared" si="17"/>
        <v>21561</v>
      </c>
      <c r="R581" s="970"/>
      <c r="S581" s="971">
        <v>78514</v>
      </c>
      <c r="T581" s="973">
        <v>-3158</v>
      </c>
      <c r="U581" s="973">
        <v>75356</v>
      </c>
    </row>
    <row r="582" spans="1:21" x14ac:dyDescent="0.25">
      <c r="A582" s="967">
        <v>96381</v>
      </c>
      <c r="B582" s="968" t="s">
        <v>3218</v>
      </c>
      <c r="C582" s="969">
        <v>3.2100000000000001E-5</v>
      </c>
      <c r="D582" s="969">
        <v>3.26E-5</v>
      </c>
      <c r="E582" s="986">
        <v>15357</v>
      </c>
      <c r="F582" s="970">
        <v>49040</v>
      </c>
      <c r="G582" s="970"/>
      <c r="H582" s="971">
        <v>2825</v>
      </c>
      <c r="I582" s="972">
        <v>11907</v>
      </c>
      <c r="J582" s="971">
        <v>7004</v>
      </c>
      <c r="K582" s="970">
        <v>235</v>
      </c>
      <c r="L582" s="972">
        <f t="shared" si="16"/>
        <v>21971</v>
      </c>
      <c r="M582" s="970"/>
      <c r="N582" s="971">
        <v>1388</v>
      </c>
      <c r="O582" s="971">
        <v>0</v>
      </c>
      <c r="P582" s="970">
        <v>1858</v>
      </c>
      <c r="Q582" s="972">
        <f t="shared" si="17"/>
        <v>3246</v>
      </c>
      <c r="R582" s="970"/>
      <c r="S582" s="971">
        <v>16526</v>
      </c>
      <c r="T582" s="973">
        <v>-1164</v>
      </c>
      <c r="U582" s="973">
        <v>15362</v>
      </c>
    </row>
    <row r="583" spans="1:21" x14ac:dyDescent="0.25">
      <c r="A583" s="967">
        <v>96391</v>
      </c>
      <c r="B583" s="968" t="s">
        <v>3219</v>
      </c>
      <c r="C583" s="969">
        <v>2.029E-4</v>
      </c>
      <c r="D583" s="969">
        <v>1.807E-4</v>
      </c>
      <c r="E583" s="986">
        <v>74519</v>
      </c>
      <c r="F583" s="970">
        <v>309975</v>
      </c>
      <c r="G583" s="970"/>
      <c r="H583" s="971">
        <v>17857</v>
      </c>
      <c r="I583" s="972">
        <v>75263</v>
      </c>
      <c r="J583" s="971">
        <v>44269</v>
      </c>
      <c r="K583" s="970">
        <v>9831</v>
      </c>
      <c r="L583" s="972">
        <f t="shared" ref="L583:L646" si="18">H583+I583+J583+K583</f>
        <v>147220</v>
      </c>
      <c r="M583" s="970"/>
      <c r="N583" s="971">
        <v>8774</v>
      </c>
      <c r="O583" s="971">
        <v>0</v>
      </c>
      <c r="P583" s="970">
        <v>18208</v>
      </c>
      <c r="Q583" s="972">
        <f t="shared" ref="Q583:Q646" si="19">N583+O583+P583</f>
        <v>26982</v>
      </c>
      <c r="R583" s="970"/>
      <c r="S583" s="971">
        <v>104462</v>
      </c>
      <c r="T583" s="973">
        <v>2008</v>
      </c>
      <c r="U583" s="973">
        <v>106470</v>
      </c>
    </row>
    <row r="584" spans="1:21" x14ac:dyDescent="0.25">
      <c r="A584" s="967">
        <v>96401</v>
      </c>
      <c r="B584" s="968" t="s">
        <v>3220</v>
      </c>
      <c r="C584" s="969">
        <v>4.5672000000000004E-3</v>
      </c>
      <c r="D584" s="969">
        <v>4.5900000000000003E-3</v>
      </c>
      <c r="E584" s="986">
        <v>2040109</v>
      </c>
      <c r="F584" s="970">
        <v>6977416</v>
      </c>
      <c r="G584" s="970"/>
      <c r="H584" s="971">
        <v>401964</v>
      </c>
      <c r="I584" s="972">
        <v>1694125</v>
      </c>
      <c r="J584" s="971">
        <v>996472</v>
      </c>
      <c r="K584" s="970">
        <v>15869</v>
      </c>
      <c r="L584" s="972">
        <f t="shared" si="18"/>
        <v>3108430</v>
      </c>
      <c r="M584" s="970"/>
      <c r="N584" s="971">
        <v>197509</v>
      </c>
      <c r="O584" s="971">
        <v>0</v>
      </c>
      <c r="P584" s="970">
        <v>86285</v>
      </c>
      <c r="Q584" s="972">
        <f t="shared" si="19"/>
        <v>283794</v>
      </c>
      <c r="R584" s="970"/>
      <c r="S584" s="971">
        <v>2351396</v>
      </c>
      <c r="T584" s="973">
        <v>-10848</v>
      </c>
      <c r="U584" s="973">
        <v>2340548</v>
      </c>
    </row>
    <row r="585" spans="1:21" x14ac:dyDescent="0.25">
      <c r="A585" s="967">
        <v>96404</v>
      </c>
      <c r="B585" s="968" t="s">
        <v>3221</v>
      </c>
      <c r="C585" s="969">
        <v>1.026E-4</v>
      </c>
      <c r="D585" s="969">
        <v>9.8800000000000003E-5</v>
      </c>
      <c r="E585" s="986">
        <v>57855</v>
      </c>
      <c r="F585" s="970">
        <v>156744</v>
      </c>
      <c r="G585" s="970"/>
      <c r="H585" s="971">
        <v>9030</v>
      </c>
      <c r="I585" s="972">
        <v>38058</v>
      </c>
      <c r="J585" s="971">
        <v>22385</v>
      </c>
      <c r="K585" s="970">
        <v>26983</v>
      </c>
      <c r="L585" s="972">
        <f t="shared" si="18"/>
        <v>96456</v>
      </c>
      <c r="M585" s="970"/>
      <c r="N585" s="971">
        <v>4437</v>
      </c>
      <c r="O585" s="971">
        <v>0</v>
      </c>
      <c r="P585" s="970">
        <v>0</v>
      </c>
      <c r="Q585" s="972">
        <f t="shared" si="19"/>
        <v>4437</v>
      </c>
      <c r="R585" s="970"/>
      <c r="S585" s="971">
        <v>52823</v>
      </c>
      <c r="T585" s="973">
        <v>10540</v>
      </c>
      <c r="U585" s="973">
        <v>63363</v>
      </c>
    </row>
    <row r="586" spans="1:21" x14ac:dyDescent="0.25">
      <c r="A586" s="967">
        <v>96405</v>
      </c>
      <c r="B586" s="968" t="s">
        <v>3222</v>
      </c>
      <c r="C586" s="969">
        <v>1.6139999999999999E-4</v>
      </c>
      <c r="D586" s="969">
        <v>1.7760000000000001E-4</v>
      </c>
      <c r="E586" s="986">
        <v>86618</v>
      </c>
      <c r="F586" s="970">
        <v>246574</v>
      </c>
      <c r="G586" s="970"/>
      <c r="H586" s="971">
        <v>14205</v>
      </c>
      <c r="I586" s="972">
        <v>59869</v>
      </c>
      <c r="J586" s="971">
        <v>35214</v>
      </c>
      <c r="K586" s="970">
        <v>10221</v>
      </c>
      <c r="L586" s="972">
        <f t="shared" si="18"/>
        <v>119509</v>
      </c>
      <c r="M586" s="970"/>
      <c r="N586" s="971">
        <v>6980</v>
      </c>
      <c r="O586" s="971">
        <v>0</v>
      </c>
      <c r="P586" s="970">
        <v>2204</v>
      </c>
      <c r="Q586" s="972">
        <f t="shared" si="19"/>
        <v>9184</v>
      </c>
      <c r="R586" s="970"/>
      <c r="S586" s="971">
        <v>83096</v>
      </c>
      <c r="T586" s="973">
        <v>4354</v>
      </c>
      <c r="U586" s="973">
        <v>87450</v>
      </c>
    </row>
    <row r="587" spans="1:21" x14ac:dyDescent="0.25">
      <c r="A587" s="967">
        <v>96411</v>
      </c>
      <c r="B587" s="968" t="s">
        <v>3223</v>
      </c>
      <c r="C587" s="969">
        <v>7.2299999999999996E-5</v>
      </c>
      <c r="D587" s="969">
        <v>5.66E-5</v>
      </c>
      <c r="E587" s="986">
        <v>28784</v>
      </c>
      <c r="F587" s="970">
        <v>110454</v>
      </c>
      <c r="G587" s="970"/>
      <c r="H587" s="971">
        <v>6363</v>
      </c>
      <c r="I587" s="972">
        <v>26818</v>
      </c>
      <c r="J587" s="971">
        <v>15774</v>
      </c>
      <c r="K587" s="970">
        <v>12280</v>
      </c>
      <c r="L587" s="972">
        <f t="shared" si="18"/>
        <v>61235</v>
      </c>
      <c r="M587" s="970"/>
      <c r="N587" s="971">
        <v>3127</v>
      </c>
      <c r="O587" s="971">
        <v>0</v>
      </c>
      <c r="P587" s="970">
        <v>4004</v>
      </c>
      <c r="Q587" s="972">
        <f t="shared" si="19"/>
        <v>7131</v>
      </c>
      <c r="R587" s="970"/>
      <c r="S587" s="971">
        <v>37223</v>
      </c>
      <c r="T587" s="973">
        <v>2528</v>
      </c>
      <c r="U587" s="973">
        <v>39751</v>
      </c>
    </row>
    <row r="588" spans="1:21" x14ac:dyDescent="0.25">
      <c r="A588" s="967">
        <v>96421</v>
      </c>
      <c r="B588" s="968" t="s">
        <v>3224</v>
      </c>
      <c r="C588" s="969">
        <v>4.2529999999999998E-4</v>
      </c>
      <c r="D588" s="969">
        <v>4.2860000000000001E-4</v>
      </c>
      <c r="E588" s="986">
        <v>170404</v>
      </c>
      <c r="F588" s="970">
        <v>649741</v>
      </c>
      <c r="G588" s="970"/>
      <c r="H588" s="971">
        <v>37431</v>
      </c>
      <c r="I588" s="972">
        <v>157758</v>
      </c>
      <c r="J588" s="971">
        <v>92792</v>
      </c>
      <c r="K588" s="970">
        <v>0</v>
      </c>
      <c r="L588" s="972">
        <f t="shared" si="18"/>
        <v>287981</v>
      </c>
      <c r="M588" s="970"/>
      <c r="N588" s="971">
        <v>18392</v>
      </c>
      <c r="O588" s="971">
        <v>0</v>
      </c>
      <c r="P588" s="970">
        <v>78762</v>
      </c>
      <c r="Q588" s="972">
        <f t="shared" si="19"/>
        <v>97154</v>
      </c>
      <c r="R588" s="970"/>
      <c r="S588" s="971">
        <v>218963</v>
      </c>
      <c r="T588" s="973">
        <v>-35149</v>
      </c>
      <c r="U588" s="973">
        <v>183814</v>
      </c>
    </row>
    <row r="589" spans="1:21" x14ac:dyDescent="0.25">
      <c r="A589" s="967">
        <v>96431</v>
      </c>
      <c r="B589" s="968" t="s">
        <v>3225</v>
      </c>
      <c r="C589" s="969">
        <v>4.2799999999999997E-5</v>
      </c>
      <c r="D589" s="969">
        <v>5.6100000000000002E-5</v>
      </c>
      <c r="E589" s="986">
        <v>21290</v>
      </c>
      <c r="F589" s="970">
        <v>65387</v>
      </c>
      <c r="G589" s="970"/>
      <c r="H589" s="971">
        <v>3767</v>
      </c>
      <c r="I589" s="972">
        <v>15876</v>
      </c>
      <c r="J589" s="971">
        <v>9338</v>
      </c>
      <c r="K589" s="970">
        <v>6277</v>
      </c>
      <c r="L589" s="972">
        <f t="shared" si="18"/>
        <v>35258</v>
      </c>
      <c r="M589" s="970"/>
      <c r="N589" s="971">
        <v>1851</v>
      </c>
      <c r="O589" s="971">
        <v>0</v>
      </c>
      <c r="P589" s="970">
        <v>10135</v>
      </c>
      <c r="Q589" s="972">
        <f t="shared" si="19"/>
        <v>11986</v>
      </c>
      <c r="R589" s="970"/>
      <c r="S589" s="971">
        <v>22035</v>
      </c>
      <c r="T589" s="973">
        <v>-1596</v>
      </c>
      <c r="U589" s="973">
        <v>20439</v>
      </c>
    </row>
    <row r="590" spans="1:21" x14ac:dyDescent="0.25">
      <c r="A590" s="967">
        <v>96441</v>
      </c>
      <c r="B590" s="968" t="s">
        <v>3226</v>
      </c>
      <c r="C590" s="969">
        <v>2.97E-5</v>
      </c>
      <c r="D590" s="969">
        <v>3.1199999999999999E-5</v>
      </c>
      <c r="E590" s="986">
        <v>18707</v>
      </c>
      <c r="F590" s="970">
        <v>45373</v>
      </c>
      <c r="G590" s="970"/>
      <c r="H590" s="971">
        <v>2614</v>
      </c>
      <c r="I590" s="972">
        <v>11017</v>
      </c>
      <c r="J590" s="971">
        <v>6480</v>
      </c>
      <c r="K590" s="970">
        <v>7489</v>
      </c>
      <c r="L590" s="972">
        <f t="shared" si="18"/>
        <v>27600</v>
      </c>
      <c r="M590" s="970"/>
      <c r="N590" s="971">
        <v>1284</v>
      </c>
      <c r="O590" s="971">
        <v>0</v>
      </c>
      <c r="P590" s="970">
        <v>440</v>
      </c>
      <c r="Q590" s="972">
        <f t="shared" si="19"/>
        <v>1724</v>
      </c>
      <c r="R590" s="970"/>
      <c r="S590" s="971">
        <v>15291</v>
      </c>
      <c r="T590" s="973">
        <v>2815</v>
      </c>
      <c r="U590" s="973">
        <v>18106</v>
      </c>
    </row>
    <row r="591" spans="1:21" x14ac:dyDescent="0.25">
      <c r="A591" s="967">
        <v>96451</v>
      </c>
      <c r="B591" s="968" t="s">
        <v>3227</v>
      </c>
      <c r="C591" s="969">
        <v>2.0299999999999999E-5</v>
      </c>
      <c r="D591" s="969">
        <v>1.38E-5</v>
      </c>
      <c r="E591" s="986">
        <v>8566</v>
      </c>
      <c r="F591" s="970">
        <v>31013</v>
      </c>
      <c r="G591" s="970"/>
      <c r="H591" s="971">
        <v>1787</v>
      </c>
      <c r="I591" s="972">
        <v>7530</v>
      </c>
      <c r="J591" s="971">
        <v>4429</v>
      </c>
      <c r="K591" s="970">
        <v>6431</v>
      </c>
      <c r="L591" s="972">
        <f t="shared" si="18"/>
        <v>20177</v>
      </c>
      <c r="M591" s="970"/>
      <c r="N591" s="971">
        <v>878</v>
      </c>
      <c r="O591" s="971">
        <v>0</v>
      </c>
      <c r="P591" s="970">
        <v>1319</v>
      </c>
      <c r="Q591" s="972">
        <f t="shared" si="19"/>
        <v>2197</v>
      </c>
      <c r="R591" s="970"/>
      <c r="S591" s="971">
        <v>10451</v>
      </c>
      <c r="T591" s="973">
        <v>994</v>
      </c>
      <c r="U591" s="973">
        <v>11445</v>
      </c>
    </row>
    <row r="592" spans="1:21" x14ac:dyDescent="0.25">
      <c r="A592" s="967">
        <v>96461</v>
      </c>
      <c r="B592" s="968" t="s">
        <v>3228</v>
      </c>
      <c r="C592" s="969">
        <v>1.361E-4</v>
      </c>
      <c r="D592" s="969">
        <v>1.3410000000000001E-4</v>
      </c>
      <c r="E592" s="986">
        <v>63932</v>
      </c>
      <c r="F592" s="970">
        <v>207923</v>
      </c>
      <c r="G592" s="970"/>
      <c r="H592" s="971">
        <v>11978</v>
      </c>
      <c r="I592" s="972">
        <v>50484</v>
      </c>
      <c r="J592" s="971">
        <v>29694</v>
      </c>
      <c r="K592" s="970">
        <v>6504</v>
      </c>
      <c r="L592" s="972">
        <f t="shared" si="18"/>
        <v>98660</v>
      </c>
      <c r="M592" s="970"/>
      <c r="N592" s="971">
        <v>5886</v>
      </c>
      <c r="O592" s="971">
        <v>0</v>
      </c>
      <c r="P592" s="970">
        <v>18452</v>
      </c>
      <c r="Q592" s="972">
        <f t="shared" si="19"/>
        <v>24338</v>
      </c>
      <c r="R592" s="970"/>
      <c r="S592" s="971">
        <v>70070</v>
      </c>
      <c r="T592" s="973">
        <v>-3923</v>
      </c>
      <c r="U592" s="973">
        <f>66148-1</f>
        <v>66147</v>
      </c>
    </row>
    <row r="593" spans="1:21" x14ac:dyDescent="0.25">
      <c r="A593" s="967">
        <v>96501</v>
      </c>
      <c r="B593" s="968" t="s">
        <v>3229</v>
      </c>
      <c r="C593" s="969">
        <v>1.44739E-2</v>
      </c>
      <c r="D593" s="969">
        <v>1.4156999999999999E-2</v>
      </c>
      <c r="E593" s="986">
        <v>6399556</v>
      </c>
      <c r="F593" s="970">
        <v>22112110</v>
      </c>
      <c r="G593" s="970"/>
      <c r="H593" s="971">
        <v>1273862</v>
      </c>
      <c r="I593" s="972">
        <v>5368847</v>
      </c>
      <c r="J593" s="971">
        <v>3157916</v>
      </c>
      <c r="K593" s="970">
        <v>365065</v>
      </c>
      <c r="L593" s="972">
        <f t="shared" si="18"/>
        <v>10165690</v>
      </c>
      <c r="M593" s="970"/>
      <c r="N593" s="971">
        <v>625924</v>
      </c>
      <c r="O593" s="971">
        <v>0</v>
      </c>
      <c r="P593" s="970">
        <v>292930</v>
      </c>
      <c r="Q593" s="972">
        <f t="shared" si="19"/>
        <v>918854</v>
      </c>
      <c r="R593" s="970"/>
      <c r="S593" s="971">
        <v>7451801</v>
      </c>
      <c r="T593" s="973">
        <v>150498</v>
      </c>
      <c r="U593" s="973">
        <f>7602298+1</f>
        <v>7602299</v>
      </c>
    </row>
    <row r="594" spans="1:21" x14ac:dyDescent="0.25">
      <c r="A594" s="967">
        <v>96502</v>
      </c>
      <c r="B594" s="968" t="s">
        <v>3230</v>
      </c>
      <c r="C594" s="969">
        <v>4.2440000000000002E-4</v>
      </c>
      <c r="D594" s="969">
        <v>4.2309999999999998E-4</v>
      </c>
      <c r="E594" s="986">
        <v>198105</v>
      </c>
      <c r="F594" s="970">
        <v>648366</v>
      </c>
      <c r="G594" s="970"/>
      <c r="H594" s="971">
        <v>37352</v>
      </c>
      <c r="I594" s="972">
        <v>157424</v>
      </c>
      <c r="J594" s="971">
        <v>92596</v>
      </c>
      <c r="K594" s="970">
        <v>39317</v>
      </c>
      <c r="L594" s="972">
        <f t="shared" si="18"/>
        <v>326689</v>
      </c>
      <c r="M594" s="970"/>
      <c r="N594" s="971">
        <v>18353</v>
      </c>
      <c r="O594" s="971">
        <v>0</v>
      </c>
      <c r="P594" s="970">
        <v>0</v>
      </c>
      <c r="Q594" s="972">
        <f t="shared" si="19"/>
        <v>18353</v>
      </c>
      <c r="R594" s="970"/>
      <c r="S594" s="971">
        <v>218500</v>
      </c>
      <c r="T594" s="973">
        <v>23185</v>
      </c>
      <c r="U594" s="973">
        <v>241685</v>
      </c>
    </row>
    <row r="595" spans="1:21" x14ac:dyDescent="0.25">
      <c r="A595" s="967">
        <v>96503</v>
      </c>
      <c r="B595" s="968" t="s">
        <v>3692</v>
      </c>
      <c r="C595" s="969">
        <v>3.0039999999999998E-4</v>
      </c>
      <c r="D595" s="969">
        <v>3.3700000000000001E-4</v>
      </c>
      <c r="E595" s="986">
        <v>293863</v>
      </c>
      <c r="F595" s="970">
        <v>458928</v>
      </c>
      <c r="G595" s="970"/>
      <c r="H595" s="971">
        <v>26439</v>
      </c>
      <c r="I595" s="972">
        <v>111428</v>
      </c>
      <c r="J595" s="971">
        <v>65541</v>
      </c>
      <c r="K595" s="970">
        <v>240013</v>
      </c>
      <c r="L595" s="972">
        <f t="shared" si="18"/>
        <v>443421</v>
      </c>
      <c r="M595" s="970"/>
      <c r="N595" s="971">
        <v>12991</v>
      </c>
      <c r="O595" s="971">
        <v>0</v>
      </c>
      <c r="P595" s="970">
        <v>14874</v>
      </c>
      <c r="Q595" s="972">
        <f t="shared" si="19"/>
        <v>27865</v>
      </c>
      <c r="R595" s="970"/>
      <c r="S595" s="971">
        <v>154659</v>
      </c>
      <c r="T595" s="973">
        <v>71167</v>
      </c>
      <c r="U595" s="973">
        <v>225826</v>
      </c>
    </row>
    <row r="596" spans="1:21" x14ac:dyDescent="0.25">
      <c r="A596" s="967">
        <v>96504</v>
      </c>
      <c r="B596" s="968" t="s">
        <v>3232</v>
      </c>
      <c r="C596" s="969">
        <v>4.1760000000000001E-4</v>
      </c>
      <c r="D596" s="969">
        <v>3.6039999999999998E-4</v>
      </c>
      <c r="E596" s="986">
        <v>189892</v>
      </c>
      <c r="F596" s="970">
        <v>637977</v>
      </c>
      <c r="G596" s="970"/>
      <c r="H596" s="971">
        <v>36753</v>
      </c>
      <c r="I596" s="972">
        <v>154902</v>
      </c>
      <c r="J596" s="971">
        <v>91112</v>
      </c>
      <c r="K596" s="970">
        <v>44166</v>
      </c>
      <c r="L596" s="972">
        <f t="shared" si="18"/>
        <v>326933</v>
      </c>
      <c r="M596" s="970"/>
      <c r="N596" s="971">
        <v>18059</v>
      </c>
      <c r="O596" s="971">
        <v>0</v>
      </c>
      <c r="P596" s="970">
        <v>4428</v>
      </c>
      <c r="Q596" s="972">
        <f t="shared" si="19"/>
        <v>22487</v>
      </c>
      <c r="R596" s="970"/>
      <c r="S596" s="971">
        <v>214999</v>
      </c>
      <c r="T596" s="973">
        <v>11523</v>
      </c>
      <c r="U596" s="973">
        <f>226521+1</f>
        <v>226522</v>
      </c>
    </row>
    <row r="597" spans="1:21" x14ac:dyDescent="0.25">
      <c r="A597" s="967">
        <v>96507</v>
      </c>
      <c r="B597" s="968" t="s">
        <v>3233</v>
      </c>
      <c r="C597" s="969">
        <v>2.2147E-3</v>
      </c>
      <c r="D597" s="969">
        <v>2.2604999999999999E-3</v>
      </c>
      <c r="E597" s="986">
        <v>1026624</v>
      </c>
      <c r="F597" s="970">
        <v>3383448</v>
      </c>
      <c r="G597" s="970"/>
      <c r="H597" s="971">
        <v>194918</v>
      </c>
      <c r="I597" s="972">
        <v>821505</v>
      </c>
      <c r="J597" s="971">
        <v>483203</v>
      </c>
      <c r="K597" s="970">
        <v>115759</v>
      </c>
      <c r="L597" s="972">
        <f t="shared" si="18"/>
        <v>1615385</v>
      </c>
      <c r="M597" s="970"/>
      <c r="N597" s="971">
        <v>95775</v>
      </c>
      <c r="O597" s="971">
        <v>0</v>
      </c>
      <c r="P597" s="970">
        <v>22795</v>
      </c>
      <c r="Q597" s="972">
        <f t="shared" si="19"/>
        <v>118570</v>
      </c>
      <c r="R597" s="970"/>
      <c r="S597" s="971">
        <v>1140225</v>
      </c>
      <c r="T597" s="973">
        <v>58867</v>
      </c>
      <c r="U597" s="973">
        <v>1199092</v>
      </c>
    </row>
    <row r="598" spans="1:21" x14ac:dyDescent="0.25">
      <c r="A598" s="967">
        <v>96508</v>
      </c>
      <c r="B598" s="968" t="s">
        <v>3234</v>
      </c>
      <c r="C598" s="969">
        <v>8.6000000000000007E-6</v>
      </c>
      <c r="D598" s="969">
        <v>9.7999999999999993E-6</v>
      </c>
      <c r="E598" s="986">
        <v>11086</v>
      </c>
      <c r="F598" s="970">
        <v>13138</v>
      </c>
      <c r="G598" s="970"/>
      <c r="H598" s="971">
        <v>757</v>
      </c>
      <c r="I598" s="972">
        <v>3190</v>
      </c>
      <c r="J598" s="971">
        <v>1876</v>
      </c>
      <c r="K598" s="970">
        <v>11113</v>
      </c>
      <c r="L598" s="972">
        <f t="shared" si="18"/>
        <v>16936</v>
      </c>
      <c r="M598" s="970"/>
      <c r="N598" s="971">
        <v>372</v>
      </c>
      <c r="O598" s="971">
        <v>0</v>
      </c>
      <c r="P598" s="970">
        <v>0</v>
      </c>
      <c r="Q598" s="972">
        <f t="shared" si="19"/>
        <v>372</v>
      </c>
      <c r="R598" s="970"/>
      <c r="S598" s="971">
        <v>4428</v>
      </c>
      <c r="T598" s="973">
        <v>4402</v>
      </c>
      <c r="U598" s="973">
        <v>8830</v>
      </c>
    </row>
    <row r="599" spans="1:21" x14ac:dyDescent="0.25">
      <c r="A599" s="967">
        <v>96511</v>
      </c>
      <c r="B599" s="968" t="s">
        <v>3235</v>
      </c>
      <c r="C599" s="969">
        <v>6.2069999999999996E-4</v>
      </c>
      <c r="D599" s="969">
        <v>6.221E-4</v>
      </c>
      <c r="E599" s="986">
        <v>276057</v>
      </c>
      <c r="F599" s="970">
        <v>948258</v>
      </c>
      <c r="G599" s="970"/>
      <c r="H599" s="971">
        <v>54628</v>
      </c>
      <c r="I599" s="972">
        <v>230238</v>
      </c>
      <c r="J599" s="971">
        <v>135424</v>
      </c>
      <c r="K599" s="970">
        <v>0</v>
      </c>
      <c r="L599" s="972">
        <f t="shared" si="18"/>
        <v>420290</v>
      </c>
      <c r="M599" s="970"/>
      <c r="N599" s="971">
        <v>26842</v>
      </c>
      <c r="O599" s="971">
        <v>0</v>
      </c>
      <c r="P599" s="970">
        <v>95843</v>
      </c>
      <c r="Q599" s="972">
        <f t="shared" si="19"/>
        <v>122685</v>
      </c>
      <c r="R599" s="970"/>
      <c r="S599" s="971">
        <v>319564</v>
      </c>
      <c r="T599" s="973">
        <v>-49396</v>
      </c>
      <c r="U599" s="973">
        <v>270168</v>
      </c>
    </row>
    <row r="600" spans="1:21" x14ac:dyDescent="0.25">
      <c r="A600" s="967">
        <v>96512</v>
      </c>
      <c r="B600" s="968" t="s">
        <v>3236</v>
      </c>
      <c r="C600" s="969">
        <v>1.5119999999999999E-4</v>
      </c>
      <c r="D600" s="969">
        <v>1.7000000000000001E-4</v>
      </c>
      <c r="E600" s="986">
        <v>72715</v>
      </c>
      <c r="F600" s="970">
        <v>230992</v>
      </c>
      <c r="G600" s="970"/>
      <c r="H600" s="971">
        <v>13307</v>
      </c>
      <c r="I600" s="972">
        <v>56085</v>
      </c>
      <c r="J600" s="971">
        <v>32989</v>
      </c>
      <c r="K600" s="970">
        <v>5578</v>
      </c>
      <c r="L600" s="972">
        <f t="shared" si="18"/>
        <v>107959</v>
      </c>
      <c r="M600" s="970"/>
      <c r="N600" s="971">
        <v>6539</v>
      </c>
      <c r="O600" s="971">
        <v>0</v>
      </c>
      <c r="P600" s="970">
        <v>9964</v>
      </c>
      <c r="Q600" s="972">
        <f t="shared" si="19"/>
        <v>16503</v>
      </c>
      <c r="R600" s="970"/>
      <c r="S600" s="971">
        <v>77844</v>
      </c>
      <c r="T600" s="973">
        <v>198</v>
      </c>
      <c r="U600" s="973">
        <v>78042</v>
      </c>
    </row>
    <row r="601" spans="1:21" x14ac:dyDescent="0.25">
      <c r="A601" s="967">
        <v>96521</v>
      </c>
      <c r="B601" s="968" t="s">
        <v>3238</v>
      </c>
      <c r="C601" s="969">
        <v>9.881E-4</v>
      </c>
      <c r="D601" s="969">
        <v>9.4240000000000003E-4</v>
      </c>
      <c r="E601" s="986">
        <v>408178</v>
      </c>
      <c r="F601" s="970">
        <v>1509543</v>
      </c>
      <c r="G601" s="970"/>
      <c r="H601" s="971">
        <v>86964</v>
      </c>
      <c r="I601" s="972">
        <v>366519</v>
      </c>
      <c r="J601" s="971">
        <v>215584</v>
      </c>
      <c r="K601" s="970">
        <v>30024</v>
      </c>
      <c r="L601" s="972">
        <f t="shared" si="18"/>
        <v>699091</v>
      </c>
      <c r="M601" s="970"/>
      <c r="N601" s="971">
        <v>42730</v>
      </c>
      <c r="O601" s="971">
        <v>0</v>
      </c>
      <c r="P601" s="970">
        <v>25241</v>
      </c>
      <c r="Q601" s="972">
        <f t="shared" si="19"/>
        <v>67971</v>
      </c>
      <c r="R601" s="970"/>
      <c r="S601" s="971">
        <v>508717</v>
      </c>
      <c r="T601" s="973">
        <v>6710</v>
      </c>
      <c r="U601" s="973">
        <f>515428-1</f>
        <v>515427</v>
      </c>
    </row>
    <row r="602" spans="1:21" x14ac:dyDescent="0.25">
      <c r="A602" s="967">
        <v>96531</v>
      </c>
      <c r="B602" s="968" t="s">
        <v>3239</v>
      </c>
      <c r="C602" s="969">
        <v>8.5845000000000001E-3</v>
      </c>
      <c r="D602" s="969">
        <v>8.6088999999999992E-3</v>
      </c>
      <c r="E602" s="986">
        <v>3779881</v>
      </c>
      <c r="F602" s="970">
        <v>13114738</v>
      </c>
      <c r="G602" s="970"/>
      <c r="H602" s="971">
        <v>755530</v>
      </c>
      <c r="I602" s="972">
        <v>3184274</v>
      </c>
      <c r="J602" s="971">
        <v>1872966</v>
      </c>
      <c r="K602" s="970">
        <v>48765</v>
      </c>
      <c r="L602" s="972">
        <f t="shared" si="18"/>
        <v>5861535</v>
      </c>
      <c r="M602" s="970"/>
      <c r="N602" s="971">
        <v>371237</v>
      </c>
      <c r="O602" s="971">
        <v>0</v>
      </c>
      <c r="P602" s="970">
        <v>418860</v>
      </c>
      <c r="Q602" s="972">
        <f t="shared" si="19"/>
        <v>790097</v>
      </c>
      <c r="R602" s="970"/>
      <c r="S602" s="971">
        <v>4419678</v>
      </c>
      <c r="T602" s="973">
        <v>-117601</v>
      </c>
      <c r="U602" s="973">
        <v>4302077</v>
      </c>
    </row>
    <row r="603" spans="1:21" x14ac:dyDescent="0.25">
      <c r="A603" s="967">
        <v>96541</v>
      </c>
      <c r="B603" s="968" t="s">
        <v>3240</v>
      </c>
      <c r="C603" s="969">
        <v>3.5950000000000001E-4</v>
      </c>
      <c r="D603" s="969">
        <v>3.3169999999999999E-4</v>
      </c>
      <c r="E603" s="986">
        <v>156792</v>
      </c>
      <c r="F603" s="970">
        <v>549216</v>
      </c>
      <c r="G603" s="970"/>
      <c r="H603" s="971">
        <v>31640</v>
      </c>
      <c r="I603" s="972">
        <v>133350</v>
      </c>
      <c r="J603" s="971">
        <v>78436</v>
      </c>
      <c r="K603" s="970">
        <v>24801</v>
      </c>
      <c r="L603" s="972">
        <f t="shared" si="18"/>
        <v>268227</v>
      </c>
      <c r="M603" s="970"/>
      <c r="N603" s="971">
        <v>15547</v>
      </c>
      <c r="O603" s="971">
        <v>0</v>
      </c>
      <c r="P603" s="970">
        <v>0</v>
      </c>
      <c r="Q603" s="972">
        <f t="shared" si="19"/>
        <v>15547</v>
      </c>
      <c r="R603" s="970"/>
      <c r="S603" s="971">
        <v>185086</v>
      </c>
      <c r="T603" s="973">
        <v>13028</v>
      </c>
      <c r="U603" s="973">
        <f>198115-1</f>
        <v>198114</v>
      </c>
    </row>
    <row r="604" spans="1:21" x14ac:dyDescent="0.25">
      <c r="A604" s="967">
        <v>96601</v>
      </c>
      <c r="B604" s="968" t="s">
        <v>3241</v>
      </c>
      <c r="C604" s="969">
        <v>1.8169E-3</v>
      </c>
      <c r="D604" s="969">
        <v>1.8416000000000001E-3</v>
      </c>
      <c r="E604" s="986">
        <v>878872</v>
      </c>
      <c r="F604" s="970">
        <v>2775720</v>
      </c>
      <c r="G604" s="970"/>
      <c r="H604" s="971">
        <v>159907</v>
      </c>
      <c r="I604" s="972">
        <v>673948</v>
      </c>
      <c r="J604" s="971">
        <v>396411</v>
      </c>
      <c r="K604" s="970">
        <v>50154</v>
      </c>
      <c r="L604" s="972">
        <f t="shared" si="18"/>
        <v>1280420</v>
      </c>
      <c r="M604" s="970"/>
      <c r="N604" s="971">
        <v>78572</v>
      </c>
      <c r="O604" s="971">
        <v>0</v>
      </c>
      <c r="P604" s="970">
        <v>4139</v>
      </c>
      <c r="Q604" s="972">
        <f t="shared" si="19"/>
        <v>82711</v>
      </c>
      <c r="R604" s="970"/>
      <c r="S604" s="971">
        <v>935420</v>
      </c>
      <c r="T604" s="973">
        <v>30132</v>
      </c>
      <c r="U604" s="973">
        <v>965552</v>
      </c>
    </row>
    <row r="605" spans="1:21" x14ac:dyDescent="0.25">
      <c r="A605" s="967">
        <v>96604</v>
      </c>
      <c r="B605" s="968" t="s">
        <v>3242</v>
      </c>
      <c r="C605" s="969">
        <v>7.6000000000000001E-6</v>
      </c>
      <c r="D605" s="969">
        <v>7.9000000000000006E-6</v>
      </c>
      <c r="E605" s="986">
        <v>5011</v>
      </c>
      <c r="F605" s="970">
        <v>11611</v>
      </c>
      <c r="G605" s="970"/>
      <c r="H605" s="971">
        <v>669</v>
      </c>
      <c r="I605" s="972">
        <v>2819</v>
      </c>
      <c r="J605" s="971">
        <v>1658</v>
      </c>
      <c r="K605" s="970">
        <v>2027</v>
      </c>
      <c r="L605" s="972">
        <f t="shared" si="18"/>
        <v>7173</v>
      </c>
      <c r="M605" s="970"/>
      <c r="N605" s="971">
        <v>329</v>
      </c>
      <c r="O605" s="971">
        <v>0</v>
      </c>
      <c r="P605" s="970">
        <v>70</v>
      </c>
      <c r="Q605" s="972">
        <f t="shared" si="19"/>
        <v>399</v>
      </c>
      <c r="R605" s="970"/>
      <c r="S605" s="971">
        <v>3913</v>
      </c>
      <c r="T605" s="973">
        <v>799</v>
      </c>
      <c r="U605" s="973">
        <v>4712</v>
      </c>
    </row>
    <row r="606" spans="1:21" x14ac:dyDescent="0.25">
      <c r="A606" s="967">
        <v>96611</v>
      </c>
      <c r="B606" s="968" t="s">
        <v>3243</v>
      </c>
      <c r="C606" s="969">
        <v>2.83E-5</v>
      </c>
      <c r="D606" s="969">
        <v>3.29E-5</v>
      </c>
      <c r="E606" s="986">
        <v>12016</v>
      </c>
      <c r="F606" s="970">
        <v>43235</v>
      </c>
      <c r="G606" s="970"/>
      <c r="H606" s="971">
        <v>2491</v>
      </c>
      <c r="I606" s="972">
        <v>10498</v>
      </c>
      <c r="J606" s="971">
        <v>6174</v>
      </c>
      <c r="K606" s="970">
        <v>1561</v>
      </c>
      <c r="L606" s="972">
        <f t="shared" si="18"/>
        <v>20724</v>
      </c>
      <c r="M606" s="970"/>
      <c r="N606" s="971">
        <v>1224</v>
      </c>
      <c r="O606" s="971">
        <v>0</v>
      </c>
      <c r="P606" s="970">
        <v>4284</v>
      </c>
      <c r="Q606" s="972">
        <f t="shared" si="19"/>
        <v>5508</v>
      </c>
      <c r="R606" s="970"/>
      <c r="S606" s="971">
        <v>14570</v>
      </c>
      <c r="T606" s="973">
        <v>112</v>
      </c>
      <c r="U606" s="973">
        <f>14683-1</f>
        <v>14682</v>
      </c>
    </row>
    <row r="607" spans="1:21" x14ac:dyDescent="0.25">
      <c r="A607" s="967">
        <v>96612</v>
      </c>
      <c r="B607" s="968" t="s">
        <v>3244</v>
      </c>
      <c r="C607" s="969">
        <v>6.3299999999999994E-5</v>
      </c>
      <c r="D607" s="969">
        <v>6.3899999999999995E-5</v>
      </c>
      <c r="E607" s="986">
        <v>32834</v>
      </c>
      <c r="F607" s="970">
        <v>96705</v>
      </c>
      <c r="G607" s="970"/>
      <c r="H607" s="971">
        <v>5571</v>
      </c>
      <c r="I607" s="972">
        <v>23480</v>
      </c>
      <c r="J607" s="971">
        <v>13811</v>
      </c>
      <c r="K607" s="970">
        <v>7699</v>
      </c>
      <c r="L607" s="972">
        <f t="shared" si="18"/>
        <v>50561</v>
      </c>
      <c r="M607" s="970"/>
      <c r="N607" s="971">
        <v>2737</v>
      </c>
      <c r="O607" s="971">
        <v>0</v>
      </c>
      <c r="P607" s="970">
        <v>658</v>
      </c>
      <c r="Q607" s="972">
        <f t="shared" si="19"/>
        <v>3395</v>
      </c>
      <c r="R607" s="970"/>
      <c r="S607" s="971">
        <v>32590</v>
      </c>
      <c r="T607" s="973">
        <v>2270</v>
      </c>
      <c r="U607" s="973">
        <f>34859+1</f>
        <v>34860</v>
      </c>
    </row>
    <row r="608" spans="1:21" x14ac:dyDescent="0.25">
      <c r="A608" s="967">
        <v>96621</v>
      </c>
      <c r="B608" s="968" t="s">
        <v>3245</v>
      </c>
      <c r="C608" s="969">
        <v>2.5999999999999998E-5</v>
      </c>
      <c r="D608" s="969">
        <v>2.65E-5</v>
      </c>
      <c r="E608" s="986">
        <v>13235</v>
      </c>
      <c r="F608" s="970">
        <v>39721</v>
      </c>
      <c r="G608" s="970"/>
      <c r="H608" s="971">
        <v>2288</v>
      </c>
      <c r="I608" s="972">
        <v>9644</v>
      </c>
      <c r="J608" s="971">
        <v>5673</v>
      </c>
      <c r="K608" s="970">
        <v>1435</v>
      </c>
      <c r="L608" s="972">
        <f t="shared" si="18"/>
        <v>19040</v>
      </c>
      <c r="M608" s="970"/>
      <c r="N608" s="971">
        <v>1124</v>
      </c>
      <c r="O608" s="971">
        <v>0</v>
      </c>
      <c r="P608" s="970">
        <v>4828</v>
      </c>
      <c r="Q608" s="972">
        <f t="shared" si="19"/>
        <v>5952</v>
      </c>
      <c r="R608" s="970"/>
      <c r="S608" s="971">
        <v>13386</v>
      </c>
      <c r="T608" s="973">
        <v>-2281</v>
      </c>
      <c r="U608" s="973">
        <v>11105</v>
      </c>
    </row>
    <row r="609" spans="1:21" x14ac:dyDescent="0.25">
      <c r="A609" s="967">
        <v>96631</v>
      </c>
      <c r="B609" s="968" t="s">
        <v>3246</v>
      </c>
      <c r="C609" s="969">
        <v>2.51E-5</v>
      </c>
      <c r="D609" s="969">
        <v>2.5899999999999999E-5</v>
      </c>
      <c r="E609" s="986">
        <v>11905</v>
      </c>
      <c r="F609" s="970">
        <v>38346</v>
      </c>
      <c r="G609" s="970"/>
      <c r="H609" s="971">
        <v>2209</v>
      </c>
      <c r="I609" s="972">
        <v>9311</v>
      </c>
      <c r="J609" s="971">
        <v>5476</v>
      </c>
      <c r="K609" s="970">
        <v>3375</v>
      </c>
      <c r="L609" s="972">
        <f t="shared" si="18"/>
        <v>20371</v>
      </c>
      <c r="M609" s="970"/>
      <c r="N609" s="971">
        <v>1085</v>
      </c>
      <c r="O609" s="971">
        <v>0</v>
      </c>
      <c r="P609" s="970">
        <v>345</v>
      </c>
      <c r="Q609" s="972">
        <f t="shared" si="19"/>
        <v>1430</v>
      </c>
      <c r="R609" s="970"/>
      <c r="S609" s="971">
        <v>12923</v>
      </c>
      <c r="T609" s="973">
        <v>2192</v>
      </c>
      <c r="U609" s="973">
        <f>15114+1</f>
        <v>15115</v>
      </c>
    </row>
    <row r="610" spans="1:21" x14ac:dyDescent="0.25">
      <c r="A610" s="967">
        <v>96641</v>
      </c>
      <c r="B610" s="968" t="s">
        <v>3247</v>
      </c>
      <c r="C610" s="969">
        <v>3.2199999999999997E-5</v>
      </c>
      <c r="D610" s="969">
        <v>2.6999999999999999E-5</v>
      </c>
      <c r="E610" s="986">
        <v>20865</v>
      </c>
      <c r="F610" s="970">
        <v>49193</v>
      </c>
      <c r="G610" s="970"/>
      <c r="H610" s="971">
        <v>2834</v>
      </c>
      <c r="I610" s="972">
        <v>11944</v>
      </c>
      <c r="J610" s="971">
        <v>7025</v>
      </c>
      <c r="K610" s="970">
        <v>15380</v>
      </c>
      <c r="L610" s="972">
        <f t="shared" si="18"/>
        <v>37183</v>
      </c>
      <c r="M610" s="970"/>
      <c r="N610" s="971">
        <v>1392</v>
      </c>
      <c r="O610" s="971">
        <v>0</v>
      </c>
      <c r="P610" s="970">
        <v>0</v>
      </c>
      <c r="Q610" s="972">
        <f t="shared" si="19"/>
        <v>1392</v>
      </c>
      <c r="R610" s="970"/>
      <c r="S610" s="971">
        <v>16578</v>
      </c>
      <c r="T610" s="973">
        <v>5934</v>
      </c>
      <c r="U610" s="973">
        <v>22512</v>
      </c>
    </row>
    <row r="611" spans="1:21" x14ac:dyDescent="0.25">
      <c r="A611" s="967">
        <v>96651</v>
      </c>
      <c r="B611" s="968" t="s">
        <v>3248</v>
      </c>
      <c r="C611" s="969">
        <v>1.7399999999999999E-5</v>
      </c>
      <c r="D611" s="969">
        <v>1.9400000000000001E-5</v>
      </c>
      <c r="E611" s="986">
        <v>11419</v>
      </c>
      <c r="F611" s="970">
        <v>26582</v>
      </c>
      <c r="G611" s="970"/>
      <c r="H611" s="971">
        <v>1531</v>
      </c>
      <c r="I611" s="972">
        <v>6454</v>
      </c>
      <c r="J611" s="971">
        <v>3796</v>
      </c>
      <c r="K611" s="970">
        <v>1983</v>
      </c>
      <c r="L611" s="972">
        <f t="shared" si="18"/>
        <v>13764</v>
      </c>
      <c r="M611" s="970"/>
      <c r="N611" s="971">
        <v>752</v>
      </c>
      <c r="O611" s="971">
        <v>0</v>
      </c>
      <c r="P611" s="970">
        <v>1305</v>
      </c>
      <c r="Q611" s="972">
        <f t="shared" si="19"/>
        <v>2057</v>
      </c>
      <c r="R611" s="970"/>
      <c r="S611" s="971">
        <v>8958</v>
      </c>
      <c r="T611" s="973">
        <v>-364</v>
      </c>
      <c r="U611" s="973">
        <f>8595-1</f>
        <v>8594</v>
      </c>
    </row>
    <row r="612" spans="1:21" x14ac:dyDescent="0.25">
      <c r="A612" s="967">
        <v>96661</v>
      </c>
      <c r="B612" s="968" t="s">
        <v>3249</v>
      </c>
      <c r="C612" s="969">
        <v>1.9700000000000001E-5</v>
      </c>
      <c r="D612" s="969">
        <v>1.9000000000000001E-5</v>
      </c>
      <c r="E612" s="986">
        <v>10400</v>
      </c>
      <c r="F612" s="970">
        <v>30096</v>
      </c>
      <c r="G612" s="970"/>
      <c r="H612" s="971">
        <v>1734</v>
      </c>
      <c r="I612" s="972">
        <v>7308</v>
      </c>
      <c r="J612" s="971">
        <v>4298</v>
      </c>
      <c r="K612" s="970">
        <v>5449</v>
      </c>
      <c r="L612" s="972">
        <f t="shared" si="18"/>
        <v>18789</v>
      </c>
      <c r="M612" s="970"/>
      <c r="N612" s="971">
        <v>852</v>
      </c>
      <c r="O612" s="971">
        <v>0</v>
      </c>
      <c r="P612" s="970">
        <v>0</v>
      </c>
      <c r="Q612" s="972">
        <f t="shared" si="19"/>
        <v>852</v>
      </c>
      <c r="R612" s="970"/>
      <c r="S612" s="971">
        <v>10142</v>
      </c>
      <c r="T612" s="973">
        <v>2525</v>
      </c>
      <c r="U612" s="973">
        <f>12668-1</f>
        <v>12667</v>
      </c>
    </row>
    <row r="613" spans="1:21" x14ac:dyDescent="0.25">
      <c r="A613" s="967">
        <v>96671</v>
      </c>
      <c r="B613" s="968" t="s">
        <v>3250</v>
      </c>
      <c r="C613" s="969">
        <v>1.49E-5</v>
      </c>
      <c r="D613" s="969">
        <v>1.5500000000000001E-5</v>
      </c>
      <c r="E613" s="986">
        <v>8400</v>
      </c>
      <c r="F613" s="970">
        <v>22763</v>
      </c>
      <c r="G613" s="970"/>
      <c r="H613" s="971">
        <v>1311</v>
      </c>
      <c r="I613" s="972">
        <v>5527</v>
      </c>
      <c r="J613" s="971">
        <v>3251</v>
      </c>
      <c r="K613" s="970">
        <v>8612</v>
      </c>
      <c r="L613" s="972">
        <f t="shared" si="18"/>
        <v>18701</v>
      </c>
      <c r="M613" s="970"/>
      <c r="N613" s="971">
        <v>644</v>
      </c>
      <c r="O613" s="971">
        <v>0</v>
      </c>
      <c r="P613" s="970">
        <v>208</v>
      </c>
      <c r="Q613" s="972">
        <f t="shared" si="19"/>
        <v>852</v>
      </c>
      <c r="R613" s="970"/>
      <c r="S613" s="971">
        <v>7671</v>
      </c>
      <c r="T613" s="973">
        <v>3620</v>
      </c>
      <c r="U613" s="973">
        <v>11291</v>
      </c>
    </row>
    <row r="614" spans="1:21" x14ac:dyDescent="0.25">
      <c r="A614" s="967">
        <v>96681</v>
      </c>
      <c r="B614" s="968" t="s">
        <v>3251</v>
      </c>
      <c r="C614" s="969">
        <v>1.7499999999999998E-5</v>
      </c>
      <c r="D614" s="969">
        <v>3.4799999999999999E-5</v>
      </c>
      <c r="E614" s="986">
        <v>12179</v>
      </c>
      <c r="F614" s="970">
        <v>26735</v>
      </c>
      <c r="G614" s="970"/>
      <c r="H614" s="971">
        <v>1540</v>
      </c>
      <c r="I614" s="972">
        <v>6491</v>
      </c>
      <c r="J614" s="971">
        <v>3818</v>
      </c>
      <c r="K614" s="970">
        <v>12682</v>
      </c>
      <c r="L614" s="972">
        <f t="shared" si="18"/>
        <v>24531</v>
      </c>
      <c r="M614" s="970"/>
      <c r="N614" s="971">
        <v>757</v>
      </c>
      <c r="O614" s="971">
        <v>0</v>
      </c>
      <c r="P614" s="970">
        <v>9027</v>
      </c>
      <c r="Q614" s="972">
        <f t="shared" si="19"/>
        <v>9784</v>
      </c>
      <c r="R614" s="970"/>
      <c r="S614" s="971">
        <v>9010</v>
      </c>
      <c r="T614" s="973">
        <v>3129</v>
      </c>
      <c r="U614" s="973">
        <v>12139</v>
      </c>
    </row>
    <row r="615" spans="1:21" x14ac:dyDescent="0.25">
      <c r="A615" s="967">
        <v>96701</v>
      </c>
      <c r="B615" s="968" t="s">
        <v>3252</v>
      </c>
      <c r="C615" s="969">
        <v>8.4206000000000003E-3</v>
      </c>
      <c r="D615" s="969">
        <v>7.7850000000000003E-3</v>
      </c>
      <c r="E615" s="986">
        <v>3657208</v>
      </c>
      <c r="F615" s="970">
        <v>12864344</v>
      </c>
      <c r="G615" s="970"/>
      <c r="H615" s="971">
        <v>741105</v>
      </c>
      <c r="I615" s="972">
        <v>3123478</v>
      </c>
      <c r="J615" s="971">
        <v>1837207</v>
      </c>
      <c r="K615" s="970">
        <v>445953</v>
      </c>
      <c r="L615" s="972">
        <f t="shared" si="18"/>
        <v>6147743</v>
      </c>
      <c r="M615" s="970"/>
      <c r="N615" s="971">
        <v>364149</v>
      </c>
      <c r="O615" s="971">
        <v>0</v>
      </c>
      <c r="P615" s="970">
        <v>51464</v>
      </c>
      <c r="Q615" s="972">
        <f t="shared" si="19"/>
        <v>415613</v>
      </c>
      <c r="R615" s="970"/>
      <c r="S615" s="971">
        <v>4335295</v>
      </c>
      <c r="T615" s="973">
        <v>139565</v>
      </c>
      <c r="U615" s="973">
        <f>4474861-1</f>
        <v>4474860</v>
      </c>
    </row>
    <row r="616" spans="1:21" x14ac:dyDescent="0.25">
      <c r="A616" s="967">
        <v>96704</v>
      </c>
      <c r="B616" s="968" t="s">
        <v>3253</v>
      </c>
      <c r="C616" s="969">
        <v>1.7259999999999999E-4</v>
      </c>
      <c r="D616" s="969">
        <v>1.5330000000000001E-4</v>
      </c>
      <c r="E616" s="986">
        <v>92320</v>
      </c>
      <c r="F616" s="970">
        <v>263685</v>
      </c>
      <c r="G616" s="970"/>
      <c r="H616" s="971">
        <v>15191</v>
      </c>
      <c r="I616" s="972">
        <v>64023</v>
      </c>
      <c r="J616" s="971">
        <v>37658</v>
      </c>
      <c r="K616" s="970">
        <v>28813</v>
      </c>
      <c r="L616" s="972">
        <f t="shared" si="18"/>
        <v>145685</v>
      </c>
      <c r="M616" s="970"/>
      <c r="N616" s="971">
        <v>7464</v>
      </c>
      <c r="O616" s="971">
        <v>0</v>
      </c>
      <c r="P616" s="970">
        <v>0</v>
      </c>
      <c r="Q616" s="972">
        <f t="shared" si="19"/>
        <v>7464</v>
      </c>
      <c r="R616" s="970"/>
      <c r="S616" s="971">
        <v>88862</v>
      </c>
      <c r="T616" s="973">
        <v>9625</v>
      </c>
      <c r="U616" s="973">
        <v>98487</v>
      </c>
    </row>
    <row r="617" spans="1:21" x14ac:dyDescent="0.25">
      <c r="A617" s="967">
        <v>96708</v>
      </c>
      <c r="B617" s="968" t="s">
        <v>3254</v>
      </c>
      <c r="C617" s="969">
        <v>9.031E-4</v>
      </c>
      <c r="D617" s="969">
        <v>8.4590000000000002E-4</v>
      </c>
      <c r="E617" s="986">
        <v>441727</v>
      </c>
      <c r="F617" s="970">
        <v>1379687</v>
      </c>
      <c r="G617" s="970"/>
      <c r="H617" s="971">
        <v>79483</v>
      </c>
      <c r="I617" s="972">
        <v>334989</v>
      </c>
      <c r="J617" s="971">
        <v>197038</v>
      </c>
      <c r="K617" s="970">
        <v>93931</v>
      </c>
      <c r="L617" s="972">
        <f t="shared" si="18"/>
        <v>705441</v>
      </c>
      <c r="M617" s="970"/>
      <c r="N617" s="971">
        <v>39055</v>
      </c>
      <c r="O617" s="971">
        <v>0</v>
      </c>
      <c r="P617" s="970">
        <v>19895</v>
      </c>
      <c r="Q617" s="972">
        <f t="shared" si="19"/>
        <v>58950</v>
      </c>
      <c r="R617" s="970"/>
      <c r="S617" s="971">
        <v>464956</v>
      </c>
      <c r="T617" s="973">
        <v>29117</v>
      </c>
      <c r="U617" s="973">
        <v>494073</v>
      </c>
    </row>
    <row r="618" spans="1:21" x14ac:dyDescent="0.25">
      <c r="A618" s="967">
        <v>96711</v>
      </c>
      <c r="B618" s="968" t="s">
        <v>3255</v>
      </c>
      <c r="C618" s="969">
        <v>4.0464000000000003E-3</v>
      </c>
      <c r="D618" s="969">
        <v>4.4140000000000004E-3</v>
      </c>
      <c r="E618" s="986">
        <v>1869918</v>
      </c>
      <c r="F618" s="970">
        <v>6181778</v>
      </c>
      <c r="G618" s="970"/>
      <c r="H618" s="971">
        <v>356128</v>
      </c>
      <c r="I618" s="972">
        <v>1500943</v>
      </c>
      <c r="J618" s="971">
        <v>882844</v>
      </c>
      <c r="K618" s="970">
        <v>10323</v>
      </c>
      <c r="L618" s="972">
        <f t="shared" si="18"/>
        <v>2750238</v>
      </c>
      <c r="M618" s="970"/>
      <c r="N618" s="971">
        <v>174987</v>
      </c>
      <c r="O618" s="971">
        <v>0</v>
      </c>
      <c r="P618" s="970">
        <v>468550</v>
      </c>
      <c r="Q618" s="972">
        <f t="shared" si="19"/>
        <v>643537</v>
      </c>
      <c r="R618" s="970"/>
      <c r="S618" s="971">
        <v>2083265</v>
      </c>
      <c r="T618" s="973">
        <v>-165088</v>
      </c>
      <c r="U618" s="973">
        <v>1918177</v>
      </c>
    </row>
    <row r="619" spans="1:21" x14ac:dyDescent="0.25">
      <c r="A619" s="967">
        <v>96721</v>
      </c>
      <c r="B619" s="968" t="s">
        <v>3256</v>
      </c>
      <c r="C619" s="969">
        <v>2.1379999999999999E-4</v>
      </c>
      <c r="D619" s="969">
        <v>1.9780000000000001E-4</v>
      </c>
      <c r="E619" s="986">
        <v>96163</v>
      </c>
      <c r="F619" s="970">
        <v>326627</v>
      </c>
      <c r="G619" s="970"/>
      <c r="H619" s="971">
        <v>18817</v>
      </c>
      <c r="I619" s="972">
        <v>79305</v>
      </c>
      <c r="J619" s="971">
        <v>46647</v>
      </c>
      <c r="K619" s="970">
        <v>14615</v>
      </c>
      <c r="L619" s="972">
        <f t="shared" si="18"/>
        <v>159384</v>
      </c>
      <c r="M619" s="970"/>
      <c r="N619" s="971">
        <v>9246</v>
      </c>
      <c r="O619" s="971">
        <v>0</v>
      </c>
      <c r="P619" s="970">
        <v>25539</v>
      </c>
      <c r="Q619" s="972">
        <f t="shared" si="19"/>
        <v>34785</v>
      </c>
      <c r="R619" s="970"/>
      <c r="S619" s="971">
        <v>110074</v>
      </c>
      <c r="T619" s="973">
        <v>-1269</v>
      </c>
      <c r="U619" s="973">
        <v>108805</v>
      </c>
    </row>
    <row r="620" spans="1:21" x14ac:dyDescent="0.25">
      <c r="A620" s="967">
        <v>96731</v>
      </c>
      <c r="B620" s="968" t="s">
        <v>3257</v>
      </c>
      <c r="C620" s="969">
        <v>1.697E-4</v>
      </c>
      <c r="D620" s="969">
        <v>1.5090000000000001E-4</v>
      </c>
      <c r="E620" s="986">
        <v>72356</v>
      </c>
      <c r="F620" s="970">
        <v>259255</v>
      </c>
      <c r="G620" s="970"/>
      <c r="H620" s="971">
        <v>14935</v>
      </c>
      <c r="I620" s="972">
        <v>62947</v>
      </c>
      <c r="J620" s="971">
        <v>37025</v>
      </c>
      <c r="K620" s="970">
        <v>20951</v>
      </c>
      <c r="L620" s="972">
        <f t="shared" si="18"/>
        <v>135858</v>
      </c>
      <c r="M620" s="970"/>
      <c r="N620" s="971">
        <v>7339</v>
      </c>
      <c r="O620" s="971">
        <v>0</v>
      </c>
      <c r="P620" s="970">
        <v>6</v>
      </c>
      <c r="Q620" s="972">
        <f t="shared" si="19"/>
        <v>7345</v>
      </c>
      <c r="R620" s="970"/>
      <c r="S620" s="971">
        <v>87369</v>
      </c>
      <c r="T620" s="973">
        <v>7300</v>
      </c>
      <c r="U620" s="973">
        <v>94669</v>
      </c>
    </row>
    <row r="621" spans="1:21" x14ac:dyDescent="0.25">
      <c r="A621" s="967">
        <v>96733</v>
      </c>
      <c r="B621" s="968" t="s">
        <v>3258</v>
      </c>
      <c r="C621" s="969">
        <v>7.3000000000000004E-6</v>
      </c>
      <c r="D621" s="969">
        <v>9.2E-6</v>
      </c>
      <c r="E621" s="986">
        <v>4279</v>
      </c>
      <c r="F621" s="970">
        <v>11152</v>
      </c>
      <c r="G621" s="970"/>
      <c r="H621" s="971">
        <v>642</v>
      </c>
      <c r="I621" s="972">
        <v>2708</v>
      </c>
      <c r="J621" s="971">
        <v>1593</v>
      </c>
      <c r="K621" s="970">
        <v>3988</v>
      </c>
      <c r="L621" s="972">
        <f t="shared" si="18"/>
        <v>8931</v>
      </c>
      <c r="M621" s="970"/>
      <c r="N621" s="971">
        <v>316</v>
      </c>
      <c r="O621" s="971">
        <v>0</v>
      </c>
      <c r="P621" s="970">
        <v>1209</v>
      </c>
      <c r="Q621" s="972">
        <f t="shared" si="19"/>
        <v>1525</v>
      </c>
      <c r="R621" s="970"/>
      <c r="S621" s="971">
        <v>3758</v>
      </c>
      <c r="T621" s="973">
        <v>1574</v>
      </c>
      <c r="U621" s="973">
        <v>5332</v>
      </c>
    </row>
    <row r="622" spans="1:21" x14ac:dyDescent="0.25">
      <c r="A622" s="967">
        <v>96741</v>
      </c>
      <c r="B622" s="968" t="s">
        <v>3259</v>
      </c>
      <c r="C622" s="969">
        <v>9.0799999999999998E-5</v>
      </c>
      <c r="D622" s="969">
        <v>9.2399999999999996E-5</v>
      </c>
      <c r="E622" s="986">
        <v>41448</v>
      </c>
      <c r="F622" s="970">
        <v>138717</v>
      </c>
      <c r="G622" s="970"/>
      <c r="H622" s="971">
        <v>7991</v>
      </c>
      <c r="I622" s="972">
        <v>33681</v>
      </c>
      <c r="J622" s="971">
        <v>19811</v>
      </c>
      <c r="K622" s="970">
        <v>4204</v>
      </c>
      <c r="L622" s="972">
        <f t="shared" si="18"/>
        <v>65687</v>
      </c>
      <c r="M622" s="970"/>
      <c r="N622" s="971">
        <v>3927</v>
      </c>
      <c r="O622" s="971">
        <v>0</v>
      </c>
      <c r="P622" s="970">
        <v>2410</v>
      </c>
      <c r="Q622" s="972">
        <f t="shared" si="19"/>
        <v>6337</v>
      </c>
      <c r="R622" s="970"/>
      <c r="S622" s="971">
        <v>46748</v>
      </c>
      <c r="T622" s="973">
        <v>2215</v>
      </c>
      <c r="U622" s="973">
        <v>48963</v>
      </c>
    </row>
    <row r="623" spans="1:21" x14ac:dyDescent="0.25">
      <c r="A623" s="967">
        <v>96751</v>
      </c>
      <c r="B623" s="968" t="s">
        <v>3260</v>
      </c>
      <c r="C623" s="969">
        <v>2.5809999999999999E-4</v>
      </c>
      <c r="D623" s="969">
        <v>2.6120000000000001E-4</v>
      </c>
      <c r="E623" s="986">
        <v>115660</v>
      </c>
      <c r="F623" s="970">
        <v>394305</v>
      </c>
      <c r="G623" s="970"/>
      <c r="H623" s="971">
        <v>22716</v>
      </c>
      <c r="I623" s="972">
        <v>95737</v>
      </c>
      <c r="J623" s="971">
        <v>56312</v>
      </c>
      <c r="K623" s="970">
        <v>10810</v>
      </c>
      <c r="L623" s="972">
        <f t="shared" si="18"/>
        <v>185575</v>
      </c>
      <c r="M623" s="970"/>
      <c r="N623" s="971">
        <v>11162</v>
      </c>
      <c r="O623" s="971">
        <v>0</v>
      </c>
      <c r="P623" s="970">
        <v>31380</v>
      </c>
      <c r="Q623" s="972">
        <f t="shared" si="19"/>
        <v>42542</v>
      </c>
      <c r="R623" s="970"/>
      <c r="S623" s="971">
        <v>132881</v>
      </c>
      <c r="T623" s="973">
        <v>-737</v>
      </c>
      <c r="U623" s="973">
        <v>132144</v>
      </c>
    </row>
    <row r="624" spans="1:21" x14ac:dyDescent="0.25">
      <c r="A624" s="967">
        <v>96801</v>
      </c>
      <c r="B624" s="968" t="s">
        <v>3261</v>
      </c>
      <c r="C624" s="969">
        <v>7.5814000000000003E-3</v>
      </c>
      <c r="D624" s="969">
        <v>7.8463999999999999E-3</v>
      </c>
      <c r="E624" s="986">
        <v>3611120</v>
      </c>
      <c r="F624" s="970">
        <v>11582279</v>
      </c>
      <c r="G624" s="970"/>
      <c r="H624" s="971">
        <v>667247</v>
      </c>
      <c r="I624" s="972">
        <v>2812192</v>
      </c>
      <c r="J624" s="971">
        <v>1654110</v>
      </c>
      <c r="K624" s="970">
        <v>406857</v>
      </c>
      <c r="L624" s="972">
        <f t="shared" si="18"/>
        <v>5540406</v>
      </c>
      <c r="M624" s="970"/>
      <c r="N624" s="971">
        <v>327858</v>
      </c>
      <c r="O624" s="971">
        <v>0</v>
      </c>
      <c r="P624" s="970">
        <v>73178</v>
      </c>
      <c r="Q624" s="972">
        <f t="shared" si="19"/>
        <v>401036</v>
      </c>
      <c r="R624" s="970"/>
      <c r="S624" s="971">
        <v>3903238</v>
      </c>
      <c r="T624" s="973">
        <v>217480</v>
      </c>
      <c r="U624" s="973">
        <v>4120718</v>
      </c>
    </row>
    <row r="625" spans="1:21" x14ac:dyDescent="0.25">
      <c r="A625" s="967">
        <v>96804</v>
      </c>
      <c r="B625" s="968" t="s">
        <v>3262</v>
      </c>
      <c r="C625" s="969">
        <v>2.654E-4</v>
      </c>
      <c r="D625" s="969">
        <v>2.4230000000000001E-4</v>
      </c>
      <c r="E625" s="986">
        <v>109175</v>
      </c>
      <c r="F625" s="970">
        <v>405458</v>
      </c>
      <c r="G625" s="970"/>
      <c r="H625" s="971">
        <v>23358</v>
      </c>
      <c r="I625" s="972">
        <v>98446</v>
      </c>
      <c r="J625" s="971">
        <v>57905</v>
      </c>
      <c r="K625" s="970">
        <v>7601</v>
      </c>
      <c r="L625" s="972">
        <f t="shared" si="18"/>
        <v>187310</v>
      </c>
      <c r="M625" s="970"/>
      <c r="N625" s="971">
        <v>11477</v>
      </c>
      <c r="O625" s="971">
        <v>0</v>
      </c>
      <c r="P625" s="970">
        <v>2044</v>
      </c>
      <c r="Q625" s="972">
        <f t="shared" si="19"/>
        <v>13521</v>
      </c>
      <c r="R625" s="970"/>
      <c r="S625" s="971">
        <v>136640</v>
      </c>
      <c r="T625" s="973">
        <v>2424</v>
      </c>
      <c r="U625" s="973">
        <v>139064</v>
      </c>
    </row>
    <row r="626" spans="1:21" x14ac:dyDescent="0.25">
      <c r="A626" s="967">
        <v>96808</v>
      </c>
      <c r="B626" s="968" t="s">
        <v>3263</v>
      </c>
      <c r="C626" s="969">
        <v>1.2711000000000001E-3</v>
      </c>
      <c r="D626" s="969">
        <v>1.2882E-3</v>
      </c>
      <c r="E626" s="986">
        <v>593249</v>
      </c>
      <c r="F626" s="970">
        <v>1941889</v>
      </c>
      <c r="G626" s="970"/>
      <c r="H626" s="971">
        <v>111871</v>
      </c>
      <c r="I626" s="972">
        <v>471493</v>
      </c>
      <c r="J626" s="971">
        <v>277329</v>
      </c>
      <c r="K626" s="970">
        <v>42529</v>
      </c>
      <c r="L626" s="972">
        <f t="shared" si="18"/>
        <v>903222</v>
      </c>
      <c r="M626" s="970"/>
      <c r="N626" s="971">
        <v>54969</v>
      </c>
      <c r="O626" s="971">
        <v>0</v>
      </c>
      <c r="P626" s="970">
        <v>3699</v>
      </c>
      <c r="Q626" s="972">
        <f t="shared" si="19"/>
        <v>58668</v>
      </c>
      <c r="R626" s="970"/>
      <c r="S626" s="971">
        <v>654418</v>
      </c>
      <c r="T626" s="973">
        <v>23633</v>
      </c>
      <c r="U626" s="973">
        <v>678051</v>
      </c>
    </row>
    <row r="627" spans="1:21" x14ac:dyDescent="0.25">
      <c r="A627" s="967">
        <v>96811</v>
      </c>
      <c r="B627" s="968" t="s">
        <v>3264</v>
      </c>
      <c r="C627" s="969">
        <v>6.0096999999999998E-3</v>
      </c>
      <c r="D627" s="969">
        <v>5.9861999999999997E-3</v>
      </c>
      <c r="E627" s="986">
        <v>2786025</v>
      </c>
      <c r="F627" s="970">
        <v>9181157</v>
      </c>
      <c r="G627" s="970"/>
      <c r="H627" s="971">
        <v>528920</v>
      </c>
      <c r="I627" s="972">
        <v>2229197</v>
      </c>
      <c r="J627" s="971">
        <v>1311196</v>
      </c>
      <c r="K627" s="970">
        <v>37410</v>
      </c>
      <c r="L627" s="972">
        <f t="shared" si="18"/>
        <v>4106723</v>
      </c>
      <c r="M627" s="970"/>
      <c r="N627" s="971">
        <v>259889</v>
      </c>
      <c r="O627" s="971">
        <v>0</v>
      </c>
      <c r="P627" s="970">
        <v>53500</v>
      </c>
      <c r="Q627" s="972">
        <f t="shared" si="19"/>
        <v>313389</v>
      </c>
      <c r="R627" s="970"/>
      <c r="S627" s="971">
        <v>3094058</v>
      </c>
      <c r="T627" s="973">
        <v>-23369</v>
      </c>
      <c r="U627" s="973">
        <v>3070689</v>
      </c>
    </row>
    <row r="628" spans="1:21" x14ac:dyDescent="0.25">
      <c r="A628" s="967">
        <v>96821</v>
      </c>
      <c r="B628" s="968" t="s">
        <v>3265</v>
      </c>
      <c r="C628" s="969">
        <v>1.3247000000000001E-3</v>
      </c>
      <c r="D628" s="969">
        <v>1.3630999999999999E-3</v>
      </c>
      <c r="E628" s="986">
        <v>603956</v>
      </c>
      <c r="F628" s="970">
        <v>2023775</v>
      </c>
      <c r="G628" s="970"/>
      <c r="H628" s="971">
        <v>116588</v>
      </c>
      <c r="I628" s="972">
        <v>491375</v>
      </c>
      <c r="J628" s="971">
        <v>289023</v>
      </c>
      <c r="K628" s="970">
        <v>0</v>
      </c>
      <c r="L628" s="972">
        <f t="shared" si="18"/>
        <v>896986</v>
      </c>
      <c r="M628" s="970"/>
      <c r="N628" s="971">
        <v>57287</v>
      </c>
      <c r="O628" s="971">
        <v>0</v>
      </c>
      <c r="P628" s="970">
        <v>134629</v>
      </c>
      <c r="Q628" s="972">
        <f t="shared" si="19"/>
        <v>191916</v>
      </c>
      <c r="R628" s="970"/>
      <c r="S628" s="971">
        <v>682014</v>
      </c>
      <c r="T628" s="973">
        <v>-54878</v>
      </c>
      <c r="U628" s="973">
        <v>627136</v>
      </c>
    </row>
    <row r="629" spans="1:21" x14ac:dyDescent="0.25">
      <c r="A629" s="967">
        <v>96831</v>
      </c>
      <c r="B629" s="968" t="s">
        <v>3266</v>
      </c>
      <c r="C629" s="969">
        <v>9.1929999999999996E-4</v>
      </c>
      <c r="D629" s="969">
        <v>9.2400000000000002E-4</v>
      </c>
      <c r="E629" s="986">
        <v>426593</v>
      </c>
      <c r="F629" s="970">
        <v>1404436</v>
      </c>
      <c r="G629" s="970"/>
      <c r="H629" s="971">
        <v>80909</v>
      </c>
      <c r="I629" s="972">
        <v>340998</v>
      </c>
      <c r="J629" s="971">
        <v>200573</v>
      </c>
      <c r="K629" s="970">
        <v>37726</v>
      </c>
      <c r="L629" s="972">
        <f t="shared" si="18"/>
        <v>660206</v>
      </c>
      <c r="M629" s="970"/>
      <c r="N629" s="971">
        <v>39755</v>
      </c>
      <c r="O629" s="971">
        <v>0</v>
      </c>
      <c r="P629" s="970">
        <v>0</v>
      </c>
      <c r="Q629" s="972">
        <f t="shared" si="19"/>
        <v>39755</v>
      </c>
      <c r="R629" s="970"/>
      <c r="S629" s="971">
        <v>473296</v>
      </c>
      <c r="T629" s="973">
        <v>19380</v>
      </c>
      <c r="U629" s="973">
        <v>492676</v>
      </c>
    </row>
    <row r="630" spans="1:21" x14ac:dyDescent="0.25">
      <c r="A630" s="967">
        <v>96901</v>
      </c>
      <c r="B630" s="968" t="s">
        <v>3267</v>
      </c>
      <c r="C630" s="969">
        <v>8.9820000000000004E-4</v>
      </c>
      <c r="D630" s="969">
        <v>8.1610000000000005E-4</v>
      </c>
      <c r="E630" s="986">
        <v>411770</v>
      </c>
      <c r="F630" s="970">
        <v>1372201</v>
      </c>
      <c r="G630" s="970"/>
      <c r="H630" s="971">
        <v>79051</v>
      </c>
      <c r="I630" s="972">
        <v>333172</v>
      </c>
      <c r="J630" s="971">
        <v>195969</v>
      </c>
      <c r="K630" s="970">
        <v>85745</v>
      </c>
      <c r="L630" s="972">
        <f t="shared" si="18"/>
        <v>693937</v>
      </c>
      <c r="M630" s="970"/>
      <c r="N630" s="971">
        <v>38843</v>
      </c>
      <c r="O630" s="971">
        <v>0</v>
      </c>
      <c r="P630" s="970">
        <v>0</v>
      </c>
      <c r="Q630" s="972">
        <f t="shared" si="19"/>
        <v>38843</v>
      </c>
      <c r="R630" s="970"/>
      <c r="S630" s="971">
        <v>462433</v>
      </c>
      <c r="T630" s="973">
        <v>28927</v>
      </c>
      <c r="U630" s="973">
        <v>491360</v>
      </c>
    </row>
    <row r="631" spans="1:21" x14ac:dyDescent="0.25">
      <c r="A631" s="967">
        <v>96911</v>
      </c>
      <c r="B631" s="968" t="s">
        <v>3268</v>
      </c>
      <c r="C631" s="969">
        <v>2.3999999999999999E-6</v>
      </c>
      <c r="D631" s="969">
        <v>3.7000000000000002E-6</v>
      </c>
      <c r="E631" s="986">
        <v>1942</v>
      </c>
      <c r="F631" s="970">
        <v>3667</v>
      </c>
      <c r="G631" s="970"/>
      <c r="H631" s="971">
        <v>211</v>
      </c>
      <c r="I631" s="972">
        <v>890</v>
      </c>
      <c r="J631" s="971">
        <v>524</v>
      </c>
      <c r="K631" s="970">
        <v>2464</v>
      </c>
      <c r="L631" s="972">
        <f t="shared" si="18"/>
        <v>4089</v>
      </c>
      <c r="M631" s="970"/>
      <c r="N631" s="971">
        <v>104</v>
      </c>
      <c r="O631" s="971">
        <v>0</v>
      </c>
      <c r="P631" s="970">
        <v>2953</v>
      </c>
      <c r="Q631" s="972">
        <f t="shared" si="19"/>
        <v>3057</v>
      </c>
      <c r="R631" s="970"/>
      <c r="S631" s="971">
        <v>1236</v>
      </c>
      <c r="T631" s="973">
        <v>521</v>
      </c>
      <c r="U631" s="973">
        <f>1756+1</f>
        <v>1757</v>
      </c>
    </row>
    <row r="632" spans="1:21" x14ac:dyDescent="0.25">
      <c r="A632" s="967">
        <v>96912</v>
      </c>
      <c r="B632" s="968" t="s">
        <v>3269</v>
      </c>
      <c r="C632" s="969">
        <v>6.0099999999999997E-5</v>
      </c>
      <c r="D632" s="969">
        <v>6.0999999999999999E-5</v>
      </c>
      <c r="E632" s="986">
        <v>24610</v>
      </c>
      <c r="F632" s="970">
        <v>91816</v>
      </c>
      <c r="G632" s="970"/>
      <c r="H632" s="971">
        <v>5289</v>
      </c>
      <c r="I632" s="972">
        <v>22293</v>
      </c>
      <c r="J632" s="971">
        <v>13113</v>
      </c>
      <c r="K632" s="970">
        <v>4325</v>
      </c>
      <c r="L632" s="972">
        <f t="shared" si="18"/>
        <v>45020</v>
      </c>
      <c r="M632" s="970"/>
      <c r="N632" s="971">
        <v>2599</v>
      </c>
      <c r="O632" s="971">
        <v>0</v>
      </c>
      <c r="P632" s="970">
        <v>3739</v>
      </c>
      <c r="Q632" s="972">
        <f t="shared" si="19"/>
        <v>6338</v>
      </c>
      <c r="R632" s="970"/>
      <c r="S632" s="971">
        <v>30942</v>
      </c>
      <c r="T632" s="973">
        <v>2307</v>
      </c>
      <c r="U632" s="973">
        <v>33249</v>
      </c>
    </row>
    <row r="633" spans="1:21" x14ac:dyDescent="0.25">
      <c r="A633" s="967">
        <v>96918</v>
      </c>
      <c r="B633" s="968" t="s">
        <v>3270</v>
      </c>
      <c r="C633" s="969">
        <v>3.8000000000000002E-5</v>
      </c>
      <c r="D633" s="969">
        <v>4.0500000000000002E-5</v>
      </c>
      <c r="E633" s="986">
        <v>20289</v>
      </c>
      <c r="F633" s="970">
        <v>58053</v>
      </c>
      <c r="G633" s="970"/>
      <c r="H633" s="971">
        <v>3344</v>
      </c>
      <c r="I633" s="972">
        <v>14095</v>
      </c>
      <c r="J633" s="971">
        <v>8291</v>
      </c>
      <c r="K633" s="970">
        <v>7713</v>
      </c>
      <c r="L633" s="972">
        <f t="shared" si="18"/>
        <v>33443</v>
      </c>
      <c r="M633" s="970"/>
      <c r="N633" s="971">
        <v>1643</v>
      </c>
      <c r="O633" s="971">
        <v>0</v>
      </c>
      <c r="P633" s="970">
        <v>884</v>
      </c>
      <c r="Q633" s="972">
        <f t="shared" si="19"/>
        <v>2527</v>
      </c>
      <c r="R633" s="970"/>
      <c r="S633" s="971">
        <v>19564</v>
      </c>
      <c r="T633" s="973">
        <v>5648</v>
      </c>
      <c r="U633" s="973">
        <v>25212</v>
      </c>
    </row>
    <row r="634" spans="1:21" x14ac:dyDescent="0.25">
      <c r="A634" s="967">
        <v>97001</v>
      </c>
      <c r="B634" s="968" t="s">
        <v>3271</v>
      </c>
      <c r="C634" s="969">
        <v>1.3778E-3</v>
      </c>
      <c r="D634" s="969">
        <v>1.3641E-3</v>
      </c>
      <c r="E634" s="986">
        <v>710694</v>
      </c>
      <c r="F634" s="970">
        <v>2104897</v>
      </c>
      <c r="G634" s="970"/>
      <c r="H634" s="971">
        <v>121262</v>
      </c>
      <c r="I634" s="972">
        <v>511071</v>
      </c>
      <c r="J634" s="971">
        <v>300608</v>
      </c>
      <c r="K634" s="970">
        <v>148744</v>
      </c>
      <c r="L634" s="972">
        <f t="shared" si="18"/>
        <v>1081685</v>
      </c>
      <c r="M634" s="970"/>
      <c r="N634" s="971">
        <v>59583</v>
      </c>
      <c r="O634" s="971">
        <v>0</v>
      </c>
      <c r="P634" s="970">
        <v>11523</v>
      </c>
      <c r="Q634" s="972">
        <f t="shared" si="19"/>
        <v>71106</v>
      </c>
      <c r="R634" s="970"/>
      <c r="S634" s="971">
        <v>709352</v>
      </c>
      <c r="T634" s="973">
        <v>36360</v>
      </c>
      <c r="U634" s="973">
        <v>745712</v>
      </c>
    </row>
    <row r="635" spans="1:21" x14ac:dyDescent="0.25">
      <c r="A635" s="967">
        <v>97002</v>
      </c>
      <c r="B635" s="968" t="s">
        <v>3272</v>
      </c>
      <c r="C635" s="969">
        <v>5.2610000000000005E-4</v>
      </c>
      <c r="D635" s="969">
        <v>4.6589999999999999E-4</v>
      </c>
      <c r="E635" s="986">
        <v>182319</v>
      </c>
      <c r="F635" s="970">
        <v>803735</v>
      </c>
      <c r="G635" s="970"/>
      <c r="H635" s="971">
        <v>46303</v>
      </c>
      <c r="I635" s="972">
        <v>195148</v>
      </c>
      <c r="J635" s="971">
        <v>114784</v>
      </c>
      <c r="K635" s="970">
        <v>16832</v>
      </c>
      <c r="L635" s="972">
        <f t="shared" si="18"/>
        <v>373067</v>
      </c>
      <c r="M635" s="970"/>
      <c r="N635" s="971">
        <v>22751</v>
      </c>
      <c r="O635" s="971">
        <v>0</v>
      </c>
      <c r="P635" s="970">
        <v>7002</v>
      </c>
      <c r="Q635" s="972">
        <f t="shared" si="19"/>
        <v>29753</v>
      </c>
      <c r="R635" s="970"/>
      <c r="S635" s="971">
        <v>270859</v>
      </c>
      <c r="T635" s="973">
        <v>10025</v>
      </c>
      <c r="U635" s="973">
        <f>280885-1</f>
        <v>280884</v>
      </c>
    </row>
    <row r="636" spans="1:21" x14ac:dyDescent="0.25">
      <c r="A636" s="967">
        <v>97004</v>
      </c>
      <c r="B636" s="968" t="s">
        <v>3273</v>
      </c>
      <c r="C636" s="969">
        <v>9.7999999999999993E-6</v>
      </c>
      <c r="D636" s="969">
        <v>1.0900000000000001E-5</v>
      </c>
      <c r="E636" s="986">
        <v>8257</v>
      </c>
      <c r="F636" s="970">
        <v>14972</v>
      </c>
      <c r="G636" s="970"/>
      <c r="H636" s="971">
        <v>863</v>
      </c>
      <c r="I636" s="972">
        <v>3635</v>
      </c>
      <c r="J636" s="971">
        <v>2138</v>
      </c>
      <c r="K636" s="970">
        <v>4225</v>
      </c>
      <c r="L636" s="972">
        <f t="shared" si="18"/>
        <v>10861</v>
      </c>
      <c r="M636" s="970"/>
      <c r="N636" s="971">
        <v>424</v>
      </c>
      <c r="O636" s="971">
        <v>0</v>
      </c>
      <c r="P636" s="970">
        <v>0</v>
      </c>
      <c r="Q636" s="972">
        <f t="shared" si="19"/>
        <v>424</v>
      </c>
      <c r="R636" s="970"/>
      <c r="S636" s="971">
        <v>5045</v>
      </c>
      <c r="T636" s="973">
        <v>1862</v>
      </c>
      <c r="U636" s="973">
        <f>6908-1</f>
        <v>6907</v>
      </c>
    </row>
    <row r="637" spans="1:21" x14ac:dyDescent="0.25">
      <c r="A637" s="967">
        <v>97005</v>
      </c>
      <c r="B637" s="968" t="s">
        <v>3274</v>
      </c>
      <c r="C637" s="969">
        <v>2.83E-5</v>
      </c>
      <c r="D637" s="969">
        <v>1.42E-5</v>
      </c>
      <c r="E637" s="986">
        <v>15092</v>
      </c>
      <c r="F637" s="970">
        <v>43235</v>
      </c>
      <c r="G637" s="970"/>
      <c r="H637" s="971">
        <v>2491</v>
      </c>
      <c r="I637" s="972">
        <v>10498</v>
      </c>
      <c r="J637" s="971">
        <v>6174</v>
      </c>
      <c r="K637" s="970">
        <v>13129</v>
      </c>
      <c r="L637" s="972">
        <f t="shared" si="18"/>
        <v>32292</v>
      </c>
      <c r="M637" s="970"/>
      <c r="N637" s="971">
        <v>1224</v>
      </c>
      <c r="O637" s="971">
        <v>0</v>
      </c>
      <c r="P637" s="970">
        <v>1368</v>
      </c>
      <c r="Q637" s="972">
        <f t="shared" si="19"/>
        <v>2592</v>
      </c>
      <c r="R637" s="970"/>
      <c r="S637" s="971">
        <v>14570</v>
      </c>
      <c r="T637" s="973">
        <v>3211</v>
      </c>
      <c r="U637" s="973">
        <v>17781</v>
      </c>
    </row>
    <row r="638" spans="1:21" x14ac:dyDescent="0.25">
      <c r="A638" s="967">
        <v>97008</v>
      </c>
      <c r="B638" s="968" t="s">
        <v>3275</v>
      </c>
      <c r="C638" s="969">
        <v>2.8659999999999997E-4</v>
      </c>
      <c r="D638" s="969">
        <v>2.7530000000000002E-4</v>
      </c>
      <c r="E638" s="986">
        <v>128453</v>
      </c>
      <c r="F638" s="970">
        <v>437845</v>
      </c>
      <c r="G638" s="970"/>
      <c r="H638" s="971">
        <v>25224</v>
      </c>
      <c r="I638" s="972">
        <v>106309</v>
      </c>
      <c r="J638" s="971">
        <v>62530</v>
      </c>
      <c r="K638" s="970">
        <v>12387</v>
      </c>
      <c r="L638" s="972">
        <f t="shared" si="18"/>
        <v>206450</v>
      </c>
      <c r="M638" s="970"/>
      <c r="N638" s="971">
        <v>12394</v>
      </c>
      <c r="O638" s="971">
        <v>0</v>
      </c>
      <c r="P638" s="970">
        <v>3127</v>
      </c>
      <c r="Q638" s="972">
        <f t="shared" si="19"/>
        <v>15521</v>
      </c>
      <c r="R638" s="970"/>
      <c r="S638" s="971">
        <v>147554</v>
      </c>
      <c r="T638" s="973">
        <v>7175</v>
      </c>
      <c r="U638" s="973">
        <v>154729</v>
      </c>
    </row>
    <row r="639" spans="1:21" x14ac:dyDescent="0.25">
      <c r="A639" s="967">
        <v>97010</v>
      </c>
      <c r="B639" s="968" t="s">
        <v>3276</v>
      </c>
      <c r="C639" s="969">
        <v>0</v>
      </c>
      <c r="D639" s="969">
        <v>0</v>
      </c>
      <c r="E639" s="986" t="e">
        <v>#N/A</v>
      </c>
      <c r="F639" s="970">
        <v>0</v>
      </c>
      <c r="G639" s="970"/>
      <c r="H639" s="971">
        <v>0</v>
      </c>
      <c r="I639" s="972">
        <v>0</v>
      </c>
      <c r="J639" s="971">
        <v>0</v>
      </c>
      <c r="K639" s="970">
        <v>0</v>
      </c>
      <c r="L639" s="972">
        <f t="shared" si="18"/>
        <v>0</v>
      </c>
      <c r="M639" s="970"/>
      <c r="N639" s="971">
        <v>0</v>
      </c>
      <c r="O639" s="971">
        <v>0</v>
      </c>
      <c r="P639" s="970">
        <v>2056902</v>
      </c>
      <c r="Q639" s="972">
        <f t="shared" si="19"/>
        <v>2056902</v>
      </c>
      <c r="R639" s="970"/>
      <c r="S639" s="971">
        <v>0</v>
      </c>
      <c r="T639" s="973">
        <v>-1282454</v>
      </c>
      <c r="U639" s="973">
        <v>-1282454</v>
      </c>
    </row>
    <row r="640" spans="1:21" x14ac:dyDescent="0.25">
      <c r="A640" s="967">
        <v>97011</v>
      </c>
      <c r="B640" s="968" t="s">
        <v>3277</v>
      </c>
      <c r="C640" s="969">
        <v>1.9166999999999999E-3</v>
      </c>
      <c r="D640" s="969">
        <v>1.9522999999999999E-3</v>
      </c>
      <c r="E640" s="986">
        <v>907458</v>
      </c>
      <c r="F640" s="970">
        <v>2928187</v>
      </c>
      <c r="G640" s="970"/>
      <c r="H640" s="971">
        <v>168691</v>
      </c>
      <c r="I640" s="972">
        <v>710967</v>
      </c>
      <c r="J640" s="971">
        <v>418186</v>
      </c>
      <c r="K640" s="970">
        <v>0</v>
      </c>
      <c r="L640" s="972">
        <f t="shared" si="18"/>
        <v>1297844</v>
      </c>
      <c r="M640" s="970"/>
      <c r="N640" s="971">
        <v>82888</v>
      </c>
      <c r="O640" s="971">
        <v>0</v>
      </c>
      <c r="P640" s="970">
        <v>92552</v>
      </c>
      <c r="Q640" s="972">
        <f t="shared" si="19"/>
        <v>175440</v>
      </c>
      <c r="R640" s="970"/>
      <c r="S640" s="971">
        <v>986801</v>
      </c>
      <c r="T640" s="973">
        <v>-38711</v>
      </c>
      <c r="U640" s="973">
        <v>948090</v>
      </c>
    </row>
    <row r="641" spans="1:21" x14ac:dyDescent="0.25">
      <c r="A641" s="967">
        <v>97012</v>
      </c>
      <c r="B641" s="968" t="s">
        <v>3278</v>
      </c>
      <c r="C641" s="969">
        <v>2.9499999999999999E-5</v>
      </c>
      <c r="D641" s="969">
        <v>2.4499999999999999E-5</v>
      </c>
      <c r="E641" s="986">
        <v>12375</v>
      </c>
      <c r="F641" s="970">
        <v>45068</v>
      </c>
      <c r="G641" s="970"/>
      <c r="H641" s="971">
        <v>2596</v>
      </c>
      <c r="I641" s="972">
        <v>10942</v>
      </c>
      <c r="J641" s="971">
        <v>6436</v>
      </c>
      <c r="K641" s="970">
        <v>4949</v>
      </c>
      <c r="L641" s="972">
        <f t="shared" si="18"/>
        <v>24923</v>
      </c>
      <c r="M641" s="970"/>
      <c r="N641" s="971">
        <v>1276</v>
      </c>
      <c r="O641" s="971">
        <v>0</v>
      </c>
      <c r="P641" s="970">
        <v>1149</v>
      </c>
      <c r="Q641" s="972">
        <f t="shared" si="19"/>
        <v>2425</v>
      </c>
      <c r="R641" s="970"/>
      <c r="S641" s="971">
        <v>15188</v>
      </c>
      <c r="T641" s="973">
        <v>752</v>
      </c>
      <c r="U641" s="973">
        <v>15940</v>
      </c>
    </row>
    <row r="642" spans="1:21" x14ac:dyDescent="0.25">
      <c r="A642" s="967">
        <v>97013</v>
      </c>
      <c r="B642" s="968" t="s">
        <v>3279</v>
      </c>
      <c r="C642" s="969">
        <v>1.8199999999999999E-5</v>
      </c>
      <c r="D642" s="969">
        <v>2.0699999999999998E-5</v>
      </c>
      <c r="E642" s="986">
        <v>11433</v>
      </c>
      <c r="F642" s="970">
        <v>27805</v>
      </c>
      <c r="G642" s="970"/>
      <c r="H642" s="971">
        <v>1602</v>
      </c>
      <c r="I642" s="972">
        <v>6751</v>
      </c>
      <c r="J642" s="971">
        <v>3971</v>
      </c>
      <c r="K642" s="970">
        <v>6233</v>
      </c>
      <c r="L642" s="972">
        <f t="shared" si="18"/>
        <v>18557</v>
      </c>
      <c r="M642" s="970"/>
      <c r="N642" s="971">
        <v>787</v>
      </c>
      <c r="O642" s="971">
        <v>0</v>
      </c>
      <c r="P642" s="970">
        <v>431</v>
      </c>
      <c r="Q642" s="972">
        <f t="shared" si="19"/>
        <v>1218</v>
      </c>
      <c r="R642" s="970"/>
      <c r="S642" s="971">
        <v>9370</v>
      </c>
      <c r="T642" s="973">
        <v>2046</v>
      </c>
      <c r="U642" s="973">
        <v>11416</v>
      </c>
    </row>
    <row r="643" spans="1:21" x14ac:dyDescent="0.25">
      <c r="A643" s="967">
        <v>97015</v>
      </c>
      <c r="B643" s="968" t="s">
        <v>3280</v>
      </c>
      <c r="C643" s="969">
        <v>4.1499999999999999E-5</v>
      </c>
      <c r="D643" s="969">
        <v>5.3699999999999997E-5</v>
      </c>
      <c r="E643" s="986">
        <v>23036</v>
      </c>
      <c r="F643" s="970">
        <v>63401</v>
      </c>
      <c r="G643" s="970"/>
      <c r="H643" s="971">
        <v>3652</v>
      </c>
      <c r="I643" s="972">
        <v>15394</v>
      </c>
      <c r="J643" s="971">
        <v>9054</v>
      </c>
      <c r="K643" s="970">
        <v>4608</v>
      </c>
      <c r="L643" s="972">
        <f t="shared" si="18"/>
        <v>32708</v>
      </c>
      <c r="M643" s="970"/>
      <c r="N643" s="971">
        <v>1795</v>
      </c>
      <c r="O643" s="971">
        <v>0</v>
      </c>
      <c r="P643" s="970">
        <v>5783</v>
      </c>
      <c r="Q643" s="972">
        <f t="shared" si="19"/>
        <v>7578</v>
      </c>
      <c r="R643" s="970"/>
      <c r="S643" s="971">
        <v>21366</v>
      </c>
      <c r="T643" s="973">
        <v>26</v>
      </c>
      <c r="U643" s="973">
        <v>21392</v>
      </c>
    </row>
    <row r="644" spans="1:21" x14ac:dyDescent="0.25">
      <c r="A644" s="967">
        <v>97018</v>
      </c>
      <c r="B644" s="968" t="s">
        <v>3281</v>
      </c>
      <c r="C644" s="969">
        <v>8.6000000000000007E-6</v>
      </c>
      <c r="D644" s="969">
        <v>9.3999999999999998E-6</v>
      </c>
      <c r="E644" s="986">
        <v>8135</v>
      </c>
      <c r="F644" s="970">
        <v>13138</v>
      </c>
      <c r="G644" s="970"/>
      <c r="H644" s="971">
        <v>757</v>
      </c>
      <c r="I644" s="972">
        <v>3190</v>
      </c>
      <c r="J644" s="971">
        <v>1876</v>
      </c>
      <c r="K644" s="970">
        <v>6833</v>
      </c>
      <c r="L644" s="972">
        <f t="shared" si="18"/>
        <v>12656</v>
      </c>
      <c r="M644" s="970"/>
      <c r="N644" s="971">
        <v>372</v>
      </c>
      <c r="O644" s="971">
        <v>0</v>
      </c>
      <c r="P644" s="970">
        <v>0</v>
      </c>
      <c r="Q644" s="972">
        <f t="shared" si="19"/>
        <v>372</v>
      </c>
      <c r="R644" s="970"/>
      <c r="S644" s="971">
        <v>4428</v>
      </c>
      <c r="T644" s="973">
        <v>2806</v>
      </c>
      <c r="U644" s="973">
        <v>7234</v>
      </c>
    </row>
    <row r="645" spans="1:21" x14ac:dyDescent="0.25">
      <c r="A645" s="967">
        <v>97101</v>
      </c>
      <c r="B645" s="968" t="s">
        <v>3282</v>
      </c>
      <c r="C645" s="969">
        <v>2.5790000000000001E-3</v>
      </c>
      <c r="D645" s="969">
        <v>2.6029E-3</v>
      </c>
      <c r="E645" s="986">
        <v>1208500</v>
      </c>
      <c r="F645" s="970">
        <v>3939998</v>
      </c>
      <c r="G645" s="970"/>
      <c r="H645" s="971">
        <v>226980</v>
      </c>
      <c r="I645" s="972">
        <v>956636</v>
      </c>
      <c r="J645" s="971">
        <v>562686</v>
      </c>
      <c r="K645" s="970">
        <v>22549</v>
      </c>
      <c r="L645" s="972">
        <f t="shared" si="18"/>
        <v>1768851</v>
      </c>
      <c r="M645" s="970"/>
      <c r="N645" s="971">
        <v>111529</v>
      </c>
      <c r="O645" s="971">
        <v>0</v>
      </c>
      <c r="P645" s="970">
        <v>6937</v>
      </c>
      <c r="Q645" s="972">
        <f t="shared" si="19"/>
        <v>118466</v>
      </c>
      <c r="R645" s="970"/>
      <c r="S645" s="971">
        <v>1327783</v>
      </c>
      <c r="T645" s="973">
        <v>3541</v>
      </c>
      <c r="U645" s="973">
        <v>1331324</v>
      </c>
    </row>
    <row r="646" spans="1:21" x14ac:dyDescent="0.25">
      <c r="A646" s="967">
        <v>97104</v>
      </c>
      <c r="B646" s="968" t="s">
        <v>3283</v>
      </c>
      <c r="C646" s="969">
        <v>5.4299999999999998E-5</v>
      </c>
      <c r="D646" s="969">
        <v>5.6799999999999998E-5</v>
      </c>
      <c r="E646" s="986">
        <v>29147</v>
      </c>
      <c r="F646" s="970">
        <v>82955</v>
      </c>
      <c r="G646" s="970"/>
      <c r="H646" s="971">
        <v>4779</v>
      </c>
      <c r="I646" s="972">
        <v>20142</v>
      </c>
      <c r="J646" s="971">
        <v>11847</v>
      </c>
      <c r="K646" s="970">
        <v>11700</v>
      </c>
      <c r="L646" s="972">
        <f t="shared" si="18"/>
        <v>48468</v>
      </c>
      <c r="M646" s="970"/>
      <c r="N646" s="971">
        <v>2348</v>
      </c>
      <c r="O646" s="971">
        <v>0</v>
      </c>
      <c r="P646" s="970">
        <v>0</v>
      </c>
      <c r="Q646" s="972">
        <f t="shared" si="19"/>
        <v>2348</v>
      </c>
      <c r="R646" s="970"/>
      <c r="S646" s="971">
        <v>27956</v>
      </c>
      <c r="T646" s="973">
        <v>6133</v>
      </c>
      <c r="U646" s="973">
        <v>34089</v>
      </c>
    </row>
    <row r="647" spans="1:21" x14ac:dyDescent="0.25">
      <c r="A647" s="967">
        <v>97111</v>
      </c>
      <c r="B647" s="968" t="s">
        <v>3284</v>
      </c>
      <c r="C647" s="969">
        <v>2.8200000000000002E-4</v>
      </c>
      <c r="D647" s="969">
        <v>2.7099999999999997E-4</v>
      </c>
      <c r="E647" s="986">
        <v>108871</v>
      </c>
      <c r="F647" s="970">
        <v>430818</v>
      </c>
      <c r="G647" s="970"/>
      <c r="H647" s="971">
        <v>24819</v>
      </c>
      <c r="I647" s="972">
        <v>104603</v>
      </c>
      <c r="J647" s="971">
        <v>61527</v>
      </c>
      <c r="K647" s="970">
        <v>7621</v>
      </c>
      <c r="L647" s="972">
        <f t="shared" ref="L647:L710" si="20">H647+I647+J647+K647</f>
        <v>198570</v>
      </c>
      <c r="M647" s="970"/>
      <c r="N647" s="971">
        <v>12195</v>
      </c>
      <c r="O647" s="971">
        <v>0</v>
      </c>
      <c r="P647" s="970">
        <v>20335</v>
      </c>
      <c r="Q647" s="972">
        <f t="shared" ref="Q647:Q710" si="21">N647+O647+P647</f>
        <v>32530</v>
      </c>
      <c r="R647" s="970"/>
      <c r="S647" s="971">
        <v>145186</v>
      </c>
      <c r="T647" s="973">
        <v>-1416</v>
      </c>
      <c r="U647" s="973">
        <v>143770</v>
      </c>
    </row>
    <row r="648" spans="1:21" x14ac:dyDescent="0.25">
      <c r="A648" s="967">
        <v>97121</v>
      </c>
      <c r="B648" s="968" t="s">
        <v>3285</v>
      </c>
      <c r="C648" s="969">
        <v>1.3640000000000001E-4</v>
      </c>
      <c r="D648" s="969">
        <v>1.2070000000000001E-4</v>
      </c>
      <c r="E648" s="986">
        <v>66522</v>
      </c>
      <c r="F648" s="970">
        <v>208381</v>
      </c>
      <c r="G648" s="970"/>
      <c r="H648" s="971">
        <v>12005</v>
      </c>
      <c r="I648" s="972">
        <v>50595</v>
      </c>
      <c r="J648" s="971">
        <v>29760</v>
      </c>
      <c r="K648" s="970">
        <v>13649</v>
      </c>
      <c r="L648" s="972">
        <f t="shared" si="20"/>
        <v>106009</v>
      </c>
      <c r="M648" s="970"/>
      <c r="N648" s="971">
        <v>5899</v>
      </c>
      <c r="O648" s="971">
        <v>0</v>
      </c>
      <c r="P648" s="970">
        <v>10026</v>
      </c>
      <c r="Q648" s="972">
        <f t="shared" si="21"/>
        <v>15925</v>
      </c>
      <c r="R648" s="970"/>
      <c r="S648" s="971">
        <v>70225</v>
      </c>
      <c r="T648" s="973">
        <v>-1103</v>
      </c>
      <c r="U648" s="973">
        <v>69122</v>
      </c>
    </row>
    <row r="649" spans="1:21" x14ac:dyDescent="0.25">
      <c r="A649" s="967">
        <v>97131</v>
      </c>
      <c r="B649" s="968" t="s">
        <v>3286</v>
      </c>
      <c r="C649" s="969">
        <v>7.358E-4</v>
      </c>
      <c r="D649" s="969">
        <v>6.2969999999999996E-4</v>
      </c>
      <c r="E649" s="986">
        <v>280483</v>
      </c>
      <c r="F649" s="970">
        <v>1124099</v>
      </c>
      <c r="G649" s="970"/>
      <c r="H649" s="971">
        <v>64758</v>
      </c>
      <c r="I649" s="972">
        <v>272933</v>
      </c>
      <c r="J649" s="971">
        <v>160537</v>
      </c>
      <c r="K649" s="970">
        <v>29703</v>
      </c>
      <c r="L649" s="972">
        <f t="shared" si="20"/>
        <v>527931</v>
      </c>
      <c r="M649" s="970"/>
      <c r="N649" s="971">
        <v>31820</v>
      </c>
      <c r="O649" s="971">
        <v>0</v>
      </c>
      <c r="P649" s="970">
        <v>2383</v>
      </c>
      <c r="Q649" s="972">
        <f t="shared" si="21"/>
        <v>34203</v>
      </c>
      <c r="R649" s="970"/>
      <c r="S649" s="971">
        <v>378822</v>
      </c>
      <c r="T649" s="973">
        <v>7857</v>
      </c>
      <c r="U649" s="973">
        <v>386679</v>
      </c>
    </row>
    <row r="650" spans="1:21" x14ac:dyDescent="0.25">
      <c r="A650" s="967">
        <v>97201</v>
      </c>
      <c r="B650" s="968" t="s">
        <v>3287</v>
      </c>
      <c r="C650" s="969">
        <v>5.2689999999999996E-4</v>
      </c>
      <c r="D650" s="969">
        <v>4.9439999999999998E-4</v>
      </c>
      <c r="E650" s="986">
        <v>248232</v>
      </c>
      <c r="F650" s="970">
        <v>804957</v>
      </c>
      <c r="G650" s="970"/>
      <c r="H650" s="971">
        <v>46373</v>
      </c>
      <c r="I650" s="972">
        <v>195445</v>
      </c>
      <c r="J650" s="971">
        <v>114959</v>
      </c>
      <c r="K650" s="970">
        <v>43529</v>
      </c>
      <c r="L650" s="972">
        <f t="shared" si="20"/>
        <v>400306</v>
      </c>
      <c r="M650" s="970"/>
      <c r="N650" s="971">
        <v>22786</v>
      </c>
      <c r="O650" s="971">
        <v>0</v>
      </c>
      <c r="P650" s="970">
        <v>1877</v>
      </c>
      <c r="Q650" s="972">
        <f t="shared" si="21"/>
        <v>24663</v>
      </c>
      <c r="R650" s="970"/>
      <c r="S650" s="971">
        <v>271271</v>
      </c>
      <c r="T650" s="973">
        <v>10950</v>
      </c>
      <c r="U650" s="973">
        <f>282222-1</f>
        <v>282221</v>
      </c>
    </row>
    <row r="651" spans="1:21" x14ac:dyDescent="0.25">
      <c r="A651" s="967">
        <v>97211</v>
      </c>
      <c r="B651" s="968" t="s">
        <v>3288</v>
      </c>
      <c r="C651" s="969">
        <v>1.5980000000000001E-4</v>
      </c>
      <c r="D651" s="969">
        <v>1.4119999999999999E-4</v>
      </c>
      <c r="E651" s="986">
        <v>74902</v>
      </c>
      <c r="F651" s="970">
        <v>244130</v>
      </c>
      <c r="G651" s="970"/>
      <c r="H651" s="971">
        <v>14064</v>
      </c>
      <c r="I651" s="972">
        <v>59275</v>
      </c>
      <c r="J651" s="971">
        <v>34865</v>
      </c>
      <c r="K651" s="970">
        <v>16009</v>
      </c>
      <c r="L651" s="972">
        <f t="shared" si="20"/>
        <v>124213</v>
      </c>
      <c r="M651" s="970"/>
      <c r="N651" s="971">
        <v>6911</v>
      </c>
      <c r="O651" s="971">
        <v>0</v>
      </c>
      <c r="P651" s="970">
        <v>12120</v>
      </c>
      <c r="Q651" s="972">
        <f t="shared" si="21"/>
        <v>19031</v>
      </c>
      <c r="R651" s="970"/>
      <c r="S651" s="971">
        <v>82272</v>
      </c>
      <c r="T651" s="973">
        <v>347</v>
      </c>
      <c r="U651" s="973">
        <v>82619</v>
      </c>
    </row>
    <row r="652" spans="1:21" x14ac:dyDescent="0.25">
      <c r="A652" s="967">
        <v>97213</v>
      </c>
      <c r="B652" s="968" t="s">
        <v>3289</v>
      </c>
      <c r="C652" s="969">
        <v>3.9100000000000002E-5</v>
      </c>
      <c r="D652" s="969">
        <v>3.8300000000000003E-5</v>
      </c>
      <c r="E652" s="986">
        <v>24680</v>
      </c>
      <c r="F652" s="970">
        <v>59734</v>
      </c>
      <c r="G652" s="970"/>
      <c r="H652" s="971">
        <v>3441</v>
      </c>
      <c r="I652" s="972">
        <v>14504</v>
      </c>
      <c r="J652" s="971">
        <v>8531</v>
      </c>
      <c r="K652" s="970">
        <v>6715</v>
      </c>
      <c r="L652" s="972">
        <f t="shared" si="20"/>
        <v>33191</v>
      </c>
      <c r="M652" s="970"/>
      <c r="N652" s="971">
        <v>1691</v>
      </c>
      <c r="O652" s="971">
        <v>0</v>
      </c>
      <c r="P652" s="970">
        <v>495</v>
      </c>
      <c r="Q652" s="972">
        <f t="shared" si="21"/>
        <v>2186</v>
      </c>
      <c r="R652" s="970"/>
      <c r="S652" s="971">
        <v>20130</v>
      </c>
      <c r="T652" s="973">
        <v>2057</v>
      </c>
      <c r="U652" s="973">
        <v>22187</v>
      </c>
    </row>
    <row r="653" spans="1:21" x14ac:dyDescent="0.25">
      <c r="A653" s="967">
        <v>97217</v>
      </c>
      <c r="B653" s="968" t="s">
        <v>3290</v>
      </c>
      <c r="C653" s="969">
        <v>4.6E-6</v>
      </c>
      <c r="D653" s="969">
        <v>4.8999999999999997E-6</v>
      </c>
      <c r="E653" s="986">
        <v>6890</v>
      </c>
      <c r="F653" s="970">
        <v>7028</v>
      </c>
      <c r="G653" s="970"/>
      <c r="H653" s="971">
        <v>405</v>
      </c>
      <c r="I653" s="972">
        <v>1706</v>
      </c>
      <c r="J653" s="971">
        <v>1004</v>
      </c>
      <c r="K653" s="970">
        <v>8215</v>
      </c>
      <c r="L653" s="972">
        <f t="shared" si="20"/>
        <v>11330</v>
      </c>
      <c r="M653" s="970"/>
      <c r="N653" s="971">
        <v>199</v>
      </c>
      <c r="O653" s="971">
        <v>0</v>
      </c>
      <c r="P653" s="970">
        <v>0</v>
      </c>
      <c r="Q653" s="972">
        <f t="shared" si="21"/>
        <v>199</v>
      </c>
      <c r="R653" s="970"/>
      <c r="S653" s="971">
        <v>2368</v>
      </c>
      <c r="T653" s="973">
        <v>3286</v>
      </c>
      <c r="U653" s="973">
        <v>5654</v>
      </c>
    </row>
    <row r="654" spans="1:21" x14ac:dyDescent="0.25">
      <c r="A654" s="967">
        <v>97221</v>
      </c>
      <c r="B654" s="968" t="s">
        <v>3291</v>
      </c>
      <c r="C654" s="969">
        <v>7.1999999999999997E-6</v>
      </c>
      <c r="D654" s="969">
        <v>6.1999999999999999E-6</v>
      </c>
      <c r="E654" s="986">
        <v>7778</v>
      </c>
      <c r="F654" s="970">
        <v>11000</v>
      </c>
      <c r="G654" s="970"/>
      <c r="H654" s="971">
        <v>634</v>
      </c>
      <c r="I654" s="972">
        <v>2670</v>
      </c>
      <c r="J654" s="971">
        <v>1571</v>
      </c>
      <c r="K654" s="970">
        <v>8086</v>
      </c>
      <c r="L654" s="972">
        <f t="shared" si="20"/>
        <v>12961</v>
      </c>
      <c r="M654" s="970"/>
      <c r="N654" s="971">
        <v>311</v>
      </c>
      <c r="O654" s="971">
        <v>0</v>
      </c>
      <c r="P654" s="970">
        <v>0</v>
      </c>
      <c r="Q654" s="972">
        <f t="shared" si="21"/>
        <v>311</v>
      </c>
      <c r="R654" s="970"/>
      <c r="S654" s="971">
        <v>3707</v>
      </c>
      <c r="T654" s="973">
        <v>3119</v>
      </c>
      <c r="U654" s="973">
        <v>6826</v>
      </c>
    </row>
    <row r="655" spans="1:21" x14ac:dyDescent="0.25">
      <c r="A655" s="967">
        <v>97301</v>
      </c>
      <c r="B655" s="968" t="s">
        <v>3292</v>
      </c>
      <c r="C655" s="969">
        <v>2.5135999999999999E-3</v>
      </c>
      <c r="D655" s="969">
        <v>2.5742E-3</v>
      </c>
      <c r="E655" s="986">
        <v>1186932</v>
      </c>
      <c r="F655" s="970">
        <v>3840085</v>
      </c>
      <c r="G655" s="970"/>
      <c r="H655" s="971">
        <v>221224</v>
      </c>
      <c r="I655" s="972">
        <v>932377</v>
      </c>
      <c r="J655" s="971">
        <v>548417</v>
      </c>
      <c r="K655" s="970">
        <v>23710</v>
      </c>
      <c r="L655" s="972">
        <f t="shared" si="20"/>
        <v>1725728</v>
      </c>
      <c r="M655" s="970"/>
      <c r="N655" s="971">
        <v>108701</v>
      </c>
      <c r="O655" s="971">
        <v>0</v>
      </c>
      <c r="P655" s="970">
        <v>56463</v>
      </c>
      <c r="Q655" s="972">
        <f t="shared" si="21"/>
        <v>165164</v>
      </c>
      <c r="R655" s="970"/>
      <c r="S655" s="971">
        <v>1294112</v>
      </c>
      <c r="T655" s="973">
        <v>-10667</v>
      </c>
      <c r="U655" s="973">
        <v>1283445</v>
      </c>
    </row>
    <row r="656" spans="1:21" x14ac:dyDescent="0.25">
      <c r="A656" s="967">
        <v>97304</v>
      </c>
      <c r="B656" s="968" t="s">
        <v>3293</v>
      </c>
      <c r="C656" s="969">
        <v>1.6799999999999998E-5</v>
      </c>
      <c r="D656" s="969">
        <v>1.7600000000000001E-5</v>
      </c>
      <c r="E656" s="986">
        <v>13382</v>
      </c>
      <c r="F656" s="970">
        <v>25666</v>
      </c>
      <c r="G656" s="970"/>
      <c r="H656" s="971">
        <v>1479</v>
      </c>
      <c r="I656" s="972">
        <v>6232</v>
      </c>
      <c r="J656" s="971">
        <v>3665</v>
      </c>
      <c r="K656" s="970">
        <v>8739</v>
      </c>
      <c r="L656" s="972">
        <f t="shared" si="20"/>
        <v>20115</v>
      </c>
      <c r="M656" s="970"/>
      <c r="N656" s="971">
        <v>727</v>
      </c>
      <c r="O656" s="971">
        <v>0</v>
      </c>
      <c r="P656" s="970">
        <v>0</v>
      </c>
      <c r="Q656" s="972">
        <f t="shared" si="21"/>
        <v>727</v>
      </c>
      <c r="R656" s="970"/>
      <c r="S656" s="971">
        <v>8649</v>
      </c>
      <c r="T656" s="973">
        <v>3503</v>
      </c>
      <c r="U656" s="973">
        <f>12153-1</f>
        <v>12152</v>
      </c>
    </row>
    <row r="657" spans="1:21" x14ac:dyDescent="0.25">
      <c r="A657" s="967">
        <v>97311</v>
      </c>
      <c r="B657" s="968" t="s">
        <v>3294</v>
      </c>
      <c r="C657" s="969">
        <v>9.1799999999999998E-4</v>
      </c>
      <c r="D657" s="969">
        <v>9.5E-4</v>
      </c>
      <c r="E657" s="986">
        <v>407124</v>
      </c>
      <c r="F657" s="970">
        <v>1402450</v>
      </c>
      <c r="G657" s="970"/>
      <c r="H657" s="971">
        <v>80794</v>
      </c>
      <c r="I657" s="972">
        <v>340516</v>
      </c>
      <c r="J657" s="971">
        <v>200289</v>
      </c>
      <c r="K657" s="970">
        <v>0</v>
      </c>
      <c r="L657" s="972">
        <f t="shared" si="20"/>
        <v>621599</v>
      </c>
      <c r="M657" s="970"/>
      <c r="N657" s="971">
        <v>39699</v>
      </c>
      <c r="O657" s="971">
        <v>0</v>
      </c>
      <c r="P657" s="970">
        <v>96844</v>
      </c>
      <c r="Q657" s="972">
        <f t="shared" si="21"/>
        <v>136543</v>
      </c>
      <c r="R657" s="970"/>
      <c r="S657" s="971">
        <v>472627</v>
      </c>
      <c r="T657" s="973">
        <v>-42048</v>
      </c>
      <c r="U657" s="973">
        <v>430579</v>
      </c>
    </row>
    <row r="658" spans="1:21" x14ac:dyDescent="0.25">
      <c r="A658" s="967">
        <v>97401</v>
      </c>
      <c r="B658" s="968" t="s">
        <v>3295</v>
      </c>
      <c r="C658" s="969">
        <v>7.1303E-3</v>
      </c>
      <c r="D658" s="969">
        <v>6.9633000000000004E-3</v>
      </c>
      <c r="E658" s="986">
        <v>3322669</v>
      </c>
      <c r="F658" s="970">
        <v>10893123</v>
      </c>
      <c r="G658" s="970"/>
      <c r="H658" s="971">
        <v>627545</v>
      </c>
      <c r="I658" s="972">
        <v>2644864</v>
      </c>
      <c r="J658" s="971">
        <v>1555689</v>
      </c>
      <c r="K658" s="970">
        <v>151378</v>
      </c>
      <c r="L658" s="972">
        <f t="shared" si="20"/>
        <v>4979476</v>
      </c>
      <c r="M658" s="970"/>
      <c r="N658" s="971">
        <v>308350</v>
      </c>
      <c r="O658" s="971">
        <v>0</v>
      </c>
      <c r="P658" s="970">
        <v>83194</v>
      </c>
      <c r="Q658" s="972">
        <f t="shared" si="21"/>
        <v>391544</v>
      </c>
      <c r="R658" s="970"/>
      <c r="S658" s="971">
        <v>3670992</v>
      </c>
      <c r="T658" s="973">
        <v>-21617</v>
      </c>
      <c r="U658" s="973">
        <v>3649375</v>
      </c>
    </row>
    <row r="659" spans="1:21" x14ac:dyDescent="0.25">
      <c r="A659" s="967">
        <v>97402</v>
      </c>
      <c r="B659" s="968" t="s">
        <v>3296</v>
      </c>
      <c r="C659" s="969">
        <v>4.8000000000000001E-5</v>
      </c>
      <c r="D659" s="969">
        <v>4.4700000000000002E-5</v>
      </c>
      <c r="E659" s="986">
        <v>25207</v>
      </c>
      <c r="F659" s="970">
        <v>73331</v>
      </c>
      <c r="G659" s="970"/>
      <c r="H659" s="971">
        <v>4225</v>
      </c>
      <c r="I659" s="972">
        <v>17804</v>
      </c>
      <c r="J659" s="971">
        <v>10473</v>
      </c>
      <c r="K659" s="970">
        <v>15704</v>
      </c>
      <c r="L659" s="972">
        <f t="shared" si="20"/>
        <v>48206</v>
      </c>
      <c r="M659" s="970"/>
      <c r="N659" s="971">
        <v>2076</v>
      </c>
      <c r="O659" s="971">
        <v>0</v>
      </c>
      <c r="P659" s="970">
        <v>0</v>
      </c>
      <c r="Q659" s="972">
        <f t="shared" si="21"/>
        <v>2076</v>
      </c>
      <c r="R659" s="970"/>
      <c r="S659" s="971">
        <v>24713</v>
      </c>
      <c r="T659" s="973">
        <v>5283</v>
      </c>
      <c r="U659" s="973">
        <f>29995+1</f>
        <v>29996</v>
      </c>
    </row>
    <row r="660" spans="1:21" x14ac:dyDescent="0.25">
      <c r="A660" s="967">
        <v>97404</v>
      </c>
      <c r="B660" s="968" t="s">
        <v>3297</v>
      </c>
      <c r="C660" s="969">
        <v>2.1010000000000001E-4</v>
      </c>
      <c r="D660" s="969">
        <v>2.1049999999999999E-4</v>
      </c>
      <c r="E660" s="986">
        <v>84649</v>
      </c>
      <c r="F660" s="970">
        <v>320975</v>
      </c>
      <c r="G660" s="970"/>
      <c r="H660" s="971">
        <v>18491</v>
      </c>
      <c r="I660" s="972">
        <v>77933</v>
      </c>
      <c r="J660" s="971">
        <v>45840</v>
      </c>
      <c r="K660" s="970">
        <v>983</v>
      </c>
      <c r="L660" s="972">
        <f t="shared" si="20"/>
        <v>143247</v>
      </c>
      <c r="M660" s="970"/>
      <c r="N660" s="971">
        <v>9086</v>
      </c>
      <c r="O660" s="971">
        <v>0</v>
      </c>
      <c r="P660" s="970">
        <v>21173</v>
      </c>
      <c r="Q660" s="972">
        <f t="shared" si="21"/>
        <v>30259</v>
      </c>
      <c r="R660" s="970"/>
      <c r="S660" s="971">
        <v>108169</v>
      </c>
      <c r="T660" s="973">
        <v>-6084</v>
      </c>
      <c r="U660" s="973">
        <f>102084+1</f>
        <v>102085</v>
      </c>
    </row>
    <row r="661" spans="1:21" x14ac:dyDescent="0.25">
      <c r="A661" s="967">
        <v>97405</v>
      </c>
      <c r="B661" s="968" t="s">
        <v>3298</v>
      </c>
      <c r="C661" s="969">
        <v>1.091E-4</v>
      </c>
      <c r="D661" s="969">
        <v>1.087E-4</v>
      </c>
      <c r="E661" s="986">
        <v>65706</v>
      </c>
      <c r="F661" s="970">
        <v>166675</v>
      </c>
      <c r="G661" s="970"/>
      <c r="H661" s="971">
        <v>9602</v>
      </c>
      <c r="I661" s="972">
        <v>40468</v>
      </c>
      <c r="J661" s="971">
        <v>23803</v>
      </c>
      <c r="K661" s="970">
        <v>26973</v>
      </c>
      <c r="L661" s="972">
        <f t="shared" si="20"/>
        <v>100846</v>
      </c>
      <c r="M661" s="970"/>
      <c r="N661" s="971">
        <v>4718</v>
      </c>
      <c r="O661" s="971">
        <v>0</v>
      </c>
      <c r="P661" s="970">
        <v>4890</v>
      </c>
      <c r="Q661" s="972">
        <f t="shared" si="21"/>
        <v>9608</v>
      </c>
      <c r="R661" s="970"/>
      <c r="S661" s="971">
        <v>56169</v>
      </c>
      <c r="T661" s="973">
        <v>4747</v>
      </c>
      <c r="U661" s="973">
        <v>60916</v>
      </c>
    </row>
    <row r="662" spans="1:21" x14ac:dyDescent="0.25">
      <c r="A662" s="967">
        <v>97408</v>
      </c>
      <c r="B662" s="968" t="s">
        <v>3299</v>
      </c>
      <c r="C662" s="969">
        <v>4.4499999999999997E-5</v>
      </c>
      <c r="D662" s="969">
        <v>4.9299999999999999E-5</v>
      </c>
      <c r="E662" s="986">
        <v>27499</v>
      </c>
      <c r="F662" s="970">
        <v>67984</v>
      </c>
      <c r="G662" s="970"/>
      <c r="H662" s="971">
        <v>3916</v>
      </c>
      <c r="I662" s="972">
        <v>16507</v>
      </c>
      <c r="J662" s="971">
        <v>9709</v>
      </c>
      <c r="K662" s="970">
        <v>7648</v>
      </c>
      <c r="L662" s="972">
        <f t="shared" si="20"/>
        <v>37780</v>
      </c>
      <c r="M662" s="970"/>
      <c r="N662" s="971">
        <v>1924</v>
      </c>
      <c r="O662" s="971">
        <v>0</v>
      </c>
      <c r="P662" s="970">
        <v>0</v>
      </c>
      <c r="Q662" s="972">
        <f t="shared" si="21"/>
        <v>1924</v>
      </c>
      <c r="R662" s="970"/>
      <c r="S662" s="971">
        <v>22911</v>
      </c>
      <c r="T662" s="973">
        <v>2984</v>
      </c>
      <c r="U662" s="973">
        <v>25895</v>
      </c>
    </row>
    <row r="663" spans="1:21" x14ac:dyDescent="0.25">
      <c r="A663" s="967">
        <v>97411</v>
      </c>
      <c r="B663" s="968" t="s">
        <v>3300</v>
      </c>
      <c r="C663" s="969">
        <v>6.6379000000000004E-3</v>
      </c>
      <c r="D663" s="969">
        <v>6.7269000000000001E-3</v>
      </c>
      <c r="E663" s="986">
        <v>2979173</v>
      </c>
      <c r="F663" s="970">
        <v>10140873</v>
      </c>
      <c r="G663" s="970"/>
      <c r="H663" s="971">
        <v>584208</v>
      </c>
      <c r="I663" s="972">
        <v>2462217</v>
      </c>
      <c r="J663" s="971">
        <v>1448257</v>
      </c>
      <c r="K663" s="970">
        <v>0</v>
      </c>
      <c r="L663" s="972">
        <f t="shared" si="20"/>
        <v>4494682</v>
      </c>
      <c r="M663" s="970"/>
      <c r="N663" s="971">
        <v>287056</v>
      </c>
      <c r="O663" s="971">
        <v>0</v>
      </c>
      <c r="P663" s="970">
        <v>679489</v>
      </c>
      <c r="Q663" s="972">
        <f t="shared" si="21"/>
        <v>966545</v>
      </c>
      <c r="R663" s="970"/>
      <c r="S663" s="971">
        <v>3417483</v>
      </c>
      <c r="T663" s="973">
        <v>-317873</v>
      </c>
      <c r="U663" s="973">
        <v>3099610</v>
      </c>
    </row>
    <row r="664" spans="1:21" x14ac:dyDescent="0.25">
      <c r="A664" s="967">
        <v>97412</v>
      </c>
      <c r="B664" s="968" t="s">
        <v>3301</v>
      </c>
      <c r="C664" s="969">
        <v>4.5082000000000004E-3</v>
      </c>
      <c r="D664" s="969">
        <v>4.424E-3</v>
      </c>
      <c r="E664" s="986">
        <v>2155644</v>
      </c>
      <c r="F664" s="970">
        <v>6887281</v>
      </c>
      <c r="G664" s="970"/>
      <c r="H664" s="971">
        <v>396771</v>
      </c>
      <c r="I664" s="972">
        <v>1672240</v>
      </c>
      <c r="J664" s="971">
        <v>983599</v>
      </c>
      <c r="K664" s="970">
        <v>229685</v>
      </c>
      <c r="L664" s="972">
        <f t="shared" si="20"/>
        <v>3282295</v>
      </c>
      <c r="M664" s="970"/>
      <c r="N664" s="971">
        <v>194957</v>
      </c>
      <c r="O664" s="971">
        <v>0</v>
      </c>
      <c r="P664" s="970">
        <v>0</v>
      </c>
      <c r="Q664" s="972">
        <f t="shared" si="21"/>
        <v>194957</v>
      </c>
      <c r="R664" s="970"/>
      <c r="S664" s="971">
        <v>2321020</v>
      </c>
      <c r="T664" s="973">
        <v>85525</v>
      </c>
      <c r="U664" s="973">
        <v>2406545</v>
      </c>
    </row>
    <row r="665" spans="1:21" x14ac:dyDescent="0.25">
      <c r="A665" s="967">
        <v>97413</v>
      </c>
      <c r="B665" s="968" t="s">
        <v>3302</v>
      </c>
      <c r="C665" s="969">
        <v>2.6570000000000001E-4</v>
      </c>
      <c r="D665" s="969">
        <v>2.7910000000000001E-4</v>
      </c>
      <c r="E665" s="986">
        <v>140809</v>
      </c>
      <c r="F665" s="970">
        <v>405916</v>
      </c>
      <c r="G665" s="970"/>
      <c r="H665" s="971">
        <v>23385</v>
      </c>
      <c r="I665" s="972">
        <v>98557</v>
      </c>
      <c r="J665" s="971">
        <v>57970</v>
      </c>
      <c r="K665" s="970">
        <v>7437</v>
      </c>
      <c r="L665" s="972">
        <f t="shared" si="20"/>
        <v>187349</v>
      </c>
      <c r="M665" s="970"/>
      <c r="N665" s="971">
        <v>11490</v>
      </c>
      <c r="O665" s="971">
        <v>0</v>
      </c>
      <c r="P665" s="970">
        <v>5304</v>
      </c>
      <c r="Q665" s="972">
        <f t="shared" si="21"/>
        <v>16794</v>
      </c>
      <c r="R665" s="970"/>
      <c r="S665" s="971">
        <v>136794</v>
      </c>
      <c r="T665" s="973">
        <v>-2913</v>
      </c>
      <c r="U665" s="973">
        <v>133881</v>
      </c>
    </row>
    <row r="666" spans="1:21" x14ac:dyDescent="0.25">
      <c r="A666" s="967">
        <v>97421</v>
      </c>
      <c r="B666" s="968" t="s">
        <v>3303</v>
      </c>
      <c r="C666" s="969">
        <v>4.2890000000000002E-4</v>
      </c>
      <c r="D666" s="969">
        <v>4.1120000000000002E-4</v>
      </c>
      <c r="E666" s="986">
        <v>192261</v>
      </c>
      <c r="F666" s="970">
        <v>655240</v>
      </c>
      <c r="G666" s="970"/>
      <c r="H666" s="971">
        <v>37748</v>
      </c>
      <c r="I666" s="972">
        <v>159093</v>
      </c>
      <c r="J666" s="971">
        <v>93577</v>
      </c>
      <c r="K666" s="970">
        <v>8155</v>
      </c>
      <c r="L666" s="972">
        <f t="shared" si="20"/>
        <v>298573</v>
      </c>
      <c r="M666" s="970"/>
      <c r="N666" s="971">
        <v>18548</v>
      </c>
      <c r="O666" s="971">
        <v>0</v>
      </c>
      <c r="P666" s="970">
        <v>24127</v>
      </c>
      <c r="Q666" s="972">
        <f t="shared" si="21"/>
        <v>42675</v>
      </c>
      <c r="R666" s="970"/>
      <c r="S666" s="971">
        <v>220817</v>
      </c>
      <c r="T666" s="973">
        <v>-14066</v>
      </c>
      <c r="U666" s="973">
        <v>206751</v>
      </c>
    </row>
    <row r="667" spans="1:21" x14ac:dyDescent="0.25">
      <c r="A667" s="967">
        <v>97423</v>
      </c>
      <c r="B667" s="968" t="s">
        <v>3304</v>
      </c>
      <c r="C667" s="969">
        <v>4.3600000000000003E-5</v>
      </c>
      <c r="D667" s="969">
        <v>4.5800000000000002E-5</v>
      </c>
      <c r="E667" s="986">
        <v>42976</v>
      </c>
      <c r="F667" s="970">
        <v>66609</v>
      </c>
      <c r="G667" s="970"/>
      <c r="H667" s="971">
        <v>3837</v>
      </c>
      <c r="I667" s="972">
        <v>16173</v>
      </c>
      <c r="J667" s="971">
        <v>9513</v>
      </c>
      <c r="K667" s="970">
        <v>35421</v>
      </c>
      <c r="L667" s="972">
        <f t="shared" si="20"/>
        <v>64944</v>
      </c>
      <c r="M667" s="970"/>
      <c r="N667" s="971">
        <v>1885</v>
      </c>
      <c r="O667" s="971">
        <v>0</v>
      </c>
      <c r="P667" s="970">
        <v>0</v>
      </c>
      <c r="Q667" s="972">
        <f t="shared" si="21"/>
        <v>1885</v>
      </c>
      <c r="R667" s="970"/>
      <c r="S667" s="971">
        <v>22447</v>
      </c>
      <c r="T667" s="973">
        <v>12225</v>
      </c>
      <c r="U667" s="973">
        <v>34672</v>
      </c>
    </row>
    <row r="668" spans="1:21" x14ac:dyDescent="0.25">
      <c r="A668" s="967">
        <v>97431</v>
      </c>
      <c r="B668" s="968" t="s">
        <v>3305</v>
      </c>
      <c r="C668" s="969">
        <v>8.5599999999999994E-5</v>
      </c>
      <c r="D668" s="969">
        <v>8.5199999999999997E-5</v>
      </c>
      <c r="E668" s="986">
        <v>44546</v>
      </c>
      <c r="F668" s="970">
        <v>130773</v>
      </c>
      <c r="G668" s="970"/>
      <c r="H668" s="971">
        <v>7534</v>
      </c>
      <c r="I668" s="972">
        <v>31751</v>
      </c>
      <c r="J668" s="971">
        <v>18676</v>
      </c>
      <c r="K668" s="970">
        <v>6440</v>
      </c>
      <c r="L668" s="972">
        <f t="shared" si="20"/>
        <v>64401</v>
      </c>
      <c r="M668" s="970"/>
      <c r="N668" s="971">
        <v>3702</v>
      </c>
      <c r="O668" s="971">
        <v>0</v>
      </c>
      <c r="P668" s="970">
        <v>0</v>
      </c>
      <c r="Q668" s="972">
        <f t="shared" si="21"/>
        <v>3702</v>
      </c>
      <c r="R668" s="970"/>
      <c r="S668" s="971">
        <v>44071</v>
      </c>
      <c r="T668" s="973">
        <v>2026</v>
      </c>
      <c r="U668" s="973">
        <v>46097</v>
      </c>
    </row>
    <row r="669" spans="1:21" x14ac:dyDescent="0.25">
      <c r="A669" s="967">
        <v>97441</v>
      </c>
      <c r="B669" s="968" t="s">
        <v>3306</v>
      </c>
      <c r="C669" s="969">
        <v>7.5799999999999999E-5</v>
      </c>
      <c r="D669" s="969">
        <v>7.0500000000000006E-5</v>
      </c>
      <c r="E669" s="986">
        <v>25244</v>
      </c>
      <c r="F669" s="970">
        <v>115801</v>
      </c>
      <c r="G669" s="970"/>
      <c r="H669" s="971">
        <v>6671</v>
      </c>
      <c r="I669" s="972">
        <v>28117</v>
      </c>
      <c r="J669" s="971">
        <v>16538</v>
      </c>
      <c r="K669" s="970">
        <v>202</v>
      </c>
      <c r="L669" s="972">
        <f t="shared" si="20"/>
        <v>51528</v>
      </c>
      <c r="M669" s="970"/>
      <c r="N669" s="971">
        <v>3278</v>
      </c>
      <c r="O669" s="971">
        <v>0</v>
      </c>
      <c r="P669" s="970">
        <v>7671</v>
      </c>
      <c r="Q669" s="972">
        <f t="shared" si="21"/>
        <v>10949</v>
      </c>
      <c r="R669" s="970"/>
      <c r="S669" s="971">
        <v>39025</v>
      </c>
      <c r="T669" s="973">
        <v>-2235</v>
      </c>
      <c r="U669" s="973">
        <v>36790</v>
      </c>
    </row>
    <row r="670" spans="1:21" x14ac:dyDescent="0.25">
      <c r="A670" s="967">
        <v>97451</v>
      </c>
      <c r="B670" s="968" t="s">
        <v>3307</v>
      </c>
      <c r="C670" s="969">
        <v>5.5820000000000002E-4</v>
      </c>
      <c r="D670" s="969">
        <v>6.1039999999999998E-4</v>
      </c>
      <c r="E670" s="986">
        <v>245214</v>
      </c>
      <c r="F670" s="970">
        <v>852775</v>
      </c>
      <c r="G670" s="970"/>
      <c r="H670" s="971">
        <v>49128</v>
      </c>
      <c r="I670" s="972">
        <v>207055</v>
      </c>
      <c r="J670" s="971">
        <v>121788</v>
      </c>
      <c r="K670" s="970">
        <v>19770</v>
      </c>
      <c r="L670" s="972">
        <f t="shared" si="20"/>
        <v>397741</v>
      </c>
      <c r="M670" s="970"/>
      <c r="N670" s="971">
        <v>24139</v>
      </c>
      <c r="O670" s="971">
        <v>0</v>
      </c>
      <c r="P670" s="970">
        <v>47630</v>
      </c>
      <c r="Q670" s="972">
        <f t="shared" si="21"/>
        <v>71769</v>
      </c>
      <c r="R670" s="970"/>
      <c r="S670" s="971">
        <v>287386</v>
      </c>
      <c r="T670" s="973">
        <v>-2772</v>
      </c>
      <c r="U670" s="973">
        <v>284614</v>
      </c>
    </row>
    <row r="671" spans="1:21" x14ac:dyDescent="0.25">
      <c r="A671" s="967">
        <v>97461</v>
      </c>
      <c r="B671" s="968" t="s">
        <v>3308</v>
      </c>
      <c r="C671" s="969">
        <v>5.5650000000000003E-4</v>
      </c>
      <c r="D671" s="969">
        <v>5.1869999999999998E-4</v>
      </c>
      <c r="E671" s="986">
        <v>228350</v>
      </c>
      <c r="F671" s="970">
        <v>850178</v>
      </c>
      <c r="G671" s="970"/>
      <c r="H671" s="971">
        <v>48978</v>
      </c>
      <c r="I671" s="972">
        <v>206424</v>
      </c>
      <c r="J671" s="971">
        <v>121417</v>
      </c>
      <c r="K671" s="970">
        <v>5855</v>
      </c>
      <c r="L671" s="972">
        <f t="shared" si="20"/>
        <v>382674</v>
      </c>
      <c r="M671" s="970"/>
      <c r="N671" s="971">
        <v>24066</v>
      </c>
      <c r="O671" s="971">
        <v>0</v>
      </c>
      <c r="P671" s="970">
        <v>31609</v>
      </c>
      <c r="Q671" s="972">
        <f t="shared" si="21"/>
        <v>55675</v>
      </c>
      <c r="R671" s="970"/>
      <c r="S671" s="971">
        <v>286511</v>
      </c>
      <c r="T671" s="973">
        <v>-11321</v>
      </c>
      <c r="U671" s="973">
        <v>275190</v>
      </c>
    </row>
    <row r="672" spans="1:21" x14ac:dyDescent="0.25">
      <c r="A672" s="967">
        <v>97463</v>
      </c>
      <c r="B672" s="968" t="s">
        <v>3309</v>
      </c>
      <c r="C672" s="969">
        <v>4.1100000000000003E-5</v>
      </c>
      <c r="D672" s="969">
        <v>5.0099999999999998E-5</v>
      </c>
      <c r="E672" s="986">
        <v>16312</v>
      </c>
      <c r="F672" s="970">
        <v>62789</v>
      </c>
      <c r="G672" s="970"/>
      <c r="H672" s="971">
        <v>3617</v>
      </c>
      <c r="I672" s="972">
        <v>15246</v>
      </c>
      <c r="J672" s="971">
        <v>8967</v>
      </c>
      <c r="K672" s="970">
        <v>1420</v>
      </c>
      <c r="L672" s="972">
        <f t="shared" si="20"/>
        <v>29250</v>
      </c>
      <c r="M672" s="970"/>
      <c r="N672" s="971">
        <v>1777</v>
      </c>
      <c r="O672" s="971">
        <v>0</v>
      </c>
      <c r="P672" s="970">
        <v>12499</v>
      </c>
      <c r="Q672" s="972">
        <f t="shared" si="21"/>
        <v>14276</v>
      </c>
      <c r="R672" s="970"/>
      <c r="S672" s="971">
        <v>21160</v>
      </c>
      <c r="T672" s="973">
        <v>-2447</v>
      </c>
      <c r="U672" s="973">
        <v>18713</v>
      </c>
    </row>
    <row r="673" spans="1:21" x14ac:dyDescent="0.25">
      <c r="A673" s="967">
        <v>97471</v>
      </c>
      <c r="B673" s="968" t="s">
        <v>3310</v>
      </c>
      <c r="C673" s="969">
        <v>1.22E-5</v>
      </c>
      <c r="D673" s="969">
        <v>1.27E-5</v>
      </c>
      <c r="E673" s="986">
        <v>10247</v>
      </c>
      <c r="F673" s="970">
        <v>18638</v>
      </c>
      <c r="G673" s="970"/>
      <c r="H673" s="971">
        <v>1074</v>
      </c>
      <c r="I673" s="972">
        <v>4526</v>
      </c>
      <c r="J673" s="971">
        <v>2662</v>
      </c>
      <c r="K673" s="970">
        <v>6770</v>
      </c>
      <c r="L673" s="972">
        <f t="shared" si="20"/>
        <v>15032</v>
      </c>
      <c r="M673" s="970"/>
      <c r="N673" s="971">
        <v>528</v>
      </c>
      <c r="O673" s="971">
        <v>0</v>
      </c>
      <c r="P673" s="970">
        <v>0</v>
      </c>
      <c r="Q673" s="972">
        <f t="shared" si="21"/>
        <v>528</v>
      </c>
      <c r="R673" s="970"/>
      <c r="S673" s="971">
        <v>6281</v>
      </c>
      <c r="T673" s="973">
        <v>2621</v>
      </c>
      <c r="U673" s="973">
        <v>8902</v>
      </c>
    </row>
    <row r="674" spans="1:21" x14ac:dyDescent="0.25">
      <c r="A674" s="967">
        <v>97481</v>
      </c>
      <c r="B674" s="968" t="s">
        <v>3311</v>
      </c>
      <c r="C674" s="969">
        <v>9.9000000000000001E-6</v>
      </c>
      <c r="D674" s="969">
        <v>1.63E-5</v>
      </c>
      <c r="E674" s="986">
        <v>6015</v>
      </c>
      <c r="F674" s="970">
        <v>15124</v>
      </c>
      <c r="G674" s="970"/>
      <c r="H674" s="971">
        <v>871</v>
      </c>
      <c r="I674" s="972">
        <v>3672</v>
      </c>
      <c r="J674" s="971">
        <v>2160</v>
      </c>
      <c r="K674" s="970">
        <v>3592</v>
      </c>
      <c r="L674" s="972">
        <f t="shared" si="20"/>
        <v>10295</v>
      </c>
      <c r="M674" s="970"/>
      <c r="N674" s="971">
        <v>428</v>
      </c>
      <c r="O674" s="971">
        <v>0</v>
      </c>
      <c r="P674" s="970">
        <v>3115</v>
      </c>
      <c r="Q674" s="972">
        <f t="shared" si="21"/>
        <v>3543</v>
      </c>
      <c r="R674" s="970"/>
      <c r="S674" s="971">
        <v>5097</v>
      </c>
      <c r="T674" s="973">
        <v>1594</v>
      </c>
      <c r="U674" s="973">
        <v>6691</v>
      </c>
    </row>
    <row r="675" spans="1:21" x14ac:dyDescent="0.25">
      <c r="A675" s="967">
        <v>97491</v>
      </c>
      <c r="B675" s="968" t="s">
        <v>3312</v>
      </c>
      <c r="C675" s="969">
        <v>0</v>
      </c>
      <c r="D675" s="969">
        <v>0</v>
      </c>
      <c r="E675" s="986" t="e">
        <v>#N/A</v>
      </c>
      <c r="F675" s="970">
        <v>0</v>
      </c>
      <c r="G675" s="970"/>
      <c r="H675" s="971">
        <v>0</v>
      </c>
      <c r="I675" s="972">
        <v>0</v>
      </c>
      <c r="J675" s="971">
        <v>0</v>
      </c>
      <c r="K675" s="970">
        <v>0</v>
      </c>
      <c r="L675" s="972">
        <f t="shared" si="20"/>
        <v>0</v>
      </c>
      <c r="M675" s="970"/>
      <c r="N675" s="971">
        <v>0</v>
      </c>
      <c r="O675" s="971">
        <v>0</v>
      </c>
      <c r="P675" s="970">
        <v>7849</v>
      </c>
      <c r="Q675" s="972">
        <f t="shared" si="21"/>
        <v>7849</v>
      </c>
      <c r="R675" s="970"/>
      <c r="S675" s="971">
        <v>0</v>
      </c>
      <c r="T675" s="973">
        <v>-4941</v>
      </c>
      <c r="U675" s="973">
        <v>-4941</v>
      </c>
    </row>
    <row r="676" spans="1:21" x14ac:dyDescent="0.25">
      <c r="A676" s="967">
        <v>97501</v>
      </c>
      <c r="B676" s="968" t="s">
        <v>3313</v>
      </c>
      <c r="C676" s="969">
        <v>1.1000999999999999E-3</v>
      </c>
      <c r="D676" s="969">
        <v>9.6730000000000004E-4</v>
      </c>
      <c r="E676" s="986">
        <v>517522</v>
      </c>
      <c r="F676" s="970">
        <v>1680648</v>
      </c>
      <c r="G676" s="970"/>
      <c r="H676" s="971">
        <v>96821</v>
      </c>
      <c r="I676" s="972">
        <v>408064</v>
      </c>
      <c r="J676" s="971">
        <v>240020</v>
      </c>
      <c r="K676" s="970">
        <v>125050</v>
      </c>
      <c r="L676" s="972">
        <f t="shared" si="20"/>
        <v>869955</v>
      </c>
      <c r="M676" s="970"/>
      <c r="N676" s="971">
        <v>47574</v>
      </c>
      <c r="O676" s="971">
        <v>0</v>
      </c>
      <c r="P676" s="970">
        <v>0</v>
      </c>
      <c r="Q676" s="972">
        <f t="shared" si="21"/>
        <v>47574</v>
      </c>
      <c r="R676" s="970"/>
      <c r="S676" s="971">
        <v>566380</v>
      </c>
      <c r="T676" s="973">
        <v>44629</v>
      </c>
      <c r="U676" s="973">
        <v>611009</v>
      </c>
    </row>
    <row r="677" spans="1:21" x14ac:dyDescent="0.25">
      <c r="A677" s="967">
        <v>97511</v>
      </c>
      <c r="B677" s="968" t="s">
        <v>3314</v>
      </c>
      <c r="C677" s="969">
        <v>2.3450000000000001E-4</v>
      </c>
      <c r="D677" s="969">
        <v>2.3220000000000001E-4</v>
      </c>
      <c r="E677" s="986">
        <v>112044</v>
      </c>
      <c r="F677" s="970">
        <v>358251</v>
      </c>
      <c r="G677" s="970"/>
      <c r="H677" s="971">
        <v>20639</v>
      </c>
      <c r="I677" s="972">
        <v>86984</v>
      </c>
      <c r="J677" s="971">
        <v>51163</v>
      </c>
      <c r="K677" s="970">
        <v>12835</v>
      </c>
      <c r="L677" s="972">
        <f t="shared" si="20"/>
        <v>171621</v>
      </c>
      <c r="M677" s="970"/>
      <c r="N677" s="971">
        <v>10141</v>
      </c>
      <c r="O677" s="971">
        <v>0</v>
      </c>
      <c r="P677" s="970">
        <v>844</v>
      </c>
      <c r="Q677" s="972">
        <f t="shared" si="21"/>
        <v>10985</v>
      </c>
      <c r="R677" s="970"/>
      <c r="S677" s="971">
        <v>120731</v>
      </c>
      <c r="T677" s="973">
        <v>3795</v>
      </c>
      <c r="U677" s="973">
        <v>124526</v>
      </c>
    </row>
    <row r="678" spans="1:21" x14ac:dyDescent="0.25">
      <c r="A678" s="967">
        <v>97521</v>
      </c>
      <c r="B678" s="968" t="s">
        <v>3315</v>
      </c>
      <c r="C678" s="969">
        <v>1.2870000000000001E-4</v>
      </c>
      <c r="D678" s="969">
        <v>1.293E-4</v>
      </c>
      <c r="E678" s="986">
        <v>56688</v>
      </c>
      <c r="F678" s="970">
        <v>196618</v>
      </c>
      <c r="G678" s="970"/>
      <c r="H678" s="971">
        <v>11327</v>
      </c>
      <c r="I678" s="972">
        <v>47739</v>
      </c>
      <c r="J678" s="971">
        <v>28080</v>
      </c>
      <c r="K678" s="970">
        <v>2190</v>
      </c>
      <c r="L678" s="972">
        <f t="shared" si="20"/>
        <v>89336</v>
      </c>
      <c r="M678" s="970"/>
      <c r="N678" s="971">
        <v>5566</v>
      </c>
      <c r="O678" s="971">
        <v>0</v>
      </c>
      <c r="P678" s="970">
        <v>14589</v>
      </c>
      <c r="Q678" s="972">
        <f t="shared" si="21"/>
        <v>20155</v>
      </c>
      <c r="R678" s="970"/>
      <c r="S678" s="971">
        <v>66260</v>
      </c>
      <c r="T678" s="973">
        <v>-3628</v>
      </c>
      <c r="U678" s="973">
        <v>62632</v>
      </c>
    </row>
    <row r="679" spans="1:21" x14ac:dyDescent="0.25">
      <c r="A679" s="967">
        <v>97531</v>
      </c>
      <c r="B679" s="968" t="s">
        <v>3316</v>
      </c>
      <c r="C679" s="969">
        <v>4.32E-5</v>
      </c>
      <c r="D679" s="969">
        <v>3.6300000000000001E-5</v>
      </c>
      <c r="E679" s="986">
        <v>25035</v>
      </c>
      <c r="F679" s="970">
        <v>65998</v>
      </c>
      <c r="G679" s="970"/>
      <c r="H679" s="971">
        <v>3802</v>
      </c>
      <c r="I679" s="972">
        <v>16025</v>
      </c>
      <c r="J679" s="971">
        <v>9425</v>
      </c>
      <c r="K679" s="970">
        <v>11185</v>
      </c>
      <c r="L679" s="972">
        <f t="shared" si="20"/>
        <v>40437</v>
      </c>
      <c r="M679" s="970"/>
      <c r="N679" s="971">
        <v>1868</v>
      </c>
      <c r="O679" s="971">
        <v>0</v>
      </c>
      <c r="P679" s="970">
        <v>9052</v>
      </c>
      <c r="Q679" s="972">
        <f t="shared" si="21"/>
        <v>10920</v>
      </c>
      <c r="R679" s="970"/>
      <c r="S679" s="971">
        <v>22241</v>
      </c>
      <c r="T679" s="973">
        <v>-2508</v>
      </c>
      <c r="U679" s="973">
        <f>19734-1</f>
        <v>19733</v>
      </c>
    </row>
    <row r="680" spans="1:21" x14ac:dyDescent="0.25">
      <c r="A680" s="967">
        <v>97601</v>
      </c>
      <c r="B680" s="968" t="s">
        <v>3317</v>
      </c>
      <c r="C680" s="969">
        <v>5.1672000000000003E-3</v>
      </c>
      <c r="D680" s="969">
        <v>4.7808E-3</v>
      </c>
      <c r="E680" s="986">
        <v>2287000</v>
      </c>
      <c r="F680" s="970">
        <v>7894050</v>
      </c>
      <c r="G680" s="970"/>
      <c r="H680" s="971">
        <v>454770</v>
      </c>
      <c r="I680" s="972">
        <v>1916685</v>
      </c>
      <c r="J680" s="971">
        <v>1127380</v>
      </c>
      <c r="K680" s="970">
        <v>190925</v>
      </c>
      <c r="L680" s="972">
        <f t="shared" si="20"/>
        <v>3689760</v>
      </c>
      <c r="M680" s="970"/>
      <c r="N680" s="971">
        <v>223456</v>
      </c>
      <c r="O680" s="971">
        <v>0</v>
      </c>
      <c r="P680" s="970">
        <v>91443</v>
      </c>
      <c r="Q680" s="972">
        <f t="shared" si="21"/>
        <v>314899</v>
      </c>
      <c r="R680" s="970"/>
      <c r="S680" s="971">
        <v>2660302</v>
      </c>
      <c r="T680" s="973">
        <v>1665</v>
      </c>
      <c r="U680" s="973">
        <v>2661967</v>
      </c>
    </row>
    <row r="681" spans="1:21" x14ac:dyDescent="0.25">
      <c r="A681" s="967">
        <v>97607</v>
      </c>
      <c r="B681" s="968" t="s">
        <v>3318</v>
      </c>
      <c r="C681" s="969">
        <v>2.3200000000000001E-5</v>
      </c>
      <c r="D681" s="969">
        <v>1.9199999999999999E-5</v>
      </c>
      <c r="E681" s="986">
        <v>17255</v>
      </c>
      <c r="F681" s="970">
        <v>35443</v>
      </c>
      <c r="G681" s="970"/>
      <c r="H681" s="971">
        <v>2042</v>
      </c>
      <c r="I681" s="972">
        <v>8605</v>
      </c>
      <c r="J681" s="971">
        <v>5062</v>
      </c>
      <c r="K681" s="970">
        <v>13349</v>
      </c>
      <c r="L681" s="972">
        <f t="shared" si="20"/>
        <v>29058</v>
      </c>
      <c r="M681" s="970"/>
      <c r="N681" s="971">
        <v>1003</v>
      </c>
      <c r="O681" s="971">
        <v>0</v>
      </c>
      <c r="P681" s="970">
        <v>0</v>
      </c>
      <c r="Q681" s="972">
        <f t="shared" si="21"/>
        <v>1003</v>
      </c>
      <c r="R681" s="970"/>
      <c r="S681" s="971">
        <v>11944</v>
      </c>
      <c r="T681" s="973">
        <v>5427</v>
      </c>
      <c r="U681" s="973">
        <v>17371</v>
      </c>
    </row>
    <row r="682" spans="1:21" x14ac:dyDescent="0.25">
      <c r="A682" s="967">
        <v>97611</v>
      </c>
      <c r="B682" s="968" t="s">
        <v>3319</v>
      </c>
      <c r="C682" s="969">
        <v>2.4767999999999999E-3</v>
      </c>
      <c r="D682" s="969">
        <v>2.5750999999999999E-3</v>
      </c>
      <c r="E682" s="986">
        <v>1108488</v>
      </c>
      <c r="F682" s="970">
        <v>3783864</v>
      </c>
      <c r="G682" s="970"/>
      <c r="H682" s="971">
        <v>217986</v>
      </c>
      <c r="I682" s="972">
        <v>918727</v>
      </c>
      <c r="J682" s="971">
        <v>540388</v>
      </c>
      <c r="K682" s="970">
        <v>0</v>
      </c>
      <c r="L682" s="972">
        <f t="shared" si="20"/>
        <v>1677101</v>
      </c>
      <c r="M682" s="970"/>
      <c r="N682" s="971">
        <v>107109</v>
      </c>
      <c r="O682" s="971">
        <v>0</v>
      </c>
      <c r="P682" s="970">
        <v>276084</v>
      </c>
      <c r="Q682" s="972">
        <f t="shared" si="21"/>
        <v>383193</v>
      </c>
      <c r="R682" s="970"/>
      <c r="S682" s="971">
        <v>1275166</v>
      </c>
      <c r="T682" s="973">
        <v>-116051</v>
      </c>
      <c r="U682" s="973">
        <v>1159115</v>
      </c>
    </row>
    <row r="683" spans="1:21" x14ac:dyDescent="0.25">
      <c r="A683" s="967">
        <v>97613</v>
      </c>
      <c r="B683" s="968" t="s">
        <v>3320</v>
      </c>
      <c r="C683" s="969">
        <v>1.1629999999999999E-4</v>
      </c>
      <c r="D683" s="969">
        <v>1.2459999999999999E-4</v>
      </c>
      <c r="E683" s="986">
        <v>60157</v>
      </c>
      <c r="F683" s="970">
        <v>177674</v>
      </c>
      <c r="G683" s="970"/>
      <c r="H683" s="971">
        <v>10236</v>
      </c>
      <c r="I683" s="972">
        <v>43140</v>
      </c>
      <c r="J683" s="971">
        <v>25374</v>
      </c>
      <c r="K683" s="970">
        <v>3969</v>
      </c>
      <c r="L683" s="972">
        <f t="shared" si="20"/>
        <v>82719</v>
      </c>
      <c r="M683" s="970"/>
      <c r="N683" s="971">
        <v>5029</v>
      </c>
      <c r="O683" s="971">
        <v>0</v>
      </c>
      <c r="P683" s="970">
        <v>3579</v>
      </c>
      <c r="Q683" s="972">
        <f t="shared" si="21"/>
        <v>8608</v>
      </c>
      <c r="R683" s="970"/>
      <c r="S683" s="971">
        <v>59876</v>
      </c>
      <c r="T683" s="973">
        <v>-543</v>
      </c>
      <c r="U683" s="973">
        <f>59334-1</f>
        <v>59333</v>
      </c>
    </row>
    <row r="684" spans="1:21" x14ac:dyDescent="0.25">
      <c r="A684" s="967">
        <v>97621</v>
      </c>
      <c r="B684" s="968" t="s">
        <v>3321</v>
      </c>
      <c r="C684" s="969">
        <v>4.5179999999999998E-4</v>
      </c>
      <c r="D684" s="969">
        <v>4.7429999999999998E-4</v>
      </c>
      <c r="E684" s="986">
        <v>179047</v>
      </c>
      <c r="F684" s="970">
        <v>690225</v>
      </c>
      <c r="G684" s="970"/>
      <c r="H684" s="971">
        <v>39763</v>
      </c>
      <c r="I684" s="972">
        <v>167588</v>
      </c>
      <c r="J684" s="971">
        <v>98574</v>
      </c>
      <c r="K684" s="970">
        <v>15836</v>
      </c>
      <c r="L684" s="972">
        <f t="shared" si="20"/>
        <v>321761</v>
      </c>
      <c r="M684" s="970"/>
      <c r="N684" s="971">
        <v>19538</v>
      </c>
      <c r="O684" s="971">
        <v>0</v>
      </c>
      <c r="P684" s="970">
        <v>70017</v>
      </c>
      <c r="Q684" s="972">
        <f t="shared" si="21"/>
        <v>89555</v>
      </c>
      <c r="R684" s="970"/>
      <c r="S684" s="971">
        <v>232607</v>
      </c>
      <c r="T684" s="973">
        <v>-11992</v>
      </c>
      <c r="U684" s="973">
        <v>220615</v>
      </c>
    </row>
    <row r="685" spans="1:21" x14ac:dyDescent="0.25">
      <c r="A685" s="967">
        <v>97623</v>
      </c>
      <c r="B685" s="968" t="s">
        <v>3322</v>
      </c>
      <c r="C685" s="969">
        <v>2.9499999999999999E-5</v>
      </c>
      <c r="D685" s="969">
        <v>2.9200000000000002E-5</v>
      </c>
      <c r="E685" s="986">
        <v>11113</v>
      </c>
      <c r="F685" s="970">
        <v>45068</v>
      </c>
      <c r="G685" s="970"/>
      <c r="H685" s="971">
        <v>2596</v>
      </c>
      <c r="I685" s="972">
        <v>10942</v>
      </c>
      <c r="J685" s="971">
        <v>6436</v>
      </c>
      <c r="K685" s="970">
        <v>6505</v>
      </c>
      <c r="L685" s="972">
        <f t="shared" si="20"/>
        <v>26479</v>
      </c>
      <c r="M685" s="970"/>
      <c r="N685" s="971">
        <v>1276</v>
      </c>
      <c r="O685" s="971">
        <v>0</v>
      </c>
      <c r="P685" s="970">
        <v>1742</v>
      </c>
      <c r="Q685" s="972">
        <f t="shared" si="21"/>
        <v>3018</v>
      </c>
      <c r="R685" s="970"/>
      <c r="S685" s="971">
        <v>15188</v>
      </c>
      <c r="T685" s="973">
        <v>3252</v>
      </c>
      <c r="U685" s="973">
        <v>18440</v>
      </c>
    </row>
    <row r="686" spans="1:21" x14ac:dyDescent="0.25">
      <c r="A686" s="967">
        <v>97627</v>
      </c>
      <c r="B686" s="968" t="s">
        <v>3323</v>
      </c>
      <c r="C686" s="969">
        <v>9.7000000000000003E-6</v>
      </c>
      <c r="D686" s="969">
        <v>1.0200000000000001E-5</v>
      </c>
      <c r="E686" s="986">
        <v>5008</v>
      </c>
      <c r="F686" s="970">
        <v>14819</v>
      </c>
      <c r="G686" s="970"/>
      <c r="H686" s="971">
        <v>854</v>
      </c>
      <c r="I686" s="972">
        <v>3599</v>
      </c>
      <c r="J686" s="971">
        <v>2116</v>
      </c>
      <c r="K686" s="970">
        <v>714</v>
      </c>
      <c r="L686" s="972">
        <f t="shared" si="20"/>
        <v>7283</v>
      </c>
      <c r="M686" s="970"/>
      <c r="N686" s="971">
        <v>419</v>
      </c>
      <c r="O686" s="971">
        <v>0</v>
      </c>
      <c r="P686" s="970">
        <v>1008</v>
      </c>
      <c r="Q686" s="972">
        <f t="shared" si="21"/>
        <v>1427</v>
      </c>
      <c r="R686" s="970"/>
      <c r="S686" s="971">
        <v>4994</v>
      </c>
      <c r="T686" s="973">
        <v>-190</v>
      </c>
      <c r="U686" s="973">
        <v>4804</v>
      </c>
    </row>
    <row r="687" spans="1:21" x14ac:dyDescent="0.25">
      <c r="A687" s="967">
        <v>97631</v>
      </c>
      <c r="B687" s="968" t="s">
        <v>3324</v>
      </c>
      <c r="C687" s="969">
        <v>2.051E-4</v>
      </c>
      <c r="D687" s="969">
        <v>2.009E-4</v>
      </c>
      <c r="E687" s="986">
        <v>85999</v>
      </c>
      <c r="F687" s="970">
        <v>313336</v>
      </c>
      <c r="G687" s="970"/>
      <c r="H687" s="971">
        <v>18051</v>
      </c>
      <c r="I687" s="972">
        <v>76078</v>
      </c>
      <c r="J687" s="971">
        <v>44749</v>
      </c>
      <c r="K687" s="970">
        <v>9311</v>
      </c>
      <c r="L687" s="972">
        <f t="shared" si="20"/>
        <v>148189</v>
      </c>
      <c r="M687" s="970"/>
      <c r="N687" s="971">
        <v>8870</v>
      </c>
      <c r="O687" s="971">
        <v>0</v>
      </c>
      <c r="P687" s="970">
        <v>3711</v>
      </c>
      <c r="Q687" s="972">
        <f t="shared" si="21"/>
        <v>12581</v>
      </c>
      <c r="R687" s="970"/>
      <c r="S687" s="971">
        <v>105595</v>
      </c>
      <c r="T687" s="973">
        <v>4564</v>
      </c>
      <c r="U687" s="973">
        <f>110158+1</f>
        <v>110159</v>
      </c>
    </row>
    <row r="688" spans="1:21" x14ac:dyDescent="0.25">
      <c r="A688" s="967">
        <v>97637</v>
      </c>
      <c r="B688" s="968" t="s">
        <v>3325</v>
      </c>
      <c r="C688" s="969">
        <v>4.3000000000000003E-6</v>
      </c>
      <c r="D688" s="969">
        <v>4.7999999999999998E-6</v>
      </c>
      <c r="E688" s="986">
        <v>3072</v>
      </c>
      <c r="F688" s="970">
        <v>6569</v>
      </c>
      <c r="G688" s="970"/>
      <c r="H688" s="971">
        <v>378</v>
      </c>
      <c r="I688" s="972">
        <v>1595</v>
      </c>
      <c r="J688" s="971">
        <v>938</v>
      </c>
      <c r="K688" s="970">
        <v>944</v>
      </c>
      <c r="L688" s="972">
        <f t="shared" si="20"/>
        <v>3855</v>
      </c>
      <c r="M688" s="970"/>
      <c r="N688" s="971">
        <v>186</v>
      </c>
      <c r="O688" s="971">
        <v>0</v>
      </c>
      <c r="P688" s="970">
        <v>30</v>
      </c>
      <c r="Q688" s="972">
        <f t="shared" si="21"/>
        <v>216</v>
      </c>
      <c r="R688" s="970"/>
      <c r="S688" s="971">
        <v>2214</v>
      </c>
      <c r="T688" s="973">
        <v>380</v>
      </c>
      <c r="U688" s="973">
        <v>2594</v>
      </c>
    </row>
    <row r="689" spans="1:21" x14ac:dyDescent="0.25">
      <c r="A689" s="967">
        <v>97641</v>
      </c>
      <c r="B689" s="968" t="s">
        <v>3326</v>
      </c>
      <c r="C689" s="969">
        <v>6.8899999999999994E-5</v>
      </c>
      <c r="D689" s="969">
        <v>6.9999999999999994E-5</v>
      </c>
      <c r="E689" s="986">
        <v>35027</v>
      </c>
      <c r="F689" s="970">
        <v>105260</v>
      </c>
      <c r="G689" s="970"/>
      <c r="H689" s="971">
        <v>6064</v>
      </c>
      <c r="I689" s="972">
        <v>25557</v>
      </c>
      <c r="J689" s="971">
        <v>15033</v>
      </c>
      <c r="K689" s="970">
        <v>13063</v>
      </c>
      <c r="L689" s="972">
        <f t="shared" si="20"/>
        <v>59717</v>
      </c>
      <c r="M689" s="970"/>
      <c r="N689" s="971">
        <v>2980</v>
      </c>
      <c r="O689" s="971">
        <v>0</v>
      </c>
      <c r="P689" s="970">
        <v>2889</v>
      </c>
      <c r="Q689" s="972">
        <f t="shared" si="21"/>
        <v>5869</v>
      </c>
      <c r="R689" s="970"/>
      <c r="S689" s="971">
        <v>35473</v>
      </c>
      <c r="T689" s="973">
        <v>2041</v>
      </c>
      <c r="U689" s="973">
        <v>37514</v>
      </c>
    </row>
    <row r="690" spans="1:21" x14ac:dyDescent="0.25">
      <c r="A690" s="967">
        <v>97651</v>
      </c>
      <c r="B690" s="968" t="s">
        <v>3327</v>
      </c>
      <c r="C690" s="969">
        <v>5.1979999999999995E-4</v>
      </c>
      <c r="D690" s="969">
        <v>5.1579999999999996E-4</v>
      </c>
      <c r="E690" s="986">
        <v>222466</v>
      </c>
      <c r="F690" s="970">
        <v>794110</v>
      </c>
      <c r="G690" s="970"/>
      <c r="H690" s="971">
        <v>45748</v>
      </c>
      <c r="I690" s="972">
        <v>192810</v>
      </c>
      <c r="J690" s="971">
        <v>113410</v>
      </c>
      <c r="K690" s="970">
        <v>2621</v>
      </c>
      <c r="L690" s="972">
        <f t="shared" si="20"/>
        <v>354589</v>
      </c>
      <c r="M690" s="970"/>
      <c r="N690" s="971">
        <v>22479</v>
      </c>
      <c r="O690" s="971">
        <v>0</v>
      </c>
      <c r="P690" s="970">
        <v>43572</v>
      </c>
      <c r="Q690" s="972">
        <f t="shared" si="21"/>
        <v>66051</v>
      </c>
      <c r="R690" s="970"/>
      <c r="S690" s="971">
        <v>267616</v>
      </c>
      <c r="T690" s="973">
        <v>-19628</v>
      </c>
      <c r="U690" s="973">
        <v>247988</v>
      </c>
    </row>
    <row r="691" spans="1:21" x14ac:dyDescent="0.25">
      <c r="A691" s="967">
        <v>97661</v>
      </c>
      <c r="B691" s="968" t="s">
        <v>3328</v>
      </c>
      <c r="C691" s="969">
        <v>5.1600000000000001E-5</v>
      </c>
      <c r="D691" s="969">
        <v>4.3900000000000003E-5</v>
      </c>
      <c r="E691" s="986">
        <v>24366</v>
      </c>
      <c r="F691" s="970">
        <v>78831</v>
      </c>
      <c r="G691" s="970"/>
      <c r="H691" s="971">
        <v>4541</v>
      </c>
      <c r="I691" s="972">
        <v>19140</v>
      </c>
      <c r="J691" s="971">
        <v>11258</v>
      </c>
      <c r="K691" s="970">
        <v>13582</v>
      </c>
      <c r="L691" s="972">
        <f t="shared" si="20"/>
        <v>48521</v>
      </c>
      <c r="M691" s="970"/>
      <c r="N691" s="971">
        <v>2231</v>
      </c>
      <c r="O691" s="971">
        <v>0</v>
      </c>
      <c r="P691" s="970">
        <v>1913</v>
      </c>
      <c r="Q691" s="972">
        <f t="shared" si="21"/>
        <v>4144</v>
      </c>
      <c r="R691" s="970"/>
      <c r="S691" s="971">
        <v>26566</v>
      </c>
      <c r="T691" s="973">
        <v>4861</v>
      </c>
      <c r="U691" s="973">
        <v>31427</v>
      </c>
    </row>
    <row r="692" spans="1:21" x14ac:dyDescent="0.25">
      <c r="A692" s="967">
        <v>97701</v>
      </c>
      <c r="B692" s="968" t="s">
        <v>3329</v>
      </c>
      <c r="C692" s="969">
        <v>2.4975000000000002E-3</v>
      </c>
      <c r="D692" s="969">
        <v>2.5081000000000001E-3</v>
      </c>
      <c r="E692" s="986">
        <v>1156152</v>
      </c>
      <c r="F692" s="970">
        <v>3815488</v>
      </c>
      <c r="G692" s="970"/>
      <c r="H692" s="971">
        <v>219807</v>
      </c>
      <c r="I692" s="972">
        <v>926405</v>
      </c>
      <c r="J692" s="971">
        <v>544905</v>
      </c>
      <c r="K692" s="970">
        <v>22724</v>
      </c>
      <c r="L692" s="972">
        <f t="shared" si="20"/>
        <v>1713841</v>
      </c>
      <c r="M692" s="970"/>
      <c r="N692" s="971">
        <v>108004</v>
      </c>
      <c r="O692" s="971">
        <v>0</v>
      </c>
      <c r="P692" s="970">
        <v>8673</v>
      </c>
      <c r="Q692" s="972">
        <f t="shared" si="21"/>
        <v>116677</v>
      </c>
      <c r="R692" s="970"/>
      <c r="S692" s="971">
        <v>1285823</v>
      </c>
      <c r="T692" s="973">
        <v>670</v>
      </c>
      <c r="U692" s="973">
        <v>1286493</v>
      </c>
    </row>
    <row r="693" spans="1:21" x14ac:dyDescent="0.25">
      <c r="A693" s="967">
        <v>97705</v>
      </c>
      <c r="B693" s="968" t="s">
        <v>3330</v>
      </c>
      <c r="C693" s="969">
        <v>4.7700000000000001E-5</v>
      </c>
      <c r="D693" s="969">
        <v>6.41E-5</v>
      </c>
      <c r="E693" s="986">
        <v>22209</v>
      </c>
      <c r="F693" s="970">
        <v>72872</v>
      </c>
      <c r="G693" s="970"/>
      <c r="H693" s="971">
        <v>4198</v>
      </c>
      <c r="I693" s="972">
        <v>17694</v>
      </c>
      <c r="J693" s="971">
        <v>10407</v>
      </c>
      <c r="K693" s="970">
        <v>5558</v>
      </c>
      <c r="L693" s="972">
        <f t="shared" si="20"/>
        <v>37857</v>
      </c>
      <c r="M693" s="970"/>
      <c r="N693" s="971">
        <v>2063</v>
      </c>
      <c r="O693" s="971">
        <v>0</v>
      </c>
      <c r="P693" s="970">
        <v>13023</v>
      </c>
      <c r="Q693" s="972">
        <f t="shared" si="21"/>
        <v>15086</v>
      </c>
      <c r="R693" s="970"/>
      <c r="S693" s="971">
        <v>24558</v>
      </c>
      <c r="T693" s="973">
        <v>105</v>
      </c>
      <c r="U693" s="973">
        <v>24663</v>
      </c>
    </row>
    <row r="694" spans="1:21" x14ac:dyDescent="0.25">
      <c r="A694" s="967">
        <v>97711</v>
      </c>
      <c r="B694" s="968" t="s">
        <v>3331</v>
      </c>
      <c r="C694" s="969">
        <v>9.0879999999999997E-4</v>
      </c>
      <c r="D694" s="969">
        <v>9.3789999999999998E-4</v>
      </c>
      <c r="E694" s="986">
        <v>424324</v>
      </c>
      <c r="F694" s="970">
        <v>1388395</v>
      </c>
      <c r="G694" s="970"/>
      <c r="H694" s="971">
        <v>79984</v>
      </c>
      <c r="I694" s="972">
        <v>337104</v>
      </c>
      <c r="J694" s="971">
        <v>198282</v>
      </c>
      <c r="K694" s="970">
        <v>9966</v>
      </c>
      <c r="L694" s="972">
        <f t="shared" si="20"/>
        <v>625336</v>
      </c>
      <c r="M694" s="970"/>
      <c r="N694" s="971">
        <v>39301</v>
      </c>
      <c r="O694" s="971">
        <v>0</v>
      </c>
      <c r="P694" s="970">
        <v>31902</v>
      </c>
      <c r="Q694" s="972">
        <f t="shared" si="21"/>
        <v>71203</v>
      </c>
      <c r="R694" s="970"/>
      <c r="S694" s="971">
        <v>467890</v>
      </c>
      <c r="T694" s="973">
        <v>-1258</v>
      </c>
      <c r="U694" s="973">
        <v>466632</v>
      </c>
    </row>
    <row r="695" spans="1:21" x14ac:dyDescent="0.25">
      <c r="A695" s="967">
        <v>97713</v>
      </c>
      <c r="B695" s="968" t="s">
        <v>3332</v>
      </c>
      <c r="C695" s="969">
        <v>4.1199999999999999E-5</v>
      </c>
      <c r="D695" s="969">
        <v>5.3699999999999997E-5</v>
      </c>
      <c r="E695" s="986">
        <v>17328</v>
      </c>
      <c r="F695" s="970">
        <v>62942</v>
      </c>
      <c r="G695" s="970"/>
      <c r="H695" s="971">
        <v>3626</v>
      </c>
      <c r="I695" s="972">
        <v>15283</v>
      </c>
      <c r="J695" s="971">
        <v>8989</v>
      </c>
      <c r="K695" s="970">
        <v>927</v>
      </c>
      <c r="L695" s="972">
        <f t="shared" si="20"/>
        <v>28825</v>
      </c>
      <c r="M695" s="970"/>
      <c r="N695" s="971">
        <v>1782</v>
      </c>
      <c r="O695" s="971">
        <v>0</v>
      </c>
      <c r="P695" s="970">
        <v>16932</v>
      </c>
      <c r="Q695" s="972">
        <f t="shared" si="21"/>
        <v>18714</v>
      </c>
      <c r="R695" s="970"/>
      <c r="S695" s="971">
        <v>21212</v>
      </c>
      <c r="T695" s="973">
        <v>-4802</v>
      </c>
      <c r="U695" s="973">
        <v>16410</v>
      </c>
    </row>
    <row r="696" spans="1:21" x14ac:dyDescent="0.25">
      <c r="A696" s="967">
        <v>97717</v>
      </c>
      <c r="B696" s="968" t="s">
        <v>3333</v>
      </c>
      <c r="C696" s="969">
        <v>4.6999999999999999E-6</v>
      </c>
      <c r="D696" s="969">
        <v>7.5000000000000002E-6</v>
      </c>
      <c r="E696" s="986">
        <v>2478</v>
      </c>
      <c r="F696" s="970">
        <v>7180</v>
      </c>
      <c r="G696" s="970"/>
      <c r="H696" s="971">
        <v>414</v>
      </c>
      <c r="I696" s="972">
        <v>1743</v>
      </c>
      <c r="J696" s="971">
        <v>1025</v>
      </c>
      <c r="K696" s="970">
        <v>1078</v>
      </c>
      <c r="L696" s="972">
        <f t="shared" si="20"/>
        <v>4260</v>
      </c>
      <c r="M696" s="970"/>
      <c r="N696" s="971">
        <v>203</v>
      </c>
      <c r="O696" s="971">
        <v>0</v>
      </c>
      <c r="P696" s="970">
        <v>3394</v>
      </c>
      <c r="Q696" s="972">
        <f t="shared" si="21"/>
        <v>3597</v>
      </c>
      <c r="R696" s="970"/>
      <c r="S696" s="971">
        <v>2420</v>
      </c>
      <c r="T696" s="973">
        <v>-1550</v>
      </c>
      <c r="U696" s="973">
        <f>869+1</f>
        <v>870</v>
      </c>
    </row>
    <row r="697" spans="1:21" x14ac:dyDescent="0.25">
      <c r="A697" s="967">
        <v>97721</v>
      </c>
      <c r="B697" s="968" t="s">
        <v>3334</v>
      </c>
      <c r="C697" s="969">
        <v>5.6599999999999999E-4</v>
      </c>
      <c r="D697" s="969">
        <v>5.7249999999999998E-4</v>
      </c>
      <c r="E697" s="986">
        <v>255785</v>
      </c>
      <c r="F697" s="970">
        <v>864691</v>
      </c>
      <c r="G697" s="970"/>
      <c r="H697" s="971">
        <v>49814</v>
      </c>
      <c r="I697" s="972">
        <v>209948</v>
      </c>
      <c r="J697" s="971">
        <v>123490</v>
      </c>
      <c r="K697" s="970">
        <v>13608</v>
      </c>
      <c r="L697" s="972">
        <f t="shared" si="20"/>
        <v>396860</v>
      </c>
      <c r="M697" s="970"/>
      <c r="N697" s="971">
        <v>24477</v>
      </c>
      <c r="O697" s="971">
        <v>0</v>
      </c>
      <c r="P697" s="970">
        <v>31303</v>
      </c>
      <c r="Q697" s="972">
        <f t="shared" si="21"/>
        <v>55780</v>
      </c>
      <c r="R697" s="970"/>
      <c r="S697" s="971">
        <v>291402</v>
      </c>
      <c r="T697" s="973">
        <v>-9026</v>
      </c>
      <c r="U697" s="973">
        <v>282376</v>
      </c>
    </row>
    <row r="698" spans="1:21" x14ac:dyDescent="0.25">
      <c r="A698" s="967">
        <v>97727</v>
      </c>
      <c r="B698" s="968" t="s">
        <v>3335</v>
      </c>
      <c r="C698" s="969">
        <v>2.27E-5</v>
      </c>
      <c r="D698" s="969">
        <v>2.37E-5</v>
      </c>
      <c r="E698" s="986">
        <v>10992</v>
      </c>
      <c r="F698" s="970">
        <v>34679</v>
      </c>
      <c r="G698" s="970"/>
      <c r="H698" s="971">
        <v>1998</v>
      </c>
      <c r="I698" s="972">
        <v>8420</v>
      </c>
      <c r="J698" s="971">
        <v>4953</v>
      </c>
      <c r="K698" s="970">
        <v>0</v>
      </c>
      <c r="L698" s="972">
        <f t="shared" si="20"/>
        <v>15371</v>
      </c>
      <c r="M698" s="970"/>
      <c r="N698" s="971">
        <v>982</v>
      </c>
      <c r="O698" s="971">
        <v>0</v>
      </c>
      <c r="P698" s="970">
        <v>2260</v>
      </c>
      <c r="Q698" s="972">
        <f t="shared" si="21"/>
        <v>3242</v>
      </c>
      <c r="R698" s="970"/>
      <c r="S698" s="971">
        <v>11687</v>
      </c>
      <c r="T698" s="973">
        <v>-1260</v>
      </c>
      <c r="U698" s="973">
        <v>10427</v>
      </c>
    </row>
    <row r="699" spans="1:21" x14ac:dyDescent="0.25">
      <c r="A699" s="967">
        <v>97731</v>
      </c>
      <c r="B699" s="968" t="s">
        <v>3336</v>
      </c>
      <c r="C699" s="969">
        <v>3.5500000000000002E-5</v>
      </c>
      <c r="D699" s="969">
        <v>3.7100000000000001E-5</v>
      </c>
      <c r="E699" s="986">
        <v>18460</v>
      </c>
      <c r="F699" s="970">
        <v>54234</v>
      </c>
      <c r="G699" s="970"/>
      <c r="H699" s="971">
        <v>3124</v>
      </c>
      <c r="I699" s="972">
        <v>13168</v>
      </c>
      <c r="J699" s="971">
        <v>7745</v>
      </c>
      <c r="K699" s="970">
        <v>6361</v>
      </c>
      <c r="L699" s="972">
        <f t="shared" si="20"/>
        <v>30398</v>
      </c>
      <c r="M699" s="970"/>
      <c r="N699" s="971">
        <v>1535</v>
      </c>
      <c r="O699" s="971">
        <v>0</v>
      </c>
      <c r="P699" s="970">
        <v>0</v>
      </c>
      <c r="Q699" s="972">
        <f t="shared" si="21"/>
        <v>1535</v>
      </c>
      <c r="R699" s="970"/>
      <c r="S699" s="971">
        <v>18277</v>
      </c>
      <c r="T699" s="973">
        <v>2961</v>
      </c>
      <c r="U699" s="973">
        <v>21238</v>
      </c>
    </row>
    <row r="700" spans="1:21" x14ac:dyDescent="0.25">
      <c r="A700" s="967">
        <v>97801</v>
      </c>
      <c r="B700" s="968" t="s">
        <v>3693</v>
      </c>
      <c r="C700" s="969">
        <v>6.9303000000000003E-3</v>
      </c>
      <c r="D700" s="969">
        <v>7.3343000000000002E-3</v>
      </c>
      <c r="E700" s="986">
        <v>3179609</v>
      </c>
      <c r="F700" s="970">
        <v>10587579</v>
      </c>
      <c r="G700" s="970"/>
      <c r="H700" s="971">
        <v>609943</v>
      </c>
      <c r="I700" s="972">
        <v>2570677</v>
      </c>
      <c r="J700" s="971">
        <v>1512053</v>
      </c>
      <c r="K700" s="970">
        <v>27764</v>
      </c>
      <c r="L700" s="972">
        <f t="shared" si="20"/>
        <v>4720437</v>
      </c>
      <c r="M700" s="970"/>
      <c r="N700" s="971">
        <v>299701</v>
      </c>
      <c r="O700" s="971">
        <v>0</v>
      </c>
      <c r="P700" s="970">
        <v>406805</v>
      </c>
      <c r="Q700" s="972">
        <f t="shared" si="21"/>
        <v>706506</v>
      </c>
      <c r="R700" s="970"/>
      <c r="S700" s="971">
        <v>3568023</v>
      </c>
      <c r="T700" s="973">
        <v>-97576</v>
      </c>
      <c r="U700" s="973">
        <v>3470447</v>
      </c>
    </row>
    <row r="701" spans="1:21" x14ac:dyDescent="0.25">
      <c r="A701" s="967">
        <v>97802</v>
      </c>
      <c r="B701" s="968" t="s">
        <v>3338</v>
      </c>
      <c r="C701" s="969">
        <v>1.5300000000000001E-4</v>
      </c>
      <c r="D701" s="969">
        <v>1.8120000000000001E-4</v>
      </c>
      <c r="E701" s="986">
        <v>76715</v>
      </c>
      <c r="F701" s="970">
        <v>233742</v>
      </c>
      <c r="G701" s="970"/>
      <c r="H701" s="971">
        <v>13466</v>
      </c>
      <c r="I701" s="972">
        <v>56753</v>
      </c>
      <c r="J701" s="971">
        <v>33382</v>
      </c>
      <c r="K701" s="970">
        <v>9696</v>
      </c>
      <c r="L701" s="972">
        <f t="shared" si="20"/>
        <v>113297</v>
      </c>
      <c r="M701" s="970"/>
      <c r="N701" s="971">
        <v>6616</v>
      </c>
      <c r="O701" s="971">
        <v>0</v>
      </c>
      <c r="P701" s="970">
        <v>28235</v>
      </c>
      <c r="Q701" s="972">
        <f t="shared" si="21"/>
        <v>34851</v>
      </c>
      <c r="R701" s="970"/>
      <c r="S701" s="971">
        <v>78771</v>
      </c>
      <c r="T701" s="973">
        <v>-1176</v>
      </c>
      <c r="U701" s="973">
        <v>77595</v>
      </c>
    </row>
    <row r="702" spans="1:21" x14ac:dyDescent="0.25">
      <c r="A702" s="967">
        <v>97803</v>
      </c>
      <c r="B702" s="968" t="s">
        <v>3339</v>
      </c>
      <c r="C702" s="969">
        <v>7.5300000000000001E-5</v>
      </c>
      <c r="D702" s="969">
        <v>7.9099999999999998E-5</v>
      </c>
      <c r="E702" s="986">
        <v>38231</v>
      </c>
      <c r="F702" s="970">
        <v>115038</v>
      </c>
      <c r="G702" s="970"/>
      <c r="H702" s="971">
        <v>6627</v>
      </c>
      <c r="I702" s="972">
        <v>27931</v>
      </c>
      <c r="J702" s="971">
        <v>16429</v>
      </c>
      <c r="K702" s="970">
        <v>5581</v>
      </c>
      <c r="L702" s="972">
        <f t="shared" si="20"/>
        <v>56568</v>
      </c>
      <c r="M702" s="970"/>
      <c r="N702" s="971">
        <v>3256</v>
      </c>
      <c r="O702" s="971">
        <v>0</v>
      </c>
      <c r="P702" s="970">
        <v>1522</v>
      </c>
      <c r="Q702" s="972">
        <f t="shared" si="21"/>
        <v>4778</v>
      </c>
      <c r="R702" s="970"/>
      <c r="S702" s="971">
        <v>38768</v>
      </c>
      <c r="T702" s="973">
        <v>3424</v>
      </c>
      <c r="U702" s="973">
        <v>42192</v>
      </c>
    </row>
    <row r="703" spans="1:21" x14ac:dyDescent="0.25">
      <c r="A703" s="967">
        <v>97805</v>
      </c>
      <c r="B703" s="968" t="s">
        <v>3340</v>
      </c>
      <c r="C703" s="969">
        <v>7.9400000000000006E-5</v>
      </c>
      <c r="D703" s="969">
        <v>8.2600000000000002E-5</v>
      </c>
      <c r="E703" s="986">
        <v>39471</v>
      </c>
      <c r="F703" s="970">
        <v>121301</v>
      </c>
      <c r="G703" s="970"/>
      <c r="H703" s="971">
        <v>6988</v>
      </c>
      <c r="I703" s="972">
        <v>29452</v>
      </c>
      <c r="J703" s="971">
        <v>17323</v>
      </c>
      <c r="K703" s="970">
        <v>9711</v>
      </c>
      <c r="L703" s="972">
        <f t="shared" si="20"/>
        <v>63474</v>
      </c>
      <c r="M703" s="970"/>
      <c r="N703" s="971">
        <v>3434</v>
      </c>
      <c r="O703" s="971">
        <v>0</v>
      </c>
      <c r="P703" s="970">
        <v>226</v>
      </c>
      <c r="Q703" s="972">
        <f t="shared" si="21"/>
        <v>3660</v>
      </c>
      <c r="R703" s="970"/>
      <c r="S703" s="971">
        <v>40879</v>
      </c>
      <c r="T703" s="973">
        <v>3824</v>
      </c>
      <c r="U703" s="973">
        <v>44703</v>
      </c>
    </row>
    <row r="704" spans="1:21" x14ac:dyDescent="0.25">
      <c r="A704" s="967">
        <v>97811</v>
      </c>
      <c r="B704" s="968" t="s">
        <v>3341</v>
      </c>
      <c r="C704" s="969">
        <v>2.4172E-3</v>
      </c>
      <c r="D704" s="969">
        <v>2.4088E-3</v>
      </c>
      <c r="E704" s="986">
        <v>1101270</v>
      </c>
      <c r="F704" s="970">
        <v>3692812</v>
      </c>
      <c r="G704" s="970"/>
      <c r="H704" s="971">
        <v>212740</v>
      </c>
      <c r="I704" s="972">
        <v>896619</v>
      </c>
      <c r="J704" s="971">
        <v>527385</v>
      </c>
      <c r="K704" s="970">
        <v>0</v>
      </c>
      <c r="L704" s="972">
        <f t="shared" si="20"/>
        <v>1636744</v>
      </c>
      <c r="M704" s="970"/>
      <c r="N704" s="971">
        <v>104532</v>
      </c>
      <c r="O704" s="971">
        <v>0</v>
      </c>
      <c r="P704" s="970">
        <v>164062</v>
      </c>
      <c r="Q704" s="972">
        <f t="shared" si="21"/>
        <v>268594</v>
      </c>
      <c r="R704" s="970"/>
      <c r="S704" s="971">
        <v>1244481</v>
      </c>
      <c r="T704" s="973">
        <v>-73272</v>
      </c>
      <c r="U704" s="973">
        <v>1171209</v>
      </c>
    </row>
    <row r="705" spans="1:21" x14ac:dyDescent="0.25">
      <c r="A705" s="967">
        <v>97817</v>
      </c>
      <c r="B705" s="968" t="s">
        <v>3342</v>
      </c>
      <c r="C705" s="969">
        <v>2.2200000000000001E-5</v>
      </c>
      <c r="D705" s="969">
        <v>3.9999999999999998E-6</v>
      </c>
      <c r="E705" s="986">
        <v>14127</v>
      </c>
      <c r="F705" s="970">
        <v>33915</v>
      </c>
      <c r="G705" s="970"/>
      <c r="H705" s="971">
        <v>1954</v>
      </c>
      <c r="I705" s="972">
        <v>8235</v>
      </c>
      <c r="J705" s="971">
        <v>4844</v>
      </c>
      <c r="K705" s="970">
        <v>18101</v>
      </c>
      <c r="L705" s="972">
        <f t="shared" si="20"/>
        <v>33134</v>
      </c>
      <c r="M705" s="970"/>
      <c r="N705" s="971">
        <v>960</v>
      </c>
      <c r="O705" s="971">
        <v>0</v>
      </c>
      <c r="P705" s="970">
        <v>2418</v>
      </c>
      <c r="Q705" s="972">
        <f t="shared" si="21"/>
        <v>3378</v>
      </c>
      <c r="R705" s="970"/>
      <c r="S705" s="971">
        <v>11430</v>
      </c>
      <c r="T705" s="973">
        <v>3916</v>
      </c>
      <c r="U705" s="973">
        <f>15345+1</f>
        <v>15346</v>
      </c>
    </row>
    <row r="706" spans="1:21" x14ac:dyDescent="0.25">
      <c r="A706" s="967">
        <v>97818</v>
      </c>
      <c r="B706" s="968" t="s">
        <v>3343</v>
      </c>
      <c r="C706" s="969">
        <v>2.1999999999999999E-5</v>
      </c>
      <c r="D706" s="969">
        <v>2.12E-5</v>
      </c>
      <c r="E706" s="986">
        <v>9809</v>
      </c>
      <c r="F706" s="970">
        <v>33610</v>
      </c>
      <c r="G706" s="970"/>
      <c r="H706" s="971">
        <v>1936</v>
      </c>
      <c r="I706" s="972">
        <v>8160</v>
      </c>
      <c r="J706" s="971">
        <v>4800</v>
      </c>
      <c r="K706" s="970">
        <v>6200</v>
      </c>
      <c r="L706" s="972">
        <f t="shared" si="20"/>
        <v>21096</v>
      </c>
      <c r="M706" s="970"/>
      <c r="N706" s="971">
        <v>951</v>
      </c>
      <c r="O706" s="971">
        <v>0</v>
      </c>
      <c r="P706" s="970">
        <v>2136</v>
      </c>
      <c r="Q706" s="972">
        <f t="shared" si="21"/>
        <v>3087</v>
      </c>
      <c r="R706" s="970"/>
      <c r="S706" s="971">
        <v>11327</v>
      </c>
      <c r="T706" s="973">
        <v>134</v>
      </c>
      <c r="U706" s="973">
        <v>11461</v>
      </c>
    </row>
    <row r="707" spans="1:21" x14ac:dyDescent="0.25">
      <c r="A707" s="967">
        <v>97821</v>
      </c>
      <c r="B707" s="968" t="s">
        <v>3344</v>
      </c>
      <c r="C707" s="969">
        <v>1.126E-4</v>
      </c>
      <c r="D707" s="969">
        <v>1.1620000000000001E-4</v>
      </c>
      <c r="E707" s="986">
        <v>61404</v>
      </c>
      <c r="F707" s="970">
        <v>172022</v>
      </c>
      <c r="G707" s="970"/>
      <c r="H707" s="971">
        <v>9910</v>
      </c>
      <c r="I707" s="972">
        <v>41767</v>
      </c>
      <c r="J707" s="971">
        <v>24567</v>
      </c>
      <c r="K707" s="970">
        <v>5355</v>
      </c>
      <c r="L707" s="972">
        <f t="shared" si="20"/>
        <v>81599</v>
      </c>
      <c r="M707" s="970"/>
      <c r="N707" s="971">
        <v>4869</v>
      </c>
      <c r="O707" s="971">
        <v>0</v>
      </c>
      <c r="P707" s="970">
        <v>16228</v>
      </c>
      <c r="Q707" s="972">
        <f t="shared" si="21"/>
        <v>21097</v>
      </c>
      <c r="R707" s="970"/>
      <c r="S707" s="971">
        <v>57971</v>
      </c>
      <c r="T707" s="973">
        <v>-9342</v>
      </c>
      <c r="U707" s="973">
        <f>48630-1</f>
        <v>48629</v>
      </c>
    </row>
    <row r="708" spans="1:21" x14ac:dyDescent="0.25">
      <c r="A708" s="967">
        <v>97823</v>
      </c>
      <c r="B708" s="968" t="s">
        <v>3345</v>
      </c>
      <c r="C708" s="969">
        <v>2.3300000000000001E-5</v>
      </c>
      <c r="D708" s="969">
        <v>2.4600000000000002E-5</v>
      </c>
      <c r="E708" s="986">
        <v>13092</v>
      </c>
      <c r="F708" s="970">
        <v>35596</v>
      </c>
      <c r="G708" s="970"/>
      <c r="H708" s="971">
        <v>2051</v>
      </c>
      <c r="I708" s="972">
        <v>8642</v>
      </c>
      <c r="J708" s="971">
        <v>5084</v>
      </c>
      <c r="K708" s="970">
        <v>1711</v>
      </c>
      <c r="L708" s="972">
        <f t="shared" si="20"/>
        <v>17488</v>
      </c>
      <c r="M708" s="970"/>
      <c r="N708" s="971">
        <v>1008</v>
      </c>
      <c r="O708" s="971">
        <v>0</v>
      </c>
      <c r="P708" s="970">
        <v>591</v>
      </c>
      <c r="Q708" s="972">
        <f t="shared" si="21"/>
        <v>1599</v>
      </c>
      <c r="R708" s="970"/>
      <c r="S708" s="971">
        <v>11996</v>
      </c>
      <c r="T708" s="973">
        <v>-77</v>
      </c>
      <c r="U708" s="973">
        <v>11919</v>
      </c>
    </row>
    <row r="709" spans="1:21" x14ac:dyDescent="0.25">
      <c r="A709" s="967">
        <v>97831</v>
      </c>
      <c r="B709" s="968" t="s">
        <v>3346</v>
      </c>
      <c r="C709" s="969">
        <v>1.7009999999999999E-4</v>
      </c>
      <c r="D709" s="969">
        <v>1.482E-4</v>
      </c>
      <c r="E709" s="986">
        <v>78813</v>
      </c>
      <c r="F709" s="970">
        <v>259866</v>
      </c>
      <c r="G709" s="970"/>
      <c r="H709" s="971">
        <v>14971</v>
      </c>
      <c r="I709" s="972">
        <v>63096</v>
      </c>
      <c r="J709" s="971">
        <v>37112</v>
      </c>
      <c r="K709" s="970">
        <v>15261</v>
      </c>
      <c r="L709" s="972">
        <f t="shared" si="20"/>
        <v>130440</v>
      </c>
      <c r="M709" s="970"/>
      <c r="N709" s="971">
        <v>7356</v>
      </c>
      <c r="O709" s="971">
        <v>0</v>
      </c>
      <c r="P709" s="970">
        <v>8418</v>
      </c>
      <c r="Q709" s="972">
        <f t="shared" si="21"/>
        <v>15774</v>
      </c>
      <c r="R709" s="970"/>
      <c r="S709" s="971">
        <v>87575</v>
      </c>
      <c r="T709" s="973">
        <v>-2075</v>
      </c>
      <c r="U709" s="973">
        <v>85500</v>
      </c>
    </row>
    <row r="710" spans="1:21" x14ac:dyDescent="0.25">
      <c r="A710" s="967">
        <v>97837</v>
      </c>
      <c r="B710" s="968" t="s">
        <v>3347</v>
      </c>
      <c r="C710" s="969">
        <v>1.0200000000000001E-5</v>
      </c>
      <c r="D710" s="969">
        <v>8.8000000000000004E-6</v>
      </c>
      <c r="E710" s="986">
        <v>6053</v>
      </c>
      <c r="F710" s="970">
        <v>15583</v>
      </c>
      <c r="G710" s="970"/>
      <c r="H710" s="971">
        <v>898</v>
      </c>
      <c r="I710" s="972">
        <v>3784</v>
      </c>
      <c r="J710" s="971">
        <v>2225</v>
      </c>
      <c r="K710" s="970">
        <v>3302</v>
      </c>
      <c r="L710" s="972">
        <f t="shared" si="20"/>
        <v>10209</v>
      </c>
      <c r="M710" s="970"/>
      <c r="N710" s="971">
        <v>441</v>
      </c>
      <c r="O710" s="971">
        <v>0</v>
      </c>
      <c r="P710" s="970">
        <v>214</v>
      </c>
      <c r="Q710" s="972">
        <f t="shared" si="21"/>
        <v>655</v>
      </c>
      <c r="R710" s="970"/>
      <c r="S710" s="971">
        <v>5251</v>
      </c>
      <c r="T710" s="973">
        <v>1260</v>
      </c>
      <c r="U710" s="973">
        <v>6511</v>
      </c>
    </row>
    <row r="711" spans="1:21" x14ac:dyDescent="0.25">
      <c r="A711" s="967">
        <v>97840</v>
      </c>
      <c r="B711" s="968" t="s">
        <v>3348</v>
      </c>
      <c r="C711" s="969">
        <v>1.3190000000000001E-4</v>
      </c>
      <c r="D711" s="969">
        <v>1.403E-4</v>
      </c>
      <c r="E711" s="986">
        <v>107784</v>
      </c>
      <c r="F711" s="970">
        <v>201507</v>
      </c>
      <c r="G711" s="970"/>
      <c r="H711" s="971">
        <v>11609</v>
      </c>
      <c r="I711" s="972">
        <v>48926</v>
      </c>
      <c r="J711" s="971">
        <v>28778</v>
      </c>
      <c r="K711" s="970">
        <v>76227</v>
      </c>
      <c r="L711" s="972">
        <f t="shared" ref="L711:L774" si="22">H711+I711+J711+K711</f>
        <v>165540</v>
      </c>
      <c r="M711" s="970"/>
      <c r="N711" s="971">
        <v>5704</v>
      </c>
      <c r="O711" s="971">
        <v>0</v>
      </c>
      <c r="P711" s="970">
        <v>964</v>
      </c>
      <c r="Q711" s="972">
        <f t="shared" ref="Q711:Q774" si="23">N711+O711+P711</f>
        <v>6668</v>
      </c>
      <c r="R711" s="970"/>
      <c r="S711" s="971">
        <v>67908</v>
      </c>
      <c r="T711" s="973">
        <v>27073</v>
      </c>
      <c r="U711" s="973">
        <v>94981</v>
      </c>
    </row>
    <row r="712" spans="1:21" x14ac:dyDescent="0.25">
      <c r="A712" s="967">
        <v>97841</v>
      </c>
      <c r="B712" s="968" t="s">
        <v>3349</v>
      </c>
      <c r="C712" s="969">
        <v>1.31E-5</v>
      </c>
      <c r="D712" s="969">
        <v>1.45E-5</v>
      </c>
      <c r="E712" s="986">
        <v>6425</v>
      </c>
      <c r="F712" s="970">
        <v>20013</v>
      </c>
      <c r="G712" s="970"/>
      <c r="H712" s="971">
        <v>1153</v>
      </c>
      <c r="I712" s="972">
        <v>4859</v>
      </c>
      <c r="J712" s="971">
        <v>2858</v>
      </c>
      <c r="K712" s="970">
        <v>410</v>
      </c>
      <c r="L712" s="972">
        <f t="shared" si="22"/>
        <v>9280</v>
      </c>
      <c r="M712" s="970"/>
      <c r="N712" s="971">
        <v>567</v>
      </c>
      <c r="O712" s="971">
        <v>0</v>
      </c>
      <c r="P712" s="970">
        <v>4768</v>
      </c>
      <c r="Q712" s="972">
        <f t="shared" si="23"/>
        <v>5335</v>
      </c>
      <c r="R712" s="970"/>
      <c r="S712" s="971">
        <v>6744</v>
      </c>
      <c r="T712" s="973">
        <v>-3859</v>
      </c>
      <c r="U712" s="973">
        <v>2885</v>
      </c>
    </row>
    <row r="713" spans="1:21" x14ac:dyDescent="0.25">
      <c r="A713" s="967">
        <v>97847</v>
      </c>
      <c r="B713" s="968" t="s">
        <v>3350</v>
      </c>
      <c r="C713" s="969">
        <v>2.0999999999999998E-6</v>
      </c>
      <c r="D713" s="969">
        <v>2.2000000000000001E-6</v>
      </c>
      <c r="E713" s="986">
        <v>2259</v>
      </c>
      <c r="F713" s="970">
        <v>3208</v>
      </c>
      <c r="G713" s="970"/>
      <c r="H713" s="971">
        <v>185</v>
      </c>
      <c r="I713" s="972">
        <v>779</v>
      </c>
      <c r="J713" s="971">
        <v>458</v>
      </c>
      <c r="K713" s="970">
        <v>1433</v>
      </c>
      <c r="L713" s="972">
        <f t="shared" si="22"/>
        <v>2855</v>
      </c>
      <c r="M713" s="970"/>
      <c r="N713" s="971">
        <v>91</v>
      </c>
      <c r="O713" s="971">
        <v>0</v>
      </c>
      <c r="P713" s="970">
        <v>72</v>
      </c>
      <c r="Q713" s="972">
        <f t="shared" si="23"/>
        <v>163</v>
      </c>
      <c r="R713" s="970"/>
      <c r="S713" s="971">
        <v>1081</v>
      </c>
      <c r="T713" s="973">
        <v>355</v>
      </c>
      <c r="U713" s="973">
        <v>1436</v>
      </c>
    </row>
    <row r="714" spans="1:21" x14ac:dyDescent="0.25">
      <c r="A714" s="967">
        <v>97851</v>
      </c>
      <c r="B714" s="968" t="s">
        <v>3351</v>
      </c>
      <c r="C714" s="969">
        <v>2.7799999999999998E-4</v>
      </c>
      <c r="D714" s="969">
        <v>2.7460000000000001E-4</v>
      </c>
      <c r="E714" s="986">
        <v>116408</v>
      </c>
      <c r="F714" s="970">
        <v>424707</v>
      </c>
      <c r="G714" s="970"/>
      <c r="H714" s="971">
        <v>24467</v>
      </c>
      <c r="I714" s="972">
        <v>103120</v>
      </c>
      <c r="J714" s="971">
        <v>60654</v>
      </c>
      <c r="K714" s="970">
        <v>1448</v>
      </c>
      <c r="L714" s="972">
        <f t="shared" si="22"/>
        <v>189689</v>
      </c>
      <c r="M714" s="970"/>
      <c r="N714" s="971">
        <v>12022</v>
      </c>
      <c r="O714" s="971">
        <v>0</v>
      </c>
      <c r="P714" s="970">
        <v>12710</v>
      </c>
      <c r="Q714" s="972">
        <f t="shared" si="23"/>
        <v>24732</v>
      </c>
      <c r="R714" s="970"/>
      <c r="S714" s="971">
        <v>143127</v>
      </c>
      <c r="T714" s="973">
        <v>-2512</v>
      </c>
      <c r="U714" s="973">
        <v>140615</v>
      </c>
    </row>
    <row r="715" spans="1:21" x14ac:dyDescent="0.25">
      <c r="A715" s="967">
        <v>97853</v>
      </c>
      <c r="B715" s="968" t="s">
        <v>3352</v>
      </c>
      <c r="C715" s="969">
        <v>1.0289999999999999E-4</v>
      </c>
      <c r="D715" s="969">
        <v>9.1600000000000004E-5</v>
      </c>
      <c r="E715" s="986">
        <v>44043</v>
      </c>
      <c r="F715" s="970">
        <v>157203</v>
      </c>
      <c r="G715" s="970"/>
      <c r="H715" s="971">
        <v>9056</v>
      </c>
      <c r="I715" s="972">
        <v>38169</v>
      </c>
      <c r="J715" s="971">
        <v>22451</v>
      </c>
      <c r="K715" s="970">
        <v>8759</v>
      </c>
      <c r="L715" s="972">
        <f t="shared" si="22"/>
        <v>78435</v>
      </c>
      <c r="M715" s="970"/>
      <c r="N715" s="971">
        <v>4450</v>
      </c>
      <c r="O715" s="971">
        <v>0</v>
      </c>
      <c r="P715" s="970">
        <v>9750</v>
      </c>
      <c r="Q715" s="972">
        <f t="shared" si="23"/>
        <v>14200</v>
      </c>
      <c r="R715" s="970"/>
      <c r="S715" s="971">
        <v>52977</v>
      </c>
      <c r="T715" s="973">
        <v>429</v>
      </c>
      <c r="U715" s="973">
        <f>53407-1</f>
        <v>53406</v>
      </c>
    </row>
    <row r="716" spans="1:21" x14ac:dyDescent="0.25">
      <c r="A716" s="967">
        <v>97861</v>
      </c>
      <c r="B716" s="968" t="s">
        <v>3353</v>
      </c>
      <c r="C716" s="969">
        <v>6.7000000000000002E-5</v>
      </c>
      <c r="D716" s="969">
        <v>6.8499999999999998E-5</v>
      </c>
      <c r="E716" s="986">
        <v>27517</v>
      </c>
      <c r="F716" s="970">
        <v>102357</v>
      </c>
      <c r="G716" s="970"/>
      <c r="H716" s="971">
        <v>5897</v>
      </c>
      <c r="I716" s="972">
        <v>24852</v>
      </c>
      <c r="J716" s="971">
        <v>14618</v>
      </c>
      <c r="K716" s="970">
        <v>1771</v>
      </c>
      <c r="L716" s="972">
        <f t="shared" si="22"/>
        <v>47138</v>
      </c>
      <c r="M716" s="970"/>
      <c r="N716" s="971">
        <v>2897</v>
      </c>
      <c r="O716" s="971">
        <v>0</v>
      </c>
      <c r="P716" s="970">
        <v>7954</v>
      </c>
      <c r="Q716" s="972">
        <f t="shared" si="23"/>
        <v>10851</v>
      </c>
      <c r="R716" s="970"/>
      <c r="S716" s="971">
        <v>34495</v>
      </c>
      <c r="T716" s="973">
        <v>-3725</v>
      </c>
      <c r="U716" s="973">
        <f>30769+1</f>
        <v>30770</v>
      </c>
    </row>
    <row r="717" spans="1:21" x14ac:dyDescent="0.25">
      <c r="A717" s="967">
        <v>97871</v>
      </c>
      <c r="B717" s="968" t="s">
        <v>3354</v>
      </c>
      <c r="C717" s="969">
        <v>2.9930000000000001E-4</v>
      </c>
      <c r="D717" s="969">
        <v>3.1500000000000001E-4</v>
      </c>
      <c r="E717" s="986">
        <v>273654</v>
      </c>
      <c r="F717" s="970">
        <v>457247</v>
      </c>
      <c r="G717" s="970"/>
      <c r="H717" s="971">
        <v>26342</v>
      </c>
      <c r="I717" s="972">
        <v>111020</v>
      </c>
      <c r="J717" s="971">
        <v>65301</v>
      </c>
      <c r="K717" s="970">
        <v>217143</v>
      </c>
      <c r="L717" s="972">
        <f t="shared" si="22"/>
        <v>419806</v>
      </c>
      <c r="M717" s="970"/>
      <c r="N717" s="971">
        <v>12943</v>
      </c>
      <c r="O717" s="971">
        <v>0</v>
      </c>
      <c r="P717" s="970">
        <v>0</v>
      </c>
      <c r="Q717" s="972">
        <f t="shared" si="23"/>
        <v>12943</v>
      </c>
      <c r="R717" s="970"/>
      <c r="S717" s="971">
        <v>154093</v>
      </c>
      <c r="T717" s="973">
        <v>79417</v>
      </c>
      <c r="U717" s="973">
        <f>233509+1</f>
        <v>233510</v>
      </c>
    </row>
    <row r="718" spans="1:21" x14ac:dyDescent="0.25">
      <c r="A718" s="967">
        <v>97877</v>
      </c>
      <c r="B718" s="968" t="s">
        <v>3355</v>
      </c>
      <c r="C718" s="969">
        <v>1.9E-6</v>
      </c>
      <c r="D718" s="969">
        <v>2.2000000000000001E-6</v>
      </c>
      <c r="E718" s="986">
        <v>2104</v>
      </c>
      <c r="F718" s="970">
        <v>2903</v>
      </c>
      <c r="G718" s="970"/>
      <c r="H718" s="971">
        <v>167</v>
      </c>
      <c r="I718" s="972">
        <v>705</v>
      </c>
      <c r="J718" s="971">
        <v>415</v>
      </c>
      <c r="K718" s="970">
        <v>1638</v>
      </c>
      <c r="L718" s="972">
        <f t="shared" si="22"/>
        <v>2925</v>
      </c>
      <c r="M718" s="970"/>
      <c r="N718" s="971">
        <v>82</v>
      </c>
      <c r="O718" s="971">
        <v>0</v>
      </c>
      <c r="P718" s="970">
        <v>0</v>
      </c>
      <c r="Q718" s="972">
        <f t="shared" si="23"/>
        <v>82</v>
      </c>
      <c r="R718" s="970"/>
      <c r="S718" s="971">
        <v>978</v>
      </c>
      <c r="T718" s="973">
        <v>648</v>
      </c>
      <c r="U718" s="973">
        <f>1627-1</f>
        <v>1626</v>
      </c>
    </row>
    <row r="719" spans="1:21" x14ac:dyDescent="0.25">
      <c r="A719" s="967">
        <v>97901</v>
      </c>
      <c r="B719" s="968" t="s">
        <v>3356</v>
      </c>
      <c r="C719" s="969">
        <v>4.2658000000000001E-3</v>
      </c>
      <c r="D719" s="969">
        <v>4.3616999999999996E-3</v>
      </c>
      <c r="E719" s="986">
        <v>2091024</v>
      </c>
      <c r="F719" s="970">
        <v>6516961</v>
      </c>
      <c r="G719" s="970"/>
      <c r="H719" s="971">
        <v>375437</v>
      </c>
      <c r="I719" s="972">
        <v>1582326</v>
      </c>
      <c r="J719" s="971">
        <v>930712</v>
      </c>
      <c r="K719" s="970">
        <v>88360</v>
      </c>
      <c r="L719" s="972">
        <f t="shared" si="22"/>
        <v>2976835</v>
      </c>
      <c r="M719" s="970"/>
      <c r="N719" s="971">
        <v>184475</v>
      </c>
      <c r="O719" s="971">
        <v>0</v>
      </c>
      <c r="P719" s="970">
        <v>14865</v>
      </c>
      <c r="Q719" s="972">
        <f t="shared" si="23"/>
        <v>199340</v>
      </c>
      <c r="R719" s="970"/>
      <c r="S719" s="971">
        <v>2196222</v>
      </c>
      <c r="T719" s="973">
        <v>35112</v>
      </c>
      <c r="U719" s="973">
        <v>2231334</v>
      </c>
    </row>
    <row r="720" spans="1:21" x14ac:dyDescent="0.25">
      <c r="A720" s="967">
        <v>97911</v>
      </c>
      <c r="B720" s="968" t="s">
        <v>3357</v>
      </c>
      <c r="C720" s="969">
        <v>1.3005E-3</v>
      </c>
      <c r="D720" s="969">
        <v>1.3190000000000001E-3</v>
      </c>
      <c r="E720" s="986">
        <v>613265</v>
      </c>
      <c r="F720" s="970">
        <v>1986804</v>
      </c>
      <c r="G720" s="970"/>
      <c r="H720" s="971">
        <v>114458</v>
      </c>
      <c r="I720" s="972">
        <v>482398</v>
      </c>
      <c r="J720" s="971">
        <v>283743</v>
      </c>
      <c r="K720" s="970">
        <v>31167</v>
      </c>
      <c r="L720" s="972">
        <f t="shared" si="22"/>
        <v>911766</v>
      </c>
      <c r="M720" s="970"/>
      <c r="N720" s="971">
        <v>56240</v>
      </c>
      <c r="O720" s="971">
        <v>0</v>
      </c>
      <c r="P720" s="970">
        <v>28435</v>
      </c>
      <c r="Q720" s="972">
        <f t="shared" si="23"/>
        <v>84675</v>
      </c>
      <c r="R720" s="970"/>
      <c r="S720" s="971">
        <v>669555</v>
      </c>
      <c r="T720" s="973">
        <v>10548</v>
      </c>
      <c r="U720" s="973">
        <v>680103</v>
      </c>
    </row>
    <row r="721" spans="1:21" x14ac:dyDescent="0.25">
      <c r="A721" s="967">
        <v>97913</v>
      </c>
      <c r="B721" s="968" t="s">
        <v>3358</v>
      </c>
      <c r="C721" s="969">
        <v>3.5899999999999998E-5</v>
      </c>
      <c r="D721" s="969">
        <v>3.7400000000000001E-5</v>
      </c>
      <c r="E721" s="986">
        <v>27559</v>
      </c>
      <c r="F721" s="970">
        <v>54845</v>
      </c>
      <c r="G721" s="970"/>
      <c r="H721" s="971">
        <v>3160</v>
      </c>
      <c r="I721" s="972">
        <v>13317</v>
      </c>
      <c r="J721" s="971">
        <v>7833</v>
      </c>
      <c r="K721" s="970">
        <v>15616</v>
      </c>
      <c r="L721" s="972">
        <f t="shared" si="22"/>
        <v>39926</v>
      </c>
      <c r="M721" s="970"/>
      <c r="N721" s="971">
        <v>1552</v>
      </c>
      <c r="O721" s="971">
        <v>0</v>
      </c>
      <c r="P721" s="970">
        <v>0</v>
      </c>
      <c r="Q721" s="972">
        <f t="shared" si="23"/>
        <v>1552</v>
      </c>
      <c r="R721" s="970"/>
      <c r="S721" s="971">
        <v>18483</v>
      </c>
      <c r="T721" s="973">
        <v>5369</v>
      </c>
      <c r="U721" s="973">
        <f>23851+1</f>
        <v>23852</v>
      </c>
    </row>
    <row r="722" spans="1:21" x14ac:dyDescent="0.25">
      <c r="A722" s="967">
        <v>97917</v>
      </c>
      <c r="B722" s="968" t="s">
        <v>3359</v>
      </c>
      <c r="C722" s="969">
        <v>2.0999999999999999E-5</v>
      </c>
      <c r="D722" s="969">
        <v>1.98E-5</v>
      </c>
      <c r="E722" s="986">
        <v>13419</v>
      </c>
      <c r="F722" s="970">
        <v>32082</v>
      </c>
      <c r="G722" s="970"/>
      <c r="H722" s="971">
        <v>1848</v>
      </c>
      <c r="I722" s="972">
        <v>7790</v>
      </c>
      <c r="J722" s="971">
        <v>4582</v>
      </c>
      <c r="K722" s="970">
        <v>7811</v>
      </c>
      <c r="L722" s="972">
        <f t="shared" si="22"/>
        <v>22031</v>
      </c>
      <c r="M722" s="970"/>
      <c r="N722" s="971">
        <v>908</v>
      </c>
      <c r="O722" s="971">
        <v>0</v>
      </c>
      <c r="P722" s="970">
        <v>0</v>
      </c>
      <c r="Q722" s="972">
        <f t="shared" si="23"/>
        <v>908</v>
      </c>
      <c r="R722" s="970"/>
      <c r="S722" s="971">
        <v>10812</v>
      </c>
      <c r="T722" s="973">
        <v>3168</v>
      </c>
      <c r="U722" s="973">
        <f>13979+1</f>
        <v>13980</v>
      </c>
    </row>
    <row r="723" spans="1:21" x14ac:dyDescent="0.25">
      <c r="A723" s="967">
        <v>97921</v>
      </c>
      <c r="B723" s="968" t="s">
        <v>3360</v>
      </c>
      <c r="C723" s="969">
        <v>2.1699999999999999E-4</v>
      </c>
      <c r="D723" s="969">
        <v>2.2169999999999999E-4</v>
      </c>
      <c r="E723" s="986">
        <v>103163</v>
      </c>
      <c r="F723" s="970">
        <v>331516</v>
      </c>
      <c r="G723" s="970"/>
      <c r="H723" s="971">
        <v>19098</v>
      </c>
      <c r="I723" s="972">
        <v>80493</v>
      </c>
      <c r="J723" s="971">
        <v>47345</v>
      </c>
      <c r="K723" s="970">
        <v>11562</v>
      </c>
      <c r="L723" s="972">
        <f t="shared" si="22"/>
        <v>158498</v>
      </c>
      <c r="M723" s="970"/>
      <c r="N723" s="971">
        <v>9384</v>
      </c>
      <c r="O723" s="971">
        <v>0</v>
      </c>
      <c r="P723" s="970">
        <v>5992</v>
      </c>
      <c r="Q723" s="972">
        <f t="shared" si="23"/>
        <v>15376</v>
      </c>
      <c r="R723" s="970"/>
      <c r="S723" s="971">
        <v>111721</v>
      </c>
      <c r="T723" s="973">
        <v>3241</v>
      </c>
      <c r="U723" s="973">
        <v>114962</v>
      </c>
    </row>
    <row r="724" spans="1:21" x14ac:dyDescent="0.25">
      <c r="A724" s="967">
        <v>97931</v>
      </c>
      <c r="B724" s="968" t="s">
        <v>3361</v>
      </c>
      <c r="C724" s="969">
        <v>7.0199999999999999E-5</v>
      </c>
      <c r="D724" s="969">
        <v>6.1600000000000007E-5</v>
      </c>
      <c r="E724" s="986">
        <v>31939</v>
      </c>
      <c r="F724" s="970">
        <v>107246</v>
      </c>
      <c r="G724" s="970"/>
      <c r="H724" s="971">
        <v>6178</v>
      </c>
      <c r="I724" s="972">
        <v>26039</v>
      </c>
      <c r="J724" s="971">
        <v>15316</v>
      </c>
      <c r="K724" s="970">
        <v>18162</v>
      </c>
      <c r="L724" s="972">
        <f t="shared" si="22"/>
        <v>65695</v>
      </c>
      <c r="M724" s="970"/>
      <c r="N724" s="971">
        <v>3036</v>
      </c>
      <c r="O724" s="971">
        <v>0</v>
      </c>
      <c r="P724" s="970">
        <v>7492</v>
      </c>
      <c r="Q724" s="972">
        <f t="shared" si="23"/>
        <v>10528</v>
      </c>
      <c r="R724" s="970"/>
      <c r="S724" s="971">
        <v>36142</v>
      </c>
      <c r="T724" s="973">
        <v>2117</v>
      </c>
      <c r="U724" s="973">
        <v>38259</v>
      </c>
    </row>
    <row r="725" spans="1:21" x14ac:dyDescent="0.25">
      <c r="A725" s="967">
        <v>97941</v>
      </c>
      <c r="B725" s="968" t="s">
        <v>3362</v>
      </c>
      <c r="C725" s="969">
        <v>2.0479999999999999E-4</v>
      </c>
      <c r="D725" s="969">
        <v>2.3330000000000001E-4</v>
      </c>
      <c r="E725" s="986">
        <v>106970</v>
      </c>
      <c r="F725" s="970">
        <v>312878</v>
      </c>
      <c r="G725" s="970"/>
      <c r="H725" s="971">
        <v>18025</v>
      </c>
      <c r="I725" s="972">
        <v>75967</v>
      </c>
      <c r="J725" s="971">
        <v>44683</v>
      </c>
      <c r="K725" s="970">
        <v>17999</v>
      </c>
      <c r="L725" s="972">
        <f t="shared" si="22"/>
        <v>156674</v>
      </c>
      <c r="M725" s="970"/>
      <c r="N725" s="971">
        <v>8857</v>
      </c>
      <c r="O725" s="971">
        <v>0</v>
      </c>
      <c r="P725" s="970">
        <v>8897</v>
      </c>
      <c r="Q725" s="972">
        <f t="shared" si="23"/>
        <v>17754</v>
      </c>
      <c r="R725" s="970"/>
      <c r="S725" s="971">
        <v>105440</v>
      </c>
      <c r="T725" s="973">
        <v>7001</v>
      </c>
      <c r="U725" s="973">
        <v>112441</v>
      </c>
    </row>
    <row r="726" spans="1:21" x14ac:dyDescent="0.25">
      <c r="A726" s="967">
        <v>97947</v>
      </c>
      <c r="B726" s="968" t="s">
        <v>3363</v>
      </c>
      <c r="C726" s="969">
        <v>1.3900000000000001E-5</v>
      </c>
      <c r="D726" s="969">
        <v>1.5500000000000001E-5</v>
      </c>
      <c r="E726" s="986">
        <v>11471</v>
      </c>
      <c r="F726" s="970">
        <v>21235</v>
      </c>
      <c r="G726" s="970"/>
      <c r="H726" s="971">
        <v>1223</v>
      </c>
      <c r="I726" s="972">
        <v>5156</v>
      </c>
      <c r="J726" s="971">
        <v>3033</v>
      </c>
      <c r="K726" s="970">
        <v>9518</v>
      </c>
      <c r="L726" s="972">
        <f t="shared" si="22"/>
        <v>18930</v>
      </c>
      <c r="M726" s="970"/>
      <c r="N726" s="971">
        <v>601</v>
      </c>
      <c r="O726" s="971">
        <v>0</v>
      </c>
      <c r="P726" s="970">
        <v>306</v>
      </c>
      <c r="Q726" s="972">
        <f t="shared" si="23"/>
        <v>907</v>
      </c>
      <c r="R726" s="970"/>
      <c r="S726" s="971">
        <v>7156</v>
      </c>
      <c r="T726" s="973">
        <v>3116</v>
      </c>
      <c r="U726" s="973">
        <v>10272</v>
      </c>
    </row>
    <row r="727" spans="1:21" x14ac:dyDescent="0.25">
      <c r="A727" s="967">
        <v>97948</v>
      </c>
      <c r="B727" s="968" t="s">
        <v>3364</v>
      </c>
      <c r="C727" s="969">
        <v>2.2099999999999998E-5</v>
      </c>
      <c r="D727" s="969">
        <v>3.5200000000000002E-5</v>
      </c>
      <c r="E727" s="986">
        <v>10840</v>
      </c>
      <c r="F727" s="970">
        <v>33763</v>
      </c>
      <c r="G727" s="970"/>
      <c r="H727" s="971">
        <v>1945</v>
      </c>
      <c r="I727" s="972">
        <v>8198</v>
      </c>
      <c r="J727" s="971">
        <v>4822</v>
      </c>
      <c r="K727" s="970">
        <v>1909</v>
      </c>
      <c r="L727" s="972">
        <f t="shared" si="22"/>
        <v>16874</v>
      </c>
      <c r="M727" s="970"/>
      <c r="N727" s="971">
        <v>956</v>
      </c>
      <c r="O727" s="971">
        <v>0</v>
      </c>
      <c r="P727" s="970">
        <v>8330</v>
      </c>
      <c r="Q727" s="972">
        <f t="shared" si="23"/>
        <v>9286</v>
      </c>
      <c r="R727" s="970"/>
      <c r="S727" s="971">
        <v>11378</v>
      </c>
      <c r="T727" s="973">
        <v>-972</v>
      </c>
      <c r="U727" s="973">
        <v>10406</v>
      </c>
    </row>
    <row r="728" spans="1:21" x14ac:dyDescent="0.25">
      <c r="A728" s="967">
        <v>97951</v>
      </c>
      <c r="B728" s="968" t="s">
        <v>3365</v>
      </c>
      <c r="C728" s="969">
        <v>1.2440999999999999E-3</v>
      </c>
      <c r="D728" s="969">
        <v>1.2497000000000001E-3</v>
      </c>
      <c r="E728" s="986">
        <v>597832</v>
      </c>
      <c r="F728" s="970">
        <v>1900640</v>
      </c>
      <c r="G728" s="970"/>
      <c r="H728" s="971">
        <v>109494</v>
      </c>
      <c r="I728" s="972">
        <v>461477</v>
      </c>
      <c r="J728" s="971">
        <v>271438</v>
      </c>
      <c r="K728" s="970">
        <v>31864</v>
      </c>
      <c r="L728" s="972">
        <f t="shared" si="22"/>
        <v>874273</v>
      </c>
      <c r="M728" s="970"/>
      <c r="N728" s="971">
        <v>53801</v>
      </c>
      <c r="O728" s="971">
        <v>0</v>
      </c>
      <c r="P728" s="970">
        <v>7067</v>
      </c>
      <c r="Q728" s="972">
        <f t="shared" si="23"/>
        <v>60868</v>
      </c>
      <c r="R728" s="970"/>
      <c r="S728" s="971">
        <v>640517</v>
      </c>
      <c r="T728" s="973">
        <v>4295</v>
      </c>
      <c r="U728" s="973">
        <f>644813-1</f>
        <v>644812</v>
      </c>
    </row>
    <row r="729" spans="1:21" x14ac:dyDescent="0.25">
      <c r="A729" s="967">
        <v>97957</v>
      </c>
      <c r="B729" s="968" t="s">
        <v>3366</v>
      </c>
      <c r="C729" s="969">
        <v>1.8700000000000001E-5</v>
      </c>
      <c r="D729" s="969">
        <v>1.9599999999999999E-5</v>
      </c>
      <c r="E729" s="986">
        <v>12857</v>
      </c>
      <c r="F729" s="970">
        <v>28568</v>
      </c>
      <c r="G729" s="970"/>
      <c r="H729" s="971">
        <v>1646</v>
      </c>
      <c r="I729" s="972">
        <v>6936</v>
      </c>
      <c r="J729" s="971">
        <v>4080</v>
      </c>
      <c r="K729" s="970">
        <v>4456</v>
      </c>
      <c r="L729" s="972">
        <f t="shared" si="22"/>
        <v>17118</v>
      </c>
      <c r="M729" s="970"/>
      <c r="N729" s="971">
        <v>809</v>
      </c>
      <c r="O729" s="971">
        <v>0</v>
      </c>
      <c r="P729" s="970">
        <v>1123</v>
      </c>
      <c r="Q729" s="972">
        <f t="shared" si="23"/>
        <v>1932</v>
      </c>
      <c r="R729" s="970"/>
      <c r="S729" s="971">
        <v>9628</v>
      </c>
      <c r="T729" s="973">
        <v>620</v>
      </c>
      <c r="U729" s="973">
        <f>10247+1</f>
        <v>10248</v>
      </c>
    </row>
    <row r="730" spans="1:21" x14ac:dyDescent="0.25">
      <c r="A730" s="967">
        <v>98001</v>
      </c>
      <c r="B730" s="968" t="s">
        <v>3367</v>
      </c>
      <c r="C730" s="969">
        <v>5.1148000000000001E-3</v>
      </c>
      <c r="D730" s="969">
        <v>4.9659999999999999E-3</v>
      </c>
      <c r="E730" s="986">
        <v>2367016</v>
      </c>
      <c r="F730" s="970">
        <v>7813998</v>
      </c>
      <c r="G730" s="970"/>
      <c r="H730" s="971">
        <v>450159</v>
      </c>
      <c r="I730" s="972">
        <v>1897248</v>
      </c>
      <c r="J730" s="971">
        <v>1115947</v>
      </c>
      <c r="K730" s="970">
        <v>181889</v>
      </c>
      <c r="L730" s="972">
        <f t="shared" si="22"/>
        <v>3645243</v>
      </c>
      <c r="M730" s="970"/>
      <c r="N730" s="971">
        <v>221190</v>
      </c>
      <c r="O730" s="971">
        <v>0</v>
      </c>
      <c r="P730" s="970">
        <v>0</v>
      </c>
      <c r="Q730" s="972">
        <f t="shared" si="23"/>
        <v>221190</v>
      </c>
      <c r="R730" s="970"/>
      <c r="S730" s="971">
        <v>2633324</v>
      </c>
      <c r="T730" s="973">
        <v>81305</v>
      </c>
      <c r="U730" s="973">
        <v>2714629</v>
      </c>
    </row>
    <row r="731" spans="1:21" x14ac:dyDescent="0.25">
      <c r="A731" s="967">
        <v>98002</v>
      </c>
      <c r="B731" s="968" t="s">
        <v>3368</v>
      </c>
      <c r="C731" s="969">
        <v>6.7000000000000002E-6</v>
      </c>
      <c r="D731" s="969">
        <v>7.3000000000000004E-6</v>
      </c>
      <c r="E731" s="986">
        <v>4126</v>
      </c>
      <c r="F731" s="970">
        <v>10236</v>
      </c>
      <c r="G731" s="970"/>
      <c r="H731" s="971">
        <v>590</v>
      </c>
      <c r="I731" s="972">
        <v>2485</v>
      </c>
      <c r="J731" s="971">
        <v>1462</v>
      </c>
      <c r="K731" s="970">
        <v>1007</v>
      </c>
      <c r="L731" s="972">
        <f t="shared" si="22"/>
        <v>5544</v>
      </c>
      <c r="M731" s="970"/>
      <c r="N731" s="971">
        <v>290</v>
      </c>
      <c r="O731" s="971">
        <v>0</v>
      </c>
      <c r="P731" s="970">
        <v>6492</v>
      </c>
      <c r="Q731" s="972">
        <f t="shared" si="23"/>
        <v>6782</v>
      </c>
      <c r="R731" s="970"/>
      <c r="S731" s="971">
        <v>3449</v>
      </c>
      <c r="T731" s="973">
        <v>-6219</v>
      </c>
      <c r="U731" s="973">
        <v>-2770</v>
      </c>
    </row>
    <row r="732" spans="1:21" x14ac:dyDescent="0.25">
      <c r="A732" s="967">
        <v>98003</v>
      </c>
      <c r="B732" s="968" t="s">
        <v>3369</v>
      </c>
      <c r="C732" s="969">
        <v>7.9599999999999997E-5</v>
      </c>
      <c r="D732" s="969">
        <v>8.1600000000000005E-5</v>
      </c>
      <c r="E732" s="986">
        <v>70274</v>
      </c>
      <c r="F732" s="970">
        <v>121607</v>
      </c>
      <c r="G732" s="970"/>
      <c r="H732" s="971">
        <v>7006</v>
      </c>
      <c r="I732" s="972">
        <v>29526</v>
      </c>
      <c r="J732" s="971">
        <v>17367</v>
      </c>
      <c r="K732" s="970">
        <v>54986</v>
      </c>
      <c r="L732" s="972">
        <f t="shared" si="22"/>
        <v>108885</v>
      </c>
      <c r="M732" s="970"/>
      <c r="N732" s="971">
        <v>3442</v>
      </c>
      <c r="O732" s="971">
        <v>0</v>
      </c>
      <c r="P732" s="970">
        <v>0</v>
      </c>
      <c r="Q732" s="972">
        <f t="shared" si="23"/>
        <v>3442</v>
      </c>
      <c r="R732" s="970"/>
      <c r="S732" s="971">
        <v>40982</v>
      </c>
      <c r="T732" s="973">
        <v>18634</v>
      </c>
      <c r="U732" s="973">
        <v>59616</v>
      </c>
    </row>
    <row r="733" spans="1:21" x14ac:dyDescent="0.25">
      <c r="A733" s="967">
        <v>98004</v>
      </c>
      <c r="B733" s="968" t="s">
        <v>3370</v>
      </c>
      <c r="C733" s="969">
        <v>1.182E-4</v>
      </c>
      <c r="D733" s="969">
        <v>1.209E-4</v>
      </c>
      <c r="E733" s="986">
        <v>78050</v>
      </c>
      <c r="F733" s="970">
        <v>180577</v>
      </c>
      <c r="G733" s="970"/>
      <c r="H733" s="971">
        <v>10403</v>
      </c>
      <c r="I733" s="972">
        <v>43844</v>
      </c>
      <c r="J733" s="971">
        <v>25789</v>
      </c>
      <c r="K733" s="970">
        <v>36575</v>
      </c>
      <c r="L733" s="972">
        <f t="shared" si="22"/>
        <v>116611</v>
      </c>
      <c r="M733" s="970"/>
      <c r="N733" s="971">
        <v>5112</v>
      </c>
      <c r="O733" s="971">
        <v>0</v>
      </c>
      <c r="P733" s="970">
        <v>0</v>
      </c>
      <c r="Q733" s="972">
        <f t="shared" si="23"/>
        <v>5112</v>
      </c>
      <c r="R733" s="970"/>
      <c r="S733" s="971">
        <v>60855</v>
      </c>
      <c r="T733" s="973">
        <v>14190</v>
      </c>
      <c r="U733" s="973">
        <f>75044+1</f>
        <v>75045</v>
      </c>
    </row>
    <row r="734" spans="1:21" x14ac:dyDescent="0.25">
      <c r="A734" s="967">
        <v>98008</v>
      </c>
      <c r="B734" s="968" t="s">
        <v>3371</v>
      </c>
      <c r="C734" s="969">
        <v>7.9999999999999996E-6</v>
      </c>
      <c r="D734" s="969">
        <v>7.7999999999999999E-6</v>
      </c>
      <c r="E734" s="986">
        <v>3537</v>
      </c>
      <c r="F734" s="970">
        <v>12222</v>
      </c>
      <c r="G734" s="970"/>
      <c r="H734" s="971">
        <v>704</v>
      </c>
      <c r="I734" s="972">
        <v>2967</v>
      </c>
      <c r="J734" s="971">
        <v>1745</v>
      </c>
      <c r="K734" s="970">
        <v>25</v>
      </c>
      <c r="L734" s="972">
        <f t="shared" si="22"/>
        <v>5441</v>
      </c>
      <c r="M734" s="970"/>
      <c r="N734" s="971">
        <v>346</v>
      </c>
      <c r="O734" s="971">
        <v>0</v>
      </c>
      <c r="P734" s="970">
        <v>804</v>
      </c>
      <c r="Q734" s="972">
        <f t="shared" si="23"/>
        <v>1150</v>
      </c>
      <c r="R734" s="970"/>
      <c r="S734" s="971">
        <v>4119</v>
      </c>
      <c r="T734" s="973">
        <v>-490</v>
      </c>
      <c r="U734" s="973">
        <v>3629</v>
      </c>
    </row>
    <row r="735" spans="1:21" x14ac:dyDescent="0.25">
      <c r="A735" s="967">
        <v>98011</v>
      </c>
      <c r="B735" s="968" t="s">
        <v>3372</v>
      </c>
      <c r="C735" s="969">
        <v>3.1578999999999999E-3</v>
      </c>
      <c r="D735" s="969">
        <v>3.1795E-3</v>
      </c>
      <c r="E735" s="986">
        <v>1430082</v>
      </c>
      <c r="F735" s="970">
        <v>4824396</v>
      </c>
      <c r="G735" s="970"/>
      <c r="H735" s="971">
        <v>277930</v>
      </c>
      <c r="I735" s="972">
        <v>1171370</v>
      </c>
      <c r="J735" s="971">
        <v>688991</v>
      </c>
      <c r="K735" s="970">
        <v>0</v>
      </c>
      <c r="L735" s="972">
        <f t="shared" si="22"/>
        <v>2138291</v>
      </c>
      <c r="M735" s="970"/>
      <c r="N735" s="971">
        <v>136563</v>
      </c>
      <c r="O735" s="971">
        <v>0</v>
      </c>
      <c r="P735" s="970">
        <v>315025</v>
      </c>
      <c r="Q735" s="972">
        <f t="shared" si="23"/>
        <v>451588</v>
      </c>
      <c r="R735" s="970"/>
      <c r="S735" s="971">
        <v>1625826</v>
      </c>
      <c r="T735" s="973">
        <v>-146862</v>
      </c>
      <c r="U735" s="973">
        <v>1478964</v>
      </c>
    </row>
    <row r="736" spans="1:21" x14ac:dyDescent="0.25">
      <c r="A736" s="967">
        <v>98013</v>
      </c>
      <c r="B736" s="968" t="s">
        <v>3373</v>
      </c>
      <c r="C736" s="969">
        <v>1.415E-4</v>
      </c>
      <c r="D736" s="969">
        <v>1.426E-4</v>
      </c>
      <c r="E736" s="986">
        <v>138521</v>
      </c>
      <c r="F736" s="970">
        <v>216173</v>
      </c>
      <c r="G736" s="970"/>
      <c r="H736" s="971">
        <v>12454</v>
      </c>
      <c r="I736" s="972">
        <v>52487</v>
      </c>
      <c r="J736" s="971">
        <v>30872</v>
      </c>
      <c r="K736" s="970">
        <v>126104</v>
      </c>
      <c r="L736" s="972">
        <f t="shared" si="22"/>
        <v>221917</v>
      </c>
      <c r="M736" s="970"/>
      <c r="N736" s="971">
        <v>6119</v>
      </c>
      <c r="O736" s="971">
        <v>0</v>
      </c>
      <c r="P736" s="970">
        <v>2073</v>
      </c>
      <c r="Q736" s="972">
        <f t="shared" si="23"/>
        <v>8192</v>
      </c>
      <c r="R736" s="970"/>
      <c r="S736" s="971">
        <v>72850</v>
      </c>
      <c r="T736" s="973">
        <v>41784</v>
      </c>
      <c r="U736" s="973">
        <f>114635-1</f>
        <v>114634</v>
      </c>
    </row>
    <row r="737" spans="1:21" x14ac:dyDescent="0.25">
      <c r="A737" s="967">
        <v>98021</v>
      </c>
      <c r="B737" s="968" t="s">
        <v>3374</v>
      </c>
      <c r="C737" s="969">
        <v>8.6199999999999995E-5</v>
      </c>
      <c r="D737" s="969">
        <v>7.5099999999999996E-5</v>
      </c>
      <c r="E737" s="986">
        <v>28536</v>
      </c>
      <c r="F737" s="970">
        <v>131690</v>
      </c>
      <c r="G737" s="970"/>
      <c r="H737" s="971">
        <v>7587</v>
      </c>
      <c r="I737" s="972">
        <v>31975</v>
      </c>
      <c r="J737" s="971">
        <v>18807</v>
      </c>
      <c r="K737" s="970">
        <v>13468</v>
      </c>
      <c r="L737" s="972">
        <f t="shared" si="22"/>
        <v>71837</v>
      </c>
      <c r="M737" s="970"/>
      <c r="N737" s="971">
        <v>3728</v>
      </c>
      <c r="O737" s="971">
        <v>0</v>
      </c>
      <c r="P737" s="970">
        <v>2708</v>
      </c>
      <c r="Q737" s="972">
        <f t="shared" si="23"/>
        <v>6436</v>
      </c>
      <c r="R737" s="970"/>
      <c r="S737" s="971">
        <v>44380</v>
      </c>
      <c r="T737" s="973">
        <v>6479</v>
      </c>
      <c r="U737" s="973">
        <v>50859</v>
      </c>
    </row>
    <row r="738" spans="1:21" x14ac:dyDescent="0.25">
      <c r="A738" s="967">
        <v>98023</v>
      </c>
      <c r="B738" s="968" t="s">
        <v>3375</v>
      </c>
      <c r="C738" s="969">
        <v>1.43E-5</v>
      </c>
      <c r="D738" s="969">
        <v>1.45E-5</v>
      </c>
      <c r="E738" s="986">
        <v>6869</v>
      </c>
      <c r="F738" s="970">
        <v>21846</v>
      </c>
      <c r="G738" s="970"/>
      <c r="H738" s="971">
        <v>1259</v>
      </c>
      <c r="I738" s="972">
        <v>5305</v>
      </c>
      <c r="J738" s="971">
        <v>3120</v>
      </c>
      <c r="K738" s="970">
        <v>109</v>
      </c>
      <c r="L738" s="972">
        <f t="shared" si="22"/>
        <v>9793</v>
      </c>
      <c r="M738" s="970"/>
      <c r="N738" s="971">
        <v>618</v>
      </c>
      <c r="O738" s="971">
        <v>0</v>
      </c>
      <c r="P738" s="970">
        <v>5220</v>
      </c>
      <c r="Q738" s="972">
        <f t="shared" si="23"/>
        <v>5838</v>
      </c>
      <c r="R738" s="970"/>
      <c r="S738" s="971">
        <v>7362</v>
      </c>
      <c r="T738" s="973">
        <v>-2611</v>
      </c>
      <c r="U738" s="973">
        <v>4751</v>
      </c>
    </row>
    <row r="739" spans="1:21" x14ac:dyDescent="0.25">
      <c r="A739" s="967">
        <v>98031</v>
      </c>
      <c r="B739" s="968" t="s">
        <v>3376</v>
      </c>
      <c r="C739" s="969">
        <v>1.537E-4</v>
      </c>
      <c r="D739" s="969">
        <v>1.5530000000000001E-4</v>
      </c>
      <c r="E739" s="986">
        <v>67740</v>
      </c>
      <c r="F739" s="970">
        <v>234811</v>
      </c>
      <c r="G739" s="970"/>
      <c r="H739" s="971">
        <v>13527</v>
      </c>
      <c r="I739" s="972">
        <v>57012</v>
      </c>
      <c r="J739" s="971">
        <v>33534</v>
      </c>
      <c r="K739" s="970">
        <v>4651</v>
      </c>
      <c r="L739" s="972">
        <f t="shared" si="22"/>
        <v>108724</v>
      </c>
      <c r="M739" s="970"/>
      <c r="N739" s="971">
        <v>6647</v>
      </c>
      <c r="O739" s="971">
        <v>0</v>
      </c>
      <c r="P739" s="970">
        <v>9184</v>
      </c>
      <c r="Q739" s="972">
        <f t="shared" si="23"/>
        <v>15831</v>
      </c>
      <c r="R739" s="970"/>
      <c r="S739" s="971">
        <v>79132</v>
      </c>
      <c r="T739" s="973">
        <v>-1401</v>
      </c>
      <c r="U739" s="973">
        <f>77730+1</f>
        <v>77731</v>
      </c>
    </row>
    <row r="740" spans="1:21" x14ac:dyDescent="0.25">
      <c r="A740" s="967">
        <v>98041</v>
      </c>
      <c r="B740" s="968" t="s">
        <v>3377</v>
      </c>
      <c r="C740" s="969">
        <v>1.9230000000000001E-4</v>
      </c>
      <c r="D740" s="969">
        <v>1.6559999999999999E-4</v>
      </c>
      <c r="E740" s="986">
        <v>80474</v>
      </c>
      <c r="F740" s="970">
        <v>293781</v>
      </c>
      <c r="G740" s="970"/>
      <c r="H740" s="971">
        <v>16925</v>
      </c>
      <c r="I740" s="972">
        <v>71330</v>
      </c>
      <c r="J740" s="971">
        <v>41956</v>
      </c>
      <c r="K740" s="970">
        <v>17154</v>
      </c>
      <c r="L740" s="972">
        <f t="shared" si="22"/>
        <v>147365</v>
      </c>
      <c r="M740" s="970"/>
      <c r="N740" s="971">
        <v>8316</v>
      </c>
      <c r="O740" s="971">
        <v>0</v>
      </c>
      <c r="P740" s="970">
        <v>5779</v>
      </c>
      <c r="Q740" s="972">
        <f t="shared" si="23"/>
        <v>14095</v>
      </c>
      <c r="R740" s="970"/>
      <c r="S740" s="971">
        <v>99005</v>
      </c>
      <c r="T740" s="973">
        <v>943</v>
      </c>
      <c r="U740" s="973">
        <v>99948</v>
      </c>
    </row>
    <row r="741" spans="1:21" x14ac:dyDescent="0.25">
      <c r="A741" s="967">
        <v>98051</v>
      </c>
      <c r="B741" s="968" t="s">
        <v>3378</v>
      </c>
      <c r="C741" s="969">
        <v>2.8019999999999998E-4</v>
      </c>
      <c r="D741" s="969">
        <v>3.0019999999999998E-4</v>
      </c>
      <c r="E741" s="986">
        <v>136145</v>
      </c>
      <c r="F741" s="970">
        <v>428068</v>
      </c>
      <c r="G741" s="970"/>
      <c r="H741" s="971">
        <v>24661</v>
      </c>
      <c r="I741" s="972">
        <v>103936</v>
      </c>
      <c r="J741" s="971">
        <v>61134</v>
      </c>
      <c r="K741" s="970">
        <v>21691</v>
      </c>
      <c r="L741" s="972">
        <f t="shared" si="22"/>
        <v>211422</v>
      </c>
      <c r="M741" s="970"/>
      <c r="N741" s="971">
        <v>12117</v>
      </c>
      <c r="O741" s="971">
        <v>0</v>
      </c>
      <c r="P741" s="970">
        <v>7516</v>
      </c>
      <c r="Q741" s="972">
        <f t="shared" si="23"/>
        <v>19633</v>
      </c>
      <c r="R741" s="970"/>
      <c r="S741" s="971">
        <v>144259</v>
      </c>
      <c r="T741" s="973">
        <v>7566</v>
      </c>
      <c r="U741" s="973">
        <v>151825</v>
      </c>
    </row>
    <row r="742" spans="1:21" x14ac:dyDescent="0.25">
      <c r="A742" s="967">
        <v>98061</v>
      </c>
      <c r="B742" s="968" t="s">
        <v>3379</v>
      </c>
      <c r="C742" s="969">
        <v>1.0670000000000001E-4</v>
      </c>
      <c r="D742" s="969">
        <v>9.9099999999999996E-5</v>
      </c>
      <c r="E742" s="986">
        <v>47390</v>
      </c>
      <c r="F742" s="970">
        <v>163008</v>
      </c>
      <c r="G742" s="970"/>
      <c r="H742" s="971">
        <v>9391</v>
      </c>
      <c r="I742" s="972">
        <v>39579</v>
      </c>
      <c r="J742" s="971">
        <v>23280</v>
      </c>
      <c r="K742" s="970">
        <v>3820</v>
      </c>
      <c r="L742" s="972">
        <f t="shared" si="22"/>
        <v>76070</v>
      </c>
      <c r="M742" s="970"/>
      <c r="N742" s="971">
        <v>4614</v>
      </c>
      <c r="O742" s="971">
        <v>0</v>
      </c>
      <c r="P742" s="970">
        <v>17433</v>
      </c>
      <c r="Q742" s="972">
        <f t="shared" si="23"/>
        <v>22047</v>
      </c>
      <c r="R742" s="970"/>
      <c r="S742" s="971">
        <v>54934</v>
      </c>
      <c r="T742" s="973">
        <v>-6260</v>
      </c>
      <c r="U742" s="973">
        <v>48674</v>
      </c>
    </row>
    <row r="743" spans="1:21" x14ac:dyDescent="0.25">
      <c r="A743" s="967">
        <v>98071</v>
      </c>
      <c r="B743" s="968" t="s">
        <v>3380</v>
      </c>
      <c r="C743" s="969">
        <v>4.0099999999999999E-5</v>
      </c>
      <c r="D743" s="969">
        <v>3.4400000000000003E-5</v>
      </c>
      <c r="E743" s="986">
        <v>28233</v>
      </c>
      <c r="F743" s="970">
        <v>61262</v>
      </c>
      <c r="G743" s="970"/>
      <c r="H743" s="971">
        <v>3529</v>
      </c>
      <c r="I743" s="972">
        <v>14874</v>
      </c>
      <c r="J743" s="971">
        <v>8749</v>
      </c>
      <c r="K743" s="970">
        <v>18505</v>
      </c>
      <c r="L743" s="972">
        <f t="shared" si="22"/>
        <v>45657</v>
      </c>
      <c r="M743" s="970"/>
      <c r="N743" s="971">
        <v>1734</v>
      </c>
      <c r="O743" s="971">
        <v>0</v>
      </c>
      <c r="P743" s="970">
        <v>1200</v>
      </c>
      <c r="Q743" s="972">
        <f t="shared" si="23"/>
        <v>2934</v>
      </c>
      <c r="R743" s="970"/>
      <c r="S743" s="971">
        <v>20645</v>
      </c>
      <c r="T743" s="973">
        <v>4654</v>
      </c>
      <c r="U743" s="973">
        <v>25299</v>
      </c>
    </row>
    <row r="744" spans="1:21" x14ac:dyDescent="0.25">
      <c r="A744" s="967">
        <v>98081</v>
      </c>
      <c r="B744" s="968" t="s">
        <v>3381</v>
      </c>
      <c r="C744" s="969">
        <v>1.8300000000000001E-5</v>
      </c>
      <c r="D744" s="969">
        <v>1.9400000000000001E-5</v>
      </c>
      <c r="E744" s="986">
        <v>7556</v>
      </c>
      <c r="F744" s="970">
        <v>27957</v>
      </c>
      <c r="G744" s="970"/>
      <c r="H744" s="971">
        <v>1611</v>
      </c>
      <c r="I744" s="972">
        <v>6788</v>
      </c>
      <c r="J744" s="971">
        <v>3993</v>
      </c>
      <c r="K744" s="970">
        <v>0</v>
      </c>
      <c r="L744" s="972">
        <f t="shared" si="22"/>
        <v>12392</v>
      </c>
      <c r="M744" s="970"/>
      <c r="N744" s="971">
        <v>791</v>
      </c>
      <c r="O744" s="971">
        <v>0</v>
      </c>
      <c r="P744" s="970">
        <v>4207</v>
      </c>
      <c r="Q744" s="972">
        <f t="shared" si="23"/>
        <v>4998</v>
      </c>
      <c r="R744" s="970"/>
      <c r="S744" s="971">
        <v>9422</v>
      </c>
      <c r="T744" s="973">
        <v>-1896</v>
      </c>
      <c r="U744" s="973">
        <v>7526</v>
      </c>
    </row>
    <row r="745" spans="1:21" x14ac:dyDescent="0.25">
      <c r="A745" s="967">
        <v>98091</v>
      </c>
      <c r="B745" s="968" t="s">
        <v>3382</v>
      </c>
      <c r="C745" s="969">
        <v>4.7500000000000003E-5</v>
      </c>
      <c r="D745" s="969">
        <v>5.0899999999999997E-5</v>
      </c>
      <c r="E745" s="986">
        <v>25241</v>
      </c>
      <c r="F745" s="970">
        <v>72567</v>
      </c>
      <c r="G745" s="970"/>
      <c r="H745" s="971">
        <v>4181</v>
      </c>
      <c r="I745" s="972">
        <v>17619</v>
      </c>
      <c r="J745" s="971">
        <v>10364</v>
      </c>
      <c r="K745" s="970">
        <v>1261</v>
      </c>
      <c r="L745" s="972">
        <f t="shared" si="22"/>
        <v>33425</v>
      </c>
      <c r="M745" s="970"/>
      <c r="N745" s="971">
        <v>2054</v>
      </c>
      <c r="O745" s="971">
        <v>0</v>
      </c>
      <c r="P745" s="970">
        <v>807</v>
      </c>
      <c r="Q745" s="972">
        <f t="shared" si="23"/>
        <v>2861</v>
      </c>
      <c r="R745" s="970"/>
      <c r="S745" s="971">
        <v>24455</v>
      </c>
      <c r="T745" s="973">
        <v>-295</v>
      </c>
      <c r="U745" s="973">
        <v>24160</v>
      </c>
    </row>
    <row r="746" spans="1:21" x14ac:dyDescent="0.25">
      <c r="A746" s="967">
        <v>98101</v>
      </c>
      <c r="B746" s="968" t="s">
        <v>3383</v>
      </c>
      <c r="C746" s="969">
        <v>2.8706999999999999E-3</v>
      </c>
      <c r="D746" s="969">
        <v>2.7642999999999999E-3</v>
      </c>
      <c r="E746" s="986">
        <v>1210234</v>
      </c>
      <c r="F746" s="970">
        <v>4385634</v>
      </c>
      <c r="G746" s="970"/>
      <c r="H746" s="971">
        <v>252653</v>
      </c>
      <c r="I746" s="972">
        <v>1064838</v>
      </c>
      <c r="J746" s="971">
        <v>626329</v>
      </c>
      <c r="K746" s="970">
        <v>37308</v>
      </c>
      <c r="L746" s="972">
        <f t="shared" si="22"/>
        <v>1981128</v>
      </c>
      <c r="M746" s="970"/>
      <c r="N746" s="971">
        <v>124143</v>
      </c>
      <c r="O746" s="971">
        <v>0</v>
      </c>
      <c r="P746" s="970">
        <v>32438</v>
      </c>
      <c r="Q746" s="972">
        <f t="shared" si="23"/>
        <v>156581</v>
      </c>
      <c r="R746" s="970"/>
      <c r="S746" s="971">
        <v>1477963</v>
      </c>
      <c r="T746" s="973">
        <v>14286</v>
      </c>
      <c r="U746" s="973">
        <f>1492248+1</f>
        <v>1492249</v>
      </c>
    </row>
    <row r="747" spans="1:21" x14ac:dyDescent="0.25">
      <c r="A747" s="967">
        <v>98102</v>
      </c>
      <c r="B747" s="968" t="s">
        <v>3384</v>
      </c>
      <c r="C747" s="969">
        <v>1.5809999999999999E-4</v>
      </c>
      <c r="D747" s="969">
        <v>1.683E-4</v>
      </c>
      <c r="E747" s="986">
        <v>71621</v>
      </c>
      <c r="F747" s="970">
        <v>241533</v>
      </c>
      <c r="G747" s="970"/>
      <c r="H747" s="971">
        <v>13915</v>
      </c>
      <c r="I747" s="972">
        <v>58644</v>
      </c>
      <c r="J747" s="971">
        <v>34494</v>
      </c>
      <c r="K747" s="970">
        <v>0</v>
      </c>
      <c r="L747" s="972">
        <f t="shared" si="22"/>
        <v>107053</v>
      </c>
      <c r="M747" s="970"/>
      <c r="N747" s="971">
        <v>6837</v>
      </c>
      <c r="O747" s="971">
        <v>0</v>
      </c>
      <c r="P747" s="970">
        <v>14329</v>
      </c>
      <c r="Q747" s="972">
        <f t="shared" si="23"/>
        <v>21166</v>
      </c>
      <c r="R747" s="970"/>
      <c r="S747" s="971">
        <v>81397</v>
      </c>
      <c r="T747" s="973">
        <v>-5584</v>
      </c>
      <c r="U747" s="973">
        <v>75813</v>
      </c>
    </row>
    <row r="748" spans="1:21" x14ac:dyDescent="0.25">
      <c r="A748" s="967">
        <v>98103</v>
      </c>
      <c r="B748" s="968" t="s">
        <v>3385</v>
      </c>
      <c r="C748" s="969">
        <v>5.4410000000000005E-4</v>
      </c>
      <c r="D748" s="969">
        <v>5.3600000000000002E-4</v>
      </c>
      <c r="E748" s="986">
        <v>255161</v>
      </c>
      <c r="F748" s="970">
        <v>831234</v>
      </c>
      <c r="G748" s="970"/>
      <c r="H748" s="971">
        <v>47887</v>
      </c>
      <c r="I748" s="972">
        <v>201824</v>
      </c>
      <c r="J748" s="971">
        <v>118712</v>
      </c>
      <c r="K748" s="970">
        <v>9730</v>
      </c>
      <c r="L748" s="972">
        <f t="shared" si="22"/>
        <v>378153</v>
      </c>
      <c r="M748" s="970"/>
      <c r="N748" s="971">
        <v>23530</v>
      </c>
      <c r="O748" s="971">
        <v>0</v>
      </c>
      <c r="P748" s="970">
        <v>27055</v>
      </c>
      <c r="Q748" s="972">
        <f t="shared" si="23"/>
        <v>50585</v>
      </c>
      <c r="R748" s="970"/>
      <c r="S748" s="971">
        <v>280127</v>
      </c>
      <c r="T748" s="973">
        <v>-17051</v>
      </c>
      <c r="U748" s="973">
        <v>263076</v>
      </c>
    </row>
    <row r="749" spans="1:21" x14ac:dyDescent="0.25">
      <c r="A749" s="967">
        <v>98107</v>
      </c>
      <c r="B749" s="968" t="s">
        <v>3386</v>
      </c>
      <c r="C749" s="969">
        <v>1.08E-5</v>
      </c>
      <c r="D749" s="969">
        <v>1.08E-5</v>
      </c>
      <c r="E749" s="986">
        <v>9242</v>
      </c>
      <c r="F749" s="970">
        <v>16499</v>
      </c>
      <c r="G749" s="970"/>
      <c r="H749" s="971">
        <v>951</v>
      </c>
      <c r="I749" s="972">
        <v>4006</v>
      </c>
      <c r="J749" s="971">
        <v>2356</v>
      </c>
      <c r="K749" s="970">
        <v>8237</v>
      </c>
      <c r="L749" s="972">
        <f t="shared" si="22"/>
        <v>15550</v>
      </c>
      <c r="M749" s="970"/>
      <c r="N749" s="971">
        <v>467</v>
      </c>
      <c r="O749" s="971">
        <v>0</v>
      </c>
      <c r="P749" s="970">
        <v>0</v>
      </c>
      <c r="Q749" s="972">
        <f t="shared" si="23"/>
        <v>467</v>
      </c>
      <c r="R749" s="970"/>
      <c r="S749" s="971">
        <v>5560</v>
      </c>
      <c r="T749" s="973">
        <v>3467</v>
      </c>
      <c r="U749" s="973">
        <v>9027</v>
      </c>
    </row>
    <row r="750" spans="1:21" x14ac:dyDescent="0.25">
      <c r="A750" s="967">
        <v>98109</v>
      </c>
      <c r="B750" s="968" t="s">
        <v>3387</v>
      </c>
      <c r="C750" s="969">
        <v>1.573E-4</v>
      </c>
      <c r="D750" s="969">
        <v>1.4660000000000001E-4</v>
      </c>
      <c r="E750" s="986">
        <v>76016</v>
      </c>
      <c r="F750" s="970">
        <v>240311</v>
      </c>
      <c r="G750" s="970"/>
      <c r="H750" s="971">
        <v>13844</v>
      </c>
      <c r="I750" s="972">
        <v>58348</v>
      </c>
      <c r="J750" s="971">
        <v>34320</v>
      </c>
      <c r="K750" s="970">
        <v>12163</v>
      </c>
      <c r="L750" s="972">
        <f t="shared" si="22"/>
        <v>118675</v>
      </c>
      <c r="M750" s="970"/>
      <c r="N750" s="971">
        <v>6802</v>
      </c>
      <c r="O750" s="971">
        <v>0</v>
      </c>
      <c r="P750" s="970">
        <v>24551</v>
      </c>
      <c r="Q750" s="972">
        <f t="shared" si="23"/>
        <v>31353</v>
      </c>
      <c r="R750" s="970"/>
      <c r="S750" s="971">
        <v>80985</v>
      </c>
      <c r="T750" s="973">
        <v>-7590</v>
      </c>
      <c r="U750" s="973">
        <v>73395</v>
      </c>
    </row>
    <row r="751" spans="1:21" x14ac:dyDescent="0.25">
      <c r="A751" s="967">
        <v>98111</v>
      </c>
      <c r="B751" s="968" t="s">
        <v>3388</v>
      </c>
      <c r="C751" s="969">
        <v>1.0143000000000001E-3</v>
      </c>
      <c r="D751" s="969">
        <v>1.0191E-3</v>
      </c>
      <c r="E751" s="986">
        <v>432530</v>
      </c>
      <c r="F751" s="970">
        <v>1549569</v>
      </c>
      <c r="G751" s="970"/>
      <c r="H751" s="971">
        <v>89270</v>
      </c>
      <c r="I751" s="972">
        <v>376238</v>
      </c>
      <c r="J751" s="971">
        <v>221300</v>
      </c>
      <c r="K751" s="970">
        <v>0</v>
      </c>
      <c r="L751" s="972">
        <f t="shared" si="22"/>
        <v>686808</v>
      </c>
      <c r="M751" s="970"/>
      <c r="N751" s="971">
        <v>43863</v>
      </c>
      <c r="O751" s="971">
        <v>0</v>
      </c>
      <c r="P751" s="970">
        <v>66610</v>
      </c>
      <c r="Q751" s="972">
        <f t="shared" si="23"/>
        <v>110473</v>
      </c>
      <c r="R751" s="970"/>
      <c r="S751" s="971">
        <v>522206</v>
      </c>
      <c r="T751" s="973">
        <v>-21506</v>
      </c>
      <c r="U751" s="973">
        <v>500700</v>
      </c>
    </row>
    <row r="752" spans="1:21" x14ac:dyDescent="0.25">
      <c r="A752" s="967">
        <v>98113</v>
      </c>
      <c r="B752" s="968" t="s">
        <v>3389</v>
      </c>
      <c r="C752" s="969">
        <v>4.6199999999999998E-5</v>
      </c>
      <c r="D752" s="969">
        <v>3.8999999999999999E-5</v>
      </c>
      <c r="E752" s="986">
        <v>23492</v>
      </c>
      <c r="F752" s="970">
        <v>70581</v>
      </c>
      <c r="G752" s="970"/>
      <c r="H752" s="971">
        <v>4066</v>
      </c>
      <c r="I752" s="972">
        <v>17137</v>
      </c>
      <c r="J752" s="971">
        <v>10080</v>
      </c>
      <c r="K752" s="970">
        <v>11739</v>
      </c>
      <c r="L752" s="972">
        <f t="shared" si="22"/>
        <v>43022</v>
      </c>
      <c r="M752" s="970"/>
      <c r="N752" s="971">
        <v>1998</v>
      </c>
      <c r="O752" s="971">
        <v>0</v>
      </c>
      <c r="P752" s="970">
        <v>0</v>
      </c>
      <c r="Q752" s="972">
        <f t="shared" si="23"/>
        <v>1998</v>
      </c>
      <c r="R752" s="970"/>
      <c r="S752" s="971">
        <v>23786</v>
      </c>
      <c r="T752" s="973">
        <v>4647</v>
      </c>
      <c r="U752" s="973">
        <f>28432+1</f>
        <v>28433</v>
      </c>
    </row>
    <row r="753" spans="1:21" x14ac:dyDescent="0.25">
      <c r="A753" s="967">
        <v>98121</v>
      </c>
      <c r="B753" s="968" t="s">
        <v>3390</v>
      </c>
      <c r="C753" s="969">
        <v>2.0100000000000001E-4</v>
      </c>
      <c r="D753" s="969">
        <v>2.2910000000000001E-4</v>
      </c>
      <c r="E753" s="986">
        <v>89370</v>
      </c>
      <c r="F753" s="970">
        <v>307072</v>
      </c>
      <c r="G753" s="970"/>
      <c r="H753" s="971">
        <v>17690</v>
      </c>
      <c r="I753" s="972">
        <v>74558</v>
      </c>
      <c r="J753" s="971">
        <v>43854</v>
      </c>
      <c r="K753" s="970">
        <v>2134</v>
      </c>
      <c r="L753" s="972">
        <f t="shared" si="22"/>
        <v>138236</v>
      </c>
      <c r="M753" s="970"/>
      <c r="N753" s="971">
        <v>8692</v>
      </c>
      <c r="O753" s="971">
        <v>0</v>
      </c>
      <c r="P753" s="970">
        <v>25239</v>
      </c>
      <c r="Q753" s="972">
        <f t="shared" si="23"/>
        <v>33931</v>
      </c>
      <c r="R753" s="970"/>
      <c r="S753" s="971">
        <v>103484</v>
      </c>
      <c r="T753" s="973">
        <v>-5712</v>
      </c>
      <c r="U753" s="973">
        <f>97771+1</f>
        <v>97772</v>
      </c>
    </row>
    <row r="754" spans="1:21" x14ac:dyDescent="0.25">
      <c r="A754" s="967">
        <v>98131</v>
      </c>
      <c r="B754" s="968" t="s">
        <v>3391</v>
      </c>
      <c r="C754" s="969">
        <v>2.5230000000000001E-4</v>
      </c>
      <c r="D754" s="969">
        <v>2.9569999999999998E-4</v>
      </c>
      <c r="E754" s="986">
        <v>119697</v>
      </c>
      <c r="F754" s="970">
        <v>385445</v>
      </c>
      <c r="G754" s="970"/>
      <c r="H754" s="971">
        <v>22205</v>
      </c>
      <c r="I754" s="972">
        <v>93586</v>
      </c>
      <c r="J754" s="971">
        <v>55047</v>
      </c>
      <c r="K754" s="970">
        <v>0</v>
      </c>
      <c r="L754" s="972">
        <f t="shared" si="22"/>
        <v>170838</v>
      </c>
      <c r="M754" s="970"/>
      <c r="N754" s="971">
        <v>10911</v>
      </c>
      <c r="O754" s="971">
        <v>0</v>
      </c>
      <c r="P754" s="970">
        <v>53749</v>
      </c>
      <c r="Q754" s="972">
        <f t="shared" si="23"/>
        <v>64660</v>
      </c>
      <c r="R754" s="970"/>
      <c r="S754" s="971">
        <v>129895</v>
      </c>
      <c r="T754" s="973">
        <v>-23653</v>
      </c>
      <c r="U754" s="973">
        <v>106242</v>
      </c>
    </row>
    <row r="755" spans="1:21" x14ac:dyDescent="0.25">
      <c r="A755" s="967">
        <v>98141</v>
      </c>
      <c r="B755" s="968" t="s">
        <v>3392</v>
      </c>
      <c r="C755" s="969">
        <v>3.0360000000000001E-4</v>
      </c>
      <c r="D755" s="969">
        <v>2.9030000000000001E-4</v>
      </c>
      <c r="E755" s="986">
        <v>133558</v>
      </c>
      <c r="F755" s="970">
        <v>463817</v>
      </c>
      <c r="G755" s="970"/>
      <c r="H755" s="971">
        <v>26720</v>
      </c>
      <c r="I755" s="972">
        <v>112616</v>
      </c>
      <c r="J755" s="971">
        <v>66239</v>
      </c>
      <c r="K755" s="970">
        <v>5226</v>
      </c>
      <c r="L755" s="972">
        <f t="shared" si="22"/>
        <v>210801</v>
      </c>
      <c r="M755" s="970"/>
      <c r="N755" s="971">
        <v>13129</v>
      </c>
      <c r="O755" s="971">
        <v>0</v>
      </c>
      <c r="P755" s="970">
        <v>22375</v>
      </c>
      <c r="Q755" s="972">
        <f t="shared" si="23"/>
        <v>35504</v>
      </c>
      <c r="R755" s="970"/>
      <c r="S755" s="971">
        <v>156307</v>
      </c>
      <c r="T755" s="973">
        <v>-11630</v>
      </c>
      <c r="U755" s="973">
        <v>144677</v>
      </c>
    </row>
    <row r="756" spans="1:21" x14ac:dyDescent="0.25">
      <c r="A756" s="967">
        <v>98147</v>
      </c>
      <c r="B756" s="968" t="s">
        <v>3393</v>
      </c>
      <c r="C756" s="969">
        <v>1.29E-5</v>
      </c>
      <c r="D756" s="969">
        <v>1.29E-5</v>
      </c>
      <c r="E756" s="986">
        <v>9893</v>
      </c>
      <c r="F756" s="970">
        <v>19708</v>
      </c>
      <c r="G756" s="970"/>
      <c r="H756" s="971">
        <v>1135</v>
      </c>
      <c r="I756" s="972">
        <v>4785</v>
      </c>
      <c r="J756" s="971">
        <v>2815</v>
      </c>
      <c r="K756" s="970">
        <v>8231</v>
      </c>
      <c r="L756" s="972">
        <f t="shared" si="22"/>
        <v>16966</v>
      </c>
      <c r="M756" s="970"/>
      <c r="N756" s="971">
        <v>558</v>
      </c>
      <c r="O756" s="971">
        <v>0</v>
      </c>
      <c r="P756" s="970">
        <v>0</v>
      </c>
      <c r="Q756" s="972">
        <f t="shared" si="23"/>
        <v>558</v>
      </c>
      <c r="R756" s="970"/>
      <c r="S756" s="971">
        <v>6641</v>
      </c>
      <c r="T756" s="973">
        <v>3295</v>
      </c>
      <c r="U756" s="973">
        <f>9937-1</f>
        <v>9936</v>
      </c>
    </row>
    <row r="757" spans="1:21" x14ac:dyDescent="0.25">
      <c r="A757" s="967">
        <v>98161</v>
      </c>
      <c r="B757" s="968" t="s">
        <v>3394</v>
      </c>
      <c r="C757" s="969">
        <v>7.3000000000000004E-6</v>
      </c>
      <c r="D757" s="969">
        <v>7.4000000000000003E-6</v>
      </c>
      <c r="E757" s="986">
        <v>5046</v>
      </c>
      <c r="F757" s="970">
        <v>11152</v>
      </c>
      <c r="G757" s="970"/>
      <c r="H757" s="971">
        <v>642</v>
      </c>
      <c r="I757" s="972">
        <v>2708</v>
      </c>
      <c r="J757" s="971">
        <v>1593</v>
      </c>
      <c r="K757" s="970">
        <v>2689</v>
      </c>
      <c r="L757" s="972">
        <f t="shared" si="22"/>
        <v>7632</v>
      </c>
      <c r="M757" s="970"/>
      <c r="N757" s="971">
        <v>316</v>
      </c>
      <c r="O757" s="971">
        <v>0</v>
      </c>
      <c r="P757" s="970">
        <v>0</v>
      </c>
      <c r="Q757" s="972">
        <f t="shared" si="23"/>
        <v>316</v>
      </c>
      <c r="R757" s="970"/>
      <c r="S757" s="971">
        <v>3758</v>
      </c>
      <c r="T757" s="973">
        <v>1075</v>
      </c>
      <c r="U757" s="973">
        <v>4833</v>
      </c>
    </row>
    <row r="758" spans="1:21" x14ac:dyDescent="0.25">
      <c r="A758" s="967">
        <v>98201</v>
      </c>
      <c r="B758" s="968" t="s">
        <v>3395</v>
      </c>
      <c r="C758" s="969">
        <v>3.1664000000000002E-3</v>
      </c>
      <c r="D758" s="969">
        <v>3.0368999999999999E-3</v>
      </c>
      <c r="E758" s="986">
        <v>1424604</v>
      </c>
      <c r="F758" s="970">
        <v>4837382</v>
      </c>
      <c r="G758" s="970"/>
      <c r="H758" s="971">
        <v>278678</v>
      </c>
      <c r="I758" s="972">
        <v>1174522</v>
      </c>
      <c r="J758" s="971">
        <v>690845</v>
      </c>
      <c r="K758" s="970">
        <v>63594</v>
      </c>
      <c r="L758" s="972">
        <f t="shared" si="22"/>
        <v>2207639</v>
      </c>
      <c r="M758" s="970"/>
      <c r="N758" s="971">
        <v>136931</v>
      </c>
      <c r="O758" s="971">
        <v>0</v>
      </c>
      <c r="P758" s="970">
        <v>39608</v>
      </c>
      <c r="Q758" s="972">
        <f t="shared" si="23"/>
        <v>176539</v>
      </c>
      <c r="R758" s="970"/>
      <c r="S758" s="971">
        <v>1630202</v>
      </c>
      <c r="T758" s="973">
        <v>-5370</v>
      </c>
      <c r="U758" s="973">
        <v>1624832</v>
      </c>
    </row>
    <row r="759" spans="1:21" x14ac:dyDescent="0.25">
      <c r="A759" s="967">
        <v>98205</v>
      </c>
      <c r="B759" s="968" t="s">
        <v>3396</v>
      </c>
      <c r="C759" s="969">
        <v>4.6799999999999999E-5</v>
      </c>
      <c r="D759" s="969">
        <v>5.13E-5</v>
      </c>
      <c r="E759" s="986">
        <v>23505</v>
      </c>
      <c r="F759" s="970">
        <v>71497</v>
      </c>
      <c r="G759" s="970"/>
      <c r="H759" s="971">
        <v>4119</v>
      </c>
      <c r="I759" s="972">
        <v>17359</v>
      </c>
      <c r="J759" s="971">
        <v>10211</v>
      </c>
      <c r="K759" s="970">
        <v>1985</v>
      </c>
      <c r="L759" s="972">
        <f t="shared" si="22"/>
        <v>33674</v>
      </c>
      <c r="M759" s="970"/>
      <c r="N759" s="971">
        <v>2024</v>
      </c>
      <c r="O759" s="971">
        <v>0</v>
      </c>
      <c r="P759" s="970">
        <v>2510</v>
      </c>
      <c r="Q759" s="972">
        <f t="shared" si="23"/>
        <v>4534</v>
      </c>
      <c r="R759" s="970"/>
      <c r="S759" s="971">
        <v>24095</v>
      </c>
      <c r="T759" s="973">
        <v>-141</v>
      </c>
      <c r="U759" s="973">
        <f>23953+1</f>
        <v>23954</v>
      </c>
    </row>
    <row r="760" spans="1:21" x14ac:dyDescent="0.25">
      <c r="A760" s="967">
        <v>98211</v>
      </c>
      <c r="B760" s="968" t="s">
        <v>3397</v>
      </c>
      <c r="C760" s="969">
        <v>8.6689999999999998E-4</v>
      </c>
      <c r="D760" s="969">
        <v>9.1609999999999999E-4</v>
      </c>
      <c r="E760" s="986">
        <v>365218</v>
      </c>
      <c r="F760" s="970">
        <v>1324383</v>
      </c>
      <c r="G760" s="970"/>
      <c r="H760" s="971">
        <v>76297</v>
      </c>
      <c r="I760" s="972">
        <v>321561</v>
      </c>
      <c r="J760" s="971">
        <v>189140</v>
      </c>
      <c r="K760" s="970">
        <v>0</v>
      </c>
      <c r="L760" s="972">
        <f t="shared" si="22"/>
        <v>586998</v>
      </c>
      <c r="M760" s="970"/>
      <c r="N760" s="971">
        <v>37489</v>
      </c>
      <c r="O760" s="971">
        <v>0</v>
      </c>
      <c r="P760" s="970">
        <v>136830</v>
      </c>
      <c r="Q760" s="972">
        <f t="shared" si="23"/>
        <v>174319</v>
      </c>
      <c r="R760" s="970"/>
      <c r="S760" s="971">
        <v>446318</v>
      </c>
      <c r="T760" s="973">
        <v>-50136</v>
      </c>
      <c r="U760" s="973">
        <v>396182</v>
      </c>
    </row>
    <row r="761" spans="1:21" x14ac:dyDescent="0.25">
      <c r="A761" s="967">
        <v>98218</v>
      </c>
      <c r="B761" s="968" t="s">
        <v>3398</v>
      </c>
      <c r="C761" s="969">
        <v>1.3200000000000001E-5</v>
      </c>
      <c r="D761" s="969">
        <v>1.0200000000000001E-5</v>
      </c>
      <c r="E761" s="986">
        <v>5829</v>
      </c>
      <c r="F761" s="970">
        <v>20166</v>
      </c>
      <c r="G761" s="970"/>
      <c r="H761" s="971">
        <v>1162</v>
      </c>
      <c r="I761" s="972">
        <v>4896</v>
      </c>
      <c r="J761" s="971">
        <v>2880</v>
      </c>
      <c r="K761" s="970">
        <v>1827</v>
      </c>
      <c r="L761" s="972">
        <f t="shared" si="22"/>
        <v>10765</v>
      </c>
      <c r="M761" s="970"/>
      <c r="N761" s="971">
        <v>571</v>
      </c>
      <c r="O761" s="971">
        <v>0</v>
      </c>
      <c r="P761" s="970">
        <v>1072</v>
      </c>
      <c r="Q761" s="972">
        <f t="shared" si="23"/>
        <v>1643</v>
      </c>
      <c r="R761" s="970"/>
      <c r="S761" s="971">
        <v>6796</v>
      </c>
      <c r="T761" s="973">
        <v>-336</v>
      </c>
      <c r="U761" s="973">
        <v>6460</v>
      </c>
    </row>
    <row r="762" spans="1:21" x14ac:dyDescent="0.25">
      <c r="A762" s="967">
        <v>98221</v>
      </c>
      <c r="B762" s="968" t="s">
        <v>3399</v>
      </c>
      <c r="C762" s="969">
        <v>1.8899999999999999E-5</v>
      </c>
      <c r="D762" s="969">
        <v>1.6799999999999998E-5</v>
      </c>
      <c r="E762" s="986">
        <v>9739</v>
      </c>
      <c r="F762" s="970">
        <v>28874</v>
      </c>
      <c r="G762" s="970"/>
      <c r="H762" s="971">
        <v>1663</v>
      </c>
      <c r="I762" s="972">
        <v>7011</v>
      </c>
      <c r="J762" s="971">
        <v>4124</v>
      </c>
      <c r="K762" s="970">
        <v>4593</v>
      </c>
      <c r="L762" s="972">
        <f t="shared" si="22"/>
        <v>17391</v>
      </c>
      <c r="M762" s="970"/>
      <c r="N762" s="971">
        <v>817</v>
      </c>
      <c r="O762" s="971">
        <v>0</v>
      </c>
      <c r="P762" s="970">
        <v>0</v>
      </c>
      <c r="Q762" s="972">
        <f t="shared" si="23"/>
        <v>817</v>
      </c>
      <c r="R762" s="970"/>
      <c r="S762" s="971">
        <v>9731</v>
      </c>
      <c r="T762" s="973">
        <v>1469</v>
      </c>
      <c r="U762" s="973">
        <v>11200</v>
      </c>
    </row>
    <row r="763" spans="1:21" x14ac:dyDescent="0.25">
      <c r="A763" s="967">
        <v>98231</v>
      </c>
      <c r="B763" s="968" t="s">
        <v>3400</v>
      </c>
      <c r="C763" s="969">
        <v>2.2799999999999999E-5</v>
      </c>
      <c r="D763" s="969">
        <v>3.1999999999999999E-5</v>
      </c>
      <c r="E763" s="986">
        <v>11487</v>
      </c>
      <c r="F763" s="970">
        <v>34832</v>
      </c>
      <c r="G763" s="970"/>
      <c r="H763" s="971">
        <v>2007</v>
      </c>
      <c r="I763" s="972">
        <v>8457</v>
      </c>
      <c r="J763" s="971">
        <v>4975</v>
      </c>
      <c r="K763" s="970">
        <v>1705</v>
      </c>
      <c r="L763" s="972">
        <f t="shared" si="22"/>
        <v>17144</v>
      </c>
      <c r="M763" s="970"/>
      <c r="N763" s="971">
        <v>986</v>
      </c>
      <c r="O763" s="971">
        <v>0</v>
      </c>
      <c r="P763" s="970">
        <v>9632</v>
      </c>
      <c r="Q763" s="972">
        <f t="shared" si="23"/>
        <v>10618</v>
      </c>
      <c r="R763" s="970"/>
      <c r="S763" s="971">
        <v>11738</v>
      </c>
      <c r="T763" s="973">
        <v>-3592</v>
      </c>
      <c r="U763" s="973">
        <v>8146</v>
      </c>
    </row>
    <row r="764" spans="1:21" x14ac:dyDescent="0.25">
      <c r="A764" s="967">
        <v>98237</v>
      </c>
      <c r="B764" s="968" t="s">
        <v>3401</v>
      </c>
      <c r="C764" s="969">
        <v>5.9000000000000003E-6</v>
      </c>
      <c r="D764" s="969">
        <v>2.7E-6</v>
      </c>
      <c r="E764" s="986">
        <v>4385</v>
      </c>
      <c r="F764" s="970">
        <v>9014</v>
      </c>
      <c r="G764" s="970"/>
      <c r="H764" s="971">
        <v>519</v>
      </c>
      <c r="I764" s="972">
        <v>2188</v>
      </c>
      <c r="J764" s="971">
        <v>1287</v>
      </c>
      <c r="K764" s="970">
        <v>5034</v>
      </c>
      <c r="L764" s="972">
        <f t="shared" si="22"/>
        <v>9028</v>
      </c>
      <c r="M764" s="970"/>
      <c r="N764" s="971">
        <v>255</v>
      </c>
      <c r="O764" s="971">
        <v>0</v>
      </c>
      <c r="P764" s="970">
        <v>0</v>
      </c>
      <c r="Q764" s="972">
        <f t="shared" si="23"/>
        <v>255</v>
      </c>
      <c r="R764" s="970"/>
      <c r="S764" s="971">
        <v>3038</v>
      </c>
      <c r="T764" s="973">
        <v>1666</v>
      </c>
      <c r="U764" s="973">
        <v>4704</v>
      </c>
    </row>
    <row r="765" spans="1:21" x14ac:dyDescent="0.25">
      <c r="A765" s="967">
        <v>98241</v>
      </c>
      <c r="B765" s="968" t="s">
        <v>3402</v>
      </c>
      <c r="C765" s="969">
        <v>1.5099999999999999E-5</v>
      </c>
      <c r="D765" s="969">
        <v>1.98E-5</v>
      </c>
      <c r="E765" s="986">
        <v>8388</v>
      </c>
      <c r="F765" s="970">
        <v>23069</v>
      </c>
      <c r="G765" s="970"/>
      <c r="H765" s="971">
        <v>1329</v>
      </c>
      <c r="I765" s="972">
        <v>5602</v>
      </c>
      <c r="J765" s="971">
        <v>3295</v>
      </c>
      <c r="K765" s="970">
        <v>5512</v>
      </c>
      <c r="L765" s="972">
        <f t="shared" si="22"/>
        <v>15738</v>
      </c>
      <c r="M765" s="970"/>
      <c r="N765" s="971">
        <v>653</v>
      </c>
      <c r="O765" s="971">
        <v>0</v>
      </c>
      <c r="P765" s="970">
        <v>2200</v>
      </c>
      <c r="Q765" s="972">
        <f t="shared" si="23"/>
        <v>2853</v>
      </c>
      <c r="R765" s="970"/>
      <c r="S765" s="971">
        <v>7774</v>
      </c>
      <c r="T765" s="973">
        <v>2564</v>
      </c>
      <c r="U765" s="973">
        <f>10339-1</f>
        <v>10338</v>
      </c>
    </row>
    <row r="766" spans="1:21" x14ac:dyDescent="0.25">
      <c r="A766" s="967">
        <v>98251</v>
      </c>
      <c r="B766" s="968" t="s">
        <v>3403</v>
      </c>
      <c r="C766" s="969">
        <v>3.0000000000000001E-6</v>
      </c>
      <c r="D766" s="969">
        <v>3.1E-6</v>
      </c>
      <c r="E766" s="986">
        <v>2206</v>
      </c>
      <c r="F766" s="970">
        <v>4583</v>
      </c>
      <c r="G766" s="970"/>
      <c r="H766" s="971">
        <v>264</v>
      </c>
      <c r="I766" s="972">
        <v>1113</v>
      </c>
      <c r="J766" s="971">
        <v>655</v>
      </c>
      <c r="K766" s="970">
        <v>1375</v>
      </c>
      <c r="L766" s="972">
        <f t="shared" si="22"/>
        <v>3407</v>
      </c>
      <c r="M766" s="970"/>
      <c r="N766" s="971">
        <v>130</v>
      </c>
      <c r="O766" s="971">
        <v>0</v>
      </c>
      <c r="P766" s="970">
        <v>0</v>
      </c>
      <c r="Q766" s="972">
        <f t="shared" si="23"/>
        <v>130</v>
      </c>
      <c r="R766" s="970"/>
      <c r="S766" s="971">
        <v>1545</v>
      </c>
      <c r="T766" s="973">
        <v>561</v>
      </c>
      <c r="U766" s="973">
        <v>2106</v>
      </c>
    </row>
    <row r="767" spans="1:21" x14ac:dyDescent="0.25">
      <c r="A767" s="967">
        <v>98261</v>
      </c>
      <c r="B767" s="968" t="s">
        <v>3404</v>
      </c>
      <c r="C767" s="969">
        <v>3.3200000000000001E-5</v>
      </c>
      <c r="D767" s="969">
        <v>2.97E-5</v>
      </c>
      <c r="E767" s="986">
        <v>16865</v>
      </c>
      <c r="F767" s="970">
        <v>50720</v>
      </c>
      <c r="G767" s="970"/>
      <c r="H767" s="971">
        <v>2922</v>
      </c>
      <c r="I767" s="972">
        <v>12315</v>
      </c>
      <c r="J767" s="971">
        <v>7244</v>
      </c>
      <c r="K767" s="970">
        <v>6546</v>
      </c>
      <c r="L767" s="972">
        <f t="shared" si="22"/>
        <v>29027</v>
      </c>
      <c r="M767" s="970"/>
      <c r="N767" s="971">
        <v>1436</v>
      </c>
      <c r="O767" s="971">
        <v>0</v>
      </c>
      <c r="P767" s="970">
        <v>4922</v>
      </c>
      <c r="Q767" s="972">
        <f t="shared" si="23"/>
        <v>6358</v>
      </c>
      <c r="R767" s="970"/>
      <c r="S767" s="971">
        <v>17093</v>
      </c>
      <c r="T767" s="973">
        <v>793</v>
      </c>
      <c r="U767" s="973">
        <v>17886</v>
      </c>
    </row>
    <row r="768" spans="1:21" x14ac:dyDescent="0.25">
      <c r="A768" s="967">
        <v>98271</v>
      </c>
      <c r="B768" s="968" t="s">
        <v>3405</v>
      </c>
      <c r="C768" s="969">
        <v>5.1000000000000003E-6</v>
      </c>
      <c r="D768" s="969">
        <v>4.5000000000000001E-6</v>
      </c>
      <c r="E768" s="986">
        <v>2676</v>
      </c>
      <c r="F768" s="970">
        <v>7791</v>
      </c>
      <c r="G768" s="970"/>
      <c r="H768" s="971">
        <v>449</v>
      </c>
      <c r="I768" s="972">
        <v>1891</v>
      </c>
      <c r="J768" s="971">
        <v>1113</v>
      </c>
      <c r="K768" s="970">
        <v>3229</v>
      </c>
      <c r="L768" s="972">
        <f t="shared" si="22"/>
        <v>6682</v>
      </c>
      <c r="M768" s="970"/>
      <c r="N768" s="971">
        <v>221</v>
      </c>
      <c r="O768" s="971">
        <v>0</v>
      </c>
      <c r="P768" s="970">
        <v>0</v>
      </c>
      <c r="Q768" s="972">
        <f t="shared" si="23"/>
        <v>221</v>
      </c>
      <c r="R768" s="970"/>
      <c r="S768" s="971">
        <v>2626</v>
      </c>
      <c r="T768" s="973">
        <v>1560</v>
      </c>
      <c r="U768" s="973">
        <f>4185+1</f>
        <v>4186</v>
      </c>
    </row>
    <row r="769" spans="1:21" x14ac:dyDescent="0.25">
      <c r="A769" s="967">
        <v>98301</v>
      </c>
      <c r="B769" s="968" t="s">
        <v>3406</v>
      </c>
      <c r="C769" s="969">
        <v>1.7542E-3</v>
      </c>
      <c r="D769" s="969">
        <v>1.7776999999999999E-3</v>
      </c>
      <c r="E769" s="986">
        <v>825878</v>
      </c>
      <c r="F769" s="970">
        <v>2679932</v>
      </c>
      <c r="G769" s="970"/>
      <c r="H769" s="971">
        <v>154389</v>
      </c>
      <c r="I769" s="972">
        <v>650690</v>
      </c>
      <c r="J769" s="971">
        <v>382731</v>
      </c>
      <c r="K769" s="970">
        <v>51704</v>
      </c>
      <c r="L769" s="972">
        <f t="shared" si="22"/>
        <v>1239514</v>
      </c>
      <c r="M769" s="970"/>
      <c r="N769" s="971">
        <v>75860</v>
      </c>
      <c r="O769" s="971">
        <v>0</v>
      </c>
      <c r="P769" s="970">
        <v>7816</v>
      </c>
      <c r="Q769" s="972">
        <f t="shared" si="23"/>
        <v>83676</v>
      </c>
      <c r="R769" s="970"/>
      <c r="S769" s="971">
        <v>903139</v>
      </c>
      <c r="T769" s="973">
        <v>17344</v>
      </c>
      <c r="U769" s="973">
        <v>920483</v>
      </c>
    </row>
    <row r="770" spans="1:21" x14ac:dyDescent="0.25">
      <c r="A770" s="967">
        <v>98304</v>
      </c>
      <c r="B770" s="968" t="s">
        <v>3407</v>
      </c>
      <c r="C770" s="969">
        <v>2.0999999999999999E-5</v>
      </c>
      <c r="D770" s="969">
        <v>2.2900000000000001E-5</v>
      </c>
      <c r="E770" s="986">
        <v>12751</v>
      </c>
      <c r="F770" s="970">
        <v>32082</v>
      </c>
      <c r="G770" s="970"/>
      <c r="H770" s="971">
        <v>1848</v>
      </c>
      <c r="I770" s="972">
        <v>7790</v>
      </c>
      <c r="J770" s="971">
        <v>4582</v>
      </c>
      <c r="K770" s="970">
        <v>2290</v>
      </c>
      <c r="L770" s="972">
        <f t="shared" si="22"/>
        <v>16510</v>
      </c>
      <c r="M770" s="970"/>
      <c r="N770" s="971">
        <v>908</v>
      </c>
      <c r="O770" s="971">
        <v>0</v>
      </c>
      <c r="P770" s="970">
        <v>0</v>
      </c>
      <c r="Q770" s="972">
        <f t="shared" si="23"/>
        <v>908</v>
      </c>
      <c r="R770" s="970"/>
      <c r="S770" s="971">
        <v>10812</v>
      </c>
      <c r="T770" s="973">
        <v>818</v>
      </c>
      <c r="U770" s="973">
        <f>11629+1</f>
        <v>11630</v>
      </c>
    </row>
    <row r="771" spans="1:21" x14ac:dyDescent="0.25">
      <c r="A771" s="967">
        <v>98308</v>
      </c>
      <c r="B771" s="968" t="s">
        <v>3408</v>
      </c>
      <c r="C771" s="969">
        <v>2.37E-5</v>
      </c>
      <c r="D771" s="969">
        <v>2.55E-5</v>
      </c>
      <c r="E771" s="986">
        <v>15363</v>
      </c>
      <c r="F771" s="970">
        <v>36207</v>
      </c>
      <c r="G771" s="970"/>
      <c r="H771" s="971">
        <v>2086</v>
      </c>
      <c r="I771" s="972">
        <v>8791</v>
      </c>
      <c r="J771" s="971">
        <v>5171</v>
      </c>
      <c r="K771" s="970">
        <v>7272</v>
      </c>
      <c r="L771" s="972">
        <f t="shared" si="22"/>
        <v>23320</v>
      </c>
      <c r="M771" s="970"/>
      <c r="N771" s="971">
        <v>1025</v>
      </c>
      <c r="O771" s="971">
        <v>0</v>
      </c>
      <c r="P771" s="970">
        <v>0</v>
      </c>
      <c r="Q771" s="972">
        <f t="shared" si="23"/>
        <v>1025</v>
      </c>
      <c r="R771" s="970"/>
      <c r="S771" s="971">
        <v>12202</v>
      </c>
      <c r="T771" s="973">
        <v>3390</v>
      </c>
      <c r="U771" s="973">
        <v>15592</v>
      </c>
    </row>
    <row r="772" spans="1:21" x14ac:dyDescent="0.25">
      <c r="A772" s="967">
        <v>98311</v>
      </c>
      <c r="B772" s="968" t="s">
        <v>3409</v>
      </c>
      <c r="C772" s="969">
        <v>1.1536000000000001E-3</v>
      </c>
      <c r="D772" s="969">
        <v>1.1441999999999999E-3</v>
      </c>
      <c r="E772" s="986">
        <v>462217</v>
      </c>
      <c r="F772" s="970">
        <v>1762381</v>
      </c>
      <c r="G772" s="970"/>
      <c r="H772" s="971">
        <v>101529</v>
      </c>
      <c r="I772" s="972">
        <v>427908</v>
      </c>
      <c r="J772" s="971">
        <v>251692</v>
      </c>
      <c r="K772" s="970">
        <v>12653</v>
      </c>
      <c r="L772" s="972">
        <f t="shared" si="22"/>
        <v>793782</v>
      </c>
      <c r="M772" s="970"/>
      <c r="N772" s="971">
        <v>49887</v>
      </c>
      <c r="O772" s="971">
        <v>0</v>
      </c>
      <c r="P772" s="970">
        <v>98661</v>
      </c>
      <c r="Q772" s="972">
        <f t="shared" si="23"/>
        <v>148548</v>
      </c>
      <c r="R772" s="970"/>
      <c r="S772" s="971">
        <v>593924</v>
      </c>
      <c r="T772" s="973">
        <v>-18424</v>
      </c>
      <c r="U772" s="973">
        <f>575501-1</f>
        <v>575500</v>
      </c>
    </row>
    <row r="773" spans="1:21" x14ac:dyDescent="0.25">
      <c r="A773" s="967">
        <v>98313</v>
      </c>
      <c r="B773" s="968" t="s">
        <v>3410</v>
      </c>
      <c r="C773" s="969">
        <v>2.3560000000000001E-4</v>
      </c>
      <c r="D773" s="969">
        <v>2.4240000000000001E-4</v>
      </c>
      <c r="E773" s="986">
        <v>259158</v>
      </c>
      <c r="F773" s="970">
        <v>359932</v>
      </c>
      <c r="G773" s="970"/>
      <c r="H773" s="971">
        <v>20735</v>
      </c>
      <c r="I773" s="972">
        <v>87392</v>
      </c>
      <c r="J773" s="971">
        <v>51403</v>
      </c>
      <c r="K773" s="970">
        <v>233571</v>
      </c>
      <c r="L773" s="972">
        <f t="shared" si="22"/>
        <v>393101</v>
      </c>
      <c r="M773" s="970"/>
      <c r="N773" s="971">
        <v>10189</v>
      </c>
      <c r="O773" s="971">
        <v>0</v>
      </c>
      <c r="P773" s="970">
        <v>59</v>
      </c>
      <c r="Q773" s="972">
        <f t="shared" si="23"/>
        <v>10248</v>
      </c>
      <c r="R773" s="970"/>
      <c r="S773" s="971">
        <v>121297</v>
      </c>
      <c r="T773" s="973">
        <v>77966</v>
      </c>
      <c r="U773" s="973">
        <v>199263</v>
      </c>
    </row>
    <row r="774" spans="1:21" x14ac:dyDescent="0.25">
      <c r="A774" s="967">
        <v>98321</v>
      </c>
      <c r="B774" s="968" t="s">
        <v>3411</v>
      </c>
      <c r="C774" s="969">
        <v>2.05E-5</v>
      </c>
      <c r="D774" s="969">
        <v>2.1399999999999998E-5</v>
      </c>
      <c r="E774" s="986">
        <v>10270</v>
      </c>
      <c r="F774" s="970">
        <v>31318</v>
      </c>
      <c r="G774" s="970"/>
      <c r="H774" s="971">
        <v>1804</v>
      </c>
      <c r="I774" s="972">
        <v>7604</v>
      </c>
      <c r="J774" s="971">
        <v>4473</v>
      </c>
      <c r="K774" s="970">
        <v>1639</v>
      </c>
      <c r="L774" s="972">
        <f t="shared" si="22"/>
        <v>15520</v>
      </c>
      <c r="M774" s="970"/>
      <c r="N774" s="971">
        <v>887</v>
      </c>
      <c r="O774" s="971">
        <v>0</v>
      </c>
      <c r="P774" s="970">
        <v>3066</v>
      </c>
      <c r="Q774" s="972">
        <f t="shared" si="23"/>
        <v>3953</v>
      </c>
      <c r="R774" s="970"/>
      <c r="S774" s="971">
        <v>10554</v>
      </c>
      <c r="T774" s="973">
        <v>472</v>
      </c>
      <c r="U774" s="973">
        <v>11026</v>
      </c>
    </row>
    <row r="775" spans="1:21" x14ac:dyDescent="0.25">
      <c r="A775" s="967">
        <v>98331</v>
      </c>
      <c r="B775" s="968" t="s">
        <v>3412</v>
      </c>
      <c r="C775" s="969">
        <v>9.7999999999999993E-6</v>
      </c>
      <c r="D775" s="969">
        <v>1.03E-5</v>
      </c>
      <c r="E775" s="986">
        <v>6281</v>
      </c>
      <c r="F775" s="970">
        <v>14972</v>
      </c>
      <c r="G775" s="970"/>
      <c r="H775" s="971">
        <v>863</v>
      </c>
      <c r="I775" s="972">
        <v>3635</v>
      </c>
      <c r="J775" s="971">
        <v>2138</v>
      </c>
      <c r="K775" s="970">
        <v>3035</v>
      </c>
      <c r="L775" s="972">
        <f t="shared" ref="L775:L838" si="24">H775+I775+J775+K775</f>
        <v>9671</v>
      </c>
      <c r="M775" s="970"/>
      <c r="N775" s="971">
        <v>424</v>
      </c>
      <c r="O775" s="971">
        <v>0</v>
      </c>
      <c r="P775" s="970">
        <v>132</v>
      </c>
      <c r="Q775" s="972">
        <f t="shared" ref="Q775:Q838" si="25">N775+O775+P775</f>
        <v>556</v>
      </c>
      <c r="R775" s="970"/>
      <c r="S775" s="971">
        <v>5045</v>
      </c>
      <c r="T775" s="973">
        <v>972</v>
      </c>
      <c r="U775" s="973">
        <f>6018-1</f>
        <v>6017</v>
      </c>
    </row>
    <row r="776" spans="1:21" x14ac:dyDescent="0.25">
      <c r="A776" s="967">
        <v>98401</v>
      </c>
      <c r="B776" s="968" t="s">
        <v>3413</v>
      </c>
      <c r="C776" s="969">
        <v>2.7655000000000002E-3</v>
      </c>
      <c r="D776" s="969">
        <v>2.7567999999999998E-3</v>
      </c>
      <c r="E776" s="986">
        <v>1399311</v>
      </c>
      <c r="F776" s="970">
        <v>4224918</v>
      </c>
      <c r="G776" s="970"/>
      <c r="H776" s="971">
        <v>243394</v>
      </c>
      <c r="I776" s="972">
        <v>1025815</v>
      </c>
      <c r="J776" s="971">
        <v>603377</v>
      </c>
      <c r="K776" s="970">
        <v>168129</v>
      </c>
      <c r="L776" s="972">
        <f t="shared" si="24"/>
        <v>2040715</v>
      </c>
      <c r="M776" s="970"/>
      <c r="N776" s="971">
        <v>119594</v>
      </c>
      <c r="O776" s="971">
        <v>0</v>
      </c>
      <c r="P776" s="970">
        <v>6292</v>
      </c>
      <c r="Q776" s="972">
        <f t="shared" si="25"/>
        <v>125886</v>
      </c>
      <c r="R776" s="970"/>
      <c r="S776" s="971">
        <v>1423801</v>
      </c>
      <c r="T776" s="973">
        <v>58759</v>
      </c>
      <c r="U776" s="973">
        <v>1482560</v>
      </c>
    </row>
    <row r="777" spans="1:21" x14ac:dyDescent="0.25">
      <c r="A777" s="967">
        <v>98404</v>
      </c>
      <c r="B777" s="968" t="s">
        <v>3694</v>
      </c>
      <c r="C777" s="969">
        <v>1.52E-5</v>
      </c>
      <c r="D777" s="969">
        <v>0</v>
      </c>
      <c r="E777" s="986">
        <v>5852</v>
      </c>
      <c r="F777" s="970">
        <v>23221</v>
      </c>
      <c r="G777" s="970"/>
      <c r="H777" s="971">
        <v>1338</v>
      </c>
      <c r="I777" s="972">
        <v>5638</v>
      </c>
      <c r="J777" s="971">
        <v>3316</v>
      </c>
      <c r="K777" s="970">
        <v>9290</v>
      </c>
      <c r="L777" s="972">
        <f t="shared" si="24"/>
        <v>19582</v>
      </c>
      <c r="M777" s="970"/>
      <c r="N777" s="971">
        <v>657</v>
      </c>
      <c r="O777" s="971">
        <v>0</v>
      </c>
      <c r="P777" s="970">
        <v>0</v>
      </c>
      <c r="Q777" s="972">
        <f t="shared" si="25"/>
        <v>657</v>
      </c>
      <c r="R777" s="970"/>
      <c r="S777" s="971">
        <v>7826</v>
      </c>
      <c r="T777" s="973">
        <v>2323</v>
      </c>
      <c r="U777" s="973">
        <f>10148+1</f>
        <v>10149</v>
      </c>
    </row>
    <row r="778" spans="1:21" x14ac:dyDescent="0.25">
      <c r="A778" s="967">
        <v>98411</v>
      </c>
      <c r="B778" s="968" t="s">
        <v>3414</v>
      </c>
      <c r="C778" s="969">
        <v>1.9816E-3</v>
      </c>
      <c r="D778" s="969">
        <v>2.0076999999999998E-3</v>
      </c>
      <c r="E778" s="986">
        <v>869964</v>
      </c>
      <c r="F778" s="970">
        <v>3027336</v>
      </c>
      <c r="G778" s="970"/>
      <c r="H778" s="971">
        <v>174403</v>
      </c>
      <c r="I778" s="972">
        <v>735040</v>
      </c>
      <c r="J778" s="971">
        <v>432345</v>
      </c>
      <c r="K778" s="970">
        <v>3986</v>
      </c>
      <c r="L778" s="972">
        <f t="shared" si="24"/>
        <v>1345774</v>
      </c>
      <c r="M778" s="970"/>
      <c r="N778" s="971">
        <v>85694</v>
      </c>
      <c r="O778" s="971">
        <v>0</v>
      </c>
      <c r="P778" s="970">
        <v>73699</v>
      </c>
      <c r="Q778" s="972">
        <f t="shared" si="25"/>
        <v>159393</v>
      </c>
      <c r="R778" s="970"/>
      <c r="S778" s="971">
        <v>1020215</v>
      </c>
      <c r="T778" s="973">
        <v>-19116</v>
      </c>
      <c r="U778" s="973">
        <v>1001099</v>
      </c>
    </row>
    <row r="779" spans="1:21" x14ac:dyDescent="0.25">
      <c r="A779" s="967">
        <v>98414</v>
      </c>
      <c r="B779" s="968" t="s">
        <v>2654</v>
      </c>
      <c r="C779" s="975">
        <f>0.00283%+0.00102%</f>
        <v>3.8500000000000001E-5</v>
      </c>
      <c r="D779" s="969">
        <v>4.3600000000000003E-5</v>
      </c>
      <c r="E779" s="986">
        <v>7367</v>
      </c>
      <c r="F779" s="970">
        <f>43235+15583</f>
        <v>58818</v>
      </c>
      <c r="G779" s="970"/>
      <c r="H779" s="971">
        <f>2491+898</f>
        <v>3389</v>
      </c>
      <c r="I779" s="972">
        <v>14282</v>
      </c>
      <c r="J779" s="971">
        <f>6174+2225</f>
        <v>8399</v>
      </c>
      <c r="K779" s="970">
        <v>14474</v>
      </c>
      <c r="L779" s="972">
        <f t="shared" si="24"/>
        <v>40544</v>
      </c>
      <c r="M779" s="970"/>
      <c r="N779" s="971">
        <f>1224+441</f>
        <v>1665</v>
      </c>
      <c r="O779" s="971">
        <v>0</v>
      </c>
      <c r="P779" s="970">
        <f>0+24505</f>
        <v>24505</v>
      </c>
      <c r="Q779" s="972">
        <f t="shared" si="25"/>
        <v>26170</v>
      </c>
      <c r="R779" s="970"/>
      <c r="S779" s="971">
        <f>14570+5251</f>
        <v>19821</v>
      </c>
      <c r="T779" s="973">
        <f>3619-7460</f>
        <v>-3841</v>
      </c>
      <c r="U779" s="973">
        <f>18189-2209</f>
        <v>15980</v>
      </c>
    </row>
    <row r="780" spans="1:21" x14ac:dyDescent="0.25">
      <c r="A780" s="967">
        <v>98417</v>
      </c>
      <c r="B780" s="968" t="s">
        <v>3415</v>
      </c>
      <c r="C780" s="969">
        <v>2.2900000000000001E-5</v>
      </c>
      <c r="D780" s="969">
        <v>2.4899999999999999E-5</v>
      </c>
      <c r="E780" s="986">
        <v>14126</v>
      </c>
      <c r="F780" s="970">
        <v>34985</v>
      </c>
      <c r="G780" s="970"/>
      <c r="H780" s="971">
        <v>2015</v>
      </c>
      <c r="I780" s="972">
        <v>8494</v>
      </c>
      <c r="J780" s="971">
        <v>4996</v>
      </c>
      <c r="K780" s="970">
        <v>2511</v>
      </c>
      <c r="L780" s="972">
        <f t="shared" si="24"/>
        <v>18016</v>
      </c>
      <c r="M780" s="970"/>
      <c r="N780" s="971">
        <v>990</v>
      </c>
      <c r="O780" s="971">
        <v>0</v>
      </c>
      <c r="P780" s="970">
        <v>424</v>
      </c>
      <c r="Q780" s="972">
        <f t="shared" si="25"/>
        <v>1414</v>
      </c>
      <c r="R780" s="970"/>
      <c r="S780" s="971">
        <v>11790</v>
      </c>
      <c r="T780" s="973">
        <v>315</v>
      </c>
      <c r="U780" s="973">
        <v>12105</v>
      </c>
    </row>
    <row r="781" spans="1:21" x14ac:dyDescent="0.25">
      <c r="A781" s="967">
        <v>98421</v>
      </c>
      <c r="B781" s="968" t="s">
        <v>3416</v>
      </c>
      <c r="C781" s="969">
        <v>8.2700000000000004E-5</v>
      </c>
      <c r="D781" s="969">
        <v>1.0840000000000001E-4</v>
      </c>
      <c r="E781" s="986">
        <v>44396</v>
      </c>
      <c r="F781" s="970">
        <v>126343</v>
      </c>
      <c r="G781" s="970"/>
      <c r="H781" s="971">
        <v>7279</v>
      </c>
      <c r="I781" s="972">
        <v>30676</v>
      </c>
      <c r="J781" s="971">
        <v>18043</v>
      </c>
      <c r="K781" s="970">
        <v>5132</v>
      </c>
      <c r="L781" s="972">
        <f t="shared" si="24"/>
        <v>61130</v>
      </c>
      <c r="M781" s="970"/>
      <c r="N781" s="971">
        <v>3576</v>
      </c>
      <c r="O781" s="971">
        <v>0</v>
      </c>
      <c r="P781" s="970">
        <v>12725</v>
      </c>
      <c r="Q781" s="972">
        <f t="shared" si="25"/>
        <v>16301</v>
      </c>
      <c r="R781" s="970"/>
      <c r="S781" s="971">
        <v>42578</v>
      </c>
      <c r="T781" s="973">
        <v>-911</v>
      </c>
      <c r="U781" s="973">
        <v>41667</v>
      </c>
    </row>
    <row r="782" spans="1:21" x14ac:dyDescent="0.25">
      <c r="A782" s="967">
        <v>98427</v>
      </c>
      <c r="B782" s="968" t="s">
        <v>3417</v>
      </c>
      <c r="C782" s="969">
        <v>3.9999999999999998E-6</v>
      </c>
      <c r="D782" s="969">
        <v>4.6E-6</v>
      </c>
      <c r="E782" s="986">
        <v>3231</v>
      </c>
      <c r="F782" s="970">
        <v>6111</v>
      </c>
      <c r="G782" s="970"/>
      <c r="H782" s="971">
        <v>352</v>
      </c>
      <c r="I782" s="972">
        <v>1484</v>
      </c>
      <c r="J782" s="971">
        <v>873</v>
      </c>
      <c r="K782" s="970">
        <v>1351</v>
      </c>
      <c r="L782" s="972">
        <f t="shared" si="24"/>
        <v>4060</v>
      </c>
      <c r="M782" s="970"/>
      <c r="N782" s="971">
        <v>173</v>
      </c>
      <c r="O782" s="971">
        <v>0</v>
      </c>
      <c r="P782" s="970">
        <v>0</v>
      </c>
      <c r="Q782" s="972">
        <f t="shared" si="25"/>
        <v>173</v>
      </c>
      <c r="R782" s="970"/>
      <c r="S782" s="971">
        <v>2059</v>
      </c>
      <c r="T782" s="973">
        <v>487</v>
      </c>
      <c r="U782" s="973">
        <f>2547-1</f>
        <v>2546</v>
      </c>
    </row>
    <row r="783" spans="1:21" x14ac:dyDescent="0.25">
      <c r="A783" s="967">
        <v>98431</v>
      </c>
      <c r="B783" s="968" t="s">
        <v>3418</v>
      </c>
      <c r="C783" s="969">
        <v>2.0589999999999999E-4</v>
      </c>
      <c r="D783" s="969">
        <v>2.0010000000000001E-4</v>
      </c>
      <c r="E783" s="986">
        <v>78482</v>
      </c>
      <c r="F783" s="970">
        <v>314558</v>
      </c>
      <c r="G783" s="970"/>
      <c r="H783" s="971">
        <v>18121</v>
      </c>
      <c r="I783" s="972">
        <v>76375</v>
      </c>
      <c r="J783" s="971">
        <v>44923</v>
      </c>
      <c r="K783" s="970">
        <v>1246</v>
      </c>
      <c r="L783" s="972">
        <f t="shared" si="24"/>
        <v>140665</v>
      </c>
      <c r="M783" s="970"/>
      <c r="N783" s="971">
        <v>8904</v>
      </c>
      <c r="O783" s="971">
        <v>0</v>
      </c>
      <c r="P783" s="970">
        <v>24844</v>
      </c>
      <c r="Q783" s="972">
        <f t="shared" si="25"/>
        <v>33748</v>
      </c>
      <c r="R783" s="970"/>
      <c r="S783" s="971">
        <v>106006</v>
      </c>
      <c r="T783" s="973">
        <v>-7635</v>
      </c>
      <c r="U783" s="973">
        <f>98372-1</f>
        <v>98371</v>
      </c>
    </row>
    <row r="784" spans="1:21" x14ac:dyDescent="0.25">
      <c r="A784" s="967">
        <v>98441</v>
      </c>
      <c r="B784" s="968" t="s">
        <v>3419</v>
      </c>
      <c r="C784" s="969">
        <v>8.2700000000000004E-5</v>
      </c>
      <c r="D784" s="969">
        <v>9.1000000000000003E-5</v>
      </c>
      <c r="E784" s="986">
        <v>35572</v>
      </c>
      <c r="F784" s="970">
        <v>126343</v>
      </c>
      <c r="G784" s="970"/>
      <c r="H784" s="971">
        <v>7279</v>
      </c>
      <c r="I784" s="972">
        <v>30676</v>
      </c>
      <c r="J784" s="971">
        <v>18043</v>
      </c>
      <c r="K784" s="970">
        <v>570</v>
      </c>
      <c r="L784" s="972">
        <f t="shared" si="24"/>
        <v>56568</v>
      </c>
      <c r="M784" s="970"/>
      <c r="N784" s="971">
        <v>3576</v>
      </c>
      <c r="O784" s="971">
        <v>0</v>
      </c>
      <c r="P784" s="970">
        <v>22406</v>
      </c>
      <c r="Q784" s="972">
        <f t="shared" si="25"/>
        <v>25982</v>
      </c>
      <c r="R784" s="970"/>
      <c r="S784" s="971">
        <v>42578</v>
      </c>
      <c r="T784" s="973">
        <v>-8026</v>
      </c>
      <c r="U784" s="973">
        <v>34552</v>
      </c>
    </row>
    <row r="785" spans="1:21" x14ac:dyDescent="0.25">
      <c r="A785" s="967">
        <v>98451</v>
      </c>
      <c r="B785" s="968" t="s">
        <v>3420</v>
      </c>
      <c r="C785" s="969">
        <v>5.7000000000000003E-5</v>
      </c>
      <c r="D785" s="969">
        <v>5.6199999999999997E-5</v>
      </c>
      <c r="E785" s="986">
        <v>26132</v>
      </c>
      <c r="F785" s="970">
        <v>87080</v>
      </c>
      <c r="G785" s="970"/>
      <c r="H785" s="971">
        <v>5017</v>
      </c>
      <c r="I785" s="972">
        <v>21143</v>
      </c>
      <c r="J785" s="971">
        <v>12436</v>
      </c>
      <c r="K785" s="970">
        <v>508</v>
      </c>
      <c r="L785" s="972">
        <f t="shared" si="24"/>
        <v>39104</v>
      </c>
      <c r="M785" s="970"/>
      <c r="N785" s="971">
        <v>2465</v>
      </c>
      <c r="O785" s="971">
        <v>0</v>
      </c>
      <c r="P785" s="970">
        <v>1478</v>
      </c>
      <c r="Q785" s="972">
        <f t="shared" si="25"/>
        <v>3943</v>
      </c>
      <c r="R785" s="970"/>
      <c r="S785" s="971">
        <v>29346</v>
      </c>
      <c r="T785" s="973">
        <v>-530</v>
      </c>
      <c r="U785" s="973">
        <v>28816</v>
      </c>
    </row>
    <row r="786" spans="1:21" x14ac:dyDescent="0.25">
      <c r="A786" s="967">
        <v>98481</v>
      </c>
      <c r="B786" s="968" t="s">
        <v>3421</v>
      </c>
      <c r="C786" s="969">
        <v>6.3899999999999995E-5</v>
      </c>
      <c r="D786" s="969">
        <v>6.7700000000000006E-5</v>
      </c>
      <c r="E786" s="986">
        <v>27198</v>
      </c>
      <c r="F786" s="970">
        <v>97621</v>
      </c>
      <c r="G786" s="970"/>
      <c r="H786" s="971">
        <v>5624</v>
      </c>
      <c r="I786" s="972">
        <v>23703</v>
      </c>
      <c r="J786" s="971">
        <v>13942</v>
      </c>
      <c r="K786" s="970">
        <v>1545</v>
      </c>
      <c r="L786" s="972">
        <f t="shared" si="24"/>
        <v>44814</v>
      </c>
      <c r="M786" s="970"/>
      <c r="N786" s="971">
        <v>2763</v>
      </c>
      <c r="O786" s="971">
        <v>0</v>
      </c>
      <c r="P786" s="970">
        <v>5772</v>
      </c>
      <c r="Q786" s="972">
        <f t="shared" si="25"/>
        <v>8535</v>
      </c>
      <c r="R786" s="970"/>
      <c r="S786" s="971">
        <v>32899</v>
      </c>
      <c r="T786" s="973">
        <v>-35</v>
      </c>
      <c r="U786" s="973">
        <f>32863+1</f>
        <v>32864</v>
      </c>
    </row>
    <row r="787" spans="1:21" x14ac:dyDescent="0.25">
      <c r="A787" s="967">
        <v>98501</v>
      </c>
      <c r="B787" s="968" t="s">
        <v>3422</v>
      </c>
      <c r="C787" s="969">
        <v>1.6022E-3</v>
      </c>
      <c r="D787" s="969">
        <v>1.5690999999999999E-3</v>
      </c>
      <c r="E787" s="986">
        <v>760833</v>
      </c>
      <c r="F787" s="970">
        <v>2447718</v>
      </c>
      <c r="G787" s="970"/>
      <c r="H787" s="971">
        <v>141011</v>
      </c>
      <c r="I787" s="972">
        <v>594309</v>
      </c>
      <c r="J787" s="971">
        <v>349568</v>
      </c>
      <c r="K787" s="970">
        <v>75098</v>
      </c>
      <c r="L787" s="972">
        <f t="shared" si="24"/>
        <v>1159986</v>
      </c>
      <c r="M787" s="970"/>
      <c r="N787" s="971">
        <v>69287</v>
      </c>
      <c r="O787" s="971">
        <v>0</v>
      </c>
      <c r="P787" s="970">
        <v>2932</v>
      </c>
      <c r="Q787" s="972">
        <f t="shared" si="25"/>
        <v>72219</v>
      </c>
      <c r="R787" s="970"/>
      <c r="S787" s="971">
        <v>824883</v>
      </c>
      <c r="T787" s="973">
        <v>19182</v>
      </c>
      <c r="U787" s="973">
        <v>844065</v>
      </c>
    </row>
    <row r="788" spans="1:21" x14ac:dyDescent="0.25">
      <c r="A788" s="967">
        <v>98511</v>
      </c>
      <c r="B788" s="968" t="s">
        <v>3423</v>
      </c>
      <c r="C788" s="969">
        <v>4.8000000000000001E-5</v>
      </c>
      <c r="D788" s="969">
        <v>4.5800000000000002E-5</v>
      </c>
      <c r="E788" s="986">
        <v>23435</v>
      </c>
      <c r="F788" s="970">
        <v>73331</v>
      </c>
      <c r="G788" s="970"/>
      <c r="H788" s="971">
        <v>4225</v>
      </c>
      <c r="I788" s="972">
        <v>17804</v>
      </c>
      <c r="J788" s="971">
        <v>10473</v>
      </c>
      <c r="K788" s="970">
        <v>5918</v>
      </c>
      <c r="L788" s="972">
        <f t="shared" si="24"/>
        <v>38420</v>
      </c>
      <c r="M788" s="970"/>
      <c r="N788" s="971">
        <v>2076</v>
      </c>
      <c r="O788" s="971">
        <v>0</v>
      </c>
      <c r="P788" s="970">
        <v>11919</v>
      </c>
      <c r="Q788" s="972">
        <f t="shared" si="25"/>
        <v>13995</v>
      </c>
      <c r="R788" s="970"/>
      <c r="S788" s="971">
        <v>24713</v>
      </c>
      <c r="T788" s="973">
        <v>-9378</v>
      </c>
      <c r="U788" s="973">
        <f>15334+1</f>
        <v>15335</v>
      </c>
    </row>
    <row r="789" spans="1:21" x14ac:dyDescent="0.25">
      <c r="A789" s="967">
        <v>98517</v>
      </c>
      <c r="B789" s="968" t="s">
        <v>3424</v>
      </c>
      <c r="C789" s="969">
        <v>2.3E-6</v>
      </c>
      <c r="D789" s="969">
        <v>2.6000000000000001E-6</v>
      </c>
      <c r="E789" s="986">
        <v>2484</v>
      </c>
      <c r="F789" s="970">
        <v>3514</v>
      </c>
      <c r="G789" s="970"/>
      <c r="H789" s="971">
        <v>202</v>
      </c>
      <c r="I789" s="972">
        <v>854</v>
      </c>
      <c r="J789" s="971">
        <v>502</v>
      </c>
      <c r="K789" s="970">
        <v>1623</v>
      </c>
      <c r="L789" s="972">
        <f t="shared" si="24"/>
        <v>3181</v>
      </c>
      <c r="M789" s="970"/>
      <c r="N789" s="971">
        <v>99</v>
      </c>
      <c r="O789" s="971">
        <v>0</v>
      </c>
      <c r="P789" s="970">
        <v>0</v>
      </c>
      <c r="Q789" s="972">
        <f t="shared" si="25"/>
        <v>99</v>
      </c>
      <c r="R789" s="970"/>
      <c r="S789" s="971">
        <v>1184</v>
      </c>
      <c r="T789" s="973">
        <v>589</v>
      </c>
      <c r="U789" s="973">
        <v>1773</v>
      </c>
    </row>
    <row r="790" spans="1:21" x14ac:dyDescent="0.25">
      <c r="A790" s="967">
        <v>98521</v>
      </c>
      <c r="B790" s="968" t="s">
        <v>3425</v>
      </c>
      <c r="C790" s="969">
        <v>6.6180000000000004E-4</v>
      </c>
      <c r="D790" s="969">
        <v>5.7059999999999999E-4</v>
      </c>
      <c r="E790" s="986">
        <v>270882</v>
      </c>
      <c r="F790" s="970">
        <v>1011047</v>
      </c>
      <c r="G790" s="970"/>
      <c r="H790" s="971">
        <v>58246</v>
      </c>
      <c r="I790" s="972">
        <v>245484</v>
      </c>
      <c r="J790" s="971">
        <v>144392</v>
      </c>
      <c r="K790" s="970">
        <v>34795</v>
      </c>
      <c r="L790" s="972">
        <f t="shared" si="24"/>
        <v>482917</v>
      </c>
      <c r="M790" s="970"/>
      <c r="N790" s="971">
        <v>28620</v>
      </c>
      <c r="O790" s="971">
        <v>0</v>
      </c>
      <c r="P790" s="970">
        <v>43967</v>
      </c>
      <c r="Q790" s="972">
        <f t="shared" si="25"/>
        <v>72587</v>
      </c>
      <c r="R790" s="970"/>
      <c r="S790" s="971">
        <v>340724</v>
      </c>
      <c r="T790" s="973">
        <v>-10201</v>
      </c>
      <c r="U790" s="973">
        <v>330523</v>
      </c>
    </row>
    <row r="791" spans="1:21" x14ac:dyDescent="0.25">
      <c r="A791" s="967">
        <v>98601</v>
      </c>
      <c r="B791" s="968" t="s">
        <v>3426</v>
      </c>
      <c r="C791" s="969">
        <v>3.4148E-3</v>
      </c>
      <c r="D791" s="969">
        <v>3.5065999999999999E-3</v>
      </c>
      <c r="E791" s="986">
        <v>1494584</v>
      </c>
      <c r="F791" s="970">
        <v>5216869</v>
      </c>
      <c r="G791" s="970"/>
      <c r="H791" s="971">
        <v>300540</v>
      </c>
      <c r="I791" s="972">
        <v>1266662</v>
      </c>
      <c r="J791" s="971">
        <v>745041</v>
      </c>
      <c r="K791" s="970">
        <v>0</v>
      </c>
      <c r="L791" s="972">
        <f t="shared" si="24"/>
        <v>2312243</v>
      </c>
      <c r="M791" s="970"/>
      <c r="N791" s="971">
        <v>147673</v>
      </c>
      <c r="O791" s="971">
        <v>0</v>
      </c>
      <c r="P791" s="970">
        <v>216693</v>
      </c>
      <c r="Q791" s="972">
        <f t="shared" si="25"/>
        <v>364366</v>
      </c>
      <c r="R791" s="970"/>
      <c r="S791" s="971">
        <v>1758089</v>
      </c>
      <c r="T791" s="973">
        <v>-93549</v>
      </c>
      <c r="U791" s="973">
        <v>1664540</v>
      </c>
    </row>
    <row r="792" spans="1:21" x14ac:dyDescent="0.25">
      <c r="A792" s="967">
        <v>98604</v>
      </c>
      <c r="B792" s="968" t="s">
        <v>3427</v>
      </c>
      <c r="C792" s="969">
        <v>1.34E-5</v>
      </c>
      <c r="D792" s="969">
        <v>1.59E-5</v>
      </c>
      <c r="E792" s="986">
        <v>7588</v>
      </c>
      <c r="F792" s="970">
        <v>20471</v>
      </c>
      <c r="G792" s="970"/>
      <c r="H792" s="971">
        <v>1179</v>
      </c>
      <c r="I792" s="972">
        <v>4970</v>
      </c>
      <c r="J792" s="971">
        <v>2924</v>
      </c>
      <c r="K792" s="970">
        <f>5979+2967</f>
        <v>8946</v>
      </c>
      <c r="L792" s="972">
        <f t="shared" si="24"/>
        <v>18019</v>
      </c>
      <c r="M792" s="970"/>
      <c r="N792" s="971">
        <v>579</v>
      </c>
      <c r="O792" s="971">
        <v>0</v>
      </c>
      <c r="P792" s="970">
        <f>527+4977</f>
        <v>5504</v>
      </c>
      <c r="Q792" s="972">
        <f t="shared" si="25"/>
        <v>6083</v>
      </c>
      <c r="R792" s="970"/>
      <c r="S792" s="971">
        <v>6899</v>
      </c>
      <c r="T792" s="973">
        <f>1959+178</f>
        <v>2137</v>
      </c>
      <c r="U792" s="973">
        <f>8857+1+178</f>
        <v>9036</v>
      </c>
    </row>
    <row r="793" spans="1:21" x14ac:dyDescent="0.25">
      <c r="A793" s="967">
        <v>98607</v>
      </c>
      <c r="B793" s="968" t="s">
        <v>3428</v>
      </c>
      <c r="C793" s="969">
        <v>5.9000000000000003E-6</v>
      </c>
      <c r="D793" s="969">
        <v>5.9000000000000003E-6</v>
      </c>
      <c r="E793" s="986">
        <v>2774</v>
      </c>
      <c r="F793" s="970">
        <v>9014</v>
      </c>
      <c r="G793" s="970"/>
      <c r="H793" s="971">
        <v>519</v>
      </c>
      <c r="I793" s="972">
        <v>2188</v>
      </c>
      <c r="J793" s="971">
        <v>1287</v>
      </c>
      <c r="K793" s="970">
        <v>52</v>
      </c>
      <c r="L793" s="972">
        <f t="shared" si="24"/>
        <v>4046</v>
      </c>
      <c r="M793" s="970"/>
      <c r="N793" s="971">
        <v>255</v>
      </c>
      <c r="O793" s="971">
        <v>0</v>
      </c>
      <c r="P793" s="970">
        <v>1474</v>
      </c>
      <c r="Q793" s="972">
        <f t="shared" si="25"/>
        <v>1729</v>
      </c>
      <c r="R793" s="970"/>
      <c r="S793" s="971">
        <v>3038</v>
      </c>
      <c r="T793" s="973">
        <v>-861</v>
      </c>
      <c r="U793" s="973">
        <v>2177</v>
      </c>
    </row>
    <row r="794" spans="1:21" x14ac:dyDescent="0.25">
      <c r="A794" s="967">
        <v>98608</v>
      </c>
      <c r="B794" s="968" t="s">
        <v>3429</v>
      </c>
      <c r="C794" s="969">
        <v>4.9200000000000003E-5</v>
      </c>
      <c r="D794" s="969">
        <v>4.2299999999999998E-5</v>
      </c>
      <c r="E794" s="986">
        <v>20059</v>
      </c>
      <c r="F794" s="970">
        <v>75164</v>
      </c>
      <c r="G794" s="970"/>
      <c r="H794" s="971">
        <v>4330</v>
      </c>
      <c r="I794" s="972">
        <v>18250</v>
      </c>
      <c r="J794" s="971">
        <v>10734</v>
      </c>
      <c r="K794" s="970">
        <v>6529</v>
      </c>
      <c r="L794" s="972">
        <f t="shared" si="24"/>
        <v>39843</v>
      </c>
      <c r="M794" s="970"/>
      <c r="N794" s="971">
        <v>2128</v>
      </c>
      <c r="O794" s="971">
        <v>0</v>
      </c>
      <c r="P794" s="970">
        <v>5369</v>
      </c>
      <c r="Q794" s="972">
        <f t="shared" si="25"/>
        <v>7497</v>
      </c>
      <c r="R794" s="970"/>
      <c r="S794" s="971">
        <v>25330</v>
      </c>
      <c r="T794" s="973">
        <v>1217</v>
      </c>
      <c r="U794" s="973">
        <v>26547</v>
      </c>
    </row>
    <row r="795" spans="1:21" x14ac:dyDescent="0.25">
      <c r="A795" s="967">
        <v>98611</v>
      </c>
      <c r="B795" s="968" t="s">
        <v>3430</v>
      </c>
      <c r="C795" s="969">
        <v>8.6899999999999998E-5</v>
      </c>
      <c r="D795" s="969">
        <v>8.6700000000000007E-5</v>
      </c>
      <c r="E795" s="986">
        <v>49931</v>
      </c>
      <c r="F795" s="970">
        <v>132759</v>
      </c>
      <c r="G795" s="970"/>
      <c r="H795" s="971">
        <v>7648</v>
      </c>
      <c r="I795" s="972">
        <v>32235</v>
      </c>
      <c r="J795" s="971">
        <v>18960</v>
      </c>
      <c r="K795" s="970">
        <v>10690</v>
      </c>
      <c r="L795" s="972">
        <f t="shared" si="24"/>
        <v>69533</v>
      </c>
      <c r="M795" s="970"/>
      <c r="N795" s="971">
        <v>3758</v>
      </c>
      <c r="O795" s="971">
        <v>0</v>
      </c>
      <c r="P795" s="970">
        <v>9519</v>
      </c>
      <c r="Q795" s="972">
        <f t="shared" si="25"/>
        <v>13277</v>
      </c>
      <c r="R795" s="970"/>
      <c r="S795" s="971">
        <v>44740</v>
      </c>
      <c r="T795" s="973">
        <v>910</v>
      </c>
      <c r="U795" s="973">
        <f>45649+1</f>
        <v>45650</v>
      </c>
    </row>
    <row r="796" spans="1:21" x14ac:dyDescent="0.25">
      <c r="A796" s="967">
        <v>98621</v>
      </c>
      <c r="B796" s="968" t="s">
        <v>3431</v>
      </c>
      <c r="C796" s="969">
        <v>1.314E-4</v>
      </c>
      <c r="D796" s="969">
        <v>1.3239999999999999E-4</v>
      </c>
      <c r="E796" s="986">
        <v>55891</v>
      </c>
      <c r="F796" s="970">
        <v>200743</v>
      </c>
      <c r="G796" s="970"/>
      <c r="H796" s="971">
        <v>11565</v>
      </c>
      <c r="I796" s="972">
        <v>48740</v>
      </c>
      <c r="J796" s="971">
        <v>28669</v>
      </c>
      <c r="K796" s="970">
        <v>473</v>
      </c>
      <c r="L796" s="972">
        <f t="shared" si="24"/>
        <v>89447</v>
      </c>
      <c r="M796" s="970"/>
      <c r="N796" s="971">
        <v>5682</v>
      </c>
      <c r="O796" s="971">
        <v>0</v>
      </c>
      <c r="P796" s="970">
        <v>10727</v>
      </c>
      <c r="Q796" s="972">
        <f t="shared" si="25"/>
        <v>16409</v>
      </c>
      <c r="R796" s="970"/>
      <c r="S796" s="971">
        <v>67651</v>
      </c>
      <c r="T796" s="973">
        <v>-3535</v>
      </c>
      <c r="U796" s="973">
        <f>64115+1</f>
        <v>64116</v>
      </c>
    </row>
    <row r="797" spans="1:21" x14ac:dyDescent="0.25">
      <c r="A797" s="967">
        <v>98627</v>
      </c>
      <c r="B797" s="968" t="s">
        <v>3432</v>
      </c>
      <c r="C797" s="969">
        <v>8.6999999999999997E-6</v>
      </c>
      <c r="D797" s="969">
        <v>9.3999999999999998E-6</v>
      </c>
      <c r="E797" s="986">
        <v>3354</v>
      </c>
      <c r="F797" s="970">
        <v>13291</v>
      </c>
      <c r="G797" s="970"/>
      <c r="H797" s="971">
        <v>766</v>
      </c>
      <c r="I797" s="972">
        <v>3227</v>
      </c>
      <c r="J797" s="971">
        <v>1898</v>
      </c>
      <c r="K797" s="970">
        <v>316</v>
      </c>
      <c r="L797" s="972">
        <f t="shared" si="24"/>
        <v>6207</v>
      </c>
      <c r="M797" s="970"/>
      <c r="N797" s="971">
        <v>376</v>
      </c>
      <c r="O797" s="971">
        <v>0</v>
      </c>
      <c r="P797" s="970">
        <v>1098</v>
      </c>
      <c r="Q797" s="972">
        <f t="shared" si="25"/>
        <v>1474</v>
      </c>
      <c r="R797" s="970"/>
      <c r="S797" s="971">
        <v>4479</v>
      </c>
      <c r="T797" s="973">
        <v>-220</v>
      </c>
      <c r="U797" s="973">
        <v>4259</v>
      </c>
    </row>
    <row r="798" spans="1:21" x14ac:dyDescent="0.25">
      <c r="A798" s="967">
        <v>98631</v>
      </c>
      <c r="B798" s="968" t="s">
        <v>3433</v>
      </c>
      <c r="C798" s="969">
        <v>1.0051999999999999E-3</v>
      </c>
      <c r="D798" s="969">
        <v>1.0415000000000001E-3</v>
      </c>
      <c r="E798" s="986">
        <v>466623</v>
      </c>
      <c r="F798" s="970">
        <v>1535667</v>
      </c>
      <c r="G798" s="970"/>
      <c r="H798" s="971">
        <v>88469</v>
      </c>
      <c r="I798" s="972">
        <v>372862</v>
      </c>
      <c r="J798" s="971">
        <v>219315</v>
      </c>
      <c r="K798" s="970">
        <v>0</v>
      </c>
      <c r="L798" s="972">
        <f t="shared" si="24"/>
        <v>680646</v>
      </c>
      <c r="M798" s="970"/>
      <c r="N798" s="971">
        <v>43470</v>
      </c>
      <c r="O798" s="971">
        <v>0</v>
      </c>
      <c r="P798" s="970">
        <v>102113</v>
      </c>
      <c r="Q798" s="972">
        <f t="shared" si="25"/>
        <v>145583</v>
      </c>
      <c r="R798" s="970"/>
      <c r="S798" s="971">
        <v>517521</v>
      </c>
      <c r="T798" s="973">
        <v>-41744</v>
      </c>
      <c r="U798" s="973">
        <v>475777</v>
      </c>
    </row>
    <row r="799" spans="1:21" x14ac:dyDescent="0.25">
      <c r="A799" s="967">
        <v>98637</v>
      </c>
      <c r="B799" s="968" t="s">
        <v>3434</v>
      </c>
      <c r="C799" s="969">
        <v>2.0800000000000001E-5</v>
      </c>
      <c r="D799" s="969">
        <v>2.2200000000000001E-5</v>
      </c>
      <c r="E799" s="986">
        <v>15729</v>
      </c>
      <c r="F799" s="970">
        <v>31777</v>
      </c>
      <c r="G799" s="970"/>
      <c r="H799" s="971">
        <v>1831</v>
      </c>
      <c r="I799" s="972">
        <v>7715</v>
      </c>
      <c r="J799" s="971">
        <v>4538</v>
      </c>
      <c r="K799" s="970">
        <v>8386</v>
      </c>
      <c r="L799" s="972">
        <f t="shared" si="24"/>
        <v>22470</v>
      </c>
      <c r="M799" s="970"/>
      <c r="N799" s="971">
        <v>899</v>
      </c>
      <c r="O799" s="971">
        <v>0</v>
      </c>
      <c r="P799" s="970">
        <v>0</v>
      </c>
      <c r="Q799" s="972">
        <f t="shared" si="25"/>
        <v>899</v>
      </c>
      <c r="R799" s="970"/>
      <c r="S799" s="971">
        <v>10709</v>
      </c>
      <c r="T799" s="973">
        <v>3206</v>
      </c>
      <c r="U799" s="973">
        <f>13914+1</f>
        <v>13915</v>
      </c>
    </row>
    <row r="800" spans="1:21" x14ac:dyDescent="0.25">
      <c r="A800" s="967">
        <v>98641</v>
      </c>
      <c r="B800" s="968" t="s">
        <v>3435</v>
      </c>
      <c r="C800" s="969">
        <v>2.965E-4</v>
      </c>
      <c r="D800" s="969">
        <v>3.0019999999999998E-4</v>
      </c>
      <c r="E800" s="986">
        <v>140670</v>
      </c>
      <c r="F800" s="970">
        <v>452970</v>
      </c>
      <c r="G800" s="970"/>
      <c r="H800" s="971">
        <v>26095</v>
      </c>
      <c r="I800" s="972">
        <v>109981</v>
      </c>
      <c r="J800" s="971">
        <v>64690</v>
      </c>
      <c r="K800" s="970">
        <v>3407</v>
      </c>
      <c r="L800" s="972">
        <f t="shared" si="24"/>
        <v>204173</v>
      </c>
      <c r="M800" s="970"/>
      <c r="N800" s="971">
        <v>12822</v>
      </c>
      <c r="O800" s="971">
        <v>0</v>
      </c>
      <c r="P800" s="970">
        <v>7840</v>
      </c>
      <c r="Q800" s="972">
        <f t="shared" si="25"/>
        <v>20662</v>
      </c>
      <c r="R800" s="970"/>
      <c r="S800" s="971">
        <v>152651</v>
      </c>
      <c r="T800" s="973">
        <v>-183</v>
      </c>
      <c r="U800" s="973">
        <v>152468</v>
      </c>
    </row>
    <row r="801" spans="1:21" x14ac:dyDescent="0.25">
      <c r="A801" s="967">
        <v>98701</v>
      </c>
      <c r="B801" s="968" t="s">
        <v>3437</v>
      </c>
      <c r="C801" s="969">
        <v>1.1333999999999999E-3</v>
      </c>
      <c r="D801" s="969">
        <v>1.1793000000000001E-3</v>
      </c>
      <c r="E801" s="986">
        <v>514113</v>
      </c>
      <c r="F801" s="970">
        <v>1731521</v>
      </c>
      <c r="G801" s="970"/>
      <c r="H801" s="971">
        <v>99752</v>
      </c>
      <c r="I801" s="972">
        <v>420415</v>
      </c>
      <c r="J801" s="971">
        <v>247285</v>
      </c>
      <c r="K801" s="970">
        <v>3431</v>
      </c>
      <c r="L801" s="972">
        <f t="shared" si="24"/>
        <v>770883</v>
      </c>
      <c r="M801" s="970"/>
      <c r="N801" s="971">
        <v>49014</v>
      </c>
      <c r="O801" s="971">
        <v>0</v>
      </c>
      <c r="P801" s="970">
        <v>66380</v>
      </c>
      <c r="Q801" s="972">
        <f t="shared" si="25"/>
        <v>115394</v>
      </c>
      <c r="R801" s="970"/>
      <c r="S801" s="971">
        <v>583524</v>
      </c>
      <c r="T801" s="973">
        <v>-25976</v>
      </c>
      <c r="U801" s="973">
        <v>557548</v>
      </c>
    </row>
    <row r="802" spans="1:21" x14ac:dyDescent="0.25">
      <c r="A802" s="967">
        <v>98711</v>
      </c>
      <c r="B802" s="968" t="s">
        <v>3438</v>
      </c>
      <c r="C802" s="969">
        <v>1.8369999999999999E-4</v>
      </c>
      <c r="D802" s="969">
        <v>1.8039999999999999E-4</v>
      </c>
      <c r="E802" s="986">
        <v>70342</v>
      </c>
      <c r="F802" s="970">
        <v>280643</v>
      </c>
      <c r="G802" s="970"/>
      <c r="H802" s="971">
        <v>16168</v>
      </c>
      <c r="I802" s="972">
        <v>68140</v>
      </c>
      <c r="J802" s="971">
        <v>40080</v>
      </c>
      <c r="K802" s="970">
        <v>1238</v>
      </c>
      <c r="L802" s="972">
        <f t="shared" si="24"/>
        <v>125626</v>
      </c>
      <c r="M802" s="970"/>
      <c r="N802" s="971">
        <v>7944</v>
      </c>
      <c r="O802" s="971">
        <v>0</v>
      </c>
      <c r="P802" s="970">
        <v>16374</v>
      </c>
      <c r="Q802" s="972">
        <f t="shared" si="25"/>
        <v>24318</v>
      </c>
      <c r="R802" s="970"/>
      <c r="S802" s="971">
        <v>94577</v>
      </c>
      <c r="T802" s="973">
        <v>-4053</v>
      </c>
      <c r="U802" s="973">
        <v>90524</v>
      </c>
    </row>
    <row r="803" spans="1:21" x14ac:dyDescent="0.25">
      <c r="A803" s="967">
        <v>98717</v>
      </c>
      <c r="B803" s="968" t="s">
        <v>3439</v>
      </c>
      <c r="C803" s="969">
        <v>2.1100000000000001E-5</v>
      </c>
      <c r="D803" s="969">
        <v>1.8600000000000001E-5</v>
      </c>
      <c r="E803" s="986">
        <v>8759</v>
      </c>
      <c r="F803" s="970">
        <v>32235</v>
      </c>
      <c r="G803" s="970"/>
      <c r="H803" s="971">
        <v>1857</v>
      </c>
      <c r="I803" s="972">
        <v>7827</v>
      </c>
      <c r="J803" s="971">
        <v>4604</v>
      </c>
      <c r="K803" s="970">
        <v>1439</v>
      </c>
      <c r="L803" s="972">
        <f t="shared" si="24"/>
        <v>15727</v>
      </c>
      <c r="M803" s="970"/>
      <c r="N803" s="971">
        <v>912</v>
      </c>
      <c r="O803" s="971">
        <v>0</v>
      </c>
      <c r="P803" s="970">
        <v>534</v>
      </c>
      <c r="Q803" s="972">
        <f t="shared" si="25"/>
        <v>1446</v>
      </c>
      <c r="R803" s="970"/>
      <c r="S803" s="971">
        <v>10863</v>
      </c>
      <c r="T803" s="973">
        <v>247</v>
      </c>
      <c r="U803" s="973">
        <v>11110</v>
      </c>
    </row>
    <row r="804" spans="1:21" x14ac:dyDescent="0.25">
      <c r="A804" s="967">
        <v>98801</v>
      </c>
      <c r="B804" s="968" t="s">
        <v>3440</v>
      </c>
      <c r="C804" s="969">
        <v>2.2859E-3</v>
      </c>
      <c r="D804" s="969">
        <v>2.1771999999999998E-3</v>
      </c>
      <c r="E804" s="986">
        <v>1067051</v>
      </c>
      <c r="F804" s="970">
        <v>3492222</v>
      </c>
      <c r="G804" s="970"/>
      <c r="H804" s="971">
        <v>201184</v>
      </c>
      <c r="I804" s="972">
        <v>847916</v>
      </c>
      <c r="J804" s="971">
        <v>498738</v>
      </c>
      <c r="K804" s="970">
        <v>146068</v>
      </c>
      <c r="L804" s="972">
        <f t="shared" si="24"/>
        <v>1693906</v>
      </c>
      <c r="M804" s="970"/>
      <c r="N804" s="971">
        <v>98854</v>
      </c>
      <c r="O804" s="971">
        <v>0</v>
      </c>
      <c r="P804" s="970">
        <v>0</v>
      </c>
      <c r="Q804" s="972">
        <f t="shared" si="25"/>
        <v>98854</v>
      </c>
      <c r="R804" s="970"/>
      <c r="S804" s="971">
        <v>1176882</v>
      </c>
      <c r="T804" s="973">
        <v>55567</v>
      </c>
      <c r="U804" s="973">
        <v>1232449</v>
      </c>
    </row>
    <row r="805" spans="1:21" x14ac:dyDescent="0.25">
      <c r="A805" s="967">
        <v>98811</v>
      </c>
      <c r="B805" s="968" t="s">
        <v>3441</v>
      </c>
      <c r="C805" s="969">
        <v>6.5160000000000001E-4</v>
      </c>
      <c r="D805" s="969">
        <v>7.1120000000000005E-4</v>
      </c>
      <c r="E805" s="986">
        <v>323262</v>
      </c>
      <c r="F805" s="970">
        <v>995464</v>
      </c>
      <c r="G805" s="970"/>
      <c r="H805" s="971">
        <v>57348</v>
      </c>
      <c r="I805" s="972">
        <v>241700</v>
      </c>
      <c r="J805" s="971">
        <v>142166</v>
      </c>
      <c r="K805" s="970">
        <v>16975</v>
      </c>
      <c r="L805" s="972">
        <f t="shared" si="24"/>
        <v>458189</v>
      </c>
      <c r="M805" s="970"/>
      <c r="N805" s="971">
        <v>28178</v>
      </c>
      <c r="O805" s="971">
        <v>0</v>
      </c>
      <c r="P805" s="970">
        <v>46894</v>
      </c>
      <c r="Q805" s="972">
        <f t="shared" si="25"/>
        <v>75072</v>
      </c>
      <c r="R805" s="970"/>
      <c r="S805" s="971">
        <v>335472</v>
      </c>
      <c r="T805" s="973">
        <v>-312</v>
      </c>
      <c r="U805" s="973">
        <f>335161-1</f>
        <v>335160</v>
      </c>
    </row>
    <row r="806" spans="1:21" x14ac:dyDescent="0.25">
      <c r="A806" s="967">
        <v>98817</v>
      </c>
      <c r="B806" s="968" t="s">
        <v>3442</v>
      </c>
      <c r="C806" s="969">
        <v>2.5199999999999999E-5</v>
      </c>
      <c r="D806" s="969">
        <v>2.34E-5</v>
      </c>
      <c r="E806" s="986">
        <v>14663</v>
      </c>
      <c r="F806" s="970">
        <v>38499</v>
      </c>
      <c r="G806" s="970"/>
      <c r="H806" s="971">
        <v>2218</v>
      </c>
      <c r="I806" s="972">
        <v>9347</v>
      </c>
      <c r="J806" s="971">
        <v>5498</v>
      </c>
      <c r="K806" s="970">
        <v>3862</v>
      </c>
      <c r="L806" s="972">
        <f t="shared" si="24"/>
        <v>20925</v>
      </c>
      <c r="M806" s="970"/>
      <c r="N806" s="971">
        <v>1090</v>
      </c>
      <c r="O806" s="971">
        <v>0</v>
      </c>
      <c r="P806" s="970">
        <v>2179</v>
      </c>
      <c r="Q806" s="972">
        <f t="shared" si="25"/>
        <v>3269</v>
      </c>
      <c r="R806" s="970"/>
      <c r="S806" s="971">
        <v>12974</v>
      </c>
      <c r="T806" s="973">
        <v>-1216</v>
      </c>
      <c r="U806" s="973">
        <v>11758</v>
      </c>
    </row>
    <row r="807" spans="1:21" x14ac:dyDescent="0.25">
      <c r="A807" s="967">
        <v>98901</v>
      </c>
      <c r="B807" s="968" t="s">
        <v>3443</v>
      </c>
      <c r="C807" s="969">
        <v>3.5050000000000001E-4</v>
      </c>
      <c r="D807" s="969">
        <v>3.392E-4</v>
      </c>
      <c r="E807" s="986">
        <v>159126</v>
      </c>
      <c r="F807" s="970">
        <v>535467</v>
      </c>
      <c r="G807" s="970"/>
      <c r="H807" s="971">
        <v>30848</v>
      </c>
      <c r="I807" s="972">
        <v>130012</v>
      </c>
      <c r="J807" s="971">
        <v>76472</v>
      </c>
      <c r="K807" s="970">
        <v>7505</v>
      </c>
      <c r="L807" s="972">
        <f t="shared" si="24"/>
        <v>244837</v>
      </c>
      <c r="M807" s="970"/>
      <c r="N807" s="971">
        <v>15157</v>
      </c>
      <c r="O807" s="971">
        <v>0</v>
      </c>
      <c r="P807" s="970">
        <v>2530</v>
      </c>
      <c r="Q807" s="972">
        <f t="shared" si="25"/>
        <v>17687</v>
      </c>
      <c r="R807" s="970"/>
      <c r="S807" s="971">
        <v>180453</v>
      </c>
      <c r="T807" s="973">
        <v>975</v>
      </c>
      <c r="U807" s="973">
        <v>181428</v>
      </c>
    </row>
    <row r="808" spans="1:21" x14ac:dyDescent="0.25">
      <c r="A808" s="967">
        <v>98904</v>
      </c>
      <c r="B808" s="968" t="s">
        <v>3444</v>
      </c>
      <c r="C808" s="969">
        <v>2.7999999999999999E-6</v>
      </c>
      <c r="D808" s="969">
        <v>5.2000000000000002E-6</v>
      </c>
      <c r="E808" s="986">
        <v>1608</v>
      </c>
      <c r="F808" s="970">
        <v>4278</v>
      </c>
      <c r="G808" s="970"/>
      <c r="H808" s="971">
        <v>246</v>
      </c>
      <c r="I808" s="972">
        <v>1039</v>
      </c>
      <c r="J808" s="971">
        <v>611</v>
      </c>
      <c r="K808" s="970">
        <v>365</v>
      </c>
      <c r="L808" s="972">
        <f t="shared" si="24"/>
        <v>2261</v>
      </c>
      <c r="M808" s="970"/>
      <c r="N808" s="971">
        <v>121</v>
      </c>
      <c r="O808" s="971">
        <v>0</v>
      </c>
      <c r="P808" s="970">
        <v>1887</v>
      </c>
      <c r="Q808" s="972">
        <f t="shared" si="25"/>
        <v>2008</v>
      </c>
      <c r="R808" s="970"/>
      <c r="S808" s="971">
        <v>1442</v>
      </c>
      <c r="T808" s="973">
        <v>-315</v>
      </c>
      <c r="U808" s="973">
        <f>1126+1</f>
        <v>1127</v>
      </c>
    </row>
    <row r="809" spans="1:21" x14ac:dyDescent="0.25">
      <c r="A809" s="967">
        <v>98911</v>
      </c>
      <c r="B809" s="968" t="s">
        <v>3445</v>
      </c>
      <c r="C809" s="969">
        <v>2.7900000000000001E-5</v>
      </c>
      <c r="D809" s="969">
        <v>2.8600000000000001E-5</v>
      </c>
      <c r="E809" s="986">
        <v>17945</v>
      </c>
      <c r="F809" s="970">
        <v>42623</v>
      </c>
      <c r="G809" s="970"/>
      <c r="H809" s="971">
        <v>2456</v>
      </c>
      <c r="I809" s="972">
        <v>10349</v>
      </c>
      <c r="J809" s="971">
        <v>6087</v>
      </c>
      <c r="K809" s="970">
        <v>12780</v>
      </c>
      <c r="L809" s="972">
        <f t="shared" si="24"/>
        <v>31672</v>
      </c>
      <c r="M809" s="970"/>
      <c r="N809" s="971">
        <v>1207</v>
      </c>
      <c r="O809" s="971">
        <v>0</v>
      </c>
      <c r="P809" s="970">
        <v>0</v>
      </c>
      <c r="Q809" s="972">
        <f t="shared" si="25"/>
        <v>1207</v>
      </c>
      <c r="R809" s="970"/>
      <c r="S809" s="971">
        <v>14364</v>
      </c>
      <c r="T809" s="973">
        <v>5565</v>
      </c>
      <c r="U809" s="973">
        <v>19929</v>
      </c>
    </row>
    <row r="810" spans="1:21" x14ac:dyDescent="0.25">
      <c r="A810" s="967">
        <v>99001</v>
      </c>
      <c r="B810" s="968" t="s">
        <v>3446</v>
      </c>
      <c r="C810" s="969">
        <v>8.0949000000000004E-3</v>
      </c>
      <c r="D810" s="969">
        <v>7.8098999999999998E-3</v>
      </c>
      <c r="E810" s="986">
        <v>3574723</v>
      </c>
      <c r="F810" s="970">
        <v>12366765</v>
      </c>
      <c r="G810" s="970"/>
      <c r="H810" s="971">
        <v>712440</v>
      </c>
      <c r="I810" s="972">
        <v>3002666</v>
      </c>
      <c r="J810" s="971">
        <v>1766145</v>
      </c>
      <c r="K810" s="970">
        <v>355732</v>
      </c>
      <c r="L810" s="972">
        <f t="shared" si="24"/>
        <v>5836983</v>
      </c>
      <c r="M810" s="970"/>
      <c r="N810" s="971">
        <v>350064</v>
      </c>
      <c r="O810" s="971">
        <v>0</v>
      </c>
      <c r="P810" s="970">
        <v>0</v>
      </c>
      <c r="Q810" s="972">
        <f t="shared" si="25"/>
        <v>350064</v>
      </c>
      <c r="R810" s="970"/>
      <c r="S810" s="971">
        <v>4167611</v>
      </c>
      <c r="T810" s="973">
        <v>186049</v>
      </c>
      <c r="U810" s="973">
        <v>4353660</v>
      </c>
    </row>
    <row r="811" spans="1:21" x14ac:dyDescent="0.25">
      <c r="A811" s="967">
        <v>99011</v>
      </c>
      <c r="B811" s="968" t="s">
        <v>3447</v>
      </c>
      <c r="C811" s="969">
        <v>3.8736999999999999E-3</v>
      </c>
      <c r="D811" s="969">
        <v>3.9039000000000001E-3</v>
      </c>
      <c r="E811" s="986">
        <v>1767797</v>
      </c>
      <c r="F811" s="970">
        <v>5917941</v>
      </c>
      <c r="G811" s="970"/>
      <c r="H811" s="971">
        <v>340928</v>
      </c>
      <c r="I811" s="972">
        <v>1436883</v>
      </c>
      <c r="J811" s="971">
        <v>845164</v>
      </c>
      <c r="K811" s="970">
        <v>0</v>
      </c>
      <c r="L811" s="972">
        <f t="shared" si="24"/>
        <v>2622975</v>
      </c>
      <c r="M811" s="970"/>
      <c r="N811" s="971">
        <v>167518</v>
      </c>
      <c r="O811" s="971">
        <v>0</v>
      </c>
      <c r="P811" s="970">
        <v>396289</v>
      </c>
      <c r="Q811" s="972">
        <f t="shared" si="25"/>
        <v>563807</v>
      </c>
      <c r="R811" s="970"/>
      <c r="S811" s="971">
        <v>1994351</v>
      </c>
      <c r="T811" s="973">
        <v>-212974</v>
      </c>
      <c r="U811" s="973">
        <v>1781377</v>
      </c>
    </row>
    <row r="812" spans="1:21" x14ac:dyDescent="0.25">
      <c r="A812" s="967">
        <v>99013</v>
      </c>
      <c r="B812" s="968" t="s">
        <v>3448</v>
      </c>
      <c r="C812" s="969">
        <v>5.5999999999999999E-5</v>
      </c>
      <c r="D812" s="969">
        <v>6.02E-5</v>
      </c>
      <c r="E812" s="986">
        <v>27133</v>
      </c>
      <c r="F812" s="970">
        <v>85552</v>
      </c>
      <c r="G812" s="970"/>
      <c r="H812" s="971">
        <v>4929</v>
      </c>
      <c r="I812" s="972">
        <v>20773</v>
      </c>
      <c r="J812" s="971">
        <v>12218</v>
      </c>
      <c r="K812" s="970">
        <v>10</v>
      </c>
      <c r="L812" s="972">
        <f t="shared" si="24"/>
        <v>37930</v>
      </c>
      <c r="M812" s="970"/>
      <c r="N812" s="971">
        <v>2422</v>
      </c>
      <c r="O812" s="971">
        <v>0</v>
      </c>
      <c r="P812" s="970">
        <v>8046</v>
      </c>
      <c r="Q812" s="972">
        <f t="shared" si="25"/>
        <v>10468</v>
      </c>
      <c r="R812" s="970"/>
      <c r="S812" s="971">
        <v>28831</v>
      </c>
      <c r="T812" s="973">
        <v>-2790</v>
      </c>
      <c r="U812" s="973">
        <f>26042-1</f>
        <v>26041</v>
      </c>
    </row>
    <row r="813" spans="1:21" x14ac:dyDescent="0.25">
      <c r="A813" s="967">
        <v>99014</v>
      </c>
      <c r="B813" s="968" t="s">
        <v>3449</v>
      </c>
      <c r="C813" s="969">
        <v>2.0100000000000001E-5</v>
      </c>
      <c r="D813" s="969">
        <v>2.4199999999999999E-5</v>
      </c>
      <c r="E813" s="986">
        <v>13999</v>
      </c>
      <c r="F813" s="970">
        <v>30707</v>
      </c>
      <c r="G813" s="970"/>
      <c r="H813" s="971">
        <v>1769</v>
      </c>
      <c r="I813" s="972">
        <v>7456</v>
      </c>
      <c r="J813" s="971">
        <v>4385</v>
      </c>
      <c r="K813" s="970">
        <v>12703</v>
      </c>
      <c r="L813" s="972">
        <f t="shared" si="24"/>
        <v>26313</v>
      </c>
      <c r="M813" s="970"/>
      <c r="N813" s="971">
        <v>869</v>
      </c>
      <c r="O813" s="971">
        <v>0</v>
      </c>
      <c r="P813" s="970">
        <v>0</v>
      </c>
      <c r="Q813" s="972">
        <f t="shared" si="25"/>
        <v>869</v>
      </c>
      <c r="R813" s="970"/>
      <c r="S813" s="971">
        <v>10348</v>
      </c>
      <c r="T813" s="973">
        <v>4335</v>
      </c>
      <c r="U813" s="973">
        <v>14683</v>
      </c>
    </row>
    <row r="814" spans="1:21" x14ac:dyDescent="0.25">
      <c r="A814" s="967">
        <v>99017</v>
      </c>
      <c r="B814" s="968" t="s">
        <v>3450</v>
      </c>
      <c r="C814" s="969">
        <v>5.13E-5</v>
      </c>
      <c r="D814" s="969">
        <v>4.6999999999999997E-5</v>
      </c>
      <c r="E814" s="986">
        <v>25055</v>
      </c>
      <c r="F814" s="970">
        <v>78372</v>
      </c>
      <c r="G814" s="970"/>
      <c r="H814" s="971">
        <v>4515</v>
      </c>
      <c r="I814" s="972">
        <v>19029</v>
      </c>
      <c r="J814" s="971">
        <v>11193</v>
      </c>
      <c r="K814" s="970">
        <v>8072</v>
      </c>
      <c r="L814" s="972">
        <f t="shared" si="24"/>
        <v>42809</v>
      </c>
      <c r="M814" s="970"/>
      <c r="N814" s="971">
        <v>2218</v>
      </c>
      <c r="O814" s="971">
        <v>0</v>
      </c>
      <c r="P814" s="970">
        <v>3306</v>
      </c>
      <c r="Q814" s="972">
        <f t="shared" si="25"/>
        <v>5524</v>
      </c>
      <c r="R814" s="970"/>
      <c r="S814" s="971">
        <v>26411</v>
      </c>
      <c r="T814" s="973">
        <v>-629</v>
      </c>
      <c r="U814" s="973">
        <v>25782</v>
      </c>
    </row>
    <row r="815" spans="1:21" x14ac:dyDescent="0.25">
      <c r="A815" s="967">
        <v>99021</v>
      </c>
      <c r="B815" s="968" t="s">
        <v>3451</v>
      </c>
      <c r="C815" s="969">
        <v>1.5249999999999999E-4</v>
      </c>
      <c r="D815" s="969">
        <v>1.3420000000000001E-4</v>
      </c>
      <c r="E815" s="986">
        <v>64601</v>
      </c>
      <c r="F815" s="970">
        <v>232978</v>
      </c>
      <c r="G815" s="970"/>
      <c r="H815" s="971">
        <v>13422</v>
      </c>
      <c r="I815" s="972">
        <v>56568</v>
      </c>
      <c r="J815" s="971">
        <v>33272</v>
      </c>
      <c r="K815" s="970">
        <v>11565</v>
      </c>
      <c r="L815" s="972">
        <f t="shared" si="24"/>
        <v>114827</v>
      </c>
      <c r="M815" s="970"/>
      <c r="N815" s="971">
        <v>6595</v>
      </c>
      <c r="O815" s="971">
        <v>0</v>
      </c>
      <c r="P815" s="970">
        <v>728</v>
      </c>
      <c r="Q815" s="972">
        <f t="shared" si="25"/>
        <v>7323</v>
      </c>
      <c r="R815" s="970"/>
      <c r="S815" s="971">
        <v>78514</v>
      </c>
      <c r="T815" s="973">
        <v>3978</v>
      </c>
      <c r="U815" s="973">
        <f>82491+1</f>
        <v>82492</v>
      </c>
    </row>
    <row r="816" spans="1:21" x14ac:dyDescent="0.25">
      <c r="A816" s="967">
        <v>99022</v>
      </c>
      <c r="B816" s="968" t="s">
        <v>1962</v>
      </c>
      <c r="C816" s="969">
        <v>1.08E-5</v>
      </c>
      <c r="D816" s="969">
        <v>1.1800000000000001E-5</v>
      </c>
      <c r="E816" s="986">
        <v>11386</v>
      </c>
      <c r="F816" s="970">
        <v>16499</v>
      </c>
      <c r="G816" s="970"/>
      <c r="H816" s="971">
        <v>951</v>
      </c>
      <c r="I816" s="972">
        <v>4006</v>
      </c>
      <c r="J816" s="971">
        <v>2356</v>
      </c>
      <c r="K816" s="970">
        <v>8944</v>
      </c>
      <c r="L816" s="972">
        <f t="shared" si="24"/>
        <v>16257</v>
      </c>
      <c r="M816" s="970"/>
      <c r="N816" s="971">
        <v>467</v>
      </c>
      <c r="O816" s="971">
        <v>0</v>
      </c>
      <c r="P816" s="970">
        <v>132</v>
      </c>
      <c r="Q816" s="972">
        <f t="shared" si="25"/>
        <v>599</v>
      </c>
      <c r="R816" s="970"/>
      <c r="S816" s="971">
        <v>5560</v>
      </c>
      <c r="T816" s="973">
        <v>2896</v>
      </c>
      <c r="U816" s="973">
        <v>8456</v>
      </c>
    </row>
    <row r="817" spans="1:21" x14ac:dyDescent="0.25">
      <c r="A817" s="967">
        <v>99031</v>
      </c>
      <c r="B817" s="968" t="s">
        <v>3452</v>
      </c>
      <c r="C817" s="969">
        <v>1.518E-4</v>
      </c>
      <c r="D817" s="969">
        <v>1.5970000000000001E-4</v>
      </c>
      <c r="E817" s="986">
        <v>59833</v>
      </c>
      <c r="F817" s="970">
        <v>231908</v>
      </c>
      <c r="G817" s="970"/>
      <c r="H817" s="971">
        <v>13360</v>
      </c>
      <c r="I817" s="972">
        <v>56308</v>
      </c>
      <c r="J817" s="971">
        <v>33120</v>
      </c>
      <c r="K817" s="970">
        <v>2845</v>
      </c>
      <c r="L817" s="972">
        <f t="shared" si="24"/>
        <v>105633</v>
      </c>
      <c r="M817" s="970"/>
      <c r="N817" s="971">
        <v>6565</v>
      </c>
      <c r="O817" s="971">
        <v>0</v>
      </c>
      <c r="P817" s="970">
        <v>23907</v>
      </c>
      <c r="Q817" s="972">
        <f t="shared" si="25"/>
        <v>30472</v>
      </c>
      <c r="R817" s="970"/>
      <c r="S817" s="971">
        <v>78153</v>
      </c>
      <c r="T817" s="973">
        <v>-11727</v>
      </c>
      <c r="U817" s="973">
        <v>66426</v>
      </c>
    </row>
    <row r="818" spans="1:21" x14ac:dyDescent="0.25">
      <c r="A818" s="967">
        <v>99041</v>
      </c>
      <c r="B818" s="968" t="s">
        <v>3453</v>
      </c>
      <c r="C818" s="969">
        <v>6.3500000000000004E-4</v>
      </c>
      <c r="D818" s="969">
        <v>5.6289999999999997E-4</v>
      </c>
      <c r="E818" s="986">
        <v>254000</v>
      </c>
      <c r="F818" s="970">
        <v>970104</v>
      </c>
      <c r="G818" s="970"/>
      <c r="H818" s="971">
        <v>55887</v>
      </c>
      <c r="I818" s="972">
        <v>235543</v>
      </c>
      <c r="J818" s="971">
        <v>138544</v>
      </c>
      <c r="K818" s="970">
        <v>52920</v>
      </c>
      <c r="L818" s="972">
        <f t="shared" si="24"/>
        <v>482894</v>
      </c>
      <c r="M818" s="970"/>
      <c r="N818" s="971">
        <v>27461</v>
      </c>
      <c r="O818" s="971">
        <v>0</v>
      </c>
      <c r="P818" s="970">
        <v>0</v>
      </c>
      <c r="Q818" s="972">
        <f t="shared" si="25"/>
        <v>27461</v>
      </c>
      <c r="R818" s="970"/>
      <c r="S818" s="971">
        <v>326926</v>
      </c>
      <c r="T818" s="973">
        <v>28997</v>
      </c>
      <c r="U818" s="973">
        <v>355923</v>
      </c>
    </row>
    <row r="819" spans="1:21" x14ac:dyDescent="0.25">
      <c r="A819" s="967">
        <v>99047</v>
      </c>
      <c r="B819" s="968" t="s">
        <v>3454</v>
      </c>
      <c r="C819" s="969">
        <v>1.42E-5</v>
      </c>
      <c r="D819" s="969">
        <v>9.2E-6</v>
      </c>
      <c r="E819" s="986">
        <v>7761</v>
      </c>
      <c r="F819" s="970">
        <v>21694</v>
      </c>
      <c r="G819" s="970"/>
      <c r="H819" s="971">
        <v>1250</v>
      </c>
      <c r="I819" s="972">
        <v>5267</v>
      </c>
      <c r="J819" s="971">
        <v>3098</v>
      </c>
      <c r="K819" s="970">
        <v>6410</v>
      </c>
      <c r="L819" s="972">
        <f t="shared" si="24"/>
        <v>16025</v>
      </c>
      <c r="M819" s="970"/>
      <c r="N819" s="971">
        <v>614</v>
      </c>
      <c r="O819" s="971">
        <v>0</v>
      </c>
      <c r="P819" s="970">
        <v>0</v>
      </c>
      <c r="Q819" s="972">
        <f t="shared" si="25"/>
        <v>614</v>
      </c>
      <c r="R819" s="970"/>
      <c r="S819" s="971">
        <v>7311</v>
      </c>
      <c r="T819" s="973">
        <v>2345</v>
      </c>
      <c r="U819" s="973">
        <f>9655+1</f>
        <v>9656</v>
      </c>
    </row>
    <row r="820" spans="1:21" x14ac:dyDescent="0.25">
      <c r="A820" s="967">
        <v>99051</v>
      </c>
      <c r="B820" s="968" t="s">
        <v>3455</v>
      </c>
      <c r="C820" s="969">
        <v>3.5359999999999998E-4</v>
      </c>
      <c r="D820" s="969">
        <v>3.3349999999999997E-4</v>
      </c>
      <c r="E820" s="986">
        <v>142317</v>
      </c>
      <c r="F820" s="970">
        <v>540203</v>
      </c>
      <c r="G820" s="970"/>
      <c r="H820" s="971">
        <v>31121</v>
      </c>
      <c r="I820" s="972">
        <v>131162</v>
      </c>
      <c r="J820" s="971">
        <v>77148</v>
      </c>
      <c r="K820" s="970">
        <v>11433</v>
      </c>
      <c r="L820" s="972">
        <f t="shared" si="24"/>
        <v>250864</v>
      </c>
      <c r="M820" s="970"/>
      <c r="N820" s="971">
        <v>15291</v>
      </c>
      <c r="O820" s="971">
        <v>0</v>
      </c>
      <c r="P820" s="970">
        <v>2536</v>
      </c>
      <c r="Q820" s="972">
        <f t="shared" si="25"/>
        <v>17827</v>
      </c>
      <c r="R820" s="970"/>
      <c r="S820" s="971">
        <v>182049</v>
      </c>
      <c r="T820" s="973">
        <v>4776</v>
      </c>
      <c r="U820" s="973">
        <f>186824+1</f>
        <v>186825</v>
      </c>
    </row>
    <row r="821" spans="1:21" x14ac:dyDescent="0.25">
      <c r="A821" s="967">
        <v>99061</v>
      </c>
      <c r="B821" s="968" t="s">
        <v>3456</v>
      </c>
      <c r="C821" s="969">
        <v>8.1000000000000004E-6</v>
      </c>
      <c r="D821" s="969">
        <v>8.3999999999999992E-6</v>
      </c>
      <c r="E821" s="986">
        <v>7897</v>
      </c>
      <c r="F821" s="970">
        <v>12375</v>
      </c>
      <c r="G821" s="970"/>
      <c r="H821" s="971">
        <v>713</v>
      </c>
      <c r="I821" s="972">
        <v>3005</v>
      </c>
      <c r="J821" s="971">
        <v>1767</v>
      </c>
      <c r="K821" s="970">
        <v>7276</v>
      </c>
      <c r="L821" s="972">
        <f t="shared" si="24"/>
        <v>12761</v>
      </c>
      <c r="M821" s="970"/>
      <c r="N821" s="971">
        <v>350</v>
      </c>
      <c r="O821" s="971">
        <v>0</v>
      </c>
      <c r="P821" s="970">
        <v>0</v>
      </c>
      <c r="Q821" s="972">
        <f t="shared" si="25"/>
        <v>350</v>
      </c>
      <c r="R821" s="970"/>
      <c r="S821" s="971">
        <v>4170</v>
      </c>
      <c r="T821" s="973">
        <v>2674</v>
      </c>
      <c r="U821" s="973">
        <v>6844</v>
      </c>
    </row>
    <row r="822" spans="1:21" x14ac:dyDescent="0.25">
      <c r="A822" s="967">
        <v>99071</v>
      </c>
      <c r="B822" s="968" t="s">
        <v>3457</v>
      </c>
      <c r="C822" s="969">
        <v>3.04E-5</v>
      </c>
      <c r="D822" s="969">
        <v>3.0499999999999999E-5</v>
      </c>
      <c r="E822" s="986">
        <v>15062</v>
      </c>
      <c r="F822" s="970">
        <v>46443</v>
      </c>
      <c r="G822" s="970"/>
      <c r="H822" s="971">
        <v>2676</v>
      </c>
      <c r="I822" s="972">
        <v>11277</v>
      </c>
      <c r="J822" s="971">
        <v>6633</v>
      </c>
      <c r="K822" s="970">
        <v>818</v>
      </c>
      <c r="L822" s="972">
        <f t="shared" si="24"/>
        <v>21404</v>
      </c>
      <c r="M822" s="970"/>
      <c r="N822" s="971">
        <v>1315</v>
      </c>
      <c r="O822" s="971">
        <v>0</v>
      </c>
      <c r="P822" s="970">
        <v>2093</v>
      </c>
      <c r="Q822" s="972">
        <f t="shared" si="25"/>
        <v>3408</v>
      </c>
      <c r="R822" s="970"/>
      <c r="S822" s="971">
        <v>15651</v>
      </c>
      <c r="T822" s="973">
        <v>-1107</v>
      </c>
      <c r="U822" s="973">
        <v>14544</v>
      </c>
    </row>
    <row r="823" spans="1:21" x14ac:dyDescent="0.25">
      <c r="A823" s="967">
        <v>99081</v>
      </c>
      <c r="B823" s="968" t="s">
        <v>3458</v>
      </c>
      <c r="C823" s="969">
        <v>1.1E-5</v>
      </c>
      <c r="D823" s="969">
        <v>2.9600000000000001E-5</v>
      </c>
      <c r="E823" s="986">
        <v>10195</v>
      </c>
      <c r="F823" s="970">
        <v>16805</v>
      </c>
      <c r="G823" s="970"/>
      <c r="H823" s="971">
        <v>968</v>
      </c>
      <c r="I823" s="972">
        <v>4081</v>
      </c>
      <c r="J823" s="971">
        <v>2400</v>
      </c>
      <c r="K823" s="970">
        <v>3587</v>
      </c>
      <c r="L823" s="972">
        <f t="shared" si="24"/>
        <v>11036</v>
      </c>
      <c r="M823" s="970"/>
      <c r="N823" s="971">
        <v>476</v>
      </c>
      <c r="O823" s="971">
        <v>0</v>
      </c>
      <c r="P823" s="970">
        <v>13215</v>
      </c>
      <c r="Q823" s="972">
        <f t="shared" si="25"/>
        <v>13691</v>
      </c>
      <c r="R823" s="970"/>
      <c r="S823" s="971">
        <v>5663</v>
      </c>
      <c r="T823" s="973">
        <v>-2898</v>
      </c>
      <c r="U823" s="973">
        <f>2766-1</f>
        <v>2765</v>
      </c>
    </row>
    <row r="824" spans="1:21" x14ac:dyDescent="0.25">
      <c r="A824" s="967">
        <v>99091</v>
      </c>
      <c r="B824" s="968" t="s">
        <v>3459</v>
      </c>
      <c r="C824" s="969">
        <v>3.9999999999999998E-6</v>
      </c>
      <c r="D824" s="969">
        <v>4.1999999999999996E-6</v>
      </c>
      <c r="E824" s="986">
        <v>4831</v>
      </c>
      <c r="F824" s="970">
        <v>6111</v>
      </c>
      <c r="G824" s="970"/>
      <c r="H824" s="971">
        <v>352</v>
      </c>
      <c r="I824" s="972">
        <v>1484</v>
      </c>
      <c r="J824" s="971">
        <v>873</v>
      </c>
      <c r="K824" s="970">
        <v>4105</v>
      </c>
      <c r="L824" s="972">
        <f t="shared" si="24"/>
        <v>6814</v>
      </c>
      <c r="M824" s="970"/>
      <c r="N824" s="971">
        <v>173</v>
      </c>
      <c r="O824" s="971">
        <v>0</v>
      </c>
      <c r="P824" s="970">
        <v>3232</v>
      </c>
      <c r="Q824" s="972">
        <f t="shared" si="25"/>
        <v>3405</v>
      </c>
      <c r="R824" s="970"/>
      <c r="S824" s="971">
        <v>2059</v>
      </c>
      <c r="T824" s="973">
        <v>-1926</v>
      </c>
      <c r="U824" s="973">
        <f>134-1</f>
        <v>133</v>
      </c>
    </row>
    <row r="825" spans="1:21" x14ac:dyDescent="0.25">
      <c r="A825" s="967">
        <v>99101</v>
      </c>
      <c r="B825" s="968" t="s">
        <v>3460</v>
      </c>
      <c r="C825" s="969">
        <v>2.1724000000000001E-3</v>
      </c>
      <c r="D825" s="969">
        <v>2.0087999999999998E-3</v>
      </c>
      <c r="E825" s="986">
        <v>914274</v>
      </c>
      <c r="F825" s="970">
        <v>3318825</v>
      </c>
      <c r="G825" s="970"/>
      <c r="H825" s="971">
        <v>191195</v>
      </c>
      <c r="I825" s="972">
        <v>805815</v>
      </c>
      <c r="J825" s="971">
        <v>473974</v>
      </c>
      <c r="K825" s="970">
        <v>48335</v>
      </c>
      <c r="L825" s="972">
        <f t="shared" si="24"/>
        <v>1519319</v>
      </c>
      <c r="M825" s="970"/>
      <c r="N825" s="971">
        <v>93945</v>
      </c>
      <c r="O825" s="971">
        <v>0</v>
      </c>
      <c r="P825" s="970">
        <v>44900</v>
      </c>
      <c r="Q825" s="972">
        <f t="shared" si="25"/>
        <v>138845</v>
      </c>
      <c r="R825" s="970"/>
      <c r="S825" s="971">
        <v>1118447</v>
      </c>
      <c r="T825" s="973">
        <v>-14151</v>
      </c>
      <c r="U825" s="973">
        <v>1104296</v>
      </c>
    </row>
    <row r="826" spans="1:21" x14ac:dyDescent="0.25">
      <c r="A826" s="967">
        <v>99104</v>
      </c>
      <c r="B826" s="968" t="s">
        <v>3461</v>
      </c>
      <c r="C826" s="969">
        <v>3.3500000000000001E-5</v>
      </c>
      <c r="D826" s="969">
        <v>3.4799999999999999E-5</v>
      </c>
      <c r="E826" s="986">
        <v>22874</v>
      </c>
      <c r="F826" s="970">
        <v>51179</v>
      </c>
      <c r="G826" s="970"/>
      <c r="H826" s="971">
        <v>2948</v>
      </c>
      <c r="I826" s="972">
        <v>12426</v>
      </c>
      <c r="J826" s="971">
        <v>7309</v>
      </c>
      <c r="K826" s="970">
        <v>15217</v>
      </c>
      <c r="L826" s="972">
        <f t="shared" si="24"/>
        <v>37900</v>
      </c>
      <c r="M826" s="970"/>
      <c r="N826" s="971">
        <v>1449</v>
      </c>
      <c r="O826" s="971">
        <v>0</v>
      </c>
      <c r="P826" s="970">
        <v>0</v>
      </c>
      <c r="Q826" s="972">
        <f t="shared" si="25"/>
        <v>1449</v>
      </c>
      <c r="R826" s="970"/>
      <c r="S826" s="971">
        <v>17247</v>
      </c>
      <c r="T826" s="973">
        <v>6167</v>
      </c>
      <c r="U826" s="973">
        <f>23415-1</f>
        <v>23414</v>
      </c>
    </row>
    <row r="827" spans="1:21" x14ac:dyDescent="0.25">
      <c r="A827" s="967">
        <v>99109</v>
      </c>
      <c r="B827" s="968" t="s">
        <v>3462</v>
      </c>
      <c r="C827" s="969">
        <v>1.2339999999999999E-4</v>
      </c>
      <c r="D827" s="969">
        <v>1.1849999999999999E-4</v>
      </c>
      <c r="E827" s="986">
        <v>56338</v>
      </c>
      <c r="F827" s="970">
        <v>188521</v>
      </c>
      <c r="G827" s="970"/>
      <c r="H827" s="971">
        <v>10861</v>
      </c>
      <c r="I827" s="972">
        <v>45773</v>
      </c>
      <c r="J827" s="971">
        <v>26923</v>
      </c>
      <c r="K827" s="970">
        <v>6454</v>
      </c>
      <c r="L827" s="972">
        <f t="shared" si="24"/>
        <v>90011</v>
      </c>
      <c r="M827" s="970"/>
      <c r="N827" s="971">
        <v>5336</v>
      </c>
      <c r="O827" s="971">
        <v>0</v>
      </c>
      <c r="P827" s="970">
        <v>14208</v>
      </c>
      <c r="Q827" s="972">
        <f t="shared" si="25"/>
        <v>19544</v>
      </c>
      <c r="R827" s="970"/>
      <c r="S827" s="971">
        <v>63532</v>
      </c>
      <c r="T827" s="973">
        <v>-5391</v>
      </c>
      <c r="U827" s="973">
        <f>58140+1</f>
        <v>58141</v>
      </c>
    </row>
    <row r="828" spans="1:21" x14ac:dyDescent="0.25">
      <c r="A828" s="967">
        <v>99110</v>
      </c>
      <c r="B828" s="968" t="s">
        <v>3463</v>
      </c>
      <c r="C828" s="969">
        <v>1.7670000000000001E-4</v>
      </c>
      <c r="D828" s="969">
        <v>1.8369999999999999E-4</v>
      </c>
      <c r="E828" s="986">
        <v>119963</v>
      </c>
      <c r="F828" s="970">
        <v>269949</v>
      </c>
      <c r="G828" s="970"/>
      <c r="H828" s="971">
        <v>15552</v>
      </c>
      <c r="I828" s="972">
        <v>65544</v>
      </c>
      <c r="J828" s="971">
        <v>38552</v>
      </c>
      <c r="K828" s="970">
        <v>69046</v>
      </c>
      <c r="L828" s="972">
        <f t="shared" si="24"/>
        <v>188694</v>
      </c>
      <c r="M828" s="970"/>
      <c r="N828" s="971">
        <v>7641</v>
      </c>
      <c r="O828" s="971">
        <v>0</v>
      </c>
      <c r="P828" s="970">
        <v>0</v>
      </c>
      <c r="Q828" s="972">
        <f t="shared" si="25"/>
        <v>7641</v>
      </c>
      <c r="R828" s="970"/>
      <c r="S828" s="971">
        <v>90973</v>
      </c>
      <c r="T828" s="973">
        <v>27602</v>
      </c>
      <c r="U828" s="973">
        <v>118575</v>
      </c>
    </row>
    <row r="829" spans="1:21" x14ac:dyDescent="0.25">
      <c r="A829" s="967">
        <v>99111</v>
      </c>
      <c r="B829" s="968" t="s">
        <v>3464</v>
      </c>
      <c r="C829" s="969">
        <v>1.2618E-3</v>
      </c>
      <c r="D829" s="969">
        <v>1.2757000000000001E-3</v>
      </c>
      <c r="E829" s="986">
        <v>543583</v>
      </c>
      <c r="F829" s="970">
        <v>1927681</v>
      </c>
      <c r="G829" s="970"/>
      <c r="H829" s="971">
        <v>111052</v>
      </c>
      <c r="I829" s="972">
        <v>468043</v>
      </c>
      <c r="J829" s="971">
        <v>275300</v>
      </c>
      <c r="K829" s="970">
        <v>0</v>
      </c>
      <c r="L829" s="972">
        <f t="shared" si="24"/>
        <v>854395</v>
      </c>
      <c r="M829" s="970"/>
      <c r="N829" s="971">
        <v>54567</v>
      </c>
      <c r="O829" s="971">
        <v>0</v>
      </c>
      <c r="P829" s="970">
        <v>143900</v>
      </c>
      <c r="Q829" s="972">
        <f t="shared" si="25"/>
        <v>198467</v>
      </c>
      <c r="R829" s="970"/>
      <c r="S829" s="971">
        <v>649630</v>
      </c>
      <c r="T829" s="973">
        <v>-68554</v>
      </c>
      <c r="U829" s="973">
        <v>581076</v>
      </c>
    </row>
    <row r="830" spans="1:21" x14ac:dyDescent="0.25">
      <c r="A830" s="967">
        <v>99201</v>
      </c>
      <c r="B830" s="968" t="s">
        <v>3465</v>
      </c>
      <c r="C830" s="969">
        <v>3.3297199999999999E-2</v>
      </c>
      <c r="D830" s="969">
        <v>3.22145E-2</v>
      </c>
      <c r="E830" s="986">
        <v>15084487</v>
      </c>
      <c r="F830" s="970">
        <v>50868898</v>
      </c>
      <c r="G830" s="970"/>
      <c r="H830" s="971">
        <v>2930520</v>
      </c>
      <c r="I830" s="972">
        <v>12351030</v>
      </c>
      <c r="J830" s="971">
        <v>7264783</v>
      </c>
      <c r="K830" s="970">
        <v>1320745</v>
      </c>
      <c r="L830" s="972">
        <f t="shared" si="24"/>
        <v>23867078</v>
      </c>
      <c r="M830" s="970"/>
      <c r="N830" s="971">
        <v>1439937</v>
      </c>
      <c r="O830" s="971">
        <v>0</v>
      </c>
      <c r="P830" s="970">
        <v>241517</v>
      </c>
      <c r="Q830" s="972">
        <f t="shared" si="25"/>
        <v>1681454</v>
      </c>
      <c r="R830" s="970"/>
      <c r="S830" s="971">
        <v>17142864</v>
      </c>
      <c r="T830" s="973">
        <v>242815</v>
      </c>
      <c r="U830" s="973">
        <v>17385679</v>
      </c>
    </row>
    <row r="831" spans="1:21" x14ac:dyDescent="0.25">
      <c r="A831" s="967">
        <v>99202</v>
      </c>
      <c r="B831" s="968" t="s">
        <v>3466</v>
      </c>
      <c r="C831" s="969">
        <v>2.5855000000000001E-3</v>
      </c>
      <c r="D831" s="969">
        <v>2.5138000000000001E-3</v>
      </c>
      <c r="E831" s="986">
        <v>1072068</v>
      </c>
      <c r="F831" s="970">
        <v>3949928</v>
      </c>
      <c r="G831" s="970"/>
      <c r="H831" s="971">
        <v>227552</v>
      </c>
      <c r="I831" s="972">
        <v>959048</v>
      </c>
      <c r="J831" s="971">
        <v>564104</v>
      </c>
      <c r="K831" s="970">
        <v>0</v>
      </c>
      <c r="L831" s="972">
        <f t="shared" si="24"/>
        <v>1750704</v>
      </c>
      <c r="M831" s="970"/>
      <c r="N831" s="971">
        <v>111810</v>
      </c>
      <c r="O831" s="971">
        <v>0</v>
      </c>
      <c r="P831" s="970">
        <v>184130</v>
      </c>
      <c r="Q831" s="972">
        <f t="shared" si="25"/>
        <v>295940</v>
      </c>
      <c r="R831" s="970"/>
      <c r="S831" s="971">
        <v>1331129</v>
      </c>
      <c r="T831" s="973">
        <v>-73084</v>
      </c>
      <c r="U831" s="973">
        <v>1258045</v>
      </c>
    </row>
    <row r="832" spans="1:21" x14ac:dyDescent="0.25">
      <c r="A832" s="967">
        <v>99203</v>
      </c>
      <c r="B832" s="968" t="s">
        <v>3467</v>
      </c>
      <c r="C832" s="969">
        <v>3.0410000000000002E-4</v>
      </c>
      <c r="D832" s="969">
        <v>3.1990000000000002E-4</v>
      </c>
      <c r="E832" s="986">
        <v>126936</v>
      </c>
      <c r="F832" s="970">
        <v>464581</v>
      </c>
      <c r="G832" s="970"/>
      <c r="H832" s="971">
        <v>26764</v>
      </c>
      <c r="I832" s="972">
        <v>112801</v>
      </c>
      <c r="J832" s="971">
        <v>66349</v>
      </c>
      <c r="K832" s="970">
        <v>24433</v>
      </c>
      <c r="L832" s="972">
        <f t="shared" si="24"/>
        <v>230347</v>
      </c>
      <c r="M832" s="970"/>
      <c r="N832" s="971">
        <v>13151</v>
      </c>
      <c r="O832" s="971">
        <v>0</v>
      </c>
      <c r="P832" s="970">
        <v>20730</v>
      </c>
      <c r="Q832" s="972">
        <f t="shared" si="25"/>
        <v>33881</v>
      </c>
      <c r="R832" s="970"/>
      <c r="S832" s="971">
        <v>156564</v>
      </c>
      <c r="T832" s="973">
        <v>11213</v>
      </c>
      <c r="U832" s="973">
        <v>167777</v>
      </c>
    </row>
    <row r="833" spans="1:21" x14ac:dyDescent="0.25">
      <c r="A833" s="967">
        <v>99204</v>
      </c>
      <c r="B833" s="968" t="s">
        <v>3468</v>
      </c>
      <c r="C833" s="969">
        <v>8.3549999999999998E-4</v>
      </c>
      <c r="D833" s="969">
        <v>7.4910000000000005E-4</v>
      </c>
      <c r="E833" s="986">
        <v>375261</v>
      </c>
      <c r="F833" s="970">
        <v>1276413</v>
      </c>
      <c r="G833" s="970"/>
      <c r="H833" s="971">
        <v>73533</v>
      </c>
      <c r="I833" s="972">
        <v>309914</v>
      </c>
      <c r="J833" s="971">
        <v>182289</v>
      </c>
      <c r="K833" s="970">
        <v>108607</v>
      </c>
      <c r="L833" s="972">
        <f t="shared" si="24"/>
        <v>674343</v>
      </c>
      <c r="M833" s="970"/>
      <c r="N833" s="971">
        <v>36131</v>
      </c>
      <c r="O833" s="971">
        <v>0</v>
      </c>
      <c r="P833" s="970">
        <v>0</v>
      </c>
      <c r="Q833" s="972">
        <f t="shared" si="25"/>
        <v>36131</v>
      </c>
      <c r="R833" s="970"/>
      <c r="S833" s="971">
        <v>430152</v>
      </c>
      <c r="T833" s="973">
        <v>37657</v>
      </c>
      <c r="U833" s="973">
        <v>467809</v>
      </c>
    </row>
    <row r="834" spans="1:21" x14ac:dyDescent="0.25">
      <c r="A834" s="967">
        <v>99206</v>
      </c>
      <c r="B834" s="968" t="s">
        <v>3469</v>
      </c>
      <c r="C834" s="969">
        <v>1.6957999999999999E-3</v>
      </c>
      <c r="D834" s="969">
        <v>1.6665E-3</v>
      </c>
      <c r="E834" s="986">
        <v>1210225</v>
      </c>
      <c r="F834" s="970">
        <v>2590713</v>
      </c>
      <c r="G834" s="970"/>
      <c r="H834" s="971">
        <v>149249</v>
      </c>
      <c r="I834" s="972">
        <v>629028</v>
      </c>
      <c r="J834" s="971">
        <v>369990</v>
      </c>
      <c r="K834" s="970">
        <v>641271</v>
      </c>
      <c r="L834" s="972">
        <f t="shared" si="24"/>
        <v>1789538</v>
      </c>
      <c r="M834" s="970"/>
      <c r="N834" s="971">
        <v>73335</v>
      </c>
      <c r="O834" s="971">
        <v>0</v>
      </c>
      <c r="P834" s="970">
        <v>6741</v>
      </c>
      <c r="Q834" s="972">
        <f t="shared" si="25"/>
        <v>80076</v>
      </c>
      <c r="R834" s="970"/>
      <c r="S834" s="971">
        <v>873072</v>
      </c>
      <c r="T834" s="973">
        <v>209066</v>
      </c>
      <c r="U834" s="973">
        <f>1082139-1</f>
        <v>1082138</v>
      </c>
    </row>
    <row r="835" spans="1:21" x14ac:dyDescent="0.25">
      <c r="A835" s="967">
        <v>99207</v>
      </c>
      <c r="B835" s="968" t="s">
        <v>3695</v>
      </c>
      <c r="C835" s="969">
        <v>1.3329999999999999E-4</v>
      </c>
      <c r="D835" s="969">
        <v>1.3430000000000001E-4</v>
      </c>
      <c r="E835" s="986">
        <v>175075</v>
      </c>
      <c r="F835" s="970">
        <v>203645</v>
      </c>
      <c r="G835" s="970"/>
      <c r="H835" s="971">
        <v>11732</v>
      </c>
      <c r="I835" s="972">
        <v>49445</v>
      </c>
      <c r="J835" s="971">
        <v>29083</v>
      </c>
      <c r="K835" s="970">
        <v>145724</v>
      </c>
      <c r="L835" s="972">
        <f t="shared" si="24"/>
        <v>235984</v>
      </c>
      <c r="M835" s="970"/>
      <c r="N835" s="971">
        <v>5765</v>
      </c>
      <c r="O835" s="971">
        <v>0</v>
      </c>
      <c r="P835" s="970">
        <v>0</v>
      </c>
      <c r="Q835" s="972">
        <f t="shared" si="25"/>
        <v>5765</v>
      </c>
      <c r="R835" s="970"/>
      <c r="S835" s="971">
        <v>68629</v>
      </c>
      <c r="T835" s="973">
        <v>46901</v>
      </c>
      <c r="U835" s="973">
        <v>115530</v>
      </c>
    </row>
    <row r="836" spans="1:21" x14ac:dyDescent="0.25">
      <c r="A836" s="967">
        <v>99208</v>
      </c>
      <c r="B836" s="968" t="s">
        <v>3471</v>
      </c>
      <c r="C836" s="969">
        <v>1.4569999999999999E-4</v>
      </c>
      <c r="D836" s="969">
        <v>1.3669999999999999E-4</v>
      </c>
      <c r="E836" s="986">
        <v>57804</v>
      </c>
      <c r="F836" s="970">
        <v>222589</v>
      </c>
      <c r="G836" s="970"/>
      <c r="H836" s="971">
        <v>12823</v>
      </c>
      <c r="I836" s="972">
        <v>54045</v>
      </c>
      <c r="J836" s="971">
        <v>31789</v>
      </c>
      <c r="K836" s="970">
        <v>0</v>
      </c>
      <c r="L836" s="972">
        <f t="shared" si="24"/>
        <v>98657</v>
      </c>
      <c r="M836" s="970"/>
      <c r="N836" s="971">
        <v>6301</v>
      </c>
      <c r="O836" s="971">
        <v>0</v>
      </c>
      <c r="P836" s="970">
        <v>38521</v>
      </c>
      <c r="Q836" s="972">
        <f t="shared" si="25"/>
        <v>44822</v>
      </c>
      <c r="R836" s="970"/>
      <c r="S836" s="971">
        <v>75013</v>
      </c>
      <c r="T836" s="973">
        <v>-20543</v>
      </c>
      <c r="U836" s="973">
        <v>54470</v>
      </c>
    </row>
    <row r="837" spans="1:21" x14ac:dyDescent="0.25">
      <c r="A837" s="967">
        <v>99210</v>
      </c>
      <c r="B837" s="968" t="s">
        <v>3472</v>
      </c>
      <c r="C837" s="969">
        <v>1.5943999999999999E-3</v>
      </c>
      <c r="D837" s="969">
        <v>1.5945E-3</v>
      </c>
      <c r="E837" s="986">
        <v>789521</v>
      </c>
      <c r="F837" s="970">
        <v>2435802</v>
      </c>
      <c r="G837" s="970"/>
      <c r="H837" s="971">
        <v>140325</v>
      </c>
      <c r="I837" s="972">
        <v>591415</v>
      </c>
      <c r="J837" s="971">
        <v>347866</v>
      </c>
      <c r="K837" s="970">
        <v>99237</v>
      </c>
      <c r="L837" s="972">
        <f t="shared" si="24"/>
        <v>1178843</v>
      </c>
      <c r="M837" s="970"/>
      <c r="N837" s="971">
        <v>68950</v>
      </c>
      <c r="O837" s="971">
        <v>0</v>
      </c>
      <c r="P837" s="970">
        <v>0</v>
      </c>
      <c r="Q837" s="972">
        <f t="shared" si="25"/>
        <v>68950</v>
      </c>
      <c r="R837" s="970"/>
      <c r="S837" s="971">
        <v>820867</v>
      </c>
      <c r="T837" s="973">
        <v>39106</v>
      </c>
      <c r="U837" s="973">
        <f>859974-1</f>
        <v>859973</v>
      </c>
    </row>
    <row r="838" spans="1:21" x14ac:dyDescent="0.25">
      <c r="A838" s="967">
        <v>99211</v>
      </c>
      <c r="B838" s="968" t="s">
        <v>3473</v>
      </c>
      <c r="C838" s="969">
        <v>3.7100599999999997E-2</v>
      </c>
      <c r="D838" s="969">
        <v>3.8233999999999997E-2</v>
      </c>
      <c r="E838" s="986">
        <v>16957539</v>
      </c>
      <c r="F838" s="970">
        <v>56679440</v>
      </c>
      <c r="G838" s="970"/>
      <c r="H838" s="971">
        <v>3265261</v>
      </c>
      <c r="I838" s="972">
        <v>13761837</v>
      </c>
      <c r="J838" s="971">
        <v>8094609</v>
      </c>
      <c r="K838" s="970">
        <v>0</v>
      </c>
      <c r="L838" s="972">
        <f t="shared" si="24"/>
        <v>25121707</v>
      </c>
      <c r="M838" s="970"/>
      <c r="N838" s="971">
        <v>1604415</v>
      </c>
      <c r="O838" s="971">
        <v>0</v>
      </c>
      <c r="P838" s="970">
        <v>1838947</v>
      </c>
      <c r="Q838" s="972">
        <f t="shared" si="25"/>
        <v>3443362</v>
      </c>
      <c r="R838" s="970"/>
      <c r="S838" s="971">
        <v>19101021</v>
      </c>
      <c r="T838" s="973">
        <v>-724653</v>
      </c>
      <c r="U838" s="973">
        <f>18376369-1</f>
        <v>18376368</v>
      </c>
    </row>
    <row r="839" spans="1:21" x14ac:dyDescent="0.25">
      <c r="A839" s="967">
        <v>99212</v>
      </c>
      <c r="B839" s="968" t="s">
        <v>3474</v>
      </c>
      <c r="C839" s="969">
        <v>8.14E-5</v>
      </c>
      <c r="D839" s="969">
        <v>7.4400000000000006E-5</v>
      </c>
      <c r="E839" s="986">
        <v>31805</v>
      </c>
      <c r="F839" s="970">
        <v>124357</v>
      </c>
      <c r="G839" s="970"/>
      <c r="H839" s="971">
        <v>7164</v>
      </c>
      <c r="I839" s="972">
        <v>30194</v>
      </c>
      <c r="J839" s="971">
        <v>17760</v>
      </c>
      <c r="K839" s="970">
        <v>242</v>
      </c>
      <c r="L839" s="972">
        <f t="shared" ref="L839:L902" si="26">H839+I839+J839+K839</f>
        <v>55360</v>
      </c>
      <c r="M839" s="970"/>
      <c r="N839" s="971">
        <v>3520</v>
      </c>
      <c r="O839" s="971">
        <v>0</v>
      </c>
      <c r="P839" s="970">
        <v>34044</v>
      </c>
      <c r="Q839" s="972">
        <f t="shared" ref="Q839:Q902" si="27">N839+O839+P839</f>
        <v>37564</v>
      </c>
      <c r="R839" s="970"/>
      <c r="S839" s="971">
        <v>41908</v>
      </c>
      <c r="T839" s="973">
        <v>-15261</v>
      </c>
      <c r="U839" s="973">
        <v>26647</v>
      </c>
    </row>
    <row r="840" spans="1:21" x14ac:dyDescent="0.25">
      <c r="A840" s="967">
        <v>99213</v>
      </c>
      <c r="B840" s="968" t="s">
        <v>3475</v>
      </c>
      <c r="C840" s="969">
        <v>7.5159999999999995E-4</v>
      </c>
      <c r="D840" s="969">
        <v>8.0730000000000005E-4</v>
      </c>
      <c r="E840" s="986">
        <v>353817</v>
      </c>
      <c r="F840" s="970">
        <v>1148237</v>
      </c>
      <c r="G840" s="970"/>
      <c r="H840" s="971">
        <v>66149</v>
      </c>
      <c r="I840" s="972">
        <v>278793</v>
      </c>
      <c r="J840" s="971">
        <v>163984</v>
      </c>
      <c r="K840" s="970">
        <v>6057</v>
      </c>
      <c r="L840" s="972">
        <f t="shared" si="26"/>
        <v>514983</v>
      </c>
      <c r="M840" s="970"/>
      <c r="N840" s="971">
        <v>32503</v>
      </c>
      <c r="O840" s="971">
        <v>0</v>
      </c>
      <c r="P840" s="970">
        <v>45468</v>
      </c>
      <c r="Q840" s="972">
        <f t="shared" si="27"/>
        <v>77971</v>
      </c>
      <c r="R840" s="970"/>
      <c r="S840" s="971">
        <v>386957</v>
      </c>
      <c r="T840" s="973">
        <v>-10310</v>
      </c>
      <c r="U840" s="973">
        <f>376646+1</f>
        <v>376647</v>
      </c>
    </row>
    <row r="841" spans="1:21" x14ac:dyDescent="0.25">
      <c r="A841" s="967">
        <v>99218</v>
      </c>
      <c r="B841" s="968" t="s">
        <v>3476</v>
      </c>
      <c r="C841" s="969">
        <v>3.1162E-3</v>
      </c>
      <c r="D841" s="969">
        <v>3.1227999999999998E-3</v>
      </c>
      <c r="E841" s="986">
        <v>1493014</v>
      </c>
      <c r="F841" s="970">
        <v>4760690</v>
      </c>
      <c r="G841" s="970"/>
      <c r="H841" s="971">
        <v>274260</v>
      </c>
      <c r="I841" s="972">
        <v>1155902</v>
      </c>
      <c r="J841" s="971">
        <v>679893</v>
      </c>
      <c r="K841" s="970">
        <v>179789</v>
      </c>
      <c r="L841" s="972">
        <f t="shared" si="26"/>
        <v>2289844</v>
      </c>
      <c r="M841" s="970"/>
      <c r="N841" s="971">
        <v>134760</v>
      </c>
      <c r="O841" s="971">
        <v>0</v>
      </c>
      <c r="P841" s="970">
        <v>0</v>
      </c>
      <c r="Q841" s="972">
        <f t="shared" si="27"/>
        <v>134760</v>
      </c>
      <c r="R841" s="970"/>
      <c r="S841" s="971">
        <v>1604357</v>
      </c>
      <c r="T841" s="973">
        <v>66860</v>
      </c>
      <c r="U841" s="973">
        <v>1671217</v>
      </c>
    </row>
    <row r="842" spans="1:21" x14ac:dyDescent="0.25">
      <c r="A842" s="967">
        <v>99221</v>
      </c>
      <c r="B842" s="968" t="s">
        <v>3477</v>
      </c>
      <c r="C842" s="969">
        <v>1.27709E-2</v>
      </c>
      <c r="D842" s="969">
        <v>1.3092700000000001E-2</v>
      </c>
      <c r="E842" s="986">
        <v>5876509</v>
      </c>
      <c r="F842" s="970">
        <v>19510398</v>
      </c>
      <c r="G842" s="970"/>
      <c r="H842" s="971">
        <v>1123980</v>
      </c>
      <c r="I842" s="972">
        <v>4737148</v>
      </c>
      <c r="J842" s="971">
        <v>2786355</v>
      </c>
      <c r="K842" s="970">
        <v>0</v>
      </c>
      <c r="L842" s="972">
        <f t="shared" si="26"/>
        <v>8647483</v>
      </c>
      <c r="M842" s="970"/>
      <c r="N842" s="971">
        <v>552278</v>
      </c>
      <c r="O842" s="971">
        <v>0</v>
      </c>
      <c r="P842" s="970">
        <v>687802</v>
      </c>
      <c r="Q842" s="972">
        <f t="shared" si="27"/>
        <v>1240080</v>
      </c>
      <c r="R842" s="970"/>
      <c r="S842" s="971">
        <v>6575021</v>
      </c>
      <c r="T842" s="973">
        <v>-271922</v>
      </c>
      <c r="U842" s="973">
        <v>6303099</v>
      </c>
    </row>
    <row r="843" spans="1:21" x14ac:dyDescent="0.25">
      <c r="A843" s="967">
        <v>99222</v>
      </c>
      <c r="B843" s="968" t="s">
        <v>3478</v>
      </c>
      <c r="C843" s="969">
        <v>3.9100000000000002E-5</v>
      </c>
      <c r="D843" s="969">
        <v>4.0099999999999999E-5</v>
      </c>
      <c r="E843" s="986">
        <v>15446</v>
      </c>
      <c r="F843" s="970">
        <v>59734</v>
      </c>
      <c r="G843" s="970"/>
      <c r="H843" s="971">
        <v>3441</v>
      </c>
      <c r="I843" s="972">
        <v>14504</v>
      </c>
      <c r="J843" s="971">
        <v>8531</v>
      </c>
      <c r="K843" s="970">
        <v>2307</v>
      </c>
      <c r="L843" s="972">
        <f t="shared" si="26"/>
        <v>28783</v>
      </c>
      <c r="M843" s="970"/>
      <c r="N843" s="971">
        <v>1691</v>
      </c>
      <c r="O843" s="971">
        <v>0</v>
      </c>
      <c r="P843" s="970">
        <v>3585</v>
      </c>
      <c r="Q843" s="972">
        <f t="shared" si="27"/>
        <v>5276</v>
      </c>
      <c r="R843" s="970"/>
      <c r="S843" s="971">
        <v>20130</v>
      </c>
      <c r="T843" s="973">
        <v>281</v>
      </c>
      <c r="U843" s="973">
        <v>20411</v>
      </c>
    </row>
    <row r="844" spans="1:21" x14ac:dyDescent="0.25">
      <c r="A844" s="967">
        <v>99231</v>
      </c>
      <c r="B844" s="968" t="s">
        <v>3479</v>
      </c>
      <c r="C844" s="969">
        <v>3.7179999999999998E-4</v>
      </c>
      <c r="D844" s="969">
        <v>3.7869999999999999E-4</v>
      </c>
      <c r="E844" s="986">
        <v>156904</v>
      </c>
      <c r="F844" s="970">
        <v>568007</v>
      </c>
      <c r="G844" s="970"/>
      <c r="H844" s="971">
        <v>32722</v>
      </c>
      <c r="I844" s="972">
        <v>137913</v>
      </c>
      <c r="J844" s="971">
        <v>81119</v>
      </c>
      <c r="K844" s="970">
        <v>0</v>
      </c>
      <c r="L844" s="972">
        <f t="shared" si="26"/>
        <v>251754</v>
      </c>
      <c r="M844" s="970"/>
      <c r="N844" s="971">
        <v>16078</v>
      </c>
      <c r="O844" s="971">
        <v>0</v>
      </c>
      <c r="P844" s="970">
        <v>31773</v>
      </c>
      <c r="Q844" s="972">
        <f t="shared" si="27"/>
        <v>47851</v>
      </c>
      <c r="R844" s="970"/>
      <c r="S844" s="971">
        <v>191419</v>
      </c>
      <c r="T844" s="973">
        <v>-14995</v>
      </c>
      <c r="U844" s="973">
        <v>176424</v>
      </c>
    </row>
    <row r="845" spans="1:21" x14ac:dyDescent="0.25">
      <c r="A845" s="967">
        <v>99241</v>
      </c>
      <c r="B845" s="968" t="s">
        <v>3480</v>
      </c>
      <c r="C845" s="969">
        <v>5.5329999999999995E-4</v>
      </c>
      <c r="D845" s="969">
        <v>5.6039999999999996E-4</v>
      </c>
      <c r="E845" s="986">
        <v>226042</v>
      </c>
      <c r="F845" s="970">
        <v>845289</v>
      </c>
      <c r="G845" s="970"/>
      <c r="H845" s="971">
        <v>48696</v>
      </c>
      <c r="I845" s="972">
        <v>205238</v>
      </c>
      <c r="J845" s="971">
        <v>120719</v>
      </c>
      <c r="K845" s="970">
        <v>0</v>
      </c>
      <c r="L845" s="972">
        <f t="shared" si="26"/>
        <v>374653</v>
      </c>
      <c r="M845" s="970"/>
      <c r="N845" s="971">
        <v>23927</v>
      </c>
      <c r="O845" s="971">
        <v>0</v>
      </c>
      <c r="P845" s="970">
        <v>103885</v>
      </c>
      <c r="Q845" s="972">
        <f t="shared" si="27"/>
        <v>127812</v>
      </c>
      <c r="R845" s="970"/>
      <c r="S845" s="971">
        <v>284863</v>
      </c>
      <c r="T845" s="973">
        <v>-52289</v>
      </c>
      <c r="U845" s="973">
        <f>232575-1</f>
        <v>232574</v>
      </c>
    </row>
    <row r="846" spans="1:21" x14ac:dyDescent="0.25">
      <c r="A846" s="967">
        <v>99251</v>
      </c>
      <c r="B846" s="968" t="s">
        <v>3481</v>
      </c>
      <c r="C846" s="969">
        <v>1.6069000000000001E-3</v>
      </c>
      <c r="D846" s="969">
        <v>1.6521000000000001E-3</v>
      </c>
      <c r="E846" s="986">
        <v>745408</v>
      </c>
      <c r="F846" s="970">
        <v>2454898</v>
      </c>
      <c r="G846" s="970"/>
      <c r="H846" s="971">
        <v>141425</v>
      </c>
      <c r="I846" s="972">
        <v>596053</v>
      </c>
      <c r="J846" s="971">
        <v>350593</v>
      </c>
      <c r="K846" s="970">
        <v>2758</v>
      </c>
      <c r="L846" s="972">
        <f t="shared" si="26"/>
        <v>1090829</v>
      </c>
      <c r="M846" s="970"/>
      <c r="N846" s="971">
        <v>69490</v>
      </c>
      <c r="O846" s="971">
        <v>0</v>
      </c>
      <c r="P846" s="970">
        <v>31200</v>
      </c>
      <c r="Q846" s="972">
        <f t="shared" si="27"/>
        <v>100690</v>
      </c>
      <c r="R846" s="970"/>
      <c r="S846" s="971">
        <v>827303</v>
      </c>
      <c r="T846" s="973">
        <v>-11932</v>
      </c>
      <c r="U846" s="973">
        <v>815371</v>
      </c>
    </row>
    <row r="847" spans="1:21" x14ac:dyDescent="0.25">
      <c r="A847" s="967">
        <v>99252</v>
      </c>
      <c r="B847" s="968" t="s">
        <v>3482</v>
      </c>
      <c r="C847" s="969">
        <v>6.1269999999999999E-4</v>
      </c>
      <c r="D847" s="969">
        <v>5.8279999999999996E-4</v>
      </c>
      <c r="E847" s="986">
        <v>212386</v>
      </c>
      <c r="F847" s="970">
        <v>936036</v>
      </c>
      <c r="G847" s="970"/>
      <c r="H847" s="971">
        <v>53924</v>
      </c>
      <c r="I847" s="972">
        <v>227271</v>
      </c>
      <c r="J847" s="971">
        <v>133679</v>
      </c>
      <c r="K847" s="970">
        <v>0</v>
      </c>
      <c r="L847" s="972">
        <f t="shared" si="26"/>
        <v>414874</v>
      </c>
      <c r="M847" s="970"/>
      <c r="N847" s="971">
        <v>26496</v>
      </c>
      <c r="O847" s="971">
        <v>0</v>
      </c>
      <c r="P847" s="970">
        <v>202059</v>
      </c>
      <c r="Q847" s="972">
        <f t="shared" si="27"/>
        <v>228555</v>
      </c>
      <c r="R847" s="970"/>
      <c r="S847" s="971">
        <v>315445</v>
      </c>
      <c r="T847" s="973">
        <v>-85968</v>
      </c>
      <c r="U847" s="973">
        <v>229477</v>
      </c>
    </row>
    <row r="848" spans="1:21" x14ac:dyDescent="0.25">
      <c r="A848" s="967">
        <v>99261</v>
      </c>
      <c r="B848" s="968" t="s">
        <v>3483</v>
      </c>
      <c r="C848" s="969">
        <v>1.9938E-3</v>
      </c>
      <c r="D848" s="969">
        <v>1.9145E-3</v>
      </c>
      <c r="E848" s="986">
        <v>808835</v>
      </c>
      <c r="F848" s="970">
        <v>3045974</v>
      </c>
      <c r="G848" s="970"/>
      <c r="H848" s="971">
        <v>175476</v>
      </c>
      <c r="I848" s="972">
        <v>739566</v>
      </c>
      <c r="J848" s="971">
        <v>435007</v>
      </c>
      <c r="K848" s="970">
        <v>0</v>
      </c>
      <c r="L848" s="972">
        <f t="shared" si="26"/>
        <v>1350049</v>
      </c>
      <c r="M848" s="970"/>
      <c r="N848" s="971">
        <v>86222</v>
      </c>
      <c r="O848" s="971">
        <v>0</v>
      </c>
      <c r="P848" s="970">
        <v>148472</v>
      </c>
      <c r="Q848" s="972">
        <f t="shared" si="27"/>
        <v>234694</v>
      </c>
      <c r="R848" s="970"/>
      <c r="S848" s="971">
        <v>1026496</v>
      </c>
      <c r="T848" s="973">
        <v>-69364</v>
      </c>
      <c r="U848" s="973">
        <v>957132</v>
      </c>
    </row>
    <row r="849" spans="1:21" x14ac:dyDescent="0.25">
      <c r="A849" s="967">
        <v>99271</v>
      </c>
      <c r="B849" s="968" t="s">
        <v>3484</v>
      </c>
      <c r="C849" s="969">
        <v>4.0137000000000003E-3</v>
      </c>
      <c r="D849" s="969">
        <v>3.9248E-3</v>
      </c>
      <c r="E849" s="986">
        <v>1751675</v>
      </c>
      <c r="F849" s="970">
        <v>6131822</v>
      </c>
      <c r="G849" s="970"/>
      <c r="H849" s="971">
        <v>353250</v>
      </c>
      <c r="I849" s="972">
        <v>1488814</v>
      </c>
      <c r="J849" s="971">
        <v>875709</v>
      </c>
      <c r="K849" s="970">
        <v>0</v>
      </c>
      <c r="L849" s="972">
        <f t="shared" si="26"/>
        <v>2717773</v>
      </c>
      <c r="M849" s="970"/>
      <c r="N849" s="971">
        <v>173572</v>
      </c>
      <c r="O849" s="971">
        <v>0</v>
      </c>
      <c r="P849" s="970">
        <v>122792</v>
      </c>
      <c r="Q849" s="972">
        <f t="shared" si="27"/>
        <v>296364</v>
      </c>
      <c r="R849" s="970"/>
      <c r="S849" s="971">
        <v>2066429</v>
      </c>
      <c r="T849" s="973">
        <v>-45302</v>
      </c>
      <c r="U849" s="973">
        <v>2021127</v>
      </c>
    </row>
    <row r="850" spans="1:21" x14ac:dyDescent="0.25">
      <c r="A850" s="967">
        <v>99281</v>
      </c>
      <c r="B850" s="968" t="s">
        <v>3485</v>
      </c>
      <c r="C850" s="969">
        <v>2.2918999999999999E-3</v>
      </c>
      <c r="D850" s="969">
        <v>2.2824E-3</v>
      </c>
      <c r="E850" s="986">
        <v>984780</v>
      </c>
      <c r="F850" s="970">
        <v>3501388</v>
      </c>
      <c r="G850" s="970"/>
      <c r="H850" s="971">
        <v>201712</v>
      </c>
      <c r="I850" s="972">
        <v>850141</v>
      </c>
      <c r="J850" s="971">
        <v>500047</v>
      </c>
      <c r="K850" s="970">
        <v>6743</v>
      </c>
      <c r="L850" s="972">
        <f t="shared" si="26"/>
        <v>1558643</v>
      </c>
      <c r="M850" s="970"/>
      <c r="N850" s="971">
        <v>99113</v>
      </c>
      <c r="O850" s="971">
        <v>0</v>
      </c>
      <c r="P850" s="970">
        <v>128585</v>
      </c>
      <c r="Q850" s="972">
        <f t="shared" si="27"/>
        <v>227698</v>
      </c>
      <c r="R850" s="970"/>
      <c r="S850" s="971">
        <v>1179971</v>
      </c>
      <c r="T850" s="973">
        <v>-37280</v>
      </c>
      <c r="U850" s="973">
        <v>1142691</v>
      </c>
    </row>
    <row r="851" spans="1:21" x14ac:dyDescent="0.25">
      <c r="A851" s="967">
        <v>99291</v>
      </c>
      <c r="B851" s="968" t="s">
        <v>3486</v>
      </c>
      <c r="C851" s="969">
        <v>7.3499999999999998E-4</v>
      </c>
      <c r="D851" s="969">
        <v>7.7260000000000002E-4</v>
      </c>
      <c r="E851" s="986">
        <v>299576</v>
      </c>
      <c r="F851" s="970">
        <v>1122876</v>
      </c>
      <c r="G851" s="970"/>
      <c r="H851" s="971">
        <v>64688</v>
      </c>
      <c r="I851" s="972">
        <v>272636</v>
      </c>
      <c r="J851" s="971">
        <v>160362</v>
      </c>
      <c r="K851" s="970">
        <v>0</v>
      </c>
      <c r="L851" s="972">
        <f t="shared" si="26"/>
        <v>497686</v>
      </c>
      <c r="M851" s="970"/>
      <c r="N851" s="971">
        <v>31785</v>
      </c>
      <c r="O851" s="971">
        <v>0</v>
      </c>
      <c r="P851" s="970">
        <v>137813</v>
      </c>
      <c r="Q851" s="972">
        <f t="shared" si="27"/>
        <v>169598</v>
      </c>
      <c r="R851" s="970"/>
      <c r="S851" s="971">
        <v>378410</v>
      </c>
      <c r="T851" s="973">
        <v>-55575</v>
      </c>
      <c r="U851" s="973">
        <v>322835</v>
      </c>
    </row>
    <row r="852" spans="1:21" x14ac:dyDescent="0.25">
      <c r="A852" s="967">
        <v>99301</v>
      </c>
      <c r="B852" s="968" t="s">
        <v>3487</v>
      </c>
      <c r="C852" s="969">
        <v>1.7879E-3</v>
      </c>
      <c r="D852" s="969">
        <v>1.8458000000000001E-3</v>
      </c>
      <c r="E852" s="986">
        <v>788880</v>
      </c>
      <c r="F852" s="970">
        <v>2731416</v>
      </c>
      <c r="G852" s="970"/>
      <c r="H852" s="971">
        <v>157355</v>
      </c>
      <c r="I852" s="972">
        <v>663191</v>
      </c>
      <c r="J852" s="971">
        <v>390084</v>
      </c>
      <c r="K852" s="970">
        <v>67408</v>
      </c>
      <c r="L852" s="972">
        <f t="shared" si="26"/>
        <v>1278038</v>
      </c>
      <c r="M852" s="970"/>
      <c r="N852" s="971">
        <v>77318</v>
      </c>
      <c r="O852" s="971">
        <v>0</v>
      </c>
      <c r="P852" s="970">
        <v>65062</v>
      </c>
      <c r="Q852" s="972">
        <f t="shared" si="27"/>
        <v>142380</v>
      </c>
      <c r="R852" s="970"/>
      <c r="S852" s="971">
        <v>920490</v>
      </c>
      <c r="T852" s="973">
        <v>38686</v>
      </c>
      <c r="U852" s="973">
        <f>959175+1</f>
        <v>959176</v>
      </c>
    </row>
    <row r="853" spans="1:21" x14ac:dyDescent="0.25">
      <c r="A853" s="967">
        <v>99304</v>
      </c>
      <c r="B853" s="968" t="s">
        <v>3488</v>
      </c>
      <c r="C853" s="969">
        <v>9.2E-6</v>
      </c>
      <c r="D853" s="969">
        <v>9.9000000000000001E-6</v>
      </c>
      <c r="E853" s="986">
        <v>7554</v>
      </c>
      <c r="F853" s="970">
        <v>14055</v>
      </c>
      <c r="G853" s="970"/>
      <c r="H853" s="971">
        <v>810</v>
      </c>
      <c r="I853" s="972">
        <v>3412</v>
      </c>
      <c r="J853" s="971">
        <v>2007</v>
      </c>
      <c r="K853" s="970">
        <v>4659</v>
      </c>
      <c r="L853" s="972">
        <f t="shared" si="26"/>
        <v>10888</v>
      </c>
      <c r="M853" s="970"/>
      <c r="N853" s="971">
        <v>398</v>
      </c>
      <c r="O853" s="971">
        <v>0</v>
      </c>
      <c r="P853" s="970">
        <v>248</v>
      </c>
      <c r="Q853" s="972">
        <f t="shared" si="27"/>
        <v>646</v>
      </c>
      <c r="R853" s="970"/>
      <c r="S853" s="971">
        <v>4737</v>
      </c>
      <c r="T853" s="973">
        <v>1371</v>
      </c>
      <c r="U853" s="973">
        <f>6107+1</f>
        <v>6108</v>
      </c>
    </row>
    <row r="854" spans="1:21" x14ac:dyDescent="0.25">
      <c r="A854" s="967">
        <v>99311</v>
      </c>
      <c r="B854" s="968" t="s">
        <v>3489</v>
      </c>
      <c r="C854" s="969">
        <v>5.4299999999999998E-5</v>
      </c>
      <c r="D854" s="969">
        <v>5.7599999999999997E-5</v>
      </c>
      <c r="E854" s="986">
        <v>25361</v>
      </c>
      <c r="F854" s="970">
        <v>82955</v>
      </c>
      <c r="G854" s="970"/>
      <c r="H854" s="971">
        <v>4779</v>
      </c>
      <c r="I854" s="972">
        <v>20142</v>
      </c>
      <c r="J854" s="971">
        <v>11847</v>
      </c>
      <c r="K854" s="970">
        <v>0</v>
      </c>
      <c r="L854" s="972">
        <f t="shared" si="26"/>
        <v>36768</v>
      </c>
      <c r="M854" s="970"/>
      <c r="N854" s="971">
        <v>2348</v>
      </c>
      <c r="O854" s="971">
        <v>0</v>
      </c>
      <c r="P854" s="970">
        <v>6758</v>
      </c>
      <c r="Q854" s="972">
        <f t="shared" si="27"/>
        <v>9106</v>
      </c>
      <c r="R854" s="970"/>
      <c r="S854" s="971">
        <v>27956</v>
      </c>
      <c r="T854" s="973">
        <v>-3216</v>
      </c>
      <c r="U854" s="973">
        <v>24740</v>
      </c>
    </row>
    <row r="855" spans="1:21" x14ac:dyDescent="0.25">
      <c r="A855" s="967">
        <v>99321</v>
      </c>
      <c r="B855" s="968" t="s">
        <v>3490</v>
      </c>
      <c r="C855" s="969">
        <v>1.1E-4</v>
      </c>
      <c r="D855" s="969">
        <v>1.1909999999999999E-4</v>
      </c>
      <c r="E855" s="986">
        <v>98498</v>
      </c>
      <c r="F855" s="970">
        <v>168050</v>
      </c>
      <c r="G855" s="970"/>
      <c r="H855" s="971">
        <v>9681</v>
      </c>
      <c r="I855" s="972">
        <v>40803</v>
      </c>
      <c r="J855" s="971">
        <v>24000</v>
      </c>
      <c r="K855" s="970">
        <v>96146</v>
      </c>
      <c r="L855" s="972">
        <f t="shared" si="26"/>
        <v>170630</v>
      </c>
      <c r="M855" s="970"/>
      <c r="N855" s="971">
        <v>4757</v>
      </c>
      <c r="O855" s="971">
        <v>0</v>
      </c>
      <c r="P855" s="970">
        <v>0</v>
      </c>
      <c r="Q855" s="972">
        <f t="shared" si="27"/>
        <v>4757</v>
      </c>
      <c r="R855" s="970"/>
      <c r="S855" s="971">
        <v>56633</v>
      </c>
      <c r="T855" s="973">
        <v>41980</v>
      </c>
      <c r="U855" s="973">
        <v>98613</v>
      </c>
    </row>
    <row r="856" spans="1:21" x14ac:dyDescent="0.25">
      <c r="A856" s="967">
        <v>99401</v>
      </c>
      <c r="B856" s="968" t="s">
        <v>3491</v>
      </c>
      <c r="C856" s="969">
        <v>9.2389999999999996E-4</v>
      </c>
      <c r="D856" s="969">
        <v>9.3869999999999999E-4</v>
      </c>
      <c r="E856" s="986">
        <v>414565</v>
      </c>
      <c r="F856" s="970">
        <v>1411463</v>
      </c>
      <c r="G856" s="970"/>
      <c r="H856" s="971">
        <v>81313</v>
      </c>
      <c r="I856" s="972">
        <v>342705</v>
      </c>
      <c r="J856" s="971">
        <v>201577</v>
      </c>
      <c r="K856" s="970">
        <v>34240</v>
      </c>
      <c r="L856" s="972">
        <f t="shared" si="26"/>
        <v>659835</v>
      </c>
      <c r="M856" s="970"/>
      <c r="N856" s="971">
        <v>39954</v>
      </c>
      <c r="O856" s="971">
        <v>0</v>
      </c>
      <c r="P856" s="970">
        <v>17589</v>
      </c>
      <c r="Q856" s="972">
        <f t="shared" si="27"/>
        <v>57543</v>
      </c>
      <c r="R856" s="970"/>
      <c r="S856" s="971">
        <v>475664</v>
      </c>
      <c r="T856" s="973">
        <v>22297</v>
      </c>
      <c r="U856" s="973">
        <v>497961</v>
      </c>
    </row>
    <row r="857" spans="1:21" x14ac:dyDescent="0.25">
      <c r="A857" s="967">
        <v>99404</v>
      </c>
      <c r="B857" s="968" t="s">
        <v>3492</v>
      </c>
      <c r="C857" s="969">
        <v>9.3999999999999998E-6</v>
      </c>
      <c r="D857" s="969">
        <v>9.5999999999999996E-6</v>
      </c>
      <c r="E857" s="986">
        <v>5393</v>
      </c>
      <c r="F857" s="970">
        <v>14361</v>
      </c>
      <c r="G857" s="970"/>
      <c r="H857" s="971">
        <v>827</v>
      </c>
      <c r="I857" s="972">
        <v>3487</v>
      </c>
      <c r="J857" s="971">
        <v>2051</v>
      </c>
      <c r="K857" s="970">
        <v>1334</v>
      </c>
      <c r="L857" s="972">
        <f t="shared" si="26"/>
        <v>7699</v>
      </c>
      <c r="M857" s="970"/>
      <c r="N857" s="971">
        <v>407</v>
      </c>
      <c r="O857" s="971">
        <v>0</v>
      </c>
      <c r="P857" s="970">
        <v>0</v>
      </c>
      <c r="Q857" s="972">
        <f t="shared" si="27"/>
        <v>407</v>
      </c>
      <c r="R857" s="970"/>
      <c r="S857" s="971">
        <v>4840</v>
      </c>
      <c r="T857" s="973">
        <v>466</v>
      </c>
      <c r="U857" s="973">
        <v>5306</v>
      </c>
    </row>
    <row r="858" spans="1:21" x14ac:dyDescent="0.25">
      <c r="A858" s="967">
        <v>99405</v>
      </c>
      <c r="B858" s="968" t="s">
        <v>3493</v>
      </c>
      <c r="C858" s="969">
        <v>6.2700000000000006E-5</v>
      </c>
      <c r="D858" s="969">
        <v>5.8100000000000003E-5</v>
      </c>
      <c r="E858" s="986">
        <v>37798</v>
      </c>
      <c r="F858" s="970">
        <v>95788</v>
      </c>
      <c r="G858" s="970"/>
      <c r="H858" s="971">
        <v>5518</v>
      </c>
      <c r="I858" s="972">
        <v>23258</v>
      </c>
      <c r="J858" s="971">
        <v>13680</v>
      </c>
      <c r="K858" s="970">
        <v>18380</v>
      </c>
      <c r="L858" s="972">
        <f t="shared" si="26"/>
        <v>60836</v>
      </c>
      <c r="M858" s="970"/>
      <c r="N858" s="971">
        <v>2711</v>
      </c>
      <c r="O858" s="971">
        <v>0</v>
      </c>
      <c r="P858" s="970">
        <v>336</v>
      </c>
      <c r="Q858" s="972">
        <f t="shared" si="27"/>
        <v>3047</v>
      </c>
      <c r="R858" s="970"/>
      <c r="S858" s="971">
        <v>32281</v>
      </c>
      <c r="T858" s="973">
        <v>6084</v>
      </c>
      <c r="U858" s="973">
        <f>38364+1</f>
        <v>38365</v>
      </c>
    </row>
    <row r="859" spans="1:21" x14ac:dyDescent="0.25">
      <c r="A859" s="967">
        <v>99411</v>
      </c>
      <c r="B859" s="968" t="s">
        <v>3494</v>
      </c>
      <c r="C859" s="969">
        <v>1.583E-4</v>
      </c>
      <c r="D859" s="969">
        <v>1.2510000000000001E-4</v>
      </c>
      <c r="E859" s="986">
        <v>75833</v>
      </c>
      <c r="F859" s="970">
        <v>241839</v>
      </c>
      <c r="G859" s="970"/>
      <c r="H859" s="971">
        <v>13932</v>
      </c>
      <c r="I859" s="972">
        <v>58719</v>
      </c>
      <c r="J859" s="971">
        <v>34538</v>
      </c>
      <c r="K859" s="970">
        <v>41924</v>
      </c>
      <c r="L859" s="972">
        <f t="shared" si="26"/>
        <v>149113</v>
      </c>
      <c r="M859" s="970"/>
      <c r="N859" s="971">
        <v>6846</v>
      </c>
      <c r="O859" s="971">
        <v>0</v>
      </c>
      <c r="P859" s="970">
        <v>4400</v>
      </c>
      <c r="Q859" s="972">
        <f t="shared" si="27"/>
        <v>11246</v>
      </c>
      <c r="R859" s="970"/>
      <c r="S859" s="971">
        <v>81500</v>
      </c>
      <c r="T859" s="973">
        <v>8626</v>
      </c>
      <c r="U859" s="973">
        <v>90126</v>
      </c>
    </row>
    <row r="860" spans="1:21" x14ac:dyDescent="0.25">
      <c r="A860" s="967">
        <v>99413</v>
      </c>
      <c r="B860" s="968" t="s">
        <v>3495</v>
      </c>
      <c r="C860" s="969">
        <v>3.1099999999999997E-5</v>
      </c>
      <c r="D860" s="969">
        <v>2.76E-5</v>
      </c>
      <c r="E860" s="986">
        <v>18530</v>
      </c>
      <c r="F860" s="970">
        <v>47512</v>
      </c>
      <c r="G860" s="970"/>
      <c r="H860" s="971">
        <v>2737</v>
      </c>
      <c r="I860" s="972">
        <v>11536</v>
      </c>
      <c r="J860" s="971">
        <v>6785</v>
      </c>
      <c r="K860" s="970">
        <v>5754</v>
      </c>
      <c r="L860" s="972">
        <f t="shared" si="26"/>
        <v>26812</v>
      </c>
      <c r="M860" s="970"/>
      <c r="N860" s="971">
        <v>1345</v>
      </c>
      <c r="O860" s="971">
        <v>0</v>
      </c>
      <c r="P860" s="970">
        <v>3024</v>
      </c>
      <c r="Q860" s="972">
        <f t="shared" si="27"/>
        <v>4369</v>
      </c>
      <c r="R860" s="970"/>
      <c r="S860" s="971">
        <v>16012</v>
      </c>
      <c r="T860" s="973">
        <v>202</v>
      </c>
      <c r="U860" s="973">
        <v>16214</v>
      </c>
    </row>
    <row r="861" spans="1:21" x14ac:dyDescent="0.25">
      <c r="A861" s="967">
        <v>99421</v>
      </c>
      <c r="B861" s="968" t="s">
        <v>3496</v>
      </c>
      <c r="C861" s="969">
        <v>1.04E-5</v>
      </c>
      <c r="D861" s="969">
        <v>1.5E-5</v>
      </c>
      <c r="E861" s="986">
        <v>6211</v>
      </c>
      <c r="F861" s="970">
        <v>15888</v>
      </c>
      <c r="G861" s="970"/>
      <c r="H861" s="971">
        <v>915</v>
      </c>
      <c r="I861" s="972">
        <v>3858</v>
      </c>
      <c r="J861" s="971">
        <v>2269</v>
      </c>
      <c r="K861" s="970">
        <v>764</v>
      </c>
      <c r="L861" s="972">
        <f t="shared" si="26"/>
        <v>7806</v>
      </c>
      <c r="M861" s="970"/>
      <c r="N861" s="971">
        <v>450</v>
      </c>
      <c r="O861" s="971">
        <v>0</v>
      </c>
      <c r="P861" s="970">
        <v>5440</v>
      </c>
      <c r="Q861" s="972">
        <f t="shared" si="27"/>
        <v>5890</v>
      </c>
      <c r="R861" s="970"/>
      <c r="S861" s="971">
        <v>5354</v>
      </c>
      <c r="T861" s="973">
        <v>-1116</v>
      </c>
      <c r="U861" s="973">
        <v>4238</v>
      </c>
    </row>
    <row r="862" spans="1:21" x14ac:dyDescent="0.25">
      <c r="A862" s="967">
        <v>99431</v>
      </c>
      <c r="B862" s="968" t="s">
        <v>3497</v>
      </c>
      <c r="C862" s="969">
        <v>2.2200000000000001E-5</v>
      </c>
      <c r="D862" s="969">
        <v>2.16E-5</v>
      </c>
      <c r="E862" s="986">
        <v>7581</v>
      </c>
      <c r="F862" s="970">
        <v>33915</v>
      </c>
      <c r="G862" s="970"/>
      <c r="H862" s="971">
        <v>1954</v>
      </c>
      <c r="I862" s="972">
        <v>8235</v>
      </c>
      <c r="J862" s="971">
        <v>4844</v>
      </c>
      <c r="K862" s="970">
        <v>1071</v>
      </c>
      <c r="L862" s="972">
        <f t="shared" si="26"/>
        <v>16104</v>
      </c>
      <c r="M862" s="970"/>
      <c r="N862" s="971">
        <v>960</v>
      </c>
      <c r="O862" s="971">
        <v>0</v>
      </c>
      <c r="P862" s="970">
        <v>3001</v>
      </c>
      <c r="Q862" s="972">
        <f t="shared" si="27"/>
        <v>3961</v>
      </c>
      <c r="R862" s="970"/>
      <c r="S862" s="971">
        <v>11430</v>
      </c>
      <c r="T862" s="973">
        <v>119</v>
      </c>
      <c r="U862" s="973">
        <v>11549</v>
      </c>
    </row>
    <row r="863" spans="1:21" x14ac:dyDescent="0.25">
      <c r="A863" s="967">
        <v>99501</v>
      </c>
      <c r="B863" s="968" t="s">
        <v>3498</v>
      </c>
      <c r="C863" s="969">
        <v>1.6785000000000001E-3</v>
      </c>
      <c r="D863" s="969">
        <v>1.7390000000000001E-3</v>
      </c>
      <c r="E863" s="986">
        <v>794395</v>
      </c>
      <c r="F863" s="970">
        <v>2564283</v>
      </c>
      <c r="G863" s="970"/>
      <c r="H863" s="971">
        <v>147726</v>
      </c>
      <c r="I863" s="972">
        <v>622611</v>
      </c>
      <c r="J863" s="971">
        <v>366215</v>
      </c>
      <c r="K863" s="970">
        <v>3764</v>
      </c>
      <c r="L863" s="972">
        <f t="shared" si="26"/>
        <v>1140316</v>
      </c>
      <c r="M863" s="970"/>
      <c r="N863" s="971">
        <v>72587</v>
      </c>
      <c r="O863" s="971">
        <v>0</v>
      </c>
      <c r="P863" s="970">
        <v>21505</v>
      </c>
      <c r="Q863" s="972">
        <f t="shared" si="27"/>
        <v>94092</v>
      </c>
      <c r="R863" s="970"/>
      <c r="S863" s="971">
        <v>864166</v>
      </c>
      <c r="T863" s="973">
        <v>-3415</v>
      </c>
      <c r="U863" s="973">
        <f>860750+1</f>
        <v>860751</v>
      </c>
    </row>
    <row r="864" spans="1:21" x14ac:dyDescent="0.25">
      <c r="A864" s="967">
        <v>99502</v>
      </c>
      <c r="B864" s="968" t="s">
        <v>3499</v>
      </c>
      <c r="C864" s="969">
        <v>1.373E-4</v>
      </c>
      <c r="D864" s="969">
        <v>1.3779999999999999E-4</v>
      </c>
      <c r="E864" s="986">
        <v>65831</v>
      </c>
      <c r="F864" s="970">
        <v>209756</v>
      </c>
      <c r="G864" s="970"/>
      <c r="H864" s="971">
        <v>12084</v>
      </c>
      <c r="I864" s="972">
        <v>50929</v>
      </c>
      <c r="J864" s="971">
        <v>29956</v>
      </c>
      <c r="K864" s="970">
        <v>21393</v>
      </c>
      <c r="L864" s="972">
        <f t="shared" si="26"/>
        <v>114362</v>
      </c>
      <c r="M864" s="970"/>
      <c r="N864" s="971">
        <v>5938</v>
      </c>
      <c r="O864" s="971">
        <v>0</v>
      </c>
      <c r="P864" s="970">
        <v>71</v>
      </c>
      <c r="Q864" s="972">
        <f t="shared" si="27"/>
        <v>6009</v>
      </c>
      <c r="R864" s="970"/>
      <c r="S864" s="971">
        <v>70688</v>
      </c>
      <c r="T864" s="973">
        <v>9456</v>
      </c>
      <c r="U864" s="973">
        <v>80144</v>
      </c>
    </row>
    <row r="865" spans="1:21" x14ac:dyDescent="0.25">
      <c r="A865" s="967">
        <v>99508</v>
      </c>
      <c r="B865" s="968" t="s">
        <v>3500</v>
      </c>
      <c r="C865" s="969">
        <v>2.2099999999999998E-5</v>
      </c>
      <c r="D865" s="969">
        <v>2.1699999999999999E-5</v>
      </c>
      <c r="E865" s="986">
        <v>9857</v>
      </c>
      <c r="F865" s="970">
        <v>33763</v>
      </c>
      <c r="G865" s="970"/>
      <c r="H865" s="971">
        <v>1945</v>
      </c>
      <c r="I865" s="972">
        <v>8198</v>
      </c>
      <c r="J865" s="971">
        <v>4822</v>
      </c>
      <c r="K865" s="970">
        <v>37</v>
      </c>
      <c r="L865" s="972">
        <f t="shared" si="26"/>
        <v>15002</v>
      </c>
      <c r="M865" s="970"/>
      <c r="N865" s="971">
        <v>956</v>
      </c>
      <c r="O865" s="971">
        <v>0</v>
      </c>
      <c r="P865" s="970">
        <v>1571</v>
      </c>
      <c r="Q865" s="972">
        <f t="shared" si="27"/>
        <v>2527</v>
      </c>
      <c r="R865" s="970"/>
      <c r="S865" s="971">
        <v>11378</v>
      </c>
      <c r="T865" s="973">
        <v>-984</v>
      </c>
      <c r="U865" s="973">
        <v>10394</v>
      </c>
    </row>
    <row r="866" spans="1:21" x14ac:dyDescent="0.25">
      <c r="A866" s="967">
        <v>99509</v>
      </c>
      <c r="B866" s="968" t="s">
        <v>3501</v>
      </c>
      <c r="C866" s="969">
        <v>2.76E-5</v>
      </c>
      <c r="D866" s="969">
        <v>2.8900000000000001E-5</v>
      </c>
      <c r="E866" s="986">
        <v>11410</v>
      </c>
      <c r="F866" s="970">
        <v>42165</v>
      </c>
      <c r="G866" s="970"/>
      <c r="H866" s="971">
        <v>2429</v>
      </c>
      <c r="I866" s="972">
        <v>10238</v>
      </c>
      <c r="J866" s="971">
        <v>6022</v>
      </c>
      <c r="K866" s="970">
        <v>0</v>
      </c>
      <c r="L866" s="972">
        <f t="shared" si="26"/>
        <v>18689</v>
      </c>
      <c r="M866" s="970"/>
      <c r="N866" s="971">
        <v>1194</v>
      </c>
      <c r="O866" s="971">
        <v>0</v>
      </c>
      <c r="P866" s="970">
        <v>6512</v>
      </c>
      <c r="Q866" s="972">
        <f t="shared" si="27"/>
        <v>7706</v>
      </c>
      <c r="R866" s="970"/>
      <c r="S866" s="971">
        <v>14210</v>
      </c>
      <c r="T866" s="973">
        <v>-4301</v>
      </c>
      <c r="U866" s="973">
        <v>9909</v>
      </c>
    </row>
    <row r="867" spans="1:21" x14ac:dyDescent="0.25">
      <c r="A867" s="967">
        <v>99511</v>
      </c>
      <c r="B867" s="968" t="s">
        <v>3502</v>
      </c>
      <c r="C867" s="969">
        <v>1.4048999999999999E-3</v>
      </c>
      <c r="D867" s="969">
        <v>1.3638000000000001E-3</v>
      </c>
      <c r="E867" s="986">
        <v>579707</v>
      </c>
      <c r="F867" s="970">
        <v>2146298</v>
      </c>
      <c r="G867" s="970"/>
      <c r="H867" s="971">
        <v>123647</v>
      </c>
      <c r="I867" s="972">
        <v>521124</v>
      </c>
      <c r="J867" s="971">
        <v>306521</v>
      </c>
      <c r="K867" s="970">
        <v>4500</v>
      </c>
      <c r="L867" s="972">
        <f t="shared" si="26"/>
        <v>955792</v>
      </c>
      <c r="M867" s="970"/>
      <c r="N867" s="971">
        <v>60755</v>
      </c>
      <c r="O867" s="971">
        <v>0</v>
      </c>
      <c r="P867" s="970">
        <v>85381</v>
      </c>
      <c r="Q867" s="972">
        <f t="shared" si="27"/>
        <v>146136</v>
      </c>
      <c r="R867" s="970"/>
      <c r="S867" s="971">
        <v>723304</v>
      </c>
      <c r="T867" s="973">
        <v>-30654</v>
      </c>
      <c r="U867" s="973">
        <v>692650</v>
      </c>
    </row>
    <row r="868" spans="1:21" x14ac:dyDescent="0.25">
      <c r="A868" s="967">
        <v>99521</v>
      </c>
      <c r="B868" s="968" t="s">
        <v>3503</v>
      </c>
      <c r="C868" s="969">
        <v>4.2700000000000002E-4</v>
      </c>
      <c r="D868" s="969">
        <v>4.0180000000000001E-4</v>
      </c>
      <c r="E868" s="986">
        <v>176536</v>
      </c>
      <c r="F868" s="970">
        <v>652338</v>
      </c>
      <c r="G868" s="970"/>
      <c r="H868" s="971">
        <v>37581</v>
      </c>
      <c r="I868" s="972">
        <v>158389</v>
      </c>
      <c r="J868" s="971">
        <v>93163</v>
      </c>
      <c r="K868" s="970">
        <v>2015</v>
      </c>
      <c r="L868" s="972">
        <f t="shared" si="26"/>
        <v>291148</v>
      </c>
      <c r="M868" s="970"/>
      <c r="N868" s="971">
        <v>18466</v>
      </c>
      <c r="O868" s="971">
        <v>0</v>
      </c>
      <c r="P868" s="970">
        <v>15563</v>
      </c>
      <c r="Q868" s="972">
        <f t="shared" si="27"/>
        <v>34029</v>
      </c>
      <c r="R868" s="970"/>
      <c r="S868" s="971">
        <v>219838</v>
      </c>
      <c r="T868" s="973">
        <v>-5081</v>
      </c>
      <c r="U868" s="973">
        <v>214757</v>
      </c>
    </row>
    <row r="869" spans="1:21" x14ac:dyDescent="0.25">
      <c r="A869" s="967">
        <v>99527</v>
      </c>
      <c r="B869" s="968" t="s">
        <v>3504</v>
      </c>
      <c r="C869" s="969">
        <v>1.19E-5</v>
      </c>
      <c r="D869" s="969">
        <v>1.2099999999999999E-5</v>
      </c>
      <c r="E869" s="986">
        <v>5941</v>
      </c>
      <c r="F869" s="970">
        <v>18180</v>
      </c>
      <c r="G869" s="970"/>
      <c r="H869" s="971">
        <v>1047</v>
      </c>
      <c r="I869" s="972">
        <v>4414</v>
      </c>
      <c r="J869" s="971">
        <v>2596</v>
      </c>
      <c r="K869" s="970">
        <v>1124</v>
      </c>
      <c r="L869" s="972">
        <f t="shared" si="26"/>
        <v>9181</v>
      </c>
      <c r="M869" s="970"/>
      <c r="N869" s="971">
        <v>515</v>
      </c>
      <c r="O869" s="971">
        <v>0</v>
      </c>
      <c r="P869" s="970">
        <v>0</v>
      </c>
      <c r="Q869" s="972">
        <f t="shared" si="27"/>
        <v>515</v>
      </c>
      <c r="R869" s="970"/>
      <c r="S869" s="971">
        <v>6127</v>
      </c>
      <c r="T869" s="973">
        <v>591</v>
      </c>
      <c r="U869" s="973">
        <v>6718</v>
      </c>
    </row>
    <row r="870" spans="1:21" x14ac:dyDescent="0.25">
      <c r="A870" s="967">
        <v>99531</v>
      </c>
      <c r="B870" s="968" t="s">
        <v>3505</v>
      </c>
      <c r="C870" s="969">
        <v>9.3499999999999996E-5</v>
      </c>
      <c r="D870" s="969">
        <v>8.7600000000000002E-5</v>
      </c>
      <c r="E870" s="986">
        <v>72390</v>
      </c>
      <c r="F870" s="970">
        <v>142842</v>
      </c>
      <c r="G870" s="970"/>
      <c r="H870" s="971">
        <v>8229</v>
      </c>
      <c r="I870" s="972">
        <v>34683</v>
      </c>
      <c r="J870" s="971">
        <v>20400</v>
      </c>
      <c r="K870" s="970">
        <v>55453</v>
      </c>
      <c r="L870" s="972">
        <f t="shared" si="26"/>
        <v>118765</v>
      </c>
      <c r="M870" s="970"/>
      <c r="N870" s="971">
        <v>4043</v>
      </c>
      <c r="O870" s="971">
        <v>0</v>
      </c>
      <c r="P870" s="970">
        <v>0</v>
      </c>
      <c r="Q870" s="972">
        <f t="shared" si="27"/>
        <v>4043</v>
      </c>
      <c r="R870" s="970"/>
      <c r="S870" s="971">
        <v>48138</v>
      </c>
      <c r="T870" s="973">
        <v>18721</v>
      </c>
      <c r="U870" s="973">
        <v>66859</v>
      </c>
    </row>
    <row r="871" spans="1:21" x14ac:dyDescent="0.25">
      <c r="A871" s="967">
        <v>99601</v>
      </c>
      <c r="B871" s="968" t="s">
        <v>3506</v>
      </c>
      <c r="C871" s="969">
        <v>5.7812000000000002E-3</v>
      </c>
      <c r="D871" s="969">
        <v>5.2824999999999999E-3</v>
      </c>
      <c r="E871" s="986">
        <v>2548954</v>
      </c>
      <c r="F871" s="970">
        <v>8832072</v>
      </c>
      <c r="G871" s="970"/>
      <c r="H871" s="971">
        <v>508809</v>
      </c>
      <c r="I871" s="972">
        <v>2144438</v>
      </c>
      <c r="J871" s="971">
        <v>1261342</v>
      </c>
      <c r="K871" s="970">
        <v>289372</v>
      </c>
      <c r="L871" s="972">
        <f t="shared" si="26"/>
        <v>4203961</v>
      </c>
      <c r="M871" s="970"/>
      <c r="N871" s="971">
        <v>250008</v>
      </c>
      <c r="O871" s="971">
        <v>0</v>
      </c>
      <c r="P871" s="970">
        <v>73071</v>
      </c>
      <c r="Q871" s="972">
        <f t="shared" si="27"/>
        <v>323079</v>
      </c>
      <c r="R871" s="970"/>
      <c r="S871" s="971">
        <v>2976416</v>
      </c>
      <c r="T871" s="973">
        <v>55175</v>
      </c>
      <c r="U871" s="973">
        <f>3031592-1</f>
        <v>3031591</v>
      </c>
    </row>
    <row r="872" spans="1:21" x14ac:dyDescent="0.25">
      <c r="A872" s="967">
        <v>99602</v>
      </c>
      <c r="B872" s="968" t="s">
        <v>3507</v>
      </c>
      <c r="C872" s="969">
        <v>6.19E-5</v>
      </c>
      <c r="D872" s="969">
        <v>5.1700000000000003E-5</v>
      </c>
      <c r="E872" s="986">
        <v>28151</v>
      </c>
      <c r="F872" s="970">
        <v>94566</v>
      </c>
      <c r="G872" s="970"/>
      <c r="H872" s="971">
        <v>5448</v>
      </c>
      <c r="I872" s="972">
        <v>22961</v>
      </c>
      <c r="J872" s="971">
        <v>13505</v>
      </c>
      <c r="K872" s="970">
        <v>10306</v>
      </c>
      <c r="L872" s="972">
        <f t="shared" si="26"/>
        <v>52220</v>
      </c>
      <c r="M872" s="970"/>
      <c r="N872" s="971">
        <v>2677</v>
      </c>
      <c r="O872" s="971">
        <v>0</v>
      </c>
      <c r="P872" s="970">
        <v>2067</v>
      </c>
      <c r="Q872" s="972">
        <f t="shared" si="27"/>
        <v>4744</v>
      </c>
      <c r="R872" s="970"/>
      <c r="S872" s="971">
        <v>31869</v>
      </c>
      <c r="T872" s="973">
        <v>1298</v>
      </c>
      <c r="U872" s="973">
        <v>33167</v>
      </c>
    </row>
    <row r="873" spans="1:21" x14ac:dyDescent="0.25">
      <c r="A873" s="967">
        <v>99603</v>
      </c>
      <c r="B873" s="968" t="s">
        <v>3508</v>
      </c>
      <c r="C873" s="969">
        <v>1.615E-4</v>
      </c>
      <c r="D873" s="969">
        <v>1.4219999999999999E-4</v>
      </c>
      <c r="E873" s="986">
        <v>87237</v>
      </c>
      <c r="F873" s="970">
        <v>246727</v>
      </c>
      <c r="G873" s="970"/>
      <c r="H873" s="971">
        <v>14214</v>
      </c>
      <c r="I873" s="972">
        <v>59905</v>
      </c>
      <c r="J873" s="971">
        <v>35236</v>
      </c>
      <c r="K873" s="970">
        <v>95435</v>
      </c>
      <c r="L873" s="972">
        <f t="shared" si="26"/>
        <v>204790</v>
      </c>
      <c r="M873" s="970"/>
      <c r="N873" s="971">
        <v>6984</v>
      </c>
      <c r="O873" s="971">
        <v>0</v>
      </c>
      <c r="P873" s="970">
        <v>0</v>
      </c>
      <c r="Q873" s="972">
        <f t="shared" si="27"/>
        <v>6984</v>
      </c>
      <c r="R873" s="970"/>
      <c r="S873" s="971">
        <v>83147</v>
      </c>
      <c r="T873" s="973">
        <v>37380</v>
      </c>
      <c r="U873" s="973">
        <v>120527</v>
      </c>
    </row>
    <row r="874" spans="1:21" x14ac:dyDescent="0.25">
      <c r="A874" s="967">
        <v>99604</v>
      </c>
      <c r="B874" s="968" t="s">
        <v>3509</v>
      </c>
      <c r="C874" s="969">
        <v>1.009E-4</v>
      </c>
      <c r="D874" s="969">
        <v>9.6899999999999997E-5</v>
      </c>
      <c r="E874" s="986">
        <v>52378</v>
      </c>
      <c r="F874" s="970">
        <v>154147</v>
      </c>
      <c r="G874" s="970"/>
      <c r="H874" s="971">
        <v>8880</v>
      </c>
      <c r="I874" s="972">
        <v>37427</v>
      </c>
      <c r="J874" s="971">
        <v>22014</v>
      </c>
      <c r="K874" s="970">
        <v>20530</v>
      </c>
      <c r="L874" s="972">
        <f t="shared" si="26"/>
        <v>88851</v>
      </c>
      <c r="M874" s="970"/>
      <c r="N874" s="971">
        <v>4363</v>
      </c>
      <c r="O874" s="971">
        <v>0</v>
      </c>
      <c r="P874" s="970">
        <v>0</v>
      </c>
      <c r="Q874" s="972">
        <f t="shared" si="27"/>
        <v>4363</v>
      </c>
      <c r="R874" s="970"/>
      <c r="S874" s="971">
        <v>51948</v>
      </c>
      <c r="T874" s="973">
        <v>9479</v>
      </c>
      <c r="U874" s="973">
        <v>61427</v>
      </c>
    </row>
    <row r="875" spans="1:21" x14ac:dyDescent="0.25">
      <c r="A875" s="967">
        <v>99609</v>
      </c>
      <c r="B875" s="968" t="s">
        <v>3510</v>
      </c>
      <c r="C875" s="969">
        <v>1.52E-5</v>
      </c>
      <c r="D875" s="969">
        <v>2.0999999999999999E-5</v>
      </c>
      <c r="E875" s="986">
        <v>9935</v>
      </c>
      <c r="F875" s="970">
        <v>23221</v>
      </c>
      <c r="G875" s="970"/>
      <c r="H875" s="971">
        <v>1338</v>
      </c>
      <c r="I875" s="972">
        <v>5638</v>
      </c>
      <c r="J875" s="971">
        <v>3316</v>
      </c>
      <c r="K875" s="970">
        <v>3555</v>
      </c>
      <c r="L875" s="972">
        <f t="shared" si="26"/>
        <v>13847</v>
      </c>
      <c r="M875" s="970"/>
      <c r="N875" s="971">
        <v>657</v>
      </c>
      <c r="O875" s="971">
        <v>0</v>
      </c>
      <c r="P875" s="970">
        <v>1523</v>
      </c>
      <c r="Q875" s="972">
        <f t="shared" si="27"/>
        <v>2180</v>
      </c>
      <c r="R875" s="970"/>
      <c r="S875" s="971">
        <v>7826</v>
      </c>
      <c r="T875" s="973">
        <v>1693</v>
      </c>
      <c r="U875" s="973">
        <v>9519</v>
      </c>
    </row>
    <row r="876" spans="1:21" x14ac:dyDescent="0.25">
      <c r="A876" s="967">
        <v>99610</v>
      </c>
      <c r="B876" s="968" t="s">
        <v>3511</v>
      </c>
      <c r="C876" s="969">
        <v>1.9440000000000001E-4</v>
      </c>
      <c r="D876" s="969">
        <v>1.9440000000000001E-4</v>
      </c>
      <c r="E876" s="986">
        <v>85100</v>
      </c>
      <c r="F876" s="970">
        <v>296989</v>
      </c>
      <c r="G876" s="970"/>
      <c r="H876" s="971">
        <v>17109</v>
      </c>
      <c r="I876" s="972">
        <v>72109</v>
      </c>
      <c r="J876" s="971">
        <v>42414</v>
      </c>
      <c r="K876" s="970">
        <v>2712</v>
      </c>
      <c r="L876" s="972">
        <f t="shared" si="26"/>
        <v>134344</v>
      </c>
      <c r="M876" s="970"/>
      <c r="N876" s="971">
        <v>8407</v>
      </c>
      <c r="O876" s="971">
        <v>0</v>
      </c>
      <c r="P876" s="970">
        <v>4164</v>
      </c>
      <c r="Q876" s="972">
        <f t="shared" si="27"/>
        <v>12571</v>
      </c>
      <c r="R876" s="970"/>
      <c r="S876" s="971">
        <v>100086</v>
      </c>
      <c r="T876" s="973">
        <v>576</v>
      </c>
      <c r="U876" s="973">
        <v>100662</v>
      </c>
    </row>
    <row r="877" spans="1:21" x14ac:dyDescent="0.25">
      <c r="A877" s="967">
        <v>99611</v>
      </c>
      <c r="B877" s="968" t="s">
        <v>3512</v>
      </c>
      <c r="C877" s="969">
        <v>3.1959000000000002E-3</v>
      </c>
      <c r="D877" s="969">
        <v>3.1495999999999998E-3</v>
      </c>
      <c r="E877" s="986">
        <v>1474037</v>
      </c>
      <c r="F877" s="970">
        <v>4882450</v>
      </c>
      <c r="G877" s="970"/>
      <c r="H877" s="971">
        <v>281274</v>
      </c>
      <c r="I877" s="972">
        <v>1185465</v>
      </c>
      <c r="J877" s="971">
        <v>697281</v>
      </c>
      <c r="K877" s="970">
        <v>36523</v>
      </c>
      <c r="L877" s="972">
        <f t="shared" si="26"/>
        <v>2200543</v>
      </c>
      <c r="M877" s="970"/>
      <c r="N877" s="971">
        <v>138207</v>
      </c>
      <c r="O877" s="971">
        <v>0</v>
      </c>
      <c r="P877" s="970">
        <v>197702</v>
      </c>
      <c r="Q877" s="972">
        <f t="shared" si="27"/>
        <v>335909</v>
      </c>
      <c r="R877" s="970"/>
      <c r="S877" s="971">
        <v>1645390</v>
      </c>
      <c r="T877" s="973">
        <v>-88518</v>
      </c>
      <c r="U877" s="973">
        <v>1556872</v>
      </c>
    </row>
    <row r="878" spans="1:21" x14ac:dyDescent="0.25">
      <c r="A878" s="967">
        <v>99613</v>
      </c>
      <c r="B878" s="968" t="s">
        <v>3513</v>
      </c>
      <c r="C878" s="969">
        <v>3.2909999999999998E-4</v>
      </c>
      <c r="D878" s="969">
        <v>3.369E-4</v>
      </c>
      <c r="E878" s="986">
        <v>310915</v>
      </c>
      <c r="F878" s="970">
        <v>502774</v>
      </c>
      <c r="G878" s="970"/>
      <c r="H878" s="971">
        <v>28964</v>
      </c>
      <c r="I878" s="972">
        <v>122074</v>
      </c>
      <c r="J878" s="971">
        <v>71803</v>
      </c>
      <c r="K878" s="970">
        <v>283917</v>
      </c>
      <c r="L878" s="972">
        <f t="shared" si="26"/>
        <v>506758</v>
      </c>
      <c r="M878" s="970"/>
      <c r="N878" s="971">
        <v>14232</v>
      </c>
      <c r="O878" s="971">
        <v>0</v>
      </c>
      <c r="P878" s="970">
        <v>0</v>
      </c>
      <c r="Q878" s="972">
        <f t="shared" si="27"/>
        <v>14232</v>
      </c>
      <c r="R878" s="970"/>
      <c r="S878" s="971">
        <v>169435</v>
      </c>
      <c r="T878" s="973">
        <v>96572</v>
      </c>
      <c r="U878" s="973">
        <v>266007</v>
      </c>
    </row>
    <row r="879" spans="1:21" x14ac:dyDescent="0.25">
      <c r="A879" s="967">
        <v>99621</v>
      </c>
      <c r="B879" s="968" t="s">
        <v>3514</v>
      </c>
      <c r="C879" s="969">
        <v>3.7060000000000001E-4</v>
      </c>
      <c r="D879" s="969">
        <v>3.2850000000000002E-4</v>
      </c>
      <c r="E879" s="986">
        <v>166448</v>
      </c>
      <c r="F879" s="970">
        <v>566174</v>
      </c>
      <c r="G879" s="970"/>
      <c r="H879" s="971">
        <v>32617</v>
      </c>
      <c r="I879" s="972">
        <v>137468</v>
      </c>
      <c r="J879" s="971">
        <v>80858</v>
      </c>
      <c r="K879" s="970">
        <v>42182</v>
      </c>
      <c r="L879" s="972">
        <f t="shared" si="26"/>
        <v>293125</v>
      </c>
      <c r="M879" s="970"/>
      <c r="N879" s="971">
        <v>16027</v>
      </c>
      <c r="O879" s="971">
        <v>0</v>
      </c>
      <c r="P879" s="970">
        <v>4670</v>
      </c>
      <c r="Q879" s="972">
        <f t="shared" si="27"/>
        <v>20697</v>
      </c>
      <c r="R879" s="970"/>
      <c r="S879" s="971">
        <v>190801</v>
      </c>
      <c r="T879" s="973">
        <v>12829</v>
      </c>
      <c r="U879" s="973">
        <v>203630</v>
      </c>
    </row>
    <row r="880" spans="1:21" x14ac:dyDescent="0.25">
      <c r="A880" s="967">
        <v>99623</v>
      </c>
      <c r="B880" s="968" t="s">
        <v>3515</v>
      </c>
      <c r="C880" s="969">
        <v>2.6400000000000001E-5</v>
      </c>
      <c r="D880" s="969">
        <v>2.9200000000000002E-5</v>
      </c>
      <c r="E880" s="986">
        <v>11103</v>
      </c>
      <c r="F880" s="970">
        <v>40332</v>
      </c>
      <c r="G880" s="970"/>
      <c r="H880" s="971">
        <v>2323</v>
      </c>
      <c r="I880" s="972">
        <v>9793</v>
      </c>
      <c r="J880" s="971">
        <v>5760</v>
      </c>
      <c r="K880" s="970">
        <v>2450</v>
      </c>
      <c r="L880" s="972">
        <f t="shared" si="26"/>
        <v>20326</v>
      </c>
      <c r="M880" s="970"/>
      <c r="N880" s="971">
        <v>1142</v>
      </c>
      <c r="O880" s="971">
        <v>0</v>
      </c>
      <c r="P880" s="970">
        <v>2848</v>
      </c>
      <c r="Q880" s="972">
        <f t="shared" si="27"/>
        <v>3990</v>
      </c>
      <c r="R880" s="970"/>
      <c r="S880" s="971">
        <v>13592</v>
      </c>
      <c r="T880" s="973">
        <v>317</v>
      </c>
      <c r="U880" s="973">
        <f>13908+1</f>
        <v>13909</v>
      </c>
    </row>
    <row r="881" spans="1:21" x14ac:dyDescent="0.25">
      <c r="A881" s="967">
        <v>99631</v>
      </c>
      <c r="B881" s="968" t="s">
        <v>3516</v>
      </c>
      <c r="C881" s="969">
        <v>1.102E-4</v>
      </c>
      <c r="D881" s="969">
        <v>1.0340000000000001E-4</v>
      </c>
      <c r="E881" s="986">
        <v>46231</v>
      </c>
      <c r="F881" s="970">
        <v>168355</v>
      </c>
      <c r="G881" s="970"/>
      <c r="H881" s="971">
        <v>9699</v>
      </c>
      <c r="I881" s="972">
        <v>40877</v>
      </c>
      <c r="J881" s="971">
        <v>24043</v>
      </c>
      <c r="K881" s="970">
        <v>1071</v>
      </c>
      <c r="L881" s="972">
        <f t="shared" si="26"/>
        <v>75690</v>
      </c>
      <c r="M881" s="970"/>
      <c r="N881" s="971">
        <v>4766</v>
      </c>
      <c r="O881" s="971">
        <v>0</v>
      </c>
      <c r="P881" s="970">
        <v>5159</v>
      </c>
      <c r="Q881" s="972">
        <f t="shared" si="27"/>
        <v>9925</v>
      </c>
      <c r="R881" s="970"/>
      <c r="S881" s="971">
        <v>56736</v>
      </c>
      <c r="T881" s="973">
        <v>-3954</v>
      </c>
      <c r="U881" s="973">
        <f>52781+1</f>
        <v>52782</v>
      </c>
    </row>
    <row r="882" spans="1:21" x14ac:dyDescent="0.25">
      <c r="A882" s="967">
        <v>99651</v>
      </c>
      <c r="B882" s="968" t="s">
        <v>3517</v>
      </c>
      <c r="C882" s="969">
        <v>6.7199999999999994E-5</v>
      </c>
      <c r="D882" s="969">
        <v>6.7100000000000005E-5</v>
      </c>
      <c r="E882" s="986">
        <v>30231</v>
      </c>
      <c r="F882" s="970">
        <v>102663</v>
      </c>
      <c r="G882" s="970"/>
      <c r="H882" s="971">
        <v>5914</v>
      </c>
      <c r="I882" s="972">
        <v>24927</v>
      </c>
      <c r="J882" s="971">
        <v>14662</v>
      </c>
      <c r="K882" s="970">
        <v>5944</v>
      </c>
      <c r="L882" s="972">
        <f t="shared" si="26"/>
        <v>51447</v>
      </c>
      <c r="M882" s="970"/>
      <c r="N882" s="971">
        <v>2906</v>
      </c>
      <c r="O882" s="971">
        <v>0</v>
      </c>
      <c r="P882" s="970">
        <v>1841</v>
      </c>
      <c r="Q882" s="972">
        <f t="shared" si="27"/>
        <v>4747</v>
      </c>
      <c r="R882" s="970"/>
      <c r="S882" s="971">
        <v>34598</v>
      </c>
      <c r="T882" s="973">
        <v>1312</v>
      </c>
      <c r="U882" s="973">
        <v>35910</v>
      </c>
    </row>
    <row r="883" spans="1:21" x14ac:dyDescent="0.25">
      <c r="A883" s="967">
        <v>99661</v>
      </c>
      <c r="B883" s="968" t="s">
        <v>3518</v>
      </c>
      <c r="C883" s="969">
        <v>3.26E-5</v>
      </c>
      <c r="D883" s="969">
        <v>3.5500000000000002E-5</v>
      </c>
      <c r="E883" s="986">
        <v>34513</v>
      </c>
      <c r="F883" s="970">
        <v>49804</v>
      </c>
      <c r="G883" s="970"/>
      <c r="H883" s="971">
        <v>2869</v>
      </c>
      <c r="I883" s="972">
        <v>12092</v>
      </c>
      <c r="J883" s="971">
        <v>7113</v>
      </c>
      <c r="K883" s="970">
        <v>34726</v>
      </c>
      <c r="L883" s="972">
        <f t="shared" si="26"/>
        <v>56800</v>
      </c>
      <c r="M883" s="970"/>
      <c r="N883" s="971">
        <v>1410</v>
      </c>
      <c r="O883" s="971">
        <v>0</v>
      </c>
      <c r="P883" s="970">
        <v>0</v>
      </c>
      <c r="Q883" s="972">
        <f t="shared" si="27"/>
        <v>1410</v>
      </c>
      <c r="R883" s="970"/>
      <c r="S883" s="971">
        <v>16784</v>
      </c>
      <c r="T883" s="973">
        <v>12838</v>
      </c>
      <c r="U883" s="973">
        <v>29622</v>
      </c>
    </row>
    <row r="884" spans="1:21" x14ac:dyDescent="0.25">
      <c r="A884" s="967">
        <v>99701</v>
      </c>
      <c r="B884" s="968" t="s">
        <v>3519</v>
      </c>
      <c r="C884" s="969">
        <v>2.9190000000000002E-3</v>
      </c>
      <c r="D884" s="969">
        <v>2.8774E-3</v>
      </c>
      <c r="E884" s="986">
        <v>1295371</v>
      </c>
      <c r="F884" s="970">
        <v>4459423</v>
      </c>
      <c r="G884" s="970"/>
      <c r="H884" s="971">
        <v>256904</v>
      </c>
      <c r="I884" s="972">
        <v>1082754</v>
      </c>
      <c r="J884" s="971">
        <v>636867</v>
      </c>
      <c r="K884" s="970">
        <v>21162</v>
      </c>
      <c r="L884" s="972">
        <f t="shared" si="26"/>
        <v>1997687</v>
      </c>
      <c r="M884" s="970"/>
      <c r="N884" s="971">
        <v>126232</v>
      </c>
      <c r="O884" s="971">
        <v>0</v>
      </c>
      <c r="P884" s="970">
        <v>17651</v>
      </c>
      <c r="Q884" s="972">
        <f t="shared" si="27"/>
        <v>143883</v>
      </c>
      <c r="R884" s="970"/>
      <c r="S884" s="971">
        <v>1502830</v>
      </c>
      <c r="T884" s="973">
        <v>-1976</v>
      </c>
      <c r="U884" s="973">
        <f>1500853+1</f>
        <v>1500854</v>
      </c>
    </row>
    <row r="885" spans="1:21" x14ac:dyDescent="0.25">
      <c r="A885" s="967">
        <v>99705</v>
      </c>
      <c r="B885" s="968" t="s">
        <v>3520</v>
      </c>
      <c r="C885" s="969">
        <v>1.7229999999999999E-4</v>
      </c>
      <c r="D885" s="969">
        <v>1.7259999999999999E-4</v>
      </c>
      <c r="E885" s="986">
        <v>85451</v>
      </c>
      <c r="F885" s="970">
        <v>263227</v>
      </c>
      <c r="G885" s="970"/>
      <c r="H885" s="971">
        <v>15164</v>
      </c>
      <c r="I885" s="972">
        <v>63911</v>
      </c>
      <c r="J885" s="971">
        <v>37592</v>
      </c>
      <c r="K885" s="970">
        <v>10978</v>
      </c>
      <c r="L885" s="972">
        <f t="shared" si="26"/>
        <v>127645</v>
      </c>
      <c r="M885" s="970"/>
      <c r="N885" s="971">
        <v>7451</v>
      </c>
      <c r="O885" s="971">
        <v>0</v>
      </c>
      <c r="P885" s="970">
        <v>544</v>
      </c>
      <c r="Q885" s="972">
        <f t="shared" si="27"/>
        <v>7995</v>
      </c>
      <c r="R885" s="970"/>
      <c r="S885" s="971">
        <v>88708</v>
      </c>
      <c r="T885" s="973">
        <v>5913</v>
      </c>
      <c r="U885" s="973">
        <v>94621</v>
      </c>
    </row>
    <row r="886" spans="1:21" x14ac:dyDescent="0.25">
      <c r="A886" s="967">
        <v>99711</v>
      </c>
      <c r="B886" s="968" t="s">
        <v>3521</v>
      </c>
      <c r="C886" s="969">
        <v>4.5459999999999999E-4</v>
      </c>
      <c r="D886" s="969">
        <v>4.3540000000000001E-4</v>
      </c>
      <c r="E886" s="986">
        <v>209494</v>
      </c>
      <c r="F886" s="970">
        <v>694503</v>
      </c>
      <c r="G886" s="970"/>
      <c r="H886" s="971">
        <v>40010</v>
      </c>
      <c r="I886" s="972">
        <v>168626</v>
      </c>
      <c r="J886" s="971">
        <v>99185</v>
      </c>
      <c r="K886" s="970">
        <v>14449</v>
      </c>
      <c r="L886" s="972">
        <f t="shared" si="26"/>
        <v>322270</v>
      </c>
      <c r="M886" s="970"/>
      <c r="N886" s="971">
        <v>19659</v>
      </c>
      <c r="O886" s="971">
        <v>0</v>
      </c>
      <c r="P886" s="970">
        <v>10625</v>
      </c>
      <c r="Q886" s="972">
        <f t="shared" si="27"/>
        <v>30284</v>
      </c>
      <c r="R886" s="970"/>
      <c r="S886" s="971">
        <v>234048</v>
      </c>
      <c r="T886" s="973">
        <v>-1042</v>
      </c>
      <c r="U886" s="973">
        <v>233006</v>
      </c>
    </row>
    <row r="887" spans="1:21" x14ac:dyDescent="0.25">
      <c r="A887" s="967">
        <v>99717</v>
      </c>
      <c r="B887" s="968" t="s">
        <v>3522</v>
      </c>
      <c r="C887" s="969">
        <v>2.19E-5</v>
      </c>
      <c r="D887" s="969">
        <v>2.3200000000000001E-5</v>
      </c>
      <c r="E887" s="986">
        <v>8060</v>
      </c>
      <c r="F887" s="970">
        <v>33457</v>
      </c>
      <c r="G887" s="970"/>
      <c r="H887" s="971">
        <v>1927</v>
      </c>
      <c r="I887" s="972">
        <v>8123</v>
      </c>
      <c r="J887" s="971">
        <v>4778</v>
      </c>
      <c r="K887" s="970">
        <v>0</v>
      </c>
      <c r="L887" s="972">
        <f t="shared" si="26"/>
        <v>14828</v>
      </c>
      <c r="M887" s="970"/>
      <c r="N887" s="971">
        <v>947</v>
      </c>
      <c r="O887" s="971">
        <v>0</v>
      </c>
      <c r="P887" s="970">
        <v>3936</v>
      </c>
      <c r="Q887" s="972">
        <f t="shared" si="27"/>
        <v>4883</v>
      </c>
      <c r="R887" s="970"/>
      <c r="S887" s="971">
        <v>11275</v>
      </c>
      <c r="T887" s="973">
        <v>-1270</v>
      </c>
      <c r="U887" s="973">
        <v>10005</v>
      </c>
    </row>
    <row r="888" spans="1:21" x14ac:dyDescent="0.25">
      <c r="A888" s="967">
        <v>99721</v>
      </c>
      <c r="B888" s="968" t="s">
        <v>3523</v>
      </c>
      <c r="C888" s="969">
        <v>5.7779999999999995E-4</v>
      </c>
      <c r="D888" s="969">
        <v>6.2449999999999995E-4</v>
      </c>
      <c r="E888" s="986">
        <v>252725</v>
      </c>
      <c r="F888" s="970">
        <v>882718</v>
      </c>
      <c r="G888" s="970"/>
      <c r="H888" s="971">
        <v>50853</v>
      </c>
      <c r="I888" s="972">
        <v>214325</v>
      </c>
      <c r="J888" s="971">
        <v>126064</v>
      </c>
      <c r="K888" s="970">
        <v>0</v>
      </c>
      <c r="L888" s="972">
        <f t="shared" si="26"/>
        <v>391242</v>
      </c>
      <c r="M888" s="970"/>
      <c r="N888" s="971">
        <v>24987</v>
      </c>
      <c r="O888" s="971">
        <v>0</v>
      </c>
      <c r="P888" s="970">
        <v>48789</v>
      </c>
      <c r="Q888" s="972">
        <f t="shared" si="27"/>
        <v>73776</v>
      </c>
      <c r="R888" s="970"/>
      <c r="S888" s="971">
        <v>297477</v>
      </c>
      <c r="T888" s="973">
        <v>-14223</v>
      </c>
      <c r="U888" s="973">
        <v>283254</v>
      </c>
    </row>
    <row r="889" spans="1:21" x14ac:dyDescent="0.25">
      <c r="A889" s="967">
        <v>99727</v>
      </c>
      <c r="B889" s="968" t="s">
        <v>3524</v>
      </c>
      <c r="C889" s="969">
        <v>2.3900000000000002E-5</v>
      </c>
      <c r="D889" s="969">
        <v>2.5299999999999998E-5</v>
      </c>
      <c r="E889" s="986">
        <v>46315</v>
      </c>
      <c r="F889" s="970">
        <v>36513</v>
      </c>
      <c r="G889" s="970"/>
      <c r="H889" s="971">
        <v>2103</v>
      </c>
      <c r="I889" s="972">
        <v>8865</v>
      </c>
      <c r="J889" s="971">
        <v>5215</v>
      </c>
      <c r="K889" s="970">
        <v>59484</v>
      </c>
      <c r="L889" s="972">
        <f t="shared" si="26"/>
        <v>75667</v>
      </c>
      <c r="M889" s="970"/>
      <c r="N889" s="971">
        <v>1034</v>
      </c>
      <c r="O889" s="971">
        <v>0</v>
      </c>
      <c r="P889" s="970">
        <v>0</v>
      </c>
      <c r="Q889" s="972">
        <f t="shared" si="27"/>
        <v>1034</v>
      </c>
      <c r="R889" s="970"/>
      <c r="S889" s="971">
        <v>12305</v>
      </c>
      <c r="T889" s="973">
        <v>20983</v>
      </c>
      <c r="U889" s="973">
        <v>33288</v>
      </c>
    </row>
    <row r="890" spans="1:21" x14ac:dyDescent="0.25">
      <c r="A890" s="967">
        <v>99801</v>
      </c>
      <c r="B890" s="968" t="s">
        <v>3525</v>
      </c>
      <c r="C890" s="969">
        <v>5.1866000000000004E-3</v>
      </c>
      <c r="D890" s="969">
        <v>5.1954999999999996E-3</v>
      </c>
      <c r="E890" s="986">
        <v>2259452</v>
      </c>
      <c r="F890" s="970">
        <v>7923688</v>
      </c>
      <c r="G890" s="970"/>
      <c r="H890" s="971">
        <v>456478</v>
      </c>
      <c r="I890" s="972">
        <v>1923881</v>
      </c>
      <c r="J890" s="971">
        <v>1131612</v>
      </c>
      <c r="K890" s="970">
        <v>17042</v>
      </c>
      <c r="L890" s="972">
        <f t="shared" si="26"/>
        <v>3529013</v>
      </c>
      <c r="M890" s="970"/>
      <c r="N890" s="971">
        <v>224295</v>
      </c>
      <c r="O890" s="971">
        <v>0</v>
      </c>
      <c r="P890" s="970">
        <v>150042</v>
      </c>
      <c r="Q890" s="972">
        <f t="shared" si="27"/>
        <v>374337</v>
      </c>
      <c r="R890" s="970"/>
      <c r="S890" s="971">
        <v>2670290</v>
      </c>
      <c r="T890" s="973">
        <v>-29556</v>
      </c>
      <c r="U890" s="973">
        <f>2640733+1</f>
        <v>2640734</v>
      </c>
    </row>
    <row r="891" spans="1:21" x14ac:dyDescent="0.25">
      <c r="A891" s="967">
        <v>99802</v>
      </c>
      <c r="B891" s="968" t="s">
        <v>3526</v>
      </c>
      <c r="C891" s="969">
        <v>6.0000000000000002E-6</v>
      </c>
      <c r="D891" s="969">
        <v>6.4999999999999996E-6</v>
      </c>
      <c r="E891" s="986">
        <v>4581</v>
      </c>
      <c r="F891" s="970">
        <v>9166</v>
      </c>
      <c r="G891" s="970"/>
      <c r="H891" s="971">
        <v>528</v>
      </c>
      <c r="I891" s="972">
        <v>2226</v>
      </c>
      <c r="J891" s="971">
        <v>1309</v>
      </c>
      <c r="K891" s="970">
        <v>1378</v>
      </c>
      <c r="L891" s="972">
        <f t="shared" si="26"/>
        <v>5441</v>
      </c>
      <c r="M891" s="970"/>
      <c r="N891" s="971">
        <v>259</v>
      </c>
      <c r="O891" s="971">
        <v>0</v>
      </c>
      <c r="P891" s="970">
        <v>53</v>
      </c>
      <c r="Q891" s="972">
        <f t="shared" si="27"/>
        <v>312</v>
      </c>
      <c r="R891" s="970"/>
      <c r="S891" s="971">
        <v>3089</v>
      </c>
      <c r="T891" s="973">
        <v>334</v>
      </c>
      <c r="U891" s="973">
        <v>3423</v>
      </c>
    </row>
    <row r="892" spans="1:21" x14ac:dyDescent="0.25">
      <c r="A892" s="967">
        <v>99804</v>
      </c>
      <c r="B892" s="968" t="s">
        <v>3527</v>
      </c>
      <c r="C892" s="969">
        <v>9.0500000000000004E-5</v>
      </c>
      <c r="D892" s="969">
        <v>8.6600000000000004E-5</v>
      </c>
      <c r="E892" s="986">
        <v>46756</v>
      </c>
      <c r="F892" s="970">
        <v>138259</v>
      </c>
      <c r="G892" s="970"/>
      <c r="H892" s="971">
        <v>7965</v>
      </c>
      <c r="I892" s="972">
        <v>33569</v>
      </c>
      <c r="J892" s="971">
        <v>19745</v>
      </c>
      <c r="K892" s="970">
        <v>13689</v>
      </c>
      <c r="L892" s="972">
        <f t="shared" si="26"/>
        <v>74968</v>
      </c>
      <c r="M892" s="970"/>
      <c r="N892" s="971">
        <v>3914</v>
      </c>
      <c r="O892" s="971">
        <v>0</v>
      </c>
      <c r="P892" s="970">
        <v>0</v>
      </c>
      <c r="Q892" s="972">
        <f t="shared" si="27"/>
        <v>3914</v>
      </c>
      <c r="R892" s="970"/>
      <c r="S892" s="971">
        <v>46593</v>
      </c>
      <c r="T892" s="973">
        <v>4917</v>
      </c>
      <c r="U892" s="973">
        <v>51510</v>
      </c>
    </row>
    <row r="893" spans="1:21" x14ac:dyDescent="0.25">
      <c r="A893" s="967">
        <v>99811</v>
      </c>
      <c r="B893" s="968" t="s">
        <v>3528</v>
      </c>
      <c r="C893" s="969">
        <v>6.7026999999999998E-3</v>
      </c>
      <c r="D893" s="969">
        <v>6.8415000000000004E-3</v>
      </c>
      <c r="E893" s="986">
        <v>2884356</v>
      </c>
      <c r="F893" s="970">
        <v>10239869</v>
      </c>
      <c r="G893" s="970"/>
      <c r="H893" s="971">
        <v>589911</v>
      </c>
      <c r="I893" s="972">
        <v>2486253</v>
      </c>
      <c r="J893" s="971">
        <v>1462395</v>
      </c>
      <c r="K893" s="970">
        <v>0</v>
      </c>
      <c r="L893" s="972">
        <f t="shared" si="26"/>
        <v>4538559</v>
      </c>
      <c r="M893" s="970"/>
      <c r="N893" s="971">
        <v>289858</v>
      </c>
      <c r="O893" s="971">
        <v>0</v>
      </c>
      <c r="P893" s="970">
        <v>598680</v>
      </c>
      <c r="Q893" s="972">
        <f t="shared" si="27"/>
        <v>888538</v>
      </c>
      <c r="R893" s="970"/>
      <c r="S893" s="971">
        <v>3450845</v>
      </c>
      <c r="T893" s="973">
        <v>-236953</v>
      </c>
      <c r="U893" s="973">
        <f>3213891+1</f>
        <v>3213892</v>
      </c>
    </row>
    <row r="894" spans="1:21" x14ac:dyDescent="0.25">
      <c r="A894" s="967">
        <v>99812</v>
      </c>
      <c r="B894" s="968" t="s">
        <v>3529</v>
      </c>
      <c r="C894" s="969">
        <v>2.2099999999999998E-5</v>
      </c>
      <c r="D894" s="969">
        <v>2.5599999999999999E-5</v>
      </c>
      <c r="E894" s="986">
        <v>20069</v>
      </c>
      <c r="F894" s="970">
        <v>33763</v>
      </c>
      <c r="G894" s="970"/>
      <c r="H894" s="971">
        <v>1945</v>
      </c>
      <c r="I894" s="972">
        <v>8198</v>
      </c>
      <c r="J894" s="971">
        <v>4822</v>
      </c>
      <c r="K894" s="970">
        <v>11652</v>
      </c>
      <c r="L894" s="972">
        <f t="shared" si="26"/>
        <v>26617</v>
      </c>
      <c r="M894" s="970"/>
      <c r="N894" s="971">
        <v>956</v>
      </c>
      <c r="O894" s="971">
        <v>0</v>
      </c>
      <c r="P894" s="970">
        <v>0</v>
      </c>
      <c r="Q894" s="972">
        <f t="shared" si="27"/>
        <v>956</v>
      </c>
      <c r="R894" s="970"/>
      <c r="S894" s="971">
        <v>11378</v>
      </c>
      <c r="T894" s="973">
        <v>4237</v>
      </c>
      <c r="U894" s="973">
        <v>15615</v>
      </c>
    </row>
    <row r="895" spans="1:21" x14ac:dyDescent="0.25">
      <c r="A895" s="967">
        <v>99818</v>
      </c>
      <c r="B895" s="968" t="s">
        <v>3530</v>
      </c>
      <c r="C895" s="969">
        <v>3.1600000000000002E-5</v>
      </c>
      <c r="D895" s="969">
        <v>3.7700000000000002E-5</v>
      </c>
      <c r="E895" s="986">
        <v>14370</v>
      </c>
      <c r="F895" s="970">
        <v>48276</v>
      </c>
      <c r="G895" s="970"/>
      <c r="H895" s="971">
        <v>2781</v>
      </c>
      <c r="I895" s="972">
        <v>11722</v>
      </c>
      <c r="J895" s="971">
        <v>6894</v>
      </c>
      <c r="K895" s="970">
        <v>3054</v>
      </c>
      <c r="L895" s="972">
        <f t="shared" si="26"/>
        <v>24451</v>
      </c>
      <c r="M895" s="970"/>
      <c r="N895" s="971">
        <v>1367</v>
      </c>
      <c r="O895" s="971">
        <v>0</v>
      </c>
      <c r="P895" s="970">
        <v>6414</v>
      </c>
      <c r="Q895" s="972">
        <f t="shared" si="27"/>
        <v>7781</v>
      </c>
      <c r="R895" s="970"/>
      <c r="S895" s="971">
        <v>16269</v>
      </c>
      <c r="T895" s="973">
        <v>695</v>
      </c>
      <c r="U895" s="973">
        <v>16964</v>
      </c>
    </row>
    <row r="896" spans="1:21" x14ac:dyDescent="0.25">
      <c r="A896" s="967">
        <v>99821</v>
      </c>
      <c r="B896" s="968" t="s">
        <v>3531</v>
      </c>
      <c r="C896" s="969">
        <v>9.1100000000000005E-5</v>
      </c>
      <c r="D896" s="969">
        <v>8.2899999999999996E-5</v>
      </c>
      <c r="E896" s="986">
        <v>48801</v>
      </c>
      <c r="F896" s="970">
        <v>139176</v>
      </c>
      <c r="G896" s="970"/>
      <c r="H896" s="971">
        <v>8018</v>
      </c>
      <c r="I896" s="972">
        <v>33792</v>
      </c>
      <c r="J896" s="971">
        <v>19876</v>
      </c>
      <c r="K896" s="970">
        <v>21459</v>
      </c>
      <c r="L896" s="972">
        <f t="shared" si="26"/>
        <v>83145</v>
      </c>
      <c r="M896" s="970"/>
      <c r="N896" s="971">
        <v>3940</v>
      </c>
      <c r="O896" s="971">
        <v>0</v>
      </c>
      <c r="P896" s="970">
        <v>555</v>
      </c>
      <c r="Q896" s="972">
        <f t="shared" si="27"/>
        <v>4495</v>
      </c>
      <c r="R896" s="970"/>
      <c r="S896" s="971">
        <v>46902</v>
      </c>
      <c r="T896" s="973">
        <v>9955</v>
      </c>
      <c r="U896" s="973">
        <v>56857</v>
      </c>
    </row>
    <row r="897" spans="1:21" x14ac:dyDescent="0.25">
      <c r="A897" s="967">
        <v>99831</v>
      </c>
      <c r="B897" s="968" t="s">
        <v>3532</v>
      </c>
      <c r="C897" s="969">
        <v>6.3299999999999994E-5</v>
      </c>
      <c r="D897" s="969">
        <v>5.5899999999999997E-5</v>
      </c>
      <c r="E897" s="986">
        <v>28274</v>
      </c>
      <c r="F897" s="970">
        <v>96705</v>
      </c>
      <c r="G897" s="970"/>
      <c r="H897" s="971">
        <v>5571</v>
      </c>
      <c r="I897" s="972">
        <v>23480</v>
      </c>
      <c r="J897" s="971">
        <v>13811</v>
      </c>
      <c r="K897" s="970">
        <v>7030</v>
      </c>
      <c r="L897" s="972">
        <f t="shared" si="26"/>
        <v>49892</v>
      </c>
      <c r="M897" s="970"/>
      <c r="N897" s="971">
        <v>2737</v>
      </c>
      <c r="O897" s="971">
        <v>0</v>
      </c>
      <c r="P897" s="970">
        <v>564</v>
      </c>
      <c r="Q897" s="972">
        <f t="shared" si="27"/>
        <v>3301</v>
      </c>
      <c r="R897" s="970"/>
      <c r="S897" s="971">
        <v>32590</v>
      </c>
      <c r="T897" s="973">
        <v>1906</v>
      </c>
      <c r="U897" s="973">
        <f>34495+1</f>
        <v>34496</v>
      </c>
    </row>
    <row r="898" spans="1:21" x14ac:dyDescent="0.25">
      <c r="A898" s="967">
        <v>99841</v>
      </c>
      <c r="B898" s="968" t="s">
        <v>3533</v>
      </c>
      <c r="C898" s="969">
        <v>4.3399999999999998E-5</v>
      </c>
      <c r="D898" s="969">
        <v>4.6E-5</v>
      </c>
      <c r="E898" s="986">
        <v>19338</v>
      </c>
      <c r="F898" s="970">
        <v>66303</v>
      </c>
      <c r="G898" s="970"/>
      <c r="H898" s="971">
        <v>3820</v>
      </c>
      <c r="I898" s="972">
        <v>16098</v>
      </c>
      <c r="J898" s="971">
        <v>9469</v>
      </c>
      <c r="K898" s="970">
        <v>1271</v>
      </c>
      <c r="L898" s="972">
        <f t="shared" si="26"/>
        <v>30658</v>
      </c>
      <c r="M898" s="970"/>
      <c r="N898" s="971">
        <v>1877</v>
      </c>
      <c r="O898" s="971">
        <v>0</v>
      </c>
      <c r="P898" s="970">
        <v>4060</v>
      </c>
      <c r="Q898" s="972">
        <f t="shared" si="27"/>
        <v>5937</v>
      </c>
      <c r="R898" s="970"/>
      <c r="S898" s="971">
        <v>22344</v>
      </c>
      <c r="T898" s="973">
        <v>-1214</v>
      </c>
      <c r="U898" s="973">
        <v>21130</v>
      </c>
    </row>
    <row r="899" spans="1:21" x14ac:dyDescent="0.25">
      <c r="A899" s="967">
        <v>99851</v>
      </c>
      <c r="B899" s="968" t="s">
        <v>3534</v>
      </c>
      <c r="C899" s="969">
        <v>2.23E-5</v>
      </c>
      <c r="D899" s="969">
        <v>2.1999999999999999E-5</v>
      </c>
      <c r="E899" s="986">
        <v>7302</v>
      </c>
      <c r="F899" s="970">
        <v>34068</v>
      </c>
      <c r="G899" s="970"/>
      <c r="H899" s="971">
        <v>1963</v>
      </c>
      <c r="I899" s="972">
        <v>8272</v>
      </c>
      <c r="J899" s="971">
        <v>4865</v>
      </c>
      <c r="K899" s="970">
        <v>142</v>
      </c>
      <c r="L899" s="972">
        <f t="shared" si="26"/>
        <v>15242</v>
      </c>
      <c r="M899" s="970"/>
      <c r="N899" s="971">
        <v>964</v>
      </c>
      <c r="O899" s="971">
        <v>0</v>
      </c>
      <c r="P899" s="970">
        <v>3191</v>
      </c>
      <c r="Q899" s="972">
        <f t="shared" si="27"/>
        <v>4155</v>
      </c>
      <c r="R899" s="970"/>
      <c r="S899" s="971">
        <v>11481</v>
      </c>
      <c r="T899" s="973">
        <v>-847</v>
      </c>
      <c r="U899" s="973">
        <v>10634</v>
      </c>
    </row>
    <row r="900" spans="1:21" x14ac:dyDescent="0.25">
      <c r="A900" s="967">
        <v>99901</v>
      </c>
      <c r="B900" s="968" t="s">
        <v>3535</v>
      </c>
      <c r="C900" s="969">
        <v>1.6707E-3</v>
      </c>
      <c r="D900" s="969">
        <v>1.6371999999999999E-3</v>
      </c>
      <c r="E900" s="986">
        <v>760400</v>
      </c>
      <c r="F900" s="970">
        <v>2552367</v>
      </c>
      <c r="G900" s="970"/>
      <c r="H900" s="971">
        <v>147040</v>
      </c>
      <c r="I900" s="972">
        <v>619718</v>
      </c>
      <c r="J900" s="971">
        <v>364513</v>
      </c>
      <c r="K900" s="970">
        <v>63407</v>
      </c>
      <c r="L900" s="972">
        <f t="shared" si="26"/>
        <v>1194678</v>
      </c>
      <c r="M900" s="970"/>
      <c r="N900" s="971">
        <v>72249</v>
      </c>
      <c r="O900" s="971">
        <v>0</v>
      </c>
      <c r="P900" s="970">
        <v>12021</v>
      </c>
      <c r="Q900" s="972">
        <f t="shared" si="27"/>
        <v>84270</v>
      </c>
      <c r="R900" s="970"/>
      <c r="S900" s="971">
        <v>860150</v>
      </c>
      <c r="T900" s="973">
        <v>13114</v>
      </c>
      <c r="U900" s="973">
        <v>873264</v>
      </c>
    </row>
    <row r="901" spans="1:21" x14ac:dyDescent="0.25">
      <c r="A901" s="967">
        <v>99911</v>
      </c>
      <c r="B901" s="968" t="s">
        <v>3536</v>
      </c>
      <c r="C901" s="969">
        <v>2.5980000000000003E-4</v>
      </c>
      <c r="D901" s="969">
        <v>2.5520000000000002E-4</v>
      </c>
      <c r="E901" s="986">
        <v>122066</v>
      </c>
      <c r="F901" s="970">
        <v>396902</v>
      </c>
      <c r="G901" s="970"/>
      <c r="H901" s="971">
        <v>22865</v>
      </c>
      <c r="I901" s="972">
        <v>96368</v>
      </c>
      <c r="J901" s="971">
        <v>56683</v>
      </c>
      <c r="K901" s="970">
        <v>7168</v>
      </c>
      <c r="L901" s="972">
        <f t="shared" si="26"/>
        <v>183084</v>
      </c>
      <c r="M901" s="970"/>
      <c r="N901" s="971">
        <v>11235</v>
      </c>
      <c r="O901" s="971">
        <v>0</v>
      </c>
      <c r="P901" s="970">
        <v>12661</v>
      </c>
      <c r="Q901" s="972">
        <f t="shared" si="27"/>
        <v>23896</v>
      </c>
      <c r="R901" s="970"/>
      <c r="S901" s="971">
        <v>133756</v>
      </c>
      <c r="T901" s="973">
        <v>-5521</v>
      </c>
      <c r="U901" s="973">
        <v>128235</v>
      </c>
    </row>
    <row r="902" spans="1:21" x14ac:dyDescent="0.25">
      <c r="A902" s="967">
        <v>99921</v>
      </c>
      <c r="B902" s="968" t="s">
        <v>3537</v>
      </c>
      <c r="C902" s="969">
        <v>1.506E-4</v>
      </c>
      <c r="D902" s="969">
        <v>1.5129999999999999E-4</v>
      </c>
      <c r="E902" s="986">
        <v>65165</v>
      </c>
      <c r="F902" s="970">
        <v>230075</v>
      </c>
      <c r="G902" s="970"/>
      <c r="H902" s="971">
        <v>13254</v>
      </c>
      <c r="I902" s="972">
        <v>55863</v>
      </c>
      <c r="J902" s="971">
        <v>32858</v>
      </c>
      <c r="K902" s="970">
        <v>3258</v>
      </c>
      <c r="L902" s="972">
        <f t="shared" si="26"/>
        <v>105233</v>
      </c>
      <c r="M902" s="970"/>
      <c r="N902" s="971">
        <v>6513</v>
      </c>
      <c r="O902" s="971">
        <v>0</v>
      </c>
      <c r="P902" s="970">
        <v>7306</v>
      </c>
      <c r="Q902" s="972">
        <f t="shared" si="27"/>
        <v>13819</v>
      </c>
      <c r="R902" s="970"/>
      <c r="S902" s="971">
        <v>77536</v>
      </c>
      <c r="T902" s="973">
        <v>-3057</v>
      </c>
      <c r="U902" s="973">
        <v>74479</v>
      </c>
    </row>
    <row r="903" spans="1:21" x14ac:dyDescent="0.25">
      <c r="A903" s="967">
        <v>99931</v>
      </c>
      <c r="B903" s="968" t="s">
        <v>3538</v>
      </c>
      <c r="C903" s="969">
        <v>1.5800000000000001E-5</v>
      </c>
      <c r="D903" s="969">
        <v>2.51E-5</v>
      </c>
      <c r="E903" s="986">
        <v>8881</v>
      </c>
      <c r="F903" s="970">
        <v>24138</v>
      </c>
      <c r="G903" s="970"/>
      <c r="H903" s="971">
        <v>1391</v>
      </c>
      <c r="I903" s="972">
        <v>5860</v>
      </c>
      <c r="J903" s="971">
        <v>3447</v>
      </c>
      <c r="K903" s="970">
        <v>0</v>
      </c>
      <c r="L903" s="972">
        <f>H903+I903+J903+K903</f>
        <v>10698</v>
      </c>
      <c r="M903" s="970"/>
      <c r="N903" s="971">
        <v>683</v>
      </c>
      <c r="O903" s="971">
        <v>0</v>
      </c>
      <c r="P903" s="970">
        <v>8477</v>
      </c>
      <c r="Q903" s="972">
        <f>N903+O903+P903</f>
        <v>9160</v>
      </c>
      <c r="R903" s="970"/>
      <c r="S903" s="971">
        <v>8135</v>
      </c>
      <c r="T903" s="973">
        <v>-3271</v>
      </c>
      <c r="U903" s="973">
        <v>4864</v>
      </c>
    </row>
    <row r="904" spans="1:21" x14ac:dyDescent="0.25">
      <c r="A904" s="967">
        <v>99941</v>
      </c>
      <c r="B904" s="968" t="s">
        <v>3539</v>
      </c>
      <c r="C904" s="969">
        <v>7.5400000000000003E-5</v>
      </c>
      <c r="D904" s="969">
        <v>7.8200000000000003E-5</v>
      </c>
      <c r="E904" s="986">
        <v>32663</v>
      </c>
      <c r="F904" s="970">
        <v>115190</v>
      </c>
      <c r="G904" s="970"/>
      <c r="H904" s="971">
        <v>6636</v>
      </c>
      <c r="I904" s="972">
        <v>27969</v>
      </c>
      <c r="J904" s="971">
        <v>16451</v>
      </c>
      <c r="K904" s="970">
        <v>0</v>
      </c>
      <c r="L904" s="972">
        <f>H904+I904+J904+K904</f>
        <v>51056</v>
      </c>
      <c r="M904" s="970"/>
      <c r="N904" s="971">
        <v>3261</v>
      </c>
      <c r="O904" s="971">
        <v>0</v>
      </c>
      <c r="P904" s="970">
        <v>11647</v>
      </c>
      <c r="Q904" s="972">
        <f>N904+O904+P904</f>
        <v>14908</v>
      </c>
      <c r="R904" s="970"/>
      <c r="S904" s="971">
        <v>38819</v>
      </c>
      <c r="T904" s="973">
        <v>-4535</v>
      </c>
      <c r="U904" s="973">
        <f>34285-1</f>
        <v>34284</v>
      </c>
    </row>
    <row r="905" spans="1:21" x14ac:dyDescent="0.25">
      <c r="A905" s="967">
        <v>99991</v>
      </c>
      <c r="B905" s="968" t="s">
        <v>3540</v>
      </c>
      <c r="C905" s="969">
        <v>5.3450000000000004E-4</v>
      </c>
      <c r="D905" s="969">
        <v>5.6990000000000003E-4</v>
      </c>
      <c r="E905" s="986">
        <v>239781</v>
      </c>
      <c r="F905" s="970">
        <v>816568</v>
      </c>
      <c r="G905" s="970"/>
      <c r="H905" s="971">
        <v>47042</v>
      </c>
      <c r="I905" s="972">
        <v>198264</v>
      </c>
      <c r="J905" s="971">
        <v>116617</v>
      </c>
      <c r="K905" s="970">
        <v>28891</v>
      </c>
      <c r="L905" s="972">
        <f>H905+I905+J905+K905</f>
        <v>390814</v>
      </c>
      <c r="M905" s="970"/>
      <c r="N905" s="971">
        <v>23114</v>
      </c>
      <c r="O905" s="971">
        <v>0</v>
      </c>
      <c r="P905" s="970">
        <v>28214</v>
      </c>
      <c r="Q905" s="972">
        <f>N905+O905+P905</f>
        <v>51328</v>
      </c>
      <c r="R905" s="970"/>
      <c r="S905" s="971">
        <v>275184</v>
      </c>
      <c r="T905" s="973">
        <v>12361</v>
      </c>
      <c r="U905" s="973">
        <v>287545</v>
      </c>
    </row>
    <row r="906" spans="1:21" x14ac:dyDescent="0.25">
      <c r="A906" s="967">
        <v>99999</v>
      </c>
      <c r="B906" s="968" t="s">
        <v>3541</v>
      </c>
      <c r="C906" s="969">
        <v>8.7509999999999997E-4</v>
      </c>
      <c r="D906" s="969">
        <v>1.0101000000000001E-3</v>
      </c>
      <c r="E906" s="986">
        <v>509176</v>
      </c>
      <c r="F906" s="970">
        <v>1336910</v>
      </c>
      <c r="G906" s="970"/>
      <c r="H906" s="971">
        <v>77018</v>
      </c>
      <c r="I906" s="972">
        <v>324603</v>
      </c>
      <c r="J906" s="971">
        <v>190929</v>
      </c>
      <c r="K906" s="970">
        <v>77711</v>
      </c>
      <c r="L906" s="972">
        <f>H906+I906+J906+K906</f>
        <v>670261</v>
      </c>
      <c r="M906" s="970"/>
      <c r="N906" s="971">
        <v>37844</v>
      </c>
      <c r="O906" s="971">
        <v>0</v>
      </c>
      <c r="P906" s="970">
        <v>26259</v>
      </c>
      <c r="Q906" s="972">
        <f>N906+O906+P906</f>
        <v>64103</v>
      </c>
      <c r="R906" s="970"/>
      <c r="S906" s="971">
        <v>450540</v>
      </c>
      <c r="T906" s="973">
        <v>10651</v>
      </c>
      <c r="U906" s="973">
        <v>461191</v>
      </c>
    </row>
    <row r="907" spans="1:21" x14ac:dyDescent="0.25">
      <c r="A907" s="988" t="s">
        <v>2647</v>
      </c>
      <c r="B907" s="989" t="s">
        <v>2646</v>
      </c>
      <c r="C907" s="990">
        <v>2.6581E-3</v>
      </c>
      <c r="D907" s="990">
        <v>2.3587E-3</v>
      </c>
      <c r="E907" s="991">
        <v>1110621</v>
      </c>
      <c r="F907" s="992">
        <v>4060841</v>
      </c>
      <c r="G907" s="992"/>
      <c r="H907" s="993">
        <v>233942</v>
      </c>
      <c r="I907" s="994">
        <v>985977</v>
      </c>
      <c r="J907" s="993">
        <v>579944</v>
      </c>
      <c r="K907" s="992">
        <v>130818</v>
      </c>
      <c r="L907" s="994">
        <v>1930681</v>
      </c>
      <c r="M907" s="992"/>
      <c r="N907" s="993">
        <v>114950</v>
      </c>
      <c r="O907" s="993" t="s">
        <v>3972</v>
      </c>
      <c r="P907" s="992">
        <v>31847</v>
      </c>
      <c r="Q907" s="994">
        <v>146797</v>
      </c>
      <c r="R907" s="992"/>
      <c r="S907" s="993">
        <v>1368507</v>
      </c>
      <c r="T907" s="992">
        <v>33872</v>
      </c>
      <c r="U907" s="992">
        <v>1402379</v>
      </c>
    </row>
    <row r="908" spans="1:21" s="982" customFormat="1" x14ac:dyDescent="0.25">
      <c r="A908" s="976"/>
      <c r="B908" s="977"/>
      <c r="C908" s="978">
        <v>1</v>
      </c>
      <c r="D908" s="978">
        <v>1</v>
      </c>
      <c r="E908" s="987"/>
      <c r="F908" s="979">
        <f>SUM(F7:F906)</f>
        <v>1527723006</v>
      </c>
      <c r="G908" s="979"/>
      <c r="H908" s="980">
        <f>SUM(H7:H906)</f>
        <v>88010998</v>
      </c>
      <c r="I908" s="981">
        <v>370932998</v>
      </c>
      <c r="J908" s="980">
        <f>SUM(J7:J906)</f>
        <v>218179990</v>
      </c>
      <c r="K908" s="980">
        <f>SUM(K7:K906)</f>
        <v>44399345</v>
      </c>
      <c r="L908" s="981">
        <f>SUM(L7:L906)</f>
        <v>721523331</v>
      </c>
      <c r="M908" s="980"/>
      <c r="N908" s="980">
        <f>SUM(N7:N906)</f>
        <v>43245007</v>
      </c>
      <c r="O908" s="980">
        <f>SUM(O7:O906)</f>
        <v>0</v>
      </c>
      <c r="P908" s="980">
        <f>SUM(P7:P906)</f>
        <v>44399369</v>
      </c>
      <c r="Q908" s="981">
        <f>SUM(Q7:Q906)</f>
        <v>87644376</v>
      </c>
      <c r="R908" s="980"/>
      <c r="S908" s="980">
        <f>SUM(S7:S906)</f>
        <v>514844016</v>
      </c>
      <c r="T908" s="980">
        <f>SUM(T7:T906)</f>
        <v>36</v>
      </c>
      <c r="U908" s="980">
        <f>SUM(U7:U906)</f>
        <v>514844052</v>
      </c>
    </row>
    <row r="909" spans="1:21" s="982" customFormat="1" x14ac:dyDescent="0.25">
      <c r="A909" s="976"/>
      <c r="B909" s="977"/>
      <c r="C909" s="978"/>
      <c r="D909" s="978"/>
      <c r="E909" s="987"/>
      <c r="F909" s="979"/>
      <c r="G909" s="979"/>
      <c r="H909" s="980"/>
      <c r="I909" s="981"/>
      <c r="J909" s="980"/>
      <c r="K909" s="980"/>
      <c r="L909" s="981"/>
      <c r="M909" s="980"/>
      <c r="N909" s="980"/>
      <c r="O909" s="980"/>
      <c r="P909" s="980"/>
      <c r="Q909" s="981"/>
      <c r="R909" s="980"/>
      <c r="S909" s="980"/>
      <c r="T909" s="980"/>
      <c r="U909" s="980"/>
    </row>
    <row r="910" spans="1:21" s="982" customFormat="1" x14ac:dyDescent="0.25">
      <c r="A910" s="976"/>
      <c r="B910" s="977"/>
      <c r="C910" s="978"/>
      <c r="D910" s="978"/>
      <c r="E910" s="987"/>
      <c r="F910" s="979"/>
      <c r="G910" s="979"/>
      <c r="H910" s="980"/>
      <c r="I910" s="981"/>
      <c r="J910" s="980"/>
      <c r="K910" s="980"/>
      <c r="L910" s="981"/>
      <c r="M910" s="980"/>
      <c r="N910" s="980"/>
      <c r="O910" s="980"/>
      <c r="P910" s="980"/>
      <c r="Q910" s="981"/>
      <c r="R910" s="980"/>
      <c r="S910" s="980"/>
      <c r="T910" s="980"/>
      <c r="U910" s="980"/>
    </row>
    <row r="911" spans="1:21" x14ac:dyDescent="0.25">
      <c r="B911" s="983" t="s">
        <v>2112</v>
      </c>
      <c r="C911" s="965" t="s">
        <v>837</v>
      </c>
    </row>
    <row r="912" spans="1:21" x14ac:dyDescent="0.25">
      <c r="B912" s="984" t="s">
        <v>2127</v>
      </c>
      <c r="C912" s="967">
        <v>96331</v>
      </c>
    </row>
    <row r="913" spans="2:3" x14ac:dyDescent="0.25">
      <c r="B913" s="984" t="s">
        <v>2128</v>
      </c>
      <c r="C913" s="967">
        <v>94611</v>
      </c>
    </row>
    <row r="914" spans="2:3" x14ac:dyDescent="0.25">
      <c r="B914" s="984" t="s">
        <v>1489</v>
      </c>
      <c r="C914" s="967">
        <v>93402</v>
      </c>
    </row>
    <row r="915" spans="2:3" x14ac:dyDescent="0.25">
      <c r="B915" s="984" t="s">
        <v>2129</v>
      </c>
      <c r="C915" s="967">
        <v>90151</v>
      </c>
    </row>
    <row r="916" spans="2:3" x14ac:dyDescent="0.25">
      <c r="B916" s="984" t="s">
        <v>3696</v>
      </c>
      <c r="C916" s="967">
        <v>94109</v>
      </c>
    </row>
    <row r="917" spans="2:3" x14ac:dyDescent="0.25">
      <c r="B917" s="984" t="s">
        <v>1194</v>
      </c>
      <c r="C917" s="967">
        <v>90101</v>
      </c>
    </row>
    <row r="918" spans="2:3" x14ac:dyDescent="0.25">
      <c r="B918" s="984" t="s">
        <v>3542</v>
      </c>
      <c r="C918" s="967">
        <v>90117</v>
      </c>
    </row>
    <row r="919" spans="2:3" x14ac:dyDescent="0.25">
      <c r="B919" s="984" t="s">
        <v>2130</v>
      </c>
      <c r="C919" s="967">
        <v>98411</v>
      </c>
    </row>
    <row r="920" spans="2:3" x14ac:dyDescent="0.25">
      <c r="B920" s="984" t="s">
        <v>3697</v>
      </c>
      <c r="C920" s="967">
        <v>98417</v>
      </c>
    </row>
    <row r="921" spans="2:3" x14ac:dyDescent="0.25">
      <c r="B921" s="984" t="s">
        <v>1790</v>
      </c>
      <c r="C921" s="967">
        <v>97008</v>
      </c>
    </row>
    <row r="922" spans="2:3" x14ac:dyDescent="0.25">
      <c r="B922" s="984" t="s">
        <v>1791</v>
      </c>
      <c r="C922" s="967">
        <v>97010</v>
      </c>
    </row>
    <row r="923" spans="2:3" x14ac:dyDescent="0.25">
      <c r="B923" s="984" t="s">
        <v>3543</v>
      </c>
      <c r="C923" s="967">
        <v>90096</v>
      </c>
    </row>
    <row r="924" spans="2:3" x14ac:dyDescent="0.25">
      <c r="B924" s="984" t="s">
        <v>1241</v>
      </c>
      <c r="C924" s="967">
        <v>90805</v>
      </c>
    </row>
    <row r="925" spans="2:3" x14ac:dyDescent="0.25">
      <c r="B925" s="984" t="s">
        <v>3698</v>
      </c>
      <c r="C925" s="967">
        <v>92109</v>
      </c>
    </row>
    <row r="926" spans="2:3" x14ac:dyDescent="0.25">
      <c r="B926" s="984" t="s">
        <v>1202</v>
      </c>
      <c r="C926" s="967">
        <v>90201</v>
      </c>
    </row>
    <row r="927" spans="2:3" x14ac:dyDescent="0.25">
      <c r="B927" s="984" t="s">
        <v>3699</v>
      </c>
      <c r="C927" s="967">
        <v>90206</v>
      </c>
    </row>
    <row r="928" spans="2:3" x14ac:dyDescent="0.25">
      <c r="B928" s="984" t="s">
        <v>3700</v>
      </c>
      <c r="C928" s="967">
        <v>90203</v>
      </c>
    </row>
    <row r="929" spans="2:3" x14ac:dyDescent="0.25">
      <c r="B929" s="984" t="s">
        <v>3701</v>
      </c>
      <c r="C929" s="967">
        <v>90205</v>
      </c>
    </row>
    <row r="930" spans="2:3" x14ac:dyDescent="0.25">
      <c r="B930" s="984" t="s">
        <v>1207</v>
      </c>
      <c r="C930" s="967">
        <v>90301</v>
      </c>
    </row>
    <row r="931" spans="2:3" x14ac:dyDescent="0.25">
      <c r="B931" s="984" t="s">
        <v>3702</v>
      </c>
      <c r="C931" s="967">
        <v>93209</v>
      </c>
    </row>
    <row r="932" spans="2:3" x14ac:dyDescent="0.25">
      <c r="B932" s="984" t="s">
        <v>2131</v>
      </c>
      <c r="C932" s="967">
        <v>92021</v>
      </c>
    </row>
    <row r="933" spans="2:3" x14ac:dyDescent="0.25">
      <c r="B933" s="984" t="s">
        <v>2132</v>
      </c>
      <c r="C933" s="967">
        <v>94351</v>
      </c>
    </row>
    <row r="934" spans="2:3" x14ac:dyDescent="0.25">
      <c r="B934" s="984" t="s">
        <v>3703</v>
      </c>
      <c r="C934" s="967">
        <v>94347</v>
      </c>
    </row>
    <row r="935" spans="2:3" x14ac:dyDescent="0.25">
      <c r="B935" s="984" t="s">
        <v>1210</v>
      </c>
      <c r="C935" s="967">
        <v>90401</v>
      </c>
    </row>
    <row r="936" spans="2:3" x14ac:dyDescent="0.25">
      <c r="B936" s="984" t="s">
        <v>2133</v>
      </c>
      <c r="C936" s="967">
        <v>90451</v>
      </c>
    </row>
    <row r="937" spans="2:3" x14ac:dyDescent="0.25">
      <c r="B937" s="984" t="s">
        <v>2134</v>
      </c>
      <c r="C937" s="967">
        <v>99271</v>
      </c>
    </row>
    <row r="938" spans="2:3" x14ac:dyDescent="0.25">
      <c r="B938" s="984" t="s">
        <v>3704</v>
      </c>
      <c r="C938" s="967">
        <v>90099</v>
      </c>
    </row>
    <row r="939" spans="2:3" x14ac:dyDescent="0.25">
      <c r="B939" s="984" t="s">
        <v>2030</v>
      </c>
      <c r="C939" s="967">
        <v>99705</v>
      </c>
    </row>
    <row r="940" spans="2:3" x14ac:dyDescent="0.25">
      <c r="B940" s="984" t="s">
        <v>2135</v>
      </c>
      <c r="C940" s="967">
        <v>97651</v>
      </c>
    </row>
    <row r="941" spans="2:3" x14ac:dyDescent="0.25">
      <c r="B941" s="984" t="s">
        <v>2136</v>
      </c>
      <c r="C941" s="967">
        <v>95106</v>
      </c>
    </row>
    <row r="942" spans="2:3" x14ac:dyDescent="0.25">
      <c r="B942" s="984" t="s">
        <v>1219</v>
      </c>
      <c r="C942" s="967">
        <v>90501</v>
      </c>
    </row>
    <row r="943" spans="2:3" x14ac:dyDescent="0.25">
      <c r="B943" s="984" t="s">
        <v>2137</v>
      </c>
      <c r="C943" s="967">
        <v>97611</v>
      </c>
    </row>
    <row r="944" spans="2:3" x14ac:dyDescent="0.25">
      <c r="B944" s="984" t="s">
        <v>3705</v>
      </c>
      <c r="C944" s="967">
        <v>97607</v>
      </c>
    </row>
    <row r="945" spans="2:3" x14ac:dyDescent="0.25">
      <c r="B945" s="984" t="s">
        <v>3706</v>
      </c>
      <c r="C945" s="967">
        <v>97613</v>
      </c>
    </row>
    <row r="946" spans="2:3" x14ac:dyDescent="0.25">
      <c r="B946" s="984" t="s">
        <v>2138</v>
      </c>
      <c r="C946" s="967">
        <v>91121</v>
      </c>
    </row>
    <row r="947" spans="2:3" x14ac:dyDescent="0.25">
      <c r="B947" s="984" t="s">
        <v>3707</v>
      </c>
      <c r="C947" s="967">
        <v>91127</v>
      </c>
    </row>
    <row r="948" spans="2:3" x14ac:dyDescent="0.25">
      <c r="B948" s="984" t="s">
        <v>1293</v>
      </c>
      <c r="C948" s="967">
        <v>91128</v>
      </c>
    </row>
    <row r="949" spans="2:3" x14ac:dyDescent="0.25">
      <c r="B949" s="984" t="s">
        <v>2139</v>
      </c>
      <c r="C949" s="967">
        <v>91681</v>
      </c>
    </row>
    <row r="950" spans="2:3" x14ac:dyDescent="0.25">
      <c r="B950" s="984" t="s">
        <v>2140</v>
      </c>
      <c r="C950" s="967">
        <v>90811</v>
      </c>
    </row>
    <row r="951" spans="2:3" x14ac:dyDescent="0.25">
      <c r="B951" s="984" t="s">
        <v>2141</v>
      </c>
      <c r="C951" s="967">
        <v>90721</v>
      </c>
    </row>
    <row r="952" spans="2:3" x14ac:dyDescent="0.25">
      <c r="B952" s="984" t="s">
        <v>2142</v>
      </c>
      <c r="C952" s="967">
        <v>98271</v>
      </c>
    </row>
    <row r="953" spans="2:3" x14ac:dyDescent="0.25">
      <c r="B953" s="984" t="s">
        <v>1223</v>
      </c>
      <c r="C953" s="967">
        <v>90601</v>
      </c>
    </row>
    <row r="954" spans="2:3" x14ac:dyDescent="0.25">
      <c r="B954" s="984" t="s">
        <v>3708</v>
      </c>
      <c r="C954" s="967">
        <v>90602</v>
      </c>
    </row>
    <row r="955" spans="2:3" x14ac:dyDescent="0.25">
      <c r="B955" s="984" t="s">
        <v>3709</v>
      </c>
      <c r="C955" s="967">
        <v>90605</v>
      </c>
    </row>
    <row r="956" spans="2:3" x14ac:dyDescent="0.25">
      <c r="B956" s="984" t="s">
        <v>2143</v>
      </c>
      <c r="C956" s="967">
        <v>97461</v>
      </c>
    </row>
    <row r="957" spans="2:3" x14ac:dyDescent="0.25">
      <c r="B957" s="984" t="s">
        <v>1823</v>
      </c>
      <c r="C957" s="967">
        <v>97463</v>
      </c>
    </row>
    <row r="958" spans="2:3" x14ac:dyDescent="0.25">
      <c r="B958" s="984" t="s">
        <v>3710</v>
      </c>
      <c r="C958" s="967">
        <v>90705</v>
      </c>
    </row>
    <row r="959" spans="2:3" x14ac:dyDescent="0.25">
      <c r="B959" s="984" t="s">
        <v>2144</v>
      </c>
      <c r="C959" s="967">
        <v>98451</v>
      </c>
    </row>
    <row r="960" spans="2:3" x14ac:dyDescent="0.25">
      <c r="B960" s="984" t="s">
        <v>2145</v>
      </c>
      <c r="C960" s="967">
        <v>96451</v>
      </c>
    </row>
    <row r="961" spans="2:3" x14ac:dyDescent="0.25">
      <c r="B961" s="984" t="s">
        <v>2146</v>
      </c>
      <c r="C961" s="967">
        <v>96121</v>
      </c>
    </row>
    <row r="962" spans="2:3" x14ac:dyDescent="0.25">
      <c r="B962" s="984" t="s">
        <v>2147</v>
      </c>
      <c r="C962" s="967">
        <v>91091</v>
      </c>
    </row>
    <row r="963" spans="2:3" x14ac:dyDescent="0.25">
      <c r="B963" s="984" t="s">
        <v>2148</v>
      </c>
      <c r="C963" s="967">
        <v>90611</v>
      </c>
    </row>
    <row r="964" spans="2:3" x14ac:dyDescent="0.25">
      <c r="B964" s="984" t="s">
        <v>1785</v>
      </c>
      <c r="C964" s="967">
        <v>96918</v>
      </c>
    </row>
    <row r="965" spans="2:3" x14ac:dyDescent="0.25">
      <c r="B965" s="984" t="s">
        <v>2149</v>
      </c>
      <c r="C965" s="967">
        <v>96911</v>
      </c>
    </row>
    <row r="966" spans="2:3" x14ac:dyDescent="0.25">
      <c r="B966" s="984" t="s">
        <v>1982</v>
      </c>
      <c r="C966" s="967">
        <v>99208</v>
      </c>
    </row>
    <row r="967" spans="2:3" x14ac:dyDescent="0.25">
      <c r="B967" s="984" t="s">
        <v>2150</v>
      </c>
      <c r="C967" s="967">
        <v>91631</v>
      </c>
    </row>
    <row r="968" spans="2:3" x14ac:dyDescent="0.25">
      <c r="B968" s="984" t="s">
        <v>1231</v>
      </c>
      <c r="C968" s="967">
        <v>90701</v>
      </c>
    </row>
    <row r="969" spans="2:3" x14ac:dyDescent="0.25">
      <c r="B969" s="984" t="s">
        <v>3711</v>
      </c>
      <c r="C969" s="967">
        <v>90704</v>
      </c>
    </row>
    <row r="970" spans="2:3" x14ac:dyDescent="0.25">
      <c r="B970" s="984" t="s">
        <v>3712</v>
      </c>
      <c r="C970" s="967">
        <v>91633</v>
      </c>
    </row>
    <row r="971" spans="2:3" x14ac:dyDescent="0.25">
      <c r="B971" s="984" t="s">
        <v>2151</v>
      </c>
      <c r="C971" s="967">
        <v>90631</v>
      </c>
    </row>
    <row r="972" spans="2:3" x14ac:dyDescent="0.25">
      <c r="B972" s="984" t="s">
        <v>2152</v>
      </c>
      <c r="C972" s="967">
        <v>90731</v>
      </c>
    </row>
    <row r="973" spans="2:3" x14ac:dyDescent="0.25">
      <c r="B973" s="984" t="s">
        <v>2153</v>
      </c>
      <c r="C973" s="967">
        <v>93621</v>
      </c>
    </row>
    <row r="974" spans="2:3" x14ac:dyDescent="0.25">
      <c r="B974" s="984" t="s">
        <v>1515</v>
      </c>
      <c r="C974" s="967">
        <v>93623</v>
      </c>
    </row>
    <row r="975" spans="2:3" x14ac:dyDescent="0.25">
      <c r="B975" s="984" t="s">
        <v>2154</v>
      </c>
      <c r="C975" s="967">
        <v>91020</v>
      </c>
    </row>
    <row r="976" spans="2:3" x14ac:dyDescent="0.25">
      <c r="B976" s="984" t="s">
        <v>2155</v>
      </c>
      <c r="C976" s="967">
        <v>95141</v>
      </c>
    </row>
    <row r="977" spans="2:3" x14ac:dyDescent="0.25">
      <c r="B977" s="984" t="s">
        <v>1633</v>
      </c>
      <c r="C977" s="967">
        <v>95103</v>
      </c>
    </row>
    <row r="978" spans="2:3" x14ac:dyDescent="0.25">
      <c r="B978" s="984" t="s">
        <v>2156</v>
      </c>
      <c r="C978" s="967">
        <v>93021</v>
      </c>
    </row>
    <row r="979" spans="2:3" x14ac:dyDescent="0.25">
      <c r="B979" s="984" t="s">
        <v>1239</v>
      </c>
      <c r="C979" s="967">
        <v>90801</v>
      </c>
    </row>
    <row r="980" spans="2:3" x14ac:dyDescent="0.25">
      <c r="B980" s="984" t="s">
        <v>3713</v>
      </c>
      <c r="C980" s="967">
        <v>90804</v>
      </c>
    </row>
    <row r="981" spans="2:3" x14ac:dyDescent="0.25">
      <c r="B981" s="984" t="s">
        <v>1242</v>
      </c>
      <c r="C981" s="967">
        <v>90808</v>
      </c>
    </row>
    <row r="982" spans="2:3" x14ac:dyDescent="0.25">
      <c r="B982" s="984" t="s">
        <v>2157</v>
      </c>
      <c r="C982" s="967">
        <v>93671</v>
      </c>
    </row>
    <row r="983" spans="2:3" x14ac:dyDescent="0.25">
      <c r="B983" s="984" t="s">
        <v>2158</v>
      </c>
      <c r="C983" s="967">
        <v>93677</v>
      </c>
    </row>
    <row r="984" spans="2:3" x14ac:dyDescent="0.25">
      <c r="B984" s="984" t="s">
        <v>2159</v>
      </c>
      <c r="C984" s="967">
        <v>97441</v>
      </c>
    </row>
    <row r="985" spans="2:3" x14ac:dyDescent="0.25">
      <c r="B985" s="984" t="s">
        <v>2160</v>
      </c>
      <c r="C985" s="967">
        <v>93111</v>
      </c>
    </row>
    <row r="986" spans="2:3" x14ac:dyDescent="0.25">
      <c r="B986" s="984" t="s">
        <v>2161</v>
      </c>
      <c r="C986" s="967">
        <v>91111</v>
      </c>
    </row>
    <row r="987" spans="2:3" x14ac:dyDescent="0.25">
      <c r="B987" s="984" t="s">
        <v>2162</v>
      </c>
      <c r="C987" s="967">
        <v>96231</v>
      </c>
    </row>
    <row r="988" spans="2:3" x14ac:dyDescent="0.25">
      <c r="B988" s="984" t="s">
        <v>2163</v>
      </c>
      <c r="C988" s="967">
        <v>99831</v>
      </c>
    </row>
    <row r="989" spans="2:3" x14ac:dyDescent="0.25">
      <c r="B989" s="984" t="s">
        <v>2164</v>
      </c>
      <c r="C989" s="967">
        <v>91151</v>
      </c>
    </row>
    <row r="990" spans="2:3" x14ac:dyDescent="0.25">
      <c r="B990" s="984" t="s">
        <v>3714</v>
      </c>
      <c r="C990" s="967">
        <v>91154</v>
      </c>
    </row>
    <row r="991" spans="2:3" x14ac:dyDescent="0.25">
      <c r="B991" s="984" t="s">
        <v>1247</v>
      </c>
      <c r="C991" s="967">
        <v>90901</v>
      </c>
    </row>
    <row r="992" spans="2:3" x14ac:dyDescent="0.25">
      <c r="B992" s="984" t="s">
        <v>2165</v>
      </c>
      <c r="C992" s="967">
        <v>90941</v>
      </c>
    </row>
    <row r="993" spans="2:3" x14ac:dyDescent="0.25">
      <c r="B993" s="984" t="s">
        <v>2166</v>
      </c>
      <c r="C993" s="967">
        <v>99521</v>
      </c>
    </row>
    <row r="994" spans="2:3" x14ac:dyDescent="0.25">
      <c r="B994" s="984" t="s">
        <v>3715</v>
      </c>
      <c r="C994" s="967">
        <v>99527</v>
      </c>
    </row>
    <row r="995" spans="2:3" x14ac:dyDescent="0.25">
      <c r="B995" s="984" t="s">
        <v>2011</v>
      </c>
      <c r="C995" s="967">
        <v>99508</v>
      </c>
    </row>
    <row r="996" spans="2:3" x14ac:dyDescent="0.25">
      <c r="B996" s="984" t="s">
        <v>1600</v>
      </c>
      <c r="C996" s="967">
        <v>94532</v>
      </c>
    </row>
    <row r="997" spans="2:3" x14ac:dyDescent="0.25">
      <c r="B997" s="984" t="s">
        <v>3716</v>
      </c>
      <c r="C997" s="967">
        <v>91071</v>
      </c>
    </row>
    <row r="998" spans="2:3" x14ac:dyDescent="0.25">
      <c r="B998" s="984" t="s">
        <v>3717</v>
      </c>
      <c r="C998" s="967">
        <v>91077</v>
      </c>
    </row>
    <row r="999" spans="2:3" x14ac:dyDescent="0.25">
      <c r="B999" s="984" t="s">
        <v>2167</v>
      </c>
      <c r="C999" s="967">
        <v>92331</v>
      </c>
    </row>
    <row r="1000" spans="2:3" x14ac:dyDescent="0.25">
      <c r="B1000" s="984" t="s">
        <v>2168</v>
      </c>
      <c r="C1000" s="967">
        <v>92414</v>
      </c>
    </row>
    <row r="1001" spans="2:3" x14ac:dyDescent="0.25">
      <c r="B1001" s="984" t="s">
        <v>2169</v>
      </c>
      <c r="C1001" s="967">
        <v>99511</v>
      </c>
    </row>
    <row r="1002" spans="2:3" x14ac:dyDescent="0.25">
      <c r="B1002" s="984" t="s">
        <v>2170</v>
      </c>
      <c r="C1002" s="967">
        <v>99941</v>
      </c>
    </row>
    <row r="1003" spans="2:3" x14ac:dyDescent="0.25">
      <c r="B1003" s="984" t="s">
        <v>1737</v>
      </c>
      <c r="C1003" s="967">
        <v>96405</v>
      </c>
    </row>
    <row r="1004" spans="2:3" x14ac:dyDescent="0.25">
      <c r="B1004" s="984" t="s">
        <v>2171</v>
      </c>
      <c r="C1004" s="967">
        <v>98811</v>
      </c>
    </row>
    <row r="1005" spans="2:3" x14ac:dyDescent="0.25">
      <c r="B1005" s="984" t="s">
        <v>3718</v>
      </c>
      <c r="C1005" s="967">
        <v>98817</v>
      </c>
    </row>
    <row r="1006" spans="2:3" x14ac:dyDescent="0.25">
      <c r="B1006" s="984" t="s">
        <v>2172</v>
      </c>
      <c r="C1006" s="967">
        <v>92561</v>
      </c>
    </row>
    <row r="1007" spans="2:3" x14ac:dyDescent="0.25">
      <c r="B1007" s="984" t="s">
        <v>1896</v>
      </c>
      <c r="C1007" s="967">
        <v>98102</v>
      </c>
    </row>
    <row r="1008" spans="2:3" x14ac:dyDescent="0.25">
      <c r="B1008" s="984" t="s">
        <v>2173</v>
      </c>
      <c r="C1008" s="967">
        <v>95321</v>
      </c>
    </row>
    <row r="1009" spans="2:3" x14ac:dyDescent="0.25">
      <c r="B1009" s="984" t="s">
        <v>2174</v>
      </c>
      <c r="C1009" s="967">
        <v>91861</v>
      </c>
    </row>
    <row r="1010" spans="2:3" x14ac:dyDescent="0.25">
      <c r="B1010" s="984" t="s">
        <v>2175</v>
      </c>
      <c r="C1010" s="967">
        <v>92421</v>
      </c>
    </row>
    <row r="1011" spans="2:3" x14ac:dyDescent="0.25">
      <c r="B1011" s="984" t="s">
        <v>3719</v>
      </c>
      <c r="C1011" s="967">
        <v>91006</v>
      </c>
    </row>
    <row r="1012" spans="2:3" x14ac:dyDescent="0.25">
      <c r="B1012" s="984" t="s">
        <v>3720</v>
      </c>
      <c r="C1012" s="967">
        <v>91003</v>
      </c>
    </row>
    <row r="1013" spans="2:3" x14ac:dyDescent="0.25">
      <c r="B1013" s="984" t="s">
        <v>1254</v>
      </c>
      <c r="C1013" s="967">
        <v>91001</v>
      </c>
    </row>
    <row r="1014" spans="2:3" x14ac:dyDescent="0.25">
      <c r="B1014" s="984" t="s">
        <v>3721</v>
      </c>
      <c r="C1014" s="967">
        <v>91004</v>
      </c>
    </row>
    <row r="1015" spans="2:3" x14ac:dyDescent="0.25">
      <c r="B1015" s="984" t="s">
        <v>3722</v>
      </c>
      <c r="C1015" s="967">
        <v>91009</v>
      </c>
    </row>
    <row r="1016" spans="2:3" x14ac:dyDescent="0.25">
      <c r="B1016" s="984" t="s">
        <v>3723</v>
      </c>
      <c r="C1016" s="967">
        <v>91042</v>
      </c>
    </row>
    <row r="1017" spans="2:3" x14ac:dyDescent="0.25">
      <c r="B1017" s="984" t="s">
        <v>2176</v>
      </c>
      <c r="C1017" s="967">
        <v>98711</v>
      </c>
    </row>
    <row r="1018" spans="2:3" x14ac:dyDescent="0.25">
      <c r="B1018" s="984" t="s">
        <v>3724</v>
      </c>
      <c r="C1018" s="967">
        <v>98717</v>
      </c>
    </row>
    <row r="1019" spans="2:3" x14ac:dyDescent="0.25">
      <c r="B1019" s="984" t="s">
        <v>1282</v>
      </c>
      <c r="C1019" s="967">
        <v>91101</v>
      </c>
    </row>
    <row r="1020" spans="2:3" x14ac:dyDescent="0.25">
      <c r="B1020" s="984" t="s">
        <v>2177</v>
      </c>
      <c r="C1020" s="967">
        <v>93531</v>
      </c>
    </row>
    <row r="1021" spans="2:3" x14ac:dyDescent="0.25">
      <c r="B1021" s="984" t="s">
        <v>3725</v>
      </c>
      <c r="C1021" s="967">
        <v>93537</v>
      </c>
    </row>
    <row r="1022" spans="2:3" x14ac:dyDescent="0.25">
      <c r="B1022" s="984" t="s">
        <v>2178</v>
      </c>
      <c r="C1022" s="967">
        <v>97111</v>
      </c>
    </row>
    <row r="1023" spans="2:3" x14ac:dyDescent="0.25">
      <c r="B1023" s="984" t="s">
        <v>3726</v>
      </c>
      <c r="C1023" s="967">
        <v>91206</v>
      </c>
    </row>
    <row r="1024" spans="2:3" x14ac:dyDescent="0.25">
      <c r="B1024" s="984" t="s">
        <v>3727</v>
      </c>
      <c r="C1024" s="967">
        <v>91203</v>
      </c>
    </row>
    <row r="1025" spans="2:3" x14ac:dyDescent="0.25">
      <c r="B1025" s="984" t="s">
        <v>1301</v>
      </c>
      <c r="C1025" s="967">
        <v>91201</v>
      </c>
    </row>
    <row r="1026" spans="2:3" x14ac:dyDescent="0.25">
      <c r="B1026" s="984" t="s">
        <v>3728</v>
      </c>
      <c r="C1026" s="967">
        <v>91208</v>
      </c>
    </row>
    <row r="1027" spans="2:3" x14ac:dyDescent="0.25">
      <c r="B1027" s="984" t="s">
        <v>3729</v>
      </c>
      <c r="C1027" s="967">
        <v>91202</v>
      </c>
    </row>
    <row r="1028" spans="2:3" x14ac:dyDescent="0.25">
      <c r="B1028" s="984" t="s">
        <v>2179</v>
      </c>
      <c r="C1028" s="967">
        <v>90111</v>
      </c>
    </row>
    <row r="1029" spans="2:3" x14ac:dyDescent="0.25">
      <c r="B1029" s="984" t="s">
        <v>2180</v>
      </c>
      <c r="C1029" s="967">
        <v>90011</v>
      </c>
    </row>
    <row r="1030" spans="2:3" x14ac:dyDescent="0.25">
      <c r="B1030" s="984" t="s">
        <v>2181</v>
      </c>
      <c r="C1030" s="967">
        <v>93931</v>
      </c>
    </row>
    <row r="1031" spans="2:3" x14ac:dyDescent="0.25">
      <c r="B1031" s="984" t="s">
        <v>3730</v>
      </c>
      <c r="C1031" s="974">
        <v>91306</v>
      </c>
    </row>
    <row r="1032" spans="2:3" x14ac:dyDescent="0.25">
      <c r="B1032" s="984" t="s">
        <v>1315</v>
      </c>
      <c r="C1032" s="967">
        <v>91301</v>
      </c>
    </row>
    <row r="1033" spans="2:3" x14ac:dyDescent="0.25">
      <c r="B1033" s="984" t="s">
        <v>3731</v>
      </c>
      <c r="C1033" s="974">
        <v>91308</v>
      </c>
    </row>
    <row r="1034" spans="2:3" x14ac:dyDescent="0.25">
      <c r="B1034" s="984" t="s">
        <v>3732</v>
      </c>
      <c r="C1034" s="967">
        <v>91461</v>
      </c>
    </row>
    <row r="1035" spans="2:3" x14ac:dyDescent="0.25">
      <c r="B1035" s="984" t="s">
        <v>2182</v>
      </c>
      <c r="C1035" s="967">
        <v>91010</v>
      </c>
    </row>
    <row r="1036" spans="2:3" x14ac:dyDescent="0.25">
      <c r="B1036" s="984" t="s">
        <v>3733</v>
      </c>
      <c r="C1036" s="967">
        <v>91007</v>
      </c>
    </row>
    <row r="1037" spans="2:3" x14ac:dyDescent="0.25">
      <c r="B1037" s="984" t="s">
        <v>1325</v>
      </c>
      <c r="C1037" s="967">
        <v>91401</v>
      </c>
    </row>
    <row r="1038" spans="2:3" x14ac:dyDescent="0.25">
      <c r="B1038" s="984" t="s">
        <v>2183</v>
      </c>
      <c r="C1038" s="967">
        <v>93171</v>
      </c>
    </row>
    <row r="1039" spans="2:3" x14ac:dyDescent="0.25">
      <c r="B1039" s="984" t="s">
        <v>1335</v>
      </c>
      <c r="C1039" s="967">
        <v>91501</v>
      </c>
    </row>
    <row r="1040" spans="2:3" x14ac:dyDescent="0.25">
      <c r="B1040" s="984" t="s">
        <v>3734</v>
      </c>
      <c r="C1040" s="967">
        <v>91504</v>
      </c>
    </row>
    <row r="1041" spans="2:3" x14ac:dyDescent="0.25">
      <c r="B1041" s="984" t="s">
        <v>2184</v>
      </c>
      <c r="C1041" s="967">
        <v>96312</v>
      </c>
    </row>
    <row r="1042" spans="2:3" x14ac:dyDescent="0.25">
      <c r="B1042" s="984" t="s">
        <v>2185</v>
      </c>
      <c r="C1042" s="967">
        <v>96241</v>
      </c>
    </row>
    <row r="1043" spans="2:3" x14ac:dyDescent="0.25">
      <c r="B1043" s="984" t="s">
        <v>2186</v>
      </c>
      <c r="C1043" s="967">
        <v>94431</v>
      </c>
    </row>
    <row r="1044" spans="2:3" x14ac:dyDescent="0.25">
      <c r="B1044" s="984" t="s">
        <v>3735</v>
      </c>
      <c r="C1044" s="967">
        <v>94437</v>
      </c>
    </row>
    <row r="1045" spans="2:3" x14ac:dyDescent="0.25">
      <c r="B1045" s="984" t="s">
        <v>2187</v>
      </c>
      <c r="C1045" s="967">
        <v>91671</v>
      </c>
    </row>
    <row r="1046" spans="2:3" x14ac:dyDescent="0.25">
      <c r="B1046" s="984" t="s">
        <v>1259</v>
      </c>
      <c r="C1046" s="967">
        <v>91008</v>
      </c>
    </row>
    <row r="1047" spans="2:3" x14ac:dyDescent="0.25">
      <c r="B1047" s="984" t="s">
        <v>1751</v>
      </c>
      <c r="C1047" s="967">
        <v>96512</v>
      </c>
    </row>
    <row r="1048" spans="2:3" x14ac:dyDescent="0.25">
      <c r="B1048" s="984" t="s">
        <v>1748</v>
      </c>
      <c r="C1048" s="967">
        <v>96507</v>
      </c>
    </row>
    <row r="1049" spans="2:3" x14ac:dyDescent="0.25">
      <c r="B1049" s="984" t="s">
        <v>2188</v>
      </c>
      <c r="C1049" s="967">
        <v>96521</v>
      </c>
    </row>
    <row r="1050" spans="2:3" x14ac:dyDescent="0.25">
      <c r="B1050" s="984" t="s">
        <v>2189</v>
      </c>
      <c r="C1050" s="967">
        <v>91024</v>
      </c>
    </row>
    <row r="1051" spans="2:3" x14ac:dyDescent="0.25">
      <c r="B1051" s="984" t="s">
        <v>2190</v>
      </c>
      <c r="C1051" s="967">
        <v>96821</v>
      </c>
    </row>
    <row r="1052" spans="2:3" x14ac:dyDescent="0.25">
      <c r="B1052" s="984" t="s">
        <v>1337</v>
      </c>
      <c r="C1052" s="967">
        <v>91601</v>
      </c>
    </row>
    <row r="1053" spans="2:3" x14ac:dyDescent="0.25">
      <c r="B1053" s="984" t="s">
        <v>3736</v>
      </c>
      <c r="C1053" s="967">
        <v>91604</v>
      </c>
    </row>
    <row r="1054" spans="2:3" x14ac:dyDescent="0.25">
      <c r="B1054" s="984" t="s">
        <v>2191</v>
      </c>
      <c r="C1054" s="967">
        <v>96391</v>
      </c>
    </row>
    <row r="1055" spans="2:3" x14ac:dyDescent="0.25">
      <c r="B1055" s="984" t="s">
        <v>2192</v>
      </c>
      <c r="C1055" s="967">
        <v>99221</v>
      </c>
    </row>
    <row r="1056" spans="2:3" x14ac:dyDescent="0.25">
      <c r="B1056" s="984" t="s">
        <v>2193</v>
      </c>
      <c r="C1056" s="967">
        <v>91051</v>
      </c>
    </row>
    <row r="1057" spans="2:3" x14ac:dyDescent="0.25">
      <c r="B1057" s="984" t="s">
        <v>3737</v>
      </c>
      <c r="C1057" s="967">
        <v>91706</v>
      </c>
    </row>
    <row r="1058" spans="2:3" x14ac:dyDescent="0.25">
      <c r="B1058" s="984" t="s">
        <v>1350</v>
      </c>
      <c r="C1058" s="967">
        <v>91701</v>
      </c>
    </row>
    <row r="1059" spans="2:3" x14ac:dyDescent="0.25">
      <c r="B1059" s="984" t="s">
        <v>3738</v>
      </c>
      <c r="C1059" s="967">
        <v>91704</v>
      </c>
    </row>
    <row r="1060" spans="2:3" x14ac:dyDescent="0.25">
      <c r="B1060" s="984" t="s">
        <v>2194</v>
      </c>
      <c r="C1060" s="967">
        <v>91881</v>
      </c>
    </row>
    <row r="1061" spans="2:3" x14ac:dyDescent="0.25">
      <c r="B1061" s="984" t="s">
        <v>1353</v>
      </c>
      <c r="C1061" s="967">
        <v>91801</v>
      </c>
    </row>
    <row r="1062" spans="2:3" x14ac:dyDescent="0.25">
      <c r="B1062" s="984" t="s">
        <v>3739</v>
      </c>
      <c r="C1062" s="967">
        <v>91804</v>
      </c>
    </row>
    <row r="1063" spans="2:3" x14ac:dyDescent="0.25">
      <c r="B1063" s="984" t="s">
        <v>2195</v>
      </c>
      <c r="C1063" s="967">
        <v>91691</v>
      </c>
    </row>
    <row r="1064" spans="2:3" x14ac:dyDescent="0.25">
      <c r="B1064" s="984" t="s">
        <v>3740</v>
      </c>
      <c r="C1064" s="967">
        <v>99222</v>
      </c>
    </row>
    <row r="1065" spans="2:3" x14ac:dyDescent="0.25">
      <c r="B1065" s="984" t="s">
        <v>3548</v>
      </c>
      <c r="C1065" s="967">
        <v>93408</v>
      </c>
    </row>
    <row r="1066" spans="2:3" x14ac:dyDescent="0.25">
      <c r="B1066" s="984" t="s">
        <v>1699</v>
      </c>
      <c r="C1066" s="967">
        <v>96009</v>
      </c>
    </row>
    <row r="1067" spans="2:3" x14ac:dyDescent="0.25">
      <c r="B1067" s="984" t="s">
        <v>2196</v>
      </c>
      <c r="C1067" s="967">
        <v>92441</v>
      </c>
    </row>
    <row r="1068" spans="2:3" x14ac:dyDescent="0.25">
      <c r="B1068" s="984" t="s">
        <v>2197</v>
      </c>
      <c r="C1068" s="967">
        <v>96811</v>
      </c>
    </row>
    <row r="1069" spans="2:3" x14ac:dyDescent="0.25">
      <c r="B1069" s="984" t="s">
        <v>2198</v>
      </c>
      <c r="C1069" s="967">
        <v>96011</v>
      </c>
    </row>
    <row r="1070" spans="2:3" x14ac:dyDescent="0.25">
      <c r="B1070" s="984" t="s">
        <v>3741</v>
      </c>
      <c r="C1070" s="967">
        <v>96018</v>
      </c>
    </row>
    <row r="1071" spans="2:3" x14ac:dyDescent="0.25">
      <c r="B1071" s="984" t="s">
        <v>3742</v>
      </c>
      <c r="C1071" s="967">
        <v>96003</v>
      </c>
    </row>
    <row r="1072" spans="2:3" x14ac:dyDescent="0.25">
      <c r="B1072" s="984" t="s">
        <v>3743</v>
      </c>
      <c r="C1072" s="967">
        <v>96005</v>
      </c>
    </row>
    <row r="1073" spans="2:3" x14ac:dyDescent="0.25">
      <c r="B1073" s="984" t="s">
        <v>3549</v>
      </c>
      <c r="C1073" s="967">
        <v>96012</v>
      </c>
    </row>
    <row r="1074" spans="2:3" x14ac:dyDescent="0.25">
      <c r="B1074" s="984" t="s">
        <v>3744</v>
      </c>
      <c r="C1074" s="967">
        <v>91903</v>
      </c>
    </row>
    <row r="1075" spans="2:3" x14ac:dyDescent="0.25">
      <c r="B1075" s="984" t="s">
        <v>1367</v>
      </c>
      <c r="C1075" s="967">
        <v>91901</v>
      </c>
    </row>
    <row r="1076" spans="2:3" x14ac:dyDescent="0.25">
      <c r="B1076" s="984" t="s">
        <v>3745</v>
      </c>
      <c r="C1076" s="967">
        <v>91904</v>
      </c>
    </row>
    <row r="1077" spans="2:3" x14ac:dyDescent="0.25">
      <c r="B1077" s="984" t="s">
        <v>1374</v>
      </c>
      <c r="C1077" s="967">
        <v>92001</v>
      </c>
    </row>
    <row r="1078" spans="2:3" x14ac:dyDescent="0.25">
      <c r="B1078" s="984" t="s">
        <v>2199</v>
      </c>
      <c r="C1078" s="967">
        <v>93641</v>
      </c>
    </row>
    <row r="1079" spans="2:3" x14ac:dyDescent="0.25">
      <c r="B1079" s="984" t="s">
        <v>3746</v>
      </c>
      <c r="C1079" s="967">
        <v>93647</v>
      </c>
    </row>
    <row r="1080" spans="2:3" x14ac:dyDescent="0.25">
      <c r="B1080" s="984" t="s">
        <v>2200</v>
      </c>
      <c r="C1080" s="967">
        <v>98041</v>
      </c>
    </row>
    <row r="1081" spans="2:3" x14ac:dyDescent="0.25">
      <c r="B1081" s="984" t="s">
        <v>3747</v>
      </c>
      <c r="C1081" s="967">
        <v>96612</v>
      </c>
    </row>
    <row r="1082" spans="2:3" x14ac:dyDescent="0.25">
      <c r="B1082" s="984" t="s">
        <v>2201</v>
      </c>
      <c r="C1082" s="967">
        <v>90751</v>
      </c>
    </row>
    <row r="1083" spans="2:3" x14ac:dyDescent="0.25">
      <c r="B1083" s="984" t="s">
        <v>1379</v>
      </c>
      <c r="C1083" s="967">
        <v>92101</v>
      </c>
    </row>
    <row r="1084" spans="2:3" x14ac:dyDescent="0.25">
      <c r="B1084" s="984" t="s">
        <v>3748</v>
      </c>
      <c r="C1084" s="967">
        <v>92104</v>
      </c>
    </row>
    <row r="1085" spans="2:3" x14ac:dyDescent="0.25">
      <c r="B1085" s="984" t="s">
        <v>2202</v>
      </c>
      <c r="C1085" s="967">
        <v>91821</v>
      </c>
    </row>
    <row r="1086" spans="2:3" x14ac:dyDescent="0.25">
      <c r="B1086" s="984" t="s">
        <v>2203</v>
      </c>
      <c r="C1086" s="967">
        <v>90931</v>
      </c>
    </row>
    <row r="1087" spans="2:3" x14ac:dyDescent="0.25">
      <c r="B1087" s="984" t="s">
        <v>1384</v>
      </c>
      <c r="C1087" s="967">
        <v>92201</v>
      </c>
    </row>
    <row r="1088" spans="2:3" x14ac:dyDescent="0.25">
      <c r="B1088" s="984" t="s">
        <v>2204</v>
      </c>
      <c r="C1088" s="967">
        <v>95131</v>
      </c>
    </row>
    <row r="1089" spans="2:3" x14ac:dyDescent="0.25">
      <c r="B1089" s="984" t="s">
        <v>2205</v>
      </c>
      <c r="C1089" s="967">
        <v>93441</v>
      </c>
    </row>
    <row r="1090" spans="2:3" x14ac:dyDescent="0.25">
      <c r="B1090" s="984" t="s">
        <v>1496</v>
      </c>
      <c r="C1090" s="967">
        <v>93442</v>
      </c>
    </row>
    <row r="1091" spans="2:3" x14ac:dyDescent="0.25">
      <c r="B1091" s="984" t="s">
        <v>2206</v>
      </c>
      <c r="C1091" s="967">
        <v>98091</v>
      </c>
    </row>
    <row r="1092" spans="2:3" x14ac:dyDescent="0.25">
      <c r="B1092" s="984" t="s">
        <v>1385</v>
      </c>
      <c r="C1092" s="967">
        <v>92301</v>
      </c>
    </row>
    <row r="1093" spans="2:3" x14ac:dyDescent="0.25">
      <c r="B1093" s="984" t="s">
        <v>3749</v>
      </c>
      <c r="C1093" s="967">
        <v>92302</v>
      </c>
    </row>
    <row r="1094" spans="2:3" x14ac:dyDescent="0.25">
      <c r="B1094" s="984" t="s">
        <v>2207</v>
      </c>
      <c r="C1094" s="967">
        <v>98211</v>
      </c>
    </row>
    <row r="1095" spans="2:3" x14ac:dyDescent="0.25">
      <c r="B1095" s="984" t="s">
        <v>3750</v>
      </c>
      <c r="C1095" s="967">
        <v>98218</v>
      </c>
    </row>
    <row r="1096" spans="2:3" x14ac:dyDescent="0.25">
      <c r="B1096" s="984" t="s">
        <v>3751</v>
      </c>
      <c r="C1096" s="967">
        <v>92506</v>
      </c>
    </row>
    <row r="1097" spans="2:3" x14ac:dyDescent="0.25">
      <c r="B1097" s="984" t="s">
        <v>3752</v>
      </c>
      <c r="C1097" s="967">
        <v>92508</v>
      </c>
    </row>
    <row r="1098" spans="2:3" x14ac:dyDescent="0.25">
      <c r="B1098" s="984" t="s">
        <v>2208</v>
      </c>
      <c r="C1098" s="967">
        <v>94341</v>
      </c>
    </row>
    <row r="1099" spans="2:3" x14ac:dyDescent="0.25">
      <c r="B1099" s="984" t="s">
        <v>2209</v>
      </c>
      <c r="C1099" s="967">
        <v>94641</v>
      </c>
    </row>
    <row r="1100" spans="2:3" x14ac:dyDescent="0.25">
      <c r="B1100" s="984" t="s">
        <v>2210</v>
      </c>
      <c r="C1100" s="967">
        <v>90813</v>
      </c>
    </row>
    <row r="1101" spans="2:3" x14ac:dyDescent="0.25">
      <c r="B1101" s="984" t="s">
        <v>1561</v>
      </c>
      <c r="C1101" s="967">
        <v>94168</v>
      </c>
    </row>
    <row r="1102" spans="2:3" x14ac:dyDescent="0.25">
      <c r="B1102" s="984" t="s">
        <v>2211</v>
      </c>
      <c r="C1102" s="967">
        <v>98911</v>
      </c>
    </row>
    <row r="1103" spans="2:3" x14ac:dyDescent="0.25">
      <c r="B1103" s="984" t="s">
        <v>2212</v>
      </c>
      <c r="C1103" s="967">
        <v>97521</v>
      </c>
    </row>
    <row r="1104" spans="2:3" x14ac:dyDescent="0.25">
      <c r="B1104" s="984" t="s">
        <v>1394</v>
      </c>
      <c r="C1104" s="967">
        <v>92401</v>
      </c>
    </row>
    <row r="1105" spans="2:3" x14ac:dyDescent="0.25">
      <c r="B1105" s="984" t="s">
        <v>2213</v>
      </c>
      <c r="C1105" s="967">
        <v>91311</v>
      </c>
    </row>
    <row r="1106" spans="2:3" x14ac:dyDescent="0.25">
      <c r="B1106" s="984" t="s">
        <v>3753</v>
      </c>
      <c r="C1106" s="967">
        <v>91317</v>
      </c>
    </row>
    <row r="1107" spans="2:3" x14ac:dyDescent="0.25">
      <c r="B1107" s="984" t="s">
        <v>2214</v>
      </c>
      <c r="C1107" s="967">
        <v>91261</v>
      </c>
    </row>
    <row r="1108" spans="2:3" x14ac:dyDescent="0.25">
      <c r="B1108" s="984" t="s">
        <v>2215</v>
      </c>
      <c r="C1108" s="967">
        <v>91851</v>
      </c>
    </row>
    <row r="1109" spans="2:3" x14ac:dyDescent="0.25">
      <c r="B1109" s="984" t="s">
        <v>3754</v>
      </c>
      <c r="C1109" s="967">
        <v>97408</v>
      </c>
    </row>
    <row r="1110" spans="2:3" x14ac:dyDescent="0.25">
      <c r="B1110" s="984" t="s">
        <v>2216</v>
      </c>
      <c r="C1110" s="967">
        <v>96641</v>
      </c>
    </row>
    <row r="1111" spans="2:3" x14ac:dyDescent="0.25">
      <c r="B1111" s="984" t="s">
        <v>2217</v>
      </c>
      <c r="C1111" s="967">
        <v>93031</v>
      </c>
    </row>
    <row r="1112" spans="2:3" x14ac:dyDescent="0.25">
      <c r="B1112" s="984" t="s">
        <v>3755</v>
      </c>
      <c r="C1112" s="967">
        <v>93027</v>
      </c>
    </row>
    <row r="1113" spans="2:3" x14ac:dyDescent="0.25">
      <c r="B1113" s="984" t="s">
        <v>2218</v>
      </c>
      <c r="C1113" s="967">
        <v>96051</v>
      </c>
    </row>
    <row r="1114" spans="2:3" x14ac:dyDescent="0.25">
      <c r="B1114" s="984" t="s">
        <v>3756</v>
      </c>
      <c r="C1114" s="967">
        <v>94501</v>
      </c>
    </row>
    <row r="1115" spans="2:3" x14ac:dyDescent="0.25">
      <c r="B1115" s="984" t="s">
        <v>2219</v>
      </c>
      <c r="C1115" s="967">
        <v>92571</v>
      </c>
    </row>
    <row r="1116" spans="2:3" x14ac:dyDescent="0.25">
      <c r="B1116" s="984" t="s">
        <v>2220</v>
      </c>
      <c r="C1116" s="967">
        <v>93631</v>
      </c>
    </row>
    <row r="1117" spans="2:3" x14ac:dyDescent="0.25">
      <c r="B1117" s="984" t="s">
        <v>3757</v>
      </c>
      <c r="C1117" s="967">
        <v>92504</v>
      </c>
    </row>
    <row r="1118" spans="2:3" x14ac:dyDescent="0.25">
      <c r="B1118" s="984" t="s">
        <v>1405</v>
      </c>
      <c r="C1118" s="967">
        <v>92501</v>
      </c>
    </row>
    <row r="1119" spans="2:3" x14ac:dyDescent="0.25">
      <c r="B1119" s="984" t="s">
        <v>1408</v>
      </c>
      <c r="C1119" s="967">
        <v>92505</v>
      </c>
    </row>
    <row r="1120" spans="2:3" x14ac:dyDescent="0.25">
      <c r="B1120" s="984" t="s">
        <v>2221</v>
      </c>
      <c r="C1120" s="967">
        <v>93921</v>
      </c>
    </row>
    <row r="1121" spans="2:3" x14ac:dyDescent="0.25">
      <c r="B1121" s="984" t="s">
        <v>2222</v>
      </c>
      <c r="C1121" s="967">
        <v>99431</v>
      </c>
    </row>
    <row r="1122" spans="2:3" x14ac:dyDescent="0.25">
      <c r="B1122" s="984" t="s">
        <v>3758</v>
      </c>
      <c r="C1122" s="967">
        <v>92604</v>
      </c>
    </row>
    <row r="1123" spans="2:3" x14ac:dyDescent="0.25">
      <c r="B1123" s="984" t="s">
        <v>1419</v>
      </c>
      <c r="C1123" s="967">
        <v>92601</v>
      </c>
    </row>
    <row r="1124" spans="2:3" x14ac:dyDescent="0.25">
      <c r="B1124" s="984" t="s">
        <v>1422</v>
      </c>
      <c r="C1124" s="967">
        <v>92608</v>
      </c>
    </row>
    <row r="1125" spans="2:3" x14ac:dyDescent="0.25">
      <c r="B1125" s="984" t="s">
        <v>3759</v>
      </c>
      <c r="C1125" s="967">
        <v>92704</v>
      </c>
    </row>
    <row r="1126" spans="2:3" x14ac:dyDescent="0.25">
      <c r="B1126" s="984" t="s">
        <v>1433</v>
      </c>
      <c r="C1126" s="967">
        <v>92701</v>
      </c>
    </row>
    <row r="1127" spans="2:3" x14ac:dyDescent="0.25">
      <c r="B1127" s="984" t="s">
        <v>2223</v>
      </c>
      <c r="C1127" s="967">
        <v>93651</v>
      </c>
    </row>
    <row r="1128" spans="2:3" x14ac:dyDescent="0.25">
      <c r="B1128" s="984" t="s">
        <v>1435</v>
      </c>
      <c r="C1128" s="967">
        <v>92801</v>
      </c>
    </row>
    <row r="1129" spans="2:3" x14ac:dyDescent="0.25">
      <c r="B1129" s="984" t="s">
        <v>3760</v>
      </c>
      <c r="C1129" s="967">
        <v>92804</v>
      </c>
    </row>
    <row r="1130" spans="2:3" x14ac:dyDescent="0.25">
      <c r="B1130" s="984" t="s">
        <v>1436</v>
      </c>
      <c r="C1130" s="967">
        <v>92802</v>
      </c>
    </row>
    <row r="1131" spans="2:3" x14ac:dyDescent="0.25">
      <c r="B1131" s="984" t="s">
        <v>2224</v>
      </c>
      <c r="C1131" s="967">
        <v>96081</v>
      </c>
    </row>
    <row r="1132" spans="2:3" x14ac:dyDescent="0.25">
      <c r="B1132" s="984" t="s">
        <v>1444</v>
      </c>
      <c r="C1132" s="967">
        <v>92901</v>
      </c>
    </row>
    <row r="1133" spans="2:3" x14ac:dyDescent="0.25">
      <c r="B1133" s="984" t="s">
        <v>1451</v>
      </c>
      <c r="C1133" s="967">
        <v>93001</v>
      </c>
    </row>
    <row r="1134" spans="2:3" x14ac:dyDescent="0.25">
      <c r="B1134" s="984" t="s">
        <v>3761</v>
      </c>
      <c r="C1134" s="967">
        <v>93009</v>
      </c>
    </row>
    <row r="1135" spans="2:3" x14ac:dyDescent="0.25">
      <c r="B1135" s="984" t="s">
        <v>2225</v>
      </c>
      <c r="C1135" s="967">
        <v>92921</v>
      </c>
    </row>
    <row r="1136" spans="2:3" x14ac:dyDescent="0.25">
      <c r="B1136" s="984" t="s">
        <v>2226</v>
      </c>
      <c r="C1136" s="967">
        <v>98621</v>
      </c>
    </row>
    <row r="1137" spans="2:3" x14ac:dyDescent="0.25">
      <c r="B1137" s="984" t="s">
        <v>3762</v>
      </c>
      <c r="C1137" s="967">
        <v>98627</v>
      </c>
    </row>
    <row r="1138" spans="2:3" x14ac:dyDescent="0.25">
      <c r="B1138" s="984" t="s">
        <v>2227</v>
      </c>
      <c r="C1138" s="967">
        <v>91221</v>
      </c>
    </row>
    <row r="1139" spans="2:3" x14ac:dyDescent="0.25">
      <c r="B1139" s="984" t="s">
        <v>2228</v>
      </c>
      <c r="C1139" s="967">
        <v>92861</v>
      </c>
    </row>
    <row r="1140" spans="2:3" x14ac:dyDescent="0.25">
      <c r="B1140" s="984" t="s">
        <v>2229</v>
      </c>
      <c r="C1140" s="967">
        <v>94311</v>
      </c>
    </row>
    <row r="1141" spans="2:3" x14ac:dyDescent="0.25">
      <c r="B1141" s="984" t="s">
        <v>3763</v>
      </c>
      <c r="C1141" s="967">
        <v>94317</v>
      </c>
    </row>
    <row r="1142" spans="2:3" x14ac:dyDescent="0.25">
      <c r="B1142" s="984" t="s">
        <v>1576</v>
      </c>
      <c r="C1142" s="967">
        <v>94313</v>
      </c>
    </row>
    <row r="1143" spans="2:3" x14ac:dyDescent="0.25">
      <c r="B1143" s="984" t="s">
        <v>1457</v>
      </c>
      <c r="C1143" s="967">
        <v>93101</v>
      </c>
    </row>
    <row r="1144" spans="2:3" x14ac:dyDescent="0.25">
      <c r="B1144" s="984" t="s">
        <v>2230</v>
      </c>
      <c r="C1144" s="967">
        <v>93103</v>
      </c>
    </row>
    <row r="1145" spans="2:3" x14ac:dyDescent="0.25">
      <c r="B1145" s="984" t="s">
        <v>2231</v>
      </c>
      <c r="C1145" s="967">
        <v>93211</v>
      </c>
    </row>
    <row r="1146" spans="2:3" x14ac:dyDescent="0.25">
      <c r="B1146" s="984" t="s">
        <v>3764</v>
      </c>
      <c r="C1146" s="967">
        <v>93212</v>
      </c>
    </row>
    <row r="1147" spans="2:3" x14ac:dyDescent="0.25">
      <c r="B1147" s="984" t="s">
        <v>1470</v>
      </c>
      <c r="C1147" s="967">
        <v>93201</v>
      </c>
    </row>
    <row r="1148" spans="2:3" x14ac:dyDescent="0.25">
      <c r="B1148" s="984" t="s">
        <v>3765</v>
      </c>
      <c r="C1148" s="967">
        <v>93204</v>
      </c>
    </row>
    <row r="1149" spans="2:3" x14ac:dyDescent="0.25">
      <c r="B1149" s="984" t="s">
        <v>3766</v>
      </c>
      <c r="C1149" s="967">
        <v>99212</v>
      </c>
    </row>
    <row r="1150" spans="2:3" x14ac:dyDescent="0.25">
      <c r="B1150" s="984" t="s">
        <v>1789</v>
      </c>
      <c r="C1150" s="967">
        <v>97005</v>
      </c>
    </row>
    <row r="1151" spans="2:3" x14ac:dyDescent="0.25">
      <c r="B1151" s="984" t="s">
        <v>2232</v>
      </c>
      <c r="C1151" s="967">
        <v>99931</v>
      </c>
    </row>
    <row r="1152" spans="2:3" x14ac:dyDescent="0.25">
      <c r="B1152" s="984" t="s">
        <v>2233</v>
      </c>
      <c r="C1152" s="967">
        <v>98021</v>
      </c>
    </row>
    <row r="1153" spans="2:3" x14ac:dyDescent="0.25">
      <c r="B1153" s="984" t="s">
        <v>1887</v>
      </c>
      <c r="C1153" s="967">
        <v>98023</v>
      </c>
    </row>
    <row r="1154" spans="2:3" x14ac:dyDescent="0.25">
      <c r="B1154" s="984" t="s">
        <v>1184</v>
      </c>
      <c r="C1154" s="967">
        <v>70505</v>
      </c>
    </row>
    <row r="1155" spans="2:3" x14ac:dyDescent="0.25">
      <c r="B1155" s="984" t="s">
        <v>3767</v>
      </c>
      <c r="C1155" s="967">
        <v>99603</v>
      </c>
    </row>
    <row r="1156" spans="2:3" x14ac:dyDescent="0.25">
      <c r="B1156" s="984" t="s">
        <v>3768</v>
      </c>
      <c r="C1156" s="967">
        <v>99610</v>
      </c>
    </row>
    <row r="1157" spans="2:3" x14ac:dyDescent="0.25">
      <c r="B1157" s="984" t="s">
        <v>2234</v>
      </c>
      <c r="C1157" s="967">
        <v>92681</v>
      </c>
    </row>
    <row r="1158" spans="2:3" x14ac:dyDescent="0.25">
      <c r="B1158" s="984" t="s">
        <v>3552</v>
      </c>
      <c r="C1158" s="967">
        <v>93108</v>
      </c>
    </row>
    <row r="1159" spans="2:3" x14ac:dyDescent="0.25">
      <c r="B1159" s="984" t="s">
        <v>2235</v>
      </c>
      <c r="C1159" s="967">
        <v>97951</v>
      </c>
    </row>
    <row r="1160" spans="2:3" x14ac:dyDescent="0.25">
      <c r="B1160" s="984" t="s">
        <v>3769</v>
      </c>
      <c r="C1160" s="967">
        <v>97957</v>
      </c>
    </row>
    <row r="1161" spans="2:3" x14ac:dyDescent="0.25">
      <c r="B1161" s="984" t="s">
        <v>2236</v>
      </c>
      <c r="C1161" s="967">
        <v>92111</v>
      </c>
    </row>
    <row r="1162" spans="2:3" x14ac:dyDescent="0.25">
      <c r="B1162" s="984" t="s">
        <v>1477</v>
      </c>
      <c r="C1162" s="967">
        <v>93301</v>
      </c>
    </row>
    <row r="1163" spans="2:3" x14ac:dyDescent="0.25">
      <c r="B1163" s="984" t="s">
        <v>3770</v>
      </c>
      <c r="C1163" s="967">
        <v>93304</v>
      </c>
    </row>
    <row r="1164" spans="2:3" x14ac:dyDescent="0.25">
      <c r="B1164" s="984" t="s">
        <v>3771</v>
      </c>
      <c r="C1164" s="967">
        <v>93305</v>
      </c>
    </row>
    <row r="1165" spans="2:3" x14ac:dyDescent="0.25">
      <c r="B1165" s="984" t="s">
        <v>3772</v>
      </c>
      <c r="C1165" s="967">
        <v>99210</v>
      </c>
    </row>
    <row r="1166" spans="2:3" x14ac:dyDescent="0.25">
      <c r="B1166" s="984" t="s">
        <v>1792</v>
      </c>
      <c r="C1166" s="967">
        <v>97011</v>
      </c>
    </row>
    <row r="1167" spans="2:3" x14ac:dyDescent="0.25">
      <c r="B1167" s="984" t="s">
        <v>3773</v>
      </c>
      <c r="C1167" s="967">
        <v>97013</v>
      </c>
    </row>
    <row r="1168" spans="2:3" x14ac:dyDescent="0.25">
      <c r="B1168" s="984" t="s">
        <v>3774</v>
      </c>
      <c r="C1168" s="967">
        <v>97012</v>
      </c>
    </row>
    <row r="1169" spans="2:3" x14ac:dyDescent="0.25">
      <c r="B1169" s="984" t="s">
        <v>3775</v>
      </c>
      <c r="C1169" s="967">
        <v>97018</v>
      </c>
    </row>
    <row r="1170" spans="2:3" x14ac:dyDescent="0.25">
      <c r="B1170" s="984" t="s">
        <v>2237</v>
      </c>
      <c r="C1170" s="967">
        <v>90911</v>
      </c>
    </row>
    <row r="1171" spans="2:3" x14ac:dyDescent="0.25">
      <c r="B1171" s="984" t="s">
        <v>3776</v>
      </c>
      <c r="C1171" s="967">
        <v>90917</v>
      </c>
    </row>
    <row r="1172" spans="2:3" x14ac:dyDescent="0.25">
      <c r="B1172" s="984" t="s">
        <v>2238</v>
      </c>
      <c r="C1172" s="967">
        <v>90641</v>
      </c>
    </row>
    <row r="1173" spans="2:3" x14ac:dyDescent="0.25">
      <c r="B1173" s="984" t="s">
        <v>2239</v>
      </c>
      <c r="C1173" s="967">
        <v>98641</v>
      </c>
    </row>
    <row r="1174" spans="2:3" x14ac:dyDescent="0.25">
      <c r="B1174" s="984" t="s">
        <v>2240</v>
      </c>
      <c r="C1174" s="967">
        <v>98161</v>
      </c>
    </row>
    <row r="1175" spans="2:3" x14ac:dyDescent="0.25">
      <c r="B1175" s="984" t="s">
        <v>2241</v>
      </c>
      <c r="C1175" s="967">
        <v>97731</v>
      </c>
    </row>
    <row r="1176" spans="2:3" x14ac:dyDescent="0.25">
      <c r="B1176" s="984" t="s">
        <v>2242</v>
      </c>
      <c r="C1176" s="967">
        <v>99851</v>
      </c>
    </row>
    <row r="1177" spans="2:3" x14ac:dyDescent="0.25">
      <c r="B1177" s="984" t="s">
        <v>3777</v>
      </c>
      <c r="C1177" s="967">
        <v>90131</v>
      </c>
    </row>
    <row r="1178" spans="2:3" x14ac:dyDescent="0.25">
      <c r="B1178" s="984" t="s">
        <v>2243</v>
      </c>
      <c r="C1178" s="967">
        <v>91651</v>
      </c>
    </row>
    <row r="1179" spans="2:3" x14ac:dyDescent="0.25">
      <c r="B1179" s="984" t="s">
        <v>2244</v>
      </c>
      <c r="C1179" s="967">
        <v>94211</v>
      </c>
    </row>
    <row r="1180" spans="2:3" x14ac:dyDescent="0.25">
      <c r="B1180" s="984" t="s">
        <v>2245</v>
      </c>
      <c r="C1180" s="967">
        <v>94331</v>
      </c>
    </row>
    <row r="1181" spans="2:3" x14ac:dyDescent="0.25">
      <c r="B1181" s="984" t="s">
        <v>2246</v>
      </c>
      <c r="C1181" s="967">
        <v>92431</v>
      </c>
    </row>
    <row r="1182" spans="2:3" x14ac:dyDescent="0.25">
      <c r="B1182" s="984" t="s">
        <v>2247</v>
      </c>
      <c r="C1182" s="967">
        <v>97821</v>
      </c>
    </row>
    <row r="1183" spans="2:3" x14ac:dyDescent="0.25">
      <c r="B1183" s="984" t="s">
        <v>1859</v>
      </c>
      <c r="C1183" s="967">
        <v>97823</v>
      </c>
    </row>
    <row r="1184" spans="2:3" x14ac:dyDescent="0.25">
      <c r="B1184" s="984" t="s">
        <v>2248</v>
      </c>
      <c r="C1184" s="967">
        <v>93141</v>
      </c>
    </row>
    <row r="1185" spans="2:3" x14ac:dyDescent="0.25">
      <c r="B1185" s="984" t="s">
        <v>2249</v>
      </c>
      <c r="C1185" s="967">
        <v>98081</v>
      </c>
    </row>
    <row r="1186" spans="2:3" x14ac:dyDescent="0.25">
      <c r="B1186" s="984" t="s">
        <v>2250</v>
      </c>
      <c r="C1186" s="967">
        <v>92671</v>
      </c>
    </row>
    <row r="1187" spans="2:3" x14ac:dyDescent="0.25">
      <c r="B1187" s="984" t="s">
        <v>2251</v>
      </c>
      <c r="C1187" s="967">
        <v>97421</v>
      </c>
    </row>
    <row r="1188" spans="2:3" x14ac:dyDescent="0.25">
      <c r="B1188" s="984" t="s">
        <v>1818</v>
      </c>
      <c r="C1188" s="967">
        <v>97423</v>
      </c>
    </row>
    <row r="1189" spans="2:3" x14ac:dyDescent="0.25">
      <c r="B1189" s="984" t="s">
        <v>2252</v>
      </c>
      <c r="C1189" s="967">
        <v>92611</v>
      </c>
    </row>
    <row r="1190" spans="2:3" x14ac:dyDescent="0.25">
      <c r="B1190" s="984" t="s">
        <v>3778</v>
      </c>
      <c r="C1190" s="967">
        <v>92613</v>
      </c>
    </row>
    <row r="1191" spans="2:3" x14ac:dyDescent="0.25">
      <c r="B1191" s="984" t="s">
        <v>3779</v>
      </c>
      <c r="C1191" s="967">
        <v>92502</v>
      </c>
    </row>
    <row r="1192" spans="2:3" x14ac:dyDescent="0.25">
      <c r="B1192" s="984" t="s">
        <v>2253</v>
      </c>
      <c r="C1192" s="967">
        <v>94531</v>
      </c>
    </row>
    <row r="1193" spans="2:3" x14ac:dyDescent="0.25">
      <c r="B1193" s="984" t="s">
        <v>2254</v>
      </c>
      <c r="C1193" s="967">
        <v>94541</v>
      </c>
    </row>
    <row r="1194" spans="2:3" x14ac:dyDescent="0.25">
      <c r="B1194" s="984" t="s">
        <v>3780</v>
      </c>
      <c r="C1194" s="967">
        <v>94547</v>
      </c>
    </row>
    <row r="1195" spans="2:3" x14ac:dyDescent="0.25">
      <c r="B1195" s="984" t="s">
        <v>1628</v>
      </c>
      <c r="C1195" s="967">
        <v>95005</v>
      </c>
    </row>
    <row r="1196" spans="2:3" x14ac:dyDescent="0.25">
      <c r="B1196" s="984" t="s">
        <v>1900</v>
      </c>
      <c r="C1196" s="967">
        <v>98111</v>
      </c>
    </row>
    <row r="1197" spans="2:3" x14ac:dyDescent="0.25">
      <c r="B1197" s="984" t="s">
        <v>3781</v>
      </c>
      <c r="C1197" s="967">
        <v>98107</v>
      </c>
    </row>
    <row r="1198" spans="2:3" x14ac:dyDescent="0.25">
      <c r="B1198" s="984" t="s">
        <v>1901</v>
      </c>
      <c r="C1198" s="967">
        <v>98113</v>
      </c>
    </row>
    <row r="1199" spans="2:3" x14ac:dyDescent="0.25">
      <c r="B1199" s="984" t="s">
        <v>3782</v>
      </c>
      <c r="C1199" s="967">
        <v>99602</v>
      </c>
    </row>
    <row r="1200" spans="2:3" x14ac:dyDescent="0.25">
      <c r="B1200" s="984" t="s">
        <v>1488</v>
      </c>
      <c r="C1200" s="967">
        <v>93401</v>
      </c>
    </row>
    <row r="1201" spans="2:3" x14ac:dyDescent="0.25">
      <c r="B1201" s="984" t="s">
        <v>3783</v>
      </c>
      <c r="C1201" s="967">
        <v>97491</v>
      </c>
    </row>
    <row r="1202" spans="2:3" x14ac:dyDescent="0.25">
      <c r="B1202" s="984" t="s">
        <v>2255</v>
      </c>
      <c r="C1202" s="967">
        <v>95151</v>
      </c>
    </row>
    <row r="1203" spans="2:3" x14ac:dyDescent="0.25">
      <c r="B1203" s="984" t="s">
        <v>1733</v>
      </c>
      <c r="C1203" s="967">
        <v>96381</v>
      </c>
    </row>
    <row r="1204" spans="2:3" x14ac:dyDescent="0.25">
      <c r="B1204" s="984" t="s">
        <v>2256</v>
      </c>
      <c r="C1204" s="967">
        <v>95611</v>
      </c>
    </row>
    <row r="1205" spans="2:3" x14ac:dyDescent="0.25">
      <c r="B1205" s="984" t="s">
        <v>1500</v>
      </c>
      <c r="C1205" s="967">
        <v>93501</v>
      </c>
    </row>
    <row r="1206" spans="2:3" x14ac:dyDescent="0.25">
      <c r="B1206" s="984" t="s">
        <v>2257</v>
      </c>
      <c r="C1206" s="967">
        <v>93511</v>
      </c>
    </row>
    <row r="1207" spans="2:3" x14ac:dyDescent="0.25">
      <c r="B1207" s="984" t="s">
        <v>3784</v>
      </c>
      <c r="C1207" s="967">
        <v>93517</v>
      </c>
    </row>
    <row r="1208" spans="2:3" x14ac:dyDescent="0.25">
      <c r="B1208" s="984" t="s">
        <v>2258</v>
      </c>
      <c r="C1208" s="967">
        <v>99631</v>
      </c>
    </row>
    <row r="1209" spans="2:3" x14ac:dyDescent="0.25">
      <c r="B1209" s="984" t="s">
        <v>2259</v>
      </c>
      <c r="C1209" s="967">
        <v>99261</v>
      </c>
    </row>
    <row r="1210" spans="2:3" x14ac:dyDescent="0.25">
      <c r="B1210" s="984" t="s">
        <v>2260</v>
      </c>
      <c r="C1210" s="967">
        <v>98241</v>
      </c>
    </row>
    <row r="1211" spans="2:3" x14ac:dyDescent="0.25">
      <c r="B1211" s="984" t="s">
        <v>2261</v>
      </c>
      <c r="C1211" s="967">
        <v>99251</v>
      </c>
    </row>
    <row r="1212" spans="2:3" x14ac:dyDescent="0.25">
      <c r="B1212" s="984" t="s">
        <v>3785</v>
      </c>
      <c r="C1212" s="967">
        <v>99252</v>
      </c>
    </row>
    <row r="1213" spans="2:3" x14ac:dyDescent="0.25">
      <c r="B1213" s="984" t="s">
        <v>2262</v>
      </c>
      <c r="C1213" s="967">
        <v>96631</v>
      </c>
    </row>
    <row r="1214" spans="2:3" x14ac:dyDescent="0.25">
      <c r="B1214" s="984" t="s">
        <v>2263</v>
      </c>
      <c r="C1214" s="967">
        <v>96651</v>
      </c>
    </row>
    <row r="1215" spans="2:3" x14ac:dyDescent="0.25">
      <c r="B1215" s="984" t="s">
        <v>1508</v>
      </c>
      <c r="C1215" s="967">
        <v>93601</v>
      </c>
    </row>
    <row r="1216" spans="2:3" x14ac:dyDescent="0.25">
      <c r="B1216" s="984" t="s">
        <v>3786</v>
      </c>
      <c r="C1216" s="967">
        <v>93618</v>
      </c>
    </row>
    <row r="1217" spans="2:3" x14ac:dyDescent="0.25">
      <c r="B1217" s="984" t="s">
        <v>2264</v>
      </c>
      <c r="C1217" s="967">
        <v>93611</v>
      </c>
    </row>
    <row r="1218" spans="2:3" x14ac:dyDescent="0.25">
      <c r="B1218" s="984" t="s">
        <v>3787</v>
      </c>
      <c r="C1218" s="967">
        <v>93617</v>
      </c>
    </row>
    <row r="1219" spans="2:3" x14ac:dyDescent="0.25">
      <c r="B1219" s="984" t="s">
        <v>1525</v>
      </c>
      <c r="C1219" s="967">
        <v>93701</v>
      </c>
    </row>
    <row r="1220" spans="2:3" x14ac:dyDescent="0.25">
      <c r="B1220" s="984" t="s">
        <v>3788</v>
      </c>
      <c r="C1220" s="967">
        <v>93704</v>
      </c>
    </row>
    <row r="1221" spans="2:3" x14ac:dyDescent="0.25">
      <c r="B1221" s="984" t="s">
        <v>2265</v>
      </c>
      <c r="C1221" s="967">
        <v>98331</v>
      </c>
    </row>
    <row r="1222" spans="2:3" x14ac:dyDescent="0.25">
      <c r="B1222" s="984" t="s">
        <v>2266</v>
      </c>
      <c r="C1222" s="967">
        <v>94151</v>
      </c>
    </row>
    <row r="1223" spans="2:3" x14ac:dyDescent="0.25">
      <c r="B1223" s="984" t="s">
        <v>3789</v>
      </c>
      <c r="C1223" s="967">
        <v>94157</v>
      </c>
    </row>
    <row r="1224" spans="2:3" x14ac:dyDescent="0.25">
      <c r="B1224" s="984" t="s">
        <v>2267</v>
      </c>
      <c r="C1224" s="967">
        <v>91241</v>
      </c>
    </row>
    <row r="1225" spans="2:3" x14ac:dyDescent="0.25">
      <c r="B1225" s="984" t="s">
        <v>1662</v>
      </c>
      <c r="C1225" s="967">
        <v>95412</v>
      </c>
    </row>
    <row r="1226" spans="2:3" x14ac:dyDescent="0.25">
      <c r="B1226" s="984" t="s">
        <v>2268</v>
      </c>
      <c r="C1226" s="967">
        <v>99611</v>
      </c>
    </row>
    <row r="1227" spans="2:3" x14ac:dyDescent="0.25">
      <c r="B1227" s="984" t="s">
        <v>1370</v>
      </c>
      <c r="C1227" s="967">
        <v>91908</v>
      </c>
    </row>
    <row r="1228" spans="2:3" x14ac:dyDescent="0.25">
      <c r="B1228" s="984" t="s">
        <v>2269</v>
      </c>
      <c r="C1228" s="967">
        <v>90121</v>
      </c>
    </row>
    <row r="1229" spans="2:3" x14ac:dyDescent="0.25">
      <c r="B1229" s="984" t="s">
        <v>3790</v>
      </c>
      <c r="C1229" s="967">
        <v>93803</v>
      </c>
    </row>
    <row r="1230" spans="2:3" x14ac:dyDescent="0.25">
      <c r="B1230" s="984" t="s">
        <v>1527</v>
      </c>
      <c r="C1230" s="967">
        <v>93801</v>
      </c>
    </row>
    <row r="1231" spans="2:3" x14ac:dyDescent="0.25">
      <c r="B1231" s="984" t="s">
        <v>3791</v>
      </c>
      <c r="C1231" s="967">
        <v>93806</v>
      </c>
    </row>
    <row r="1232" spans="2:3" x14ac:dyDescent="0.25">
      <c r="B1232" s="984" t="s">
        <v>2270</v>
      </c>
      <c r="C1232" s="967">
        <v>91411</v>
      </c>
    </row>
    <row r="1233" spans="2:3" x14ac:dyDescent="0.25">
      <c r="B1233" s="984" t="s">
        <v>3792</v>
      </c>
      <c r="C1233" s="967">
        <v>91417</v>
      </c>
    </row>
    <row r="1234" spans="2:3" x14ac:dyDescent="0.25">
      <c r="B1234" s="984" t="s">
        <v>2271</v>
      </c>
      <c r="C1234" s="967">
        <v>98061</v>
      </c>
    </row>
    <row r="1235" spans="2:3" x14ac:dyDescent="0.25">
      <c r="B1235" s="984" t="s">
        <v>3793</v>
      </c>
      <c r="C1235" s="967">
        <v>93904</v>
      </c>
    </row>
    <row r="1236" spans="2:3" x14ac:dyDescent="0.25">
      <c r="B1236" s="984" t="s">
        <v>1530</v>
      </c>
      <c r="C1236" s="967">
        <v>93901</v>
      </c>
    </row>
    <row r="1237" spans="2:3" x14ac:dyDescent="0.25">
      <c r="B1237" s="984" t="s">
        <v>1532</v>
      </c>
      <c r="C1237" s="967">
        <v>93906</v>
      </c>
    </row>
    <row r="1238" spans="2:3" x14ac:dyDescent="0.25">
      <c r="B1238" s="984" t="s">
        <v>3794</v>
      </c>
      <c r="C1238" s="967">
        <v>93908</v>
      </c>
    </row>
    <row r="1239" spans="2:3" x14ac:dyDescent="0.25">
      <c r="B1239" s="984" t="s">
        <v>3795</v>
      </c>
      <c r="C1239" s="967">
        <v>94908</v>
      </c>
    </row>
    <row r="1240" spans="2:3" x14ac:dyDescent="0.25">
      <c r="B1240" s="984" t="s">
        <v>2272</v>
      </c>
      <c r="C1240" s="967">
        <v>90161</v>
      </c>
    </row>
    <row r="1241" spans="2:3" x14ac:dyDescent="0.25">
      <c r="B1241" s="984" t="s">
        <v>1540</v>
      </c>
      <c r="C1241" s="967">
        <v>94001</v>
      </c>
    </row>
    <row r="1242" spans="2:3" x14ac:dyDescent="0.25">
      <c r="B1242" s="984" t="s">
        <v>3796</v>
      </c>
      <c r="C1242" s="967">
        <v>94004</v>
      </c>
    </row>
    <row r="1243" spans="2:3" x14ac:dyDescent="0.25">
      <c r="B1243" s="984" t="s">
        <v>2273</v>
      </c>
      <c r="C1243" s="967">
        <v>94111</v>
      </c>
    </row>
    <row r="1244" spans="2:3" x14ac:dyDescent="0.25">
      <c r="B1244" s="984" t="s">
        <v>3797</v>
      </c>
      <c r="C1244" s="967">
        <v>94117</v>
      </c>
    </row>
    <row r="1245" spans="2:3" x14ac:dyDescent="0.25">
      <c r="B1245" s="984" t="s">
        <v>2274</v>
      </c>
      <c r="C1245" s="967">
        <v>97411</v>
      </c>
    </row>
    <row r="1246" spans="2:3" x14ac:dyDescent="0.25">
      <c r="B1246" s="984" t="s">
        <v>1816</v>
      </c>
      <c r="C1246" s="967">
        <v>97413</v>
      </c>
    </row>
    <row r="1247" spans="2:3" x14ac:dyDescent="0.25">
      <c r="B1247" s="984" t="s">
        <v>1815</v>
      </c>
      <c r="C1247" s="967">
        <v>97412</v>
      </c>
    </row>
    <row r="1248" spans="2:3" x14ac:dyDescent="0.25">
      <c r="B1248" s="984" t="s">
        <v>2275</v>
      </c>
      <c r="C1248" s="967">
        <v>97431</v>
      </c>
    </row>
    <row r="1249" spans="2:3" x14ac:dyDescent="0.25">
      <c r="B1249" s="984" t="s">
        <v>2276</v>
      </c>
      <c r="C1249" s="967">
        <v>97471</v>
      </c>
    </row>
    <row r="1250" spans="2:3" x14ac:dyDescent="0.25">
      <c r="B1250" s="984" t="s">
        <v>2277</v>
      </c>
      <c r="C1250" s="967">
        <v>92351</v>
      </c>
    </row>
    <row r="1251" spans="2:3" x14ac:dyDescent="0.25">
      <c r="B1251" s="984" t="s">
        <v>2278</v>
      </c>
      <c r="C1251" s="967">
        <v>94101</v>
      </c>
    </row>
    <row r="1252" spans="2:3" x14ac:dyDescent="0.25">
      <c r="B1252" s="984" t="s">
        <v>3798</v>
      </c>
      <c r="C1252" s="967">
        <v>94118</v>
      </c>
    </row>
    <row r="1253" spans="2:3" x14ac:dyDescent="0.25">
      <c r="B1253" s="984" t="s">
        <v>1548</v>
      </c>
      <c r="C1253" s="967">
        <v>94102</v>
      </c>
    </row>
    <row r="1254" spans="2:3" x14ac:dyDescent="0.25">
      <c r="B1254" s="984" t="s">
        <v>1564</v>
      </c>
      <c r="C1254" s="967">
        <v>94201</v>
      </c>
    </row>
    <row r="1255" spans="2:3" x14ac:dyDescent="0.25">
      <c r="B1255" s="984" t="s">
        <v>3799</v>
      </c>
      <c r="C1255" s="967">
        <v>94204</v>
      </c>
    </row>
    <row r="1256" spans="2:3" x14ac:dyDescent="0.25">
      <c r="B1256" s="984" t="s">
        <v>1566</v>
      </c>
      <c r="C1256" s="967">
        <v>94205</v>
      </c>
    </row>
    <row r="1257" spans="2:3" x14ac:dyDescent="0.25">
      <c r="B1257" s="984" t="s">
        <v>2279</v>
      </c>
      <c r="C1257" s="967">
        <v>95831</v>
      </c>
    </row>
    <row r="1258" spans="2:3" x14ac:dyDescent="0.25">
      <c r="B1258" s="984" t="s">
        <v>2280</v>
      </c>
      <c r="C1258" s="967">
        <v>97721</v>
      </c>
    </row>
    <row r="1259" spans="2:3" x14ac:dyDescent="0.25">
      <c r="B1259" s="984" t="s">
        <v>3800</v>
      </c>
      <c r="C1259" s="967">
        <v>97717</v>
      </c>
    </row>
    <row r="1260" spans="2:3" x14ac:dyDescent="0.25">
      <c r="B1260" s="984" t="s">
        <v>1574</v>
      </c>
      <c r="C1260" s="967">
        <v>94301</v>
      </c>
    </row>
    <row r="1261" spans="2:3" x14ac:dyDescent="0.25">
      <c r="B1261" s="984" t="s">
        <v>2281</v>
      </c>
      <c r="C1261" s="967">
        <v>91441</v>
      </c>
    </row>
    <row r="1262" spans="2:3" x14ac:dyDescent="0.25">
      <c r="B1262" s="984" t="s">
        <v>2282</v>
      </c>
      <c r="C1262" s="967">
        <v>92531</v>
      </c>
    </row>
    <row r="1263" spans="2:3" x14ac:dyDescent="0.25">
      <c r="B1263" s="984" t="s">
        <v>2283</v>
      </c>
      <c r="C1263" s="967">
        <v>90141</v>
      </c>
    </row>
    <row r="1264" spans="2:3" x14ac:dyDescent="0.25">
      <c r="B1264" s="984" t="s">
        <v>1583</v>
      </c>
      <c r="C1264" s="967">
        <v>94401</v>
      </c>
    </row>
    <row r="1265" spans="2:3" x14ac:dyDescent="0.25">
      <c r="B1265" s="984" t="s">
        <v>3801</v>
      </c>
      <c r="C1265" s="967">
        <v>94403</v>
      </c>
    </row>
    <row r="1266" spans="2:3" x14ac:dyDescent="0.25">
      <c r="B1266" s="984" t="s">
        <v>1584</v>
      </c>
      <c r="C1266" s="967">
        <v>94402</v>
      </c>
    </row>
    <row r="1267" spans="2:3" x14ac:dyDescent="0.25">
      <c r="B1267" s="984" t="s">
        <v>2284</v>
      </c>
      <c r="C1267" s="967">
        <v>99111</v>
      </c>
    </row>
    <row r="1268" spans="2:3" x14ac:dyDescent="0.25">
      <c r="B1268" s="984" t="s">
        <v>2285</v>
      </c>
      <c r="C1268" s="967">
        <v>94511</v>
      </c>
    </row>
    <row r="1269" spans="2:3" x14ac:dyDescent="0.25">
      <c r="B1269" s="984" t="s">
        <v>3802</v>
      </c>
      <c r="C1269" s="967">
        <v>94517</v>
      </c>
    </row>
    <row r="1270" spans="2:3" x14ac:dyDescent="0.25">
      <c r="B1270" s="984" t="s">
        <v>1595</v>
      </c>
      <c r="C1270" s="967">
        <v>94512</v>
      </c>
    </row>
    <row r="1271" spans="2:3" x14ac:dyDescent="0.25">
      <c r="B1271" s="984" t="s">
        <v>2286</v>
      </c>
      <c r="C1271" s="967">
        <v>97211</v>
      </c>
    </row>
    <row r="1272" spans="2:3" x14ac:dyDescent="0.25">
      <c r="B1272" s="984" t="s">
        <v>3803</v>
      </c>
      <c r="C1272" s="967">
        <v>97217</v>
      </c>
    </row>
    <row r="1273" spans="2:3" x14ac:dyDescent="0.25">
      <c r="B1273" s="984" t="s">
        <v>1604</v>
      </c>
      <c r="C1273" s="967">
        <v>94601</v>
      </c>
    </row>
    <row r="1274" spans="2:3" x14ac:dyDescent="0.25">
      <c r="B1274" s="984" t="s">
        <v>3804</v>
      </c>
      <c r="C1274" s="967">
        <v>94604</v>
      </c>
    </row>
    <row r="1275" spans="2:3" x14ac:dyDescent="0.25">
      <c r="B1275" s="984" t="s">
        <v>1606</v>
      </c>
      <c r="C1275" s="967">
        <v>94606</v>
      </c>
    </row>
    <row r="1276" spans="2:3" x14ac:dyDescent="0.25">
      <c r="B1276" s="984" t="s">
        <v>3805</v>
      </c>
      <c r="C1276" s="967">
        <v>97213</v>
      </c>
    </row>
    <row r="1277" spans="2:3" x14ac:dyDescent="0.25">
      <c r="B1277" s="984" t="s">
        <v>2287</v>
      </c>
      <c r="C1277" s="967">
        <v>91811</v>
      </c>
    </row>
    <row r="1278" spans="2:3" x14ac:dyDescent="0.25">
      <c r="B1278" s="984" t="s">
        <v>3806</v>
      </c>
      <c r="C1278" s="967">
        <v>91812</v>
      </c>
    </row>
    <row r="1279" spans="2:3" x14ac:dyDescent="0.25">
      <c r="B1279" s="984" t="s">
        <v>3807</v>
      </c>
      <c r="C1279" s="967">
        <v>91813</v>
      </c>
    </row>
    <row r="1280" spans="2:3" x14ac:dyDescent="0.25">
      <c r="B1280" s="984" t="s">
        <v>3808</v>
      </c>
      <c r="C1280" s="967">
        <v>90617</v>
      </c>
    </row>
    <row r="1281" spans="2:3" x14ac:dyDescent="0.25">
      <c r="B1281" s="984" t="s">
        <v>3809</v>
      </c>
      <c r="C1281" s="967">
        <v>94127</v>
      </c>
    </row>
    <row r="1282" spans="2:3" x14ac:dyDescent="0.25">
      <c r="B1282" s="984" t="s">
        <v>2288</v>
      </c>
      <c r="C1282" s="967">
        <v>95621</v>
      </c>
    </row>
    <row r="1283" spans="2:3" x14ac:dyDescent="0.25">
      <c r="B1283" s="984" t="s">
        <v>3810</v>
      </c>
      <c r="C1283" s="967">
        <v>95617</v>
      </c>
    </row>
    <row r="1284" spans="2:3" x14ac:dyDescent="0.25">
      <c r="B1284" s="984" t="s">
        <v>3811</v>
      </c>
      <c r="C1284" s="967">
        <v>94121</v>
      </c>
    </row>
    <row r="1285" spans="2:3" x14ac:dyDescent="0.25">
      <c r="B1285" s="984" t="s">
        <v>3812</v>
      </c>
      <c r="C1285" s="967">
        <v>91251</v>
      </c>
    </row>
    <row r="1286" spans="2:3" x14ac:dyDescent="0.25">
      <c r="B1286" s="984" t="s">
        <v>2289</v>
      </c>
      <c r="C1286" s="967">
        <v>96831</v>
      </c>
    </row>
    <row r="1287" spans="2:3" x14ac:dyDescent="0.25">
      <c r="B1287" s="984" t="s">
        <v>2290</v>
      </c>
      <c r="C1287" s="967">
        <v>94251</v>
      </c>
    </row>
    <row r="1288" spans="2:3" x14ac:dyDescent="0.25">
      <c r="B1288" s="984" t="s">
        <v>1611</v>
      </c>
      <c r="C1288" s="967">
        <v>94701</v>
      </c>
    </row>
    <row r="1289" spans="2:3" x14ac:dyDescent="0.25">
      <c r="B1289" s="984" t="s">
        <v>3813</v>
      </c>
      <c r="C1289" s="967">
        <v>94704</v>
      </c>
    </row>
    <row r="1290" spans="2:3" x14ac:dyDescent="0.25">
      <c r="B1290" s="984" t="s">
        <v>2291</v>
      </c>
      <c r="C1290" s="967">
        <v>91014</v>
      </c>
    </row>
    <row r="1291" spans="2:3" x14ac:dyDescent="0.25">
      <c r="B1291" s="984" t="s">
        <v>2292</v>
      </c>
      <c r="C1291" s="967">
        <v>96731</v>
      </c>
    </row>
    <row r="1292" spans="2:3" x14ac:dyDescent="0.25">
      <c r="B1292" s="984" t="s">
        <v>1773</v>
      </c>
      <c r="C1292" s="967">
        <v>96733</v>
      </c>
    </row>
    <row r="1293" spans="2:3" x14ac:dyDescent="0.25">
      <c r="B1293" s="984" t="s">
        <v>2293</v>
      </c>
      <c r="C1293" s="967">
        <v>99202</v>
      </c>
    </row>
    <row r="1294" spans="2:3" x14ac:dyDescent="0.25">
      <c r="B1294" s="984" t="s">
        <v>2294</v>
      </c>
      <c r="C1294" s="967">
        <v>94011</v>
      </c>
    </row>
    <row r="1295" spans="2:3" x14ac:dyDescent="0.25">
      <c r="B1295" s="984" t="s">
        <v>2295</v>
      </c>
      <c r="C1295" s="967">
        <v>92631</v>
      </c>
    </row>
    <row r="1296" spans="2:3" x14ac:dyDescent="0.25">
      <c r="B1296" s="984" t="s">
        <v>1679</v>
      </c>
      <c r="C1296" s="967">
        <v>95733</v>
      </c>
    </row>
    <row r="1297" spans="2:3" x14ac:dyDescent="0.25">
      <c r="B1297" s="984" t="s">
        <v>3814</v>
      </c>
      <c r="C1297" s="967">
        <v>95413</v>
      </c>
    </row>
    <row r="1298" spans="2:3" x14ac:dyDescent="0.25">
      <c r="B1298" s="984" t="s">
        <v>3815</v>
      </c>
      <c r="C1298" s="967">
        <v>98013</v>
      </c>
    </row>
    <row r="1299" spans="2:3" x14ac:dyDescent="0.25">
      <c r="B1299" s="984" t="s">
        <v>3816</v>
      </c>
      <c r="C1299" s="967">
        <v>99613</v>
      </c>
    </row>
    <row r="1300" spans="2:3" x14ac:dyDescent="0.25">
      <c r="B1300" s="984" t="s">
        <v>2296</v>
      </c>
      <c r="C1300" s="967">
        <v>91431</v>
      </c>
    </row>
    <row r="1301" spans="2:3" x14ac:dyDescent="0.25">
      <c r="B1301" s="984" t="s">
        <v>2297</v>
      </c>
      <c r="C1301" s="967">
        <v>96041</v>
      </c>
    </row>
    <row r="1302" spans="2:3" x14ac:dyDescent="0.25">
      <c r="B1302" s="984" t="s">
        <v>1614</v>
      </c>
      <c r="C1302" s="967">
        <v>94801</v>
      </c>
    </row>
    <row r="1303" spans="2:3" x14ac:dyDescent="0.25">
      <c r="B1303" s="984" t="s">
        <v>3817</v>
      </c>
      <c r="C1303" s="967">
        <v>94804</v>
      </c>
    </row>
    <row r="1304" spans="2:3" x14ac:dyDescent="0.25">
      <c r="B1304" s="984" t="s">
        <v>2298</v>
      </c>
      <c r="C1304" s="967">
        <v>91661</v>
      </c>
    </row>
    <row r="1305" spans="2:3" x14ac:dyDescent="0.25">
      <c r="B1305" s="984" t="s">
        <v>2299</v>
      </c>
      <c r="C1305" s="967">
        <v>99051</v>
      </c>
    </row>
    <row r="1306" spans="2:3" x14ac:dyDescent="0.25">
      <c r="B1306" s="984" t="s">
        <v>3555</v>
      </c>
      <c r="C1306" s="967">
        <v>99014</v>
      </c>
    </row>
    <row r="1307" spans="2:3" x14ac:dyDescent="0.25">
      <c r="B1307" s="984" t="s">
        <v>1617</v>
      </c>
      <c r="C1307" s="967">
        <v>94901</v>
      </c>
    </row>
    <row r="1308" spans="2:3" x14ac:dyDescent="0.25">
      <c r="B1308" s="984" t="s">
        <v>3818</v>
      </c>
      <c r="C1308" s="967">
        <v>98109</v>
      </c>
    </row>
    <row r="1309" spans="2:3" x14ac:dyDescent="0.25">
      <c r="B1309" s="984" t="s">
        <v>3819</v>
      </c>
      <c r="C1309" s="967">
        <v>98205</v>
      </c>
    </row>
    <row r="1310" spans="2:3" x14ac:dyDescent="0.25">
      <c r="B1310" s="984" t="s">
        <v>2300</v>
      </c>
      <c r="C1310" s="967">
        <v>96661</v>
      </c>
    </row>
    <row r="1311" spans="2:3" x14ac:dyDescent="0.25">
      <c r="B1311" s="984" t="s">
        <v>1626</v>
      </c>
      <c r="C1311" s="967">
        <v>95001</v>
      </c>
    </row>
    <row r="1312" spans="2:3" x14ac:dyDescent="0.25">
      <c r="B1312" s="984" t="s">
        <v>3556</v>
      </c>
      <c r="C1312" s="967">
        <v>95017</v>
      </c>
    </row>
    <row r="1313" spans="2:3" x14ac:dyDescent="0.25">
      <c r="B1313" s="984" t="s">
        <v>2301</v>
      </c>
      <c r="C1313" s="967">
        <v>96711</v>
      </c>
    </row>
    <row r="1314" spans="2:3" x14ac:dyDescent="0.25">
      <c r="B1314" s="984" t="s">
        <v>2302</v>
      </c>
      <c r="C1314" s="967">
        <v>94131</v>
      </c>
    </row>
    <row r="1315" spans="2:3" x14ac:dyDescent="0.25">
      <c r="B1315" s="984" t="s">
        <v>2303</v>
      </c>
      <c r="C1315" s="967">
        <v>95841</v>
      </c>
    </row>
    <row r="1316" spans="2:3" x14ac:dyDescent="0.25">
      <c r="B1316" s="984" t="s">
        <v>2304</v>
      </c>
      <c r="C1316" s="967">
        <v>90511</v>
      </c>
    </row>
    <row r="1317" spans="2:3" x14ac:dyDescent="0.25">
      <c r="B1317" s="984" t="s">
        <v>1632</v>
      </c>
      <c r="C1317" s="967">
        <v>95101</v>
      </c>
    </row>
    <row r="1318" spans="2:3" x14ac:dyDescent="0.25">
      <c r="B1318" s="984" t="s">
        <v>3820</v>
      </c>
      <c r="C1318" s="967">
        <v>95104</v>
      </c>
    </row>
    <row r="1319" spans="2:3" x14ac:dyDescent="0.25">
      <c r="B1319" s="984" t="s">
        <v>3557</v>
      </c>
      <c r="C1319" s="967">
        <v>95110</v>
      </c>
    </row>
    <row r="1320" spans="2:3" x14ac:dyDescent="0.25">
      <c r="B1320" s="984" t="s">
        <v>1649</v>
      </c>
      <c r="C1320" s="967">
        <v>95201</v>
      </c>
    </row>
    <row r="1321" spans="2:3" x14ac:dyDescent="0.25">
      <c r="B1321" s="984" t="s">
        <v>3821</v>
      </c>
      <c r="C1321" s="967">
        <v>95204</v>
      </c>
    </row>
    <row r="1322" spans="2:3" x14ac:dyDescent="0.25">
      <c r="B1322" s="984" t="s">
        <v>2305</v>
      </c>
      <c r="C1322" s="967">
        <v>99921</v>
      </c>
    </row>
    <row r="1323" spans="2:3" x14ac:dyDescent="0.25">
      <c r="B1323" s="984" t="s">
        <v>1585</v>
      </c>
      <c r="C1323" s="967">
        <v>94408</v>
      </c>
    </row>
    <row r="1324" spans="2:3" x14ac:dyDescent="0.25">
      <c r="B1324" s="984" t="s">
        <v>2306</v>
      </c>
      <c r="C1324" s="967">
        <v>91331</v>
      </c>
    </row>
    <row r="1325" spans="2:3" x14ac:dyDescent="0.25">
      <c r="B1325" s="984" t="s">
        <v>2307</v>
      </c>
      <c r="C1325" s="967">
        <v>93121</v>
      </c>
    </row>
    <row r="1326" spans="2:3" x14ac:dyDescent="0.25">
      <c r="B1326" s="984" t="s">
        <v>3822</v>
      </c>
      <c r="C1326" s="967">
        <v>93127</v>
      </c>
    </row>
    <row r="1327" spans="2:3" x14ac:dyDescent="0.25">
      <c r="B1327" s="984" t="s">
        <v>2308</v>
      </c>
      <c r="C1327" s="967">
        <v>95171</v>
      </c>
    </row>
    <row r="1328" spans="2:3" x14ac:dyDescent="0.25">
      <c r="B1328" s="984" t="s">
        <v>2309</v>
      </c>
      <c r="C1328" s="967">
        <v>93421</v>
      </c>
    </row>
    <row r="1329" spans="2:3" x14ac:dyDescent="0.25">
      <c r="B1329" s="984" t="s">
        <v>3823</v>
      </c>
      <c r="C1329" s="967">
        <v>99110</v>
      </c>
    </row>
    <row r="1330" spans="2:3" x14ac:dyDescent="0.25">
      <c r="B1330" s="984" t="s">
        <v>3824</v>
      </c>
      <c r="C1330" s="967">
        <v>99109</v>
      </c>
    </row>
    <row r="1331" spans="2:3" x14ac:dyDescent="0.25">
      <c r="B1331" s="984" t="s">
        <v>2310</v>
      </c>
      <c r="C1331" s="967">
        <v>92821</v>
      </c>
    </row>
    <row r="1332" spans="2:3" x14ac:dyDescent="0.25">
      <c r="B1332" s="984" t="s">
        <v>2311</v>
      </c>
      <c r="C1332" s="967">
        <v>98521</v>
      </c>
    </row>
    <row r="1333" spans="2:3" x14ac:dyDescent="0.25">
      <c r="B1333" s="984" t="s">
        <v>3825</v>
      </c>
      <c r="C1333" s="967">
        <v>92327</v>
      </c>
    </row>
    <row r="1334" spans="2:3" x14ac:dyDescent="0.25">
      <c r="B1334" s="984" t="s">
        <v>3826</v>
      </c>
      <c r="C1334" s="967">
        <v>92321</v>
      </c>
    </row>
    <row r="1335" spans="2:3" x14ac:dyDescent="0.25">
      <c r="B1335" s="984" t="s">
        <v>2312</v>
      </c>
      <c r="C1335" s="967">
        <v>95411</v>
      </c>
    </row>
    <row r="1336" spans="2:3" x14ac:dyDescent="0.25">
      <c r="B1336" s="984" t="s">
        <v>3827</v>
      </c>
      <c r="C1336" s="967">
        <v>95415</v>
      </c>
    </row>
    <row r="1337" spans="2:3" x14ac:dyDescent="0.25">
      <c r="B1337" s="984" t="s">
        <v>2313</v>
      </c>
      <c r="C1337" s="967">
        <v>92851</v>
      </c>
    </row>
    <row r="1338" spans="2:3" x14ac:dyDescent="0.25">
      <c r="B1338" s="984" t="s">
        <v>2314</v>
      </c>
      <c r="C1338" s="967">
        <v>99291</v>
      </c>
    </row>
    <row r="1339" spans="2:3" x14ac:dyDescent="0.25">
      <c r="B1339" s="984" t="s">
        <v>2315</v>
      </c>
      <c r="C1339" s="967">
        <v>96541</v>
      </c>
    </row>
    <row r="1340" spans="2:3" x14ac:dyDescent="0.25">
      <c r="B1340" s="984" t="s">
        <v>2316</v>
      </c>
      <c r="C1340" s="967">
        <v>95431</v>
      </c>
    </row>
    <row r="1341" spans="2:3" x14ac:dyDescent="0.25">
      <c r="B1341" s="984" t="s">
        <v>2317</v>
      </c>
      <c r="C1341" s="967">
        <v>98131</v>
      </c>
    </row>
    <row r="1342" spans="2:3" x14ac:dyDescent="0.25">
      <c r="B1342" s="984" t="s">
        <v>3828</v>
      </c>
      <c r="C1342" s="967">
        <v>92461</v>
      </c>
    </row>
    <row r="1343" spans="2:3" x14ac:dyDescent="0.25">
      <c r="B1343" s="984" t="s">
        <v>3829</v>
      </c>
      <c r="C1343" s="967">
        <v>92427</v>
      </c>
    </row>
    <row r="1344" spans="2:3" x14ac:dyDescent="0.25">
      <c r="B1344" s="984" t="s">
        <v>2318</v>
      </c>
      <c r="C1344" s="967">
        <v>98051</v>
      </c>
    </row>
    <row r="1345" spans="2:3" x14ac:dyDescent="0.25">
      <c r="B1345" s="984" t="s">
        <v>1283</v>
      </c>
      <c r="C1345" s="967">
        <v>91102</v>
      </c>
    </row>
    <row r="1346" spans="2:3" x14ac:dyDescent="0.25">
      <c r="B1346" s="984" t="s">
        <v>2319</v>
      </c>
      <c r="C1346" s="967">
        <v>94521</v>
      </c>
    </row>
    <row r="1347" spans="2:3" x14ac:dyDescent="0.25">
      <c r="B1347" s="984" t="s">
        <v>3830</v>
      </c>
      <c r="C1347" s="967">
        <v>94527</v>
      </c>
    </row>
    <row r="1348" spans="2:3" x14ac:dyDescent="0.25">
      <c r="B1348" s="984" t="s">
        <v>2320</v>
      </c>
      <c r="C1348" s="967">
        <v>98311</v>
      </c>
    </row>
    <row r="1349" spans="2:3" x14ac:dyDescent="0.25">
      <c r="B1349" s="984" t="s">
        <v>3831</v>
      </c>
      <c r="C1349" s="967">
        <v>98313</v>
      </c>
    </row>
    <row r="1350" spans="2:3" x14ac:dyDescent="0.25">
      <c r="B1350" s="984" t="s">
        <v>1920</v>
      </c>
      <c r="C1350" s="967">
        <v>98308</v>
      </c>
    </row>
    <row r="1351" spans="2:3" x14ac:dyDescent="0.25">
      <c r="B1351" s="984" t="s">
        <v>2321</v>
      </c>
      <c r="C1351" s="967">
        <v>92341</v>
      </c>
    </row>
    <row r="1352" spans="2:3" x14ac:dyDescent="0.25">
      <c r="B1352" s="984" t="s">
        <v>1654</v>
      </c>
      <c r="C1352" s="967">
        <v>95301</v>
      </c>
    </row>
    <row r="1353" spans="2:3" x14ac:dyDescent="0.25">
      <c r="B1353" s="984" t="s">
        <v>2322</v>
      </c>
      <c r="C1353" s="967">
        <v>91002</v>
      </c>
    </row>
    <row r="1354" spans="2:3" x14ac:dyDescent="0.25">
      <c r="B1354" s="984" t="s">
        <v>2323</v>
      </c>
      <c r="C1354" s="967">
        <v>91451</v>
      </c>
    </row>
    <row r="1355" spans="2:3" x14ac:dyDescent="0.25">
      <c r="B1355" s="984" t="s">
        <v>1658</v>
      </c>
      <c r="C1355" s="967">
        <v>95401</v>
      </c>
    </row>
    <row r="1356" spans="2:3" x14ac:dyDescent="0.25">
      <c r="B1356" s="984" t="s">
        <v>3832</v>
      </c>
      <c r="C1356" s="967">
        <v>95404</v>
      </c>
    </row>
    <row r="1357" spans="2:3" x14ac:dyDescent="0.25">
      <c r="B1357" s="984" t="s">
        <v>1329</v>
      </c>
      <c r="C1357" s="967">
        <v>91423</v>
      </c>
    </row>
    <row r="1358" spans="2:3" x14ac:dyDescent="0.25">
      <c r="B1358" s="984" t="s">
        <v>3833</v>
      </c>
      <c r="C1358" s="967">
        <v>91457</v>
      </c>
    </row>
    <row r="1359" spans="2:3" x14ac:dyDescent="0.25">
      <c r="B1359" s="984" t="s">
        <v>3834</v>
      </c>
      <c r="C1359" s="967">
        <v>90861</v>
      </c>
    </row>
    <row r="1360" spans="2:3" x14ac:dyDescent="0.25">
      <c r="B1360" s="984" t="s">
        <v>2324</v>
      </c>
      <c r="C1360" s="967">
        <v>93451</v>
      </c>
    </row>
    <row r="1361" spans="2:3" x14ac:dyDescent="0.25">
      <c r="B1361" s="984" t="s">
        <v>2325</v>
      </c>
      <c r="C1361" s="967">
        <v>92931</v>
      </c>
    </row>
    <row r="1362" spans="2:3" x14ac:dyDescent="0.25">
      <c r="B1362" s="984" t="s">
        <v>3835</v>
      </c>
      <c r="C1362" s="967">
        <v>92917</v>
      </c>
    </row>
    <row r="1363" spans="2:3" x14ac:dyDescent="0.25">
      <c r="B1363" s="984" t="s">
        <v>2326</v>
      </c>
      <c r="C1363" s="967">
        <v>97631</v>
      </c>
    </row>
    <row r="1364" spans="2:3" x14ac:dyDescent="0.25">
      <c r="B1364" s="984" t="s">
        <v>3836</v>
      </c>
      <c r="C1364" s="967">
        <v>97637</v>
      </c>
    </row>
    <row r="1365" spans="2:3" x14ac:dyDescent="0.25">
      <c r="B1365" s="984" t="s">
        <v>2327</v>
      </c>
      <c r="C1365" s="967">
        <v>90421</v>
      </c>
    </row>
    <row r="1366" spans="2:3" x14ac:dyDescent="0.25">
      <c r="B1366" s="984" t="s">
        <v>2328</v>
      </c>
      <c r="C1366" s="967">
        <v>94321</v>
      </c>
    </row>
    <row r="1367" spans="2:3" x14ac:dyDescent="0.25">
      <c r="B1367" s="984" t="s">
        <v>1667</v>
      </c>
      <c r="C1367" s="967">
        <v>95501</v>
      </c>
    </row>
    <row r="1368" spans="2:3" x14ac:dyDescent="0.25">
      <c r="B1368" s="984" t="s">
        <v>3837</v>
      </c>
      <c r="C1368" s="967">
        <v>95504</v>
      </c>
    </row>
    <row r="1369" spans="2:3" x14ac:dyDescent="0.25">
      <c r="B1369" s="984" t="s">
        <v>2329</v>
      </c>
      <c r="C1369" s="967">
        <v>95511</v>
      </c>
    </row>
    <row r="1370" spans="2:3" x14ac:dyDescent="0.25">
      <c r="B1370" s="984" t="s">
        <v>3838</v>
      </c>
      <c r="C1370" s="967">
        <v>95517</v>
      </c>
    </row>
    <row r="1371" spans="2:3" x14ac:dyDescent="0.25">
      <c r="B1371" s="984" t="s">
        <v>1670</v>
      </c>
      <c r="C1371" s="967">
        <v>95513</v>
      </c>
    </row>
    <row r="1372" spans="2:3" x14ac:dyDescent="0.25">
      <c r="B1372" s="984" t="s">
        <v>2330</v>
      </c>
      <c r="C1372" s="967">
        <v>92651</v>
      </c>
    </row>
    <row r="1373" spans="2:3" x14ac:dyDescent="0.25">
      <c r="B1373" s="984" t="s">
        <v>2331</v>
      </c>
      <c r="C1373" s="967">
        <v>94261</v>
      </c>
    </row>
    <row r="1374" spans="2:3" x14ac:dyDescent="0.25">
      <c r="B1374" s="984" t="s">
        <v>2332</v>
      </c>
      <c r="C1374" s="967">
        <v>98431</v>
      </c>
    </row>
    <row r="1375" spans="2:3" x14ac:dyDescent="0.25">
      <c r="B1375" s="984" t="s">
        <v>3839</v>
      </c>
      <c r="C1375" s="967">
        <v>98404</v>
      </c>
    </row>
    <row r="1376" spans="2:3" x14ac:dyDescent="0.25">
      <c r="B1376" s="984" t="s">
        <v>3840</v>
      </c>
      <c r="C1376" s="967">
        <v>91841</v>
      </c>
    </row>
    <row r="1377" spans="2:3" x14ac:dyDescent="0.25">
      <c r="B1377" s="984" t="s">
        <v>2333</v>
      </c>
      <c r="C1377" s="967">
        <v>93521</v>
      </c>
    </row>
    <row r="1378" spans="2:3" x14ac:dyDescent="0.25">
      <c r="B1378" s="984" t="s">
        <v>3841</v>
      </c>
      <c r="C1378" s="967">
        <v>93527</v>
      </c>
    </row>
    <row r="1379" spans="2:3" x14ac:dyDescent="0.25">
      <c r="B1379" s="984" t="s">
        <v>2334</v>
      </c>
      <c r="C1379" s="967">
        <v>93661</v>
      </c>
    </row>
    <row r="1380" spans="2:3" x14ac:dyDescent="0.25">
      <c r="B1380" s="984" t="s">
        <v>1749</v>
      </c>
      <c r="C1380" s="967">
        <v>96508</v>
      </c>
    </row>
    <row r="1381" spans="2:3" x14ac:dyDescent="0.25">
      <c r="B1381" s="984" t="s">
        <v>2335</v>
      </c>
      <c r="C1381" s="967">
        <v>99841</v>
      </c>
    </row>
    <row r="1382" spans="2:3" x14ac:dyDescent="0.25">
      <c r="B1382" s="984" t="s">
        <v>1852</v>
      </c>
      <c r="C1382" s="967">
        <v>97802</v>
      </c>
    </row>
    <row r="1383" spans="2:3" x14ac:dyDescent="0.25">
      <c r="B1383" s="984" t="s">
        <v>2336</v>
      </c>
      <c r="C1383" s="967">
        <v>97811</v>
      </c>
    </row>
    <row r="1384" spans="2:3" x14ac:dyDescent="0.25">
      <c r="B1384" s="984" t="s">
        <v>3842</v>
      </c>
      <c r="C1384" s="967">
        <v>97817</v>
      </c>
    </row>
    <row r="1385" spans="2:3" x14ac:dyDescent="0.25">
      <c r="B1385" s="984" t="s">
        <v>3843</v>
      </c>
      <c r="C1385" s="967">
        <v>97818</v>
      </c>
    </row>
    <row r="1386" spans="2:3" x14ac:dyDescent="0.25">
      <c r="B1386" s="984" t="s">
        <v>2337</v>
      </c>
      <c r="C1386" s="967">
        <v>93341</v>
      </c>
    </row>
    <row r="1387" spans="2:3" x14ac:dyDescent="0.25">
      <c r="B1387" s="984" t="s">
        <v>1672</v>
      </c>
      <c r="C1387" s="967">
        <v>95601</v>
      </c>
    </row>
    <row r="1388" spans="2:3" x14ac:dyDescent="0.25">
      <c r="B1388" s="984" t="s">
        <v>2338</v>
      </c>
      <c r="C1388" s="967">
        <v>97941</v>
      </c>
    </row>
    <row r="1389" spans="2:3" x14ac:dyDescent="0.25">
      <c r="B1389" s="984" t="s">
        <v>3844</v>
      </c>
      <c r="C1389" s="967">
        <v>97947</v>
      </c>
    </row>
    <row r="1390" spans="2:3" x14ac:dyDescent="0.25">
      <c r="B1390" s="984" t="s">
        <v>1676</v>
      </c>
      <c r="C1390" s="967">
        <v>95701</v>
      </c>
    </row>
    <row r="1391" spans="2:3" x14ac:dyDescent="0.25">
      <c r="B1391" s="984" t="s">
        <v>1877</v>
      </c>
      <c r="C1391" s="967">
        <v>97948</v>
      </c>
    </row>
    <row r="1392" spans="2:3" x14ac:dyDescent="0.25">
      <c r="B1392" s="984" t="s">
        <v>2339</v>
      </c>
      <c r="C1392" s="967">
        <v>94421</v>
      </c>
    </row>
    <row r="1393" spans="2:3" x14ac:dyDescent="0.25">
      <c r="B1393" s="984" t="s">
        <v>3845</v>
      </c>
      <c r="C1393" s="967">
        <v>94427</v>
      </c>
    </row>
    <row r="1394" spans="2:3" x14ac:dyDescent="0.25">
      <c r="B1394" s="984" t="s">
        <v>3846</v>
      </c>
      <c r="C1394" s="967">
        <v>94428</v>
      </c>
    </row>
    <row r="1395" spans="2:3" x14ac:dyDescent="0.25">
      <c r="B1395" s="984" t="s">
        <v>2340</v>
      </c>
      <c r="C1395" s="967">
        <v>93191</v>
      </c>
    </row>
    <row r="1396" spans="2:3" x14ac:dyDescent="0.25">
      <c r="B1396" s="984" t="s">
        <v>2341</v>
      </c>
      <c r="C1396" s="967">
        <v>91831</v>
      </c>
    </row>
    <row r="1397" spans="2:3" x14ac:dyDescent="0.25">
      <c r="B1397" s="984" t="s">
        <v>2342</v>
      </c>
      <c r="C1397" s="967">
        <v>92831</v>
      </c>
    </row>
    <row r="1398" spans="2:3" x14ac:dyDescent="0.25">
      <c r="B1398" s="984" t="s">
        <v>2343</v>
      </c>
      <c r="C1398" s="967">
        <v>95911</v>
      </c>
    </row>
    <row r="1399" spans="2:3" x14ac:dyDescent="0.25">
      <c r="B1399" s="984" t="s">
        <v>3847</v>
      </c>
      <c r="C1399" s="967">
        <v>95917</v>
      </c>
    </row>
    <row r="1400" spans="2:3" x14ac:dyDescent="0.25">
      <c r="B1400" s="984" t="s">
        <v>2344</v>
      </c>
      <c r="C1400" s="967">
        <v>95711</v>
      </c>
    </row>
    <row r="1401" spans="2:3" x14ac:dyDescent="0.25">
      <c r="B1401" s="984" t="s">
        <v>2345</v>
      </c>
      <c r="C1401" s="967">
        <v>95721</v>
      </c>
    </row>
    <row r="1402" spans="2:3" x14ac:dyDescent="0.25">
      <c r="B1402" s="984" t="s">
        <v>2346</v>
      </c>
      <c r="C1402" s="967">
        <v>99021</v>
      </c>
    </row>
    <row r="1403" spans="2:3" x14ac:dyDescent="0.25">
      <c r="B1403" s="984" t="s">
        <v>3848</v>
      </c>
      <c r="C1403" s="967">
        <v>95802</v>
      </c>
    </row>
    <row r="1404" spans="2:3" x14ac:dyDescent="0.25">
      <c r="B1404" s="984" t="s">
        <v>1680</v>
      </c>
      <c r="C1404" s="967">
        <v>95801</v>
      </c>
    </row>
    <row r="1405" spans="2:3" x14ac:dyDescent="0.25">
      <c r="B1405" s="984" t="s">
        <v>3849</v>
      </c>
      <c r="C1405" s="967">
        <v>95804</v>
      </c>
    </row>
    <row r="1406" spans="2:3" x14ac:dyDescent="0.25">
      <c r="B1406" s="984" t="s">
        <v>3850</v>
      </c>
      <c r="C1406" s="967">
        <v>90092</v>
      </c>
    </row>
    <row r="1407" spans="2:3" x14ac:dyDescent="0.25">
      <c r="B1407" s="984" t="s">
        <v>2347</v>
      </c>
      <c r="C1407" s="967">
        <v>99081</v>
      </c>
    </row>
    <row r="1408" spans="2:3" x14ac:dyDescent="0.25">
      <c r="B1408" s="984" t="s">
        <v>2348</v>
      </c>
      <c r="C1408" s="967">
        <v>96071</v>
      </c>
    </row>
    <row r="1409" spans="2:3" x14ac:dyDescent="0.25">
      <c r="B1409" s="984" t="s">
        <v>1541</v>
      </c>
      <c r="C1409" s="967">
        <v>94002</v>
      </c>
    </row>
    <row r="1410" spans="2:3" x14ac:dyDescent="0.25">
      <c r="B1410" s="984" t="s">
        <v>2349</v>
      </c>
      <c r="C1410" s="967">
        <v>97840</v>
      </c>
    </row>
    <row r="1411" spans="2:3" x14ac:dyDescent="0.25">
      <c r="B1411" s="984" t="s">
        <v>3851</v>
      </c>
      <c r="C1411" s="967">
        <v>97847</v>
      </c>
    </row>
    <row r="1412" spans="2:3" x14ac:dyDescent="0.25">
      <c r="B1412" s="984" t="s">
        <v>2350</v>
      </c>
      <c r="C1412" s="967">
        <v>97921</v>
      </c>
    </row>
    <row r="1413" spans="2:3" x14ac:dyDescent="0.25">
      <c r="B1413" s="984" t="s">
        <v>2351</v>
      </c>
      <c r="C1413" s="967">
        <v>95221</v>
      </c>
    </row>
    <row r="1414" spans="2:3" x14ac:dyDescent="0.25">
      <c r="B1414" s="984" t="s">
        <v>2352</v>
      </c>
      <c r="C1414" s="967">
        <v>93610</v>
      </c>
    </row>
    <row r="1415" spans="2:3" x14ac:dyDescent="0.25">
      <c r="B1415" s="984" t="s">
        <v>3852</v>
      </c>
      <c r="C1415" s="967">
        <v>95901</v>
      </c>
    </row>
    <row r="1416" spans="2:3" x14ac:dyDescent="0.25">
      <c r="B1416" s="984" t="s">
        <v>2110</v>
      </c>
      <c r="C1416" s="967">
        <v>90114</v>
      </c>
    </row>
    <row r="1417" spans="2:3" x14ac:dyDescent="0.25">
      <c r="B1417" s="984" t="s">
        <v>1694</v>
      </c>
      <c r="C1417" s="967">
        <v>96001</v>
      </c>
    </row>
    <row r="1418" spans="2:3" x14ac:dyDescent="0.25">
      <c r="B1418" s="984" t="s">
        <v>3853</v>
      </c>
      <c r="C1418" s="967">
        <v>96004</v>
      </c>
    </row>
    <row r="1419" spans="2:3" x14ac:dyDescent="0.25">
      <c r="B1419" s="984" t="s">
        <v>3854</v>
      </c>
      <c r="C1419" s="967">
        <v>96008</v>
      </c>
    </row>
    <row r="1420" spans="2:3" x14ac:dyDescent="0.25">
      <c r="B1420" s="984" t="s">
        <v>1286</v>
      </c>
      <c r="C1420" s="967">
        <v>91108</v>
      </c>
    </row>
    <row r="1421" spans="2:3" x14ac:dyDescent="0.25">
      <c r="B1421" s="984" t="s">
        <v>3855</v>
      </c>
      <c r="C1421" s="967">
        <v>94941</v>
      </c>
    </row>
    <row r="1422" spans="2:3" x14ac:dyDescent="0.25">
      <c r="B1422" s="984" t="s">
        <v>2353</v>
      </c>
      <c r="C1422" s="967">
        <v>95122</v>
      </c>
    </row>
    <row r="1423" spans="2:3" x14ac:dyDescent="0.25">
      <c r="B1423" s="984" t="s">
        <v>3856</v>
      </c>
      <c r="C1423" s="967">
        <v>92607</v>
      </c>
    </row>
    <row r="1424" spans="2:3" x14ac:dyDescent="0.25">
      <c r="B1424" s="984" t="s">
        <v>2354</v>
      </c>
      <c r="C1424" s="967">
        <v>96431</v>
      </c>
    </row>
    <row r="1425" spans="2:3" x14ac:dyDescent="0.25">
      <c r="B1425" s="984" t="s">
        <v>3560</v>
      </c>
      <c r="C1425" s="967">
        <v>90709</v>
      </c>
    </row>
    <row r="1426" spans="2:3" x14ac:dyDescent="0.25">
      <c r="B1426" s="984" t="s">
        <v>2355</v>
      </c>
      <c r="C1426" s="967">
        <v>91341</v>
      </c>
    </row>
    <row r="1427" spans="2:3" x14ac:dyDescent="0.25">
      <c r="B1427" s="984" t="s">
        <v>2356</v>
      </c>
      <c r="C1427" s="967">
        <v>92941</v>
      </c>
    </row>
    <row r="1428" spans="2:3" x14ac:dyDescent="0.25">
      <c r="B1428" s="984" t="s">
        <v>2357</v>
      </c>
      <c r="C1428" s="967">
        <v>94551</v>
      </c>
    </row>
    <row r="1429" spans="2:3" x14ac:dyDescent="0.25">
      <c r="B1429" s="984" t="s">
        <v>2358</v>
      </c>
      <c r="C1429" s="967">
        <v>99022</v>
      </c>
    </row>
    <row r="1430" spans="2:3" x14ac:dyDescent="0.25">
      <c r="B1430" s="984" t="s">
        <v>2359</v>
      </c>
      <c r="C1430" s="967">
        <v>96031</v>
      </c>
    </row>
    <row r="1431" spans="2:3" x14ac:dyDescent="0.25">
      <c r="B1431" s="984" t="s">
        <v>2360</v>
      </c>
      <c r="C1431" s="967">
        <v>98414</v>
      </c>
    </row>
    <row r="1432" spans="2:3" x14ac:dyDescent="0.25">
      <c r="B1432" s="984" t="s">
        <v>1709</v>
      </c>
      <c r="C1432" s="967">
        <v>96101</v>
      </c>
    </row>
    <row r="1433" spans="2:3" x14ac:dyDescent="0.25">
      <c r="B1433" s="984" t="s">
        <v>3857</v>
      </c>
      <c r="C1433" s="967">
        <v>96102</v>
      </c>
    </row>
    <row r="1434" spans="2:3" x14ac:dyDescent="0.25">
      <c r="B1434" s="984" t="s">
        <v>2361</v>
      </c>
      <c r="C1434" s="967">
        <v>93011</v>
      </c>
    </row>
    <row r="1435" spans="2:3" x14ac:dyDescent="0.25">
      <c r="B1435" s="984" t="s">
        <v>2362</v>
      </c>
      <c r="C1435" s="967">
        <v>99011</v>
      </c>
    </row>
    <row r="1436" spans="2:3" x14ac:dyDescent="0.25">
      <c r="B1436" s="984" t="s">
        <v>3858</v>
      </c>
      <c r="C1436" s="967">
        <v>99017</v>
      </c>
    </row>
    <row r="1437" spans="2:3" x14ac:dyDescent="0.25">
      <c r="B1437" s="984" t="s">
        <v>3859</v>
      </c>
      <c r="C1437" s="967">
        <v>99013</v>
      </c>
    </row>
    <row r="1438" spans="2:3" x14ac:dyDescent="0.25">
      <c r="B1438" s="984" t="s">
        <v>1713</v>
      </c>
      <c r="C1438" s="967">
        <v>96201</v>
      </c>
    </row>
    <row r="1439" spans="2:3" x14ac:dyDescent="0.25">
      <c r="B1439" s="984" t="s">
        <v>3860</v>
      </c>
      <c r="C1439" s="967">
        <v>96204</v>
      </c>
    </row>
    <row r="1440" spans="2:3" x14ac:dyDescent="0.25">
      <c r="B1440" s="984" t="s">
        <v>2363</v>
      </c>
      <c r="C1440" s="967">
        <v>91161</v>
      </c>
    </row>
    <row r="1441" spans="2:3" x14ac:dyDescent="0.25">
      <c r="B1441" s="984" t="s">
        <v>1720</v>
      </c>
      <c r="C1441" s="967">
        <v>96301</v>
      </c>
    </row>
    <row r="1442" spans="2:3" x14ac:dyDescent="0.25">
      <c r="B1442" s="984" t="s">
        <v>3861</v>
      </c>
      <c r="C1442" s="967">
        <v>96304</v>
      </c>
    </row>
    <row r="1443" spans="2:3" x14ac:dyDescent="0.25">
      <c r="B1443" s="984" t="s">
        <v>1724</v>
      </c>
      <c r="C1443" s="967">
        <v>96310</v>
      </c>
    </row>
    <row r="1444" spans="2:3" x14ac:dyDescent="0.25">
      <c r="B1444" s="984" t="s">
        <v>3862</v>
      </c>
      <c r="C1444" s="967">
        <v>96305</v>
      </c>
    </row>
    <row r="1445" spans="2:3" x14ac:dyDescent="0.25">
      <c r="B1445" s="984" t="s">
        <v>2364</v>
      </c>
      <c r="C1445" s="967">
        <v>94921</v>
      </c>
    </row>
    <row r="1446" spans="2:3" x14ac:dyDescent="0.25">
      <c r="B1446" s="984" t="s">
        <v>3863</v>
      </c>
      <c r="C1446" s="967">
        <v>94927</v>
      </c>
    </row>
    <row r="1447" spans="2:3" x14ac:dyDescent="0.25">
      <c r="B1447" s="984" t="s">
        <v>1622</v>
      </c>
      <c r="C1447" s="967">
        <v>94923</v>
      </c>
    </row>
    <row r="1448" spans="2:3" x14ac:dyDescent="0.25">
      <c r="B1448" s="984" t="s">
        <v>2365</v>
      </c>
      <c r="C1448" s="967">
        <v>91611</v>
      </c>
    </row>
    <row r="1449" spans="2:3" x14ac:dyDescent="0.25">
      <c r="B1449" s="984" t="s">
        <v>2366</v>
      </c>
      <c r="C1449" s="967">
        <v>91231</v>
      </c>
    </row>
    <row r="1450" spans="2:3" x14ac:dyDescent="0.25">
      <c r="B1450" s="984" t="s">
        <v>3864</v>
      </c>
      <c r="C1450" s="967">
        <v>91217</v>
      </c>
    </row>
    <row r="1451" spans="2:3" x14ac:dyDescent="0.25">
      <c r="B1451" s="984" t="s">
        <v>1311</v>
      </c>
      <c r="C1451" s="967">
        <v>91233</v>
      </c>
    </row>
    <row r="1452" spans="2:3" x14ac:dyDescent="0.25">
      <c r="B1452" s="984" t="s">
        <v>2367</v>
      </c>
      <c r="C1452" s="967">
        <v>99206</v>
      </c>
    </row>
    <row r="1453" spans="2:3" x14ac:dyDescent="0.25">
      <c r="B1453" s="984" t="s">
        <v>2368</v>
      </c>
      <c r="C1453" s="967">
        <v>90461</v>
      </c>
    </row>
    <row r="1454" spans="2:3" x14ac:dyDescent="0.25">
      <c r="B1454" s="984" t="s">
        <v>3865</v>
      </c>
      <c r="C1454" s="967">
        <v>98637</v>
      </c>
    </row>
    <row r="1455" spans="2:3" x14ac:dyDescent="0.25">
      <c r="B1455" s="984" t="s">
        <v>2369</v>
      </c>
      <c r="C1455" s="967">
        <v>96251</v>
      </c>
    </row>
    <row r="1456" spans="2:3" x14ac:dyDescent="0.25">
      <c r="B1456" s="984" t="s">
        <v>2370</v>
      </c>
      <c r="C1456" s="967">
        <v>99621</v>
      </c>
    </row>
    <row r="1457" spans="2:3" x14ac:dyDescent="0.25">
      <c r="B1457" s="984" t="s">
        <v>2371</v>
      </c>
      <c r="C1457" s="967">
        <v>91321</v>
      </c>
    </row>
    <row r="1458" spans="2:3" x14ac:dyDescent="0.25">
      <c r="B1458" s="984" t="s">
        <v>3866</v>
      </c>
      <c r="C1458" s="967">
        <v>98631</v>
      </c>
    </row>
    <row r="1459" spans="2:3" x14ac:dyDescent="0.25">
      <c r="B1459" s="984" t="s">
        <v>3867</v>
      </c>
      <c r="C1459" s="967">
        <v>93691</v>
      </c>
    </row>
    <row r="1460" spans="2:3" x14ac:dyDescent="0.25">
      <c r="B1460" s="984" t="s">
        <v>3868</v>
      </c>
      <c r="C1460" s="967">
        <v>99623</v>
      </c>
    </row>
    <row r="1461" spans="2:3" x14ac:dyDescent="0.25">
      <c r="B1461" s="984" t="s">
        <v>3869</v>
      </c>
      <c r="C1461" s="967">
        <v>91327</v>
      </c>
    </row>
    <row r="1462" spans="2:3" x14ac:dyDescent="0.25">
      <c r="B1462" s="984" t="s">
        <v>2372</v>
      </c>
      <c r="C1462" s="967">
        <v>94621</v>
      </c>
    </row>
    <row r="1463" spans="2:3" x14ac:dyDescent="0.25">
      <c r="B1463" s="984" t="s">
        <v>2373</v>
      </c>
      <c r="C1463" s="967">
        <v>92011</v>
      </c>
    </row>
    <row r="1464" spans="2:3" x14ac:dyDescent="0.25">
      <c r="B1464" s="984" t="s">
        <v>3870</v>
      </c>
      <c r="C1464" s="967">
        <v>92017</v>
      </c>
    </row>
    <row r="1465" spans="2:3" x14ac:dyDescent="0.25">
      <c r="B1465" s="984" t="s">
        <v>3871</v>
      </c>
      <c r="C1465" s="967">
        <v>99991</v>
      </c>
    </row>
    <row r="1466" spans="2:3" x14ac:dyDescent="0.25">
      <c r="B1466" s="984" t="s">
        <v>3872</v>
      </c>
      <c r="C1466" s="967">
        <v>99999</v>
      </c>
    </row>
    <row r="1467" spans="2:3" x14ac:dyDescent="0.25">
      <c r="B1467" s="984" t="s">
        <v>2374</v>
      </c>
      <c r="C1467" s="967">
        <v>92811</v>
      </c>
    </row>
    <row r="1468" spans="2:3" x14ac:dyDescent="0.25">
      <c r="B1468" s="984" t="s">
        <v>1375</v>
      </c>
      <c r="C1468" s="967">
        <v>92005</v>
      </c>
    </row>
    <row r="1469" spans="2:3" x14ac:dyDescent="0.25">
      <c r="B1469" s="984" t="s">
        <v>1735</v>
      </c>
      <c r="C1469" s="967">
        <v>96401</v>
      </c>
    </row>
    <row r="1470" spans="2:3" x14ac:dyDescent="0.25">
      <c r="B1470" s="984" t="s">
        <v>3873</v>
      </c>
      <c r="C1470" s="967">
        <v>96404</v>
      </c>
    </row>
    <row r="1471" spans="2:3" x14ac:dyDescent="0.25">
      <c r="B1471" s="984" t="s">
        <v>2375</v>
      </c>
      <c r="C1471" s="967">
        <v>96421</v>
      </c>
    </row>
    <row r="1472" spans="2:3" x14ac:dyDescent="0.25">
      <c r="B1472" s="984" t="s">
        <v>2376</v>
      </c>
      <c r="C1472" s="967">
        <v>91026</v>
      </c>
    </row>
    <row r="1473" spans="2:3" x14ac:dyDescent="0.25">
      <c r="B1473" s="984" t="s">
        <v>1660</v>
      </c>
      <c r="C1473" s="967">
        <v>95405</v>
      </c>
    </row>
    <row r="1474" spans="2:3" x14ac:dyDescent="0.25">
      <c r="B1474" s="984" t="s">
        <v>3874</v>
      </c>
      <c r="C1474" s="967">
        <v>94005</v>
      </c>
    </row>
    <row r="1475" spans="2:3" x14ac:dyDescent="0.25">
      <c r="B1475" s="984" t="s">
        <v>3875</v>
      </c>
      <c r="C1475" s="967">
        <v>95205</v>
      </c>
    </row>
    <row r="1476" spans="2:3" x14ac:dyDescent="0.25">
      <c r="B1476" s="984" t="s">
        <v>1410</v>
      </c>
      <c r="C1476" s="967">
        <v>92507</v>
      </c>
    </row>
    <row r="1477" spans="2:3" x14ac:dyDescent="0.25">
      <c r="B1477" s="984" t="s">
        <v>3876</v>
      </c>
      <c r="C1477" s="967">
        <v>92113</v>
      </c>
    </row>
    <row r="1478" spans="2:3" x14ac:dyDescent="0.25">
      <c r="B1478" s="984" t="s">
        <v>3877</v>
      </c>
      <c r="C1478" s="967">
        <v>96502</v>
      </c>
    </row>
    <row r="1479" spans="2:3" x14ac:dyDescent="0.25">
      <c r="B1479" s="984" t="s">
        <v>1744</v>
      </c>
      <c r="C1479" s="967">
        <v>96501</v>
      </c>
    </row>
    <row r="1480" spans="2:3" x14ac:dyDescent="0.25">
      <c r="B1480" s="984" t="s">
        <v>3878</v>
      </c>
      <c r="C1480" s="967">
        <v>96504</v>
      </c>
    </row>
    <row r="1481" spans="2:3" x14ac:dyDescent="0.25">
      <c r="B1481" s="984" t="s">
        <v>3879</v>
      </c>
      <c r="C1481" s="967">
        <v>97913</v>
      </c>
    </row>
    <row r="1482" spans="2:3" x14ac:dyDescent="0.25">
      <c r="B1482" s="984" t="s">
        <v>3880</v>
      </c>
      <c r="C1482" s="967">
        <v>92511</v>
      </c>
    </row>
    <row r="1483" spans="2:3" x14ac:dyDescent="0.25">
      <c r="B1483" s="984" t="s">
        <v>2377</v>
      </c>
      <c r="C1483" s="967">
        <v>90621</v>
      </c>
    </row>
    <row r="1484" spans="2:3" x14ac:dyDescent="0.25">
      <c r="B1484" s="984" t="s">
        <v>2378</v>
      </c>
      <c r="C1484" s="967">
        <v>91621</v>
      </c>
    </row>
    <row r="1485" spans="2:3" x14ac:dyDescent="0.25">
      <c r="B1485" s="984" t="s">
        <v>2379</v>
      </c>
      <c r="C1485" s="967">
        <v>91871</v>
      </c>
    </row>
    <row r="1486" spans="2:3" x14ac:dyDescent="0.25">
      <c r="B1486" s="984" t="s">
        <v>2380</v>
      </c>
      <c r="C1486" s="967">
        <v>98231</v>
      </c>
    </row>
    <row r="1487" spans="2:3" x14ac:dyDescent="0.25">
      <c r="B1487" s="984" t="s">
        <v>2381</v>
      </c>
      <c r="C1487" s="967">
        <v>99311</v>
      </c>
    </row>
    <row r="1488" spans="2:3" x14ac:dyDescent="0.25">
      <c r="B1488" s="984" t="s">
        <v>2382</v>
      </c>
      <c r="C1488" s="967">
        <v>96751</v>
      </c>
    </row>
    <row r="1489" spans="2:3" x14ac:dyDescent="0.25">
      <c r="B1489" s="984" t="s">
        <v>2383</v>
      </c>
      <c r="C1489" s="967">
        <v>99711</v>
      </c>
    </row>
    <row r="1490" spans="2:3" x14ac:dyDescent="0.25">
      <c r="B1490" s="984" t="s">
        <v>3881</v>
      </c>
      <c r="C1490" s="967">
        <v>99717</v>
      </c>
    </row>
    <row r="1491" spans="2:3" x14ac:dyDescent="0.25">
      <c r="B1491" s="984" t="s">
        <v>1756</v>
      </c>
      <c r="C1491" s="967">
        <v>96601</v>
      </c>
    </row>
    <row r="1492" spans="2:3" x14ac:dyDescent="0.25">
      <c r="B1492" s="984" t="s">
        <v>3882</v>
      </c>
      <c r="C1492" s="967">
        <v>96604</v>
      </c>
    </row>
    <row r="1493" spans="2:3" x14ac:dyDescent="0.25">
      <c r="B1493" s="984" t="s">
        <v>2384</v>
      </c>
      <c r="C1493" s="967">
        <v>91012</v>
      </c>
    </row>
    <row r="1494" spans="2:3" x14ac:dyDescent="0.25">
      <c r="B1494" s="984" t="s">
        <v>1208</v>
      </c>
      <c r="C1494" s="967">
        <v>90305</v>
      </c>
    </row>
    <row r="1495" spans="2:3" x14ac:dyDescent="0.25">
      <c r="B1495" s="984" t="s">
        <v>2385</v>
      </c>
      <c r="C1495" s="967">
        <v>98421</v>
      </c>
    </row>
    <row r="1496" spans="2:3" x14ac:dyDescent="0.25">
      <c r="B1496" s="984" t="s">
        <v>3883</v>
      </c>
      <c r="C1496" s="967">
        <v>98427</v>
      </c>
    </row>
    <row r="1497" spans="2:3" x14ac:dyDescent="0.25">
      <c r="B1497" s="984" t="s">
        <v>2386</v>
      </c>
      <c r="C1497" s="967">
        <v>95821</v>
      </c>
    </row>
    <row r="1498" spans="2:3" x14ac:dyDescent="0.25">
      <c r="B1498" s="984" t="s">
        <v>2387</v>
      </c>
      <c r="C1498" s="967">
        <v>91021</v>
      </c>
    </row>
    <row r="1499" spans="2:3" x14ac:dyDescent="0.25">
      <c r="B1499" s="984" t="s">
        <v>3884</v>
      </c>
      <c r="C1499" s="967">
        <v>91027</v>
      </c>
    </row>
    <row r="1500" spans="2:3" x14ac:dyDescent="0.25">
      <c r="B1500" s="984" t="s">
        <v>2388</v>
      </c>
      <c r="C1500" s="967">
        <v>94161</v>
      </c>
    </row>
    <row r="1501" spans="2:3" x14ac:dyDescent="0.25">
      <c r="B1501" s="984" t="s">
        <v>2389</v>
      </c>
      <c r="C1501" s="967">
        <v>98441</v>
      </c>
    </row>
    <row r="1502" spans="2:3" x14ac:dyDescent="0.25">
      <c r="B1502" s="984" t="s">
        <v>2390</v>
      </c>
      <c r="C1502" s="967">
        <v>91061</v>
      </c>
    </row>
    <row r="1503" spans="2:3" x14ac:dyDescent="0.25">
      <c r="B1503" s="984" t="s">
        <v>3885</v>
      </c>
      <c r="C1503" s="967">
        <v>91067</v>
      </c>
    </row>
    <row r="1504" spans="2:3" x14ac:dyDescent="0.25">
      <c r="B1504" s="984" t="s">
        <v>3886</v>
      </c>
      <c r="C1504" s="967">
        <v>94812</v>
      </c>
    </row>
    <row r="1505" spans="2:3" x14ac:dyDescent="0.25">
      <c r="B1505" s="984" t="s">
        <v>2391</v>
      </c>
      <c r="C1505" s="967">
        <v>95921</v>
      </c>
    </row>
    <row r="1506" spans="2:3" x14ac:dyDescent="0.25">
      <c r="B1506" s="984" t="s">
        <v>1767</v>
      </c>
      <c r="C1506" s="967">
        <v>96701</v>
      </c>
    </row>
    <row r="1507" spans="2:3" x14ac:dyDescent="0.25">
      <c r="B1507" s="984" t="s">
        <v>3887</v>
      </c>
      <c r="C1507" s="967">
        <v>96704</v>
      </c>
    </row>
    <row r="1508" spans="2:3" x14ac:dyDescent="0.25">
      <c r="B1508" s="984" t="s">
        <v>3888</v>
      </c>
      <c r="C1508" s="967">
        <v>96708</v>
      </c>
    </row>
    <row r="1509" spans="2:3" x14ac:dyDescent="0.25">
      <c r="B1509" s="984" t="s">
        <v>1776</v>
      </c>
      <c r="C1509" s="967">
        <v>96801</v>
      </c>
    </row>
    <row r="1510" spans="2:3" x14ac:dyDescent="0.25">
      <c r="B1510" s="984" t="s">
        <v>3889</v>
      </c>
      <c r="C1510" s="967">
        <v>96804</v>
      </c>
    </row>
    <row r="1511" spans="2:3" x14ac:dyDescent="0.25">
      <c r="B1511" s="984" t="s">
        <v>3890</v>
      </c>
      <c r="C1511" s="967">
        <v>96808</v>
      </c>
    </row>
    <row r="1512" spans="2:3" x14ac:dyDescent="0.25">
      <c r="B1512" s="984" t="s">
        <v>2392</v>
      </c>
      <c r="C1512" s="967">
        <v>96912</v>
      </c>
    </row>
    <row r="1513" spans="2:3" x14ac:dyDescent="0.25">
      <c r="B1513" s="984" t="s">
        <v>2393</v>
      </c>
      <c r="C1513" s="967">
        <v>93911</v>
      </c>
    </row>
    <row r="1514" spans="2:3" x14ac:dyDescent="0.25">
      <c r="B1514" s="984" t="s">
        <v>1536</v>
      </c>
      <c r="C1514" s="967">
        <v>93913</v>
      </c>
    </row>
    <row r="1515" spans="2:3" x14ac:dyDescent="0.25">
      <c r="B1515" s="984" t="s">
        <v>1782</v>
      </c>
      <c r="C1515" s="967">
        <v>96901</v>
      </c>
    </row>
    <row r="1516" spans="2:3" x14ac:dyDescent="0.25">
      <c r="B1516" s="984" t="s">
        <v>3891</v>
      </c>
      <c r="C1516" s="967">
        <v>97841</v>
      </c>
    </row>
    <row r="1517" spans="2:3" x14ac:dyDescent="0.25">
      <c r="B1517" s="984" t="s">
        <v>1471</v>
      </c>
      <c r="C1517" s="967">
        <v>93202</v>
      </c>
    </row>
    <row r="1518" spans="2:3" x14ac:dyDescent="0.25">
      <c r="B1518" s="984" t="s">
        <v>3563</v>
      </c>
      <c r="C1518" s="967">
        <v>93609</v>
      </c>
    </row>
    <row r="1519" spans="2:3" x14ac:dyDescent="0.25">
      <c r="B1519" s="984" t="s">
        <v>3892</v>
      </c>
      <c r="C1519" s="967">
        <v>97004</v>
      </c>
    </row>
    <row r="1520" spans="2:3" x14ac:dyDescent="0.25">
      <c r="B1520" s="984" t="s">
        <v>1786</v>
      </c>
      <c r="C1520" s="967">
        <v>97001</v>
      </c>
    </row>
    <row r="1521" spans="2:3" x14ac:dyDescent="0.25">
      <c r="B1521" s="984" t="s">
        <v>1787</v>
      </c>
      <c r="C1521" s="967">
        <v>97002</v>
      </c>
    </row>
    <row r="1522" spans="2:3" x14ac:dyDescent="0.25">
      <c r="B1522" s="984" t="s">
        <v>1795</v>
      </c>
      <c r="C1522" s="967">
        <v>97015</v>
      </c>
    </row>
    <row r="1523" spans="2:3" x14ac:dyDescent="0.25">
      <c r="B1523" s="984" t="s">
        <v>2394</v>
      </c>
      <c r="C1523" s="967">
        <v>90441</v>
      </c>
    </row>
    <row r="1524" spans="2:3" x14ac:dyDescent="0.25">
      <c r="B1524" s="984" t="s">
        <v>2395</v>
      </c>
      <c r="C1524" s="967">
        <v>97851</v>
      </c>
    </row>
    <row r="1525" spans="2:3" x14ac:dyDescent="0.25">
      <c r="B1525" s="984" t="s">
        <v>1865</v>
      </c>
      <c r="C1525" s="967">
        <v>97853</v>
      </c>
    </row>
    <row r="1526" spans="2:3" x14ac:dyDescent="0.25">
      <c r="B1526" s="984" t="s">
        <v>1797</v>
      </c>
      <c r="C1526" s="967">
        <v>97101</v>
      </c>
    </row>
    <row r="1527" spans="2:3" x14ac:dyDescent="0.25">
      <c r="B1527" s="984" t="s">
        <v>3893</v>
      </c>
      <c r="C1527" s="967">
        <v>97104</v>
      </c>
    </row>
    <row r="1528" spans="2:3" x14ac:dyDescent="0.25">
      <c r="B1528" s="984" t="s">
        <v>1802</v>
      </c>
      <c r="C1528" s="967">
        <v>97201</v>
      </c>
    </row>
    <row r="1529" spans="2:3" x14ac:dyDescent="0.25">
      <c r="B1529" s="984" t="s">
        <v>3894</v>
      </c>
      <c r="C1529" s="967">
        <v>97304</v>
      </c>
    </row>
    <row r="1530" spans="2:3" x14ac:dyDescent="0.25">
      <c r="B1530" s="984" t="s">
        <v>1807</v>
      </c>
      <c r="C1530" s="967">
        <v>97301</v>
      </c>
    </row>
    <row r="1531" spans="2:3" x14ac:dyDescent="0.25">
      <c r="B1531" s="984" t="s">
        <v>2004</v>
      </c>
      <c r="C1531" s="967">
        <v>99405</v>
      </c>
    </row>
    <row r="1532" spans="2:3" x14ac:dyDescent="0.25">
      <c r="B1532" s="984" t="s">
        <v>1186</v>
      </c>
      <c r="C1532" s="967">
        <v>72265</v>
      </c>
    </row>
    <row r="1533" spans="2:3" x14ac:dyDescent="0.25">
      <c r="B1533" s="984" t="s">
        <v>3895</v>
      </c>
      <c r="C1533" s="967">
        <v>94112</v>
      </c>
    </row>
    <row r="1534" spans="2:3" x14ac:dyDescent="0.25">
      <c r="B1534" s="984" t="s">
        <v>1490</v>
      </c>
      <c r="C1534" s="967">
        <v>93406</v>
      </c>
    </row>
    <row r="1535" spans="2:3" x14ac:dyDescent="0.25">
      <c r="B1535" s="984" t="s">
        <v>2396</v>
      </c>
      <c r="C1535" s="967">
        <v>99651</v>
      </c>
    </row>
    <row r="1536" spans="2:3" x14ac:dyDescent="0.25">
      <c r="B1536" s="984" t="s">
        <v>2397</v>
      </c>
      <c r="C1536" s="967">
        <v>98611</v>
      </c>
    </row>
    <row r="1537" spans="2:3" x14ac:dyDescent="0.25">
      <c r="B1537" s="984" t="s">
        <v>3896</v>
      </c>
      <c r="C1537" s="967">
        <v>98607</v>
      </c>
    </row>
    <row r="1538" spans="2:3" x14ac:dyDescent="0.25">
      <c r="B1538" s="984" t="s">
        <v>2398</v>
      </c>
      <c r="C1538" s="967">
        <v>91641</v>
      </c>
    </row>
    <row r="1539" spans="2:3" x14ac:dyDescent="0.25">
      <c r="B1539" s="984" t="s">
        <v>2399</v>
      </c>
      <c r="C1539" s="967">
        <v>95161</v>
      </c>
    </row>
    <row r="1540" spans="2:3" x14ac:dyDescent="0.25">
      <c r="B1540" s="984" t="s">
        <v>2400</v>
      </c>
      <c r="C1540" s="967">
        <v>96361</v>
      </c>
    </row>
    <row r="1541" spans="2:3" x14ac:dyDescent="0.25">
      <c r="B1541" s="984" t="s">
        <v>3897</v>
      </c>
      <c r="C1541" s="967">
        <v>94108</v>
      </c>
    </row>
    <row r="1542" spans="2:3" x14ac:dyDescent="0.25">
      <c r="B1542" s="984" t="s">
        <v>2401</v>
      </c>
      <c r="C1542" s="967">
        <v>96351</v>
      </c>
    </row>
    <row r="1543" spans="2:3" x14ac:dyDescent="0.25">
      <c r="B1543" s="984" t="s">
        <v>2402</v>
      </c>
      <c r="C1543" s="967">
        <v>93331</v>
      </c>
    </row>
    <row r="1544" spans="2:3" x14ac:dyDescent="0.25">
      <c r="B1544" s="984" t="s">
        <v>2403</v>
      </c>
      <c r="C1544" s="967">
        <v>96021</v>
      </c>
    </row>
    <row r="1545" spans="2:3" x14ac:dyDescent="0.25">
      <c r="B1545" s="984" t="s">
        <v>2404</v>
      </c>
      <c r="C1545" s="967">
        <v>95421</v>
      </c>
    </row>
    <row r="1546" spans="2:3" x14ac:dyDescent="0.25">
      <c r="B1546" s="984" t="s">
        <v>1810</v>
      </c>
      <c r="C1546" s="967">
        <v>97401</v>
      </c>
    </row>
    <row r="1547" spans="2:3" x14ac:dyDescent="0.25">
      <c r="B1547" s="984" t="s">
        <v>3898</v>
      </c>
      <c r="C1547" s="967">
        <v>97404</v>
      </c>
    </row>
    <row r="1548" spans="2:3" x14ac:dyDescent="0.25">
      <c r="B1548" s="984" t="s">
        <v>3899</v>
      </c>
      <c r="C1548" s="967">
        <v>97402</v>
      </c>
    </row>
    <row r="1549" spans="2:3" x14ac:dyDescent="0.25">
      <c r="B1549" s="984" t="s">
        <v>2405</v>
      </c>
      <c r="C1549" s="967">
        <v>91921</v>
      </c>
    </row>
    <row r="1550" spans="2:3" x14ac:dyDescent="0.25">
      <c r="B1550" s="984" t="s">
        <v>3900</v>
      </c>
      <c r="C1550" s="967">
        <v>95908</v>
      </c>
    </row>
    <row r="1551" spans="2:3" x14ac:dyDescent="0.25">
      <c r="B1551" s="984" t="s">
        <v>2406</v>
      </c>
      <c r="C1551" s="967">
        <v>99411</v>
      </c>
    </row>
    <row r="1552" spans="2:3" x14ac:dyDescent="0.25">
      <c r="B1552" s="984" t="s">
        <v>2006</v>
      </c>
      <c r="C1552" s="967">
        <v>99413</v>
      </c>
    </row>
    <row r="1553" spans="2:3" x14ac:dyDescent="0.25">
      <c r="B1553" s="984" t="s">
        <v>1827</v>
      </c>
      <c r="C1553" s="967">
        <v>97501</v>
      </c>
    </row>
    <row r="1554" spans="2:3" x14ac:dyDescent="0.25">
      <c r="B1554" s="984" t="s">
        <v>2407</v>
      </c>
      <c r="C1554" s="967">
        <v>90431</v>
      </c>
    </row>
    <row r="1555" spans="2:3" x14ac:dyDescent="0.25">
      <c r="B1555" s="984" t="s">
        <v>2408</v>
      </c>
      <c r="C1555" s="967">
        <v>95211</v>
      </c>
    </row>
    <row r="1556" spans="2:3" x14ac:dyDescent="0.25">
      <c r="B1556" s="984" t="s">
        <v>2409</v>
      </c>
      <c r="C1556" s="967">
        <v>95181</v>
      </c>
    </row>
    <row r="1557" spans="2:3" x14ac:dyDescent="0.25">
      <c r="B1557" s="984" t="s">
        <v>2410</v>
      </c>
      <c r="C1557" s="967">
        <v>93351</v>
      </c>
    </row>
    <row r="1558" spans="2:3" x14ac:dyDescent="0.25">
      <c r="B1558" s="984" t="s">
        <v>3901</v>
      </c>
      <c r="C1558" s="967">
        <v>95105</v>
      </c>
    </row>
    <row r="1559" spans="2:3" x14ac:dyDescent="0.25">
      <c r="B1559" s="984" t="s">
        <v>3902</v>
      </c>
      <c r="C1559" s="967">
        <v>92614</v>
      </c>
    </row>
    <row r="1560" spans="2:3" x14ac:dyDescent="0.25">
      <c r="B1560" s="984" t="s">
        <v>2411</v>
      </c>
      <c r="C1560" s="967">
        <v>94711</v>
      </c>
    </row>
    <row r="1561" spans="2:3" x14ac:dyDescent="0.25">
      <c r="B1561" s="984" t="s">
        <v>2412</v>
      </c>
      <c r="C1561" s="967">
        <v>99211</v>
      </c>
    </row>
    <row r="1562" spans="2:3" x14ac:dyDescent="0.25">
      <c r="B1562" s="984" t="s">
        <v>1987</v>
      </c>
      <c r="C1562" s="967">
        <v>99218</v>
      </c>
    </row>
    <row r="1563" spans="2:3" x14ac:dyDescent="0.25">
      <c r="B1563" s="984" t="s">
        <v>3903</v>
      </c>
      <c r="C1563" s="967">
        <v>99213</v>
      </c>
    </row>
    <row r="1564" spans="2:3" x14ac:dyDescent="0.25">
      <c r="B1564" s="984" t="s">
        <v>2413</v>
      </c>
      <c r="C1564" s="967">
        <v>97641</v>
      </c>
    </row>
    <row r="1565" spans="2:3" x14ac:dyDescent="0.25">
      <c r="B1565" s="984" t="s">
        <v>2414</v>
      </c>
      <c r="C1565" s="967">
        <v>97621</v>
      </c>
    </row>
    <row r="1566" spans="2:3" x14ac:dyDescent="0.25">
      <c r="B1566" s="984" t="s">
        <v>3904</v>
      </c>
      <c r="C1566" s="967">
        <v>97627</v>
      </c>
    </row>
    <row r="1567" spans="2:3" x14ac:dyDescent="0.25">
      <c r="B1567" s="984" t="s">
        <v>3905</v>
      </c>
      <c r="C1567" s="967">
        <v>97623</v>
      </c>
    </row>
    <row r="1568" spans="2:3" x14ac:dyDescent="0.25">
      <c r="B1568" s="984" t="s">
        <v>1831</v>
      </c>
      <c r="C1568" s="967">
        <v>97601</v>
      </c>
    </row>
    <row r="1569" spans="2:3" x14ac:dyDescent="0.25">
      <c r="B1569" s="984" t="s">
        <v>2415</v>
      </c>
      <c r="C1569" s="967">
        <v>93681</v>
      </c>
    </row>
    <row r="1570" spans="2:3" x14ac:dyDescent="0.25">
      <c r="B1570" s="984" t="s">
        <v>2416</v>
      </c>
      <c r="C1570" s="967">
        <v>97871</v>
      </c>
    </row>
    <row r="1571" spans="2:3" x14ac:dyDescent="0.25">
      <c r="B1571" s="984" t="s">
        <v>3906</v>
      </c>
      <c r="C1571" s="967">
        <v>97877</v>
      </c>
    </row>
    <row r="1572" spans="2:3" x14ac:dyDescent="0.25">
      <c r="B1572" s="984" t="s">
        <v>2010</v>
      </c>
      <c r="C1572" s="967">
        <v>99502</v>
      </c>
    </row>
    <row r="1573" spans="2:3" x14ac:dyDescent="0.25">
      <c r="B1573" s="984" t="s">
        <v>2417</v>
      </c>
      <c r="C1573" s="967">
        <v>97911</v>
      </c>
    </row>
    <row r="1574" spans="2:3" x14ac:dyDescent="0.25">
      <c r="B1574" s="984" t="s">
        <v>3907</v>
      </c>
      <c r="C1574" s="967">
        <v>97917</v>
      </c>
    </row>
    <row r="1575" spans="2:3" x14ac:dyDescent="0.25">
      <c r="B1575" s="984" t="s">
        <v>2418</v>
      </c>
      <c r="C1575" s="967">
        <v>96611</v>
      </c>
    </row>
    <row r="1576" spans="2:3" x14ac:dyDescent="0.25">
      <c r="B1576" s="984" t="s">
        <v>2419</v>
      </c>
      <c r="C1576" s="967">
        <v>96741</v>
      </c>
    </row>
    <row r="1577" spans="2:3" x14ac:dyDescent="0.25">
      <c r="B1577" s="984" t="s">
        <v>1843</v>
      </c>
      <c r="C1577" s="967">
        <v>97701</v>
      </c>
    </row>
    <row r="1578" spans="2:3" x14ac:dyDescent="0.25">
      <c r="B1578" s="984" t="s">
        <v>2420</v>
      </c>
      <c r="C1578" s="967">
        <v>92541</v>
      </c>
    </row>
    <row r="1579" spans="2:3" x14ac:dyDescent="0.25">
      <c r="B1579" s="984" t="s">
        <v>1567</v>
      </c>
      <c r="C1579" s="967">
        <v>94209</v>
      </c>
    </row>
    <row r="1580" spans="2:3" x14ac:dyDescent="0.25">
      <c r="B1580" s="984" t="s">
        <v>3908</v>
      </c>
      <c r="C1580" s="967">
        <v>94221</v>
      </c>
    </row>
    <row r="1581" spans="2:3" x14ac:dyDescent="0.25">
      <c r="B1581" s="984" t="s">
        <v>2421</v>
      </c>
      <c r="C1581" s="967">
        <v>96341</v>
      </c>
    </row>
    <row r="1582" spans="2:3" x14ac:dyDescent="0.25">
      <c r="B1582" s="984" t="s">
        <v>2422</v>
      </c>
      <c r="C1582" s="967">
        <v>93821</v>
      </c>
    </row>
    <row r="1583" spans="2:3" x14ac:dyDescent="0.25">
      <c r="B1583" s="984" t="s">
        <v>2423</v>
      </c>
      <c r="C1583" s="967">
        <v>95851</v>
      </c>
    </row>
    <row r="1584" spans="2:3" x14ac:dyDescent="0.25">
      <c r="B1584" s="984" t="s">
        <v>1689</v>
      </c>
      <c r="C1584" s="967">
        <v>95853</v>
      </c>
    </row>
    <row r="1585" spans="2:3" x14ac:dyDescent="0.25">
      <c r="B1585" s="984" t="s">
        <v>1851</v>
      </c>
      <c r="C1585" s="967">
        <v>97801</v>
      </c>
    </row>
    <row r="1586" spans="2:3" x14ac:dyDescent="0.25">
      <c r="B1586" s="984" t="s">
        <v>1853</v>
      </c>
      <c r="C1586" s="967">
        <v>97803</v>
      </c>
    </row>
    <row r="1587" spans="2:3" x14ac:dyDescent="0.25">
      <c r="B1587" s="984" t="s">
        <v>1854</v>
      </c>
      <c r="C1587" s="967">
        <v>97805</v>
      </c>
    </row>
    <row r="1588" spans="2:3" x14ac:dyDescent="0.25">
      <c r="B1588" s="984" t="s">
        <v>2424</v>
      </c>
      <c r="C1588" s="967">
        <v>97711</v>
      </c>
    </row>
    <row r="1589" spans="2:3" x14ac:dyDescent="0.25">
      <c r="B1589" s="984" t="s">
        <v>1869</v>
      </c>
      <c r="C1589" s="967">
        <v>97901</v>
      </c>
    </row>
    <row r="1590" spans="2:3" x14ac:dyDescent="0.25">
      <c r="B1590" s="984" t="s">
        <v>1846</v>
      </c>
      <c r="C1590" s="967">
        <v>97713</v>
      </c>
    </row>
    <row r="1591" spans="2:3" x14ac:dyDescent="0.25">
      <c r="B1591" s="984" t="s">
        <v>3909</v>
      </c>
      <c r="C1591" s="967">
        <v>97727</v>
      </c>
    </row>
    <row r="1592" spans="2:3" x14ac:dyDescent="0.25">
      <c r="B1592" s="984" t="s">
        <v>2425</v>
      </c>
      <c r="C1592" s="967">
        <v>98071</v>
      </c>
    </row>
    <row r="1593" spans="2:3" x14ac:dyDescent="0.25">
      <c r="B1593" s="984" t="s">
        <v>1483</v>
      </c>
      <c r="C1593" s="967">
        <v>93323</v>
      </c>
    </row>
    <row r="1594" spans="2:3" x14ac:dyDescent="0.25">
      <c r="B1594" s="984" t="s">
        <v>3910</v>
      </c>
      <c r="C1594" s="967">
        <v>93333</v>
      </c>
    </row>
    <row r="1595" spans="2:3" x14ac:dyDescent="0.25">
      <c r="B1595" s="984" t="s">
        <v>3911</v>
      </c>
      <c r="C1595" s="967">
        <v>93321</v>
      </c>
    </row>
    <row r="1596" spans="2:3" x14ac:dyDescent="0.25">
      <c r="B1596" s="984" t="s">
        <v>2426</v>
      </c>
      <c r="C1596" s="967">
        <v>99203</v>
      </c>
    </row>
    <row r="1597" spans="2:3" x14ac:dyDescent="0.25">
      <c r="B1597" s="984" t="s">
        <v>2427</v>
      </c>
      <c r="C1597" s="967">
        <v>99421</v>
      </c>
    </row>
    <row r="1598" spans="2:3" x14ac:dyDescent="0.25">
      <c r="B1598" s="984" t="s">
        <v>2428</v>
      </c>
      <c r="C1598" s="967">
        <v>93161</v>
      </c>
    </row>
    <row r="1599" spans="2:3" x14ac:dyDescent="0.25">
      <c r="B1599" s="984" t="s">
        <v>2429</v>
      </c>
      <c r="C1599" s="967">
        <v>98261</v>
      </c>
    </row>
    <row r="1600" spans="2:3" x14ac:dyDescent="0.25">
      <c r="B1600" s="984" t="s">
        <v>3912</v>
      </c>
      <c r="C1600" s="967">
        <v>98237</v>
      </c>
    </row>
    <row r="1601" spans="2:3" x14ac:dyDescent="0.25">
      <c r="B1601" s="984" t="s">
        <v>3913</v>
      </c>
      <c r="C1601" s="967">
        <v>98003</v>
      </c>
    </row>
    <row r="1602" spans="2:3" x14ac:dyDescent="0.25">
      <c r="B1602" s="984" t="s">
        <v>3914</v>
      </c>
      <c r="C1602" s="967">
        <v>98008</v>
      </c>
    </row>
    <row r="1603" spans="2:3" x14ac:dyDescent="0.25">
      <c r="B1603" s="984" t="s">
        <v>3915</v>
      </c>
      <c r="C1603" s="967">
        <v>98002</v>
      </c>
    </row>
    <row r="1604" spans="2:3" x14ac:dyDescent="0.25">
      <c r="B1604" s="984" t="s">
        <v>1880</v>
      </c>
      <c r="C1604" s="967">
        <v>98001</v>
      </c>
    </row>
    <row r="1605" spans="2:3" x14ac:dyDescent="0.25">
      <c r="B1605" s="984" t="s">
        <v>3916</v>
      </c>
      <c r="C1605" s="967">
        <v>98004</v>
      </c>
    </row>
    <row r="1606" spans="2:3" x14ac:dyDescent="0.25">
      <c r="B1606" s="984" t="s">
        <v>2430</v>
      </c>
      <c r="C1606" s="967">
        <v>97861</v>
      </c>
    </row>
    <row r="1607" spans="2:3" x14ac:dyDescent="0.25">
      <c r="B1607" s="984" t="s">
        <v>2431</v>
      </c>
      <c r="C1607" s="967">
        <v>97311</v>
      </c>
    </row>
    <row r="1608" spans="2:3" x14ac:dyDescent="0.25">
      <c r="B1608" s="984" t="s">
        <v>2432</v>
      </c>
      <c r="C1608" s="967">
        <v>93431</v>
      </c>
    </row>
    <row r="1609" spans="2:3" x14ac:dyDescent="0.25">
      <c r="B1609" s="984" t="s">
        <v>2433</v>
      </c>
      <c r="C1609" s="967">
        <v>91214</v>
      </c>
    </row>
    <row r="1610" spans="2:3" x14ac:dyDescent="0.25">
      <c r="B1610" s="984" t="s">
        <v>1895</v>
      </c>
      <c r="C1610" s="967">
        <v>98101</v>
      </c>
    </row>
    <row r="1611" spans="2:3" x14ac:dyDescent="0.25">
      <c r="B1611" s="984" t="s">
        <v>3917</v>
      </c>
      <c r="C1611" s="967">
        <v>98103</v>
      </c>
    </row>
    <row r="1612" spans="2:3" x14ac:dyDescent="0.25">
      <c r="B1612" s="984" t="s">
        <v>2434</v>
      </c>
      <c r="C1612" s="967">
        <v>98141</v>
      </c>
    </row>
    <row r="1613" spans="2:3" x14ac:dyDescent="0.25">
      <c r="B1613" s="984" t="s">
        <v>3918</v>
      </c>
      <c r="C1613" s="967">
        <v>98147</v>
      </c>
    </row>
    <row r="1614" spans="2:3" x14ac:dyDescent="0.25">
      <c r="B1614" s="984" t="s">
        <v>2435</v>
      </c>
      <c r="C1614" s="967">
        <v>98221</v>
      </c>
    </row>
    <row r="1615" spans="2:3" x14ac:dyDescent="0.25">
      <c r="B1615" s="984" t="s">
        <v>2436</v>
      </c>
      <c r="C1615" s="967">
        <v>98011</v>
      </c>
    </row>
    <row r="1616" spans="2:3" x14ac:dyDescent="0.25">
      <c r="B1616" s="984" t="s">
        <v>2437</v>
      </c>
      <c r="C1616" s="967">
        <v>97531</v>
      </c>
    </row>
    <row r="1617" spans="2:3" x14ac:dyDescent="0.25">
      <c r="B1617" s="984" t="s">
        <v>1907</v>
      </c>
      <c r="C1617" s="967">
        <v>98201</v>
      </c>
    </row>
    <row r="1618" spans="2:3" x14ac:dyDescent="0.25">
      <c r="B1618" s="984" t="s">
        <v>1844</v>
      </c>
      <c r="C1618" s="967">
        <v>97705</v>
      </c>
    </row>
    <row r="1619" spans="2:3" x14ac:dyDescent="0.25">
      <c r="B1619" s="984" t="s">
        <v>3565</v>
      </c>
      <c r="C1619" s="967">
        <v>96318</v>
      </c>
    </row>
    <row r="1620" spans="2:3" x14ac:dyDescent="0.25">
      <c r="B1620" s="984" t="s">
        <v>2438</v>
      </c>
      <c r="C1620" s="967">
        <v>95311</v>
      </c>
    </row>
    <row r="1621" spans="2:3" x14ac:dyDescent="0.25">
      <c r="B1621" s="984" t="s">
        <v>3919</v>
      </c>
      <c r="C1621" s="967">
        <v>95317</v>
      </c>
    </row>
    <row r="1622" spans="2:3" x14ac:dyDescent="0.25">
      <c r="B1622" s="984" t="s">
        <v>2439</v>
      </c>
      <c r="C1622" s="967">
        <v>91421</v>
      </c>
    </row>
    <row r="1623" spans="2:3" x14ac:dyDescent="0.25">
      <c r="B1623" s="984" t="s">
        <v>1918</v>
      </c>
      <c r="C1623" s="967">
        <v>98301</v>
      </c>
    </row>
    <row r="1624" spans="2:3" x14ac:dyDescent="0.25">
      <c r="B1624" s="984" t="s">
        <v>3920</v>
      </c>
      <c r="C1624" s="967">
        <v>98304</v>
      </c>
    </row>
    <row r="1625" spans="2:3" x14ac:dyDescent="0.25">
      <c r="B1625" s="984" t="s">
        <v>2440</v>
      </c>
      <c r="C1625" s="967">
        <v>94241</v>
      </c>
    </row>
    <row r="1626" spans="2:3" x14ac:dyDescent="0.25">
      <c r="B1626" s="984" t="s">
        <v>2441</v>
      </c>
      <c r="C1626" s="967">
        <v>96681</v>
      </c>
    </row>
    <row r="1627" spans="2:3" x14ac:dyDescent="0.25">
      <c r="B1627" s="984" t="s">
        <v>3921</v>
      </c>
      <c r="C1627" s="967">
        <v>72593</v>
      </c>
    </row>
    <row r="1628" spans="2:3" x14ac:dyDescent="0.25">
      <c r="B1628" s="984" t="s">
        <v>2442</v>
      </c>
      <c r="C1628" s="967">
        <v>95121</v>
      </c>
    </row>
    <row r="1629" spans="2:3" x14ac:dyDescent="0.25">
      <c r="B1629" s="984" t="s">
        <v>1641</v>
      </c>
      <c r="C1629" s="967">
        <v>95123</v>
      </c>
    </row>
    <row r="1630" spans="2:3" x14ac:dyDescent="0.25">
      <c r="B1630" s="984" t="s">
        <v>2443</v>
      </c>
      <c r="C1630" s="967">
        <v>99531</v>
      </c>
    </row>
    <row r="1631" spans="2:3" x14ac:dyDescent="0.25">
      <c r="B1631" s="984" t="s">
        <v>2444</v>
      </c>
      <c r="C1631" s="967">
        <v>96671</v>
      </c>
    </row>
    <row r="1632" spans="2:3" x14ac:dyDescent="0.25">
      <c r="B1632" s="984" t="s">
        <v>2445</v>
      </c>
      <c r="C1632" s="967">
        <v>91081</v>
      </c>
    </row>
    <row r="1633" spans="2:3" x14ac:dyDescent="0.25">
      <c r="B1633" s="984" t="s">
        <v>3922</v>
      </c>
      <c r="C1633" s="967">
        <v>91057</v>
      </c>
    </row>
    <row r="1634" spans="2:3" x14ac:dyDescent="0.25">
      <c r="B1634" s="984" t="s">
        <v>2446</v>
      </c>
      <c r="C1634" s="967">
        <v>96461</v>
      </c>
    </row>
    <row r="1635" spans="2:3" x14ac:dyDescent="0.25">
      <c r="B1635" s="984" t="s">
        <v>2447</v>
      </c>
      <c r="C1635" s="967">
        <v>92311</v>
      </c>
    </row>
    <row r="1636" spans="2:3" x14ac:dyDescent="0.25">
      <c r="B1636" s="984" t="s">
        <v>3923</v>
      </c>
      <c r="C1636" s="967">
        <v>92317</v>
      </c>
    </row>
    <row r="1637" spans="2:3" x14ac:dyDescent="0.25">
      <c r="B1637" s="984" t="s">
        <v>1813</v>
      </c>
      <c r="C1637" s="967">
        <v>97405</v>
      </c>
    </row>
    <row r="1638" spans="2:3" x14ac:dyDescent="0.25">
      <c r="B1638" s="984" t="s">
        <v>2448</v>
      </c>
      <c r="C1638" s="967">
        <v>91911</v>
      </c>
    </row>
    <row r="1639" spans="2:3" x14ac:dyDescent="0.25">
      <c r="B1639" s="984" t="s">
        <v>3924</v>
      </c>
      <c r="C1639" s="967">
        <v>91917</v>
      </c>
    </row>
    <row r="1640" spans="2:3" x14ac:dyDescent="0.25">
      <c r="B1640" s="984" t="s">
        <v>2449</v>
      </c>
      <c r="C1640" s="967">
        <v>97481</v>
      </c>
    </row>
    <row r="1641" spans="2:3" x14ac:dyDescent="0.25">
      <c r="B1641" s="984" t="s">
        <v>3925</v>
      </c>
      <c r="C1641" s="967">
        <v>91138</v>
      </c>
    </row>
    <row r="1642" spans="2:3" x14ac:dyDescent="0.25">
      <c r="B1642" s="984" t="s">
        <v>2450</v>
      </c>
      <c r="C1642" s="967">
        <v>95111</v>
      </c>
    </row>
    <row r="1643" spans="2:3" x14ac:dyDescent="0.25">
      <c r="B1643" s="984" t="s">
        <v>1638</v>
      </c>
      <c r="C1643" s="967">
        <v>95113</v>
      </c>
    </row>
    <row r="1644" spans="2:3" x14ac:dyDescent="0.25">
      <c r="B1644" s="984" t="s">
        <v>2451</v>
      </c>
      <c r="C1644" s="967">
        <v>94021</v>
      </c>
    </row>
    <row r="1645" spans="2:3" x14ac:dyDescent="0.25">
      <c r="B1645" s="984" t="s">
        <v>3926</v>
      </c>
      <c r="C1645" s="967">
        <v>90918</v>
      </c>
    </row>
    <row r="1646" spans="2:3" x14ac:dyDescent="0.25">
      <c r="B1646" s="984" t="s">
        <v>3927</v>
      </c>
      <c r="C1646" s="967">
        <v>93910</v>
      </c>
    </row>
    <row r="1647" spans="2:3" x14ac:dyDescent="0.25">
      <c r="B1647" s="984" t="s">
        <v>3566</v>
      </c>
      <c r="C1647" s="967">
        <v>91013</v>
      </c>
    </row>
    <row r="1648" spans="2:3" x14ac:dyDescent="0.25">
      <c r="B1648" s="984" t="s">
        <v>2452</v>
      </c>
      <c r="C1648" s="967">
        <v>96311</v>
      </c>
    </row>
    <row r="1649" spans="2:3" x14ac:dyDescent="0.25">
      <c r="B1649" s="984" t="s">
        <v>2453</v>
      </c>
      <c r="C1649" s="967">
        <v>92841</v>
      </c>
    </row>
    <row r="1650" spans="2:3" x14ac:dyDescent="0.25">
      <c r="B1650" s="984" t="s">
        <v>2021</v>
      </c>
      <c r="C1650" s="967">
        <v>99609</v>
      </c>
    </row>
    <row r="1651" spans="2:3" x14ac:dyDescent="0.25">
      <c r="B1651" s="984" t="s">
        <v>2454</v>
      </c>
      <c r="C1651" s="967">
        <v>91011</v>
      </c>
    </row>
    <row r="1652" spans="2:3" x14ac:dyDescent="0.25">
      <c r="B1652" s="984" t="s">
        <v>3928</v>
      </c>
      <c r="C1652" s="967">
        <v>91017</v>
      </c>
    </row>
    <row r="1653" spans="2:3" x14ac:dyDescent="0.25">
      <c r="B1653" s="984" t="s">
        <v>3929</v>
      </c>
      <c r="C1653" s="967">
        <v>95008</v>
      </c>
    </row>
    <row r="1654" spans="2:3" x14ac:dyDescent="0.25">
      <c r="B1654" s="984" t="s">
        <v>2455</v>
      </c>
      <c r="C1654" s="967">
        <v>72657</v>
      </c>
    </row>
    <row r="1655" spans="2:3" x14ac:dyDescent="0.25">
      <c r="B1655" s="984" t="s">
        <v>3930</v>
      </c>
      <c r="C1655" s="967">
        <v>90307</v>
      </c>
    </row>
    <row r="1656" spans="2:3" x14ac:dyDescent="0.25">
      <c r="B1656" s="984" t="s">
        <v>2456</v>
      </c>
      <c r="C1656" s="967">
        <v>98031</v>
      </c>
    </row>
    <row r="1657" spans="2:3" x14ac:dyDescent="0.25">
      <c r="B1657" s="984" t="s">
        <v>2457</v>
      </c>
      <c r="C1657" s="967">
        <v>98121</v>
      </c>
    </row>
    <row r="1658" spans="2:3" x14ac:dyDescent="0.25">
      <c r="B1658" s="984" t="s">
        <v>2458</v>
      </c>
      <c r="C1658" s="967">
        <v>96411</v>
      </c>
    </row>
    <row r="1659" spans="2:3" x14ac:dyDescent="0.25">
      <c r="B1659" s="984" t="s">
        <v>2459</v>
      </c>
      <c r="C1659" s="967">
        <v>92661</v>
      </c>
    </row>
    <row r="1660" spans="2:3" x14ac:dyDescent="0.25">
      <c r="B1660" s="984" t="s">
        <v>2460</v>
      </c>
      <c r="C1660" s="967">
        <v>96111</v>
      </c>
    </row>
    <row r="1661" spans="2:3" x14ac:dyDescent="0.25">
      <c r="B1661" s="984" t="s">
        <v>3931</v>
      </c>
      <c r="C1661" s="967">
        <v>91032</v>
      </c>
    </row>
    <row r="1662" spans="2:3" x14ac:dyDescent="0.25">
      <c r="B1662" s="984" t="s">
        <v>3932</v>
      </c>
      <c r="C1662" s="967">
        <v>97831</v>
      </c>
    </row>
    <row r="1663" spans="2:3" x14ac:dyDescent="0.25">
      <c r="B1663" s="984" t="s">
        <v>3933</v>
      </c>
      <c r="C1663" s="967">
        <v>97837</v>
      </c>
    </row>
    <row r="1664" spans="2:3" x14ac:dyDescent="0.25">
      <c r="B1664" s="984" t="s">
        <v>2461</v>
      </c>
      <c r="C1664" s="967">
        <v>96061</v>
      </c>
    </row>
    <row r="1665" spans="2:3" x14ac:dyDescent="0.25">
      <c r="B1665" s="984" t="s">
        <v>2462</v>
      </c>
      <c r="C1665" s="967">
        <v>98481</v>
      </c>
    </row>
    <row r="1666" spans="2:3" x14ac:dyDescent="0.25">
      <c r="B1666" s="984" t="s">
        <v>2463</v>
      </c>
      <c r="C1666" s="967">
        <v>93602</v>
      </c>
    </row>
    <row r="1667" spans="2:3" x14ac:dyDescent="0.25">
      <c r="B1667" s="984" t="s">
        <v>1925</v>
      </c>
      <c r="C1667" s="967">
        <v>98401</v>
      </c>
    </row>
    <row r="1668" spans="2:3" x14ac:dyDescent="0.25">
      <c r="B1668" s="984" t="s">
        <v>2464</v>
      </c>
      <c r="C1668" s="967">
        <v>99821</v>
      </c>
    </row>
    <row r="1669" spans="2:3" x14ac:dyDescent="0.25">
      <c r="B1669" s="984" t="s">
        <v>2465</v>
      </c>
      <c r="C1669" s="967">
        <v>96211</v>
      </c>
    </row>
    <row r="1670" spans="2:3" x14ac:dyDescent="0.25">
      <c r="B1670" s="984" t="s">
        <v>2466</v>
      </c>
      <c r="C1670" s="967">
        <v>94911</v>
      </c>
    </row>
    <row r="1671" spans="2:3" x14ac:dyDescent="0.25">
      <c r="B1671" s="984" t="s">
        <v>3934</v>
      </c>
      <c r="C1671" s="967">
        <v>94917</v>
      </c>
    </row>
    <row r="1672" spans="2:3" x14ac:dyDescent="0.25">
      <c r="B1672" s="984" t="s">
        <v>2467</v>
      </c>
      <c r="C1672" s="967">
        <v>92621</v>
      </c>
    </row>
    <row r="1673" spans="2:3" x14ac:dyDescent="0.25">
      <c r="B1673" s="984" t="s">
        <v>1934</v>
      </c>
      <c r="C1673" s="967">
        <v>98501</v>
      </c>
    </row>
    <row r="1674" spans="2:3" x14ac:dyDescent="0.25">
      <c r="B1674" s="984" t="s">
        <v>2468</v>
      </c>
      <c r="C1674" s="967">
        <v>97931</v>
      </c>
    </row>
    <row r="1675" spans="2:3" x14ac:dyDescent="0.25">
      <c r="B1675" s="984" t="s">
        <v>2469</v>
      </c>
      <c r="C1675" s="967">
        <v>93914</v>
      </c>
    </row>
    <row r="1676" spans="2:3" x14ac:dyDescent="0.25">
      <c r="B1676" s="984" t="s">
        <v>2470</v>
      </c>
      <c r="C1676" s="967">
        <v>90651</v>
      </c>
    </row>
    <row r="1677" spans="2:3" x14ac:dyDescent="0.25">
      <c r="B1677" s="984" t="s">
        <v>2471</v>
      </c>
      <c r="C1677" s="967">
        <v>94171</v>
      </c>
    </row>
    <row r="1678" spans="2:3" x14ac:dyDescent="0.25">
      <c r="B1678" s="984" t="s">
        <v>1563</v>
      </c>
      <c r="C1678" s="967">
        <v>94172</v>
      </c>
    </row>
    <row r="1679" spans="2:3" x14ac:dyDescent="0.25">
      <c r="B1679" s="984" t="s">
        <v>2472</v>
      </c>
      <c r="C1679" s="967">
        <v>91041</v>
      </c>
    </row>
    <row r="1680" spans="2:3" x14ac:dyDescent="0.25">
      <c r="B1680" s="984" t="s">
        <v>3935</v>
      </c>
      <c r="C1680" s="967">
        <v>91047</v>
      </c>
    </row>
    <row r="1681" spans="2:3" x14ac:dyDescent="0.25">
      <c r="B1681" s="984" t="s">
        <v>1801</v>
      </c>
      <c r="C1681" s="967">
        <v>97131</v>
      </c>
    </row>
    <row r="1682" spans="2:3" x14ac:dyDescent="0.25">
      <c r="B1682" s="984" t="s">
        <v>1938</v>
      </c>
      <c r="C1682" s="967">
        <v>98601</v>
      </c>
    </row>
    <row r="1683" spans="2:3" x14ac:dyDescent="0.25">
      <c r="B1683" s="984" t="s">
        <v>1948</v>
      </c>
      <c r="C1683" s="967">
        <v>98701</v>
      </c>
    </row>
    <row r="1684" spans="2:3" x14ac:dyDescent="0.25">
      <c r="B1684" s="984" t="s">
        <v>2473</v>
      </c>
      <c r="C1684" s="967">
        <v>96721</v>
      </c>
    </row>
    <row r="1685" spans="2:3" x14ac:dyDescent="0.25">
      <c r="B1685" s="984" t="s">
        <v>2474</v>
      </c>
      <c r="C1685" s="967">
        <v>95011</v>
      </c>
    </row>
    <row r="1686" spans="2:3" x14ac:dyDescent="0.25">
      <c r="B1686" s="984" t="s">
        <v>2475</v>
      </c>
      <c r="C1686" s="967">
        <v>92451</v>
      </c>
    </row>
    <row r="1687" spans="2:3" x14ac:dyDescent="0.25">
      <c r="B1687" s="984" t="s">
        <v>2476</v>
      </c>
      <c r="C1687" s="967">
        <v>93311</v>
      </c>
    </row>
    <row r="1688" spans="2:3" x14ac:dyDescent="0.25">
      <c r="B1688" s="984" t="s">
        <v>1481</v>
      </c>
      <c r="C1688" s="967">
        <v>93317</v>
      </c>
    </row>
    <row r="1689" spans="2:3" x14ac:dyDescent="0.25">
      <c r="B1689" s="984" t="s">
        <v>2477</v>
      </c>
      <c r="C1689" s="967">
        <v>90211</v>
      </c>
    </row>
    <row r="1690" spans="2:3" x14ac:dyDescent="0.25">
      <c r="B1690" s="984" t="s">
        <v>2478</v>
      </c>
      <c r="C1690" s="967">
        <v>96302</v>
      </c>
    </row>
    <row r="1691" spans="2:3" x14ac:dyDescent="0.25">
      <c r="B1691" s="984" t="s">
        <v>2479</v>
      </c>
      <c r="C1691" s="967">
        <v>93181</v>
      </c>
    </row>
    <row r="1692" spans="2:3" x14ac:dyDescent="0.25">
      <c r="B1692" s="984" t="s">
        <v>2480</v>
      </c>
      <c r="C1692" s="967">
        <v>92911</v>
      </c>
    </row>
    <row r="1693" spans="2:3" x14ac:dyDescent="0.25">
      <c r="B1693" s="984" t="s">
        <v>3936</v>
      </c>
      <c r="C1693" s="967">
        <v>92914</v>
      </c>
    </row>
    <row r="1694" spans="2:3" x14ac:dyDescent="0.25">
      <c r="B1694" s="984" t="s">
        <v>1446</v>
      </c>
      <c r="C1694" s="967">
        <v>92913</v>
      </c>
    </row>
    <row r="1695" spans="2:3" x14ac:dyDescent="0.25">
      <c r="B1695" s="984" t="s">
        <v>2481</v>
      </c>
      <c r="C1695" s="967">
        <v>93471</v>
      </c>
    </row>
    <row r="1696" spans="2:3" x14ac:dyDescent="0.25">
      <c r="B1696" s="984" t="s">
        <v>3937</v>
      </c>
      <c r="C1696" s="967">
        <v>90098</v>
      </c>
    </row>
    <row r="1697" spans="2:3" x14ac:dyDescent="0.25">
      <c r="B1697" s="984" t="s">
        <v>2482</v>
      </c>
      <c r="C1697" s="967">
        <v>97121</v>
      </c>
    </row>
    <row r="1698" spans="2:3" x14ac:dyDescent="0.25">
      <c r="B1698" s="984" t="s">
        <v>1951</v>
      </c>
      <c r="C1698" s="967">
        <v>98801</v>
      </c>
    </row>
    <row r="1699" spans="2:3" x14ac:dyDescent="0.25">
      <c r="B1699" s="984" t="s">
        <v>2483</v>
      </c>
      <c r="C1699" s="967">
        <v>92521</v>
      </c>
    </row>
    <row r="1700" spans="2:3" x14ac:dyDescent="0.25">
      <c r="B1700" s="984" t="s">
        <v>3567</v>
      </c>
      <c r="C1700" s="967">
        <v>93417</v>
      </c>
    </row>
    <row r="1701" spans="2:3" x14ac:dyDescent="0.25">
      <c r="B1701" s="984" t="s">
        <v>1476</v>
      </c>
      <c r="C1701" s="967">
        <v>93219</v>
      </c>
    </row>
    <row r="1702" spans="2:3" x14ac:dyDescent="0.25">
      <c r="B1702" s="984" t="s">
        <v>3568</v>
      </c>
      <c r="C1702" s="967">
        <v>92513</v>
      </c>
    </row>
    <row r="1703" spans="2:3" x14ac:dyDescent="0.25">
      <c r="B1703" s="984" t="s">
        <v>2484</v>
      </c>
      <c r="C1703" s="967">
        <v>97661</v>
      </c>
    </row>
    <row r="1704" spans="2:3" x14ac:dyDescent="0.25">
      <c r="B1704" s="984" t="s">
        <v>2485</v>
      </c>
      <c r="C1704" s="967">
        <v>94931</v>
      </c>
    </row>
    <row r="1705" spans="2:3" x14ac:dyDescent="0.25">
      <c r="B1705" s="984" t="s">
        <v>2486</v>
      </c>
      <c r="C1705" s="967">
        <v>96221</v>
      </c>
    </row>
    <row r="1706" spans="2:3" x14ac:dyDescent="0.25">
      <c r="B1706" s="984" t="s">
        <v>2487</v>
      </c>
      <c r="C1706" s="967">
        <v>97511</v>
      </c>
    </row>
    <row r="1707" spans="2:3" x14ac:dyDescent="0.25">
      <c r="B1707" s="984" t="s">
        <v>3938</v>
      </c>
      <c r="C1707" s="967">
        <v>95002</v>
      </c>
    </row>
    <row r="1708" spans="2:3" x14ac:dyDescent="0.25">
      <c r="B1708" s="984" t="s">
        <v>2488</v>
      </c>
      <c r="C1708" s="967">
        <v>98251</v>
      </c>
    </row>
    <row r="1709" spans="2:3" x14ac:dyDescent="0.25">
      <c r="B1709" s="984" t="s">
        <v>3939</v>
      </c>
      <c r="C1709" s="967">
        <v>98904</v>
      </c>
    </row>
    <row r="1710" spans="2:3" x14ac:dyDescent="0.25">
      <c r="B1710" s="984" t="s">
        <v>1954</v>
      </c>
      <c r="C1710" s="967">
        <v>98901</v>
      </c>
    </row>
    <row r="1711" spans="2:3" x14ac:dyDescent="0.25">
      <c r="B1711" s="984" t="s">
        <v>1957</v>
      </c>
      <c r="C1711" s="967">
        <v>99001</v>
      </c>
    </row>
    <row r="1712" spans="2:3" x14ac:dyDescent="0.25">
      <c r="B1712" s="984" t="s">
        <v>2489</v>
      </c>
      <c r="C1712" s="967">
        <v>99061</v>
      </c>
    </row>
    <row r="1713" spans="2:3" x14ac:dyDescent="0.25">
      <c r="B1713" s="984" t="s">
        <v>3940</v>
      </c>
      <c r="C1713" s="967">
        <v>93309</v>
      </c>
    </row>
    <row r="1714" spans="2:3" x14ac:dyDescent="0.25">
      <c r="B1714" s="984" t="s">
        <v>2490</v>
      </c>
      <c r="C1714" s="967">
        <v>91211</v>
      </c>
    </row>
    <row r="1715" spans="2:3" x14ac:dyDescent="0.25">
      <c r="B1715" s="984" t="s">
        <v>1306</v>
      </c>
      <c r="C1715" s="967">
        <v>91213</v>
      </c>
    </row>
    <row r="1716" spans="2:3" x14ac:dyDescent="0.25">
      <c r="B1716" s="984" t="s">
        <v>1971</v>
      </c>
      <c r="C1716" s="967">
        <v>99101</v>
      </c>
    </row>
    <row r="1717" spans="2:3" x14ac:dyDescent="0.25">
      <c r="B1717" s="984" t="s">
        <v>3941</v>
      </c>
      <c r="C1717" s="967">
        <v>99104</v>
      </c>
    </row>
    <row r="1718" spans="2:3" x14ac:dyDescent="0.25">
      <c r="B1718" s="984" t="s">
        <v>2491</v>
      </c>
      <c r="C1718" s="967">
        <v>92551</v>
      </c>
    </row>
    <row r="1719" spans="2:3" x14ac:dyDescent="0.25">
      <c r="B1719" s="984" t="s">
        <v>2492</v>
      </c>
      <c r="C1719" s="967">
        <v>96321</v>
      </c>
    </row>
    <row r="1720" spans="2:3" x14ac:dyDescent="0.25">
      <c r="B1720" s="984" t="s">
        <v>3942</v>
      </c>
      <c r="C1720" s="967">
        <v>95009</v>
      </c>
    </row>
    <row r="1721" spans="2:3" x14ac:dyDescent="0.25">
      <c r="B1721" s="984" t="s">
        <v>2493</v>
      </c>
      <c r="C1721" s="967">
        <v>92641</v>
      </c>
    </row>
    <row r="1722" spans="2:3" x14ac:dyDescent="0.25">
      <c r="B1722" s="984" t="s">
        <v>2494</v>
      </c>
      <c r="C1722" s="967">
        <v>90411</v>
      </c>
    </row>
    <row r="1723" spans="2:3" x14ac:dyDescent="0.25">
      <c r="B1723" s="984" t="s">
        <v>3943</v>
      </c>
      <c r="C1723" s="967">
        <v>90417</v>
      </c>
    </row>
    <row r="1724" spans="2:3" x14ac:dyDescent="0.25">
      <c r="B1724" s="984" t="s">
        <v>1212</v>
      </c>
      <c r="C1724" s="967">
        <v>90413</v>
      </c>
    </row>
    <row r="1725" spans="2:3" x14ac:dyDescent="0.25">
      <c r="B1725" s="984" t="s">
        <v>2495</v>
      </c>
      <c r="C1725" s="967">
        <v>98321</v>
      </c>
    </row>
    <row r="1726" spans="2:3" x14ac:dyDescent="0.25">
      <c r="B1726" s="984" t="s">
        <v>1976</v>
      </c>
      <c r="C1726" s="967">
        <v>99201</v>
      </c>
    </row>
    <row r="1727" spans="2:3" x14ac:dyDescent="0.25">
      <c r="B1727" s="984" t="s">
        <v>3944</v>
      </c>
      <c r="C1727" s="967">
        <v>99204</v>
      </c>
    </row>
    <row r="1728" spans="2:3" x14ac:dyDescent="0.25">
      <c r="B1728" s="984" t="s">
        <v>1981</v>
      </c>
      <c r="C1728" s="967">
        <v>99207</v>
      </c>
    </row>
    <row r="1729" spans="2:3" x14ac:dyDescent="0.25">
      <c r="B1729" s="984" t="s">
        <v>2496</v>
      </c>
      <c r="C1729" s="967">
        <v>99281</v>
      </c>
    </row>
    <row r="1730" spans="2:3" x14ac:dyDescent="0.25">
      <c r="B1730" s="984" t="s">
        <v>2497</v>
      </c>
      <c r="C1730" s="967">
        <v>93461</v>
      </c>
    </row>
    <row r="1731" spans="2:3" x14ac:dyDescent="0.25">
      <c r="B1731" s="984" t="s">
        <v>2498</v>
      </c>
      <c r="C1731" s="967">
        <v>93151</v>
      </c>
    </row>
    <row r="1732" spans="2:3" x14ac:dyDescent="0.25">
      <c r="B1732" s="984" t="s">
        <v>3945</v>
      </c>
      <c r="C1732" s="967">
        <v>93157</v>
      </c>
    </row>
    <row r="1733" spans="2:3" x14ac:dyDescent="0.25">
      <c r="B1733" s="984" t="s">
        <v>2499</v>
      </c>
      <c r="C1733" s="967">
        <v>98511</v>
      </c>
    </row>
    <row r="1734" spans="2:3" x14ac:dyDescent="0.25">
      <c r="B1734" s="984" t="s">
        <v>3946</v>
      </c>
      <c r="C1734" s="967">
        <v>98517</v>
      </c>
    </row>
    <row r="1735" spans="2:3" x14ac:dyDescent="0.25">
      <c r="B1735" s="984" t="s">
        <v>2500</v>
      </c>
      <c r="C1735" s="967">
        <v>99661</v>
      </c>
    </row>
    <row r="1736" spans="2:3" x14ac:dyDescent="0.25">
      <c r="B1736" s="984" t="s">
        <v>2501</v>
      </c>
      <c r="C1736" s="967">
        <v>94031</v>
      </c>
    </row>
    <row r="1737" spans="2:3" x14ac:dyDescent="0.25">
      <c r="B1737" s="984" t="s">
        <v>1998</v>
      </c>
      <c r="C1737" s="967">
        <v>99301</v>
      </c>
    </row>
    <row r="1738" spans="2:3" x14ac:dyDescent="0.25">
      <c r="B1738" s="984" t="s">
        <v>3947</v>
      </c>
      <c r="C1738" s="967">
        <v>99304</v>
      </c>
    </row>
    <row r="1739" spans="2:3" x14ac:dyDescent="0.25">
      <c r="B1739" s="984" t="s">
        <v>2502</v>
      </c>
      <c r="C1739" s="967">
        <v>99321</v>
      </c>
    </row>
    <row r="1740" spans="2:3" x14ac:dyDescent="0.25">
      <c r="B1740" s="984" t="s">
        <v>2503</v>
      </c>
      <c r="C1740" s="967">
        <v>93131</v>
      </c>
    </row>
    <row r="1741" spans="2:3" x14ac:dyDescent="0.25">
      <c r="B1741" s="984" t="s">
        <v>3948</v>
      </c>
      <c r="C1741" s="967">
        <v>93137</v>
      </c>
    </row>
    <row r="1742" spans="2:3" x14ac:dyDescent="0.25">
      <c r="B1742" s="984" t="s">
        <v>2504</v>
      </c>
      <c r="C1742" s="967">
        <v>90711</v>
      </c>
    </row>
    <row r="1743" spans="2:3" x14ac:dyDescent="0.25">
      <c r="B1743" s="984" t="s">
        <v>2002</v>
      </c>
      <c r="C1743" s="967">
        <v>99401</v>
      </c>
    </row>
    <row r="1744" spans="2:3" x14ac:dyDescent="0.25">
      <c r="B1744" s="984" t="s">
        <v>3949</v>
      </c>
      <c r="C1744" s="967">
        <v>99404</v>
      </c>
    </row>
    <row r="1745" spans="2:3" x14ac:dyDescent="0.25">
      <c r="B1745" s="984" t="s">
        <v>2505</v>
      </c>
      <c r="C1745" s="967">
        <v>90741</v>
      </c>
    </row>
    <row r="1746" spans="2:3" x14ac:dyDescent="0.25">
      <c r="B1746" s="984" t="s">
        <v>2009</v>
      </c>
      <c r="C1746" s="967">
        <v>99501</v>
      </c>
    </row>
    <row r="1747" spans="2:3" x14ac:dyDescent="0.25">
      <c r="B1747" s="984" t="s">
        <v>3950</v>
      </c>
      <c r="C1747" s="967">
        <v>99509</v>
      </c>
    </row>
    <row r="1748" spans="2:3" x14ac:dyDescent="0.25">
      <c r="B1748" s="984" t="s">
        <v>3951</v>
      </c>
      <c r="C1748" s="974">
        <v>91302</v>
      </c>
    </row>
    <row r="1749" spans="2:3" x14ac:dyDescent="0.25">
      <c r="B1749" s="984" t="s">
        <v>2506</v>
      </c>
      <c r="C1749" s="967">
        <v>99041</v>
      </c>
    </row>
    <row r="1750" spans="2:3" x14ac:dyDescent="0.25">
      <c r="B1750" s="984" t="s">
        <v>3952</v>
      </c>
      <c r="C1750" s="967">
        <v>99047</v>
      </c>
    </row>
    <row r="1751" spans="2:3" x14ac:dyDescent="0.25">
      <c r="B1751" s="984" t="s">
        <v>2017</v>
      </c>
      <c r="C1751" s="967">
        <v>99601</v>
      </c>
    </row>
    <row r="1752" spans="2:3" x14ac:dyDescent="0.25">
      <c r="B1752" s="984" t="s">
        <v>3953</v>
      </c>
      <c r="C1752" s="967">
        <v>99604</v>
      </c>
    </row>
    <row r="1753" spans="2:3" x14ac:dyDescent="0.25">
      <c r="B1753" s="984" t="s">
        <v>2507</v>
      </c>
      <c r="C1753" s="967">
        <v>94411</v>
      </c>
    </row>
    <row r="1754" spans="2:3" x14ac:dyDescent="0.25">
      <c r="B1754" s="984" t="s">
        <v>3954</v>
      </c>
      <c r="C1754" s="967">
        <v>94412</v>
      </c>
    </row>
    <row r="1755" spans="2:3" x14ac:dyDescent="0.25">
      <c r="B1755" s="984" t="s">
        <v>2508</v>
      </c>
      <c r="C1755" s="967">
        <v>91141</v>
      </c>
    </row>
    <row r="1756" spans="2:3" x14ac:dyDescent="0.25">
      <c r="B1756" s="984" t="s">
        <v>3955</v>
      </c>
      <c r="C1756" s="967">
        <v>91147</v>
      </c>
    </row>
    <row r="1757" spans="2:3" x14ac:dyDescent="0.25">
      <c r="B1757" s="984" t="s">
        <v>2509</v>
      </c>
      <c r="C1757" s="967">
        <v>99071</v>
      </c>
    </row>
    <row r="1758" spans="2:3" x14ac:dyDescent="0.25">
      <c r="B1758" s="984" t="s">
        <v>2510</v>
      </c>
      <c r="C1758" s="967">
        <v>94231</v>
      </c>
    </row>
    <row r="1759" spans="2:3" x14ac:dyDescent="0.25">
      <c r="B1759" s="984" t="s">
        <v>2511</v>
      </c>
      <c r="C1759" s="967">
        <v>99231</v>
      </c>
    </row>
    <row r="1760" spans="2:3" x14ac:dyDescent="0.25">
      <c r="B1760" s="984" t="s">
        <v>2512</v>
      </c>
      <c r="C1760" s="967">
        <v>99091</v>
      </c>
    </row>
    <row r="1761" spans="2:3" x14ac:dyDescent="0.25">
      <c r="B1761" s="984" t="s">
        <v>3956</v>
      </c>
      <c r="C1761" s="967">
        <v>91120</v>
      </c>
    </row>
    <row r="1762" spans="2:3" x14ac:dyDescent="0.25">
      <c r="B1762" s="984" t="s">
        <v>3570</v>
      </c>
      <c r="C1762" s="967">
        <v>92444</v>
      </c>
    </row>
    <row r="1763" spans="2:3" x14ac:dyDescent="0.25">
      <c r="B1763" s="984" t="s">
        <v>2513</v>
      </c>
      <c r="C1763" s="967">
        <v>90521</v>
      </c>
    </row>
    <row r="1764" spans="2:3" x14ac:dyDescent="0.25">
      <c r="B1764" s="984" t="s">
        <v>3957</v>
      </c>
      <c r="C1764" s="967">
        <v>90507</v>
      </c>
    </row>
    <row r="1765" spans="2:3" x14ac:dyDescent="0.25">
      <c r="B1765" s="984" t="s">
        <v>3958</v>
      </c>
      <c r="C1765" s="967">
        <v>92602</v>
      </c>
    </row>
    <row r="1766" spans="2:3" x14ac:dyDescent="0.25">
      <c r="B1766" s="984" t="s">
        <v>3959</v>
      </c>
      <c r="C1766" s="967">
        <v>91608</v>
      </c>
    </row>
    <row r="1767" spans="2:3" x14ac:dyDescent="0.25">
      <c r="B1767" s="984" t="s">
        <v>2514</v>
      </c>
      <c r="C1767" s="967">
        <v>91119</v>
      </c>
    </row>
    <row r="1768" spans="2:3" x14ac:dyDescent="0.25">
      <c r="B1768" s="984" t="s">
        <v>3960</v>
      </c>
      <c r="C1768" s="967">
        <v>91107</v>
      </c>
    </row>
    <row r="1769" spans="2:3" x14ac:dyDescent="0.25">
      <c r="B1769" s="984" t="s">
        <v>3961</v>
      </c>
      <c r="C1769" s="967">
        <v>91818</v>
      </c>
    </row>
    <row r="1770" spans="2:3" x14ac:dyDescent="0.25">
      <c r="B1770" s="984" t="s">
        <v>1359</v>
      </c>
      <c r="C1770" s="967">
        <v>91819</v>
      </c>
    </row>
    <row r="1771" spans="2:3" x14ac:dyDescent="0.25">
      <c r="B1771" s="984" t="s">
        <v>2515</v>
      </c>
      <c r="C1771" s="967">
        <v>96371</v>
      </c>
    </row>
    <row r="1772" spans="2:3" x14ac:dyDescent="0.25">
      <c r="B1772" s="984" t="s">
        <v>2516</v>
      </c>
      <c r="C1772" s="967">
        <v>96441</v>
      </c>
    </row>
    <row r="1773" spans="2:3" x14ac:dyDescent="0.25">
      <c r="B1773" s="984" t="s">
        <v>2517</v>
      </c>
      <c r="C1773" s="967">
        <v>90921</v>
      </c>
    </row>
    <row r="1774" spans="2:3" x14ac:dyDescent="0.25">
      <c r="B1774" s="984" t="s">
        <v>2518</v>
      </c>
      <c r="C1774" s="967">
        <v>92411</v>
      </c>
    </row>
    <row r="1775" spans="2:3" x14ac:dyDescent="0.25">
      <c r="B1775" s="984" t="s">
        <v>3962</v>
      </c>
      <c r="C1775" s="967">
        <v>92417</v>
      </c>
    </row>
    <row r="1776" spans="2:3" x14ac:dyDescent="0.25">
      <c r="B1776" s="984" t="s">
        <v>1395</v>
      </c>
      <c r="C1776" s="967">
        <v>92403</v>
      </c>
    </row>
    <row r="1777" spans="2:3" x14ac:dyDescent="0.25">
      <c r="B1777" s="984" t="s">
        <v>2029</v>
      </c>
      <c r="C1777" s="967">
        <v>99701</v>
      </c>
    </row>
    <row r="1778" spans="2:3" x14ac:dyDescent="0.25">
      <c r="B1778" s="984" t="s">
        <v>2519</v>
      </c>
      <c r="C1778" s="967">
        <v>99721</v>
      </c>
    </row>
    <row r="1779" spans="2:3" x14ac:dyDescent="0.25">
      <c r="B1779" s="984" t="s">
        <v>3963</v>
      </c>
      <c r="C1779" s="967">
        <v>99727</v>
      </c>
    </row>
    <row r="1780" spans="2:3" x14ac:dyDescent="0.25">
      <c r="B1780" s="984" t="s">
        <v>2520</v>
      </c>
      <c r="C1780" s="967">
        <v>95811</v>
      </c>
    </row>
    <row r="1781" spans="2:3" x14ac:dyDescent="0.25">
      <c r="B1781" s="984" t="s">
        <v>1684</v>
      </c>
      <c r="C1781" s="967">
        <v>95813</v>
      </c>
    </row>
    <row r="1782" spans="2:3" x14ac:dyDescent="0.25">
      <c r="B1782" s="984" t="s">
        <v>2521</v>
      </c>
      <c r="C1782" s="967">
        <v>96531</v>
      </c>
    </row>
    <row r="1783" spans="2:3" x14ac:dyDescent="0.25">
      <c r="B1783" s="984" t="s">
        <v>1746</v>
      </c>
      <c r="C1783" s="967">
        <v>96503</v>
      </c>
    </row>
    <row r="1784" spans="2:3" x14ac:dyDescent="0.25">
      <c r="B1784" s="984" t="s">
        <v>2522</v>
      </c>
      <c r="C1784" s="967">
        <v>99811</v>
      </c>
    </row>
    <row r="1785" spans="2:3" x14ac:dyDescent="0.25">
      <c r="B1785" s="984" t="s">
        <v>3964</v>
      </c>
      <c r="C1785" s="967">
        <v>99818</v>
      </c>
    </row>
    <row r="1786" spans="2:3" x14ac:dyDescent="0.25">
      <c r="B1786" s="984" t="s">
        <v>2035</v>
      </c>
      <c r="C1786" s="967">
        <v>99801</v>
      </c>
    </row>
    <row r="1787" spans="2:3" x14ac:dyDescent="0.25">
      <c r="B1787" s="984" t="s">
        <v>3965</v>
      </c>
      <c r="C1787" s="967">
        <v>99804</v>
      </c>
    </row>
    <row r="1788" spans="2:3" x14ac:dyDescent="0.25">
      <c r="B1788" s="984" t="s">
        <v>3966</v>
      </c>
      <c r="C1788" s="967">
        <v>99802</v>
      </c>
    </row>
    <row r="1789" spans="2:3" x14ac:dyDescent="0.25">
      <c r="B1789" s="984" t="s">
        <v>3967</v>
      </c>
      <c r="C1789" s="967">
        <v>99812</v>
      </c>
    </row>
    <row r="1790" spans="2:3" x14ac:dyDescent="0.25">
      <c r="B1790" s="984" t="s">
        <v>3968</v>
      </c>
      <c r="C1790" s="967">
        <v>95191</v>
      </c>
    </row>
    <row r="1791" spans="2:3" x14ac:dyDescent="0.25">
      <c r="B1791" s="984" t="s">
        <v>2523</v>
      </c>
      <c r="C1791" s="967">
        <v>90812</v>
      </c>
    </row>
    <row r="1792" spans="2:3" x14ac:dyDescent="0.25">
      <c r="B1792" s="984" t="s">
        <v>2524</v>
      </c>
      <c r="C1792" s="967">
        <v>97221</v>
      </c>
    </row>
    <row r="1793" spans="2:3" x14ac:dyDescent="0.25">
      <c r="B1793" s="984" t="s">
        <v>2525</v>
      </c>
      <c r="C1793" s="967">
        <v>99031</v>
      </c>
    </row>
    <row r="1794" spans="2:3" x14ac:dyDescent="0.25">
      <c r="B1794" s="984" t="s">
        <v>2526</v>
      </c>
      <c r="C1794" s="967">
        <v>93411</v>
      </c>
    </row>
    <row r="1795" spans="2:3" x14ac:dyDescent="0.25">
      <c r="B1795" s="984" t="s">
        <v>1492</v>
      </c>
      <c r="C1795" s="967">
        <v>93413</v>
      </c>
    </row>
    <row r="1796" spans="2:3" x14ac:dyDescent="0.25">
      <c r="B1796" s="984" t="s">
        <v>2527</v>
      </c>
      <c r="C1796" s="967">
        <v>97451</v>
      </c>
    </row>
    <row r="1797" spans="2:3" x14ac:dyDescent="0.25">
      <c r="B1797" s="984" t="s">
        <v>2528</v>
      </c>
      <c r="C1797" s="967">
        <v>94631</v>
      </c>
    </row>
    <row r="1798" spans="2:3" x14ac:dyDescent="0.25">
      <c r="B1798" s="984" t="s">
        <v>2529</v>
      </c>
      <c r="C1798" s="967">
        <v>91171</v>
      </c>
    </row>
    <row r="1799" spans="2:3" x14ac:dyDescent="0.25">
      <c r="B1799" s="984" t="s">
        <v>1284</v>
      </c>
      <c r="C1799" s="967">
        <v>91104</v>
      </c>
    </row>
    <row r="1800" spans="2:3" x14ac:dyDescent="0.25">
      <c r="B1800" s="984" t="s">
        <v>3969</v>
      </c>
      <c r="C1800" s="967">
        <v>91109</v>
      </c>
    </row>
    <row r="1801" spans="2:3" x14ac:dyDescent="0.25">
      <c r="B1801" s="984" t="s">
        <v>2530</v>
      </c>
      <c r="C1801" s="967">
        <v>96621</v>
      </c>
    </row>
    <row r="1802" spans="2:3" x14ac:dyDescent="0.25">
      <c r="B1802" s="984" t="s">
        <v>2531</v>
      </c>
      <c r="C1802" s="967">
        <v>96511</v>
      </c>
    </row>
    <row r="1803" spans="2:3" x14ac:dyDescent="0.25">
      <c r="B1803" s="984" t="s">
        <v>2045</v>
      </c>
      <c r="C1803" s="967">
        <v>99901</v>
      </c>
    </row>
    <row r="1804" spans="2:3" x14ac:dyDescent="0.25">
      <c r="B1804" s="984" t="s">
        <v>3571</v>
      </c>
      <c r="C1804" s="967">
        <v>98604</v>
      </c>
    </row>
    <row r="1805" spans="2:3" x14ac:dyDescent="0.25">
      <c r="B1805" s="984" t="s">
        <v>1940</v>
      </c>
      <c r="C1805" s="967">
        <v>98608</v>
      </c>
    </row>
    <row r="1806" spans="2:3" x14ac:dyDescent="0.25">
      <c r="B1806" s="984" t="s">
        <v>2532</v>
      </c>
      <c r="C1806" s="967">
        <v>99911</v>
      </c>
    </row>
    <row r="1807" spans="2:3" x14ac:dyDescent="0.25">
      <c r="B1807" s="984" t="s">
        <v>1188</v>
      </c>
      <c r="C1807" s="967">
        <v>90001</v>
      </c>
    </row>
    <row r="1808" spans="2:3" x14ac:dyDescent="0.25">
      <c r="B1808" s="984" t="s">
        <v>3970</v>
      </c>
      <c r="C1808" s="967">
        <v>90002</v>
      </c>
    </row>
    <row r="1809" spans="2:3" x14ac:dyDescent="0.25">
      <c r="B1809" s="984" t="s">
        <v>2533</v>
      </c>
      <c r="C1809" s="967">
        <v>91719</v>
      </c>
    </row>
    <row r="1810" spans="2:3" x14ac:dyDescent="0.25">
      <c r="B1810" s="984" t="s">
        <v>2534</v>
      </c>
      <c r="C1810" s="967">
        <v>93541</v>
      </c>
    </row>
    <row r="1811" spans="2:3" x14ac:dyDescent="0.25">
      <c r="B1811" s="984" t="s">
        <v>2535</v>
      </c>
      <c r="C1811" s="967">
        <v>99241</v>
      </c>
    </row>
  </sheetData>
  <pageMargins left="0.7" right="0.7" top="0.75" bottom="0.75" header="0.3" footer="0.3"/>
  <pageSetup paperSize="5" scale="40"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U1813"/>
  <sheetViews>
    <sheetView topLeftCell="A896" zoomScale="90" zoomScaleNormal="90" workbookViewId="0">
      <selection activeCell="A6" sqref="A6"/>
    </sheetView>
  </sheetViews>
  <sheetFormatPr defaultColWidth="9.140625" defaultRowHeight="15" x14ac:dyDescent="0.25"/>
  <cols>
    <col min="1" max="1" width="10.5703125" style="959" customWidth="1"/>
    <col min="2" max="2" width="43.7109375" style="959" customWidth="1"/>
    <col min="3" max="4" width="13.85546875" style="959" customWidth="1"/>
    <col min="5" max="5" width="13.85546875" style="1007" customWidth="1"/>
    <col min="6" max="6" width="15.42578125" style="985" bestFit="1" customWidth="1"/>
    <col min="7" max="7" width="18.28515625" style="959" customWidth="1"/>
    <col min="8" max="8" width="3.85546875" style="959" customWidth="1"/>
    <col min="9" max="9" width="18.28515625" style="959" customWidth="1"/>
    <col min="10" max="10" width="20" style="960" customWidth="1"/>
    <col min="11" max="11" width="14.42578125" style="959" customWidth="1"/>
    <col min="12" max="12" width="19.42578125" style="959" customWidth="1"/>
    <col min="13" max="13" width="3.85546875" style="959" customWidth="1"/>
    <col min="14" max="15" width="18.28515625" style="959" customWidth="1"/>
    <col min="16" max="16" width="11.85546875" style="959" customWidth="1"/>
    <col min="17" max="17" width="19.42578125" style="959" customWidth="1"/>
    <col min="18" max="18" width="3.85546875" style="959" customWidth="1"/>
    <col min="19" max="19" width="13.85546875" style="959" customWidth="1"/>
    <col min="20" max="20" width="22.42578125" style="959" customWidth="1"/>
    <col min="21" max="21" width="14.85546875" style="959" bestFit="1" customWidth="1"/>
    <col min="22" max="16384" width="9.140625" style="959"/>
  </cols>
  <sheetData>
    <row r="1" spans="1:21" x14ac:dyDescent="0.25">
      <c r="A1" s="959" t="s">
        <v>3677</v>
      </c>
      <c r="J1" s="959"/>
    </row>
    <row r="2" spans="1:21" x14ac:dyDescent="0.25">
      <c r="A2" s="959" t="s">
        <v>3678</v>
      </c>
      <c r="J2" s="959"/>
    </row>
    <row r="3" spans="1:21" x14ac:dyDescent="0.25">
      <c r="C3" s="1006">
        <v>3</v>
      </c>
      <c r="D3" s="1006">
        <v>4</v>
      </c>
      <c r="E3" s="1006">
        <v>5</v>
      </c>
      <c r="F3" s="1006">
        <v>6</v>
      </c>
      <c r="G3" s="1006">
        <v>7</v>
      </c>
      <c r="H3" s="1006">
        <v>8</v>
      </c>
      <c r="I3" s="1006">
        <v>9</v>
      </c>
      <c r="J3" s="1006">
        <v>10</v>
      </c>
      <c r="K3" s="1006">
        <v>11</v>
      </c>
      <c r="L3" s="1006">
        <v>12</v>
      </c>
      <c r="M3" s="1006">
        <v>13</v>
      </c>
      <c r="N3" s="1006">
        <v>14</v>
      </c>
      <c r="O3" s="1006">
        <v>15</v>
      </c>
      <c r="P3" s="1006">
        <v>16</v>
      </c>
      <c r="Q3" s="1006">
        <v>17</v>
      </c>
      <c r="R3" s="1006">
        <v>18</v>
      </c>
      <c r="S3" s="1006">
        <v>19</v>
      </c>
      <c r="T3" s="1006">
        <v>20</v>
      </c>
      <c r="U3" s="1006">
        <v>21</v>
      </c>
    </row>
    <row r="4" spans="1:21" x14ac:dyDescent="0.25">
      <c r="I4" s="961" t="s">
        <v>1171</v>
      </c>
      <c r="J4" s="961"/>
      <c r="K4" s="961"/>
      <c r="L4" s="961"/>
      <c r="N4" s="961" t="s">
        <v>1172</v>
      </c>
      <c r="O4" s="961"/>
      <c r="P4" s="961"/>
      <c r="Q4" s="961"/>
      <c r="S4" s="961" t="s">
        <v>1173</v>
      </c>
      <c r="T4" s="961"/>
      <c r="U4" s="961"/>
    </row>
    <row r="5" spans="1:21" ht="120" x14ac:dyDescent="0.25">
      <c r="A5" s="963" t="s">
        <v>1174</v>
      </c>
      <c r="B5" s="963" t="s">
        <v>1175</v>
      </c>
      <c r="C5" s="963" t="s">
        <v>2113</v>
      </c>
      <c r="D5" s="963" t="s">
        <v>2114</v>
      </c>
      <c r="E5" s="1008" t="s">
        <v>3971</v>
      </c>
      <c r="F5" s="798" t="s">
        <v>2652</v>
      </c>
      <c r="G5" s="798" t="s">
        <v>1176</v>
      </c>
      <c r="H5" s="963"/>
      <c r="I5" s="963" t="s">
        <v>1177</v>
      </c>
      <c r="J5" s="964" t="s">
        <v>1178</v>
      </c>
      <c r="K5" s="963" t="s">
        <v>1179</v>
      </c>
      <c r="L5" s="963" t="s">
        <v>1180</v>
      </c>
      <c r="M5" s="963"/>
      <c r="N5" s="963" t="s">
        <v>1177</v>
      </c>
      <c r="O5" s="678" t="s">
        <v>1178</v>
      </c>
      <c r="P5" s="963" t="s">
        <v>1179</v>
      </c>
      <c r="Q5" s="963" t="s">
        <v>1180</v>
      </c>
      <c r="R5" s="963"/>
      <c r="S5" s="963" t="s">
        <v>1181</v>
      </c>
      <c r="T5" s="963" t="s">
        <v>1182</v>
      </c>
      <c r="U5" s="963" t="s">
        <v>1183</v>
      </c>
    </row>
    <row r="6" spans="1:21" x14ac:dyDescent="0.25">
      <c r="A6" s="965" t="s">
        <v>837</v>
      </c>
      <c r="B6" s="966" t="s">
        <v>2112</v>
      </c>
      <c r="C6" s="963"/>
      <c r="D6" s="963"/>
      <c r="E6" s="1008">
        <v>0</v>
      </c>
      <c r="F6" s="986"/>
      <c r="G6" s="963"/>
      <c r="H6" s="963"/>
      <c r="I6" s="963"/>
      <c r="J6" s="964"/>
      <c r="K6" s="963"/>
      <c r="L6" s="963"/>
      <c r="M6" s="963"/>
      <c r="N6" s="963"/>
      <c r="O6" s="963"/>
      <c r="P6" s="963"/>
      <c r="Q6" s="963"/>
      <c r="R6" s="963"/>
      <c r="S6" s="963"/>
      <c r="T6" s="963"/>
      <c r="U6" s="963"/>
    </row>
    <row r="7" spans="1:21" x14ac:dyDescent="0.25">
      <c r="A7" s="967">
        <v>70505</v>
      </c>
      <c r="B7" s="968" t="s">
        <v>2653</v>
      </c>
      <c r="C7" s="969">
        <v>4.147E-4</v>
      </c>
      <c r="D7" s="969">
        <v>4.6880000000000001E-4</v>
      </c>
      <c r="E7" s="1008">
        <v>195765</v>
      </c>
      <c r="F7" s="1011">
        <v>994951</v>
      </c>
      <c r="G7" s="970">
        <v>633547</v>
      </c>
      <c r="H7" s="970"/>
      <c r="I7" s="971">
        <v>36498</v>
      </c>
      <c r="J7" s="972">
        <v>153826</v>
      </c>
      <c r="K7" s="971">
        <v>90479</v>
      </c>
      <c r="L7" s="970">
        <v>0</v>
      </c>
      <c r="M7" s="970"/>
      <c r="N7" s="971">
        <v>17934</v>
      </c>
      <c r="O7" s="971">
        <v>0</v>
      </c>
      <c r="P7" s="971">
        <v>0</v>
      </c>
      <c r="Q7" s="970">
        <v>53472</v>
      </c>
      <c r="R7" s="970"/>
      <c r="S7" s="971">
        <v>213506</v>
      </c>
      <c r="T7" s="973">
        <v>-18259</v>
      </c>
      <c r="U7" s="973">
        <v>195247</v>
      </c>
    </row>
    <row r="8" spans="1:21" x14ac:dyDescent="0.25">
      <c r="A8" s="967">
        <v>72265</v>
      </c>
      <c r="B8" s="968" t="s">
        <v>2655</v>
      </c>
      <c r="C8" s="969">
        <v>1.4009999999999999E-4</v>
      </c>
      <c r="D8" s="969">
        <v>1.327E-4</v>
      </c>
      <c r="E8" s="1008">
        <v>61817</v>
      </c>
      <c r="F8" s="1011">
        <v>281634</v>
      </c>
      <c r="G8" s="970">
        <v>214034</v>
      </c>
      <c r="H8" s="970"/>
      <c r="I8" s="971">
        <v>12330</v>
      </c>
      <c r="J8" s="972">
        <v>51967</v>
      </c>
      <c r="K8" s="971">
        <v>30567</v>
      </c>
      <c r="L8" s="970">
        <v>6550</v>
      </c>
      <c r="M8" s="970"/>
      <c r="N8" s="971">
        <v>6059</v>
      </c>
      <c r="O8" s="971">
        <v>0</v>
      </c>
      <c r="P8" s="971">
        <v>0</v>
      </c>
      <c r="Q8" s="970">
        <v>3729</v>
      </c>
      <c r="R8" s="970"/>
      <c r="S8" s="971">
        <v>72130</v>
      </c>
      <c r="T8" s="973">
        <v>3031</v>
      </c>
      <c r="U8" s="973">
        <v>75161</v>
      </c>
    </row>
    <row r="9" spans="1:21" x14ac:dyDescent="0.25">
      <c r="A9" s="967">
        <v>72593</v>
      </c>
      <c r="B9" s="968" t="s">
        <v>3681</v>
      </c>
      <c r="C9" s="969">
        <v>5.9000000000000003E-6</v>
      </c>
      <c r="D9" s="969">
        <v>0</v>
      </c>
      <c r="E9" s="1008">
        <v>1531</v>
      </c>
      <c r="F9" s="1011">
        <v>0</v>
      </c>
      <c r="G9" s="970">
        <v>9014</v>
      </c>
      <c r="H9" s="970"/>
      <c r="I9" s="971">
        <v>519</v>
      </c>
      <c r="J9" s="972">
        <v>2188</v>
      </c>
      <c r="K9" s="971">
        <v>1287</v>
      </c>
      <c r="L9" s="970">
        <v>3014</v>
      </c>
      <c r="M9" s="970"/>
      <c r="N9" s="971">
        <v>255</v>
      </c>
      <c r="O9" s="971">
        <v>0</v>
      </c>
      <c r="P9" s="971">
        <v>0</v>
      </c>
      <c r="Q9" s="970">
        <v>0</v>
      </c>
      <c r="R9" s="970"/>
      <c r="S9" s="971">
        <v>3038</v>
      </c>
      <c r="T9" s="973">
        <v>753</v>
      </c>
      <c r="U9" s="973">
        <v>3791</v>
      </c>
    </row>
    <row r="10" spans="1:21" x14ac:dyDescent="0.25">
      <c r="A10" s="967">
        <v>72657</v>
      </c>
      <c r="B10" s="968" t="s">
        <v>2656</v>
      </c>
      <c r="C10" s="969">
        <v>3.9900000000000001E-5</v>
      </c>
      <c r="D10" s="969">
        <v>4.2799999999999997E-5</v>
      </c>
      <c r="E10" s="1008">
        <v>16620</v>
      </c>
      <c r="F10" s="1011">
        <v>90836</v>
      </c>
      <c r="G10" s="970">
        <v>60956</v>
      </c>
      <c r="H10" s="970"/>
      <c r="I10" s="971">
        <v>3512</v>
      </c>
      <c r="J10" s="972">
        <v>14801</v>
      </c>
      <c r="K10" s="971">
        <v>8705</v>
      </c>
      <c r="L10" s="970">
        <v>3272</v>
      </c>
      <c r="M10" s="970"/>
      <c r="N10" s="971">
        <v>1725</v>
      </c>
      <c r="O10" s="971">
        <v>0</v>
      </c>
      <c r="P10" s="971">
        <v>0</v>
      </c>
      <c r="Q10" s="970">
        <v>6366</v>
      </c>
      <c r="R10" s="970"/>
      <c r="S10" s="971">
        <v>20542</v>
      </c>
      <c r="T10" s="973">
        <v>900</v>
      </c>
      <c r="U10" s="973">
        <v>21442</v>
      </c>
    </row>
    <row r="11" spans="1:21" x14ac:dyDescent="0.25">
      <c r="A11" s="967">
        <v>90001</v>
      </c>
      <c r="B11" s="968" t="s">
        <v>2657</v>
      </c>
      <c r="C11" s="969">
        <v>8.6030000000000004E-4</v>
      </c>
      <c r="D11" s="969">
        <v>8.6910000000000004E-4</v>
      </c>
      <c r="E11" s="1008">
        <v>386652</v>
      </c>
      <c r="F11" s="1011">
        <v>1844521</v>
      </c>
      <c r="G11" s="970">
        <v>1314300</v>
      </c>
      <c r="H11" s="970"/>
      <c r="I11" s="971">
        <v>75716</v>
      </c>
      <c r="J11" s="972">
        <v>319114</v>
      </c>
      <c r="K11" s="971">
        <v>187700</v>
      </c>
      <c r="L11" s="970">
        <v>11972</v>
      </c>
      <c r="M11" s="970"/>
      <c r="N11" s="971">
        <v>37204</v>
      </c>
      <c r="O11" s="971">
        <v>0</v>
      </c>
      <c r="P11" s="971">
        <v>0</v>
      </c>
      <c r="Q11" s="970">
        <v>15474</v>
      </c>
      <c r="R11" s="970"/>
      <c r="S11" s="971">
        <v>442920</v>
      </c>
      <c r="T11" s="973">
        <v>891</v>
      </c>
      <c r="U11" s="973">
        <f>443812-1</f>
        <v>443811</v>
      </c>
    </row>
    <row r="12" spans="1:21" x14ac:dyDescent="0.25">
      <c r="A12" s="967">
        <v>90002</v>
      </c>
      <c r="B12" s="968" t="s">
        <v>2658</v>
      </c>
      <c r="C12" s="969">
        <v>1.06E-5</v>
      </c>
      <c r="D12" s="969">
        <v>1.15E-5</v>
      </c>
      <c r="E12" s="1008">
        <v>6253</v>
      </c>
      <c r="F12" s="1011">
        <v>24407</v>
      </c>
      <c r="G12" s="970">
        <v>16194</v>
      </c>
      <c r="H12" s="970"/>
      <c r="I12" s="971">
        <v>933</v>
      </c>
      <c r="J12" s="972">
        <v>3932</v>
      </c>
      <c r="K12" s="971">
        <v>2313</v>
      </c>
      <c r="L12" s="970">
        <v>1497</v>
      </c>
      <c r="M12" s="970"/>
      <c r="N12" s="971">
        <v>458</v>
      </c>
      <c r="O12" s="971">
        <v>0</v>
      </c>
      <c r="P12" s="971">
        <v>0</v>
      </c>
      <c r="Q12" s="970">
        <v>0</v>
      </c>
      <c r="R12" s="970"/>
      <c r="S12" s="971">
        <v>5457</v>
      </c>
      <c r="T12" s="973">
        <v>563</v>
      </c>
      <c r="U12" s="973">
        <v>6020</v>
      </c>
    </row>
    <row r="13" spans="1:21" x14ac:dyDescent="0.25">
      <c r="A13" s="967">
        <v>90011</v>
      </c>
      <c r="B13" s="968" t="s">
        <v>2659</v>
      </c>
      <c r="C13" s="969">
        <v>1.974E-4</v>
      </c>
      <c r="D13" s="969">
        <v>2.0819999999999999E-4</v>
      </c>
      <c r="E13" s="1008">
        <v>84205</v>
      </c>
      <c r="F13" s="1011">
        <v>441870</v>
      </c>
      <c r="G13" s="970">
        <v>301573</v>
      </c>
      <c r="H13" s="970"/>
      <c r="I13" s="971">
        <v>17373</v>
      </c>
      <c r="J13" s="972">
        <v>73222</v>
      </c>
      <c r="K13" s="971">
        <v>43069</v>
      </c>
      <c r="L13" s="970">
        <v>2300</v>
      </c>
      <c r="M13" s="970"/>
      <c r="N13" s="971">
        <v>8537</v>
      </c>
      <c r="O13" s="971">
        <v>0</v>
      </c>
      <c r="P13" s="971">
        <v>0</v>
      </c>
      <c r="Q13" s="970">
        <v>30094</v>
      </c>
      <c r="R13" s="970"/>
      <c r="S13" s="971">
        <v>101630</v>
      </c>
      <c r="T13" s="973">
        <v>-7615</v>
      </c>
      <c r="U13" s="973">
        <v>94015</v>
      </c>
    </row>
    <row r="14" spans="1:21" x14ac:dyDescent="0.25">
      <c r="A14" s="967">
        <v>90092</v>
      </c>
      <c r="B14" s="968" t="s">
        <v>2660</v>
      </c>
      <c r="C14" s="969">
        <v>3.5349999999999997E-4</v>
      </c>
      <c r="D14" s="969">
        <v>3.946E-4</v>
      </c>
      <c r="E14" s="1008">
        <v>186641</v>
      </c>
      <c r="F14" s="1011">
        <v>837473</v>
      </c>
      <c r="G14" s="970">
        <v>540050</v>
      </c>
      <c r="H14" s="970"/>
      <c r="I14" s="971">
        <v>31112</v>
      </c>
      <c r="J14" s="972">
        <v>131125</v>
      </c>
      <c r="K14" s="971">
        <v>77127</v>
      </c>
      <c r="L14" s="970">
        <v>0</v>
      </c>
      <c r="M14" s="970"/>
      <c r="N14" s="971">
        <v>15287</v>
      </c>
      <c r="O14" s="971">
        <v>0</v>
      </c>
      <c r="P14" s="971">
        <v>0</v>
      </c>
      <c r="Q14" s="970">
        <v>83168</v>
      </c>
      <c r="R14" s="970"/>
      <c r="S14" s="971">
        <v>181997</v>
      </c>
      <c r="T14" s="973">
        <v>-42793</v>
      </c>
      <c r="U14" s="973">
        <f>139205-1</f>
        <v>139204</v>
      </c>
    </row>
    <row r="15" spans="1:21" x14ac:dyDescent="0.25">
      <c r="A15" s="967">
        <v>90096</v>
      </c>
      <c r="B15" s="968" t="s">
        <v>2661</v>
      </c>
      <c r="C15" s="969">
        <v>9.7559999999999997E-4</v>
      </c>
      <c r="D15" s="969">
        <v>1.3860999999999999E-3</v>
      </c>
      <c r="E15" s="1008">
        <v>535127</v>
      </c>
      <c r="F15" s="1011">
        <v>2941769</v>
      </c>
      <c r="G15" s="970">
        <v>1490447</v>
      </c>
      <c r="H15" s="970"/>
      <c r="I15" s="971">
        <v>85864</v>
      </c>
      <c r="J15" s="972">
        <v>361882</v>
      </c>
      <c r="K15" s="971">
        <v>212856</v>
      </c>
      <c r="L15" s="970">
        <v>43597</v>
      </c>
      <c r="M15" s="970"/>
      <c r="N15" s="971">
        <v>42190</v>
      </c>
      <c r="O15" s="971">
        <v>0</v>
      </c>
      <c r="P15" s="971">
        <v>0</v>
      </c>
      <c r="Q15" s="970">
        <v>238564</v>
      </c>
      <c r="R15" s="970"/>
      <c r="S15" s="971">
        <v>502282</v>
      </c>
      <c r="T15" s="973">
        <v>-27538</v>
      </c>
      <c r="U15" s="973">
        <v>474744</v>
      </c>
    </row>
    <row r="16" spans="1:21" x14ac:dyDescent="0.25">
      <c r="A16" s="967">
        <v>90098</v>
      </c>
      <c r="B16" s="968" t="s">
        <v>2662</v>
      </c>
      <c r="C16" s="969">
        <v>2.9599999999999998E-4</v>
      </c>
      <c r="D16" s="969">
        <v>2.9280000000000002E-4</v>
      </c>
      <c r="E16" s="1008">
        <v>140184</v>
      </c>
      <c r="F16" s="1011">
        <v>621420</v>
      </c>
      <c r="G16" s="970">
        <v>452206</v>
      </c>
      <c r="H16" s="970"/>
      <c r="I16" s="971">
        <v>26051</v>
      </c>
      <c r="J16" s="972">
        <v>109796</v>
      </c>
      <c r="K16" s="971">
        <v>64581</v>
      </c>
      <c r="L16" s="970">
        <v>5581</v>
      </c>
      <c r="M16" s="970"/>
      <c r="N16" s="971">
        <v>12801</v>
      </c>
      <c r="O16" s="971">
        <v>0</v>
      </c>
      <c r="P16" s="971">
        <v>0</v>
      </c>
      <c r="Q16" s="970">
        <v>110893</v>
      </c>
      <c r="R16" s="970"/>
      <c r="S16" s="971">
        <v>152394</v>
      </c>
      <c r="T16" s="973">
        <v>-51374</v>
      </c>
      <c r="U16" s="973">
        <v>101020</v>
      </c>
    </row>
    <row r="17" spans="1:21" x14ac:dyDescent="0.25">
      <c r="A17" s="967">
        <v>90099</v>
      </c>
      <c r="B17" s="968" t="s">
        <v>2663</v>
      </c>
      <c r="C17" s="969">
        <v>6.6330000000000002E-4</v>
      </c>
      <c r="D17" s="969">
        <v>4.9330000000000001E-4</v>
      </c>
      <c r="E17" s="1008">
        <v>271208</v>
      </c>
      <c r="F17" s="1011">
        <v>1046948</v>
      </c>
      <c r="G17" s="970">
        <v>1013339</v>
      </c>
      <c r="H17" s="970"/>
      <c r="I17" s="971">
        <v>58378</v>
      </c>
      <c r="J17" s="972">
        <v>246040</v>
      </c>
      <c r="K17" s="971">
        <v>144719</v>
      </c>
      <c r="L17" s="970">
        <v>89744</v>
      </c>
      <c r="M17" s="970"/>
      <c r="N17" s="971">
        <v>28684</v>
      </c>
      <c r="O17" s="971">
        <v>0</v>
      </c>
      <c r="P17" s="971">
        <v>0</v>
      </c>
      <c r="Q17" s="970">
        <v>44006</v>
      </c>
      <c r="R17" s="970"/>
      <c r="S17" s="971">
        <v>341496</v>
      </c>
      <c r="T17" s="973">
        <v>7780</v>
      </c>
      <c r="U17" s="973">
        <v>349276</v>
      </c>
    </row>
    <row r="18" spans="1:21" x14ac:dyDescent="0.25">
      <c r="A18" s="967">
        <v>90101</v>
      </c>
      <c r="B18" s="968" t="s">
        <v>2664</v>
      </c>
      <c r="C18" s="969">
        <v>6.6312000000000003E-3</v>
      </c>
      <c r="D18" s="969">
        <v>6.3996000000000001E-3</v>
      </c>
      <c r="E18" s="1008">
        <v>2960721</v>
      </c>
      <c r="F18" s="1011">
        <v>13582095</v>
      </c>
      <c r="G18" s="970">
        <v>10130637</v>
      </c>
      <c r="H18" s="970"/>
      <c r="I18" s="971">
        <v>583619</v>
      </c>
      <c r="J18" s="972">
        <v>2459731</v>
      </c>
      <c r="K18" s="971">
        <v>1446795</v>
      </c>
      <c r="L18" s="970">
        <v>245836</v>
      </c>
      <c r="M18" s="970"/>
      <c r="N18" s="971">
        <v>286766</v>
      </c>
      <c r="O18" s="971">
        <v>0</v>
      </c>
      <c r="P18" s="971">
        <v>0</v>
      </c>
      <c r="Q18" s="970">
        <v>25616</v>
      </c>
      <c r="R18" s="970"/>
      <c r="S18" s="971">
        <v>3414034</v>
      </c>
      <c r="T18" s="973">
        <v>67895</v>
      </c>
      <c r="U18" s="973">
        <f>3481928+1</f>
        <v>3481929</v>
      </c>
    </row>
    <row r="19" spans="1:21" x14ac:dyDescent="0.25">
      <c r="A19" s="967">
        <v>90111</v>
      </c>
      <c r="B19" s="968" t="s">
        <v>2665</v>
      </c>
      <c r="C19" s="969">
        <v>4.9740000000000001E-3</v>
      </c>
      <c r="D19" s="969">
        <v>4.8874000000000001E-3</v>
      </c>
      <c r="E19" s="1008">
        <v>2229766</v>
      </c>
      <c r="F19" s="1011">
        <v>10372700</v>
      </c>
      <c r="G19" s="970">
        <v>7598894</v>
      </c>
      <c r="H19" s="970"/>
      <c r="I19" s="971">
        <v>437767</v>
      </c>
      <c r="J19" s="972">
        <v>1845021</v>
      </c>
      <c r="K19" s="971">
        <v>1085227</v>
      </c>
      <c r="L19" s="970">
        <v>15088</v>
      </c>
      <c r="M19" s="970"/>
      <c r="N19" s="971">
        <v>215101</v>
      </c>
      <c r="O19" s="971">
        <v>0</v>
      </c>
      <c r="P19" s="971">
        <v>0</v>
      </c>
      <c r="Q19" s="970">
        <v>106602</v>
      </c>
      <c r="R19" s="970"/>
      <c r="S19" s="971">
        <v>2560834</v>
      </c>
      <c r="T19" s="973">
        <v>-53609</v>
      </c>
      <c r="U19" s="973">
        <v>2507225</v>
      </c>
    </row>
    <row r="20" spans="1:21" x14ac:dyDescent="0.25">
      <c r="A20" s="967">
        <v>90114</v>
      </c>
      <c r="B20" s="968" t="s">
        <v>2666</v>
      </c>
      <c r="C20" s="969">
        <v>1.0919E-3</v>
      </c>
      <c r="D20" s="969">
        <v>1.0681E-3</v>
      </c>
      <c r="E20" s="1008">
        <v>1108464</v>
      </c>
      <c r="F20" s="1011">
        <v>2266866</v>
      </c>
      <c r="G20" s="970">
        <v>1668121</v>
      </c>
      <c r="H20" s="970"/>
      <c r="I20" s="971">
        <v>96099</v>
      </c>
      <c r="J20" s="972">
        <v>405022</v>
      </c>
      <c r="K20" s="971">
        <v>238231</v>
      </c>
      <c r="L20" s="970">
        <v>1077044</v>
      </c>
      <c r="M20" s="970"/>
      <c r="N20" s="971">
        <v>47219</v>
      </c>
      <c r="O20" s="971">
        <v>0</v>
      </c>
      <c r="P20" s="971">
        <v>0</v>
      </c>
      <c r="Q20" s="970">
        <v>0</v>
      </c>
      <c r="R20" s="970"/>
      <c r="S20" s="971">
        <v>562158</v>
      </c>
      <c r="T20" s="973">
        <v>371192</v>
      </c>
      <c r="U20" s="973">
        <v>933350</v>
      </c>
    </row>
    <row r="21" spans="1:21" x14ac:dyDescent="0.25">
      <c r="A21" s="967">
        <v>90117</v>
      </c>
      <c r="B21" s="968" t="s">
        <v>2667</v>
      </c>
      <c r="C21" s="969">
        <v>1.407E-4</v>
      </c>
      <c r="D21" s="969">
        <v>1.35E-4</v>
      </c>
      <c r="E21" s="1008">
        <v>80147</v>
      </c>
      <c r="F21" s="1011">
        <v>286515</v>
      </c>
      <c r="G21" s="970">
        <v>214951</v>
      </c>
      <c r="H21" s="970"/>
      <c r="I21" s="971">
        <v>12383</v>
      </c>
      <c r="J21" s="972">
        <v>52190</v>
      </c>
      <c r="K21" s="971">
        <v>30698</v>
      </c>
      <c r="L21" s="970">
        <v>44526</v>
      </c>
      <c r="M21" s="970"/>
      <c r="N21" s="971">
        <v>6085</v>
      </c>
      <c r="O21" s="971">
        <v>0</v>
      </c>
      <c r="P21" s="971">
        <v>0</v>
      </c>
      <c r="Q21" s="970">
        <v>0</v>
      </c>
      <c r="R21" s="970"/>
      <c r="S21" s="971">
        <v>72439</v>
      </c>
      <c r="T21" s="973">
        <v>18359</v>
      </c>
      <c r="U21" s="973">
        <f>90797+1</f>
        <v>90798</v>
      </c>
    </row>
    <row r="22" spans="1:21" x14ac:dyDescent="0.25">
      <c r="A22" s="967">
        <v>90121</v>
      </c>
      <c r="B22" s="968" t="s">
        <v>2668</v>
      </c>
      <c r="C22" s="969">
        <v>1.0991E-3</v>
      </c>
      <c r="D22" s="969">
        <v>1.0789E-3</v>
      </c>
      <c r="E22" s="1008">
        <v>452142</v>
      </c>
      <c r="F22" s="1011">
        <v>2289787</v>
      </c>
      <c r="G22" s="970">
        <v>1679120</v>
      </c>
      <c r="H22" s="970"/>
      <c r="I22" s="971">
        <v>96733</v>
      </c>
      <c r="J22" s="972">
        <v>407692</v>
      </c>
      <c r="K22" s="971">
        <v>239802</v>
      </c>
      <c r="L22" s="970">
        <v>3244</v>
      </c>
      <c r="M22" s="970"/>
      <c r="N22" s="971">
        <v>47531</v>
      </c>
      <c r="O22" s="971">
        <v>0</v>
      </c>
      <c r="P22" s="971">
        <v>0</v>
      </c>
      <c r="Q22" s="970">
        <v>81552</v>
      </c>
      <c r="R22" s="970"/>
      <c r="S22" s="971">
        <v>565865</v>
      </c>
      <c r="T22" s="973">
        <v>-25049</v>
      </c>
      <c r="U22" s="973">
        <v>540816</v>
      </c>
    </row>
    <row r="23" spans="1:21" x14ac:dyDescent="0.25">
      <c r="A23" s="967">
        <v>90131</v>
      </c>
      <c r="B23" s="968" t="s">
        <v>2669</v>
      </c>
      <c r="C23" s="969">
        <v>4.7639999999999998E-4</v>
      </c>
      <c r="D23" s="969">
        <v>5.0440000000000001E-4</v>
      </c>
      <c r="E23" s="1008">
        <v>207243</v>
      </c>
      <c r="F23" s="1011">
        <v>1070506</v>
      </c>
      <c r="G23" s="970">
        <v>727807</v>
      </c>
      <c r="H23" s="970"/>
      <c r="I23" s="971">
        <v>41928</v>
      </c>
      <c r="J23" s="972">
        <v>176712</v>
      </c>
      <c r="K23" s="971">
        <v>103941</v>
      </c>
      <c r="L23" s="970">
        <v>0</v>
      </c>
      <c r="M23" s="970"/>
      <c r="N23" s="971">
        <v>20602</v>
      </c>
      <c r="O23" s="971">
        <v>0</v>
      </c>
      <c r="P23" s="971">
        <v>0</v>
      </c>
      <c r="Q23" s="970">
        <v>42066</v>
      </c>
      <c r="R23" s="970"/>
      <c r="S23" s="971">
        <v>245272</v>
      </c>
      <c r="T23" s="973">
        <v>-15937</v>
      </c>
      <c r="U23" s="973">
        <v>229335</v>
      </c>
    </row>
    <row r="24" spans="1:21" x14ac:dyDescent="0.25">
      <c r="A24" s="967">
        <v>90141</v>
      </c>
      <c r="B24" s="968" t="s">
        <v>2670</v>
      </c>
      <c r="C24" s="969">
        <v>1.4779999999999999E-4</v>
      </c>
      <c r="D24" s="969">
        <v>1.306E-4</v>
      </c>
      <c r="E24" s="1008">
        <v>62655</v>
      </c>
      <c r="F24" s="1011">
        <v>277177</v>
      </c>
      <c r="G24" s="970">
        <v>225797</v>
      </c>
      <c r="H24" s="970"/>
      <c r="I24" s="971">
        <v>13008</v>
      </c>
      <c r="J24" s="972">
        <v>54824</v>
      </c>
      <c r="K24" s="971">
        <v>32247</v>
      </c>
      <c r="L24" s="970">
        <v>8660</v>
      </c>
      <c r="M24" s="970"/>
      <c r="N24" s="971">
        <v>6392</v>
      </c>
      <c r="O24" s="971">
        <v>0</v>
      </c>
      <c r="P24" s="971">
        <v>0</v>
      </c>
      <c r="Q24" s="970">
        <v>10174</v>
      </c>
      <c r="R24" s="970"/>
      <c r="S24" s="971">
        <v>76094</v>
      </c>
      <c r="T24" s="973">
        <v>-857</v>
      </c>
      <c r="U24" s="973">
        <v>75237</v>
      </c>
    </row>
    <row r="25" spans="1:21" x14ac:dyDescent="0.25">
      <c r="A25" s="967">
        <v>90151</v>
      </c>
      <c r="B25" s="968" t="s">
        <v>2671</v>
      </c>
      <c r="C25" s="969">
        <v>9.9000000000000001E-6</v>
      </c>
      <c r="D25" s="969">
        <v>1.0000000000000001E-5</v>
      </c>
      <c r="E25" s="1008">
        <v>3085</v>
      </c>
      <c r="F25" s="1011">
        <v>21223</v>
      </c>
      <c r="G25" s="970">
        <v>15124</v>
      </c>
      <c r="H25" s="970"/>
      <c r="I25" s="971">
        <v>871</v>
      </c>
      <c r="J25" s="972">
        <v>3672</v>
      </c>
      <c r="K25" s="971">
        <v>2160</v>
      </c>
      <c r="L25" s="970">
        <v>0</v>
      </c>
      <c r="M25" s="970"/>
      <c r="N25" s="971">
        <v>428</v>
      </c>
      <c r="O25" s="971">
        <v>0</v>
      </c>
      <c r="P25" s="971">
        <v>0</v>
      </c>
      <c r="Q25" s="970">
        <v>2719</v>
      </c>
      <c r="R25" s="970"/>
      <c r="S25" s="971">
        <v>5097</v>
      </c>
      <c r="T25" s="973">
        <v>-1090</v>
      </c>
      <c r="U25" s="973">
        <v>4007</v>
      </c>
    </row>
    <row r="26" spans="1:21" x14ac:dyDescent="0.25">
      <c r="A26" s="967">
        <v>90161</v>
      </c>
      <c r="B26" s="968" t="s">
        <v>2672</v>
      </c>
      <c r="C26" s="969">
        <v>3.4199999999999998E-5</v>
      </c>
      <c r="D26" s="969">
        <v>3.4799999999999999E-5</v>
      </c>
      <c r="E26" s="1008">
        <v>15627</v>
      </c>
      <c r="F26" s="1011">
        <v>73857</v>
      </c>
      <c r="G26" s="970">
        <v>52248</v>
      </c>
      <c r="H26" s="970"/>
      <c r="I26" s="971">
        <v>3010</v>
      </c>
      <c r="J26" s="972">
        <v>12686</v>
      </c>
      <c r="K26" s="971">
        <v>7462</v>
      </c>
      <c r="L26" s="970">
        <v>4022</v>
      </c>
      <c r="M26" s="970"/>
      <c r="N26" s="971">
        <v>1479</v>
      </c>
      <c r="O26" s="971">
        <v>0</v>
      </c>
      <c r="P26" s="971">
        <v>0</v>
      </c>
      <c r="Q26" s="970">
        <v>462</v>
      </c>
      <c r="R26" s="970"/>
      <c r="S26" s="971">
        <v>17608</v>
      </c>
      <c r="T26" s="973">
        <v>1591</v>
      </c>
      <c r="U26" s="973">
        <v>19199</v>
      </c>
    </row>
    <row r="27" spans="1:21" x14ac:dyDescent="0.25">
      <c r="A27" s="967">
        <v>90201</v>
      </c>
      <c r="B27" s="968" t="s">
        <v>2673</v>
      </c>
      <c r="C27" s="969">
        <v>1.2126999999999999E-3</v>
      </c>
      <c r="D27" s="969">
        <v>1.2419E-3</v>
      </c>
      <c r="E27" s="1008">
        <v>536124</v>
      </c>
      <c r="F27" s="1011">
        <v>2635728</v>
      </c>
      <c r="G27" s="970">
        <v>1852670</v>
      </c>
      <c r="H27" s="970"/>
      <c r="I27" s="971">
        <v>106731</v>
      </c>
      <c r="J27" s="972">
        <v>449830</v>
      </c>
      <c r="K27" s="971">
        <v>264587</v>
      </c>
      <c r="L27" s="970">
        <v>36621</v>
      </c>
      <c r="M27" s="970"/>
      <c r="N27" s="971">
        <v>52443</v>
      </c>
      <c r="O27" s="971">
        <v>0</v>
      </c>
      <c r="P27" s="971">
        <v>0</v>
      </c>
      <c r="Q27" s="970">
        <v>36396</v>
      </c>
      <c r="R27" s="970"/>
      <c r="S27" s="971">
        <v>624351</v>
      </c>
      <c r="T27" s="973">
        <v>24941</v>
      </c>
      <c r="U27" s="973">
        <v>649292</v>
      </c>
    </row>
    <row r="28" spans="1:21" x14ac:dyDescent="0.25">
      <c r="A28" s="967">
        <v>90203</v>
      </c>
      <c r="B28" s="968" t="s">
        <v>2674</v>
      </c>
      <c r="C28" s="969">
        <v>1.994E-4</v>
      </c>
      <c r="D28" s="969">
        <v>2.3680000000000001E-4</v>
      </c>
      <c r="E28" s="1008">
        <v>91056</v>
      </c>
      <c r="F28" s="1011">
        <v>502569</v>
      </c>
      <c r="G28" s="970">
        <v>304628</v>
      </c>
      <c r="H28" s="970"/>
      <c r="I28" s="971">
        <v>17549</v>
      </c>
      <c r="J28" s="972">
        <v>73964</v>
      </c>
      <c r="K28" s="971">
        <v>43505</v>
      </c>
      <c r="L28" s="970">
        <v>2154</v>
      </c>
      <c r="M28" s="970"/>
      <c r="N28" s="971">
        <v>8623</v>
      </c>
      <c r="O28" s="971">
        <v>0</v>
      </c>
      <c r="P28" s="971">
        <v>0</v>
      </c>
      <c r="Q28" s="970">
        <v>49077</v>
      </c>
      <c r="R28" s="970"/>
      <c r="S28" s="971">
        <v>102660</v>
      </c>
      <c r="T28" s="973">
        <v>-18026</v>
      </c>
      <c r="U28" s="973">
        <v>84634</v>
      </c>
    </row>
    <row r="29" spans="1:21" x14ac:dyDescent="0.25">
      <c r="A29" s="967">
        <v>90205</v>
      </c>
      <c r="B29" s="968" t="s">
        <v>2675</v>
      </c>
      <c r="C29" s="969">
        <v>3.0000000000000001E-5</v>
      </c>
      <c r="D29" s="969">
        <v>3.3599999999999997E-5</v>
      </c>
      <c r="E29" s="1008">
        <v>14233</v>
      </c>
      <c r="F29" s="1011">
        <v>71310</v>
      </c>
      <c r="G29" s="970">
        <v>45832</v>
      </c>
      <c r="H29" s="970"/>
      <c r="I29" s="971">
        <v>2640</v>
      </c>
      <c r="J29" s="972">
        <v>11128</v>
      </c>
      <c r="K29" s="971">
        <v>6545</v>
      </c>
      <c r="L29" s="970">
        <v>769</v>
      </c>
      <c r="M29" s="970"/>
      <c r="N29" s="971">
        <v>1297</v>
      </c>
      <c r="O29" s="971">
        <v>0</v>
      </c>
      <c r="P29" s="971">
        <v>0</v>
      </c>
      <c r="Q29" s="970">
        <v>2625</v>
      </c>
      <c r="R29" s="970"/>
      <c r="S29" s="971">
        <v>15445</v>
      </c>
      <c r="T29" s="973">
        <v>-105</v>
      </c>
      <c r="U29" s="973">
        <v>15340</v>
      </c>
    </row>
    <row r="30" spans="1:21" x14ac:dyDescent="0.25">
      <c r="A30" s="967">
        <v>90206</v>
      </c>
      <c r="B30" s="968" t="s">
        <v>2676</v>
      </c>
      <c r="C30" s="969">
        <v>4.2069999999999998E-4</v>
      </c>
      <c r="D30" s="969">
        <v>4.347E-4</v>
      </c>
      <c r="E30" s="1008">
        <v>184249</v>
      </c>
      <c r="F30" s="1011">
        <v>922579</v>
      </c>
      <c r="G30" s="970">
        <v>642713</v>
      </c>
      <c r="H30" s="970"/>
      <c r="I30" s="971">
        <v>37026</v>
      </c>
      <c r="J30" s="972">
        <v>156051</v>
      </c>
      <c r="K30" s="971">
        <v>91788</v>
      </c>
      <c r="L30" s="970">
        <v>8978</v>
      </c>
      <c r="M30" s="970"/>
      <c r="N30" s="971">
        <v>18193</v>
      </c>
      <c r="O30" s="971">
        <v>0</v>
      </c>
      <c r="P30" s="971">
        <v>0</v>
      </c>
      <c r="Q30" s="970">
        <v>25382</v>
      </c>
      <c r="R30" s="970"/>
      <c r="S30" s="971">
        <v>216595</v>
      </c>
      <c r="T30" s="973">
        <v>1315</v>
      </c>
      <c r="U30" s="973">
        <v>217910</v>
      </c>
    </row>
    <row r="31" spans="1:21" x14ac:dyDescent="0.25">
      <c r="A31" s="967">
        <v>90211</v>
      </c>
      <c r="B31" s="968" t="s">
        <v>2677</v>
      </c>
      <c r="C31" s="969">
        <v>1.4799999999999999E-4</v>
      </c>
      <c r="D31" s="969">
        <v>1.5689999999999999E-4</v>
      </c>
      <c r="E31" s="1008">
        <v>71260</v>
      </c>
      <c r="F31" s="1011">
        <v>332994</v>
      </c>
      <c r="G31" s="970">
        <v>226103</v>
      </c>
      <c r="H31" s="970"/>
      <c r="I31" s="971">
        <v>13026</v>
      </c>
      <c r="J31" s="972">
        <v>54898</v>
      </c>
      <c r="K31" s="971">
        <v>32291</v>
      </c>
      <c r="L31" s="970">
        <v>0</v>
      </c>
      <c r="M31" s="970"/>
      <c r="N31" s="971">
        <v>6400</v>
      </c>
      <c r="O31" s="971">
        <v>0</v>
      </c>
      <c r="P31" s="971">
        <v>0</v>
      </c>
      <c r="Q31" s="970">
        <v>15344</v>
      </c>
      <c r="R31" s="970"/>
      <c r="S31" s="971">
        <v>76197</v>
      </c>
      <c r="T31" s="973">
        <v>-6134</v>
      </c>
      <c r="U31" s="973">
        <v>70063</v>
      </c>
    </row>
    <row r="32" spans="1:21" x14ac:dyDescent="0.25">
      <c r="A32" s="967">
        <v>90301</v>
      </c>
      <c r="B32" s="968" t="s">
        <v>2678</v>
      </c>
      <c r="C32" s="969">
        <v>6.7040000000000003E-4</v>
      </c>
      <c r="D32" s="969">
        <v>6.4000000000000005E-4</v>
      </c>
      <c r="E32" s="1008">
        <v>280575</v>
      </c>
      <c r="F32" s="1011">
        <v>1358294</v>
      </c>
      <c r="G32" s="970">
        <v>1024185</v>
      </c>
      <c r="H32" s="970"/>
      <c r="I32" s="971">
        <v>59003</v>
      </c>
      <c r="J32" s="972">
        <v>248673</v>
      </c>
      <c r="K32" s="971">
        <v>146268</v>
      </c>
      <c r="L32" s="970">
        <v>4314</v>
      </c>
      <c r="M32" s="970"/>
      <c r="N32" s="971">
        <v>28991</v>
      </c>
      <c r="O32" s="971">
        <v>0</v>
      </c>
      <c r="P32" s="971">
        <v>0</v>
      </c>
      <c r="Q32" s="970">
        <v>13341</v>
      </c>
      <c r="R32" s="970"/>
      <c r="S32" s="971">
        <v>345151</v>
      </c>
      <c r="T32" s="973">
        <v>-5567</v>
      </c>
      <c r="U32" s="973">
        <v>339584</v>
      </c>
    </row>
    <row r="33" spans="1:21" x14ac:dyDescent="0.25">
      <c r="A33" s="967">
        <v>90305</v>
      </c>
      <c r="B33" s="968" t="s">
        <v>2679</v>
      </c>
      <c r="C33" s="969">
        <v>1.617E-4</v>
      </c>
      <c r="D33" s="969">
        <v>1.7009999999999999E-4</v>
      </c>
      <c r="E33" s="1008">
        <v>85892</v>
      </c>
      <c r="F33" s="1011">
        <v>361009</v>
      </c>
      <c r="G33" s="970">
        <v>247033</v>
      </c>
      <c r="H33" s="970"/>
      <c r="I33" s="971">
        <v>14231</v>
      </c>
      <c r="J33" s="972">
        <v>59980</v>
      </c>
      <c r="K33" s="971">
        <v>35280</v>
      </c>
      <c r="L33" s="970">
        <v>20715</v>
      </c>
      <c r="M33" s="970"/>
      <c r="N33" s="971">
        <v>6993</v>
      </c>
      <c r="O33" s="971">
        <v>0</v>
      </c>
      <c r="P33" s="971">
        <v>0</v>
      </c>
      <c r="Q33" s="970">
        <v>0</v>
      </c>
      <c r="R33" s="970"/>
      <c r="S33" s="971">
        <v>83250</v>
      </c>
      <c r="T33" s="973">
        <v>10025</v>
      </c>
      <c r="U33" s="973">
        <v>93275</v>
      </c>
    </row>
    <row r="34" spans="1:21" x14ac:dyDescent="0.25">
      <c r="A34" s="967">
        <v>90307</v>
      </c>
      <c r="B34" s="968" t="s">
        <v>2680</v>
      </c>
      <c r="C34" s="969">
        <v>7.7999999999999999E-6</v>
      </c>
      <c r="D34" s="969">
        <v>7.7000000000000008E-6</v>
      </c>
      <c r="E34" s="1008">
        <v>4130</v>
      </c>
      <c r="F34" s="1011">
        <v>16342</v>
      </c>
      <c r="G34" s="970">
        <v>11916</v>
      </c>
      <c r="H34" s="970"/>
      <c r="I34" s="971">
        <v>686</v>
      </c>
      <c r="J34" s="972">
        <v>2893</v>
      </c>
      <c r="K34" s="971">
        <v>1702</v>
      </c>
      <c r="L34" s="970">
        <v>647</v>
      </c>
      <c r="M34" s="970"/>
      <c r="N34" s="971">
        <v>337</v>
      </c>
      <c r="O34" s="971">
        <v>0</v>
      </c>
      <c r="P34" s="971">
        <v>0</v>
      </c>
      <c r="Q34" s="970">
        <v>40</v>
      </c>
      <c r="R34" s="970"/>
      <c r="S34" s="971">
        <v>4016</v>
      </c>
      <c r="T34" s="973">
        <v>160</v>
      </c>
      <c r="U34" s="973">
        <v>4176</v>
      </c>
    </row>
    <row r="35" spans="1:21" x14ac:dyDescent="0.25">
      <c r="A35" s="967">
        <v>90401</v>
      </c>
      <c r="B35" s="968" t="s">
        <v>2681</v>
      </c>
      <c r="C35" s="969">
        <v>1.3270999999999999E-3</v>
      </c>
      <c r="D35" s="969">
        <v>1.3626999999999999E-3</v>
      </c>
      <c r="E35" s="1008">
        <v>624955</v>
      </c>
      <c r="F35" s="1011">
        <v>2892106</v>
      </c>
      <c r="G35" s="970">
        <v>2027441</v>
      </c>
      <c r="H35" s="970"/>
      <c r="I35" s="971">
        <v>116799</v>
      </c>
      <c r="J35" s="972">
        <v>492266</v>
      </c>
      <c r="K35" s="971">
        <v>289547</v>
      </c>
      <c r="L35" s="970">
        <v>44019</v>
      </c>
      <c r="M35" s="970"/>
      <c r="N35" s="971">
        <v>57390</v>
      </c>
      <c r="O35" s="971">
        <v>0</v>
      </c>
      <c r="P35" s="971">
        <v>0</v>
      </c>
      <c r="Q35" s="970">
        <v>11305</v>
      </c>
      <c r="R35" s="970"/>
      <c r="S35" s="971">
        <v>683249</v>
      </c>
      <c r="T35" s="973">
        <v>23981</v>
      </c>
      <c r="U35" s="973">
        <v>707230</v>
      </c>
    </row>
    <row r="36" spans="1:21" x14ac:dyDescent="0.25">
      <c r="A36" s="967">
        <v>90411</v>
      </c>
      <c r="B36" s="968" t="s">
        <v>2682</v>
      </c>
      <c r="C36" s="969">
        <v>3.5100000000000002E-4</v>
      </c>
      <c r="D36" s="969">
        <v>3.5490000000000001E-4</v>
      </c>
      <c r="E36" s="1008">
        <v>152317</v>
      </c>
      <c r="F36" s="1011">
        <v>753217</v>
      </c>
      <c r="G36" s="970">
        <v>536231</v>
      </c>
      <c r="H36" s="970"/>
      <c r="I36" s="971">
        <v>30892</v>
      </c>
      <c r="J36" s="972">
        <v>130197</v>
      </c>
      <c r="K36" s="971">
        <v>76581</v>
      </c>
      <c r="L36" s="970">
        <v>0</v>
      </c>
      <c r="M36" s="970"/>
      <c r="N36" s="971">
        <v>15179</v>
      </c>
      <c r="O36" s="971">
        <v>0</v>
      </c>
      <c r="P36" s="971">
        <v>0</v>
      </c>
      <c r="Q36" s="970">
        <v>41985</v>
      </c>
      <c r="R36" s="970"/>
      <c r="S36" s="971">
        <v>180710</v>
      </c>
      <c r="T36" s="973">
        <v>-15971</v>
      </c>
      <c r="U36" s="973">
        <v>164739</v>
      </c>
    </row>
    <row r="37" spans="1:21" x14ac:dyDescent="0.25">
      <c r="A37" s="967">
        <v>90413</v>
      </c>
      <c r="B37" s="968" t="s">
        <v>2683</v>
      </c>
      <c r="C37" s="969">
        <v>3.4600000000000001E-5</v>
      </c>
      <c r="D37" s="969">
        <v>3.7299999999999999E-5</v>
      </c>
      <c r="E37" s="1008">
        <v>17002</v>
      </c>
      <c r="F37" s="1011">
        <v>79163</v>
      </c>
      <c r="G37" s="970">
        <v>52859</v>
      </c>
      <c r="H37" s="970"/>
      <c r="I37" s="971">
        <v>3045</v>
      </c>
      <c r="J37" s="972">
        <v>12834</v>
      </c>
      <c r="K37" s="971">
        <v>7549</v>
      </c>
      <c r="L37" s="970">
        <v>5923</v>
      </c>
      <c r="M37" s="970"/>
      <c r="N37" s="971">
        <v>1496</v>
      </c>
      <c r="O37" s="971">
        <v>0</v>
      </c>
      <c r="P37" s="971">
        <v>0</v>
      </c>
      <c r="Q37" s="970">
        <v>916</v>
      </c>
      <c r="R37" s="970"/>
      <c r="S37" s="971">
        <v>17814</v>
      </c>
      <c r="T37" s="973">
        <v>3416</v>
      </c>
      <c r="U37" s="973">
        <v>21230</v>
      </c>
    </row>
    <row r="38" spans="1:21" x14ac:dyDescent="0.25">
      <c r="A38" s="967">
        <v>90417</v>
      </c>
      <c r="B38" s="968" t="s">
        <v>2684</v>
      </c>
      <c r="C38" s="969">
        <v>1.17E-5</v>
      </c>
      <c r="D38" s="969">
        <v>1.2099999999999999E-5</v>
      </c>
      <c r="E38" s="1008">
        <v>8372</v>
      </c>
      <c r="F38" s="1011">
        <v>25680</v>
      </c>
      <c r="G38" s="970">
        <v>17874</v>
      </c>
      <c r="H38" s="970"/>
      <c r="I38" s="971">
        <v>1030</v>
      </c>
      <c r="J38" s="972">
        <v>4340</v>
      </c>
      <c r="K38" s="971">
        <v>2553</v>
      </c>
      <c r="L38" s="970">
        <v>3477</v>
      </c>
      <c r="M38" s="970"/>
      <c r="N38" s="971">
        <v>506</v>
      </c>
      <c r="O38" s="971">
        <v>0</v>
      </c>
      <c r="P38" s="971">
        <v>0</v>
      </c>
      <c r="Q38" s="970">
        <v>0</v>
      </c>
      <c r="R38" s="970"/>
      <c r="S38" s="971">
        <v>6024</v>
      </c>
      <c r="T38" s="973">
        <v>1221</v>
      </c>
      <c r="U38" s="973">
        <f>7244+1</f>
        <v>7245</v>
      </c>
    </row>
    <row r="39" spans="1:21" x14ac:dyDescent="0.25">
      <c r="A39" s="967">
        <v>90421</v>
      </c>
      <c r="B39" s="968" t="s">
        <v>2685</v>
      </c>
      <c r="C39" s="969">
        <v>2.19E-5</v>
      </c>
      <c r="D39" s="969">
        <v>2.3600000000000001E-5</v>
      </c>
      <c r="E39" s="1008">
        <v>8534</v>
      </c>
      <c r="F39" s="1011">
        <v>50087</v>
      </c>
      <c r="G39" s="970">
        <v>33457</v>
      </c>
      <c r="H39" s="970"/>
      <c r="I39" s="971">
        <v>1927</v>
      </c>
      <c r="J39" s="972">
        <v>8123</v>
      </c>
      <c r="K39" s="971">
        <v>4778</v>
      </c>
      <c r="L39" s="970">
        <v>0</v>
      </c>
      <c r="M39" s="970"/>
      <c r="N39" s="971">
        <v>947</v>
      </c>
      <c r="O39" s="971">
        <v>0</v>
      </c>
      <c r="P39" s="971">
        <v>0</v>
      </c>
      <c r="Q39" s="970">
        <v>4721</v>
      </c>
      <c r="R39" s="970"/>
      <c r="S39" s="971">
        <v>11275</v>
      </c>
      <c r="T39" s="973">
        <v>-1814</v>
      </c>
      <c r="U39" s="973">
        <v>9461</v>
      </c>
    </row>
    <row r="40" spans="1:21" x14ac:dyDescent="0.25">
      <c r="A40" s="967">
        <v>90431</v>
      </c>
      <c r="B40" s="968" t="s">
        <v>2686</v>
      </c>
      <c r="C40" s="969">
        <v>4.8300000000000002E-5</v>
      </c>
      <c r="D40" s="969">
        <v>4.2799999999999997E-5</v>
      </c>
      <c r="E40" s="1008">
        <v>21844</v>
      </c>
      <c r="F40" s="1011">
        <v>90836</v>
      </c>
      <c r="G40" s="970">
        <v>73789</v>
      </c>
      <c r="H40" s="970"/>
      <c r="I40" s="971">
        <v>4251</v>
      </c>
      <c r="J40" s="972">
        <v>17916</v>
      </c>
      <c r="K40" s="971">
        <v>10538</v>
      </c>
      <c r="L40" s="970">
        <v>8663</v>
      </c>
      <c r="M40" s="970"/>
      <c r="N40" s="971">
        <v>2089</v>
      </c>
      <c r="O40" s="971">
        <v>0</v>
      </c>
      <c r="P40" s="971">
        <v>0</v>
      </c>
      <c r="Q40" s="970">
        <v>1273</v>
      </c>
      <c r="R40" s="970"/>
      <c r="S40" s="971">
        <v>24867</v>
      </c>
      <c r="T40" s="973">
        <v>3649</v>
      </c>
      <c r="U40" s="973">
        <v>28516</v>
      </c>
    </row>
    <row r="41" spans="1:21" x14ac:dyDescent="0.25">
      <c r="A41" s="967">
        <v>90441</v>
      </c>
      <c r="B41" s="968" t="s">
        <v>2687</v>
      </c>
      <c r="C41" s="969">
        <v>8.3999999999999992E-6</v>
      </c>
      <c r="D41" s="969">
        <v>9.3999999999999998E-6</v>
      </c>
      <c r="E41" s="1008">
        <v>4910</v>
      </c>
      <c r="F41" s="1011">
        <v>19950</v>
      </c>
      <c r="G41" s="970">
        <v>12833</v>
      </c>
      <c r="H41" s="970"/>
      <c r="I41" s="971">
        <v>739</v>
      </c>
      <c r="J41" s="972">
        <v>3115</v>
      </c>
      <c r="K41" s="971">
        <v>1833</v>
      </c>
      <c r="L41" s="970">
        <v>890</v>
      </c>
      <c r="M41" s="970"/>
      <c r="N41" s="971">
        <v>363</v>
      </c>
      <c r="O41" s="971">
        <v>0</v>
      </c>
      <c r="P41" s="971">
        <v>0</v>
      </c>
      <c r="Q41" s="970">
        <v>129</v>
      </c>
      <c r="R41" s="970"/>
      <c r="S41" s="971">
        <v>4325</v>
      </c>
      <c r="T41" s="973">
        <v>621</v>
      </c>
      <c r="U41" s="973">
        <v>4946</v>
      </c>
    </row>
    <row r="42" spans="1:21" x14ac:dyDescent="0.25">
      <c r="A42" s="967">
        <v>90451</v>
      </c>
      <c r="B42" s="968" t="s">
        <v>2688</v>
      </c>
      <c r="C42" s="969">
        <v>1.6699999999999999E-5</v>
      </c>
      <c r="D42" s="969">
        <v>1.7900000000000001E-5</v>
      </c>
      <c r="E42" s="1008">
        <v>7776</v>
      </c>
      <c r="F42" s="1011">
        <v>37990</v>
      </c>
      <c r="G42" s="970">
        <v>25513</v>
      </c>
      <c r="H42" s="970"/>
      <c r="I42" s="971">
        <v>1470</v>
      </c>
      <c r="J42" s="972">
        <v>6194</v>
      </c>
      <c r="K42" s="971">
        <v>3644</v>
      </c>
      <c r="L42" s="970">
        <v>2202</v>
      </c>
      <c r="M42" s="970"/>
      <c r="N42" s="971">
        <v>722</v>
      </c>
      <c r="O42" s="971">
        <v>0</v>
      </c>
      <c r="P42" s="971">
        <v>0</v>
      </c>
      <c r="Q42" s="970">
        <v>903</v>
      </c>
      <c r="R42" s="970"/>
      <c r="S42" s="971">
        <v>8598</v>
      </c>
      <c r="T42" s="973">
        <v>635</v>
      </c>
      <c r="U42" s="973">
        <f>9232+1</f>
        <v>9233</v>
      </c>
    </row>
    <row r="43" spans="1:21" x14ac:dyDescent="0.25">
      <c r="A43" s="967">
        <v>90461</v>
      </c>
      <c r="B43" s="968" t="s">
        <v>2689</v>
      </c>
      <c r="C43" s="969">
        <v>7.4000000000000003E-6</v>
      </c>
      <c r="D43" s="969">
        <v>1.7200000000000001E-5</v>
      </c>
      <c r="E43" s="1008">
        <v>3691</v>
      </c>
      <c r="F43" s="1011">
        <v>36504</v>
      </c>
      <c r="G43" s="970">
        <v>11305</v>
      </c>
      <c r="H43" s="970"/>
      <c r="I43" s="971">
        <v>651</v>
      </c>
      <c r="J43" s="972">
        <v>2745</v>
      </c>
      <c r="K43" s="971">
        <v>1615</v>
      </c>
      <c r="L43" s="970">
        <v>3066</v>
      </c>
      <c r="M43" s="970"/>
      <c r="N43" s="971">
        <v>320</v>
      </c>
      <c r="O43" s="971">
        <v>0</v>
      </c>
      <c r="P43" s="971">
        <v>0</v>
      </c>
      <c r="Q43" s="970">
        <v>7660</v>
      </c>
      <c r="R43" s="970"/>
      <c r="S43" s="971">
        <v>3810</v>
      </c>
      <c r="T43" s="973">
        <v>-1001</v>
      </c>
      <c r="U43" s="973">
        <f>2808+1</f>
        <v>2809</v>
      </c>
    </row>
    <row r="44" spans="1:21" x14ac:dyDescent="0.25">
      <c r="A44" s="967">
        <v>90501</v>
      </c>
      <c r="B44" s="968" t="s">
        <v>2690</v>
      </c>
      <c r="C44" s="969">
        <v>1.4176E-3</v>
      </c>
      <c r="D44" s="969">
        <v>1.4001E-3</v>
      </c>
      <c r="E44" s="1008">
        <v>670210</v>
      </c>
      <c r="F44" s="1011">
        <v>2971481</v>
      </c>
      <c r="G44" s="970">
        <v>2165700</v>
      </c>
      <c r="H44" s="970"/>
      <c r="I44" s="971">
        <v>124764</v>
      </c>
      <c r="J44" s="972">
        <v>525835</v>
      </c>
      <c r="K44" s="971">
        <v>309292</v>
      </c>
      <c r="L44" s="970">
        <v>53925</v>
      </c>
      <c r="M44" s="970"/>
      <c r="N44" s="971">
        <v>61304</v>
      </c>
      <c r="O44" s="971">
        <v>0</v>
      </c>
      <c r="P44" s="971">
        <v>0</v>
      </c>
      <c r="Q44" s="970">
        <v>0</v>
      </c>
      <c r="R44" s="970"/>
      <c r="S44" s="971">
        <v>729843</v>
      </c>
      <c r="T44" s="973">
        <v>27148</v>
      </c>
      <c r="U44" s="973">
        <v>756991</v>
      </c>
    </row>
    <row r="45" spans="1:21" x14ac:dyDescent="0.25">
      <c r="A45" s="967">
        <v>90507</v>
      </c>
      <c r="B45" s="968" t="s">
        <v>1220</v>
      </c>
      <c r="C45" s="969">
        <v>6.6000000000000003E-6</v>
      </c>
      <c r="D45" s="969">
        <v>7.3000000000000004E-6</v>
      </c>
      <c r="E45" s="1008">
        <v>10408</v>
      </c>
      <c r="F45" s="1011">
        <v>15493</v>
      </c>
      <c r="G45" s="970">
        <v>10083</v>
      </c>
      <c r="H45" s="970"/>
      <c r="I45" s="971">
        <v>581</v>
      </c>
      <c r="J45" s="972">
        <v>2448</v>
      </c>
      <c r="K45" s="971">
        <v>1440</v>
      </c>
      <c r="L45" s="970">
        <v>11545</v>
      </c>
      <c r="M45" s="970"/>
      <c r="N45" s="971">
        <v>285</v>
      </c>
      <c r="O45" s="971">
        <v>0</v>
      </c>
      <c r="P45" s="971">
        <v>0</v>
      </c>
      <c r="Q45" s="970">
        <v>0</v>
      </c>
      <c r="R45" s="970"/>
      <c r="S45" s="971">
        <v>3398</v>
      </c>
      <c r="T45" s="973">
        <v>4117</v>
      </c>
      <c r="U45" s="973">
        <v>7515</v>
      </c>
    </row>
    <row r="46" spans="1:21" x14ac:dyDescent="0.25">
      <c r="A46" s="967">
        <v>90511</v>
      </c>
      <c r="B46" s="968" t="s">
        <v>2691</v>
      </c>
      <c r="C46" s="969">
        <v>8.7000000000000001E-5</v>
      </c>
      <c r="D46" s="969">
        <v>9.5500000000000004E-5</v>
      </c>
      <c r="E46" s="1008">
        <v>52403</v>
      </c>
      <c r="F46" s="1011">
        <v>202683</v>
      </c>
      <c r="G46" s="970">
        <v>132912</v>
      </c>
      <c r="H46" s="970"/>
      <c r="I46" s="971">
        <v>7657</v>
      </c>
      <c r="J46" s="972">
        <v>32271</v>
      </c>
      <c r="K46" s="971">
        <v>18982</v>
      </c>
      <c r="L46" s="970">
        <v>14433</v>
      </c>
      <c r="M46" s="970"/>
      <c r="N46" s="971">
        <v>3762</v>
      </c>
      <c r="O46" s="971">
        <v>0</v>
      </c>
      <c r="P46" s="971">
        <v>0</v>
      </c>
      <c r="Q46" s="970">
        <v>0</v>
      </c>
      <c r="R46" s="970"/>
      <c r="S46" s="971">
        <v>44791</v>
      </c>
      <c r="T46" s="973">
        <v>6485</v>
      </c>
      <c r="U46" s="973">
        <f>51277-1</f>
        <v>51276</v>
      </c>
    </row>
    <row r="47" spans="1:21" x14ac:dyDescent="0.25">
      <c r="A47" s="967">
        <v>90521</v>
      </c>
      <c r="B47" s="968" t="s">
        <v>2692</v>
      </c>
      <c r="C47" s="969">
        <v>1.3880000000000001E-4</v>
      </c>
      <c r="D47" s="969">
        <v>1.395E-4</v>
      </c>
      <c r="E47" s="1008">
        <v>56198</v>
      </c>
      <c r="F47" s="1011">
        <v>296066</v>
      </c>
      <c r="G47" s="970">
        <v>212048</v>
      </c>
      <c r="H47" s="970"/>
      <c r="I47" s="971">
        <v>12216</v>
      </c>
      <c r="J47" s="972">
        <v>51485</v>
      </c>
      <c r="K47" s="971">
        <v>30283</v>
      </c>
      <c r="L47" s="970">
        <v>0</v>
      </c>
      <c r="M47" s="970"/>
      <c r="N47" s="971">
        <v>6002</v>
      </c>
      <c r="O47" s="971">
        <v>0</v>
      </c>
      <c r="P47" s="971">
        <v>0</v>
      </c>
      <c r="Q47" s="970">
        <v>18446</v>
      </c>
      <c r="R47" s="970"/>
      <c r="S47" s="971">
        <v>71460</v>
      </c>
      <c r="T47" s="973">
        <v>-7131</v>
      </c>
      <c r="U47" s="973">
        <v>64329</v>
      </c>
    </row>
    <row r="48" spans="1:21" x14ac:dyDescent="0.25">
      <c r="A48" s="967">
        <v>90601</v>
      </c>
      <c r="B48" s="968" t="s">
        <v>2693</v>
      </c>
      <c r="C48" s="969">
        <v>1.1888000000000001E-3</v>
      </c>
      <c r="D48" s="969">
        <v>1.1785999999999999E-3</v>
      </c>
      <c r="E48" s="1008">
        <v>540985</v>
      </c>
      <c r="F48" s="1011">
        <v>2501384</v>
      </c>
      <c r="G48" s="970">
        <v>1816157</v>
      </c>
      <c r="H48" s="970"/>
      <c r="I48" s="971">
        <v>104627</v>
      </c>
      <c r="J48" s="972">
        <v>440965</v>
      </c>
      <c r="K48" s="971">
        <v>259372</v>
      </c>
      <c r="L48" s="970">
        <v>20795</v>
      </c>
      <c r="M48" s="970"/>
      <c r="N48" s="971">
        <v>51410</v>
      </c>
      <c r="O48" s="971">
        <v>0</v>
      </c>
      <c r="P48" s="971">
        <v>0</v>
      </c>
      <c r="Q48" s="970">
        <v>19784</v>
      </c>
      <c r="R48" s="970"/>
      <c r="S48" s="971">
        <v>612047</v>
      </c>
      <c r="T48" s="973">
        <v>8359</v>
      </c>
      <c r="U48" s="973">
        <v>620406</v>
      </c>
    </row>
    <row r="49" spans="1:21" x14ac:dyDescent="0.25">
      <c r="A49" s="967">
        <v>90602</v>
      </c>
      <c r="B49" s="968" t="s">
        <v>2125</v>
      </c>
      <c r="C49" s="969">
        <v>6.3899999999999995E-5</v>
      </c>
      <c r="D49" s="969">
        <v>6.3299999999999994E-5</v>
      </c>
      <c r="E49" s="1008">
        <v>34828</v>
      </c>
      <c r="F49" s="1011">
        <v>134344</v>
      </c>
      <c r="G49" s="970">
        <v>97621</v>
      </c>
      <c r="H49" s="970"/>
      <c r="I49" s="971">
        <v>5624</v>
      </c>
      <c r="J49" s="972">
        <v>23703</v>
      </c>
      <c r="K49" s="971">
        <v>13942</v>
      </c>
      <c r="L49" s="970">
        <v>38810</v>
      </c>
      <c r="M49" s="970"/>
      <c r="N49" s="971">
        <v>2763</v>
      </c>
      <c r="O49" s="971">
        <v>0</v>
      </c>
      <c r="P49" s="971">
        <v>0</v>
      </c>
      <c r="Q49" s="970">
        <v>0</v>
      </c>
      <c r="R49" s="970"/>
      <c r="S49" s="971">
        <v>32899</v>
      </c>
      <c r="T49" s="973">
        <v>14161</v>
      </c>
      <c r="U49" s="973">
        <f>47059+1</f>
        <v>47060</v>
      </c>
    </row>
    <row r="50" spans="1:21" x14ac:dyDescent="0.25">
      <c r="A50" s="967">
        <v>90605</v>
      </c>
      <c r="B50" s="968" t="s">
        <v>2694</v>
      </c>
      <c r="C50" s="969">
        <v>4.1999999999999998E-5</v>
      </c>
      <c r="D50" s="969">
        <v>3.8399999999999998E-5</v>
      </c>
      <c r="E50" s="1008">
        <v>25461</v>
      </c>
      <c r="F50" s="1011">
        <v>81498</v>
      </c>
      <c r="G50" s="970">
        <v>64164</v>
      </c>
      <c r="H50" s="970"/>
      <c r="I50" s="971">
        <v>3696</v>
      </c>
      <c r="J50" s="972">
        <v>15579</v>
      </c>
      <c r="K50" s="971">
        <v>9164</v>
      </c>
      <c r="L50" s="970">
        <v>15425</v>
      </c>
      <c r="M50" s="970"/>
      <c r="N50" s="971">
        <v>1816</v>
      </c>
      <c r="O50" s="971">
        <v>0</v>
      </c>
      <c r="P50" s="971">
        <v>0</v>
      </c>
      <c r="Q50" s="970">
        <v>0</v>
      </c>
      <c r="R50" s="970"/>
      <c r="S50" s="971">
        <v>21623</v>
      </c>
      <c r="T50" s="973">
        <v>5623</v>
      </c>
      <c r="U50" s="973">
        <f>27247-1</f>
        <v>27246</v>
      </c>
    </row>
    <row r="51" spans="1:21" x14ac:dyDescent="0.25">
      <c r="A51" s="967">
        <v>90611</v>
      </c>
      <c r="B51" s="968" t="s">
        <v>2695</v>
      </c>
      <c r="C51" s="969">
        <v>1.4880000000000001E-4</v>
      </c>
      <c r="D51" s="969">
        <v>1.5669999999999999E-4</v>
      </c>
      <c r="E51" s="1008">
        <v>64371</v>
      </c>
      <c r="F51" s="1011">
        <v>332570</v>
      </c>
      <c r="G51" s="970">
        <v>227325</v>
      </c>
      <c r="H51" s="970"/>
      <c r="I51" s="971">
        <v>13096</v>
      </c>
      <c r="J51" s="972">
        <v>55195</v>
      </c>
      <c r="K51" s="971">
        <v>32465</v>
      </c>
      <c r="L51" s="970">
        <v>2524</v>
      </c>
      <c r="M51" s="970"/>
      <c r="N51" s="971">
        <v>6435</v>
      </c>
      <c r="O51" s="971">
        <v>0</v>
      </c>
      <c r="P51" s="971">
        <v>0</v>
      </c>
      <c r="Q51" s="970">
        <v>18006</v>
      </c>
      <c r="R51" s="970"/>
      <c r="S51" s="971">
        <v>76609</v>
      </c>
      <c r="T51" s="973">
        <v>-3082</v>
      </c>
      <c r="U51" s="973">
        <v>73527</v>
      </c>
    </row>
    <row r="52" spans="1:21" x14ac:dyDescent="0.25">
      <c r="A52" s="967">
        <v>90617</v>
      </c>
      <c r="B52" s="968" t="s">
        <v>2696</v>
      </c>
      <c r="C52" s="969">
        <v>2.5999999999999998E-5</v>
      </c>
      <c r="D52" s="969">
        <v>2.6800000000000001E-5</v>
      </c>
      <c r="E52" s="1008">
        <v>15821</v>
      </c>
      <c r="F52" s="1011">
        <v>56879</v>
      </c>
      <c r="G52" s="970">
        <v>39721</v>
      </c>
      <c r="H52" s="970"/>
      <c r="I52" s="971">
        <v>2288</v>
      </c>
      <c r="J52" s="972">
        <v>9644</v>
      </c>
      <c r="K52" s="971">
        <v>5673</v>
      </c>
      <c r="L52" s="970">
        <v>7632</v>
      </c>
      <c r="M52" s="970"/>
      <c r="N52" s="971">
        <v>1124</v>
      </c>
      <c r="O52" s="971">
        <v>0</v>
      </c>
      <c r="P52" s="971">
        <v>0</v>
      </c>
      <c r="Q52" s="970">
        <v>0</v>
      </c>
      <c r="R52" s="970"/>
      <c r="S52" s="971">
        <v>13386</v>
      </c>
      <c r="T52" s="973">
        <v>4087</v>
      </c>
      <c r="U52" s="973">
        <v>17473</v>
      </c>
    </row>
    <row r="53" spans="1:21" x14ac:dyDescent="0.25">
      <c r="A53" s="967">
        <v>90621</v>
      </c>
      <c r="B53" s="968" t="s">
        <v>2697</v>
      </c>
      <c r="C53" s="969">
        <v>6.3999999999999997E-5</v>
      </c>
      <c r="D53" s="969">
        <v>8.2100000000000003E-5</v>
      </c>
      <c r="E53" s="1008">
        <v>27532</v>
      </c>
      <c r="F53" s="1011">
        <v>174244</v>
      </c>
      <c r="G53" s="970">
        <v>97774</v>
      </c>
      <c r="H53" s="970"/>
      <c r="I53" s="971">
        <v>5633</v>
      </c>
      <c r="J53" s="972">
        <v>23740</v>
      </c>
      <c r="K53" s="971">
        <v>13964</v>
      </c>
      <c r="L53" s="970">
        <v>588</v>
      </c>
      <c r="M53" s="970"/>
      <c r="N53" s="971">
        <v>2768</v>
      </c>
      <c r="O53" s="971">
        <v>0</v>
      </c>
      <c r="P53" s="971">
        <v>0</v>
      </c>
      <c r="Q53" s="970">
        <v>19000</v>
      </c>
      <c r="R53" s="970"/>
      <c r="S53" s="971">
        <v>32950</v>
      </c>
      <c r="T53" s="973">
        <v>-5337</v>
      </c>
      <c r="U53" s="973">
        <v>27613</v>
      </c>
    </row>
    <row r="54" spans="1:21" x14ac:dyDescent="0.25">
      <c r="A54" s="967">
        <v>90631</v>
      </c>
      <c r="B54" s="968" t="s">
        <v>2698</v>
      </c>
      <c r="C54" s="969">
        <v>3.9560000000000002E-4</v>
      </c>
      <c r="D54" s="969">
        <v>3.8000000000000002E-4</v>
      </c>
      <c r="E54" s="1008">
        <v>175402</v>
      </c>
      <c r="F54" s="1011">
        <v>806487</v>
      </c>
      <c r="G54" s="970">
        <v>604367</v>
      </c>
      <c r="H54" s="970"/>
      <c r="I54" s="971">
        <v>34817</v>
      </c>
      <c r="J54" s="972">
        <v>146742</v>
      </c>
      <c r="K54" s="971">
        <v>86312</v>
      </c>
      <c r="L54" s="970">
        <v>17764</v>
      </c>
      <c r="M54" s="970"/>
      <c r="N54" s="971">
        <v>17108</v>
      </c>
      <c r="O54" s="971">
        <v>0</v>
      </c>
      <c r="P54" s="971">
        <v>0</v>
      </c>
      <c r="Q54" s="970">
        <v>8233</v>
      </c>
      <c r="R54" s="970"/>
      <c r="S54" s="971">
        <v>203672</v>
      </c>
      <c r="T54" s="973">
        <v>-484</v>
      </c>
      <c r="U54" s="973">
        <f>203189-1</f>
        <v>203188</v>
      </c>
    </row>
    <row r="55" spans="1:21" x14ac:dyDescent="0.25">
      <c r="A55" s="967">
        <v>90641</v>
      </c>
      <c r="B55" s="968" t="s">
        <v>2699</v>
      </c>
      <c r="C55" s="969">
        <v>1.38E-5</v>
      </c>
      <c r="D55" s="969">
        <v>1.4399999999999999E-5</v>
      </c>
      <c r="E55" s="1008">
        <v>6944</v>
      </c>
      <c r="F55" s="1011">
        <v>30562</v>
      </c>
      <c r="G55" s="970">
        <v>21083</v>
      </c>
      <c r="H55" s="970"/>
      <c r="I55" s="971">
        <v>1215</v>
      </c>
      <c r="J55" s="972">
        <v>5118</v>
      </c>
      <c r="K55" s="971">
        <v>3011</v>
      </c>
      <c r="L55" s="970">
        <v>304</v>
      </c>
      <c r="M55" s="970"/>
      <c r="N55" s="971">
        <v>597</v>
      </c>
      <c r="O55" s="971">
        <v>0</v>
      </c>
      <c r="P55" s="971">
        <v>0</v>
      </c>
      <c r="Q55" s="970">
        <v>517</v>
      </c>
      <c r="R55" s="970"/>
      <c r="S55" s="971">
        <v>7105</v>
      </c>
      <c r="T55" s="973">
        <v>-123</v>
      </c>
      <c r="U55" s="973">
        <v>6982</v>
      </c>
    </row>
    <row r="56" spans="1:21" x14ac:dyDescent="0.25">
      <c r="A56" s="967">
        <v>90651</v>
      </c>
      <c r="B56" s="968" t="s">
        <v>2700</v>
      </c>
      <c r="C56" s="969">
        <v>1E-4</v>
      </c>
      <c r="D56" s="969">
        <v>1.108E-4</v>
      </c>
      <c r="E56" s="1008">
        <v>98054</v>
      </c>
      <c r="F56" s="1011">
        <v>235155</v>
      </c>
      <c r="G56" s="970">
        <v>152772</v>
      </c>
      <c r="H56" s="970"/>
      <c r="I56" s="971">
        <v>8801</v>
      </c>
      <c r="J56" s="972">
        <v>37093</v>
      </c>
      <c r="K56" s="971">
        <v>21818</v>
      </c>
      <c r="L56" s="970">
        <v>85885</v>
      </c>
      <c r="M56" s="970"/>
      <c r="N56" s="971">
        <v>4325</v>
      </c>
      <c r="O56" s="971">
        <v>0</v>
      </c>
      <c r="P56" s="971">
        <v>0</v>
      </c>
      <c r="Q56" s="970">
        <v>4659</v>
      </c>
      <c r="R56" s="970"/>
      <c r="S56" s="971">
        <v>51484</v>
      </c>
      <c r="T56" s="973">
        <v>25671</v>
      </c>
      <c r="U56" s="973">
        <f>77156-1</f>
        <v>77155</v>
      </c>
    </row>
    <row r="57" spans="1:21" x14ac:dyDescent="0.25">
      <c r="A57" s="967">
        <v>90701</v>
      </c>
      <c r="B57" s="968" t="s">
        <v>3682</v>
      </c>
      <c r="C57" s="969">
        <v>2.6581E-3</v>
      </c>
      <c r="D57" s="969">
        <v>2.3587E-3</v>
      </c>
      <c r="E57" s="1008">
        <v>1110621</v>
      </c>
      <c r="F57" s="1011">
        <v>0</v>
      </c>
      <c r="G57" s="970">
        <v>4060841</v>
      </c>
      <c r="H57" s="970"/>
      <c r="I57" s="971">
        <v>233942</v>
      </c>
      <c r="J57" s="972">
        <v>985977</v>
      </c>
      <c r="K57" s="971">
        <v>579944</v>
      </c>
      <c r="L57" s="970">
        <v>130818</v>
      </c>
      <c r="M57" s="970"/>
      <c r="N57" s="971">
        <v>114950</v>
      </c>
      <c r="O57" s="971">
        <v>0</v>
      </c>
      <c r="P57" s="971">
        <v>0</v>
      </c>
      <c r="Q57" s="970">
        <v>31847</v>
      </c>
      <c r="R57" s="970"/>
      <c r="S57" s="971">
        <v>1368507</v>
      </c>
      <c r="T57" s="973">
        <v>33872</v>
      </c>
      <c r="U57" s="973">
        <v>1402379</v>
      </c>
    </row>
    <row r="58" spans="1:21" x14ac:dyDescent="0.25">
      <c r="A58" s="967">
        <v>90704</v>
      </c>
      <c r="B58" s="968" t="s">
        <v>2702</v>
      </c>
      <c r="C58" s="969">
        <v>3.3300000000000003E-5</v>
      </c>
      <c r="D58" s="969">
        <v>3.4900000000000001E-5</v>
      </c>
      <c r="E58" s="1008">
        <v>23859</v>
      </c>
      <c r="F58" s="1011">
        <v>74069</v>
      </c>
      <c r="G58" s="970">
        <v>50873</v>
      </c>
      <c r="H58" s="970"/>
      <c r="I58" s="971">
        <v>2931</v>
      </c>
      <c r="J58" s="972">
        <v>12352</v>
      </c>
      <c r="K58" s="971">
        <v>7265</v>
      </c>
      <c r="L58" s="970">
        <v>14629</v>
      </c>
      <c r="M58" s="970"/>
      <c r="N58" s="971">
        <v>1440</v>
      </c>
      <c r="O58" s="971">
        <v>0</v>
      </c>
      <c r="P58" s="971">
        <v>0</v>
      </c>
      <c r="Q58" s="970">
        <v>0</v>
      </c>
      <c r="R58" s="970"/>
      <c r="S58" s="971">
        <v>17144</v>
      </c>
      <c r="T58" s="973">
        <v>5643</v>
      </c>
      <c r="U58" s="973">
        <f>22788-1</f>
        <v>22787</v>
      </c>
    </row>
    <row r="59" spans="1:21" x14ac:dyDescent="0.25">
      <c r="A59" s="967">
        <v>90705</v>
      </c>
      <c r="B59" s="968" t="s">
        <v>2703</v>
      </c>
      <c r="C59" s="969">
        <v>5.3000000000000001E-5</v>
      </c>
      <c r="D59" s="969">
        <v>3.3899999999999997E-5</v>
      </c>
      <c r="E59" s="1008">
        <v>23100</v>
      </c>
      <c r="F59" s="1011">
        <v>71947</v>
      </c>
      <c r="G59" s="970">
        <v>80969</v>
      </c>
      <c r="H59" s="970"/>
      <c r="I59" s="971">
        <v>4665</v>
      </c>
      <c r="J59" s="972">
        <v>19659</v>
      </c>
      <c r="K59" s="971">
        <v>11564</v>
      </c>
      <c r="L59" s="970">
        <v>18366</v>
      </c>
      <c r="M59" s="970"/>
      <c r="N59" s="971">
        <v>2292</v>
      </c>
      <c r="O59" s="971">
        <v>0</v>
      </c>
      <c r="P59" s="971">
        <v>0</v>
      </c>
      <c r="Q59" s="970">
        <v>0</v>
      </c>
      <c r="R59" s="970"/>
      <c r="S59" s="971">
        <v>27287</v>
      </c>
      <c r="T59" s="973">
        <v>6194</v>
      </c>
      <c r="U59" s="973">
        <v>33481</v>
      </c>
    </row>
    <row r="60" spans="1:21" x14ac:dyDescent="0.25">
      <c r="A60" s="967">
        <v>90709</v>
      </c>
      <c r="B60" s="968" t="s">
        <v>2704</v>
      </c>
      <c r="C60" s="969">
        <v>1.2650000000000001E-4</v>
      </c>
      <c r="D60" s="969">
        <v>1.4569999999999999E-4</v>
      </c>
      <c r="E60" s="1008">
        <v>61710</v>
      </c>
      <c r="F60" s="1011">
        <v>309224</v>
      </c>
      <c r="G60" s="970">
        <v>193257</v>
      </c>
      <c r="H60" s="970"/>
      <c r="I60" s="971">
        <v>11133</v>
      </c>
      <c r="J60" s="972">
        <v>46924</v>
      </c>
      <c r="K60" s="971">
        <v>27600</v>
      </c>
      <c r="L60" s="970">
        <v>5085</v>
      </c>
      <c r="M60" s="970"/>
      <c r="N60" s="971">
        <v>5470</v>
      </c>
      <c r="O60" s="971">
        <v>0</v>
      </c>
      <c r="P60" s="971">
        <v>0</v>
      </c>
      <c r="Q60" s="970">
        <v>42511</v>
      </c>
      <c r="R60" s="970"/>
      <c r="S60" s="971">
        <v>65128</v>
      </c>
      <c r="T60" s="973">
        <v>-9374</v>
      </c>
      <c r="U60" s="973">
        <v>55754</v>
      </c>
    </row>
    <row r="61" spans="1:21" x14ac:dyDescent="0.25">
      <c r="A61" s="967">
        <v>90711</v>
      </c>
      <c r="B61" s="968" t="s">
        <v>2705</v>
      </c>
      <c r="C61" s="969">
        <v>1.6877000000000001E-3</v>
      </c>
      <c r="D61" s="969">
        <v>1.7302000000000001E-3</v>
      </c>
      <c r="E61" s="1008">
        <v>774256</v>
      </c>
      <c r="F61" s="1011">
        <v>3672064</v>
      </c>
      <c r="G61" s="970">
        <v>2578338</v>
      </c>
      <c r="H61" s="970"/>
      <c r="I61" s="971">
        <v>148536</v>
      </c>
      <c r="J61" s="972">
        <v>626023</v>
      </c>
      <c r="K61" s="971">
        <v>368222</v>
      </c>
      <c r="L61" s="970">
        <v>0</v>
      </c>
      <c r="M61" s="970"/>
      <c r="N61" s="971">
        <v>72985</v>
      </c>
      <c r="O61" s="971">
        <v>0</v>
      </c>
      <c r="P61" s="971">
        <v>0</v>
      </c>
      <c r="Q61" s="970">
        <v>160849</v>
      </c>
      <c r="R61" s="970"/>
      <c r="S61" s="971">
        <v>868902</v>
      </c>
      <c r="T61" s="973">
        <v>-68798</v>
      </c>
      <c r="U61" s="973">
        <v>800104</v>
      </c>
    </row>
    <row r="62" spans="1:21" x14ac:dyDescent="0.25">
      <c r="A62" s="967">
        <v>90721</v>
      </c>
      <c r="B62" s="968" t="s">
        <v>2706</v>
      </c>
      <c r="C62" s="969">
        <v>2.8600000000000001E-5</v>
      </c>
      <c r="D62" s="969">
        <v>3.7299999999999999E-5</v>
      </c>
      <c r="E62" s="1008">
        <v>15289</v>
      </c>
      <c r="F62" s="1011">
        <v>79163</v>
      </c>
      <c r="G62" s="970">
        <v>43693</v>
      </c>
      <c r="H62" s="970"/>
      <c r="I62" s="971">
        <v>2517</v>
      </c>
      <c r="J62" s="972">
        <v>10608</v>
      </c>
      <c r="K62" s="971">
        <v>6240</v>
      </c>
      <c r="L62" s="970">
        <v>2956</v>
      </c>
      <c r="M62" s="970"/>
      <c r="N62" s="971">
        <v>1237</v>
      </c>
      <c r="O62" s="971">
        <v>0</v>
      </c>
      <c r="P62" s="971">
        <v>0</v>
      </c>
      <c r="Q62" s="970">
        <v>4943</v>
      </c>
      <c r="R62" s="970"/>
      <c r="S62" s="971">
        <v>14725</v>
      </c>
      <c r="T62" s="973">
        <v>1072</v>
      </c>
      <c r="U62" s="973">
        <f>15796+1</f>
        <v>15797</v>
      </c>
    </row>
    <row r="63" spans="1:21" x14ac:dyDescent="0.25">
      <c r="A63" s="967">
        <v>90731</v>
      </c>
      <c r="B63" s="968" t="s">
        <v>2707</v>
      </c>
      <c r="C63" s="969">
        <v>1.741E-4</v>
      </c>
      <c r="D63" s="969">
        <v>1.917E-4</v>
      </c>
      <c r="E63" s="1008">
        <v>79540</v>
      </c>
      <c r="F63" s="1011">
        <v>406852</v>
      </c>
      <c r="G63" s="970">
        <v>265977</v>
      </c>
      <c r="H63" s="970"/>
      <c r="I63" s="971">
        <v>15323</v>
      </c>
      <c r="J63" s="972">
        <v>64580</v>
      </c>
      <c r="K63" s="971">
        <v>37985</v>
      </c>
      <c r="L63" s="970">
        <v>0</v>
      </c>
      <c r="M63" s="970"/>
      <c r="N63" s="971">
        <v>7529</v>
      </c>
      <c r="O63" s="971">
        <v>0</v>
      </c>
      <c r="P63" s="971">
        <v>0</v>
      </c>
      <c r="Q63" s="970">
        <v>18148</v>
      </c>
      <c r="R63" s="970"/>
      <c r="S63" s="971">
        <v>89634</v>
      </c>
      <c r="T63" s="973">
        <v>-7025</v>
      </c>
      <c r="U63" s="973">
        <v>82609</v>
      </c>
    </row>
    <row r="64" spans="1:21" x14ac:dyDescent="0.25">
      <c r="A64" s="967">
        <v>90741</v>
      </c>
      <c r="B64" s="968" t="s">
        <v>2708</v>
      </c>
      <c r="C64" s="969">
        <v>9.0999999999999993E-6</v>
      </c>
      <c r="D64" s="969">
        <v>1.2099999999999999E-5</v>
      </c>
      <c r="E64" s="1008">
        <v>6433</v>
      </c>
      <c r="F64" s="1011">
        <v>25680</v>
      </c>
      <c r="G64" s="970">
        <v>13902</v>
      </c>
      <c r="H64" s="970"/>
      <c r="I64" s="971">
        <v>801</v>
      </c>
      <c r="J64" s="972">
        <v>3375</v>
      </c>
      <c r="K64" s="971">
        <v>1985</v>
      </c>
      <c r="L64" s="970">
        <v>2169</v>
      </c>
      <c r="M64" s="970"/>
      <c r="N64" s="971">
        <v>394</v>
      </c>
      <c r="O64" s="971">
        <v>0</v>
      </c>
      <c r="P64" s="971">
        <v>0</v>
      </c>
      <c r="Q64" s="970">
        <v>952</v>
      </c>
      <c r="R64" s="970"/>
      <c r="S64" s="971">
        <v>4685</v>
      </c>
      <c r="T64" s="973">
        <v>235</v>
      </c>
      <c r="U64" s="973">
        <v>4920</v>
      </c>
    </row>
    <row r="65" spans="1:21" x14ac:dyDescent="0.25">
      <c r="A65" s="967">
        <v>90751</v>
      </c>
      <c r="B65" s="968" t="s">
        <v>2709</v>
      </c>
      <c r="C65" s="969">
        <v>6.8700000000000003E-5</v>
      </c>
      <c r="D65" s="969">
        <v>6.5599999999999995E-5</v>
      </c>
      <c r="E65" s="1008">
        <v>27591</v>
      </c>
      <c r="F65" s="1011">
        <v>139225</v>
      </c>
      <c r="G65" s="970">
        <v>104955</v>
      </c>
      <c r="H65" s="970"/>
      <c r="I65" s="971">
        <v>6046</v>
      </c>
      <c r="J65" s="972">
        <v>25483</v>
      </c>
      <c r="K65" s="971">
        <v>14989</v>
      </c>
      <c r="L65" s="970">
        <v>4940</v>
      </c>
      <c r="M65" s="970"/>
      <c r="N65" s="971">
        <v>2971</v>
      </c>
      <c r="O65" s="971">
        <v>0</v>
      </c>
      <c r="P65" s="971">
        <v>0</v>
      </c>
      <c r="Q65" s="970">
        <v>1080</v>
      </c>
      <c r="R65" s="970"/>
      <c r="S65" s="971">
        <v>35370</v>
      </c>
      <c r="T65" s="973">
        <v>3400</v>
      </c>
      <c r="U65" s="973">
        <v>38770</v>
      </c>
    </row>
    <row r="66" spans="1:21" x14ac:dyDescent="0.25">
      <c r="A66" s="967">
        <v>90801</v>
      </c>
      <c r="B66" s="968" t="s">
        <v>2710</v>
      </c>
      <c r="C66" s="969">
        <v>1.3064000000000001E-3</v>
      </c>
      <c r="D66" s="969">
        <v>1.1404E-3</v>
      </c>
      <c r="E66" s="1008">
        <v>521156</v>
      </c>
      <c r="F66" s="1011">
        <v>2420311</v>
      </c>
      <c r="G66" s="970">
        <v>1995817</v>
      </c>
      <c r="H66" s="970"/>
      <c r="I66" s="971">
        <v>114978</v>
      </c>
      <c r="J66" s="972">
        <v>484586</v>
      </c>
      <c r="K66" s="971">
        <v>285030</v>
      </c>
      <c r="L66" s="970">
        <v>151641</v>
      </c>
      <c r="M66" s="970"/>
      <c r="N66" s="971">
        <v>56495</v>
      </c>
      <c r="O66" s="971">
        <v>0</v>
      </c>
      <c r="P66" s="971">
        <v>0</v>
      </c>
      <c r="Q66" s="970">
        <v>0</v>
      </c>
      <c r="R66" s="970"/>
      <c r="S66" s="971">
        <v>672592</v>
      </c>
      <c r="T66" s="973">
        <v>65370</v>
      </c>
      <c r="U66" s="973">
        <v>737962</v>
      </c>
    </row>
    <row r="67" spans="1:21" x14ac:dyDescent="0.25">
      <c r="A67" s="967">
        <v>90804</v>
      </c>
      <c r="B67" s="968" t="s">
        <v>2711</v>
      </c>
      <c r="C67" s="969">
        <v>6.1999999999999999E-6</v>
      </c>
      <c r="D67" s="969">
        <v>6.0000000000000002E-6</v>
      </c>
      <c r="E67" s="1008">
        <v>2751</v>
      </c>
      <c r="F67" s="1011">
        <v>12734</v>
      </c>
      <c r="G67" s="970">
        <v>9472</v>
      </c>
      <c r="H67" s="970"/>
      <c r="I67" s="971">
        <v>546</v>
      </c>
      <c r="J67" s="972">
        <v>2300</v>
      </c>
      <c r="K67" s="971">
        <v>1353</v>
      </c>
      <c r="L67" s="970">
        <v>1462</v>
      </c>
      <c r="M67" s="970"/>
      <c r="N67" s="971">
        <v>268</v>
      </c>
      <c r="O67" s="971">
        <v>0</v>
      </c>
      <c r="P67" s="971">
        <v>0</v>
      </c>
      <c r="Q67" s="970">
        <v>0</v>
      </c>
      <c r="R67" s="970"/>
      <c r="S67" s="971">
        <v>3192</v>
      </c>
      <c r="T67" s="973">
        <v>893</v>
      </c>
      <c r="U67" s="973">
        <v>4085</v>
      </c>
    </row>
    <row r="68" spans="1:21" x14ac:dyDescent="0.25">
      <c r="A68" s="967">
        <v>90805</v>
      </c>
      <c r="B68" s="968" t="s">
        <v>2712</v>
      </c>
      <c r="C68" s="969">
        <v>5.1900000000000001E-5</v>
      </c>
      <c r="D68" s="969">
        <v>5.5099999999999998E-5</v>
      </c>
      <c r="E68" s="1008">
        <v>35600</v>
      </c>
      <c r="F68" s="1011">
        <v>116941</v>
      </c>
      <c r="G68" s="970">
        <v>79289</v>
      </c>
      <c r="H68" s="970"/>
      <c r="I68" s="971">
        <v>4568</v>
      </c>
      <c r="J68" s="972">
        <v>19252</v>
      </c>
      <c r="K68" s="971">
        <v>11324</v>
      </c>
      <c r="L68" s="970">
        <v>22022</v>
      </c>
      <c r="M68" s="970"/>
      <c r="N68" s="971">
        <v>2244</v>
      </c>
      <c r="O68" s="971">
        <v>0</v>
      </c>
      <c r="P68" s="971">
        <v>0</v>
      </c>
      <c r="Q68" s="970">
        <v>0</v>
      </c>
      <c r="R68" s="970"/>
      <c r="S68" s="971">
        <v>26720</v>
      </c>
      <c r="T68" s="973">
        <v>9443</v>
      </c>
      <c r="U68" s="973">
        <v>36163</v>
      </c>
    </row>
    <row r="69" spans="1:21" x14ac:dyDescent="0.25">
      <c r="A69" s="967">
        <v>90808</v>
      </c>
      <c r="B69" s="968" t="s">
        <v>2713</v>
      </c>
      <c r="C69" s="969">
        <v>1.131E-4</v>
      </c>
      <c r="D69" s="969">
        <v>1.109E-4</v>
      </c>
      <c r="E69" s="1008">
        <v>56029</v>
      </c>
      <c r="F69" s="1011">
        <v>235367</v>
      </c>
      <c r="G69" s="970">
        <v>172785</v>
      </c>
      <c r="H69" s="970"/>
      <c r="I69" s="971">
        <v>9954</v>
      </c>
      <c r="J69" s="972">
        <v>41952</v>
      </c>
      <c r="K69" s="971">
        <v>24676</v>
      </c>
      <c r="L69" s="970">
        <v>5678</v>
      </c>
      <c r="M69" s="970"/>
      <c r="N69" s="971">
        <v>4891</v>
      </c>
      <c r="O69" s="971">
        <v>0</v>
      </c>
      <c r="P69" s="971">
        <v>0</v>
      </c>
      <c r="Q69" s="970">
        <v>2008</v>
      </c>
      <c r="R69" s="970"/>
      <c r="S69" s="971">
        <v>58229</v>
      </c>
      <c r="T69" s="973">
        <v>731</v>
      </c>
      <c r="U69" s="973">
        <f>58959+1</f>
        <v>58960</v>
      </c>
    </row>
    <row r="70" spans="1:21" x14ac:dyDescent="0.25">
      <c r="A70" s="967">
        <v>90811</v>
      </c>
      <c r="B70" s="968" t="s">
        <v>2714</v>
      </c>
      <c r="C70" s="969">
        <v>3.3599999999999997E-5</v>
      </c>
      <c r="D70" s="969">
        <v>4.0000000000000003E-5</v>
      </c>
      <c r="E70" s="1008">
        <v>11655</v>
      </c>
      <c r="F70" s="1011">
        <v>84893</v>
      </c>
      <c r="G70" s="970">
        <v>51331</v>
      </c>
      <c r="H70" s="970"/>
      <c r="I70" s="971">
        <v>2957</v>
      </c>
      <c r="J70" s="972">
        <v>12463</v>
      </c>
      <c r="K70" s="971">
        <v>7331</v>
      </c>
      <c r="L70" s="970">
        <v>471</v>
      </c>
      <c r="M70" s="970"/>
      <c r="N70" s="971">
        <v>1453</v>
      </c>
      <c r="O70" s="971">
        <v>0</v>
      </c>
      <c r="P70" s="971">
        <v>0</v>
      </c>
      <c r="Q70" s="970">
        <v>8846</v>
      </c>
      <c r="R70" s="970"/>
      <c r="S70" s="971">
        <v>17299</v>
      </c>
      <c r="T70" s="973">
        <v>-1986</v>
      </c>
      <c r="U70" s="973">
        <v>15313</v>
      </c>
    </row>
    <row r="71" spans="1:21" x14ac:dyDescent="0.25">
      <c r="A71" s="967">
        <v>90812</v>
      </c>
      <c r="B71" s="968" t="s">
        <v>2715</v>
      </c>
      <c r="C71" s="969">
        <v>2.2900000000000001E-4</v>
      </c>
      <c r="D71" s="969">
        <v>2.13E-4</v>
      </c>
      <c r="E71" s="1008">
        <v>105040</v>
      </c>
      <c r="F71" s="1011">
        <v>452057</v>
      </c>
      <c r="G71" s="970">
        <v>349849</v>
      </c>
      <c r="H71" s="970"/>
      <c r="I71" s="971">
        <v>20155</v>
      </c>
      <c r="J71" s="972">
        <v>84944</v>
      </c>
      <c r="K71" s="971">
        <v>49963</v>
      </c>
      <c r="L71" s="970">
        <v>15087</v>
      </c>
      <c r="M71" s="970"/>
      <c r="N71" s="971">
        <v>9903</v>
      </c>
      <c r="O71" s="971">
        <v>0</v>
      </c>
      <c r="P71" s="971">
        <v>0</v>
      </c>
      <c r="Q71" s="970">
        <v>10549</v>
      </c>
      <c r="R71" s="970"/>
      <c r="S71" s="971">
        <v>117899</v>
      </c>
      <c r="T71" s="973">
        <v>3117</v>
      </c>
      <c r="U71" s="973">
        <v>121016</v>
      </c>
    </row>
    <row r="72" spans="1:21" x14ac:dyDescent="0.25">
      <c r="A72" s="967">
        <v>90813</v>
      </c>
      <c r="B72" s="968" t="s">
        <v>2716</v>
      </c>
      <c r="C72" s="969">
        <v>5.3000000000000001E-6</v>
      </c>
      <c r="D72" s="969">
        <v>5.4999999999999999E-6</v>
      </c>
      <c r="E72" s="1008">
        <v>2061</v>
      </c>
      <c r="F72" s="1011">
        <v>11673</v>
      </c>
      <c r="G72" s="970">
        <v>8097</v>
      </c>
      <c r="H72" s="970"/>
      <c r="I72" s="971">
        <v>466</v>
      </c>
      <c r="J72" s="972">
        <v>1966</v>
      </c>
      <c r="K72" s="971">
        <v>1156</v>
      </c>
      <c r="L72" s="970">
        <v>0</v>
      </c>
      <c r="M72" s="970"/>
      <c r="N72" s="971">
        <v>229</v>
      </c>
      <c r="O72" s="971">
        <v>0</v>
      </c>
      <c r="P72" s="971">
        <v>0</v>
      </c>
      <c r="Q72" s="970">
        <v>1124</v>
      </c>
      <c r="R72" s="970"/>
      <c r="S72" s="971">
        <v>2729</v>
      </c>
      <c r="T72" s="973">
        <v>-505</v>
      </c>
      <c r="U72" s="973">
        <f>2223+1</f>
        <v>2224</v>
      </c>
    </row>
    <row r="73" spans="1:21" x14ac:dyDescent="0.25">
      <c r="A73" s="967">
        <v>90861</v>
      </c>
      <c r="B73" s="968" t="s">
        <v>2717</v>
      </c>
      <c r="C73" s="969">
        <v>4.1999999999999996E-6</v>
      </c>
      <c r="D73" s="969">
        <v>4.7999999999999998E-6</v>
      </c>
      <c r="E73" s="1008">
        <v>3703</v>
      </c>
      <c r="F73" s="1011">
        <v>10187</v>
      </c>
      <c r="G73" s="970">
        <v>6416</v>
      </c>
      <c r="H73" s="970"/>
      <c r="I73" s="971">
        <v>370</v>
      </c>
      <c r="J73" s="972">
        <v>1558</v>
      </c>
      <c r="K73" s="971">
        <v>916</v>
      </c>
      <c r="L73" s="970">
        <v>3211</v>
      </c>
      <c r="M73" s="970"/>
      <c r="N73" s="971">
        <v>182</v>
      </c>
      <c r="O73" s="971">
        <v>0</v>
      </c>
      <c r="P73" s="971">
        <v>0</v>
      </c>
      <c r="Q73" s="970">
        <v>1117</v>
      </c>
      <c r="R73" s="970"/>
      <c r="S73" s="971">
        <v>2162</v>
      </c>
      <c r="T73" s="973">
        <v>191</v>
      </c>
      <c r="U73" s="973">
        <v>2353</v>
      </c>
    </row>
    <row r="74" spans="1:21" x14ac:dyDescent="0.25">
      <c r="A74" s="967">
        <v>90901</v>
      </c>
      <c r="B74" s="968" t="s">
        <v>2718</v>
      </c>
      <c r="C74" s="969">
        <v>2.1814999999999998E-3</v>
      </c>
      <c r="D74" s="969">
        <v>2.1302999999999999E-3</v>
      </c>
      <c r="E74" s="1008">
        <v>980897</v>
      </c>
      <c r="F74" s="1011">
        <v>4521210</v>
      </c>
      <c r="G74" s="970">
        <v>3332728</v>
      </c>
      <c r="H74" s="970"/>
      <c r="I74" s="971">
        <v>191996</v>
      </c>
      <c r="J74" s="972">
        <v>809191</v>
      </c>
      <c r="K74" s="971">
        <v>475960</v>
      </c>
      <c r="L74" s="970">
        <v>22389</v>
      </c>
      <c r="M74" s="970"/>
      <c r="N74" s="971">
        <v>94339</v>
      </c>
      <c r="O74" s="971">
        <v>0</v>
      </c>
      <c r="P74" s="971">
        <v>0</v>
      </c>
      <c r="Q74" s="970">
        <v>38005</v>
      </c>
      <c r="R74" s="970"/>
      <c r="S74" s="971">
        <v>1123132</v>
      </c>
      <c r="T74" s="973">
        <v>-5969</v>
      </c>
      <c r="U74" s="973">
        <v>1117163</v>
      </c>
    </row>
    <row r="75" spans="1:21" x14ac:dyDescent="0.25">
      <c r="A75" s="967">
        <v>90911</v>
      </c>
      <c r="B75" s="968" t="s">
        <v>2719</v>
      </c>
      <c r="C75" s="969">
        <v>3.9780000000000002E-4</v>
      </c>
      <c r="D75" s="969">
        <v>3.6010000000000003E-4</v>
      </c>
      <c r="E75" s="1008">
        <v>159535</v>
      </c>
      <c r="F75" s="1011">
        <v>764253</v>
      </c>
      <c r="G75" s="970">
        <v>607728</v>
      </c>
      <c r="H75" s="970"/>
      <c r="I75" s="971">
        <v>35011</v>
      </c>
      <c r="J75" s="972">
        <v>147557</v>
      </c>
      <c r="K75" s="971">
        <v>86792</v>
      </c>
      <c r="L75" s="970">
        <v>6806</v>
      </c>
      <c r="M75" s="970"/>
      <c r="N75" s="971">
        <v>17203</v>
      </c>
      <c r="O75" s="971">
        <v>0</v>
      </c>
      <c r="P75" s="971">
        <v>0</v>
      </c>
      <c r="Q75" s="970">
        <v>31482</v>
      </c>
      <c r="R75" s="970"/>
      <c r="S75" s="971">
        <v>204805</v>
      </c>
      <c r="T75" s="973">
        <v>-18326</v>
      </c>
      <c r="U75" s="973">
        <v>186479</v>
      </c>
    </row>
    <row r="76" spans="1:21" x14ac:dyDescent="0.25">
      <c r="A76" s="967">
        <v>90917</v>
      </c>
      <c r="B76" s="968" t="s">
        <v>2720</v>
      </c>
      <c r="C76" s="969">
        <v>1.4399999999999999E-5</v>
      </c>
      <c r="D76" s="969">
        <v>1.42E-5</v>
      </c>
      <c r="E76" s="1008">
        <v>5784</v>
      </c>
      <c r="F76" s="1011">
        <v>30137</v>
      </c>
      <c r="G76" s="970">
        <v>21999</v>
      </c>
      <c r="H76" s="970"/>
      <c r="I76" s="971">
        <v>1267</v>
      </c>
      <c r="J76" s="972">
        <v>5342</v>
      </c>
      <c r="K76" s="971">
        <v>3142</v>
      </c>
      <c r="L76" s="970">
        <v>1461</v>
      </c>
      <c r="M76" s="970"/>
      <c r="N76" s="971">
        <v>623</v>
      </c>
      <c r="O76" s="971">
        <v>0</v>
      </c>
      <c r="P76" s="971">
        <v>0</v>
      </c>
      <c r="Q76" s="970">
        <v>966</v>
      </c>
      <c r="R76" s="970"/>
      <c r="S76" s="971">
        <v>7414</v>
      </c>
      <c r="T76" s="973">
        <v>-22</v>
      </c>
      <c r="U76" s="973">
        <v>7392</v>
      </c>
    </row>
    <row r="77" spans="1:21" x14ac:dyDescent="0.25">
      <c r="A77" s="967">
        <v>90918</v>
      </c>
      <c r="B77" s="968" t="s">
        <v>2721</v>
      </c>
      <c r="C77" s="969">
        <v>1.19E-5</v>
      </c>
      <c r="D77" s="969">
        <v>1.24E-5</v>
      </c>
      <c r="E77" s="1008">
        <v>4773</v>
      </c>
      <c r="F77" s="1011">
        <v>26317</v>
      </c>
      <c r="G77" s="970">
        <v>18180</v>
      </c>
      <c r="H77" s="970"/>
      <c r="I77" s="971">
        <v>1047</v>
      </c>
      <c r="J77" s="972">
        <v>4414</v>
      </c>
      <c r="K77" s="971">
        <v>2596</v>
      </c>
      <c r="L77" s="970">
        <v>0</v>
      </c>
      <c r="M77" s="970"/>
      <c r="N77" s="971">
        <v>515</v>
      </c>
      <c r="O77" s="971">
        <v>0</v>
      </c>
      <c r="P77" s="971">
        <v>0</v>
      </c>
      <c r="Q77" s="970">
        <v>2553</v>
      </c>
      <c r="R77" s="970"/>
      <c r="S77" s="971">
        <v>6127</v>
      </c>
      <c r="T77" s="973">
        <v>-1087</v>
      </c>
      <c r="U77" s="973">
        <f>5039+1</f>
        <v>5040</v>
      </c>
    </row>
    <row r="78" spans="1:21" x14ac:dyDescent="0.25">
      <c r="A78" s="967">
        <v>90921</v>
      </c>
      <c r="B78" s="968" t="s">
        <v>2722</v>
      </c>
      <c r="C78" s="969">
        <v>1.2970000000000001E-4</v>
      </c>
      <c r="D78" s="969">
        <v>8.7399999999999997E-5</v>
      </c>
      <c r="E78" s="1008">
        <v>59486</v>
      </c>
      <c r="F78" s="1011">
        <v>185492</v>
      </c>
      <c r="G78" s="970">
        <v>198146</v>
      </c>
      <c r="H78" s="970"/>
      <c r="I78" s="971">
        <v>11415</v>
      </c>
      <c r="J78" s="972">
        <v>48110</v>
      </c>
      <c r="K78" s="971">
        <v>28298</v>
      </c>
      <c r="L78" s="970">
        <v>31212</v>
      </c>
      <c r="M78" s="970"/>
      <c r="N78" s="971">
        <v>5609</v>
      </c>
      <c r="O78" s="971">
        <v>0</v>
      </c>
      <c r="P78" s="971">
        <v>0</v>
      </c>
      <c r="Q78" s="970">
        <v>7007</v>
      </c>
      <c r="R78" s="970"/>
      <c r="S78" s="971">
        <v>66775</v>
      </c>
      <c r="T78" s="973">
        <v>5102</v>
      </c>
      <c r="U78" s="973">
        <v>71877</v>
      </c>
    </row>
    <row r="79" spans="1:21" x14ac:dyDescent="0.25">
      <c r="A79" s="967">
        <v>90931</v>
      </c>
      <c r="B79" s="968" t="s">
        <v>2723</v>
      </c>
      <c r="C79" s="969">
        <v>4.07E-5</v>
      </c>
      <c r="D79" s="969">
        <v>5.1900000000000001E-5</v>
      </c>
      <c r="E79" s="1008">
        <v>16168</v>
      </c>
      <c r="F79" s="1011">
        <v>110149</v>
      </c>
      <c r="G79" s="970">
        <v>62178</v>
      </c>
      <c r="H79" s="970"/>
      <c r="I79" s="971">
        <v>3582</v>
      </c>
      <c r="J79" s="972">
        <v>15097</v>
      </c>
      <c r="K79" s="971">
        <v>8880</v>
      </c>
      <c r="L79" s="970">
        <v>3743</v>
      </c>
      <c r="M79" s="970"/>
      <c r="N79" s="971">
        <v>1760</v>
      </c>
      <c r="O79" s="971">
        <v>0</v>
      </c>
      <c r="P79" s="971">
        <v>0</v>
      </c>
      <c r="Q79" s="970">
        <v>14137</v>
      </c>
      <c r="R79" s="970"/>
      <c r="S79" s="971">
        <v>20954</v>
      </c>
      <c r="T79" s="973">
        <v>-1298</v>
      </c>
      <c r="U79" s="973">
        <v>19656</v>
      </c>
    </row>
    <row r="80" spans="1:21" x14ac:dyDescent="0.25">
      <c r="A80" s="967">
        <v>90941</v>
      </c>
      <c r="B80" s="968" t="s">
        <v>2724</v>
      </c>
      <c r="C80" s="969">
        <v>7.0300000000000001E-5</v>
      </c>
      <c r="D80" s="969">
        <v>9.0799999999999998E-5</v>
      </c>
      <c r="E80" s="1008">
        <v>35455</v>
      </c>
      <c r="F80" s="1011">
        <v>192708</v>
      </c>
      <c r="G80" s="970">
        <v>107399</v>
      </c>
      <c r="H80" s="970"/>
      <c r="I80" s="971">
        <v>6187</v>
      </c>
      <c r="J80" s="972">
        <v>26076</v>
      </c>
      <c r="K80" s="971">
        <v>15338</v>
      </c>
      <c r="L80" s="970">
        <v>1686</v>
      </c>
      <c r="M80" s="970"/>
      <c r="N80" s="971">
        <v>3040</v>
      </c>
      <c r="O80" s="971">
        <v>0</v>
      </c>
      <c r="P80" s="971">
        <v>0</v>
      </c>
      <c r="Q80" s="970">
        <v>16031</v>
      </c>
      <c r="R80" s="970"/>
      <c r="S80" s="971">
        <v>36194</v>
      </c>
      <c r="T80" s="973">
        <v>-4988</v>
      </c>
      <c r="U80" s="973">
        <f>31205+1</f>
        <v>31206</v>
      </c>
    </row>
    <row r="81" spans="1:21" x14ac:dyDescent="0.25">
      <c r="A81" s="967">
        <v>91001</v>
      </c>
      <c r="B81" s="968" t="s">
        <v>2725</v>
      </c>
      <c r="C81" s="969">
        <v>6.6703999999999999E-3</v>
      </c>
      <c r="D81" s="969">
        <v>6.6189999999999999E-3</v>
      </c>
      <c r="E81" s="1008">
        <v>2867178</v>
      </c>
      <c r="F81" s="1011">
        <v>14047735</v>
      </c>
      <c r="G81" s="970">
        <v>10190523</v>
      </c>
      <c r="H81" s="970"/>
      <c r="I81" s="971">
        <v>587069</v>
      </c>
      <c r="J81" s="972">
        <v>2474271</v>
      </c>
      <c r="K81" s="971">
        <v>1455348</v>
      </c>
      <c r="L81" s="970">
        <v>35831</v>
      </c>
      <c r="M81" s="970"/>
      <c r="N81" s="971">
        <v>288461</v>
      </c>
      <c r="O81" s="971">
        <v>0</v>
      </c>
      <c r="P81" s="971">
        <v>0</v>
      </c>
      <c r="Q81" s="970">
        <v>269013</v>
      </c>
      <c r="R81" s="970"/>
      <c r="S81" s="971">
        <v>3434215</v>
      </c>
      <c r="T81" s="973">
        <v>-50061</v>
      </c>
      <c r="U81" s="973">
        <v>3384154</v>
      </c>
    </row>
    <row r="82" spans="1:21" x14ac:dyDescent="0.25">
      <c r="A82" s="967">
        <v>91002</v>
      </c>
      <c r="B82" s="968" t="s">
        <v>2726</v>
      </c>
      <c r="C82" s="969">
        <v>6.8860000000000004E-4</v>
      </c>
      <c r="D82" s="969">
        <v>5.6360000000000004E-4</v>
      </c>
      <c r="E82" s="1008">
        <v>257315</v>
      </c>
      <c r="F82" s="1011">
        <v>1196148</v>
      </c>
      <c r="G82" s="970">
        <v>1051990</v>
      </c>
      <c r="H82" s="970"/>
      <c r="I82" s="971">
        <v>60604</v>
      </c>
      <c r="J82" s="972">
        <v>255424</v>
      </c>
      <c r="K82" s="971">
        <v>150239</v>
      </c>
      <c r="L82" s="970">
        <v>39390</v>
      </c>
      <c r="M82" s="970"/>
      <c r="N82" s="971">
        <v>29779</v>
      </c>
      <c r="O82" s="971">
        <v>0</v>
      </c>
      <c r="P82" s="971">
        <v>0</v>
      </c>
      <c r="Q82" s="970">
        <v>48600</v>
      </c>
      <c r="R82" s="970"/>
      <c r="S82" s="971">
        <v>354522</v>
      </c>
      <c r="T82" s="973">
        <v>-8849</v>
      </c>
      <c r="U82" s="973">
        <v>345673</v>
      </c>
    </row>
    <row r="83" spans="1:21" x14ac:dyDescent="0.25">
      <c r="A83" s="967">
        <v>91003</v>
      </c>
      <c r="B83" s="968" t="s">
        <v>2727</v>
      </c>
      <c r="C83" s="969">
        <v>5.7260000000000004E-4</v>
      </c>
      <c r="D83" s="969">
        <v>5.6550000000000003E-4</v>
      </c>
      <c r="E83" s="1008">
        <v>268789</v>
      </c>
      <c r="F83" s="1011">
        <v>1200180</v>
      </c>
      <c r="G83" s="970">
        <v>874774</v>
      </c>
      <c r="H83" s="970"/>
      <c r="I83" s="971">
        <v>50395</v>
      </c>
      <c r="J83" s="972">
        <v>212396</v>
      </c>
      <c r="K83" s="971">
        <v>124930</v>
      </c>
      <c r="L83" s="970">
        <v>27734</v>
      </c>
      <c r="M83" s="970"/>
      <c r="N83" s="971">
        <v>24762</v>
      </c>
      <c r="O83" s="971">
        <v>0</v>
      </c>
      <c r="P83" s="971">
        <v>0</v>
      </c>
      <c r="Q83" s="970">
        <v>28524</v>
      </c>
      <c r="R83" s="970"/>
      <c r="S83" s="971">
        <v>294800</v>
      </c>
      <c r="T83" s="973">
        <v>7266</v>
      </c>
      <c r="U83" s="973">
        <v>302066</v>
      </c>
    </row>
    <row r="84" spans="1:21" x14ac:dyDescent="0.25">
      <c r="A84" s="967">
        <v>91004</v>
      </c>
      <c r="B84" s="968" t="s">
        <v>2728</v>
      </c>
      <c r="C84" s="969">
        <v>2.58E-5</v>
      </c>
      <c r="D84" s="969">
        <v>1.7499999999999998E-5</v>
      </c>
      <c r="E84" s="1008">
        <v>13568</v>
      </c>
      <c r="F84" s="1011">
        <v>37141</v>
      </c>
      <c r="G84" s="970">
        <v>39415</v>
      </c>
      <c r="H84" s="970"/>
      <c r="I84" s="971">
        <v>2271</v>
      </c>
      <c r="J84" s="972">
        <v>9571</v>
      </c>
      <c r="K84" s="971">
        <v>5629</v>
      </c>
      <c r="L84" s="970">
        <v>12153</v>
      </c>
      <c r="M84" s="970"/>
      <c r="N84" s="971">
        <v>1116</v>
      </c>
      <c r="O84" s="971">
        <v>0</v>
      </c>
      <c r="P84" s="971">
        <v>0</v>
      </c>
      <c r="Q84" s="970">
        <v>108</v>
      </c>
      <c r="R84" s="970"/>
      <c r="S84" s="971">
        <v>13283</v>
      </c>
      <c r="T84" s="973">
        <v>4277</v>
      </c>
      <c r="U84" s="973">
        <v>17560</v>
      </c>
    </row>
    <row r="85" spans="1:21" x14ac:dyDescent="0.25">
      <c r="A85" s="967">
        <v>91006</v>
      </c>
      <c r="B85" s="968" t="s">
        <v>2729</v>
      </c>
      <c r="C85" s="969">
        <v>1.0317E-3</v>
      </c>
      <c r="D85" s="969">
        <v>1.0096E-3</v>
      </c>
      <c r="E85" s="1008">
        <v>446629</v>
      </c>
      <c r="F85" s="1011">
        <v>2142709</v>
      </c>
      <c r="G85" s="970">
        <v>1576152</v>
      </c>
      <c r="H85" s="970"/>
      <c r="I85" s="971">
        <v>90801</v>
      </c>
      <c r="J85" s="972">
        <v>382692</v>
      </c>
      <c r="K85" s="971">
        <v>225096</v>
      </c>
      <c r="L85" s="970">
        <v>18199</v>
      </c>
      <c r="M85" s="970"/>
      <c r="N85" s="971">
        <v>44616</v>
      </c>
      <c r="O85" s="971">
        <v>0</v>
      </c>
      <c r="P85" s="971">
        <v>0</v>
      </c>
      <c r="Q85" s="970">
        <v>22958</v>
      </c>
      <c r="R85" s="970"/>
      <c r="S85" s="971">
        <v>531165</v>
      </c>
      <c r="T85" s="973">
        <v>3230</v>
      </c>
      <c r="U85" s="973">
        <v>534395</v>
      </c>
    </row>
    <row r="86" spans="1:21" x14ac:dyDescent="0.25">
      <c r="A86" s="967">
        <v>91007</v>
      </c>
      <c r="B86" s="968" t="s">
        <v>2730</v>
      </c>
      <c r="C86" s="969">
        <v>9.5000000000000005E-6</v>
      </c>
      <c r="D86" s="969">
        <v>1.2500000000000001E-5</v>
      </c>
      <c r="E86" s="1008">
        <v>9502</v>
      </c>
      <c r="F86" s="1011">
        <v>26529</v>
      </c>
      <c r="G86" s="970">
        <v>14513</v>
      </c>
      <c r="H86" s="970"/>
      <c r="I86" s="971">
        <v>836</v>
      </c>
      <c r="J86" s="972">
        <v>3524</v>
      </c>
      <c r="K86" s="971">
        <v>2073</v>
      </c>
      <c r="L86" s="970">
        <v>7476</v>
      </c>
      <c r="M86" s="970"/>
      <c r="N86" s="971">
        <v>411</v>
      </c>
      <c r="O86" s="971">
        <v>0</v>
      </c>
      <c r="P86" s="971">
        <v>0</v>
      </c>
      <c r="Q86" s="970">
        <v>507</v>
      </c>
      <c r="R86" s="970"/>
      <c r="S86" s="971">
        <v>4891</v>
      </c>
      <c r="T86" s="973">
        <v>2150</v>
      </c>
      <c r="U86" s="973">
        <v>7041</v>
      </c>
    </row>
    <row r="87" spans="1:21" x14ac:dyDescent="0.25">
      <c r="A87" s="967">
        <v>91008</v>
      </c>
      <c r="B87" s="968" t="s">
        <v>2731</v>
      </c>
      <c r="C87" s="969">
        <v>1.236E-4</v>
      </c>
      <c r="D87" s="969">
        <v>1.273E-4</v>
      </c>
      <c r="E87" s="1008">
        <v>68974</v>
      </c>
      <c r="F87" s="1011">
        <v>270173</v>
      </c>
      <c r="G87" s="970">
        <v>188827</v>
      </c>
      <c r="H87" s="970"/>
      <c r="I87" s="971">
        <v>10878</v>
      </c>
      <c r="J87" s="972">
        <v>45847</v>
      </c>
      <c r="K87" s="971">
        <v>26967</v>
      </c>
      <c r="L87" s="970">
        <v>37042</v>
      </c>
      <c r="M87" s="970"/>
      <c r="N87" s="971">
        <v>5345</v>
      </c>
      <c r="O87" s="971">
        <v>0</v>
      </c>
      <c r="P87" s="971">
        <v>0</v>
      </c>
      <c r="Q87" s="970">
        <v>0</v>
      </c>
      <c r="R87" s="970"/>
      <c r="S87" s="971">
        <v>63635</v>
      </c>
      <c r="T87" s="973">
        <v>17548</v>
      </c>
      <c r="U87" s="973">
        <v>81183</v>
      </c>
    </row>
    <row r="88" spans="1:21" x14ac:dyDescent="0.25">
      <c r="A88" s="967">
        <v>91009</v>
      </c>
      <c r="B88" s="968" t="s">
        <v>2732</v>
      </c>
      <c r="C88" s="969">
        <v>1.7499999999999998E-5</v>
      </c>
      <c r="D88" s="969">
        <v>1.8700000000000001E-5</v>
      </c>
      <c r="E88" s="1008">
        <v>11392</v>
      </c>
      <c r="F88" s="1011">
        <v>39688</v>
      </c>
      <c r="G88" s="970">
        <v>26735</v>
      </c>
      <c r="H88" s="970"/>
      <c r="I88" s="971">
        <v>1540</v>
      </c>
      <c r="J88" s="972">
        <v>6491</v>
      </c>
      <c r="K88" s="971">
        <v>3818</v>
      </c>
      <c r="L88" s="970">
        <v>4951</v>
      </c>
      <c r="M88" s="970"/>
      <c r="N88" s="971">
        <v>757</v>
      </c>
      <c r="O88" s="971">
        <v>0</v>
      </c>
      <c r="P88" s="971">
        <v>0</v>
      </c>
      <c r="Q88" s="970">
        <v>2458</v>
      </c>
      <c r="R88" s="970"/>
      <c r="S88" s="971">
        <v>9010</v>
      </c>
      <c r="T88" s="973">
        <v>187</v>
      </c>
      <c r="U88" s="973">
        <v>9197</v>
      </c>
    </row>
    <row r="89" spans="1:21" x14ac:dyDescent="0.25">
      <c r="A89" s="967">
        <v>91010</v>
      </c>
      <c r="B89" s="968" t="s">
        <v>2733</v>
      </c>
      <c r="C89" s="969">
        <v>7.0099999999999996E-5</v>
      </c>
      <c r="D89" s="969">
        <v>6.8399999999999996E-5</v>
      </c>
      <c r="E89" s="1008">
        <v>32517</v>
      </c>
      <c r="F89" s="1011">
        <v>145168</v>
      </c>
      <c r="G89" s="970">
        <v>107093</v>
      </c>
      <c r="H89" s="970"/>
      <c r="I89" s="971">
        <v>6170</v>
      </c>
      <c r="J89" s="972">
        <v>26003</v>
      </c>
      <c r="K89" s="971">
        <v>15294</v>
      </c>
      <c r="L89" s="970">
        <v>7603</v>
      </c>
      <c r="M89" s="970"/>
      <c r="N89" s="971">
        <v>3031</v>
      </c>
      <c r="O89" s="971">
        <v>0</v>
      </c>
      <c r="P89" s="971">
        <v>0</v>
      </c>
      <c r="Q89" s="970">
        <v>296</v>
      </c>
      <c r="R89" s="970"/>
      <c r="S89" s="971">
        <v>36091</v>
      </c>
      <c r="T89" s="973">
        <v>4736</v>
      </c>
      <c r="U89" s="973">
        <v>40827</v>
      </c>
    </row>
    <row r="90" spans="1:21" x14ac:dyDescent="0.25">
      <c r="A90" s="967">
        <v>91011</v>
      </c>
      <c r="B90" s="968" t="s">
        <v>2734</v>
      </c>
      <c r="C90" s="969">
        <v>3.5760000000000002E-4</v>
      </c>
      <c r="D90" s="969">
        <v>3.1789999999999998E-4</v>
      </c>
      <c r="E90" s="1008">
        <v>159847</v>
      </c>
      <c r="F90" s="1011">
        <v>674690</v>
      </c>
      <c r="G90" s="970">
        <v>546314</v>
      </c>
      <c r="H90" s="970"/>
      <c r="I90" s="971">
        <v>31473</v>
      </c>
      <c r="J90" s="972">
        <v>132645</v>
      </c>
      <c r="K90" s="971">
        <v>78021</v>
      </c>
      <c r="L90" s="970">
        <v>43643</v>
      </c>
      <c r="M90" s="970"/>
      <c r="N90" s="971">
        <v>15464</v>
      </c>
      <c r="O90" s="971">
        <v>0</v>
      </c>
      <c r="P90" s="971">
        <v>0</v>
      </c>
      <c r="Q90" s="970">
        <v>0</v>
      </c>
      <c r="R90" s="970"/>
      <c r="S90" s="971">
        <v>184108</v>
      </c>
      <c r="T90" s="973">
        <v>16126</v>
      </c>
      <c r="U90" s="973">
        <v>200234</v>
      </c>
    </row>
    <row r="91" spans="1:21" x14ac:dyDescent="0.25">
      <c r="A91" s="967">
        <v>91012</v>
      </c>
      <c r="B91" s="968" t="s">
        <v>2735</v>
      </c>
      <c r="C91" s="969">
        <v>1.9300000000000002E-5</v>
      </c>
      <c r="D91" s="969">
        <v>1.49E-5</v>
      </c>
      <c r="E91" s="1008">
        <v>8623</v>
      </c>
      <c r="F91" s="1011">
        <v>31623</v>
      </c>
      <c r="G91" s="970">
        <v>29485</v>
      </c>
      <c r="H91" s="970"/>
      <c r="I91" s="971">
        <v>1699</v>
      </c>
      <c r="J91" s="972">
        <v>7159</v>
      </c>
      <c r="K91" s="971">
        <v>4211</v>
      </c>
      <c r="L91" s="970">
        <v>5400</v>
      </c>
      <c r="M91" s="970"/>
      <c r="N91" s="971">
        <v>835</v>
      </c>
      <c r="O91" s="971">
        <v>0</v>
      </c>
      <c r="P91" s="971">
        <v>0</v>
      </c>
      <c r="Q91" s="970">
        <v>2458</v>
      </c>
      <c r="R91" s="970"/>
      <c r="S91" s="971">
        <v>9936</v>
      </c>
      <c r="T91" s="973">
        <v>-662</v>
      </c>
      <c r="U91" s="973">
        <f>9275-1</f>
        <v>9274</v>
      </c>
    </row>
    <row r="92" spans="1:21" x14ac:dyDescent="0.25">
      <c r="A92" s="967">
        <v>91013</v>
      </c>
      <c r="B92" s="968" t="s">
        <v>2736</v>
      </c>
      <c r="C92" s="969">
        <v>2.34E-5</v>
      </c>
      <c r="D92" s="969">
        <v>2.1800000000000001E-5</v>
      </c>
      <c r="E92" s="1008">
        <v>29322</v>
      </c>
      <c r="F92" s="1011">
        <v>46267</v>
      </c>
      <c r="G92" s="970">
        <v>35749</v>
      </c>
      <c r="H92" s="970"/>
      <c r="I92" s="971">
        <v>2059</v>
      </c>
      <c r="J92" s="972">
        <v>8680</v>
      </c>
      <c r="K92" s="971">
        <v>5105</v>
      </c>
      <c r="L92" s="970">
        <v>31764</v>
      </c>
      <c r="M92" s="970"/>
      <c r="N92" s="971">
        <v>1012</v>
      </c>
      <c r="O92" s="971">
        <v>0</v>
      </c>
      <c r="P92" s="971">
        <v>0</v>
      </c>
      <c r="Q92" s="970">
        <v>0</v>
      </c>
      <c r="R92" s="970"/>
      <c r="S92" s="971">
        <v>12047</v>
      </c>
      <c r="T92" s="973">
        <v>9518</v>
      </c>
      <c r="U92" s="973">
        <v>21565</v>
      </c>
    </row>
    <row r="93" spans="1:21" x14ac:dyDescent="0.25">
      <c r="A93" s="967">
        <v>91014</v>
      </c>
      <c r="B93" s="968" t="s">
        <v>2737</v>
      </c>
      <c r="C93" s="969">
        <v>2.22E-4</v>
      </c>
      <c r="D93" s="969">
        <v>2.1499999999999999E-4</v>
      </c>
      <c r="E93" s="1008">
        <v>97692</v>
      </c>
      <c r="F93" s="1011">
        <v>456302</v>
      </c>
      <c r="G93" s="970">
        <v>339155</v>
      </c>
      <c r="H93" s="970"/>
      <c r="I93" s="971">
        <v>19538</v>
      </c>
      <c r="J93" s="972">
        <v>82347</v>
      </c>
      <c r="K93" s="971">
        <v>48436</v>
      </c>
      <c r="L93" s="970">
        <v>1313</v>
      </c>
      <c r="M93" s="970"/>
      <c r="N93" s="971">
        <v>9600</v>
      </c>
      <c r="O93" s="971">
        <v>0</v>
      </c>
      <c r="P93" s="971">
        <v>0</v>
      </c>
      <c r="Q93" s="970">
        <v>11287</v>
      </c>
      <c r="R93" s="970"/>
      <c r="S93" s="971">
        <v>114295</v>
      </c>
      <c r="T93" s="973">
        <v>-6129</v>
      </c>
      <c r="U93" s="973">
        <f>108167-1</f>
        <v>108166</v>
      </c>
    </row>
    <row r="94" spans="1:21" x14ac:dyDescent="0.25">
      <c r="A94" s="967">
        <v>91017</v>
      </c>
      <c r="B94" s="968" t="s">
        <v>2738</v>
      </c>
      <c r="C94" s="969">
        <v>2.4300000000000001E-5</v>
      </c>
      <c r="D94" s="969">
        <v>2.3E-5</v>
      </c>
      <c r="E94" s="1008">
        <v>12462</v>
      </c>
      <c r="F94" s="1011">
        <v>48814</v>
      </c>
      <c r="G94" s="970">
        <v>37124</v>
      </c>
      <c r="H94" s="970"/>
      <c r="I94" s="971">
        <v>2139</v>
      </c>
      <c r="J94" s="972">
        <v>9014</v>
      </c>
      <c r="K94" s="971">
        <v>5302</v>
      </c>
      <c r="L94" s="970">
        <v>10242</v>
      </c>
      <c r="M94" s="970"/>
      <c r="N94" s="971">
        <v>1051</v>
      </c>
      <c r="O94" s="971">
        <v>0</v>
      </c>
      <c r="P94" s="971">
        <v>0</v>
      </c>
      <c r="Q94" s="970">
        <v>0</v>
      </c>
      <c r="R94" s="970"/>
      <c r="S94" s="971">
        <v>12511</v>
      </c>
      <c r="T94" s="973">
        <v>4025</v>
      </c>
      <c r="U94" s="973">
        <v>16536</v>
      </c>
    </row>
    <row r="95" spans="1:21" x14ac:dyDescent="0.25">
      <c r="A95" s="967">
        <v>91020</v>
      </c>
      <c r="B95" s="968" t="s">
        <v>2739</v>
      </c>
      <c r="C95" s="969">
        <v>2.27E-5</v>
      </c>
      <c r="D95" s="969">
        <v>1.9899999999999999E-5</v>
      </c>
      <c r="E95" s="1008">
        <v>10949</v>
      </c>
      <c r="F95" s="1011">
        <v>42234</v>
      </c>
      <c r="G95" s="970">
        <v>34679</v>
      </c>
      <c r="H95" s="970"/>
      <c r="I95" s="971">
        <v>1998</v>
      </c>
      <c r="J95" s="972">
        <v>8420</v>
      </c>
      <c r="K95" s="971">
        <v>4953</v>
      </c>
      <c r="L95" s="970">
        <v>4064</v>
      </c>
      <c r="M95" s="970"/>
      <c r="N95" s="971">
        <v>982</v>
      </c>
      <c r="O95" s="971">
        <v>0</v>
      </c>
      <c r="P95" s="971">
        <v>0</v>
      </c>
      <c r="Q95" s="970">
        <v>376</v>
      </c>
      <c r="R95" s="970"/>
      <c r="S95" s="971">
        <v>11687</v>
      </c>
      <c r="T95" s="973">
        <v>1259</v>
      </c>
      <c r="U95" s="973">
        <v>12946</v>
      </c>
    </row>
    <row r="96" spans="1:21" x14ac:dyDescent="0.25">
      <c r="A96" s="967">
        <v>91021</v>
      </c>
      <c r="B96" s="968" t="s">
        <v>2740</v>
      </c>
      <c r="C96" s="969">
        <v>8.6450000000000003E-4</v>
      </c>
      <c r="D96" s="969">
        <v>8.6989999999999995E-4</v>
      </c>
      <c r="E96" s="1008">
        <v>387782</v>
      </c>
      <c r="F96" s="1011">
        <v>1846219</v>
      </c>
      <c r="G96" s="970">
        <v>1320717</v>
      </c>
      <c r="H96" s="970"/>
      <c r="I96" s="971">
        <v>76086</v>
      </c>
      <c r="J96" s="972">
        <v>320672</v>
      </c>
      <c r="K96" s="971">
        <v>188617</v>
      </c>
      <c r="L96" s="970">
        <v>0</v>
      </c>
      <c r="M96" s="970"/>
      <c r="N96" s="971">
        <v>37385</v>
      </c>
      <c r="O96" s="971">
        <v>0</v>
      </c>
      <c r="P96" s="971">
        <v>0</v>
      </c>
      <c r="Q96" s="970">
        <v>82677</v>
      </c>
      <c r="R96" s="970"/>
      <c r="S96" s="971">
        <v>445083</v>
      </c>
      <c r="T96" s="973">
        <v>-48679</v>
      </c>
      <c r="U96" s="973">
        <v>396404</v>
      </c>
    </row>
    <row r="97" spans="1:21" x14ac:dyDescent="0.25">
      <c r="A97" s="967">
        <v>91024</v>
      </c>
      <c r="B97" s="968" t="s">
        <v>2741</v>
      </c>
      <c r="C97" s="969">
        <v>7.2999999999999999E-5</v>
      </c>
      <c r="D97" s="969">
        <v>6.6299999999999999E-5</v>
      </c>
      <c r="E97" s="1008">
        <v>34458</v>
      </c>
      <c r="F97" s="1011">
        <v>140711</v>
      </c>
      <c r="G97" s="970">
        <v>111524</v>
      </c>
      <c r="H97" s="970"/>
      <c r="I97" s="971">
        <v>6425</v>
      </c>
      <c r="J97" s="972">
        <v>27078</v>
      </c>
      <c r="K97" s="971">
        <v>15927</v>
      </c>
      <c r="L97" s="970">
        <v>24081</v>
      </c>
      <c r="M97" s="970"/>
      <c r="N97" s="971">
        <v>3157</v>
      </c>
      <c r="O97" s="971">
        <v>0</v>
      </c>
      <c r="P97" s="971">
        <v>0</v>
      </c>
      <c r="Q97" s="970">
        <v>0</v>
      </c>
      <c r="R97" s="970"/>
      <c r="S97" s="971">
        <v>37584</v>
      </c>
      <c r="T97" s="973">
        <v>10843</v>
      </c>
      <c r="U97" s="973">
        <f>48426+1</f>
        <v>48427</v>
      </c>
    </row>
    <row r="98" spans="1:21" x14ac:dyDescent="0.25">
      <c r="A98" s="967">
        <v>91026</v>
      </c>
      <c r="B98" s="968" t="s">
        <v>1269</v>
      </c>
      <c r="C98" s="969">
        <v>4.18E-5</v>
      </c>
      <c r="D98" s="969">
        <v>6.0900000000000003E-5</v>
      </c>
      <c r="E98" s="1008">
        <v>40781</v>
      </c>
      <c r="F98" s="1011">
        <v>129250</v>
      </c>
      <c r="G98" s="970">
        <v>63859</v>
      </c>
      <c r="H98" s="970"/>
      <c r="I98" s="971">
        <v>3679</v>
      </c>
      <c r="J98" s="972">
        <v>15505</v>
      </c>
      <c r="K98" s="971">
        <v>9120</v>
      </c>
      <c r="L98" s="970">
        <v>34468</v>
      </c>
      <c r="M98" s="970"/>
      <c r="N98" s="971">
        <v>1808</v>
      </c>
      <c r="O98" s="971">
        <v>0</v>
      </c>
      <c r="P98" s="971">
        <v>0</v>
      </c>
      <c r="Q98" s="970">
        <v>3103</v>
      </c>
      <c r="R98" s="970"/>
      <c r="S98" s="971">
        <v>21520</v>
      </c>
      <c r="T98" s="973">
        <v>11546</v>
      </c>
      <c r="U98" s="973">
        <v>33066</v>
      </c>
    </row>
    <row r="99" spans="1:21" x14ac:dyDescent="0.25">
      <c r="A99" s="967">
        <v>91027</v>
      </c>
      <c r="B99" s="968" t="s">
        <v>2742</v>
      </c>
      <c r="C99" s="969">
        <v>1.4E-5</v>
      </c>
      <c r="D99" s="969">
        <v>1.6099999999999998E-5</v>
      </c>
      <c r="E99" s="1008">
        <v>15968</v>
      </c>
      <c r="F99" s="1011">
        <v>34170</v>
      </c>
      <c r="G99" s="970">
        <v>21388</v>
      </c>
      <c r="H99" s="970"/>
      <c r="I99" s="971">
        <v>1232</v>
      </c>
      <c r="J99" s="972">
        <v>5193</v>
      </c>
      <c r="K99" s="971">
        <v>3055</v>
      </c>
      <c r="L99" s="970">
        <v>16343</v>
      </c>
      <c r="M99" s="970"/>
      <c r="N99" s="971">
        <v>605</v>
      </c>
      <c r="O99" s="971">
        <v>0</v>
      </c>
      <c r="P99" s="971">
        <v>0</v>
      </c>
      <c r="Q99" s="970">
        <v>0</v>
      </c>
      <c r="R99" s="970"/>
      <c r="S99" s="971">
        <v>7208</v>
      </c>
      <c r="T99" s="973">
        <v>6601</v>
      </c>
      <c r="U99" s="973">
        <f>13808+1</f>
        <v>13809</v>
      </c>
    </row>
    <row r="100" spans="1:21" x14ac:dyDescent="0.25">
      <c r="A100" s="967">
        <v>91032</v>
      </c>
      <c r="B100" s="968" t="s">
        <v>2743</v>
      </c>
      <c r="C100" s="969">
        <v>1.8E-5</v>
      </c>
      <c r="D100" s="969">
        <v>1.8600000000000001E-5</v>
      </c>
      <c r="E100" s="1008">
        <v>16168</v>
      </c>
      <c r="F100" s="1011">
        <v>39475</v>
      </c>
      <c r="G100" s="970">
        <v>27499</v>
      </c>
      <c r="H100" s="970"/>
      <c r="I100" s="971">
        <v>1584</v>
      </c>
      <c r="J100" s="972">
        <v>6677</v>
      </c>
      <c r="K100" s="971">
        <v>3927</v>
      </c>
      <c r="L100" s="970">
        <v>14996</v>
      </c>
      <c r="M100" s="970"/>
      <c r="N100" s="971">
        <v>778</v>
      </c>
      <c r="O100" s="971">
        <v>0</v>
      </c>
      <c r="P100" s="971">
        <v>0</v>
      </c>
      <c r="Q100" s="970">
        <v>0</v>
      </c>
      <c r="R100" s="970"/>
      <c r="S100" s="971">
        <v>9267</v>
      </c>
      <c r="T100" s="973">
        <v>6458</v>
      </c>
      <c r="U100" s="973">
        <v>15725</v>
      </c>
    </row>
    <row r="101" spans="1:21" x14ac:dyDescent="0.25">
      <c r="A101" s="967">
        <v>91041</v>
      </c>
      <c r="B101" s="968" t="s">
        <v>2744</v>
      </c>
      <c r="C101" s="969">
        <v>4.0400000000000001E-4</v>
      </c>
      <c r="D101" s="969">
        <v>4.3609999999999998E-4</v>
      </c>
      <c r="E101" s="1008">
        <v>157511</v>
      </c>
      <c r="F101" s="1011">
        <v>925550</v>
      </c>
      <c r="G101" s="970">
        <v>617200</v>
      </c>
      <c r="H101" s="970"/>
      <c r="I101" s="971">
        <v>35556</v>
      </c>
      <c r="J101" s="972">
        <v>149857</v>
      </c>
      <c r="K101" s="971">
        <v>88145</v>
      </c>
      <c r="L101" s="970">
        <v>0</v>
      </c>
      <c r="M101" s="970"/>
      <c r="N101" s="971">
        <v>17471</v>
      </c>
      <c r="O101" s="971">
        <v>0</v>
      </c>
      <c r="P101" s="971">
        <v>0</v>
      </c>
      <c r="Q101" s="970">
        <v>109443</v>
      </c>
      <c r="R101" s="970"/>
      <c r="S101" s="971">
        <v>207997</v>
      </c>
      <c r="T101" s="973">
        <v>-39088</v>
      </c>
      <c r="U101" s="973">
        <v>168909</v>
      </c>
    </row>
    <row r="102" spans="1:21" x14ac:dyDescent="0.25">
      <c r="A102" s="967">
        <v>91042</v>
      </c>
      <c r="B102" s="968" t="s">
        <v>2745</v>
      </c>
      <c r="C102" s="969">
        <v>2.3360000000000001E-4</v>
      </c>
      <c r="D102" s="969">
        <v>2.062E-4</v>
      </c>
      <c r="E102" s="1008">
        <v>99551</v>
      </c>
      <c r="F102" s="1011">
        <v>437625</v>
      </c>
      <c r="G102" s="970">
        <v>356876</v>
      </c>
      <c r="H102" s="970"/>
      <c r="I102" s="971">
        <v>20559</v>
      </c>
      <c r="J102" s="972">
        <v>86650</v>
      </c>
      <c r="K102" s="971">
        <v>50967</v>
      </c>
      <c r="L102" s="970">
        <v>12354</v>
      </c>
      <c r="M102" s="970"/>
      <c r="N102" s="971">
        <v>10102</v>
      </c>
      <c r="O102" s="971">
        <v>0</v>
      </c>
      <c r="P102" s="971">
        <v>0</v>
      </c>
      <c r="Q102" s="970">
        <v>6985</v>
      </c>
      <c r="R102" s="970"/>
      <c r="S102" s="971">
        <v>120268</v>
      </c>
      <c r="T102" s="973">
        <v>717</v>
      </c>
      <c r="U102" s="973">
        <f>120984+1</f>
        <v>120985</v>
      </c>
    </row>
    <row r="103" spans="1:21" x14ac:dyDescent="0.25">
      <c r="A103" s="967">
        <v>91047</v>
      </c>
      <c r="B103" s="968" t="s">
        <v>2746</v>
      </c>
      <c r="C103" s="969">
        <v>1.31E-5</v>
      </c>
      <c r="D103" s="969">
        <v>1.3200000000000001E-5</v>
      </c>
      <c r="E103" s="1008">
        <v>16396</v>
      </c>
      <c r="F103" s="1011">
        <v>28015</v>
      </c>
      <c r="G103" s="970">
        <v>20013</v>
      </c>
      <c r="H103" s="970"/>
      <c r="I103" s="971">
        <v>1153</v>
      </c>
      <c r="J103" s="972">
        <v>4859</v>
      </c>
      <c r="K103" s="971">
        <v>2858</v>
      </c>
      <c r="L103" s="970">
        <v>20507</v>
      </c>
      <c r="M103" s="970"/>
      <c r="N103" s="971">
        <v>567</v>
      </c>
      <c r="O103" s="971">
        <v>0</v>
      </c>
      <c r="P103" s="971">
        <v>0</v>
      </c>
      <c r="Q103" s="970">
        <v>0</v>
      </c>
      <c r="R103" s="970"/>
      <c r="S103" s="971">
        <v>6744</v>
      </c>
      <c r="T103" s="973">
        <v>7559</v>
      </c>
      <c r="U103" s="973">
        <v>14303</v>
      </c>
    </row>
    <row r="104" spans="1:21" x14ac:dyDescent="0.25">
      <c r="A104" s="967">
        <v>91051</v>
      </c>
      <c r="B104" s="968" t="s">
        <v>2747</v>
      </c>
      <c r="C104" s="969">
        <v>6.6400000000000001E-5</v>
      </c>
      <c r="D104" s="969">
        <v>7.6600000000000005E-5</v>
      </c>
      <c r="E104" s="1008">
        <v>30964</v>
      </c>
      <c r="F104" s="1011">
        <v>162571</v>
      </c>
      <c r="G104" s="970">
        <v>101441</v>
      </c>
      <c r="H104" s="970"/>
      <c r="I104" s="971">
        <v>5844</v>
      </c>
      <c r="J104" s="972">
        <v>24630</v>
      </c>
      <c r="K104" s="971">
        <v>14487</v>
      </c>
      <c r="L104" s="970">
        <v>1619</v>
      </c>
      <c r="M104" s="970"/>
      <c r="N104" s="971">
        <v>2871</v>
      </c>
      <c r="O104" s="971">
        <v>0</v>
      </c>
      <c r="P104" s="971">
        <v>0</v>
      </c>
      <c r="Q104" s="970">
        <v>8430</v>
      </c>
      <c r="R104" s="970"/>
      <c r="S104" s="971">
        <v>34186</v>
      </c>
      <c r="T104" s="973">
        <v>-1576</v>
      </c>
      <c r="U104" s="973">
        <f>32609+1</f>
        <v>32610</v>
      </c>
    </row>
    <row r="105" spans="1:21" x14ac:dyDescent="0.25">
      <c r="A105" s="967">
        <v>91057</v>
      </c>
      <c r="B105" s="968" t="s">
        <v>2748</v>
      </c>
      <c r="C105" s="969">
        <v>1.4399999999999999E-5</v>
      </c>
      <c r="D105" s="969">
        <v>1.5E-5</v>
      </c>
      <c r="E105" s="1008">
        <v>9616</v>
      </c>
      <c r="F105" s="1011">
        <v>31835</v>
      </c>
      <c r="G105" s="970">
        <v>21999</v>
      </c>
      <c r="H105" s="970"/>
      <c r="I105" s="971">
        <v>1267</v>
      </c>
      <c r="J105" s="972">
        <v>5342</v>
      </c>
      <c r="K105" s="971">
        <v>3142</v>
      </c>
      <c r="L105" s="970">
        <v>5805</v>
      </c>
      <c r="M105" s="970"/>
      <c r="N105" s="971">
        <v>623</v>
      </c>
      <c r="O105" s="971">
        <v>0</v>
      </c>
      <c r="P105" s="971">
        <v>0</v>
      </c>
      <c r="Q105" s="970">
        <v>0</v>
      </c>
      <c r="R105" s="970"/>
      <c r="S105" s="971">
        <v>7414</v>
      </c>
      <c r="T105" s="973">
        <v>2191</v>
      </c>
      <c r="U105" s="973">
        <v>9605</v>
      </c>
    </row>
    <row r="106" spans="1:21" x14ac:dyDescent="0.25">
      <c r="A106" s="967">
        <v>91061</v>
      </c>
      <c r="B106" s="968" t="s">
        <v>2749</v>
      </c>
      <c r="C106" s="969">
        <v>4.104E-4</v>
      </c>
      <c r="D106" s="969">
        <v>3.7730000000000001E-4</v>
      </c>
      <c r="E106" s="1008">
        <v>172504</v>
      </c>
      <c r="F106" s="1011">
        <v>800757</v>
      </c>
      <c r="G106" s="970">
        <v>626978</v>
      </c>
      <c r="H106" s="970"/>
      <c r="I106" s="971">
        <v>36120</v>
      </c>
      <c r="J106" s="972">
        <v>152231</v>
      </c>
      <c r="K106" s="971">
        <v>89541</v>
      </c>
      <c r="L106" s="970">
        <v>19267</v>
      </c>
      <c r="M106" s="970"/>
      <c r="N106" s="971">
        <v>17748</v>
      </c>
      <c r="O106" s="971">
        <v>0</v>
      </c>
      <c r="P106" s="971">
        <v>0</v>
      </c>
      <c r="Q106" s="970">
        <v>27800</v>
      </c>
      <c r="R106" s="970"/>
      <c r="S106" s="971">
        <v>211292</v>
      </c>
      <c r="T106" s="973">
        <v>-13384</v>
      </c>
      <c r="U106" s="973">
        <v>197908</v>
      </c>
    </row>
    <row r="107" spans="1:21" x14ac:dyDescent="0.25">
      <c r="A107" s="967">
        <v>91067</v>
      </c>
      <c r="B107" s="968" t="s">
        <v>2750</v>
      </c>
      <c r="C107" s="969">
        <v>1.5699999999999999E-5</v>
      </c>
      <c r="D107" s="969">
        <v>1.8499999999999999E-5</v>
      </c>
      <c r="E107" s="1008">
        <v>9046</v>
      </c>
      <c r="F107" s="1011">
        <v>39263</v>
      </c>
      <c r="G107" s="970">
        <v>23985</v>
      </c>
      <c r="H107" s="970"/>
      <c r="I107" s="971">
        <v>1382</v>
      </c>
      <c r="J107" s="972">
        <v>5824</v>
      </c>
      <c r="K107" s="971">
        <v>3425</v>
      </c>
      <c r="L107" s="970">
        <v>2413</v>
      </c>
      <c r="M107" s="970"/>
      <c r="N107" s="971">
        <v>679</v>
      </c>
      <c r="O107" s="971">
        <v>0</v>
      </c>
      <c r="P107" s="971">
        <v>0</v>
      </c>
      <c r="Q107" s="970">
        <v>406</v>
      </c>
      <c r="R107" s="970"/>
      <c r="S107" s="971">
        <v>8083</v>
      </c>
      <c r="T107" s="973">
        <v>1156</v>
      </c>
      <c r="U107" s="973">
        <v>9239</v>
      </c>
    </row>
    <row r="108" spans="1:21" x14ac:dyDescent="0.25">
      <c r="A108" s="967">
        <v>91071</v>
      </c>
      <c r="B108" s="968" t="s">
        <v>2751</v>
      </c>
      <c r="C108" s="969">
        <v>2.2770000000000001E-4</v>
      </c>
      <c r="D108" s="969">
        <v>2.4379999999999999E-4</v>
      </c>
      <c r="E108" s="1008">
        <v>93245</v>
      </c>
      <c r="F108" s="1011">
        <v>517425</v>
      </c>
      <c r="G108" s="970">
        <v>347863</v>
      </c>
      <c r="H108" s="970"/>
      <c r="I108" s="971">
        <v>20040</v>
      </c>
      <c r="J108" s="972">
        <v>84462</v>
      </c>
      <c r="K108" s="971">
        <v>49680</v>
      </c>
      <c r="L108" s="970">
        <v>8372</v>
      </c>
      <c r="M108" s="970"/>
      <c r="N108" s="971">
        <v>9847</v>
      </c>
      <c r="O108" s="971">
        <v>0</v>
      </c>
      <c r="P108" s="971">
        <v>0</v>
      </c>
      <c r="Q108" s="970">
        <v>22478</v>
      </c>
      <c r="R108" s="970"/>
      <c r="S108" s="971">
        <v>117230</v>
      </c>
      <c r="T108" s="973">
        <v>2353</v>
      </c>
      <c r="U108" s="973">
        <v>119583</v>
      </c>
    </row>
    <row r="109" spans="1:21" x14ac:dyDescent="0.25">
      <c r="A109" s="967">
        <v>91077</v>
      </c>
      <c r="B109" s="968" t="s">
        <v>2752</v>
      </c>
      <c r="C109" s="969">
        <v>3.5999999999999998E-6</v>
      </c>
      <c r="D109" s="969">
        <v>3.9999999999999998E-6</v>
      </c>
      <c r="E109" s="1008">
        <v>3277</v>
      </c>
      <c r="F109" s="1011">
        <v>8489</v>
      </c>
      <c r="G109" s="970">
        <v>5500</v>
      </c>
      <c r="H109" s="970"/>
      <c r="I109" s="971">
        <v>317</v>
      </c>
      <c r="J109" s="972">
        <v>1336</v>
      </c>
      <c r="K109" s="971">
        <v>785</v>
      </c>
      <c r="L109" s="970">
        <v>1826</v>
      </c>
      <c r="M109" s="970"/>
      <c r="N109" s="971">
        <v>156</v>
      </c>
      <c r="O109" s="971">
        <v>0</v>
      </c>
      <c r="P109" s="971">
        <v>0</v>
      </c>
      <c r="Q109" s="970">
        <v>51</v>
      </c>
      <c r="R109" s="970"/>
      <c r="S109" s="971">
        <v>1853</v>
      </c>
      <c r="T109" s="973">
        <v>551</v>
      </c>
      <c r="U109" s="973">
        <f>2405-1</f>
        <v>2404</v>
      </c>
    </row>
    <row r="110" spans="1:21" x14ac:dyDescent="0.25">
      <c r="A110" s="967">
        <v>91081</v>
      </c>
      <c r="B110" s="968" t="s">
        <v>2753</v>
      </c>
      <c r="C110" s="969">
        <v>3.6240000000000003E-4</v>
      </c>
      <c r="D110" s="969">
        <v>3.6499999999999998E-4</v>
      </c>
      <c r="E110" s="1008">
        <v>169112</v>
      </c>
      <c r="F110" s="1011">
        <v>774652</v>
      </c>
      <c r="G110" s="970">
        <v>553647</v>
      </c>
      <c r="H110" s="970"/>
      <c r="I110" s="971">
        <v>31895</v>
      </c>
      <c r="J110" s="972">
        <v>134426</v>
      </c>
      <c r="K110" s="971">
        <v>79068</v>
      </c>
      <c r="L110" s="970">
        <v>1618</v>
      </c>
      <c r="M110" s="970"/>
      <c r="N110" s="971">
        <v>15672</v>
      </c>
      <c r="O110" s="971">
        <v>0</v>
      </c>
      <c r="P110" s="971">
        <v>0</v>
      </c>
      <c r="Q110" s="970">
        <v>13549</v>
      </c>
      <c r="R110" s="970"/>
      <c r="S110" s="971">
        <v>186579</v>
      </c>
      <c r="T110" s="973">
        <v>-13101</v>
      </c>
      <c r="U110" s="973">
        <v>173478</v>
      </c>
    </row>
    <row r="111" spans="1:21" x14ac:dyDescent="0.25">
      <c r="A111" s="967">
        <v>91091</v>
      </c>
      <c r="B111" s="968" t="s">
        <v>2754</v>
      </c>
      <c r="C111" s="969">
        <v>5.3790000000000001E-4</v>
      </c>
      <c r="D111" s="969">
        <v>5.6380000000000004E-4</v>
      </c>
      <c r="E111" s="1008">
        <v>225749</v>
      </c>
      <c r="F111" s="1011">
        <v>1196572</v>
      </c>
      <c r="G111" s="970">
        <v>821762</v>
      </c>
      <c r="H111" s="970"/>
      <c r="I111" s="971">
        <v>47341</v>
      </c>
      <c r="J111" s="972">
        <v>199525</v>
      </c>
      <c r="K111" s="971">
        <v>117359</v>
      </c>
      <c r="L111" s="970">
        <v>0</v>
      </c>
      <c r="M111" s="970"/>
      <c r="N111" s="971">
        <v>23261</v>
      </c>
      <c r="O111" s="971">
        <v>0</v>
      </c>
      <c r="P111" s="971">
        <v>0</v>
      </c>
      <c r="Q111" s="970">
        <v>66212</v>
      </c>
      <c r="R111" s="970"/>
      <c r="S111" s="971">
        <v>276935</v>
      </c>
      <c r="T111" s="973">
        <v>-30835</v>
      </c>
      <c r="U111" s="973">
        <f>246099+1</f>
        <v>246100</v>
      </c>
    </row>
    <row r="112" spans="1:21" x14ac:dyDescent="0.25">
      <c r="A112" s="967">
        <v>91101</v>
      </c>
      <c r="B112" s="968" t="s">
        <v>2755</v>
      </c>
      <c r="C112" s="969">
        <v>1.35581E-2</v>
      </c>
      <c r="D112" s="969">
        <v>1.36685E-2</v>
      </c>
      <c r="E112" s="1008">
        <v>5894551</v>
      </c>
      <c r="F112" s="1011">
        <v>29009136</v>
      </c>
      <c r="G112" s="970">
        <v>20713021</v>
      </c>
      <c r="H112" s="970"/>
      <c r="I112" s="971">
        <v>1193262</v>
      </c>
      <c r="J112" s="972">
        <v>5029146</v>
      </c>
      <c r="K112" s="971">
        <v>2958106</v>
      </c>
      <c r="L112" s="970">
        <v>471609</v>
      </c>
      <c r="M112" s="970"/>
      <c r="N112" s="971">
        <v>586320</v>
      </c>
      <c r="O112" s="971">
        <v>0</v>
      </c>
      <c r="P112" s="971">
        <v>0</v>
      </c>
      <c r="Q112" s="970">
        <v>587664</v>
      </c>
      <c r="R112" s="970"/>
      <c r="S112" s="971">
        <v>6980306</v>
      </c>
      <c r="T112" s="973">
        <v>147859</v>
      </c>
      <c r="U112" s="973">
        <v>7128165</v>
      </c>
    </row>
    <row r="113" spans="1:21" x14ac:dyDescent="0.25">
      <c r="A113" s="967">
        <v>91102</v>
      </c>
      <c r="B113" s="968" t="s">
        <v>2756</v>
      </c>
      <c r="C113" s="969">
        <v>3.2919999999999998E-4</v>
      </c>
      <c r="D113" s="969">
        <v>3.034E-4</v>
      </c>
      <c r="E113" s="1008">
        <v>156560</v>
      </c>
      <c r="F113" s="1011">
        <v>643916</v>
      </c>
      <c r="G113" s="970">
        <v>502926</v>
      </c>
      <c r="H113" s="970"/>
      <c r="I113" s="971">
        <v>28973</v>
      </c>
      <c r="J113" s="972">
        <v>122111</v>
      </c>
      <c r="K113" s="971">
        <v>71825</v>
      </c>
      <c r="L113" s="970">
        <v>35240</v>
      </c>
      <c r="M113" s="970"/>
      <c r="N113" s="971">
        <v>14236</v>
      </c>
      <c r="O113" s="971">
        <v>0</v>
      </c>
      <c r="P113" s="971">
        <v>0</v>
      </c>
      <c r="Q113" s="970">
        <v>33978</v>
      </c>
      <c r="R113" s="970"/>
      <c r="S113" s="971">
        <v>169487</v>
      </c>
      <c r="T113" s="973">
        <v>-8323</v>
      </c>
      <c r="U113" s="973">
        <f>161163+1</f>
        <v>161164</v>
      </c>
    </row>
    <row r="114" spans="1:21" x14ac:dyDescent="0.25">
      <c r="A114" s="967">
        <v>91104</v>
      </c>
      <c r="B114" s="968" t="s">
        <v>2757</v>
      </c>
      <c r="C114" s="969">
        <v>7.9000000000000006E-6</v>
      </c>
      <c r="D114" s="969">
        <v>8.1999999999999994E-6</v>
      </c>
      <c r="E114" s="1008">
        <v>5628</v>
      </c>
      <c r="F114" s="1011">
        <v>17403</v>
      </c>
      <c r="G114" s="970">
        <v>12069</v>
      </c>
      <c r="H114" s="970"/>
      <c r="I114" s="971">
        <v>695</v>
      </c>
      <c r="J114" s="972">
        <v>2930</v>
      </c>
      <c r="K114" s="971">
        <v>1724</v>
      </c>
      <c r="L114" s="970">
        <v>2115</v>
      </c>
      <c r="M114" s="970"/>
      <c r="N114" s="971">
        <v>342</v>
      </c>
      <c r="O114" s="971">
        <v>0</v>
      </c>
      <c r="P114" s="971">
        <v>0</v>
      </c>
      <c r="Q114" s="970">
        <v>39</v>
      </c>
      <c r="R114" s="970"/>
      <c r="S114" s="971">
        <v>4067</v>
      </c>
      <c r="T114" s="973">
        <v>589</v>
      </c>
      <c r="U114" s="973">
        <v>4656</v>
      </c>
    </row>
    <row r="115" spans="1:21" x14ac:dyDescent="0.25">
      <c r="A115" s="967">
        <v>91107</v>
      </c>
      <c r="B115" s="968" t="s">
        <v>3683</v>
      </c>
      <c r="C115" s="969">
        <v>7.08E-5</v>
      </c>
      <c r="D115" s="969">
        <v>6.7899999999999997E-5</v>
      </c>
      <c r="E115" s="1008">
        <v>36616</v>
      </c>
      <c r="F115" s="1011">
        <v>0</v>
      </c>
      <c r="G115" s="970">
        <v>108163</v>
      </c>
      <c r="H115" s="970"/>
      <c r="I115" s="971">
        <v>6231</v>
      </c>
      <c r="J115" s="972">
        <v>26263</v>
      </c>
      <c r="K115" s="971">
        <v>15447</v>
      </c>
      <c r="L115" s="970">
        <v>13143</v>
      </c>
      <c r="M115" s="970"/>
      <c r="N115" s="971">
        <v>3062</v>
      </c>
      <c r="O115" s="971">
        <v>0</v>
      </c>
      <c r="P115" s="971">
        <v>0</v>
      </c>
      <c r="Q115" s="970">
        <v>0</v>
      </c>
      <c r="R115" s="970"/>
      <c r="S115" s="971">
        <v>36451</v>
      </c>
      <c r="T115" s="973">
        <v>5162</v>
      </c>
      <c r="U115" s="973">
        <v>41613</v>
      </c>
    </row>
    <row r="116" spans="1:21" x14ac:dyDescent="0.25">
      <c r="A116" s="967">
        <v>91108</v>
      </c>
      <c r="B116" s="968" t="s">
        <v>2759</v>
      </c>
      <c r="C116" s="969">
        <v>1.2413999999999999E-3</v>
      </c>
      <c r="D116" s="969">
        <v>1.2622E-3</v>
      </c>
      <c r="E116" s="1008">
        <v>613476</v>
      </c>
      <c r="F116" s="1011">
        <v>2678811</v>
      </c>
      <c r="G116" s="970">
        <v>1896515</v>
      </c>
      <c r="H116" s="970"/>
      <c r="I116" s="971">
        <v>109257</v>
      </c>
      <c r="J116" s="972">
        <v>460476</v>
      </c>
      <c r="K116" s="971">
        <v>270849</v>
      </c>
      <c r="L116" s="970">
        <v>74887</v>
      </c>
      <c r="M116" s="970"/>
      <c r="N116" s="971">
        <v>53684</v>
      </c>
      <c r="O116" s="971">
        <v>0</v>
      </c>
      <c r="P116" s="971">
        <v>0</v>
      </c>
      <c r="Q116" s="970">
        <v>0</v>
      </c>
      <c r="R116" s="970"/>
      <c r="S116" s="971">
        <v>639127</v>
      </c>
      <c r="T116" s="973">
        <v>34876</v>
      </c>
      <c r="U116" s="973">
        <v>674003</v>
      </c>
    </row>
    <row r="117" spans="1:21" x14ac:dyDescent="0.25">
      <c r="A117" s="967">
        <v>91109</v>
      </c>
      <c r="B117" s="968" t="s">
        <v>2760</v>
      </c>
      <c r="C117" s="969">
        <v>9.9599999999999995E-5</v>
      </c>
      <c r="D117" s="969">
        <v>9.2100000000000003E-5</v>
      </c>
      <c r="E117" s="1008">
        <v>45066</v>
      </c>
      <c r="F117" s="1011">
        <v>195467</v>
      </c>
      <c r="G117" s="970">
        <v>152161</v>
      </c>
      <c r="H117" s="970"/>
      <c r="I117" s="971">
        <v>8766</v>
      </c>
      <c r="J117" s="972">
        <v>36945</v>
      </c>
      <c r="K117" s="971">
        <v>21731</v>
      </c>
      <c r="L117" s="970">
        <v>5921</v>
      </c>
      <c r="M117" s="970"/>
      <c r="N117" s="971">
        <v>4307</v>
      </c>
      <c r="O117" s="971">
        <v>0</v>
      </c>
      <c r="P117" s="971">
        <v>0</v>
      </c>
      <c r="Q117" s="970">
        <v>920</v>
      </c>
      <c r="R117" s="970"/>
      <c r="S117" s="971">
        <v>51278</v>
      </c>
      <c r="T117" s="973">
        <v>1215</v>
      </c>
      <c r="U117" s="973">
        <v>52493</v>
      </c>
    </row>
    <row r="118" spans="1:21" x14ac:dyDescent="0.25">
      <c r="A118" s="967">
        <v>91111</v>
      </c>
      <c r="B118" s="968" t="s">
        <v>2761</v>
      </c>
      <c r="C118" s="969">
        <v>2.2719999999999999E-4</v>
      </c>
      <c r="D118" s="969">
        <v>2.2359999999999999E-4</v>
      </c>
      <c r="E118" s="1008">
        <v>110903</v>
      </c>
      <c r="F118" s="1011">
        <v>474554</v>
      </c>
      <c r="G118" s="970">
        <v>347099</v>
      </c>
      <c r="H118" s="970"/>
      <c r="I118" s="971">
        <v>19996</v>
      </c>
      <c r="J118" s="972">
        <v>84276</v>
      </c>
      <c r="K118" s="971">
        <v>49570</v>
      </c>
      <c r="L118" s="970">
        <v>25492</v>
      </c>
      <c r="M118" s="970"/>
      <c r="N118" s="971">
        <v>9825</v>
      </c>
      <c r="O118" s="971">
        <v>0</v>
      </c>
      <c r="P118" s="971">
        <v>0</v>
      </c>
      <c r="Q118" s="970">
        <v>0</v>
      </c>
      <c r="R118" s="970"/>
      <c r="S118" s="971">
        <v>116973</v>
      </c>
      <c r="T118" s="973">
        <v>10793</v>
      </c>
      <c r="U118" s="973">
        <v>127766</v>
      </c>
    </row>
    <row r="119" spans="1:21" x14ac:dyDescent="0.25">
      <c r="A119" s="967">
        <v>91119</v>
      </c>
      <c r="B119" s="968" t="s">
        <v>1289</v>
      </c>
      <c r="C119" s="969">
        <v>0</v>
      </c>
      <c r="D119" s="969">
        <v>0</v>
      </c>
      <c r="E119" s="1008">
        <v>0</v>
      </c>
      <c r="F119" s="1011">
        <v>0</v>
      </c>
      <c r="G119" s="970">
        <v>0</v>
      </c>
      <c r="H119" s="970"/>
      <c r="I119" s="971">
        <v>0</v>
      </c>
      <c r="J119" s="972">
        <v>0</v>
      </c>
      <c r="K119" s="971">
        <v>0</v>
      </c>
      <c r="L119" s="970">
        <v>0</v>
      </c>
      <c r="M119" s="970"/>
      <c r="N119" s="971">
        <v>0</v>
      </c>
      <c r="O119" s="971">
        <v>0</v>
      </c>
      <c r="P119" s="971">
        <v>0</v>
      </c>
      <c r="Q119" s="970">
        <v>321091</v>
      </c>
      <c r="R119" s="970"/>
      <c r="S119" s="971">
        <v>0</v>
      </c>
      <c r="T119" s="973">
        <v>-324334</v>
      </c>
      <c r="U119" s="973">
        <v>-324334</v>
      </c>
    </row>
    <row r="120" spans="1:21" x14ac:dyDescent="0.25">
      <c r="A120" s="967">
        <v>91120</v>
      </c>
      <c r="B120" s="968" t="s">
        <v>2762</v>
      </c>
      <c r="C120" s="969">
        <v>1.3019999999999999E-4</v>
      </c>
      <c r="D120" s="969">
        <v>1.184E-4</v>
      </c>
      <c r="E120" s="1008">
        <v>45449</v>
      </c>
      <c r="F120" s="1011">
        <v>251284</v>
      </c>
      <c r="G120" s="970">
        <v>198910</v>
      </c>
      <c r="H120" s="970"/>
      <c r="I120" s="971">
        <v>11459</v>
      </c>
      <c r="J120" s="972">
        <v>48295</v>
      </c>
      <c r="K120" s="971">
        <v>28407</v>
      </c>
      <c r="L120" s="970">
        <v>0</v>
      </c>
      <c r="M120" s="970"/>
      <c r="N120" s="971">
        <v>5630</v>
      </c>
      <c r="O120" s="971">
        <v>0</v>
      </c>
      <c r="P120" s="971">
        <v>0</v>
      </c>
      <c r="Q120" s="970">
        <v>21939</v>
      </c>
      <c r="R120" s="970"/>
      <c r="S120" s="971">
        <v>67033</v>
      </c>
      <c r="T120" s="973">
        <v>-12131</v>
      </c>
      <c r="U120" s="973">
        <v>54902</v>
      </c>
    </row>
    <row r="121" spans="1:21" x14ac:dyDescent="0.25">
      <c r="A121" s="967">
        <v>91121</v>
      </c>
      <c r="B121" s="968" t="s">
        <v>2763</v>
      </c>
      <c r="C121" s="969">
        <v>9.9927999999999996E-3</v>
      </c>
      <c r="D121" s="969">
        <v>9.7842999999999992E-3</v>
      </c>
      <c r="E121" s="1008">
        <v>4272051</v>
      </c>
      <c r="F121" s="1011">
        <v>20765562</v>
      </c>
      <c r="G121" s="970">
        <v>15266230</v>
      </c>
      <c r="H121" s="970"/>
      <c r="I121" s="971">
        <v>879476</v>
      </c>
      <c r="J121" s="972">
        <v>3706660</v>
      </c>
      <c r="K121" s="971">
        <v>2180229</v>
      </c>
      <c r="L121" s="970">
        <v>0</v>
      </c>
      <c r="M121" s="970"/>
      <c r="N121" s="971">
        <v>432139</v>
      </c>
      <c r="O121" s="971">
        <v>0</v>
      </c>
      <c r="P121" s="971">
        <v>0</v>
      </c>
      <c r="Q121" s="970">
        <v>650994</v>
      </c>
      <c r="R121" s="970"/>
      <c r="S121" s="971">
        <v>5144733</v>
      </c>
      <c r="T121" s="973">
        <v>-324255</v>
      </c>
      <c r="U121" s="973">
        <f>4820479-1</f>
        <v>4820478</v>
      </c>
    </row>
    <row r="122" spans="1:21" x14ac:dyDescent="0.25">
      <c r="A122" s="967">
        <v>91127</v>
      </c>
      <c r="B122" s="968" t="s">
        <v>2764</v>
      </c>
      <c r="C122" s="969">
        <v>2.6879999999999997E-4</v>
      </c>
      <c r="D122" s="969">
        <v>2.8229999999999998E-4</v>
      </c>
      <c r="E122" s="1008">
        <v>146935</v>
      </c>
      <c r="F122" s="1011">
        <v>599135</v>
      </c>
      <c r="G122" s="970">
        <v>410652</v>
      </c>
      <c r="H122" s="970"/>
      <c r="I122" s="971">
        <v>23657</v>
      </c>
      <c r="J122" s="972">
        <v>99706</v>
      </c>
      <c r="K122" s="971">
        <v>58647</v>
      </c>
      <c r="L122" s="970">
        <v>46863</v>
      </c>
      <c r="M122" s="970"/>
      <c r="N122" s="971">
        <v>11624</v>
      </c>
      <c r="O122" s="971">
        <v>0</v>
      </c>
      <c r="P122" s="971">
        <v>0</v>
      </c>
      <c r="Q122" s="970">
        <v>0</v>
      </c>
      <c r="R122" s="970"/>
      <c r="S122" s="971">
        <v>138390</v>
      </c>
      <c r="T122" s="973">
        <v>25061</v>
      </c>
      <c r="U122" s="973">
        <v>163451</v>
      </c>
    </row>
    <row r="123" spans="1:21" x14ac:dyDescent="0.25">
      <c r="A123" s="967">
        <v>91128</v>
      </c>
      <c r="B123" s="968" t="s">
        <v>2765</v>
      </c>
      <c r="C123" s="969">
        <v>5.2380000000000005E-4</v>
      </c>
      <c r="D123" s="969">
        <v>5.0929999999999997E-4</v>
      </c>
      <c r="E123" s="1008">
        <v>238305</v>
      </c>
      <c r="F123" s="1011">
        <v>1080905</v>
      </c>
      <c r="G123" s="970">
        <v>800221</v>
      </c>
      <c r="H123" s="970"/>
      <c r="I123" s="971">
        <v>46100</v>
      </c>
      <c r="J123" s="972">
        <v>194295</v>
      </c>
      <c r="K123" s="971">
        <v>114283</v>
      </c>
      <c r="L123" s="970">
        <v>15169</v>
      </c>
      <c r="M123" s="970"/>
      <c r="N123" s="971">
        <v>22652</v>
      </c>
      <c r="O123" s="971">
        <v>0</v>
      </c>
      <c r="P123" s="971">
        <v>0</v>
      </c>
      <c r="Q123" s="970">
        <v>6263</v>
      </c>
      <c r="R123" s="970"/>
      <c r="S123" s="971">
        <v>269675</v>
      </c>
      <c r="T123" s="973">
        <v>-679</v>
      </c>
      <c r="U123" s="973">
        <v>268996</v>
      </c>
    </row>
    <row r="124" spans="1:21" x14ac:dyDescent="0.25">
      <c r="A124" s="967">
        <v>91138</v>
      </c>
      <c r="B124" s="968" t="s">
        <v>2766</v>
      </c>
      <c r="C124" s="969">
        <v>6.2629999999999999E-4</v>
      </c>
      <c r="D124" s="969">
        <v>6.2350000000000003E-4</v>
      </c>
      <c r="E124" s="1008">
        <v>220646</v>
      </c>
      <c r="F124" s="1011">
        <v>1323276</v>
      </c>
      <c r="G124" s="970">
        <v>956813</v>
      </c>
      <c r="H124" s="970"/>
      <c r="I124" s="971">
        <v>55121</v>
      </c>
      <c r="J124" s="972">
        <v>232316</v>
      </c>
      <c r="K124" s="971">
        <v>136646</v>
      </c>
      <c r="L124" s="970">
        <v>0</v>
      </c>
      <c r="M124" s="970"/>
      <c r="N124" s="971">
        <v>27084</v>
      </c>
      <c r="O124" s="971">
        <v>0</v>
      </c>
      <c r="P124" s="971">
        <v>0</v>
      </c>
      <c r="Q124" s="970">
        <v>127984</v>
      </c>
      <c r="R124" s="970"/>
      <c r="S124" s="971">
        <v>322447</v>
      </c>
      <c r="T124" s="973">
        <v>-48531</v>
      </c>
      <c r="U124" s="973">
        <v>273916</v>
      </c>
    </row>
    <row r="125" spans="1:21" x14ac:dyDescent="0.25">
      <c r="A125" s="967">
        <v>91141</v>
      </c>
      <c r="B125" s="968" t="s">
        <v>2767</v>
      </c>
      <c r="C125" s="969">
        <v>5.7569999999999995E-4</v>
      </c>
      <c r="D125" s="969">
        <v>5.5679999999999998E-4</v>
      </c>
      <c r="E125" s="1008">
        <v>236315</v>
      </c>
      <c r="F125" s="1011">
        <v>1181716</v>
      </c>
      <c r="G125" s="970">
        <v>879510</v>
      </c>
      <c r="H125" s="970"/>
      <c r="I125" s="971">
        <v>50668</v>
      </c>
      <c r="J125" s="972">
        <v>213546</v>
      </c>
      <c r="K125" s="971">
        <v>125606</v>
      </c>
      <c r="L125" s="970">
        <v>0</v>
      </c>
      <c r="M125" s="970"/>
      <c r="N125" s="971">
        <v>24896</v>
      </c>
      <c r="O125" s="971">
        <v>0</v>
      </c>
      <c r="P125" s="971">
        <v>0</v>
      </c>
      <c r="Q125" s="970">
        <v>80393</v>
      </c>
      <c r="R125" s="970"/>
      <c r="S125" s="971">
        <v>296396</v>
      </c>
      <c r="T125" s="973">
        <v>-38126</v>
      </c>
      <c r="U125" s="973">
        <v>258270</v>
      </c>
    </row>
    <row r="126" spans="1:21" x14ac:dyDescent="0.25">
      <c r="A126" s="967">
        <v>91147</v>
      </c>
      <c r="B126" s="968" t="s">
        <v>2768</v>
      </c>
      <c r="C126" s="969">
        <v>2.6699999999999998E-5</v>
      </c>
      <c r="D126" s="969">
        <v>2.4199999999999999E-5</v>
      </c>
      <c r="E126" s="1008">
        <v>12125</v>
      </c>
      <c r="F126" s="1011">
        <v>51361</v>
      </c>
      <c r="G126" s="970">
        <v>40790</v>
      </c>
      <c r="H126" s="970"/>
      <c r="I126" s="971">
        <v>2350</v>
      </c>
      <c r="J126" s="972">
        <v>9904</v>
      </c>
      <c r="K126" s="971">
        <v>5825</v>
      </c>
      <c r="L126" s="970">
        <v>8489</v>
      </c>
      <c r="M126" s="970"/>
      <c r="N126" s="971">
        <v>1155</v>
      </c>
      <c r="O126" s="971">
        <v>0</v>
      </c>
      <c r="P126" s="971">
        <v>0</v>
      </c>
      <c r="Q126" s="970">
        <v>0</v>
      </c>
      <c r="R126" s="970"/>
      <c r="S126" s="971">
        <v>13746</v>
      </c>
      <c r="T126" s="973">
        <v>4333</v>
      </c>
      <c r="U126" s="973">
        <f>18080-1</f>
        <v>18079</v>
      </c>
    </row>
    <row r="127" spans="1:21" x14ac:dyDescent="0.25">
      <c r="A127" s="967">
        <v>91151</v>
      </c>
      <c r="B127" s="968" t="s">
        <v>2769</v>
      </c>
      <c r="C127" s="969">
        <v>6.3409999999999996E-4</v>
      </c>
      <c r="D127" s="969">
        <v>6.1180000000000002E-4</v>
      </c>
      <c r="E127" s="1008">
        <v>254760</v>
      </c>
      <c r="F127" s="1011">
        <v>1298445</v>
      </c>
      <c r="G127" s="970">
        <v>968729</v>
      </c>
      <c r="H127" s="970"/>
      <c r="I127" s="971">
        <v>55808</v>
      </c>
      <c r="J127" s="972">
        <v>235208</v>
      </c>
      <c r="K127" s="971">
        <v>138348</v>
      </c>
      <c r="L127" s="970">
        <v>6907</v>
      </c>
      <c r="M127" s="970"/>
      <c r="N127" s="971">
        <v>27422</v>
      </c>
      <c r="O127" s="971">
        <v>0</v>
      </c>
      <c r="P127" s="971">
        <v>0</v>
      </c>
      <c r="Q127" s="970">
        <v>49311</v>
      </c>
      <c r="R127" s="970"/>
      <c r="S127" s="971">
        <v>326463</v>
      </c>
      <c r="T127" s="973">
        <v>-15290</v>
      </c>
      <c r="U127" s="973">
        <f>311172+1</f>
        <v>311173</v>
      </c>
    </row>
    <row r="128" spans="1:21" x14ac:dyDescent="0.25">
      <c r="A128" s="967">
        <v>91154</v>
      </c>
      <c r="B128" s="968" t="s">
        <v>2770</v>
      </c>
      <c r="C128" s="969">
        <v>2.6299999999999999E-5</v>
      </c>
      <c r="D128" s="969">
        <v>1.9599999999999999E-5</v>
      </c>
      <c r="E128" s="1008">
        <v>10902</v>
      </c>
      <c r="F128" s="1011">
        <v>41598</v>
      </c>
      <c r="G128" s="970">
        <v>40179</v>
      </c>
      <c r="H128" s="970"/>
      <c r="I128" s="971">
        <v>2315</v>
      </c>
      <c r="J128" s="972">
        <v>9756</v>
      </c>
      <c r="K128" s="971">
        <v>5738</v>
      </c>
      <c r="L128" s="970">
        <v>7326</v>
      </c>
      <c r="M128" s="970"/>
      <c r="N128" s="971">
        <v>1137</v>
      </c>
      <c r="O128" s="971">
        <v>0</v>
      </c>
      <c r="P128" s="971">
        <v>0</v>
      </c>
      <c r="Q128" s="970">
        <v>0</v>
      </c>
      <c r="R128" s="970"/>
      <c r="S128" s="971">
        <v>13540</v>
      </c>
      <c r="T128" s="973">
        <v>2962</v>
      </c>
      <c r="U128" s="973">
        <f>16503-1</f>
        <v>16502</v>
      </c>
    </row>
    <row r="129" spans="1:21" x14ac:dyDescent="0.25">
      <c r="A129" s="967">
        <v>91161</v>
      </c>
      <c r="B129" s="968" t="s">
        <v>2771</v>
      </c>
      <c r="C129" s="969">
        <v>9.2600000000000001E-5</v>
      </c>
      <c r="D129" s="969">
        <v>9.4599999999999996E-5</v>
      </c>
      <c r="E129" s="1008">
        <v>44457</v>
      </c>
      <c r="F129" s="1011">
        <v>200773</v>
      </c>
      <c r="G129" s="970">
        <v>141467</v>
      </c>
      <c r="H129" s="970"/>
      <c r="I129" s="971">
        <v>8150</v>
      </c>
      <c r="J129" s="972">
        <v>34348</v>
      </c>
      <c r="K129" s="971">
        <v>20203</v>
      </c>
      <c r="L129" s="970">
        <v>5327</v>
      </c>
      <c r="M129" s="970"/>
      <c r="N129" s="971">
        <v>4004</v>
      </c>
      <c r="O129" s="971">
        <v>0</v>
      </c>
      <c r="P129" s="971">
        <v>0</v>
      </c>
      <c r="Q129" s="970">
        <v>3079</v>
      </c>
      <c r="R129" s="970"/>
      <c r="S129" s="971">
        <v>47675</v>
      </c>
      <c r="T129" s="973">
        <v>935</v>
      </c>
      <c r="U129" s="973">
        <v>48610</v>
      </c>
    </row>
    <row r="130" spans="1:21" x14ac:dyDescent="0.25">
      <c r="A130" s="967">
        <v>91171</v>
      </c>
      <c r="B130" s="968" t="s">
        <v>2772</v>
      </c>
      <c r="C130" s="969">
        <v>1.95E-4</v>
      </c>
      <c r="D130" s="969">
        <v>2.5589999999999999E-4</v>
      </c>
      <c r="E130" s="1008">
        <v>93651</v>
      </c>
      <c r="F130" s="1011">
        <v>543106</v>
      </c>
      <c r="G130" s="970">
        <v>297906</v>
      </c>
      <c r="H130" s="970"/>
      <c r="I130" s="971">
        <v>17162</v>
      </c>
      <c r="J130" s="972">
        <v>72331</v>
      </c>
      <c r="K130" s="971">
        <v>42545</v>
      </c>
      <c r="L130" s="970">
        <v>0</v>
      </c>
      <c r="M130" s="970"/>
      <c r="N130" s="971">
        <v>8433</v>
      </c>
      <c r="O130" s="971">
        <v>0</v>
      </c>
      <c r="P130" s="971">
        <v>0</v>
      </c>
      <c r="Q130" s="970">
        <v>58020</v>
      </c>
      <c r="R130" s="970"/>
      <c r="S130" s="971">
        <v>100395</v>
      </c>
      <c r="T130" s="973">
        <v>-21400</v>
      </c>
      <c r="U130" s="973">
        <f>78994+1</f>
        <v>78995</v>
      </c>
    </row>
    <row r="131" spans="1:21" x14ac:dyDescent="0.25">
      <c r="A131" s="967">
        <v>91201</v>
      </c>
      <c r="B131" s="968" t="s">
        <v>2773</v>
      </c>
      <c r="C131" s="969">
        <v>2.2878E-3</v>
      </c>
      <c r="D131" s="969">
        <v>2.3127999999999998E-3</v>
      </c>
      <c r="E131" s="1008">
        <v>970291</v>
      </c>
      <c r="F131" s="1011">
        <v>4908536</v>
      </c>
      <c r="G131" s="970">
        <v>3495125</v>
      </c>
      <c r="H131" s="970"/>
      <c r="I131" s="971">
        <v>201352</v>
      </c>
      <c r="J131" s="972">
        <v>848620</v>
      </c>
      <c r="K131" s="971">
        <v>499152</v>
      </c>
      <c r="L131" s="970">
        <v>40348</v>
      </c>
      <c r="M131" s="970"/>
      <c r="N131" s="971">
        <v>98936</v>
      </c>
      <c r="O131" s="971">
        <v>0</v>
      </c>
      <c r="P131" s="971">
        <v>0</v>
      </c>
      <c r="Q131" s="970">
        <v>96428</v>
      </c>
      <c r="R131" s="970"/>
      <c r="S131" s="971">
        <v>1177860</v>
      </c>
      <c r="T131" s="973">
        <v>-568</v>
      </c>
      <c r="U131" s="973">
        <v>1177292</v>
      </c>
    </row>
    <row r="132" spans="1:21" x14ac:dyDescent="0.25">
      <c r="A132" s="967">
        <v>91202</v>
      </c>
      <c r="B132" s="968" t="s">
        <v>2774</v>
      </c>
      <c r="C132" s="969">
        <v>1.9330000000000001E-4</v>
      </c>
      <c r="D132" s="969">
        <v>1.897E-4</v>
      </c>
      <c r="E132" s="1008">
        <v>96479</v>
      </c>
      <c r="F132" s="1011">
        <v>402607</v>
      </c>
      <c r="G132" s="970">
        <v>295309</v>
      </c>
      <c r="H132" s="970"/>
      <c r="I132" s="971">
        <v>17013</v>
      </c>
      <c r="J132" s="972">
        <v>71701</v>
      </c>
      <c r="K132" s="971">
        <v>42174</v>
      </c>
      <c r="L132" s="970">
        <v>27893</v>
      </c>
      <c r="M132" s="970"/>
      <c r="N132" s="971">
        <v>8359</v>
      </c>
      <c r="O132" s="971">
        <v>0</v>
      </c>
      <c r="P132" s="971">
        <v>0</v>
      </c>
      <c r="Q132" s="970">
        <v>0</v>
      </c>
      <c r="R132" s="970"/>
      <c r="S132" s="971">
        <v>99519</v>
      </c>
      <c r="T132" s="973">
        <v>12367</v>
      </c>
      <c r="U132" s="973">
        <v>111886</v>
      </c>
    </row>
    <row r="133" spans="1:21" x14ac:dyDescent="0.25">
      <c r="A133" s="967">
        <v>91203</v>
      </c>
      <c r="B133" s="968" t="s">
        <v>2775</v>
      </c>
      <c r="C133" s="969">
        <v>2.1939999999999999E-4</v>
      </c>
      <c r="D133" s="969">
        <v>2.4479999999999999E-4</v>
      </c>
      <c r="E133" s="1008">
        <v>127249</v>
      </c>
      <c r="F133" s="1011">
        <v>519548</v>
      </c>
      <c r="G133" s="970">
        <v>335182</v>
      </c>
      <c r="H133" s="970"/>
      <c r="I133" s="971">
        <v>19310</v>
      </c>
      <c r="J133" s="972">
        <v>81383</v>
      </c>
      <c r="K133" s="971">
        <v>47869</v>
      </c>
      <c r="L133" s="970">
        <v>25236</v>
      </c>
      <c r="M133" s="970"/>
      <c r="N133" s="971">
        <v>9488</v>
      </c>
      <c r="O133" s="971">
        <v>0</v>
      </c>
      <c r="P133" s="971">
        <v>0</v>
      </c>
      <c r="Q133" s="970">
        <v>0</v>
      </c>
      <c r="R133" s="970"/>
      <c r="S133" s="971">
        <v>112957</v>
      </c>
      <c r="T133" s="973">
        <v>12508</v>
      </c>
      <c r="U133" s="973">
        <f>125464+1</f>
        <v>125465</v>
      </c>
    </row>
    <row r="134" spans="1:21" x14ac:dyDescent="0.25">
      <c r="A134" s="967">
        <v>91206</v>
      </c>
      <c r="B134" s="968" t="s">
        <v>2776</v>
      </c>
      <c r="C134" s="969">
        <v>8.6450000000000003E-4</v>
      </c>
      <c r="D134" s="969">
        <v>8.2129999999999996E-4</v>
      </c>
      <c r="E134" s="1008">
        <v>388200</v>
      </c>
      <c r="F134" s="1011">
        <v>1743074</v>
      </c>
      <c r="G134" s="970">
        <v>1320717</v>
      </c>
      <c r="H134" s="970"/>
      <c r="I134" s="971">
        <v>76086</v>
      </c>
      <c r="J134" s="972">
        <v>320672</v>
      </c>
      <c r="K134" s="971">
        <v>188617</v>
      </c>
      <c r="L134" s="970">
        <v>32943</v>
      </c>
      <c r="M134" s="970"/>
      <c r="N134" s="971">
        <v>37385</v>
      </c>
      <c r="O134" s="971">
        <v>0</v>
      </c>
      <c r="P134" s="971">
        <v>0</v>
      </c>
      <c r="Q134" s="970">
        <v>1131</v>
      </c>
      <c r="R134" s="970"/>
      <c r="S134" s="971">
        <v>445083</v>
      </c>
      <c r="T134" s="973">
        <v>15708</v>
      </c>
      <c r="U134" s="973">
        <v>460791</v>
      </c>
    </row>
    <row r="135" spans="1:21" x14ac:dyDescent="0.25">
      <c r="A135" s="967">
        <v>91208</v>
      </c>
      <c r="B135" s="968" t="s">
        <v>2777</v>
      </c>
      <c r="C135" s="969">
        <v>1.42E-5</v>
      </c>
      <c r="D135" s="969">
        <v>1.3699999999999999E-5</v>
      </c>
      <c r="E135" s="1008">
        <v>6398</v>
      </c>
      <c r="F135" s="1011">
        <v>29076</v>
      </c>
      <c r="G135" s="970">
        <v>21694</v>
      </c>
      <c r="H135" s="970"/>
      <c r="I135" s="971">
        <v>1250</v>
      </c>
      <c r="J135" s="972">
        <v>5267</v>
      </c>
      <c r="K135" s="971">
        <v>3098</v>
      </c>
      <c r="L135" s="970">
        <v>3961</v>
      </c>
      <c r="M135" s="970"/>
      <c r="N135" s="971">
        <v>614</v>
      </c>
      <c r="O135" s="971">
        <v>0</v>
      </c>
      <c r="P135" s="971">
        <v>0</v>
      </c>
      <c r="Q135" s="970">
        <v>0</v>
      </c>
      <c r="R135" s="970"/>
      <c r="S135" s="971">
        <v>7311</v>
      </c>
      <c r="T135" s="973">
        <v>3460</v>
      </c>
      <c r="U135" s="973">
        <v>10771</v>
      </c>
    </row>
    <row r="136" spans="1:21" x14ac:dyDescent="0.25">
      <c r="A136" s="967">
        <v>91211</v>
      </c>
      <c r="B136" s="968" t="s">
        <v>2778</v>
      </c>
      <c r="C136" s="969">
        <v>4.5530000000000001E-4</v>
      </c>
      <c r="D136" s="969">
        <v>4.6789999999999999E-4</v>
      </c>
      <c r="E136" s="1008">
        <v>223513</v>
      </c>
      <c r="F136" s="1011">
        <v>993041</v>
      </c>
      <c r="G136" s="970">
        <v>695572</v>
      </c>
      <c r="H136" s="970"/>
      <c r="I136" s="971">
        <v>40071</v>
      </c>
      <c r="J136" s="972">
        <v>168886</v>
      </c>
      <c r="K136" s="971">
        <v>99337</v>
      </c>
      <c r="L136" s="970">
        <v>6745</v>
      </c>
      <c r="M136" s="970"/>
      <c r="N136" s="971">
        <v>19689</v>
      </c>
      <c r="O136" s="971">
        <v>0</v>
      </c>
      <c r="P136" s="971">
        <v>0</v>
      </c>
      <c r="Q136" s="970">
        <v>3315</v>
      </c>
      <c r="R136" s="970"/>
      <c r="S136" s="971">
        <v>234408</v>
      </c>
      <c r="T136" s="973">
        <v>1355</v>
      </c>
      <c r="U136" s="973">
        <v>235763</v>
      </c>
    </row>
    <row r="137" spans="1:21" x14ac:dyDescent="0.25">
      <c r="A137" s="967">
        <v>91213</v>
      </c>
      <c r="B137" s="968" t="s">
        <v>2779</v>
      </c>
      <c r="C137" s="969">
        <v>3.2499999999999997E-5</v>
      </c>
      <c r="D137" s="969">
        <v>3.57E-5</v>
      </c>
      <c r="E137" s="1008">
        <v>12090</v>
      </c>
      <c r="F137" s="1011">
        <v>75767</v>
      </c>
      <c r="G137" s="970">
        <v>49651</v>
      </c>
      <c r="H137" s="970"/>
      <c r="I137" s="971">
        <v>2860</v>
      </c>
      <c r="J137" s="972">
        <v>12056</v>
      </c>
      <c r="K137" s="971">
        <v>7091</v>
      </c>
      <c r="L137" s="970">
        <v>0</v>
      </c>
      <c r="M137" s="970"/>
      <c r="N137" s="971">
        <v>1405</v>
      </c>
      <c r="O137" s="971">
        <v>0</v>
      </c>
      <c r="P137" s="971">
        <v>0</v>
      </c>
      <c r="Q137" s="970">
        <v>7680</v>
      </c>
      <c r="R137" s="970"/>
      <c r="S137" s="971">
        <v>16732</v>
      </c>
      <c r="T137" s="973">
        <v>-2660</v>
      </c>
      <c r="U137" s="973">
        <v>14072</v>
      </c>
    </row>
    <row r="138" spans="1:21" x14ac:dyDescent="0.25">
      <c r="A138" s="967">
        <v>91214</v>
      </c>
      <c r="B138" s="968" t="s">
        <v>2780</v>
      </c>
      <c r="C138" s="969">
        <v>2.9300000000000001E-5</v>
      </c>
      <c r="D138" s="969">
        <v>2.8200000000000001E-5</v>
      </c>
      <c r="E138" s="1008">
        <v>9669</v>
      </c>
      <c r="F138" s="1011">
        <v>59850</v>
      </c>
      <c r="G138" s="970">
        <v>44762</v>
      </c>
      <c r="H138" s="970"/>
      <c r="I138" s="971">
        <v>2579</v>
      </c>
      <c r="J138" s="972">
        <v>10868</v>
      </c>
      <c r="K138" s="971">
        <v>6393</v>
      </c>
      <c r="L138" s="970">
        <v>1300</v>
      </c>
      <c r="M138" s="970"/>
      <c r="N138" s="971">
        <v>1267</v>
      </c>
      <c r="O138" s="971">
        <v>0</v>
      </c>
      <c r="P138" s="971">
        <v>0</v>
      </c>
      <c r="Q138" s="970">
        <v>3669</v>
      </c>
      <c r="R138" s="970"/>
      <c r="S138" s="971">
        <v>15085</v>
      </c>
      <c r="T138" s="973">
        <v>-283</v>
      </c>
      <c r="U138" s="973">
        <v>14802</v>
      </c>
    </row>
    <row r="139" spans="1:21" x14ac:dyDescent="0.25">
      <c r="A139" s="967">
        <v>91217</v>
      </c>
      <c r="B139" s="968" t="s">
        <v>2781</v>
      </c>
      <c r="C139" s="969">
        <v>2.8799999999999999E-5</v>
      </c>
      <c r="D139" s="969">
        <v>2.6699999999999998E-5</v>
      </c>
      <c r="E139" s="1008">
        <v>14934</v>
      </c>
      <c r="F139" s="1011">
        <v>56666</v>
      </c>
      <c r="G139" s="970">
        <v>43998</v>
      </c>
      <c r="H139" s="970"/>
      <c r="I139" s="971">
        <v>2535</v>
      </c>
      <c r="J139" s="972">
        <v>10683</v>
      </c>
      <c r="K139" s="971">
        <v>6284</v>
      </c>
      <c r="L139" s="970">
        <v>10784</v>
      </c>
      <c r="M139" s="970"/>
      <c r="N139" s="971">
        <v>1245</v>
      </c>
      <c r="O139" s="971">
        <v>0</v>
      </c>
      <c r="P139" s="971">
        <v>0</v>
      </c>
      <c r="Q139" s="970">
        <v>0</v>
      </c>
      <c r="R139" s="970"/>
      <c r="S139" s="971">
        <v>14828</v>
      </c>
      <c r="T139" s="973">
        <v>4311</v>
      </c>
      <c r="U139" s="973">
        <v>19139</v>
      </c>
    </row>
    <row r="140" spans="1:21" x14ac:dyDescent="0.25">
      <c r="A140" s="967">
        <v>91221</v>
      </c>
      <c r="B140" s="968" t="s">
        <v>2782</v>
      </c>
      <c r="C140" s="969">
        <v>1.3359999999999999E-4</v>
      </c>
      <c r="D140" s="969">
        <v>1.294E-4</v>
      </c>
      <c r="E140" s="1008">
        <v>59449</v>
      </c>
      <c r="F140" s="1011">
        <v>274630</v>
      </c>
      <c r="G140" s="970">
        <v>204104</v>
      </c>
      <c r="H140" s="970"/>
      <c r="I140" s="971">
        <v>11758</v>
      </c>
      <c r="J140" s="972">
        <v>49557</v>
      </c>
      <c r="K140" s="971">
        <v>29149</v>
      </c>
      <c r="L140" s="970">
        <v>5038</v>
      </c>
      <c r="M140" s="970"/>
      <c r="N140" s="971">
        <v>5778</v>
      </c>
      <c r="O140" s="971">
        <v>0</v>
      </c>
      <c r="P140" s="971">
        <v>0</v>
      </c>
      <c r="Q140" s="970">
        <v>7113</v>
      </c>
      <c r="R140" s="970"/>
      <c r="S140" s="971">
        <v>68783</v>
      </c>
      <c r="T140" s="973">
        <v>1397</v>
      </c>
      <c r="U140" s="973">
        <v>70180</v>
      </c>
    </row>
    <row r="141" spans="1:21" x14ac:dyDescent="0.25">
      <c r="A141" s="967">
        <v>91231</v>
      </c>
      <c r="B141" s="968" t="s">
        <v>2783</v>
      </c>
      <c r="C141" s="969">
        <v>1.8856000000000001E-3</v>
      </c>
      <c r="D141" s="969">
        <v>1.9957E-3</v>
      </c>
      <c r="E141" s="1008">
        <v>867955</v>
      </c>
      <c r="F141" s="1011">
        <v>4235544</v>
      </c>
      <c r="G141" s="970">
        <v>2880674</v>
      </c>
      <c r="H141" s="970"/>
      <c r="I141" s="971">
        <v>165954</v>
      </c>
      <c r="J141" s="972">
        <v>699431</v>
      </c>
      <c r="K141" s="971">
        <v>411400</v>
      </c>
      <c r="L141" s="970">
        <v>10587</v>
      </c>
      <c r="M141" s="970"/>
      <c r="N141" s="971">
        <v>81543</v>
      </c>
      <c r="O141" s="971">
        <v>0</v>
      </c>
      <c r="P141" s="971">
        <v>0</v>
      </c>
      <c r="Q141" s="970">
        <v>132995</v>
      </c>
      <c r="R141" s="970"/>
      <c r="S141" s="971">
        <v>970790</v>
      </c>
      <c r="T141" s="973">
        <v>-32073</v>
      </c>
      <c r="U141" s="973">
        <v>938717</v>
      </c>
    </row>
    <row r="142" spans="1:21" x14ac:dyDescent="0.25">
      <c r="A142" s="967">
        <v>91233</v>
      </c>
      <c r="B142" s="968" t="s">
        <v>2784</v>
      </c>
      <c r="C142" s="969">
        <v>5.8100000000000003E-5</v>
      </c>
      <c r="D142" s="969">
        <v>4.5599999999999997E-5</v>
      </c>
      <c r="E142" s="1008">
        <v>21828</v>
      </c>
      <c r="F142" s="1011">
        <v>96778</v>
      </c>
      <c r="G142" s="970">
        <v>88761</v>
      </c>
      <c r="H142" s="970"/>
      <c r="I142" s="971">
        <v>5113</v>
      </c>
      <c r="J142" s="972">
        <v>21551</v>
      </c>
      <c r="K142" s="971">
        <v>12676</v>
      </c>
      <c r="L142" s="970">
        <v>9544</v>
      </c>
      <c r="M142" s="970"/>
      <c r="N142" s="971">
        <v>2513</v>
      </c>
      <c r="O142" s="971">
        <v>0</v>
      </c>
      <c r="P142" s="971">
        <v>0</v>
      </c>
      <c r="Q142" s="970">
        <v>117</v>
      </c>
      <c r="R142" s="970"/>
      <c r="S142" s="971">
        <v>29912</v>
      </c>
      <c r="T142" s="973">
        <v>4289</v>
      </c>
      <c r="U142" s="973">
        <f>34202-1</f>
        <v>34201</v>
      </c>
    </row>
    <row r="143" spans="1:21" x14ac:dyDescent="0.25">
      <c r="A143" s="967">
        <v>91241</v>
      </c>
      <c r="B143" s="968" t="s">
        <v>2785</v>
      </c>
      <c r="C143" s="969">
        <v>3.5500000000000002E-5</v>
      </c>
      <c r="D143" s="969">
        <v>3.68E-5</v>
      </c>
      <c r="E143" s="1008">
        <v>17216</v>
      </c>
      <c r="F143" s="1011">
        <v>78102</v>
      </c>
      <c r="G143" s="970">
        <v>54234</v>
      </c>
      <c r="H143" s="970"/>
      <c r="I143" s="971">
        <v>3124</v>
      </c>
      <c r="J143" s="972">
        <v>13168</v>
      </c>
      <c r="K143" s="971">
        <v>7745</v>
      </c>
      <c r="L143" s="970">
        <v>0</v>
      </c>
      <c r="M143" s="970"/>
      <c r="N143" s="971">
        <v>1535</v>
      </c>
      <c r="O143" s="971">
        <v>0</v>
      </c>
      <c r="P143" s="971">
        <v>0</v>
      </c>
      <c r="Q143" s="970">
        <v>4391</v>
      </c>
      <c r="R143" s="970"/>
      <c r="S143" s="971">
        <v>18277</v>
      </c>
      <c r="T143" s="973">
        <v>-2564</v>
      </c>
      <c r="U143" s="973">
        <v>15713</v>
      </c>
    </row>
    <row r="144" spans="1:21" x14ac:dyDescent="0.25">
      <c r="A144" s="967">
        <v>91251</v>
      </c>
      <c r="B144" s="968" t="s">
        <v>2786</v>
      </c>
      <c r="C144" s="969">
        <v>1.9899999999999999E-5</v>
      </c>
      <c r="D144" s="969">
        <v>2.65E-5</v>
      </c>
      <c r="E144" s="1008">
        <v>11339</v>
      </c>
      <c r="F144" s="1011">
        <v>56242</v>
      </c>
      <c r="G144" s="970">
        <v>30402</v>
      </c>
      <c r="H144" s="970"/>
      <c r="I144" s="971">
        <v>1751</v>
      </c>
      <c r="J144" s="972">
        <v>7381</v>
      </c>
      <c r="K144" s="971">
        <v>4342</v>
      </c>
      <c r="L144" s="970">
        <v>2341</v>
      </c>
      <c r="M144" s="970"/>
      <c r="N144" s="971">
        <v>861</v>
      </c>
      <c r="O144" s="971">
        <v>0</v>
      </c>
      <c r="P144" s="971">
        <v>0</v>
      </c>
      <c r="Q144" s="970">
        <v>3540</v>
      </c>
      <c r="R144" s="970"/>
      <c r="S144" s="971">
        <v>10245</v>
      </c>
      <c r="T144" s="973">
        <v>1340</v>
      </c>
      <c r="U144" s="973">
        <f>11586-1</f>
        <v>11585</v>
      </c>
    </row>
    <row r="145" spans="1:21" x14ac:dyDescent="0.25">
      <c r="A145" s="967">
        <v>91261</v>
      </c>
      <c r="B145" s="968" t="s">
        <v>2787</v>
      </c>
      <c r="C145" s="969">
        <v>1.03E-5</v>
      </c>
      <c r="D145" s="969">
        <v>9.5000000000000005E-6</v>
      </c>
      <c r="E145" s="1008">
        <v>4666</v>
      </c>
      <c r="F145" s="1011">
        <v>20162</v>
      </c>
      <c r="G145" s="970">
        <v>15736</v>
      </c>
      <c r="H145" s="970"/>
      <c r="I145" s="971">
        <v>907</v>
      </c>
      <c r="J145" s="972">
        <v>3821</v>
      </c>
      <c r="K145" s="971">
        <v>2247</v>
      </c>
      <c r="L145" s="970">
        <v>1784</v>
      </c>
      <c r="M145" s="970"/>
      <c r="N145" s="971">
        <v>445</v>
      </c>
      <c r="O145" s="971">
        <v>0</v>
      </c>
      <c r="P145" s="971">
        <v>0</v>
      </c>
      <c r="Q145" s="970">
        <v>0</v>
      </c>
      <c r="R145" s="970"/>
      <c r="S145" s="971">
        <v>5303</v>
      </c>
      <c r="T145" s="973">
        <v>850</v>
      </c>
      <c r="U145" s="973">
        <v>6153</v>
      </c>
    </row>
    <row r="146" spans="1:21" x14ac:dyDescent="0.25">
      <c r="A146" s="967">
        <v>91301</v>
      </c>
      <c r="B146" s="968" t="s">
        <v>2788</v>
      </c>
      <c r="C146" s="969">
        <v>7.6985999999999999E-3</v>
      </c>
      <c r="D146" s="969">
        <v>7.7765000000000004E-3</v>
      </c>
      <c r="E146" s="1008">
        <v>3428603</v>
      </c>
      <c r="F146" s="1011">
        <v>16504338</v>
      </c>
      <c r="G146" s="970">
        <v>11761328</v>
      </c>
      <c r="H146" s="970"/>
      <c r="I146" s="971">
        <v>677561</v>
      </c>
      <c r="J146" s="972">
        <v>2855665</v>
      </c>
      <c r="K146" s="971">
        <v>1679681</v>
      </c>
      <c r="L146" s="970">
        <v>19915</v>
      </c>
      <c r="M146" s="970"/>
      <c r="N146" s="971">
        <v>332926</v>
      </c>
      <c r="O146" s="971">
        <v>0</v>
      </c>
      <c r="P146" s="971">
        <v>0</v>
      </c>
      <c r="Q146" s="970">
        <v>249856</v>
      </c>
      <c r="R146" s="970"/>
      <c r="S146" s="971">
        <v>3963578</v>
      </c>
      <c r="T146" s="973">
        <v>-98741</v>
      </c>
      <c r="U146" s="973">
        <v>3864837</v>
      </c>
    </row>
    <row r="147" spans="1:21" x14ac:dyDescent="0.25">
      <c r="A147" s="974">
        <v>91302</v>
      </c>
      <c r="B147" s="968" t="s">
        <v>3684</v>
      </c>
      <c r="C147" s="969">
        <v>6.0300000000000002E-4</v>
      </c>
      <c r="D147" s="969">
        <v>5.9190000000000002E-4</v>
      </c>
      <c r="E147" s="1008">
        <v>259187</v>
      </c>
      <c r="F147" s="1011">
        <v>0</v>
      </c>
      <c r="G147" s="970">
        <v>921217</v>
      </c>
      <c r="H147" s="970"/>
      <c r="I147" s="971">
        <v>53071</v>
      </c>
      <c r="J147" s="972">
        <v>223673</v>
      </c>
      <c r="K147" s="971">
        <v>131563</v>
      </c>
      <c r="L147" s="970">
        <v>32897</v>
      </c>
      <c r="M147" s="970"/>
      <c r="N147" s="971">
        <v>26077</v>
      </c>
      <c r="O147" s="971">
        <v>0</v>
      </c>
      <c r="P147" s="971">
        <v>0</v>
      </c>
      <c r="Q147" s="970">
        <v>6670</v>
      </c>
      <c r="R147" s="970"/>
      <c r="S147" s="971">
        <v>310451</v>
      </c>
      <c r="T147" s="973">
        <v>18435</v>
      </c>
      <c r="U147" s="973">
        <v>328886</v>
      </c>
    </row>
    <row r="148" spans="1:21" x14ac:dyDescent="0.25">
      <c r="A148" s="974">
        <v>91306</v>
      </c>
      <c r="B148" s="968" t="s">
        <v>2790</v>
      </c>
      <c r="C148" s="969">
        <v>1.6412E-3</v>
      </c>
      <c r="D148" s="969">
        <v>1.6676E-3</v>
      </c>
      <c r="E148" s="1008">
        <v>766698</v>
      </c>
      <c r="F148" s="1011">
        <v>3539206</v>
      </c>
      <c r="G148" s="970">
        <v>2507299</v>
      </c>
      <c r="H148" s="970"/>
      <c r="I148" s="971">
        <v>144444</v>
      </c>
      <c r="J148" s="972">
        <v>608776</v>
      </c>
      <c r="K148" s="971">
        <v>358077</v>
      </c>
      <c r="L148" s="970">
        <v>113707</v>
      </c>
      <c r="M148" s="970"/>
      <c r="N148" s="971">
        <v>70974</v>
      </c>
      <c r="O148" s="971">
        <v>0</v>
      </c>
      <c r="P148" s="971">
        <v>0</v>
      </c>
      <c r="Q148" s="970">
        <v>7101</v>
      </c>
      <c r="R148" s="970"/>
      <c r="S148" s="971">
        <v>844962</v>
      </c>
      <c r="T148" s="973">
        <v>59215</v>
      </c>
      <c r="U148" s="973">
        <v>904177</v>
      </c>
    </row>
    <row r="149" spans="1:21" x14ac:dyDescent="0.25">
      <c r="A149" s="974">
        <v>91308</v>
      </c>
      <c r="B149" s="968" t="s">
        <v>2791</v>
      </c>
      <c r="C149" s="969">
        <v>1.8009999999999999E-4</v>
      </c>
      <c r="D149" s="969">
        <v>2.05E-4</v>
      </c>
      <c r="E149" s="1008">
        <v>80232</v>
      </c>
      <c r="F149" s="1011">
        <v>435079</v>
      </c>
      <c r="G149" s="970">
        <v>275143</v>
      </c>
      <c r="H149" s="970"/>
      <c r="I149" s="971">
        <v>15851</v>
      </c>
      <c r="J149" s="972">
        <v>66805</v>
      </c>
      <c r="K149" s="971">
        <v>39294</v>
      </c>
      <c r="L149" s="970">
        <v>2442</v>
      </c>
      <c r="M149" s="970"/>
      <c r="N149" s="971">
        <v>7788</v>
      </c>
      <c r="O149" s="971">
        <v>0</v>
      </c>
      <c r="P149" s="971">
        <v>0</v>
      </c>
      <c r="Q149" s="970">
        <v>21144</v>
      </c>
      <c r="R149" s="970"/>
      <c r="S149" s="971">
        <v>92723</v>
      </c>
      <c r="T149" s="973">
        <v>-3684</v>
      </c>
      <c r="U149" s="973">
        <f>89040-1</f>
        <v>89039</v>
      </c>
    </row>
    <row r="150" spans="1:21" x14ac:dyDescent="0.25">
      <c r="A150" s="967">
        <v>91311</v>
      </c>
      <c r="B150" s="968" t="s">
        <v>2792</v>
      </c>
      <c r="C150" s="969">
        <v>7.6685E-3</v>
      </c>
      <c r="D150" s="969">
        <v>7.6649999999999999E-3</v>
      </c>
      <c r="E150" s="1008">
        <v>3305761</v>
      </c>
      <c r="F150" s="1011">
        <v>16267698</v>
      </c>
      <c r="G150" s="970">
        <v>11715344</v>
      </c>
      <c r="H150" s="970"/>
      <c r="I150" s="971">
        <v>674912</v>
      </c>
      <c r="J150" s="972">
        <v>2844500</v>
      </c>
      <c r="K150" s="971">
        <v>1673113</v>
      </c>
      <c r="L150" s="970">
        <v>78345</v>
      </c>
      <c r="M150" s="970"/>
      <c r="N150" s="971">
        <v>331624</v>
      </c>
      <c r="O150" s="971">
        <v>0</v>
      </c>
      <c r="P150" s="971">
        <v>0</v>
      </c>
      <c r="Q150" s="970">
        <v>516736</v>
      </c>
      <c r="R150" s="970"/>
      <c r="S150" s="971">
        <v>3948081</v>
      </c>
      <c r="T150" s="973">
        <v>-187514</v>
      </c>
      <c r="U150" s="973">
        <v>3760567</v>
      </c>
    </row>
    <row r="151" spans="1:21" x14ac:dyDescent="0.25">
      <c r="A151" s="967">
        <v>91317</v>
      </c>
      <c r="B151" s="968" t="s">
        <v>2793</v>
      </c>
      <c r="C151" s="969">
        <v>1.016E-4</v>
      </c>
      <c r="D151" s="969">
        <v>9.0500000000000004E-5</v>
      </c>
      <c r="E151" s="1008">
        <v>50865</v>
      </c>
      <c r="F151" s="1011">
        <v>192071</v>
      </c>
      <c r="G151" s="970">
        <v>155217</v>
      </c>
      <c r="H151" s="970"/>
      <c r="I151" s="971">
        <v>8942</v>
      </c>
      <c r="J151" s="972">
        <v>37687</v>
      </c>
      <c r="K151" s="971">
        <v>22167</v>
      </c>
      <c r="L151" s="970">
        <v>13159</v>
      </c>
      <c r="M151" s="970"/>
      <c r="N151" s="971">
        <v>4394</v>
      </c>
      <c r="O151" s="971">
        <v>0</v>
      </c>
      <c r="P151" s="971">
        <v>0</v>
      </c>
      <c r="Q151" s="970">
        <v>1760</v>
      </c>
      <c r="R151" s="970"/>
      <c r="S151" s="971">
        <v>52308</v>
      </c>
      <c r="T151" s="973">
        <v>2823</v>
      </c>
      <c r="U151" s="973">
        <f>55132-1</f>
        <v>55131</v>
      </c>
    </row>
    <row r="152" spans="1:21" x14ac:dyDescent="0.25">
      <c r="A152" s="967">
        <v>91321</v>
      </c>
      <c r="B152" s="968" t="s">
        <v>2794</v>
      </c>
      <c r="C152" s="969">
        <v>4.2799999999999997E-5</v>
      </c>
      <c r="D152" s="969">
        <v>4.1999999999999998E-5</v>
      </c>
      <c r="E152" s="1008">
        <v>37213</v>
      </c>
      <c r="F152" s="1011">
        <v>89138</v>
      </c>
      <c r="G152" s="970">
        <v>65387</v>
      </c>
      <c r="H152" s="970"/>
      <c r="I152" s="971">
        <v>3767</v>
      </c>
      <c r="J152" s="972">
        <v>15876</v>
      </c>
      <c r="K152" s="971">
        <v>9338</v>
      </c>
      <c r="L152" s="970">
        <v>18992</v>
      </c>
      <c r="M152" s="970"/>
      <c r="N152" s="971">
        <v>1851</v>
      </c>
      <c r="O152" s="971">
        <v>0</v>
      </c>
      <c r="P152" s="971">
        <v>0</v>
      </c>
      <c r="Q152" s="970">
        <v>3760</v>
      </c>
      <c r="R152" s="970"/>
      <c r="S152" s="971">
        <v>22035</v>
      </c>
      <c r="T152" s="973">
        <v>3437</v>
      </c>
      <c r="U152" s="973">
        <v>25472</v>
      </c>
    </row>
    <row r="153" spans="1:21" x14ac:dyDescent="0.25">
      <c r="A153" s="967">
        <v>91327</v>
      </c>
      <c r="B153" s="968" t="s">
        <v>2795</v>
      </c>
      <c r="C153" s="969">
        <v>8.1999999999999994E-6</v>
      </c>
      <c r="D153" s="969">
        <v>1.03E-5</v>
      </c>
      <c r="E153" s="1008">
        <v>4495</v>
      </c>
      <c r="F153" s="1011">
        <v>21860</v>
      </c>
      <c r="G153" s="970">
        <v>12527</v>
      </c>
      <c r="H153" s="970"/>
      <c r="I153" s="971">
        <v>722</v>
      </c>
      <c r="J153" s="972">
        <v>3042</v>
      </c>
      <c r="K153" s="971">
        <v>1789</v>
      </c>
      <c r="L153" s="970">
        <v>36</v>
      </c>
      <c r="M153" s="970"/>
      <c r="N153" s="971">
        <v>355</v>
      </c>
      <c r="O153" s="971">
        <v>0</v>
      </c>
      <c r="P153" s="971">
        <v>0</v>
      </c>
      <c r="Q153" s="970">
        <v>1563</v>
      </c>
      <c r="R153" s="970"/>
      <c r="S153" s="971">
        <v>4222</v>
      </c>
      <c r="T153" s="973">
        <v>-481</v>
      </c>
      <c r="U153" s="973">
        <v>3741</v>
      </c>
    </row>
    <row r="154" spans="1:21" x14ac:dyDescent="0.25">
      <c r="A154" s="967">
        <v>91331</v>
      </c>
      <c r="B154" s="968" t="s">
        <v>2796</v>
      </c>
      <c r="C154" s="969">
        <v>3.0033E-3</v>
      </c>
      <c r="D154" s="969">
        <v>2.8509999999999998E-3</v>
      </c>
      <c r="E154" s="1008">
        <v>1190887</v>
      </c>
      <c r="F154" s="1011">
        <v>6050777</v>
      </c>
      <c r="G154" s="970">
        <v>4588210</v>
      </c>
      <c r="H154" s="970"/>
      <c r="I154" s="971">
        <v>264323</v>
      </c>
      <c r="J154" s="972">
        <v>1114023</v>
      </c>
      <c r="K154" s="971">
        <v>655260</v>
      </c>
      <c r="L154" s="970">
        <v>0</v>
      </c>
      <c r="M154" s="970"/>
      <c r="N154" s="971">
        <v>129878</v>
      </c>
      <c r="O154" s="971">
        <v>0</v>
      </c>
      <c r="P154" s="971">
        <v>0</v>
      </c>
      <c r="Q154" s="970">
        <v>342951</v>
      </c>
      <c r="R154" s="970"/>
      <c r="S154" s="971">
        <v>1546231</v>
      </c>
      <c r="T154" s="973">
        <v>-176510</v>
      </c>
      <c r="U154" s="973">
        <v>1369721</v>
      </c>
    </row>
    <row r="155" spans="1:21" x14ac:dyDescent="0.25">
      <c r="A155" s="967">
        <v>91341</v>
      </c>
      <c r="B155" s="968" t="s">
        <v>2797</v>
      </c>
      <c r="C155" s="969">
        <v>2.51E-5</v>
      </c>
      <c r="D155" s="969">
        <v>1.4399999999999999E-5</v>
      </c>
      <c r="E155" s="1008">
        <v>9161</v>
      </c>
      <c r="F155" s="1011">
        <v>30562</v>
      </c>
      <c r="G155" s="970">
        <v>38346</v>
      </c>
      <c r="H155" s="970"/>
      <c r="I155" s="971">
        <v>2209</v>
      </c>
      <c r="J155" s="972">
        <v>9311</v>
      </c>
      <c r="K155" s="971">
        <v>5476</v>
      </c>
      <c r="L155" s="970">
        <v>5566</v>
      </c>
      <c r="M155" s="970"/>
      <c r="N155" s="971">
        <v>1085</v>
      </c>
      <c r="O155" s="971">
        <v>0</v>
      </c>
      <c r="P155" s="971">
        <v>0</v>
      </c>
      <c r="Q155" s="970">
        <v>1759</v>
      </c>
      <c r="R155" s="970"/>
      <c r="S155" s="971">
        <v>12923</v>
      </c>
      <c r="T155" s="973">
        <v>939</v>
      </c>
      <c r="U155" s="973">
        <f>13861+1</f>
        <v>13862</v>
      </c>
    </row>
    <row r="156" spans="1:21" x14ac:dyDescent="0.25">
      <c r="A156" s="967">
        <v>91401</v>
      </c>
      <c r="B156" s="968" t="s">
        <v>2798</v>
      </c>
      <c r="C156" s="969">
        <v>3.5885000000000001E-3</v>
      </c>
      <c r="D156" s="969">
        <v>3.6841E-3</v>
      </c>
      <c r="E156" s="1008">
        <v>1559430</v>
      </c>
      <c r="F156" s="1011">
        <v>7818894</v>
      </c>
      <c r="G156" s="970">
        <v>5482234</v>
      </c>
      <c r="H156" s="970"/>
      <c r="I156" s="971">
        <v>315827</v>
      </c>
      <c r="J156" s="972">
        <v>1331093</v>
      </c>
      <c r="K156" s="971">
        <v>782939</v>
      </c>
      <c r="L156" s="970">
        <v>17446</v>
      </c>
      <c r="M156" s="970"/>
      <c r="N156" s="971">
        <v>155185</v>
      </c>
      <c r="O156" s="971">
        <v>0</v>
      </c>
      <c r="P156" s="971">
        <v>0</v>
      </c>
      <c r="Q156" s="970">
        <v>142927</v>
      </c>
      <c r="R156" s="970"/>
      <c r="S156" s="971">
        <v>1847518</v>
      </c>
      <c r="T156" s="973">
        <v>-23160</v>
      </c>
      <c r="U156" s="973">
        <v>1824358</v>
      </c>
    </row>
    <row r="157" spans="1:21" x14ac:dyDescent="0.25">
      <c r="A157" s="967">
        <v>91411</v>
      </c>
      <c r="B157" s="968" t="s">
        <v>2799</v>
      </c>
      <c r="C157" s="969">
        <v>3.7829999999999998E-4</v>
      </c>
      <c r="D157" s="969">
        <v>3.5379999999999998E-4</v>
      </c>
      <c r="E157" s="1008">
        <v>168365</v>
      </c>
      <c r="F157" s="1011">
        <v>750882</v>
      </c>
      <c r="G157" s="970">
        <v>577938</v>
      </c>
      <c r="H157" s="970"/>
      <c r="I157" s="971">
        <v>33295</v>
      </c>
      <c r="J157" s="972">
        <v>140324</v>
      </c>
      <c r="K157" s="971">
        <v>82537</v>
      </c>
      <c r="L157" s="970">
        <v>28581</v>
      </c>
      <c r="M157" s="970"/>
      <c r="N157" s="971">
        <v>16360</v>
      </c>
      <c r="O157" s="971">
        <v>0</v>
      </c>
      <c r="P157" s="971">
        <v>0</v>
      </c>
      <c r="Q157" s="970">
        <v>1394</v>
      </c>
      <c r="R157" s="970"/>
      <c r="S157" s="971">
        <v>194765</v>
      </c>
      <c r="T157" s="973">
        <v>7766</v>
      </c>
      <c r="U157" s="973">
        <v>202531</v>
      </c>
    </row>
    <row r="158" spans="1:21" x14ac:dyDescent="0.25">
      <c r="A158" s="967">
        <v>91417</v>
      </c>
      <c r="B158" s="968" t="s">
        <v>2800</v>
      </c>
      <c r="C158" s="969">
        <v>9.3000000000000007E-6</v>
      </c>
      <c r="D158" s="969">
        <v>9.9000000000000001E-6</v>
      </c>
      <c r="E158" s="1008">
        <v>5289</v>
      </c>
      <c r="F158" s="1011">
        <v>21011</v>
      </c>
      <c r="G158" s="970">
        <v>14208</v>
      </c>
      <c r="H158" s="970"/>
      <c r="I158" s="971">
        <v>819</v>
      </c>
      <c r="J158" s="972">
        <v>3450</v>
      </c>
      <c r="K158" s="971">
        <v>2029</v>
      </c>
      <c r="L158" s="970">
        <v>2388</v>
      </c>
      <c r="M158" s="970"/>
      <c r="N158" s="971">
        <v>402</v>
      </c>
      <c r="O158" s="971">
        <v>0</v>
      </c>
      <c r="P158" s="971">
        <v>0</v>
      </c>
      <c r="Q158" s="970">
        <v>0</v>
      </c>
      <c r="R158" s="970"/>
      <c r="S158" s="971">
        <v>4788</v>
      </c>
      <c r="T158" s="973">
        <v>1814</v>
      </c>
      <c r="U158" s="973">
        <v>6602</v>
      </c>
    </row>
    <row r="159" spans="1:21" x14ac:dyDescent="0.25">
      <c r="A159" s="967">
        <v>91421</v>
      </c>
      <c r="B159" s="968" t="s">
        <v>2801</v>
      </c>
      <c r="C159" s="969">
        <v>6.9499999999999995E-5</v>
      </c>
      <c r="D159" s="969">
        <v>7.0400000000000004E-5</v>
      </c>
      <c r="E159" s="1008">
        <v>36488</v>
      </c>
      <c r="F159" s="1011">
        <v>149412</v>
      </c>
      <c r="G159" s="970">
        <v>106177</v>
      </c>
      <c r="H159" s="970"/>
      <c r="I159" s="971">
        <v>6117</v>
      </c>
      <c r="J159" s="972">
        <v>25779</v>
      </c>
      <c r="K159" s="971">
        <v>15164</v>
      </c>
      <c r="L159" s="970">
        <v>4339</v>
      </c>
      <c r="M159" s="970"/>
      <c r="N159" s="971">
        <v>3006</v>
      </c>
      <c r="O159" s="971">
        <v>0</v>
      </c>
      <c r="P159" s="971">
        <v>0</v>
      </c>
      <c r="Q159" s="970">
        <v>3143</v>
      </c>
      <c r="R159" s="970"/>
      <c r="S159" s="971">
        <v>35782</v>
      </c>
      <c r="T159" s="973">
        <v>365</v>
      </c>
      <c r="U159" s="973">
        <v>36147</v>
      </c>
    </row>
    <row r="160" spans="1:21" x14ac:dyDescent="0.25">
      <c r="A160" s="967">
        <v>91423</v>
      </c>
      <c r="B160" s="968" t="s">
        <v>2802</v>
      </c>
      <c r="C160" s="969">
        <v>5.38E-5</v>
      </c>
      <c r="D160" s="969">
        <v>3.8699999999999999E-5</v>
      </c>
      <c r="E160" s="1008">
        <v>20620</v>
      </c>
      <c r="F160" s="1011">
        <v>82134</v>
      </c>
      <c r="G160" s="970">
        <v>82191</v>
      </c>
      <c r="H160" s="970"/>
      <c r="I160" s="971">
        <v>4735</v>
      </c>
      <c r="J160" s="972">
        <v>19956</v>
      </c>
      <c r="K160" s="971">
        <v>11738</v>
      </c>
      <c r="L160" s="970">
        <v>13454</v>
      </c>
      <c r="M160" s="970"/>
      <c r="N160" s="971">
        <v>2327</v>
      </c>
      <c r="O160" s="971">
        <v>0</v>
      </c>
      <c r="P160" s="971">
        <v>0</v>
      </c>
      <c r="Q160" s="970">
        <v>2026</v>
      </c>
      <c r="R160" s="970"/>
      <c r="S160" s="971">
        <v>27699</v>
      </c>
      <c r="T160" s="973">
        <v>3208</v>
      </c>
      <c r="U160" s="973">
        <f>30906+1</f>
        <v>30907</v>
      </c>
    </row>
    <row r="161" spans="1:21" x14ac:dyDescent="0.25">
      <c r="A161" s="967">
        <v>91431</v>
      </c>
      <c r="B161" s="968" t="s">
        <v>2803</v>
      </c>
      <c r="C161" s="969">
        <v>1.562E-4</v>
      </c>
      <c r="D161" s="969">
        <v>1.417E-4</v>
      </c>
      <c r="E161" s="1008">
        <v>80270</v>
      </c>
      <c r="F161" s="1011">
        <v>300735</v>
      </c>
      <c r="G161" s="970">
        <v>238630</v>
      </c>
      <c r="H161" s="970"/>
      <c r="I161" s="971">
        <v>13747</v>
      </c>
      <c r="J161" s="972">
        <v>57939</v>
      </c>
      <c r="K161" s="971">
        <v>34080</v>
      </c>
      <c r="L161" s="970">
        <v>17694</v>
      </c>
      <c r="M161" s="970"/>
      <c r="N161" s="971">
        <v>6755</v>
      </c>
      <c r="O161" s="971">
        <v>0</v>
      </c>
      <c r="P161" s="971">
        <v>0</v>
      </c>
      <c r="Q161" s="970">
        <v>1767</v>
      </c>
      <c r="R161" s="970"/>
      <c r="S161" s="971">
        <v>80419</v>
      </c>
      <c r="T161" s="973">
        <v>4026</v>
      </c>
      <c r="U161" s="973">
        <v>84445</v>
      </c>
    </row>
    <row r="162" spans="1:21" x14ac:dyDescent="0.25">
      <c r="A162" s="967">
        <v>91441</v>
      </c>
      <c r="B162" s="968" t="s">
        <v>2804</v>
      </c>
      <c r="C162" s="969">
        <v>9.5140000000000003E-4</v>
      </c>
      <c r="D162" s="969">
        <v>7.3800000000000005E-4</v>
      </c>
      <c r="E162" s="1008">
        <v>316618</v>
      </c>
      <c r="F162" s="1011">
        <v>1566283</v>
      </c>
      <c r="G162" s="970">
        <v>1453476</v>
      </c>
      <c r="H162" s="970"/>
      <c r="I162" s="971">
        <v>83734</v>
      </c>
      <c r="J162" s="972">
        <v>352905</v>
      </c>
      <c r="K162" s="971">
        <v>207576</v>
      </c>
      <c r="L162" s="970">
        <v>46954</v>
      </c>
      <c r="M162" s="970"/>
      <c r="N162" s="971">
        <v>41143</v>
      </c>
      <c r="O162" s="971">
        <v>0</v>
      </c>
      <c r="P162" s="971">
        <v>0</v>
      </c>
      <c r="Q162" s="970">
        <v>103301</v>
      </c>
      <c r="R162" s="970"/>
      <c r="S162" s="971">
        <v>489823</v>
      </c>
      <c r="T162" s="973">
        <v>-39929</v>
      </c>
      <c r="U162" s="973">
        <v>449894</v>
      </c>
    </row>
    <row r="163" spans="1:21" x14ac:dyDescent="0.25">
      <c r="A163" s="967">
        <v>91451</v>
      </c>
      <c r="B163" s="968" t="s">
        <v>2805</v>
      </c>
      <c r="C163" s="969">
        <v>1.4760000000000001E-3</v>
      </c>
      <c r="D163" s="969">
        <v>1.5629000000000001E-3</v>
      </c>
      <c r="E163" s="1008">
        <v>670223</v>
      </c>
      <c r="F163" s="1011">
        <v>3316997</v>
      </c>
      <c r="G163" s="970">
        <v>2254919</v>
      </c>
      <c r="H163" s="970"/>
      <c r="I163" s="971">
        <v>129904</v>
      </c>
      <c r="J163" s="972">
        <v>547497</v>
      </c>
      <c r="K163" s="971">
        <v>322034</v>
      </c>
      <c r="L163" s="970">
        <v>0</v>
      </c>
      <c r="M163" s="970"/>
      <c r="N163" s="971">
        <v>63830</v>
      </c>
      <c r="O163" s="971">
        <v>0</v>
      </c>
      <c r="P163" s="971">
        <v>0</v>
      </c>
      <c r="Q163" s="970">
        <v>199933</v>
      </c>
      <c r="R163" s="970"/>
      <c r="S163" s="971">
        <v>759910</v>
      </c>
      <c r="T163" s="973">
        <v>-85072</v>
      </c>
      <c r="U163" s="973">
        <v>674838</v>
      </c>
    </row>
    <row r="164" spans="1:21" x14ac:dyDescent="0.25">
      <c r="A164" s="967">
        <v>91457</v>
      </c>
      <c r="B164" s="968" t="s">
        <v>2806</v>
      </c>
      <c r="C164" s="969">
        <v>2.23E-5</v>
      </c>
      <c r="D164" s="969">
        <v>2.58E-5</v>
      </c>
      <c r="E164" s="1008">
        <v>30670</v>
      </c>
      <c r="F164" s="1011">
        <v>54756</v>
      </c>
      <c r="G164" s="970">
        <v>34068</v>
      </c>
      <c r="H164" s="970"/>
      <c r="I164" s="971">
        <v>1963</v>
      </c>
      <c r="J164" s="972">
        <v>8272</v>
      </c>
      <c r="K164" s="971">
        <v>4865</v>
      </c>
      <c r="L164" s="970">
        <v>30858</v>
      </c>
      <c r="M164" s="970"/>
      <c r="N164" s="971">
        <v>964</v>
      </c>
      <c r="O164" s="971">
        <v>0</v>
      </c>
      <c r="P164" s="971">
        <v>0</v>
      </c>
      <c r="Q164" s="970">
        <v>0</v>
      </c>
      <c r="R164" s="970"/>
      <c r="S164" s="971">
        <v>11481</v>
      </c>
      <c r="T164" s="973">
        <v>10929</v>
      </c>
      <c r="U164" s="973">
        <v>22410</v>
      </c>
    </row>
    <row r="165" spans="1:21" x14ac:dyDescent="0.25">
      <c r="A165" s="967">
        <v>91461</v>
      </c>
      <c r="B165" s="968" t="s">
        <v>2807</v>
      </c>
      <c r="C165" s="969">
        <v>9.3999999999999998E-6</v>
      </c>
      <c r="D165" s="969">
        <v>8.6999999999999997E-6</v>
      </c>
      <c r="E165" s="1008">
        <v>2932</v>
      </c>
      <c r="F165" s="1011">
        <v>18464</v>
      </c>
      <c r="G165" s="970">
        <v>14361</v>
      </c>
      <c r="H165" s="970"/>
      <c r="I165" s="971">
        <v>827</v>
      </c>
      <c r="J165" s="972">
        <v>3487</v>
      </c>
      <c r="K165" s="971">
        <v>2051</v>
      </c>
      <c r="L165" s="970">
        <v>2052</v>
      </c>
      <c r="M165" s="970"/>
      <c r="N165" s="971">
        <v>407</v>
      </c>
      <c r="O165" s="971">
        <v>0</v>
      </c>
      <c r="P165" s="971">
        <v>0</v>
      </c>
      <c r="Q165" s="970">
        <v>637</v>
      </c>
      <c r="R165" s="970"/>
      <c r="S165" s="971">
        <v>4840</v>
      </c>
      <c r="T165" s="973">
        <v>945</v>
      </c>
      <c r="U165" s="973">
        <f>5784+1</f>
        <v>5785</v>
      </c>
    </row>
    <row r="166" spans="1:21" x14ac:dyDescent="0.25">
      <c r="A166" s="967">
        <v>91501</v>
      </c>
      <c r="B166" s="968" t="s">
        <v>2808</v>
      </c>
      <c r="C166" s="969">
        <v>4.9700000000000005E-4</v>
      </c>
      <c r="D166" s="969">
        <v>5.1099999999999995E-4</v>
      </c>
      <c r="E166" s="1008">
        <v>231246</v>
      </c>
      <c r="F166" s="1011">
        <v>1084513</v>
      </c>
      <c r="G166" s="970">
        <v>759278</v>
      </c>
      <c r="H166" s="970"/>
      <c r="I166" s="971">
        <v>43741</v>
      </c>
      <c r="J166" s="972">
        <v>184353</v>
      </c>
      <c r="K166" s="971">
        <v>108435</v>
      </c>
      <c r="L166" s="970">
        <v>24430</v>
      </c>
      <c r="M166" s="970"/>
      <c r="N166" s="971">
        <v>21493</v>
      </c>
      <c r="O166" s="971">
        <v>0</v>
      </c>
      <c r="P166" s="971">
        <v>0</v>
      </c>
      <c r="Q166" s="970">
        <v>6922</v>
      </c>
      <c r="R166" s="970"/>
      <c r="S166" s="971">
        <v>255877</v>
      </c>
      <c r="T166" s="973">
        <v>15592</v>
      </c>
      <c r="U166" s="973">
        <v>271469</v>
      </c>
    </row>
    <row r="167" spans="1:21" x14ac:dyDescent="0.25">
      <c r="A167" s="967">
        <v>91504</v>
      </c>
      <c r="B167" s="968" t="s">
        <v>2809</v>
      </c>
      <c r="C167" s="969">
        <v>9.7000000000000003E-6</v>
      </c>
      <c r="D167" s="969">
        <v>1.0200000000000001E-5</v>
      </c>
      <c r="E167" s="1008">
        <v>6531</v>
      </c>
      <c r="F167" s="1011">
        <v>21648</v>
      </c>
      <c r="G167" s="970">
        <v>14819</v>
      </c>
      <c r="H167" s="970"/>
      <c r="I167" s="971">
        <v>854</v>
      </c>
      <c r="J167" s="972">
        <v>3599</v>
      </c>
      <c r="K167" s="971">
        <v>2116</v>
      </c>
      <c r="L167" s="970">
        <v>5620</v>
      </c>
      <c r="M167" s="970"/>
      <c r="N167" s="971">
        <v>419</v>
      </c>
      <c r="O167" s="971">
        <v>0</v>
      </c>
      <c r="P167" s="971">
        <v>0</v>
      </c>
      <c r="Q167" s="970">
        <v>0</v>
      </c>
      <c r="R167" s="970"/>
      <c r="S167" s="971">
        <v>4994</v>
      </c>
      <c r="T167" s="973">
        <v>2602</v>
      </c>
      <c r="U167" s="973">
        <v>7596</v>
      </c>
    </row>
    <row r="168" spans="1:21" x14ac:dyDescent="0.25">
      <c r="A168" s="967">
        <v>91601</v>
      </c>
      <c r="B168" s="968" t="s">
        <v>2810</v>
      </c>
      <c r="C168" s="969">
        <v>2.8040000000000001E-3</v>
      </c>
      <c r="D168" s="969">
        <v>2.9077999999999999E-3</v>
      </c>
      <c r="E168" s="1008">
        <v>1323806</v>
      </c>
      <c r="F168" s="1011">
        <v>6171326</v>
      </c>
      <c r="G168" s="970">
        <v>4283735</v>
      </c>
      <c r="H168" s="970"/>
      <c r="I168" s="971">
        <v>246783</v>
      </c>
      <c r="J168" s="972">
        <v>1040096</v>
      </c>
      <c r="K168" s="971">
        <v>611777</v>
      </c>
      <c r="L168" s="970">
        <v>168530</v>
      </c>
      <c r="M168" s="970"/>
      <c r="N168" s="971">
        <v>121259</v>
      </c>
      <c r="O168" s="971">
        <v>0</v>
      </c>
      <c r="P168" s="971">
        <v>0</v>
      </c>
      <c r="Q168" s="970">
        <v>40367</v>
      </c>
      <c r="R168" s="970"/>
      <c r="S168" s="971">
        <v>1443623</v>
      </c>
      <c r="T168" s="973">
        <v>76132</v>
      </c>
      <c r="U168" s="973">
        <v>1519755</v>
      </c>
    </row>
    <row r="169" spans="1:21" x14ac:dyDescent="0.25">
      <c r="A169" s="967">
        <v>91604</v>
      </c>
      <c r="B169" s="968" t="s">
        <v>2811</v>
      </c>
      <c r="C169" s="969">
        <v>8.8499999999999996E-5</v>
      </c>
      <c r="D169" s="969">
        <v>8.6799999999999996E-5</v>
      </c>
      <c r="E169" s="1008">
        <v>50507</v>
      </c>
      <c r="F169" s="1011">
        <v>184219</v>
      </c>
      <c r="G169" s="970">
        <v>135203</v>
      </c>
      <c r="H169" s="970"/>
      <c r="I169" s="971">
        <v>7789</v>
      </c>
      <c r="J169" s="972">
        <v>32827</v>
      </c>
      <c r="K169" s="971">
        <v>19309</v>
      </c>
      <c r="L169" s="970">
        <v>20977</v>
      </c>
      <c r="M169" s="970"/>
      <c r="N169" s="971">
        <v>3827</v>
      </c>
      <c r="O169" s="971">
        <v>0</v>
      </c>
      <c r="P169" s="971">
        <v>0</v>
      </c>
      <c r="Q169" s="970">
        <v>0</v>
      </c>
      <c r="R169" s="970"/>
      <c r="S169" s="971">
        <v>45564</v>
      </c>
      <c r="T169" s="973">
        <v>7680</v>
      </c>
      <c r="U169" s="973">
        <v>53244</v>
      </c>
    </row>
    <row r="170" spans="1:21" x14ac:dyDescent="0.25">
      <c r="A170" s="967">
        <v>91608</v>
      </c>
      <c r="B170" s="968" t="s">
        <v>2812</v>
      </c>
      <c r="C170" s="969">
        <v>1.5349999999999999E-4</v>
      </c>
      <c r="D170" s="969">
        <v>1.208E-4</v>
      </c>
      <c r="E170" s="1008">
        <v>45013</v>
      </c>
      <c r="F170" s="1011">
        <v>256378</v>
      </c>
      <c r="G170" s="970">
        <v>234505</v>
      </c>
      <c r="H170" s="970"/>
      <c r="I170" s="971">
        <v>13510</v>
      </c>
      <c r="J170" s="972">
        <v>56938</v>
      </c>
      <c r="K170" s="971">
        <v>33491</v>
      </c>
      <c r="L170" s="970">
        <v>2430</v>
      </c>
      <c r="M170" s="970"/>
      <c r="N170" s="971">
        <v>6638</v>
      </c>
      <c r="O170" s="971">
        <v>0</v>
      </c>
      <c r="P170" s="971">
        <v>0</v>
      </c>
      <c r="Q170" s="970">
        <v>28763</v>
      </c>
      <c r="R170" s="970"/>
      <c r="S170" s="971">
        <v>79029</v>
      </c>
      <c r="T170" s="973">
        <v>-12888</v>
      </c>
      <c r="U170" s="973">
        <f>66140+1</f>
        <v>66141</v>
      </c>
    </row>
    <row r="171" spans="1:21" x14ac:dyDescent="0.25">
      <c r="A171" s="967">
        <v>91611</v>
      </c>
      <c r="B171" s="968" t="s">
        <v>2813</v>
      </c>
      <c r="C171" s="969">
        <v>1.4708E-3</v>
      </c>
      <c r="D171" s="969">
        <v>1.4345E-3</v>
      </c>
      <c r="E171" s="1008">
        <v>598449</v>
      </c>
      <c r="F171" s="1011">
        <v>3044490</v>
      </c>
      <c r="G171" s="970">
        <v>2246975</v>
      </c>
      <c r="H171" s="970"/>
      <c r="I171" s="971">
        <v>129447</v>
      </c>
      <c r="J171" s="972">
        <v>545569</v>
      </c>
      <c r="K171" s="971">
        <v>320899</v>
      </c>
      <c r="L171" s="970">
        <v>19333</v>
      </c>
      <c r="M171" s="970"/>
      <c r="N171" s="971">
        <v>63605</v>
      </c>
      <c r="O171" s="971">
        <v>0</v>
      </c>
      <c r="P171" s="971">
        <v>0</v>
      </c>
      <c r="Q171" s="970">
        <v>53335</v>
      </c>
      <c r="R171" s="970"/>
      <c r="S171" s="971">
        <v>757233</v>
      </c>
      <c r="T171" s="973">
        <v>2483</v>
      </c>
      <c r="U171" s="973">
        <f>759715+1</f>
        <v>759716</v>
      </c>
    </row>
    <row r="172" spans="1:21" x14ac:dyDescent="0.25">
      <c r="A172" s="967">
        <v>91621</v>
      </c>
      <c r="B172" s="968" t="s">
        <v>2814</v>
      </c>
      <c r="C172" s="969">
        <v>2.7050000000000002E-4</v>
      </c>
      <c r="D172" s="969">
        <v>2.5240000000000001E-4</v>
      </c>
      <c r="E172" s="1008">
        <v>108514</v>
      </c>
      <c r="F172" s="1011">
        <v>535677</v>
      </c>
      <c r="G172" s="970">
        <v>413249</v>
      </c>
      <c r="H172" s="970"/>
      <c r="I172" s="971">
        <v>23807</v>
      </c>
      <c r="J172" s="972">
        <v>100337</v>
      </c>
      <c r="K172" s="971">
        <v>59018</v>
      </c>
      <c r="L172" s="970">
        <v>13260</v>
      </c>
      <c r="M172" s="970"/>
      <c r="N172" s="971">
        <v>11698</v>
      </c>
      <c r="O172" s="971">
        <v>0</v>
      </c>
      <c r="P172" s="971">
        <v>0</v>
      </c>
      <c r="Q172" s="970">
        <v>14620</v>
      </c>
      <c r="R172" s="970"/>
      <c r="S172" s="971">
        <v>139265</v>
      </c>
      <c r="T172" s="973">
        <v>-4185</v>
      </c>
      <c r="U172" s="973">
        <v>135080</v>
      </c>
    </row>
    <row r="173" spans="1:21" x14ac:dyDescent="0.25">
      <c r="A173" s="967">
        <v>91631</v>
      </c>
      <c r="B173" s="968" t="s">
        <v>2815</v>
      </c>
      <c r="C173" s="969">
        <v>5.2249999999999996E-4</v>
      </c>
      <c r="D173" s="969">
        <v>5.3870000000000003E-4</v>
      </c>
      <c r="E173" s="1008">
        <v>219722</v>
      </c>
      <c r="F173" s="1011">
        <v>1143302</v>
      </c>
      <c r="G173" s="970">
        <v>798235</v>
      </c>
      <c r="H173" s="970"/>
      <c r="I173" s="971">
        <v>45986</v>
      </c>
      <c r="J173" s="972">
        <v>193812</v>
      </c>
      <c r="K173" s="971">
        <v>113999</v>
      </c>
      <c r="L173" s="970">
        <v>0</v>
      </c>
      <c r="M173" s="970"/>
      <c r="N173" s="971">
        <v>22596</v>
      </c>
      <c r="O173" s="971">
        <v>0</v>
      </c>
      <c r="P173" s="971">
        <v>0</v>
      </c>
      <c r="Q173" s="970">
        <v>52272</v>
      </c>
      <c r="R173" s="970"/>
      <c r="S173" s="971">
        <v>269006</v>
      </c>
      <c r="T173" s="973">
        <v>-16747</v>
      </c>
      <c r="U173" s="973">
        <v>252259</v>
      </c>
    </row>
    <row r="174" spans="1:21" x14ac:dyDescent="0.25">
      <c r="A174" s="967">
        <v>91633</v>
      </c>
      <c r="B174" s="968" t="s">
        <v>2816</v>
      </c>
      <c r="C174" s="969">
        <v>2.51E-5</v>
      </c>
      <c r="D174" s="969">
        <v>2.3799999999999999E-5</v>
      </c>
      <c r="E174" s="1008">
        <v>11022</v>
      </c>
      <c r="F174" s="1011">
        <v>50512</v>
      </c>
      <c r="G174" s="970">
        <v>38346</v>
      </c>
      <c r="H174" s="970"/>
      <c r="I174" s="971">
        <v>2209</v>
      </c>
      <c r="J174" s="972">
        <v>9311</v>
      </c>
      <c r="K174" s="971">
        <v>5476</v>
      </c>
      <c r="L174" s="970">
        <v>1513</v>
      </c>
      <c r="M174" s="970"/>
      <c r="N174" s="971">
        <v>1085</v>
      </c>
      <c r="O174" s="971">
        <v>0</v>
      </c>
      <c r="P174" s="971">
        <v>0</v>
      </c>
      <c r="Q174" s="970">
        <v>3215</v>
      </c>
      <c r="R174" s="970"/>
      <c r="S174" s="971">
        <v>12923</v>
      </c>
      <c r="T174" s="973">
        <v>-1367</v>
      </c>
      <c r="U174" s="973">
        <f>11555+1</f>
        <v>11556</v>
      </c>
    </row>
    <row r="175" spans="1:21" x14ac:dyDescent="0.25">
      <c r="A175" s="967">
        <v>91641</v>
      </c>
      <c r="B175" s="968" t="s">
        <v>2817</v>
      </c>
      <c r="C175" s="969">
        <v>3.1139999999999998E-4</v>
      </c>
      <c r="D175" s="969">
        <v>2.742E-4</v>
      </c>
      <c r="E175" s="1008">
        <v>104379</v>
      </c>
      <c r="F175" s="1011">
        <v>581944</v>
      </c>
      <c r="G175" s="970">
        <v>475733</v>
      </c>
      <c r="H175" s="970"/>
      <c r="I175" s="971">
        <v>27407</v>
      </c>
      <c r="J175" s="972">
        <v>115509</v>
      </c>
      <c r="K175" s="971">
        <v>67941</v>
      </c>
      <c r="L175" s="970">
        <v>0</v>
      </c>
      <c r="M175" s="970"/>
      <c r="N175" s="971">
        <v>13466</v>
      </c>
      <c r="O175" s="971">
        <v>0</v>
      </c>
      <c r="P175" s="971">
        <v>0</v>
      </c>
      <c r="Q175" s="970">
        <v>55139</v>
      </c>
      <c r="R175" s="970"/>
      <c r="S175" s="971">
        <v>160322</v>
      </c>
      <c r="T175" s="973">
        <v>-25877</v>
      </c>
      <c r="U175" s="973">
        <v>134445</v>
      </c>
    </row>
    <row r="176" spans="1:21" x14ac:dyDescent="0.25">
      <c r="A176" s="967">
        <v>91651</v>
      </c>
      <c r="B176" s="968" t="s">
        <v>2818</v>
      </c>
      <c r="C176" s="969">
        <v>4.4440000000000001E-4</v>
      </c>
      <c r="D176" s="969">
        <v>4.6099999999999998E-4</v>
      </c>
      <c r="E176" s="1008">
        <v>205102</v>
      </c>
      <c r="F176" s="1011">
        <v>978396</v>
      </c>
      <c r="G176" s="970">
        <v>678920</v>
      </c>
      <c r="H176" s="970"/>
      <c r="I176" s="971">
        <v>39112</v>
      </c>
      <c r="J176" s="972">
        <v>164843</v>
      </c>
      <c r="K176" s="971">
        <v>96959</v>
      </c>
      <c r="L176" s="970">
        <v>0</v>
      </c>
      <c r="M176" s="970"/>
      <c r="N176" s="971">
        <v>19218</v>
      </c>
      <c r="O176" s="971">
        <v>0</v>
      </c>
      <c r="P176" s="971">
        <v>0</v>
      </c>
      <c r="Q176" s="970">
        <v>30696</v>
      </c>
      <c r="R176" s="970"/>
      <c r="S176" s="971">
        <v>228797</v>
      </c>
      <c r="T176" s="973">
        <v>-12407</v>
      </c>
      <c r="U176" s="973">
        <v>216390</v>
      </c>
    </row>
    <row r="177" spans="1:21" x14ac:dyDescent="0.25">
      <c r="A177" s="967">
        <v>91661</v>
      </c>
      <c r="B177" s="968" t="s">
        <v>2819</v>
      </c>
      <c r="C177" s="969">
        <v>1.673E-4</v>
      </c>
      <c r="D177" s="969">
        <v>1.6750000000000001E-4</v>
      </c>
      <c r="E177" s="1008">
        <v>56241</v>
      </c>
      <c r="F177" s="1011">
        <v>355491</v>
      </c>
      <c r="G177" s="970">
        <v>255588</v>
      </c>
      <c r="H177" s="970"/>
      <c r="I177" s="971">
        <v>14724</v>
      </c>
      <c r="J177" s="972">
        <v>62057</v>
      </c>
      <c r="K177" s="971">
        <v>36502</v>
      </c>
      <c r="L177" s="970">
        <v>0</v>
      </c>
      <c r="M177" s="970"/>
      <c r="N177" s="971">
        <v>7235</v>
      </c>
      <c r="O177" s="971">
        <v>0</v>
      </c>
      <c r="P177" s="971">
        <v>0</v>
      </c>
      <c r="Q177" s="970">
        <v>45519</v>
      </c>
      <c r="R177" s="970"/>
      <c r="S177" s="971">
        <v>86133</v>
      </c>
      <c r="T177" s="973">
        <v>-16188</v>
      </c>
      <c r="U177" s="973">
        <v>69945</v>
      </c>
    </row>
    <row r="178" spans="1:21" x14ac:dyDescent="0.25">
      <c r="A178" s="967">
        <v>91671</v>
      </c>
      <c r="B178" s="968" t="s">
        <v>2820</v>
      </c>
      <c r="C178" s="969">
        <v>9.6700000000000006E-5</v>
      </c>
      <c r="D178" s="969">
        <v>9.7600000000000001E-5</v>
      </c>
      <c r="E178" s="1008">
        <v>43651</v>
      </c>
      <c r="F178" s="1011">
        <v>207140</v>
      </c>
      <c r="G178" s="970">
        <v>147731</v>
      </c>
      <c r="H178" s="970"/>
      <c r="I178" s="971">
        <v>8511</v>
      </c>
      <c r="J178" s="972">
        <v>35869</v>
      </c>
      <c r="K178" s="971">
        <v>21098</v>
      </c>
      <c r="L178" s="970">
        <v>11497</v>
      </c>
      <c r="M178" s="970"/>
      <c r="N178" s="971">
        <v>4182</v>
      </c>
      <c r="O178" s="971">
        <v>0</v>
      </c>
      <c r="P178" s="971">
        <v>0</v>
      </c>
      <c r="Q178" s="970">
        <v>1197</v>
      </c>
      <c r="R178" s="970"/>
      <c r="S178" s="971">
        <v>49785</v>
      </c>
      <c r="T178" s="973">
        <v>5725</v>
      </c>
      <c r="U178" s="973">
        <v>55510</v>
      </c>
    </row>
    <row r="179" spans="1:21" x14ac:dyDescent="0.25">
      <c r="A179" s="967">
        <v>91681</v>
      </c>
      <c r="B179" s="968" t="s">
        <v>2821</v>
      </c>
      <c r="C179" s="969">
        <v>4.728E-4</v>
      </c>
      <c r="D179" s="969">
        <v>4.7130000000000002E-4</v>
      </c>
      <c r="E179" s="1008">
        <v>387832</v>
      </c>
      <c r="F179" s="1011">
        <v>1000256</v>
      </c>
      <c r="G179" s="970">
        <v>722307</v>
      </c>
      <c r="H179" s="970"/>
      <c r="I179" s="971">
        <v>41612</v>
      </c>
      <c r="J179" s="972">
        <v>175378</v>
      </c>
      <c r="K179" s="971">
        <v>103156</v>
      </c>
      <c r="L179" s="970">
        <v>274278</v>
      </c>
      <c r="M179" s="970"/>
      <c r="N179" s="971">
        <v>20446</v>
      </c>
      <c r="O179" s="971">
        <v>0</v>
      </c>
      <c r="P179" s="971">
        <v>0</v>
      </c>
      <c r="Q179" s="970">
        <v>4516</v>
      </c>
      <c r="R179" s="970"/>
      <c r="S179" s="971">
        <v>243418</v>
      </c>
      <c r="T179" s="973">
        <v>89641</v>
      </c>
      <c r="U179" s="973">
        <v>333059</v>
      </c>
    </row>
    <row r="180" spans="1:21" x14ac:dyDescent="0.25">
      <c r="A180" s="967">
        <v>91691</v>
      </c>
      <c r="B180" s="968" t="s">
        <v>2822</v>
      </c>
      <c r="C180" s="969">
        <v>2.3200000000000001E-5</v>
      </c>
      <c r="D180" s="969">
        <v>2.4199999999999999E-5</v>
      </c>
      <c r="E180" s="1008">
        <v>10219</v>
      </c>
      <c r="F180" s="1011">
        <v>51361</v>
      </c>
      <c r="G180" s="970">
        <v>35443</v>
      </c>
      <c r="H180" s="970"/>
      <c r="I180" s="971">
        <v>2042</v>
      </c>
      <c r="J180" s="972">
        <v>8605</v>
      </c>
      <c r="K180" s="971">
        <v>5062</v>
      </c>
      <c r="L180" s="970">
        <v>1782</v>
      </c>
      <c r="M180" s="970"/>
      <c r="N180" s="971">
        <v>1003</v>
      </c>
      <c r="O180" s="971">
        <v>0</v>
      </c>
      <c r="P180" s="971">
        <v>0</v>
      </c>
      <c r="Q180" s="970">
        <v>1533</v>
      </c>
      <c r="R180" s="970"/>
      <c r="S180" s="971">
        <v>11944</v>
      </c>
      <c r="T180" s="973">
        <v>129</v>
      </c>
      <c r="U180" s="973">
        <f>12074-1</f>
        <v>12073</v>
      </c>
    </row>
    <row r="181" spans="1:21" x14ac:dyDescent="0.25">
      <c r="A181" s="967">
        <v>91701</v>
      </c>
      <c r="B181" s="968" t="s">
        <v>2823</v>
      </c>
      <c r="C181" s="969">
        <v>1.2451999999999999E-3</v>
      </c>
      <c r="D181" s="969">
        <v>1.0897000000000001E-3</v>
      </c>
      <c r="E181" s="1008">
        <v>542906</v>
      </c>
      <c r="F181" s="1011">
        <v>2312708</v>
      </c>
      <c r="G181" s="970">
        <v>1902321</v>
      </c>
      <c r="H181" s="970"/>
      <c r="I181" s="971">
        <v>109591</v>
      </c>
      <c r="J181" s="972">
        <v>461886</v>
      </c>
      <c r="K181" s="971">
        <v>271678</v>
      </c>
      <c r="L181" s="970">
        <v>95964</v>
      </c>
      <c r="M181" s="970"/>
      <c r="N181" s="971">
        <v>53849</v>
      </c>
      <c r="O181" s="971">
        <v>0</v>
      </c>
      <c r="P181" s="971">
        <v>0</v>
      </c>
      <c r="Q181" s="970">
        <v>6949</v>
      </c>
      <c r="R181" s="970"/>
      <c r="S181" s="971">
        <v>641084</v>
      </c>
      <c r="T181" s="973">
        <v>18725</v>
      </c>
      <c r="U181" s="973">
        <v>659809</v>
      </c>
    </row>
    <row r="182" spans="1:21" x14ac:dyDescent="0.25">
      <c r="A182" s="967">
        <v>91704</v>
      </c>
      <c r="B182" s="968" t="s">
        <v>2824</v>
      </c>
      <c r="C182" s="969">
        <v>1.73E-5</v>
      </c>
      <c r="D182" s="969">
        <v>1.6699999999999999E-5</v>
      </c>
      <c r="E182" s="1008">
        <v>7506</v>
      </c>
      <c r="F182" s="1011">
        <v>35443</v>
      </c>
      <c r="G182" s="970">
        <v>26430</v>
      </c>
      <c r="H182" s="970"/>
      <c r="I182" s="971">
        <v>1523</v>
      </c>
      <c r="J182" s="972">
        <v>6417</v>
      </c>
      <c r="K182" s="971">
        <v>3775</v>
      </c>
      <c r="L182" s="970">
        <v>1084</v>
      </c>
      <c r="M182" s="970"/>
      <c r="N182" s="971">
        <v>748</v>
      </c>
      <c r="O182" s="971">
        <v>0</v>
      </c>
      <c r="P182" s="971">
        <v>0</v>
      </c>
      <c r="Q182" s="970">
        <v>0</v>
      </c>
      <c r="R182" s="970"/>
      <c r="S182" s="971">
        <v>8907</v>
      </c>
      <c r="T182" s="973">
        <v>641</v>
      </c>
      <c r="U182" s="973">
        <v>9548</v>
      </c>
    </row>
    <row r="183" spans="1:21" x14ac:dyDescent="0.25">
      <c r="A183" s="967">
        <v>91706</v>
      </c>
      <c r="B183" s="968" t="s">
        <v>2825</v>
      </c>
      <c r="C183" s="969">
        <v>2.4340000000000001E-4</v>
      </c>
      <c r="D183" s="969">
        <v>2.4279999999999999E-4</v>
      </c>
      <c r="E183" s="1008">
        <v>121963</v>
      </c>
      <c r="F183" s="1011">
        <v>515303</v>
      </c>
      <c r="G183" s="970">
        <v>371848</v>
      </c>
      <c r="H183" s="970"/>
      <c r="I183" s="971">
        <v>21422</v>
      </c>
      <c r="J183" s="972">
        <v>90285</v>
      </c>
      <c r="K183" s="971">
        <v>53105</v>
      </c>
      <c r="L183" s="970">
        <v>9101</v>
      </c>
      <c r="M183" s="970"/>
      <c r="N183" s="971">
        <v>10526</v>
      </c>
      <c r="O183" s="971">
        <v>0</v>
      </c>
      <c r="P183" s="971">
        <v>0</v>
      </c>
      <c r="Q183" s="970">
        <v>8271</v>
      </c>
      <c r="R183" s="970"/>
      <c r="S183" s="971">
        <v>125313</v>
      </c>
      <c r="T183" s="973">
        <v>-4120</v>
      </c>
      <c r="U183" s="973">
        <v>121193</v>
      </c>
    </row>
    <row r="184" spans="1:21" x14ac:dyDescent="0.25">
      <c r="A184" s="967">
        <v>91719</v>
      </c>
      <c r="B184" s="968" t="s">
        <v>2826</v>
      </c>
      <c r="C184" s="969">
        <v>4.9700000000000002E-5</v>
      </c>
      <c r="D184" s="969">
        <v>4.9299999999999999E-5</v>
      </c>
      <c r="E184" s="1008">
        <v>19656</v>
      </c>
      <c r="F184" s="1011">
        <v>104631</v>
      </c>
      <c r="G184" s="970">
        <v>75928</v>
      </c>
      <c r="H184" s="970"/>
      <c r="I184" s="971">
        <v>4374</v>
      </c>
      <c r="J184" s="972">
        <v>18435</v>
      </c>
      <c r="K184" s="971">
        <v>10844</v>
      </c>
      <c r="L184" s="970">
        <v>4395</v>
      </c>
      <c r="M184" s="970"/>
      <c r="N184" s="971">
        <v>2149</v>
      </c>
      <c r="O184" s="971">
        <v>0</v>
      </c>
      <c r="P184" s="971">
        <v>0</v>
      </c>
      <c r="Q184" s="970">
        <v>4419</v>
      </c>
      <c r="R184" s="970"/>
      <c r="S184" s="971">
        <v>25588</v>
      </c>
      <c r="T184" s="973">
        <v>37</v>
      </c>
      <c r="U184" s="973">
        <v>25625</v>
      </c>
    </row>
    <row r="185" spans="1:21" x14ac:dyDescent="0.25">
      <c r="A185" s="967">
        <v>91801</v>
      </c>
      <c r="B185" s="968" t="s">
        <v>2827</v>
      </c>
      <c r="C185" s="969">
        <v>8.0961000000000002E-3</v>
      </c>
      <c r="D185" s="969">
        <v>8.3853999999999995E-3</v>
      </c>
      <c r="E185" s="1008">
        <v>3752769</v>
      </c>
      <c r="F185" s="1011">
        <v>17796628</v>
      </c>
      <c r="G185" s="970">
        <v>12368598</v>
      </c>
      <c r="H185" s="970"/>
      <c r="I185" s="971">
        <v>712546</v>
      </c>
      <c r="J185" s="972">
        <v>3003111</v>
      </c>
      <c r="K185" s="971">
        <v>1766407</v>
      </c>
      <c r="L185" s="970">
        <v>0</v>
      </c>
      <c r="M185" s="970"/>
      <c r="N185" s="971">
        <v>350116</v>
      </c>
      <c r="O185" s="971">
        <v>0</v>
      </c>
      <c r="P185" s="971">
        <v>0</v>
      </c>
      <c r="Q185" s="970">
        <v>242225</v>
      </c>
      <c r="R185" s="970"/>
      <c r="S185" s="971">
        <v>4168229</v>
      </c>
      <c r="T185" s="973">
        <v>-87031</v>
      </c>
      <c r="U185" s="973">
        <f>4081197+1</f>
        <v>4081198</v>
      </c>
    </row>
    <row r="186" spans="1:21" x14ac:dyDescent="0.25">
      <c r="A186" s="967">
        <v>91804</v>
      </c>
      <c r="B186" s="968" t="s">
        <v>2828</v>
      </c>
      <c r="C186" s="969">
        <v>1.3439999999999999E-4</v>
      </c>
      <c r="D186" s="969">
        <v>1.462E-4</v>
      </c>
      <c r="E186" s="1008">
        <v>95886</v>
      </c>
      <c r="F186" s="1011">
        <v>310285</v>
      </c>
      <c r="G186" s="970">
        <v>205326</v>
      </c>
      <c r="H186" s="970"/>
      <c r="I186" s="971">
        <v>11829</v>
      </c>
      <c r="J186" s="972">
        <v>49854</v>
      </c>
      <c r="K186" s="971">
        <v>29323</v>
      </c>
      <c r="L186" s="970">
        <v>55699</v>
      </c>
      <c r="M186" s="970"/>
      <c r="N186" s="971">
        <v>5812</v>
      </c>
      <c r="O186" s="971">
        <v>0</v>
      </c>
      <c r="P186" s="971">
        <v>0</v>
      </c>
      <c r="Q186" s="970">
        <v>0</v>
      </c>
      <c r="R186" s="970"/>
      <c r="S186" s="971">
        <v>69195</v>
      </c>
      <c r="T186" s="973">
        <v>23621</v>
      </c>
      <c r="U186" s="973">
        <v>92816</v>
      </c>
    </row>
    <row r="187" spans="1:21" x14ac:dyDescent="0.25">
      <c r="A187" s="967">
        <v>91811</v>
      </c>
      <c r="B187" s="968" t="s">
        <v>2829</v>
      </c>
      <c r="C187" s="969">
        <v>4.5555999999999999E-3</v>
      </c>
      <c r="D187" s="969">
        <v>4.6454000000000001E-3</v>
      </c>
      <c r="E187" s="1008">
        <v>1964158</v>
      </c>
      <c r="F187" s="1011">
        <v>9859095</v>
      </c>
      <c r="G187" s="970">
        <v>6959695</v>
      </c>
      <c r="H187" s="970"/>
      <c r="I187" s="971">
        <v>400943</v>
      </c>
      <c r="J187" s="972">
        <v>1689822</v>
      </c>
      <c r="K187" s="971">
        <v>993941</v>
      </c>
      <c r="L187" s="970">
        <v>0</v>
      </c>
      <c r="M187" s="970"/>
      <c r="N187" s="971">
        <v>197007</v>
      </c>
      <c r="O187" s="971">
        <v>0</v>
      </c>
      <c r="P187" s="971">
        <v>0</v>
      </c>
      <c r="Q187" s="970">
        <v>519421</v>
      </c>
      <c r="R187" s="970"/>
      <c r="S187" s="971">
        <v>2345423</v>
      </c>
      <c r="T187" s="973">
        <v>-197590</v>
      </c>
      <c r="U187" s="973">
        <v>2147833</v>
      </c>
    </row>
    <row r="188" spans="1:21" x14ac:dyDescent="0.25">
      <c r="A188" s="967">
        <v>91812</v>
      </c>
      <c r="B188" s="968" t="s">
        <v>2830</v>
      </c>
      <c r="C188" s="969">
        <v>5.0800000000000002E-5</v>
      </c>
      <c r="D188" s="969">
        <v>5.8199999999999998E-5</v>
      </c>
      <c r="E188" s="1008">
        <v>26136</v>
      </c>
      <c r="F188" s="1011">
        <v>123520</v>
      </c>
      <c r="G188" s="970">
        <v>77608</v>
      </c>
      <c r="H188" s="970"/>
      <c r="I188" s="971">
        <v>4471</v>
      </c>
      <c r="J188" s="972">
        <v>18843</v>
      </c>
      <c r="K188" s="971">
        <v>11084</v>
      </c>
      <c r="L188" s="970">
        <v>11326</v>
      </c>
      <c r="M188" s="970"/>
      <c r="N188" s="971">
        <v>2197</v>
      </c>
      <c r="O188" s="971">
        <v>0</v>
      </c>
      <c r="P188" s="971">
        <v>0</v>
      </c>
      <c r="Q188" s="970">
        <v>2710</v>
      </c>
      <c r="R188" s="970"/>
      <c r="S188" s="971">
        <v>26154</v>
      </c>
      <c r="T188" s="973">
        <v>4584</v>
      </c>
      <c r="U188" s="973">
        <v>30738</v>
      </c>
    </row>
    <row r="189" spans="1:21" x14ac:dyDescent="0.25">
      <c r="A189" s="967">
        <v>91813</v>
      </c>
      <c r="B189" s="968" t="s">
        <v>2831</v>
      </c>
      <c r="C189" s="969">
        <v>8.6100000000000006E-5</v>
      </c>
      <c r="D189" s="969">
        <v>1.083E-4</v>
      </c>
      <c r="E189" s="1008">
        <v>44452</v>
      </c>
      <c r="F189" s="1011">
        <v>229849</v>
      </c>
      <c r="G189" s="970">
        <v>131537</v>
      </c>
      <c r="H189" s="970"/>
      <c r="I189" s="971">
        <v>7578</v>
      </c>
      <c r="J189" s="972">
        <v>31938</v>
      </c>
      <c r="K189" s="971">
        <v>18785</v>
      </c>
      <c r="L189" s="970">
        <v>10986</v>
      </c>
      <c r="M189" s="970"/>
      <c r="N189" s="971">
        <v>3723</v>
      </c>
      <c r="O189" s="971">
        <v>0</v>
      </c>
      <c r="P189" s="971">
        <v>0</v>
      </c>
      <c r="Q189" s="970">
        <v>13565</v>
      </c>
      <c r="R189" s="970"/>
      <c r="S189" s="971">
        <v>44328</v>
      </c>
      <c r="T189" s="973">
        <v>-155</v>
      </c>
      <c r="U189" s="973">
        <v>44173</v>
      </c>
    </row>
    <row r="190" spans="1:21" x14ac:dyDescent="0.25">
      <c r="A190" s="967">
        <v>91818</v>
      </c>
      <c r="B190" s="968" t="s">
        <v>2832</v>
      </c>
      <c r="C190" s="969">
        <v>4.0079999999999998E-4</v>
      </c>
      <c r="D190" s="969">
        <v>3.8559999999999999E-4</v>
      </c>
      <c r="E190" s="1008">
        <v>453409</v>
      </c>
      <c r="F190" s="1011">
        <v>818372</v>
      </c>
      <c r="G190" s="970">
        <v>612311</v>
      </c>
      <c r="H190" s="970"/>
      <c r="I190" s="971">
        <v>35275</v>
      </c>
      <c r="J190" s="972">
        <v>148670</v>
      </c>
      <c r="K190" s="971">
        <v>87447</v>
      </c>
      <c r="L190" s="970">
        <v>469231</v>
      </c>
      <c r="M190" s="970"/>
      <c r="N190" s="971">
        <v>17333</v>
      </c>
      <c r="O190" s="971">
        <v>0</v>
      </c>
      <c r="P190" s="971">
        <v>0</v>
      </c>
      <c r="Q190" s="970">
        <v>5024</v>
      </c>
      <c r="R190" s="970"/>
      <c r="S190" s="971">
        <v>206349</v>
      </c>
      <c r="T190" s="973">
        <v>155106</v>
      </c>
      <c r="U190" s="973">
        <f>361456-1</f>
        <v>361455</v>
      </c>
    </row>
    <row r="191" spans="1:21" x14ac:dyDescent="0.25">
      <c r="A191" s="967">
        <v>91819</v>
      </c>
      <c r="B191" s="968" t="s">
        <v>2833</v>
      </c>
      <c r="C191" s="969">
        <v>2.8489999999999999E-4</v>
      </c>
      <c r="D191" s="969">
        <v>2.8200000000000002E-4</v>
      </c>
      <c r="E191" s="1008">
        <v>138657</v>
      </c>
      <c r="F191" s="1011">
        <v>598498</v>
      </c>
      <c r="G191" s="970">
        <v>435248</v>
      </c>
      <c r="H191" s="970"/>
      <c r="I191" s="971">
        <v>25074</v>
      </c>
      <c r="J191" s="972">
        <v>105678</v>
      </c>
      <c r="K191" s="971">
        <v>62159</v>
      </c>
      <c r="L191" s="970">
        <v>15073</v>
      </c>
      <c r="M191" s="970"/>
      <c r="N191" s="971">
        <v>12321</v>
      </c>
      <c r="O191" s="971">
        <v>0</v>
      </c>
      <c r="P191" s="971">
        <v>0</v>
      </c>
      <c r="Q191" s="970">
        <v>8276</v>
      </c>
      <c r="R191" s="970"/>
      <c r="S191" s="971">
        <v>146679</v>
      </c>
      <c r="T191" s="973">
        <v>5278</v>
      </c>
      <c r="U191" s="973">
        <v>151957</v>
      </c>
    </row>
    <row r="192" spans="1:21" x14ac:dyDescent="0.25">
      <c r="A192" s="967">
        <v>91821</v>
      </c>
      <c r="B192" s="968" t="s">
        <v>2834</v>
      </c>
      <c r="C192" s="969">
        <v>1.7330000000000001E-4</v>
      </c>
      <c r="D192" s="969">
        <v>1.63E-4</v>
      </c>
      <c r="E192" s="1008">
        <v>71126</v>
      </c>
      <c r="F192" s="1011">
        <v>345941</v>
      </c>
      <c r="G192" s="970">
        <v>264754</v>
      </c>
      <c r="H192" s="970"/>
      <c r="I192" s="971">
        <v>15252</v>
      </c>
      <c r="J192" s="972">
        <v>64283</v>
      </c>
      <c r="K192" s="971">
        <v>37811</v>
      </c>
      <c r="L192" s="970">
        <v>2434</v>
      </c>
      <c r="M192" s="970"/>
      <c r="N192" s="971">
        <v>7494</v>
      </c>
      <c r="O192" s="971">
        <v>0</v>
      </c>
      <c r="P192" s="971">
        <v>0</v>
      </c>
      <c r="Q192" s="970">
        <v>1112</v>
      </c>
      <c r="R192" s="970"/>
      <c r="S192" s="971">
        <v>89222</v>
      </c>
      <c r="T192" s="973">
        <v>1572</v>
      </c>
      <c r="U192" s="973">
        <f>90795-1</f>
        <v>90794</v>
      </c>
    </row>
    <row r="193" spans="1:21" x14ac:dyDescent="0.25">
      <c r="A193" s="967">
        <v>91831</v>
      </c>
      <c r="B193" s="968" t="s">
        <v>2835</v>
      </c>
      <c r="C193" s="969">
        <v>3.366E-4</v>
      </c>
      <c r="D193" s="969">
        <v>3.414E-4</v>
      </c>
      <c r="E193" s="1008">
        <v>150178</v>
      </c>
      <c r="F193" s="1011">
        <v>724565</v>
      </c>
      <c r="G193" s="970">
        <v>514232</v>
      </c>
      <c r="H193" s="970"/>
      <c r="I193" s="971">
        <v>29625</v>
      </c>
      <c r="J193" s="972">
        <v>124856</v>
      </c>
      <c r="K193" s="971">
        <v>73439</v>
      </c>
      <c r="L193" s="970">
        <v>7847</v>
      </c>
      <c r="M193" s="970"/>
      <c r="N193" s="971">
        <v>14556</v>
      </c>
      <c r="O193" s="971">
        <v>0</v>
      </c>
      <c r="P193" s="971">
        <v>0</v>
      </c>
      <c r="Q193" s="970">
        <v>13475</v>
      </c>
      <c r="R193" s="970"/>
      <c r="S193" s="971">
        <v>173296</v>
      </c>
      <c r="T193" s="973">
        <v>520</v>
      </c>
      <c r="U193" s="973">
        <v>173816</v>
      </c>
    </row>
    <row r="194" spans="1:21" x14ac:dyDescent="0.25">
      <c r="A194" s="967">
        <v>91841</v>
      </c>
      <c r="B194" s="968" t="s">
        <v>2836</v>
      </c>
      <c r="C194" s="969">
        <v>2.5339999999999998E-4</v>
      </c>
      <c r="D194" s="969">
        <v>2.63E-4</v>
      </c>
      <c r="E194" s="1008">
        <v>126479</v>
      </c>
      <c r="F194" s="1011">
        <v>558174</v>
      </c>
      <c r="G194" s="970">
        <v>387125</v>
      </c>
      <c r="H194" s="970"/>
      <c r="I194" s="971">
        <v>22302</v>
      </c>
      <c r="J194" s="972">
        <v>93994</v>
      </c>
      <c r="K194" s="971">
        <v>55287</v>
      </c>
      <c r="L194" s="970">
        <v>1681</v>
      </c>
      <c r="M194" s="970"/>
      <c r="N194" s="971">
        <v>10958</v>
      </c>
      <c r="O194" s="971">
        <v>0</v>
      </c>
      <c r="P194" s="971">
        <v>0</v>
      </c>
      <c r="Q194" s="970">
        <v>14711</v>
      </c>
      <c r="R194" s="970"/>
      <c r="S194" s="971">
        <v>130461</v>
      </c>
      <c r="T194" s="973">
        <v>-9727</v>
      </c>
      <c r="U194" s="973">
        <v>120734</v>
      </c>
    </row>
    <row r="195" spans="1:21" x14ac:dyDescent="0.25">
      <c r="A195" s="967">
        <v>91851</v>
      </c>
      <c r="B195" s="968" t="s">
        <v>2837</v>
      </c>
      <c r="C195" s="969">
        <v>7.4910000000000005E-4</v>
      </c>
      <c r="D195" s="969">
        <v>7.2059999999999995E-4</v>
      </c>
      <c r="E195" s="1008">
        <v>326836</v>
      </c>
      <c r="F195" s="1011">
        <v>1529355</v>
      </c>
      <c r="G195" s="970">
        <v>1144417</v>
      </c>
      <c r="H195" s="970"/>
      <c r="I195" s="971">
        <v>65929</v>
      </c>
      <c r="J195" s="972">
        <v>277866</v>
      </c>
      <c r="K195" s="971">
        <v>163439</v>
      </c>
      <c r="L195" s="970">
        <v>9030</v>
      </c>
      <c r="M195" s="970"/>
      <c r="N195" s="971">
        <v>32395</v>
      </c>
      <c r="O195" s="971">
        <v>0</v>
      </c>
      <c r="P195" s="971">
        <v>0</v>
      </c>
      <c r="Q195" s="970">
        <v>44287</v>
      </c>
      <c r="R195" s="970"/>
      <c r="S195" s="971">
        <v>385670</v>
      </c>
      <c r="T195" s="973">
        <v>-13424</v>
      </c>
      <c r="U195" s="973">
        <v>372246</v>
      </c>
    </row>
    <row r="196" spans="1:21" x14ac:dyDescent="0.25">
      <c r="A196" s="967">
        <v>91861</v>
      </c>
      <c r="B196" s="968" t="s">
        <v>2838</v>
      </c>
      <c r="C196" s="969">
        <v>1.9700000000000001E-5</v>
      </c>
      <c r="D196" s="969">
        <v>1.9899999999999999E-5</v>
      </c>
      <c r="E196" s="1008">
        <v>8023</v>
      </c>
      <c r="F196" s="1011">
        <v>42234</v>
      </c>
      <c r="G196" s="970">
        <v>30096</v>
      </c>
      <c r="H196" s="970"/>
      <c r="I196" s="971">
        <v>1734</v>
      </c>
      <c r="J196" s="972">
        <v>7308</v>
      </c>
      <c r="K196" s="971">
        <v>4298</v>
      </c>
      <c r="L196" s="970">
        <v>2050</v>
      </c>
      <c r="M196" s="970"/>
      <c r="N196" s="971">
        <v>852</v>
      </c>
      <c r="O196" s="971">
        <v>0</v>
      </c>
      <c r="P196" s="971">
        <v>0</v>
      </c>
      <c r="Q196" s="970">
        <v>1061</v>
      </c>
      <c r="R196" s="970"/>
      <c r="S196" s="971">
        <v>10142</v>
      </c>
      <c r="T196" s="973">
        <v>692</v>
      </c>
      <c r="U196" s="973">
        <f>10835-1</f>
        <v>10834</v>
      </c>
    </row>
    <row r="197" spans="1:21" x14ac:dyDescent="0.25">
      <c r="A197" s="967">
        <v>91871</v>
      </c>
      <c r="B197" s="968" t="s">
        <v>2839</v>
      </c>
      <c r="C197" s="969">
        <v>1.3319E-3</v>
      </c>
      <c r="D197" s="969">
        <v>1.2712000000000001E-3</v>
      </c>
      <c r="E197" s="1008">
        <v>588755</v>
      </c>
      <c r="F197" s="1011">
        <v>2697912</v>
      </c>
      <c r="G197" s="970">
        <v>2034774</v>
      </c>
      <c r="H197" s="970"/>
      <c r="I197" s="971">
        <v>117222</v>
      </c>
      <c r="J197" s="972">
        <v>494045</v>
      </c>
      <c r="K197" s="971">
        <v>290594</v>
      </c>
      <c r="L197" s="970">
        <v>22538</v>
      </c>
      <c r="M197" s="970"/>
      <c r="N197" s="971">
        <v>57598</v>
      </c>
      <c r="O197" s="971">
        <v>0</v>
      </c>
      <c r="P197" s="971">
        <v>0</v>
      </c>
      <c r="Q197" s="970">
        <v>73797</v>
      </c>
      <c r="R197" s="970"/>
      <c r="S197" s="971">
        <v>685721</v>
      </c>
      <c r="T197" s="973">
        <v>-28802</v>
      </c>
      <c r="U197" s="973">
        <v>656919</v>
      </c>
    </row>
    <row r="198" spans="1:21" x14ac:dyDescent="0.25">
      <c r="A198" s="967">
        <v>91881</v>
      </c>
      <c r="B198" s="968" t="s">
        <v>2840</v>
      </c>
      <c r="C198" s="969">
        <v>9.3000000000000007E-6</v>
      </c>
      <c r="D198" s="969">
        <v>1.01E-5</v>
      </c>
      <c r="E198" s="1008">
        <v>6384</v>
      </c>
      <c r="F198" s="1011">
        <v>21436</v>
      </c>
      <c r="G198" s="970">
        <v>14208</v>
      </c>
      <c r="H198" s="970"/>
      <c r="I198" s="971">
        <v>819</v>
      </c>
      <c r="J198" s="972">
        <v>3450</v>
      </c>
      <c r="K198" s="971">
        <v>2029</v>
      </c>
      <c r="L198" s="970">
        <v>1155</v>
      </c>
      <c r="M198" s="970"/>
      <c r="N198" s="971">
        <v>402</v>
      </c>
      <c r="O198" s="971">
        <v>0</v>
      </c>
      <c r="P198" s="971">
        <v>0</v>
      </c>
      <c r="Q198" s="970">
        <v>8809</v>
      </c>
      <c r="R198" s="970"/>
      <c r="S198" s="971">
        <v>4788</v>
      </c>
      <c r="T198" s="973">
        <v>-5615</v>
      </c>
      <c r="U198" s="973">
        <v>-827</v>
      </c>
    </row>
    <row r="199" spans="1:21" x14ac:dyDescent="0.25">
      <c r="A199" s="967">
        <v>91901</v>
      </c>
      <c r="B199" s="968" t="s">
        <v>2841</v>
      </c>
      <c r="C199" s="969">
        <v>3.6706999999999998E-3</v>
      </c>
      <c r="D199" s="969">
        <v>3.6564000000000002E-3</v>
      </c>
      <c r="E199" s="1008">
        <v>1652493</v>
      </c>
      <c r="F199" s="1011">
        <v>7760106</v>
      </c>
      <c r="G199" s="970">
        <v>5607813</v>
      </c>
      <c r="H199" s="970"/>
      <c r="I199" s="971">
        <v>323062</v>
      </c>
      <c r="J199" s="972">
        <v>1361584</v>
      </c>
      <c r="K199" s="971">
        <v>800873</v>
      </c>
      <c r="L199" s="970">
        <v>89719</v>
      </c>
      <c r="M199" s="970"/>
      <c r="N199" s="971">
        <v>158739</v>
      </c>
      <c r="O199" s="971">
        <v>0</v>
      </c>
      <c r="P199" s="971">
        <v>0</v>
      </c>
      <c r="Q199" s="970">
        <v>16546</v>
      </c>
      <c r="R199" s="970"/>
      <c r="S199" s="971">
        <v>1889838</v>
      </c>
      <c r="T199" s="973">
        <v>53714</v>
      </c>
      <c r="U199" s="973">
        <v>1943552</v>
      </c>
    </row>
    <row r="200" spans="1:21" x14ac:dyDescent="0.25">
      <c r="A200" s="967">
        <v>91903</v>
      </c>
      <c r="B200" s="968" t="s">
        <v>2842</v>
      </c>
      <c r="C200" s="969">
        <v>8.6999999999999997E-6</v>
      </c>
      <c r="D200" s="969">
        <v>8.3999999999999992E-6</v>
      </c>
      <c r="E200" s="1008">
        <v>5739</v>
      </c>
      <c r="F200" s="1011">
        <v>17828</v>
      </c>
      <c r="G200" s="970">
        <v>13291</v>
      </c>
      <c r="H200" s="970"/>
      <c r="I200" s="971">
        <v>766</v>
      </c>
      <c r="J200" s="972">
        <v>3227</v>
      </c>
      <c r="K200" s="971">
        <v>1898</v>
      </c>
      <c r="L200" s="970">
        <v>2037</v>
      </c>
      <c r="M200" s="970"/>
      <c r="N200" s="971">
        <v>376</v>
      </c>
      <c r="O200" s="971">
        <v>0</v>
      </c>
      <c r="P200" s="971">
        <v>0</v>
      </c>
      <c r="Q200" s="970">
        <v>3011</v>
      </c>
      <c r="R200" s="970"/>
      <c r="S200" s="971">
        <v>4479</v>
      </c>
      <c r="T200" s="973">
        <v>-2426</v>
      </c>
      <c r="U200" s="973">
        <v>2053</v>
      </c>
    </row>
    <row r="201" spans="1:21" x14ac:dyDescent="0.25">
      <c r="A201" s="967">
        <v>91904</v>
      </c>
      <c r="B201" s="968" t="s">
        <v>2843</v>
      </c>
      <c r="C201" s="969">
        <v>3.3399999999999999E-5</v>
      </c>
      <c r="D201" s="969">
        <v>2.3300000000000001E-5</v>
      </c>
      <c r="E201" s="1008">
        <v>13231</v>
      </c>
      <c r="F201" s="1011">
        <v>49450</v>
      </c>
      <c r="G201" s="970">
        <v>51026</v>
      </c>
      <c r="H201" s="970"/>
      <c r="I201" s="971">
        <v>2940</v>
      </c>
      <c r="J201" s="972">
        <v>12389</v>
      </c>
      <c r="K201" s="971">
        <v>7287</v>
      </c>
      <c r="L201" s="970">
        <v>11190</v>
      </c>
      <c r="M201" s="970"/>
      <c r="N201" s="971">
        <v>1444</v>
      </c>
      <c r="O201" s="971">
        <v>0</v>
      </c>
      <c r="P201" s="971">
        <v>0</v>
      </c>
      <c r="Q201" s="970">
        <v>0</v>
      </c>
      <c r="R201" s="970"/>
      <c r="S201" s="971">
        <v>17196</v>
      </c>
      <c r="T201" s="973">
        <v>4334</v>
      </c>
      <c r="U201" s="973">
        <v>21530</v>
      </c>
    </row>
    <row r="202" spans="1:21" x14ac:dyDescent="0.25">
      <c r="A202" s="967">
        <v>91908</v>
      </c>
      <c r="B202" s="968" t="s">
        <v>2844</v>
      </c>
      <c r="C202" s="969">
        <v>1.6900000000000001E-5</v>
      </c>
      <c r="D202" s="969">
        <v>1.3699999999999999E-5</v>
      </c>
      <c r="E202" s="1008">
        <v>5211</v>
      </c>
      <c r="F202" s="1011">
        <v>29076</v>
      </c>
      <c r="G202" s="970">
        <v>25819</v>
      </c>
      <c r="H202" s="970"/>
      <c r="I202" s="971">
        <v>1487</v>
      </c>
      <c r="J202" s="972">
        <v>6269</v>
      </c>
      <c r="K202" s="971">
        <v>3687</v>
      </c>
      <c r="L202" s="970">
        <v>935</v>
      </c>
      <c r="M202" s="970"/>
      <c r="N202" s="971">
        <v>731</v>
      </c>
      <c r="O202" s="971">
        <v>0</v>
      </c>
      <c r="P202" s="971">
        <v>0</v>
      </c>
      <c r="Q202" s="970">
        <v>2553</v>
      </c>
      <c r="R202" s="970"/>
      <c r="S202" s="971">
        <v>8701</v>
      </c>
      <c r="T202" s="973">
        <v>-56</v>
      </c>
      <c r="U202" s="973">
        <v>8645</v>
      </c>
    </row>
    <row r="203" spans="1:21" x14ac:dyDescent="0.25">
      <c r="A203" s="967">
        <v>91911</v>
      </c>
      <c r="B203" s="968" t="s">
        <v>2845</v>
      </c>
      <c r="C203" s="969">
        <v>4.5580000000000002E-4</v>
      </c>
      <c r="D203" s="969">
        <v>4.639E-4</v>
      </c>
      <c r="E203" s="1008">
        <v>224257</v>
      </c>
      <c r="F203" s="1011">
        <v>984551</v>
      </c>
      <c r="G203" s="970">
        <v>696336</v>
      </c>
      <c r="H203" s="970"/>
      <c r="I203" s="971">
        <v>40115</v>
      </c>
      <c r="J203" s="972">
        <v>169071</v>
      </c>
      <c r="K203" s="971">
        <v>99446</v>
      </c>
      <c r="L203" s="970">
        <v>13510</v>
      </c>
      <c r="M203" s="970"/>
      <c r="N203" s="971">
        <v>19711</v>
      </c>
      <c r="O203" s="971">
        <v>0</v>
      </c>
      <c r="P203" s="971">
        <v>0</v>
      </c>
      <c r="Q203" s="970">
        <v>5011</v>
      </c>
      <c r="R203" s="970"/>
      <c r="S203" s="971">
        <v>234666</v>
      </c>
      <c r="T203" s="973">
        <v>598</v>
      </c>
      <c r="U203" s="973">
        <v>235264</v>
      </c>
    </row>
    <row r="204" spans="1:21" x14ac:dyDescent="0.25">
      <c r="A204" s="967">
        <v>91917</v>
      </c>
      <c r="B204" s="968" t="s">
        <v>2846</v>
      </c>
      <c r="C204" s="969">
        <v>1.22E-5</v>
      </c>
      <c r="D204" s="969">
        <v>1.36E-5</v>
      </c>
      <c r="E204" s="1008">
        <v>6387</v>
      </c>
      <c r="F204" s="1011">
        <v>28864</v>
      </c>
      <c r="G204" s="970">
        <v>18638</v>
      </c>
      <c r="H204" s="970"/>
      <c r="I204" s="971">
        <v>1074</v>
      </c>
      <c r="J204" s="972">
        <v>4526</v>
      </c>
      <c r="K204" s="971">
        <v>2662</v>
      </c>
      <c r="L204" s="970">
        <v>527</v>
      </c>
      <c r="M204" s="970"/>
      <c r="N204" s="971">
        <v>528</v>
      </c>
      <c r="O204" s="971">
        <v>0</v>
      </c>
      <c r="P204" s="971">
        <v>0</v>
      </c>
      <c r="Q204" s="970">
        <v>310</v>
      </c>
      <c r="R204" s="970"/>
      <c r="S204" s="971">
        <v>6281</v>
      </c>
      <c r="T204" s="973">
        <v>126</v>
      </c>
      <c r="U204" s="973">
        <v>6407</v>
      </c>
    </row>
    <row r="205" spans="1:21" x14ac:dyDescent="0.25">
      <c r="A205" s="967">
        <v>91921</v>
      </c>
      <c r="B205" s="968" t="s">
        <v>2847</v>
      </c>
      <c r="C205" s="969">
        <v>3.769E-4</v>
      </c>
      <c r="D205" s="969">
        <v>3.6600000000000001E-4</v>
      </c>
      <c r="E205" s="1008">
        <v>160505</v>
      </c>
      <c r="F205" s="1011">
        <v>776775</v>
      </c>
      <c r="G205" s="970">
        <v>575799</v>
      </c>
      <c r="H205" s="970"/>
      <c r="I205" s="971">
        <v>33171</v>
      </c>
      <c r="J205" s="972">
        <v>139804</v>
      </c>
      <c r="K205" s="971">
        <v>82232</v>
      </c>
      <c r="L205" s="970">
        <v>0</v>
      </c>
      <c r="M205" s="970"/>
      <c r="N205" s="971">
        <v>16299</v>
      </c>
      <c r="O205" s="971">
        <v>0</v>
      </c>
      <c r="P205" s="971">
        <v>0</v>
      </c>
      <c r="Q205" s="970">
        <v>10651</v>
      </c>
      <c r="R205" s="970"/>
      <c r="S205" s="971">
        <v>194045</v>
      </c>
      <c r="T205" s="973">
        <v>-5316</v>
      </c>
      <c r="U205" s="973">
        <v>188729</v>
      </c>
    </row>
    <row r="206" spans="1:21" x14ac:dyDescent="0.25">
      <c r="A206" s="967">
        <v>92001</v>
      </c>
      <c r="B206" s="968" t="s">
        <v>2848</v>
      </c>
      <c r="C206" s="969">
        <v>1.8143E-3</v>
      </c>
      <c r="D206" s="969">
        <v>1.9604000000000002E-3</v>
      </c>
      <c r="E206" s="1008">
        <v>790603</v>
      </c>
      <c r="F206" s="1011">
        <v>4160626</v>
      </c>
      <c r="G206" s="970">
        <v>2771748</v>
      </c>
      <c r="H206" s="970"/>
      <c r="I206" s="971">
        <v>159678</v>
      </c>
      <c r="J206" s="972">
        <v>672984</v>
      </c>
      <c r="K206" s="971">
        <v>395844</v>
      </c>
      <c r="L206" s="970">
        <v>48219</v>
      </c>
      <c r="M206" s="970"/>
      <c r="N206" s="971">
        <v>78459</v>
      </c>
      <c r="O206" s="971">
        <v>0</v>
      </c>
      <c r="P206" s="971">
        <v>0</v>
      </c>
      <c r="Q206" s="970">
        <v>157894</v>
      </c>
      <c r="R206" s="970"/>
      <c r="S206" s="971">
        <v>934081</v>
      </c>
      <c r="T206" s="973">
        <v>-42009</v>
      </c>
      <c r="U206" s="973">
        <f>892073-1</f>
        <v>892072</v>
      </c>
    </row>
    <row r="207" spans="1:21" x14ac:dyDescent="0.25">
      <c r="A207" s="967">
        <v>92005</v>
      </c>
      <c r="B207" s="968" t="s">
        <v>2849</v>
      </c>
      <c r="C207" s="969">
        <v>4.1399999999999997E-5</v>
      </c>
      <c r="D207" s="969">
        <v>4.6499999999999999E-5</v>
      </c>
      <c r="E207" s="1008">
        <v>20947</v>
      </c>
      <c r="F207" s="1011">
        <v>98689</v>
      </c>
      <c r="G207" s="970">
        <v>63248</v>
      </c>
      <c r="H207" s="970"/>
      <c r="I207" s="971">
        <v>3644</v>
      </c>
      <c r="J207" s="972">
        <v>15356</v>
      </c>
      <c r="K207" s="971">
        <v>9033</v>
      </c>
      <c r="L207" s="970">
        <v>1741</v>
      </c>
      <c r="M207" s="970"/>
      <c r="N207" s="971">
        <v>1790</v>
      </c>
      <c r="O207" s="971">
        <v>0</v>
      </c>
      <c r="P207" s="971">
        <v>0</v>
      </c>
      <c r="Q207" s="970">
        <v>2252</v>
      </c>
      <c r="R207" s="970"/>
      <c r="S207" s="971">
        <v>21315</v>
      </c>
      <c r="T207" s="973">
        <v>208</v>
      </c>
      <c r="U207" s="973">
        <f>21522+1</f>
        <v>21523</v>
      </c>
    </row>
    <row r="208" spans="1:21" x14ac:dyDescent="0.25">
      <c r="A208" s="967">
        <v>92011</v>
      </c>
      <c r="B208" s="968" t="s">
        <v>2850</v>
      </c>
      <c r="C208" s="969">
        <v>2.0049999999999999E-4</v>
      </c>
      <c r="D208" s="969">
        <v>1.8660000000000001E-4</v>
      </c>
      <c r="E208" s="1008">
        <v>90383</v>
      </c>
      <c r="F208" s="1011">
        <v>396028</v>
      </c>
      <c r="G208" s="970">
        <v>306308</v>
      </c>
      <c r="H208" s="970"/>
      <c r="I208" s="971">
        <v>17646</v>
      </c>
      <c r="J208" s="972">
        <v>74372</v>
      </c>
      <c r="K208" s="971">
        <v>43745</v>
      </c>
      <c r="L208" s="970">
        <v>17614</v>
      </c>
      <c r="M208" s="970"/>
      <c r="N208" s="971">
        <v>8671</v>
      </c>
      <c r="O208" s="971">
        <v>0</v>
      </c>
      <c r="P208" s="971">
        <v>0</v>
      </c>
      <c r="Q208" s="970">
        <v>0</v>
      </c>
      <c r="R208" s="970"/>
      <c r="S208" s="971">
        <v>103226</v>
      </c>
      <c r="T208" s="973">
        <v>9780</v>
      </c>
      <c r="U208" s="973">
        <v>113006</v>
      </c>
    </row>
    <row r="209" spans="1:21" x14ac:dyDescent="0.25">
      <c r="A209" s="967">
        <v>92017</v>
      </c>
      <c r="B209" s="968" t="s">
        <v>2851</v>
      </c>
      <c r="C209" s="969">
        <v>3.4199999999999998E-5</v>
      </c>
      <c r="D209" s="969">
        <v>3.5099999999999999E-5</v>
      </c>
      <c r="E209" s="1008">
        <v>16941</v>
      </c>
      <c r="F209" s="1011">
        <v>74494</v>
      </c>
      <c r="G209" s="970">
        <v>52248</v>
      </c>
      <c r="H209" s="970"/>
      <c r="I209" s="971">
        <v>3010</v>
      </c>
      <c r="J209" s="972">
        <v>12686</v>
      </c>
      <c r="K209" s="971">
        <v>7462</v>
      </c>
      <c r="L209" s="970">
        <v>639</v>
      </c>
      <c r="M209" s="970"/>
      <c r="N209" s="971">
        <v>1479</v>
      </c>
      <c r="O209" s="971">
        <v>0</v>
      </c>
      <c r="P209" s="971">
        <v>0</v>
      </c>
      <c r="Q209" s="970">
        <v>1257</v>
      </c>
      <c r="R209" s="970"/>
      <c r="S209" s="971">
        <v>17608</v>
      </c>
      <c r="T209" s="973">
        <v>-668</v>
      </c>
      <c r="U209" s="973">
        <f>16939+1</f>
        <v>16940</v>
      </c>
    </row>
    <row r="210" spans="1:21" x14ac:dyDescent="0.25">
      <c r="A210" s="967">
        <v>92021</v>
      </c>
      <c r="B210" s="968" t="s">
        <v>2852</v>
      </c>
      <c r="C210" s="969">
        <v>1.5779999999999999E-4</v>
      </c>
      <c r="D210" s="969">
        <v>1.4249999999999999E-4</v>
      </c>
      <c r="E210" s="1008">
        <v>72635</v>
      </c>
      <c r="F210" s="1011">
        <v>302433</v>
      </c>
      <c r="G210" s="970">
        <v>241075</v>
      </c>
      <c r="H210" s="970"/>
      <c r="I210" s="971">
        <v>13888</v>
      </c>
      <c r="J210" s="972">
        <v>58533</v>
      </c>
      <c r="K210" s="971">
        <v>34429</v>
      </c>
      <c r="L210" s="970">
        <v>30504</v>
      </c>
      <c r="M210" s="970"/>
      <c r="N210" s="971">
        <v>6824</v>
      </c>
      <c r="O210" s="971">
        <v>0</v>
      </c>
      <c r="P210" s="971">
        <v>0</v>
      </c>
      <c r="Q210" s="970">
        <v>11142</v>
      </c>
      <c r="R210" s="970"/>
      <c r="S210" s="971">
        <v>81242</v>
      </c>
      <c r="T210" s="973">
        <v>1771</v>
      </c>
      <c r="U210" s="973">
        <f>83014-1</f>
        <v>83013</v>
      </c>
    </row>
    <row r="211" spans="1:21" x14ac:dyDescent="0.25">
      <c r="A211" s="967">
        <v>92101</v>
      </c>
      <c r="B211" s="968" t="s">
        <v>2853</v>
      </c>
      <c r="C211" s="969">
        <v>8.5209999999999995E-4</v>
      </c>
      <c r="D211" s="969">
        <v>8.6870000000000003E-4</v>
      </c>
      <c r="E211" s="1008">
        <v>368519</v>
      </c>
      <c r="F211" s="1011">
        <v>1843672</v>
      </c>
      <c r="G211" s="970">
        <v>1301773</v>
      </c>
      <c r="H211" s="970"/>
      <c r="I211" s="971">
        <v>74994</v>
      </c>
      <c r="J211" s="972">
        <v>316072</v>
      </c>
      <c r="K211" s="971">
        <v>185911</v>
      </c>
      <c r="L211" s="970">
        <v>9505</v>
      </c>
      <c r="M211" s="970"/>
      <c r="N211" s="971">
        <v>36849</v>
      </c>
      <c r="O211" s="971">
        <v>0</v>
      </c>
      <c r="P211" s="971">
        <v>0</v>
      </c>
      <c r="Q211" s="970">
        <v>63189</v>
      </c>
      <c r="R211" s="970"/>
      <c r="S211" s="971">
        <v>438699</v>
      </c>
      <c r="T211" s="973">
        <v>-10164</v>
      </c>
      <c r="U211" s="973">
        <v>428535</v>
      </c>
    </row>
    <row r="212" spans="1:21" x14ac:dyDescent="0.25">
      <c r="A212" s="967">
        <v>92104</v>
      </c>
      <c r="B212" s="968" t="s">
        <v>2854</v>
      </c>
      <c r="C212" s="969">
        <v>8.6000000000000007E-6</v>
      </c>
      <c r="D212" s="969">
        <v>8.8000000000000004E-6</v>
      </c>
      <c r="E212" s="1008">
        <v>5180</v>
      </c>
      <c r="F212" s="1011">
        <v>18677</v>
      </c>
      <c r="G212" s="970">
        <v>13138</v>
      </c>
      <c r="H212" s="970"/>
      <c r="I212" s="971">
        <v>757</v>
      </c>
      <c r="J212" s="972">
        <v>3190</v>
      </c>
      <c r="K212" s="971">
        <v>1876</v>
      </c>
      <c r="L212" s="970">
        <v>3377</v>
      </c>
      <c r="M212" s="970"/>
      <c r="N212" s="971">
        <v>372</v>
      </c>
      <c r="O212" s="971">
        <v>0</v>
      </c>
      <c r="P212" s="971">
        <v>0</v>
      </c>
      <c r="Q212" s="970">
        <v>0</v>
      </c>
      <c r="R212" s="970"/>
      <c r="S212" s="971">
        <v>4428</v>
      </c>
      <c r="T212" s="973">
        <v>1850</v>
      </c>
      <c r="U212" s="973">
        <f>6277+1</f>
        <v>6278</v>
      </c>
    </row>
    <row r="213" spans="1:21" x14ac:dyDescent="0.25">
      <c r="A213" s="967">
        <v>92109</v>
      </c>
      <c r="B213" s="968" t="s">
        <v>2855</v>
      </c>
      <c r="C213" s="969">
        <v>1.8809999999999999E-4</v>
      </c>
      <c r="D213" s="969">
        <v>1.7909999999999999E-4</v>
      </c>
      <c r="E213" s="1008">
        <v>79223</v>
      </c>
      <c r="F213" s="1011">
        <v>380110</v>
      </c>
      <c r="G213" s="970">
        <v>287365</v>
      </c>
      <c r="H213" s="970"/>
      <c r="I213" s="971">
        <v>16555</v>
      </c>
      <c r="J213" s="972">
        <v>69773</v>
      </c>
      <c r="K213" s="971">
        <v>41040</v>
      </c>
      <c r="L213" s="970">
        <v>2067</v>
      </c>
      <c r="M213" s="970"/>
      <c r="N213" s="971">
        <v>8134</v>
      </c>
      <c r="O213" s="971">
        <v>0</v>
      </c>
      <c r="P213" s="971">
        <v>0</v>
      </c>
      <c r="Q213" s="970">
        <v>12612</v>
      </c>
      <c r="R213" s="970"/>
      <c r="S213" s="971">
        <v>96842</v>
      </c>
      <c r="T213" s="973">
        <v>-5396</v>
      </c>
      <c r="U213" s="973">
        <v>91446</v>
      </c>
    </row>
    <row r="214" spans="1:21" x14ac:dyDescent="0.25">
      <c r="A214" s="967">
        <v>92111</v>
      </c>
      <c r="B214" s="968" t="s">
        <v>2856</v>
      </c>
      <c r="C214" s="969">
        <v>5.0460000000000001E-4</v>
      </c>
      <c r="D214" s="969">
        <v>5.0009999999999996E-4</v>
      </c>
      <c r="E214" s="1008">
        <v>231049</v>
      </c>
      <c r="F214" s="1011">
        <v>1061380</v>
      </c>
      <c r="G214" s="970">
        <v>770889</v>
      </c>
      <c r="H214" s="970"/>
      <c r="I214" s="971">
        <v>44410</v>
      </c>
      <c r="J214" s="972">
        <v>187173</v>
      </c>
      <c r="K214" s="971">
        <v>110094</v>
      </c>
      <c r="L214" s="970">
        <v>10602</v>
      </c>
      <c r="M214" s="970"/>
      <c r="N214" s="971">
        <v>21821</v>
      </c>
      <c r="O214" s="971">
        <v>0</v>
      </c>
      <c r="P214" s="971">
        <v>0</v>
      </c>
      <c r="Q214" s="970">
        <v>13269</v>
      </c>
      <c r="R214" s="970"/>
      <c r="S214" s="971">
        <v>259790</v>
      </c>
      <c r="T214" s="973">
        <v>2449</v>
      </c>
      <c r="U214" s="973">
        <v>262239</v>
      </c>
    </row>
    <row r="215" spans="1:21" x14ac:dyDescent="0.25">
      <c r="A215" s="967">
        <v>92113</v>
      </c>
      <c r="B215" s="968" t="s">
        <v>2857</v>
      </c>
      <c r="C215" s="969">
        <v>1.4399999999999999E-5</v>
      </c>
      <c r="D215" s="969">
        <v>2.2099999999999998E-5</v>
      </c>
      <c r="E215" s="1008">
        <v>10341</v>
      </c>
      <c r="F215" s="1011">
        <v>46904</v>
      </c>
      <c r="G215" s="970">
        <v>21999</v>
      </c>
      <c r="H215" s="970"/>
      <c r="I215" s="971">
        <v>1267</v>
      </c>
      <c r="J215" s="972">
        <v>5342</v>
      </c>
      <c r="K215" s="971">
        <v>3142</v>
      </c>
      <c r="L215" s="970">
        <v>17604</v>
      </c>
      <c r="M215" s="970"/>
      <c r="N215" s="971">
        <v>623</v>
      </c>
      <c r="O215" s="971">
        <v>0</v>
      </c>
      <c r="P215" s="971">
        <v>0</v>
      </c>
      <c r="Q215" s="970">
        <v>2179</v>
      </c>
      <c r="R215" s="970"/>
      <c r="S215" s="971">
        <v>7414</v>
      </c>
      <c r="T215" s="973">
        <v>7173</v>
      </c>
      <c r="U215" s="973">
        <v>14587</v>
      </c>
    </row>
    <row r="216" spans="1:21" x14ac:dyDescent="0.25">
      <c r="A216" s="967">
        <v>92201</v>
      </c>
      <c r="B216" s="968" t="s">
        <v>2858</v>
      </c>
      <c r="C216" s="969">
        <v>9.3389999999999999E-4</v>
      </c>
      <c r="D216" s="969">
        <v>1.0267E-3</v>
      </c>
      <c r="E216" s="1008">
        <v>452318</v>
      </c>
      <c r="F216" s="1011">
        <v>2179001</v>
      </c>
      <c r="G216" s="970">
        <v>1426741</v>
      </c>
      <c r="H216" s="970"/>
      <c r="I216" s="971">
        <v>82193</v>
      </c>
      <c r="J216" s="972">
        <v>346414</v>
      </c>
      <c r="K216" s="971">
        <v>203758</v>
      </c>
      <c r="L216" s="970">
        <v>36804</v>
      </c>
      <c r="M216" s="970"/>
      <c r="N216" s="971">
        <v>40387</v>
      </c>
      <c r="O216" s="971">
        <v>0</v>
      </c>
      <c r="P216" s="971">
        <v>0</v>
      </c>
      <c r="Q216" s="970">
        <v>43356</v>
      </c>
      <c r="R216" s="970"/>
      <c r="S216" s="971">
        <v>480813</v>
      </c>
      <c r="T216" s="973">
        <v>13056</v>
      </c>
      <c r="U216" s="973">
        <v>493869</v>
      </c>
    </row>
    <row r="217" spans="1:21" x14ac:dyDescent="0.25">
      <c r="A217" s="967">
        <v>92301</v>
      </c>
      <c r="B217" s="968" t="s">
        <v>2859</v>
      </c>
      <c r="C217" s="969">
        <v>5.2129999999999998E-3</v>
      </c>
      <c r="D217" s="969">
        <v>5.2411000000000003E-3</v>
      </c>
      <c r="E217" s="1008">
        <v>2376668</v>
      </c>
      <c r="F217" s="1011">
        <v>11123370</v>
      </c>
      <c r="G217" s="970">
        <v>7964020</v>
      </c>
      <c r="H217" s="970"/>
      <c r="I217" s="971">
        <v>458801</v>
      </c>
      <c r="J217" s="972">
        <v>1933674</v>
      </c>
      <c r="K217" s="971">
        <v>1137372</v>
      </c>
      <c r="L217" s="970">
        <v>53669</v>
      </c>
      <c r="M217" s="970"/>
      <c r="N217" s="971">
        <v>225436</v>
      </c>
      <c r="O217" s="971">
        <v>0</v>
      </c>
      <c r="P217" s="971">
        <v>0</v>
      </c>
      <c r="Q217" s="970">
        <v>40357</v>
      </c>
      <c r="R217" s="970"/>
      <c r="S217" s="971">
        <v>2683882</v>
      </c>
      <c r="T217" s="973">
        <v>7360</v>
      </c>
      <c r="U217" s="973">
        <v>2691242</v>
      </c>
    </row>
    <row r="218" spans="1:21" x14ac:dyDescent="0.25">
      <c r="A218" s="967">
        <v>92302</v>
      </c>
      <c r="B218" s="968" t="s">
        <v>3685</v>
      </c>
      <c r="C218" s="969">
        <v>2.9740000000000002E-4</v>
      </c>
      <c r="D218" s="969">
        <v>3.168E-4</v>
      </c>
      <c r="E218" s="1008">
        <v>124071</v>
      </c>
      <c r="F218" s="1011">
        <v>0</v>
      </c>
      <c r="G218" s="970">
        <v>454345</v>
      </c>
      <c r="H218" s="970"/>
      <c r="I218" s="971">
        <v>26174</v>
      </c>
      <c r="J218" s="972">
        <v>110316</v>
      </c>
      <c r="K218" s="971">
        <v>64887</v>
      </c>
      <c r="L218" s="970">
        <v>0</v>
      </c>
      <c r="M218" s="970"/>
      <c r="N218" s="971">
        <v>12861</v>
      </c>
      <c r="O218" s="971">
        <v>0</v>
      </c>
      <c r="P218" s="971">
        <v>0</v>
      </c>
      <c r="Q218" s="970">
        <v>28639</v>
      </c>
      <c r="R218" s="970"/>
      <c r="S218" s="971">
        <v>153115</v>
      </c>
      <c r="T218" s="973">
        <v>-9739</v>
      </c>
      <c r="U218" s="973">
        <v>143376</v>
      </c>
    </row>
    <row r="219" spans="1:21" x14ac:dyDescent="0.25">
      <c r="A219" s="967">
        <v>92311</v>
      </c>
      <c r="B219" s="968" t="s">
        <v>2861</v>
      </c>
      <c r="C219" s="969">
        <v>2.2504999999999999E-3</v>
      </c>
      <c r="D219" s="969">
        <v>2.1857000000000001E-3</v>
      </c>
      <c r="E219" s="1008">
        <v>989308</v>
      </c>
      <c r="F219" s="1011">
        <v>4638788</v>
      </c>
      <c r="G219" s="970">
        <v>3438141</v>
      </c>
      <c r="H219" s="970"/>
      <c r="I219" s="971">
        <v>198069</v>
      </c>
      <c r="J219" s="972">
        <v>834785</v>
      </c>
      <c r="K219" s="971">
        <v>491014</v>
      </c>
      <c r="L219" s="970">
        <v>8358</v>
      </c>
      <c r="M219" s="970"/>
      <c r="N219" s="971">
        <v>97323</v>
      </c>
      <c r="O219" s="971">
        <v>0</v>
      </c>
      <c r="P219" s="971">
        <v>0</v>
      </c>
      <c r="Q219" s="970">
        <v>54246</v>
      </c>
      <c r="R219" s="970"/>
      <c r="S219" s="971">
        <v>1158656</v>
      </c>
      <c r="T219" s="973">
        <v>-36529</v>
      </c>
      <c r="U219" s="973">
        <v>1122127</v>
      </c>
    </row>
    <row r="220" spans="1:21" x14ac:dyDescent="0.25">
      <c r="A220" s="967">
        <v>92317</v>
      </c>
      <c r="B220" s="968" t="s">
        <v>2862</v>
      </c>
      <c r="C220" s="969">
        <v>2.94E-5</v>
      </c>
      <c r="D220" s="969">
        <v>2.9600000000000001E-5</v>
      </c>
      <c r="E220" s="1008">
        <v>22749</v>
      </c>
      <c r="F220" s="1011">
        <v>62821</v>
      </c>
      <c r="G220" s="970">
        <v>44915</v>
      </c>
      <c r="H220" s="970"/>
      <c r="I220" s="971">
        <v>2588</v>
      </c>
      <c r="J220" s="972">
        <v>10905</v>
      </c>
      <c r="K220" s="971">
        <v>6414</v>
      </c>
      <c r="L220" s="970">
        <v>15615</v>
      </c>
      <c r="M220" s="970"/>
      <c r="N220" s="971">
        <v>1271</v>
      </c>
      <c r="O220" s="971">
        <v>0</v>
      </c>
      <c r="P220" s="971">
        <v>0</v>
      </c>
      <c r="Q220" s="970">
        <v>0</v>
      </c>
      <c r="R220" s="970"/>
      <c r="S220" s="971">
        <v>15136</v>
      </c>
      <c r="T220" s="973">
        <v>6218</v>
      </c>
      <c r="U220" s="973">
        <v>21354</v>
      </c>
    </row>
    <row r="221" spans="1:21" x14ac:dyDescent="0.25">
      <c r="A221" s="967">
        <v>92321</v>
      </c>
      <c r="B221" s="968" t="s">
        <v>2863</v>
      </c>
      <c r="C221" s="969">
        <v>1.1773E-3</v>
      </c>
      <c r="D221" s="969">
        <v>1.2218999999999999E-3</v>
      </c>
      <c r="E221" s="1008">
        <v>553266</v>
      </c>
      <c r="F221" s="1011">
        <v>2593281</v>
      </c>
      <c r="G221" s="970">
        <v>1798588</v>
      </c>
      <c r="H221" s="970"/>
      <c r="I221" s="971">
        <v>103615</v>
      </c>
      <c r="J221" s="972">
        <v>436700</v>
      </c>
      <c r="K221" s="971">
        <v>256863</v>
      </c>
      <c r="L221" s="970">
        <v>35464</v>
      </c>
      <c r="M221" s="970"/>
      <c r="N221" s="971">
        <v>50912</v>
      </c>
      <c r="O221" s="971">
        <v>0</v>
      </c>
      <c r="P221" s="971">
        <v>0</v>
      </c>
      <c r="Q221" s="970">
        <v>20669</v>
      </c>
      <c r="R221" s="970"/>
      <c r="S221" s="971">
        <v>606126</v>
      </c>
      <c r="T221" s="973">
        <v>20498</v>
      </c>
      <c r="U221" s="973">
        <v>626624</v>
      </c>
    </row>
    <row r="222" spans="1:21" x14ac:dyDescent="0.25">
      <c r="A222" s="967">
        <v>92327</v>
      </c>
      <c r="B222" s="968" t="s">
        <v>2864</v>
      </c>
      <c r="C222" s="969">
        <v>5.6999999999999996E-6</v>
      </c>
      <c r="D222" s="969">
        <v>7.6000000000000001E-6</v>
      </c>
      <c r="E222" s="1008">
        <v>5653</v>
      </c>
      <c r="F222" s="1011">
        <v>16130</v>
      </c>
      <c r="G222" s="970">
        <v>8708</v>
      </c>
      <c r="H222" s="970"/>
      <c r="I222" s="971">
        <v>502</v>
      </c>
      <c r="J222" s="972">
        <v>2115</v>
      </c>
      <c r="K222" s="971">
        <v>1244</v>
      </c>
      <c r="L222" s="970">
        <v>2932</v>
      </c>
      <c r="M222" s="970"/>
      <c r="N222" s="971">
        <v>246</v>
      </c>
      <c r="O222" s="971">
        <v>0</v>
      </c>
      <c r="P222" s="971">
        <v>0</v>
      </c>
      <c r="Q222" s="970">
        <v>0</v>
      </c>
      <c r="R222" s="970"/>
      <c r="S222" s="971">
        <v>2935</v>
      </c>
      <c r="T222" s="973">
        <v>1142</v>
      </c>
      <c r="U222" s="973">
        <v>4077</v>
      </c>
    </row>
    <row r="223" spans="1:21" x14ac:dyDescent="0.25">
      <c r="A223" s="967">
        <v>92331</v>
      </c>
      <c r="B223" s="968" t="s">
        <v>2865</v>
      </c>
      <c r="C223" s="969">
        <v>1.3970000000000001E-4</v>
      </c>
      <c r="D223" s="969">
        <v>1.393E-4</v>
      </c>
      <c r="E223" s="1008">
        <v>60878</v>
      </c>
      <c r="F223" s="1011">
        <v>295641</v>
      </c>
      <c r="G223" s="970">
        <v>213423</v>
      </c>
      <c r="H223" s="970"/>
      <c r="I223" s="971">
        <v>12295</v>
      </c>
      <c r="J223" s="972">
        <v>51819</v>
      </c>
      <c r="K223" s="971">
        <v>30480</v>
      </c>
      <c r="L223" s="970">
        <v>2070</v>
      </c>
      <c r="M223" s="970"/>
      <c r="N223" s="971">
        <v>6041</v>
      </c>
      <c r="O223" s="971">
        <v>0</v>
      </c>
      <c r="P223" s="971">
        <v>0</v>
      </c>
      <c r="Q223" s="970">
        <v>7559</v>
      </c>
      <c r="R223" s="970"/>
      <c r="S223" s="971">
        <v>71924</v>
      </c>
      <c r="T223" s="973">
        <v>-755</v>
      </c>
      <c r="U223" s="973">
        <v>71169</v>
      </c>
    </row>
    <row r="224" spans="1:21" x14ac:dyDescent="0.25">
      <c r="A224" s="967">
        <v>92341</v>
      </c>
      <c r="B224" s="968" t="s">
        <v>2866</v>
      </c>
      <c r="C224" s="969">
        <v>9.7999999999999993E-6</v>
      </c>
      <c r="D224" s="969">
        <v>7.9000000000000006E-6</v>
      </c>
      <c r="E224" s="1008">
        <v>3179</v>
      </c>
      <c r="F224" s="1011">
        <v>16766</v>
      </c>
      <c r="G224" s="970">
        <v>14972</v>
      </c>
      <c r="H224" s="970"/>
      <c r="I224" s="971">
        <v>863</v>
      </c>
      <c r="J224" s="972">
        <v>3635</v>
      </c>
      <c r="K224" s="971">
        <v>2138</v>
      </c>
      <c r="L224" s="970">
        <v>523</v>
      </c>
      <c r="M224" s="970"/>
      <c r="N224" s="971">
        <v>424</v>
      </c>
      <c r="O224" s="971">
        <v>0</v>
      </c>
      <c r="P224" s="971">
        <v>0</v>
      </c>
      <c r="Q224" s="970">
        <v>1977</v>
      </c>
      <c r="R224" s="970"/>
      <c r="S224" s="971">
        <v>5045</v>
      </c>
      <c r="T224" s="973">
        <v>-859</v>
      </c>
      <c r="U224" s="973">
        <f>4187-1</f>
        <v>4186</v>
      </c>
    </row>
    <row r="225" spans="1:21" x14ac:dyDescent="0.25">
      <c r="A225" s="967">
        <v>92351</v>
      </c>
      <c r="B225" s="968" t="s">
        <v>2867</v>
      </c>
      <c r="C225" s="969">
        <v>1.8600000000000001E-5</v>
      </c>
      <c r="D225" s="969">
        <v>1.95E-5</v>
      </c>
      <c r="E225" s="1008">
        <v>9507</v>
      </c>
      <c r="F225" s="1011">
        <v>41386</v>
      </c>
      <c r="G225" s="970">
        <v>28416</v>
      </c>
      <c r="H225" s="970"/>
      <c r="I225" s="971">
        <v>1637</v>
      </c>
      <c r="J225" s="972">
        <v>6899</v>
      </c>
      <c r="K225" s="971">
        <v>4058</v>
      </c>
      <c r="L225" s="970">
        <v>746</v>
      </c>
      <c r="M225" s="970"/>
      <c r="N225" s="971">
        <v>804</v>
      </c>
      <c r="O225" s="971">
        <v>0</v>
      </c>
      <c r="P225" s="971">
        <v>0</v>
      </c>
      <c r="Q225" s="970">
        <v>4166</v>
      </c>
      <c r="R225" s="970"/>
      <c r="S225" s="971">
        <v>9576</v>
      </c>
      <c r="T225" s="973">
        <v>-1010</v>
      </c>
      <c r="U225" s="973">
        <f>8567-1</f>
        <v>8566</v>
      </c>
    </row>
    <row r="226" spans="1:21" x14ac:dyDescent="0.25">
      <c r="A226" s="967">
        <v>92401</v>
      </c>
      <c r="B226" s="968" t="s">
        <v>2868</v>
      </c>
      <c r="C226" s="969">
        <v>2.6890999999999998E-3</v>
      </c>
      <c r="D226" s="969">
        <v>2.7449000000000002E-3</v>
      </c>
      <c r="E226" s="1008">
        <v>1303903</v>
      </c>
      <c r="F226" s="1011">
        <v>5825597</v>
      </c>
      <c r="G226" s="970">
        <v>4108200</v>
      </c>
      <c r="H226" s="970"/>
      <c r="I226" s="971">
        <v>236670</v>
      </c>
      <c r="J226" s="972">
        <v>997476</v>
      </c>
      <c r="K226" s="971">
        <v>586708</v>
      </c>
      <c r="L226" s="970">
        <v>34938</v>
      </c>
      <c r="M226" s="970"/>
      <c r="N226" s="971">
        <v>116290</v>
      </c>
      <c r="O226" s="971">
        <v>0</v>
      </c>
      <c r="P226" s="971">
        <v>0</v>
      </c>
      <c r="Q226" s="970">
        <v>3448</v>
      </c>
      <c r="R226" s="970"/>
      <c r="S226" s="971">
        <v>1384467</v>
      </c>
      <c r="T226" s="973">
        <v>19009</v>
      </c>
      <c r="U226" s="973">
        <v>1403476</v>
      </c>
    </row>
    <row r="227" spans="1:21" x14ac:dyDescent="0.25">
      <c r="A227" s="967">
        <v>92403</v>
      </c>
      <c r="B227" s="968" t="s">
        <v>2869</v>
      </c>
      <c r="C227" s="969">
        <v>1.11E-5</v>
      </c>
      <c r="D227" s="969">
        <v>9.7999999999999993E-6</v>
      </c>
      <c r="E227" s="1008">
        <v>5892</v>
      </c>
      <c r="F227" s="1011">
        <v>20799</v>
      </c>
      <c r="G227" s="970">
        <v>16958</v>
      </c>
      <c r="H227" s="970"/>
      <c r="I227" s="971">
        <v>977</v>
      </c>
      <c r="J227" s="972">
        <v>4117</v>
      </c>
      <c r="K227" s="971">
        <v>2422</v>
      </c>
      <c r="L227" s="970">
        <v>1858</v>
      </c>
      <c r="M227" s="970"/>
      <c r="N227" s="971">
        <v>480</v>
      </c>
      <c r="O227" s="971">
        <v>0</v>
      </c>
      <c r="P227" s="971">
        <v>0</v>
      </c>
      <c r="Q227" s="970">
        <v>1307</v>
      </c>
      <c r="R227" s="970"/>
      <c r="S227" s="971">
        <v>5715</v>
      </c>
      <c r="T227" s="973">
        <v>135</v>
      </c>
      <c r="U227" s="973">
        <f>5849+1</f>
        <v>5850</v>
      </c>
    </row>
    <row r="228" spans="1:21" x14ac:dyDescent="0.25">
      <c r="A228" s="967">
        <v>92411</v>
      </c>
      <c r="B228" s="968" t="s">
        <v>2870</v>
      </c>
      <c r="C228" s="969">
        <v>5.0469999999999996E-4</v>
      </c>
      <c r="D228" s="969">
        <v>4.8030000000000002E-4</v>
      </c>
      <c r="E228" s="1008">
        <v>203732</v>
      </c>
      <c r="F228" s="1011">
        <v>1019358</v>
      </c>
      <c r="G228" s="970">
        <v>771042</v>
      </c>
      <c r="H228" s="970"/>
      <c r="I228" s="971">
        <v>44419</v>
      </c>
      <c r="J228" s="972">
        <v>187210</v>
      </c>
      <c r="K228" s="971">
        <v>110115</v>
      </c>
      <c r="L228" s="970">
        <v>369</v>
      </c>
      <c r="M228" s="970"/>
      <c r="N228" s="971">
        <v>21826</v>
      </c>
      <c r="O228" s="971">
        <v>0</v>
      </c>
      <c r="P228" s="971">
        <v>0</v>
      </c>
      <c r="Q228" s="970">
        <v>44165</v>
      </c>
      <c r="R228" s="970"/>
      <c r="S228" s="971">
        <v>259842</v>
      </c>
      <c r="T228" s="973">
        <v>-17900</v>
      </c>
      <c r="U228" s="973">
        <v>241942</v>
      </c>
    </row>
    <row r="229" spans="1:21" x14ac:dyDescent="0.25">
      <c r="A229" s="967">
        <v>92414</v>
      </c>
      <c r="B229" s="968" t="s">
        <v>1397</v>
      </c>
      <c r="C229" s="969">
        <v>0</v>
      </c>
      <c r="D229" s="969">
        <v>0</v>
      </c>
      <c r="E229" s="1008">
        <v>0</v>
      </c>
      <c r="F229" s="1011">
        <v>0</v>
      </c>
      <c r="G229" s="970">
        <v>0</v>
      </c>
      <c r="H229" s="970"/>
      <c r="I229" s="971">
        <v>0</v>
      </c>
      <c r="J229" s="972">
        <v>0</v>
      </c>
      <c r="K229" s="971">
        <v>0</v>
      </c>
      <c r="L229" s="970">
        <v>0</v>
      </c>
      <c r="M229" s="970"/>
      <c r="N229" s="971">
        <v>0</v>
      </c>
      <c r="O229" s="971">
        <v>0</v>
      </c>
      <c r="P229" s="971">
        <v>0</v>
      </c>
      <c r="Q229" s="970">
        <v>5712</v>
      </c>
      <c r="R229" s="970"/>
      <c r="S229" s="971">
        <v>0</v>
      </c>
      <c r="T229" s="973">
        <v>-2445</v>
      </c>
      <c r="U229" s="973">
        <v>-2445</v>
      </c>
    </row>
    <row r="230" spans="1:21" x14ac:dyDescent="0.25">
      <c r="A230" s="967">
        <v>92417</v>
      </c>
      <c r="B230" s="968" t="s">
        <v>2871</v>
      </c>
      <c r="C230" s="969">
        <v>1.8300000000000001E-5</v>
      </c>
      <c r="D230" s="969">
        <v>1.77E-5</v>
      </c>
      <c r="E230" s="1008">
        <v>5972</v>
      </c>
      <c r="F230" s="1011">
        <v>37565</v>
      </c>
      <c r="G230" s="970">
        <v>27957</v>
      </c>
      <c r="H230" s="970"/>
      <c r="I230" s="971">
        <v>1611</v>
      </c>
      <c r="J230" s="972">
        <v>6788</v>
      </c>
      <c r="K230" s="971">
        <v>3993</v>
      </c>
      <c r="L230" s="970">
        <v>0</v>
      </c>
      <c r="M230" s="970"/>
      <c r="N230" s="971">
        <v>791</v>
      </c>
      <c r="O230" s="971">
        <v>0</v>
      </c>
      <c r="P230" s="971">
        <v>0</v>
      </c>
      <c r="Q230" s="970">
        <v>2726</v>
      </c>
      <c r="R230" s="970"/>
      <c r="S230" s="971">
        <v>9422</v>
      </c>
      <c r="T230" s="973">
        <v>-895</v>
      </c>
      <c r="U230" s="973">
        <v>8527</v>
      </c>
    </row>
    <row r="231" spans="1:21" x14ac:dyDescent="0.25">
      <c r="A231" s="967">
        <v>92421</v>
      </c>
      <c r="B231" s="968" t="s">
        <v>2872</v>
      </c>
      <c r="C231" s="969">
        <v>8.8000000000000004E-6</v>
      </c>
      <c r="D231" s="969">
        <v>9.0000000000000002E-6</v>
      </c>
      <c r="E231" s="1008">
        <v>7580</v>
      </c>
      <c r="F231" s="1011">
        <v>19101</v>
      </c>
      <c r="G231" s="970">
        <v>13444</v>
      </c>
      <c r="H231" s="970"/>
      <c r="I231" s="971">
        <v>774</v>
      </c>
      <c r="J231" s="972">
        <v>3264</v>
      </c>
      <c r="K231" s="971">
        <v>1920</v>
      </c>
      <c r="L231" s="970">
        <v>3546</v>
      </c>
      <c r="M231" s="970"/>
      <c r="N231" s="971">
        <v>381</v>
      </c>
      <c r="O231" s="971">
        <v>0</v>
      </c>
      <c r="P231" s="971">
        <v>0</v>
      </c>
      <c r="Q231" s="970">
        <v>1149</v>
      </c>
      <c r="R231" s="970"/>
      <c r="S231" s="971">
        <v>4531</v>
      </c>
      <c r="T231" s="973">
        <v>935</v>
      </c>
      <c r="U231" s="973">
        <v>5466</v>
      </c>
    </row>
    <row r="232" spans="1:21" x14ac:dyDescent="0.25">
      <c r="A232" s="967">
        <v>92427</v>
      </c>
      <c r="B232" s="968" t="s">
        <v>2873</v>
      </c>
      <c r="C232" s="969">
        <v>3.9999999999999998E-7</v>
      </c>
      <c r="D232" s="969">
        <v>6.9999999999999997E-7</v>
      </c>
      <c r="E232" s="1008">
        <v>1463</v>
      </c>
      <c r="F232" s="1011">
        <v>1486</v>
      </c>
      <c r="G232" s="970">
        <v>611</v>
      </c>
      <c r="H232" s="970"/>
      <c r="I232" s="971">
        <v>35</v>
      </c>
      <c r="J232" s="972">
        <v>148</v>
      </c>
      <c r="K232" s="971">
        <v>87</v>
      </c>
      <c r="L232" s="970">
        <v>1998</v>
      </c>
      <c r="M232" s="970"/>
      <c r="N232" s="971">
        <v>17</v>
      </c>
      <c r="O232" s="971">
        <v>0</v>
      </c>
      <c r="P232" s="971">
        <v>0</v>
      </c>
      <c r="Q232" s="970">
        <v>0</v>
      </c>
      <c r="R232" s="970"/>
      <c r="S232" s="971">
        <v>206</v>
      </c>
      <c r="T232" s="973">
        <v>841</v>
      </c>
      <c r="U232" s="973">
        <v>1047</v>
      </c>
    </row>
    <row r="233" spans="1:21" x14ac:dyDescent="0.25">
      <c r="A233" s="967">
        <v>92431</v>
      </c>
      <c r="B233" s="968" t="s">
        <v>2874</v>
      </c>
      <c r="C233" s="969">
        <v>3.0800000000000003E-5</v>
      </c>
      <c r="D233" s="969">
        <v>1.8499999999999999E-5</v>
      </c>
      <c r="E233" s="1008">
        <v>22456</v>
      </c>
      <c r="F233" s="1011">
        <v>39263</v>
      </c>
      <c r="G233" s="970">
        <v>47054</v>
      </c>
      <c r="H233" s="970"/>
      <c r="I233" s="971">
        <v>2711</v>
      </c>
      <c r="J233" s="972">
        <v>11425</v>
      </c>
      <c r="K233" s="971">
        <v>6720</v>
      </c>
      <c r="L233" s="970">
        <v>18832</v>
      </c>
      <c r="M233" s="970"/>
      <c r="N233" s="971">
        <v>1332</v>
      </c>
      <c r="O233" s="971">
        <v>0</v>
      </c>
      <c r="P233" s="971">
        <v>0</v>
      </c>
      <c r="Q233" s="970">
        <v>3766</v>
      </c>
      <c r="R233" s="970"/>
      <c r="S233" s="971">
        <v>15857</v>
      </c>
      <c r="T233" s="973">
        <v>4147</v>
      </c>
      <c r="U233" s="973">
        <v>20004</v>
      </c>
    </row>
    <row r="234" spans="1:21" x14ac:dyDescent="0.25">
      <c r="A234" s="967">
        <v>92441</v>
      </c>
      <c r="B234" s="968" t="s">
        <v>2875</v>
      </c>
      <c r="C234" s="969">
        <v>7.7999999999999999E-5</v>
      </c>
      <c r="D234" s="969">
        <v>9.2299999999999994E-5</v>
      </c>
      <c r="E234" s="1008">
        <v>38185</v>
      </c>
      <c r="F234" s="1011">
        <v>195892</v>
      </c>
      <c r="G234" s="970">
        <v>119162</v>
      </c>
      <c r="H234" s="970"/>
      <c r="I234" s="971">
        <v>6865</v>
      </c>
      <c r="J234" s="972">
        <v>28933</v>
      </c>
      <c r="K234" s="971">
        <v>17018</v>
      </c>
      <c r="L234" s="970">
        <v>0</v>
      </c>
      <c r="M234" s="970"/>
      <c r="N234" s="971">
        <v>3373</v>
      </c>
      <c r="O234" s="971">
        <v>0</v>
      </c>
      <c r="P234" s="971">
        <v>0</v>
      </c>
      <c r="Q234" s="970">
        <v>15306</v>
      </c>
      <c r="R234" s="970"/>
      <c r="S234" s="971">
        <v>40158</v>
      </c>
      <c r="T234" s="973">
        <v>-6990</v>
      </c>
      <c r="U234" s="973">
        <f>33167+1</f>
        <v>33168</v>
      </c>
    </row>
    <row r="235" spans="1:21" x14ac:dyDescent="0.25">
      <c r="A235" s="967">
        <v>92444</v>
      </c>
      <c r="B235" s="968" t="s">
        <v>2876</v>
      </c>
      <c r="C235" s="969">
        <v>1.7999999999999999E-6</v>
      </c>
      <c r="D235" s="969">
        <v>1.9999999999999999E-6</v>
      </c>
      <c r="E235" s="1008">
        <v>2108</v>
      </c>
      <c r="F235" s="1011">
        <v>4245</v>
      </c>
      <c r="G235" s="970">
        <v>2750</v>
      </c>
      <c r="H235" s="970"/>
      <c r="I235" s="971">
        <v>158</v>
      </c>
      <c r="J235" s="972">
        <v>667</v>
      </c>
      <c r="K235" s="971">
        <v>393</v>
      </c>
      <c r="L235" s="970">
        <v>2573</v>
      </c>
      <c r="M235" s="970"/>
      <c r="N235" s="971">
        <v>78</v>
      </c>
      <c r="O235" s="971">
        <v>0</v>
      </c>
      <c r="P235" s="971">
        <v>0</v>
      </c>
      <c r="Q235" s="970">
        <v>0</v>
      </c>
      <c r="R235" s="970"/>
      <c r="S235" s="971">
        <v>927</v>
      </c>
      <c r="T235" s="973">
        <v>1194</v>
      </c>
      <c r="U235" s="973">
        <v>2121</v>
      </c>
    </row>
    <row r="236" spans="1:21" x14ac:dyDescent="0.25">
      <c r="A236" s="967">
        <v>92451</v>
      </c>
      <c r="B236" s="968" t="s">
        <v>2877</v>
      </c>
      <c r="C236" s="969">
        <v>1.3070000000000001E-4</v>
      </c>
      <c r="D236" s="969">
        <v>1.4559999999999999E-4</v>
      </c>
      <c r="E236" s="1008">
        <v>77938</v>
      </c>
      <c r="F236" s="1011">
        <v>309012</v>
      </c>
      <c r="G236" s="970">
        <v>199673</v>
      </c>
      <c r="H236" s="970"/>
      <c r="I236" s="971">
        <v>11503</v>
      </c>
      <c r="J236" s="972">
        <v>48481</v>
      </c>
      <c r="K236" s="971">
        <v>28516</v>
      </c>
      <c r="L236" s="970">
        <v>29255</v>
      </c>
      <c r="M236" s="970"/>
      <c r="N236" s="971">
        <v>5652</v>
      </c>
      <c r="O236" s="971">
        <v>0</v>
      </c>
      <c r="P236" s="971">
        <v>0</v>
      </c>
      <c r="Q236" s="970">
        <v>0</v>
      </c>
      <c r="R236" s="970"/>
      <c r="S236" s="971">
        <v>67290</v>
      </c>
      <c r="T236" s="973">
        <v>12363</v>
      </c>
      <c r="U236" s="973">
        <v>79653</v>
      </c>
    </row>
    <row r="237" spans="1:21" x14ac:dyDescent="0.25">
      <c r="A237" s="967">
        <v>92461</v>
      </c>
      <c r="B237" s="968" t="s">
        <v>2878</v>
      </c>
      <c r="C237" s="969">
        <v>7.1099999999999994E-5</v>
      </c>
      <c r="D237" s="969">
        <v>7.2999999999999999E-5</v>
      </c>
      <c r="E237" s="1008">
        <v>40872</v>
      </c>
      <c r="F237" s="1011">
        <v>154930</v>
      </c>
      <c r="G237" s="970">
        <v>108621</v>
      </c>
      <c r="H237" s="970"/>
      <c r="I237" s="971">
        <v>6258</v>
      </c>
      <c r="J237" s="972">
        <v>26373</v>
      </c>
      <c r="K237" s="971">
        <v>15513</v>
      </c>
      <c r="L237" s="970">
        <v>12982</v>
      </c>
      <c r="M237" s="970"/>
      <c r="N237" s="971">
        <v>3075</v>
      </c>
      <c r="O237" s="971">
        <v>0</v>
      </c>
      <c r="P237" s="971">
        <v>0</v>
      </c>
      <c r="Q237" s="970">
        <v>4965</v>
      </c>
      <c r="R237" s="970"/>
      <c r="S237" s="971">
        <v>36605</v>
      </c>
      <c r="T237" s="973">
        <v>1157</v>
      </c>
      <c r="U237" s="973">
        <f>37763-1</f>
        <v>37762</v>
      </c>
    </row>
    <row r="238" spans="1:21" x14ac:dyDescent="0.25">
      <c r="A238" s="967">
        <v>92501</v>
      </c>
      <c r="B238" s="968" t="s">
        <v>2879</v>
      </c>
      <c r="C238" s="969">
        <v>3.8252E-3</v>
      </c>
      <c r="D238" s="969">
        <v>3.8141E-3</v>
      </c>
      <c r="E238" s="1008">
        <v>1869584</v>
      </c>
      <c r="F238" s="1011">
        <v>8094798</v>
      </c>
      <c r="G238" s="970">
        <v>5843846</v>
      </c>
      <c r="H238" s="970"/>
      <c r="I238" s="971">
        <v>336660</v>
      </c>
      <c r="J238" s="972">
        <v>1418892</v>
      </c>
      <c r="K238" s="971">
        <v>834582</v>
      </c>
      <c r="L238" s="970">
        <v>137822</v>
      </c>
      <c r="M238" s="970"/>
      <c r="N238" s="971">
        <v>165421</v>
      </c>
      <c r="O238" s="971">
        <v>0</v>
      </c>
      <c r="P238" s="971">
        <v>0</v>
      </c>
      <c r="Q238" s="970">
        <v>9032</v>
      </c>
      <c r="R238" s="970"/>
      <c r="S238" s="971">
        <v>1969381</v>
      </c>
      <c r="T238" s="973">
        <v>45362</v>
      </c>
      <c r="U238" s="973">
        <v>2014743</v>
      </c>
    </row>
    <row r="239" spans="1:21" x14ac:dyDescent="0.25">
      <c r="A239" s="967">
        <v>92502</v>
      </c>
      <c r="B239" s="968" t="s">
        <v>2880</v>
      </c>
      <c r="C239" s="969">
        <v>2.7500000000000001E-5</v>
      </c>
      <c r="D239" s="969">
        <v>2.8799999999999999E-5</v>
      </c>
      <c r="E239" s="1008">
        <v>14164</v>
      </c>
      <c r="F239" s="1011">
        <v>61123</v>
      </c>
      <c r="G239" s="970">
        <v>42012</v>
      </c>
      <c r="H239" s="970"/>
      <c r="I239" s="971">
        <v>2420</v>
      </c>
      <c r="J239" s="972">
        <v>10201</v>
      </c>
      <c r="K239" s="971">
        <v>6000</v>
      </c>
      <c r="L239" s="970">
        <v>3940</v>
      </c>
      <c r="M239" s="970"/>
      <c r="N239" s="971">
        <v>1189</v>
      </c>
      <c r="O239" s="971">
        <v>0</v>
      </c>
      <c r="P239" s="971">
        <v>0</v>
      </c>
      <c r="Q239" s="970">
        <v>2154</v>
      </c>
      <c r="R239" s="970"/>
      <c r="S239" s="971">
        <v>14158</v>
      </c>
      <c r="T239" s="973">
        <v>-13</v>
      </c>
      <c r="U239" s="973">
        <v>14145</v>
      </c>
    </row>
    <row r="240" spans="1:21" x14ac:dyDescent="0.25">
      <c r="A240" s="967">
        <v>92504</v>
      </c>
      <c r="B240" s="968" t="s">
        <v>2881</v>
      </c>
      <c r="C240" s="969">
        <v>8.4300000000000003E-5</v>
      </c>
      <c r="D240" s="969">
        <v>7.2799999999999994E-5</v>
      </c>
      <c r="E240" s="1008">
        <v>49664</v>
      </c>
      <c r="F240" s="1011">
        <v>154506</v>
      </c>
      <c r="G240" s="970">
        <v>128787</v>
      </c>
      <c r="H240" s="970"/>
      <c r="I240" s="971">
        <v>7419</v>
      </c>
      <c r="J240" s="972">
        <v>31269</v>
      </c>
      <c r="K240" s="971">
        <v>18393</v>
      </c>
      <c r="L240" s="970">
        <v>29049</v>
      </c>
      <c r="M240" s="970"/>
      <c r="N240" s="971">
        <v>3646</v>
      </c>
      <c r="O240" s="971">
        <v>0</v>
      </c>
      <c r="P240" s="971">
        <v>0</v>
      </c>
      <c r="Q240" s="970">
        <v>27</v>
      </c>
      <c r="R240" s="970"/>
      <c r="S240" s="971">
        <v>43401</v>
      </c>
      <c r="T240" s="973">
        <v>10026</v>
      </c>
      <c r="U240" s="973">
        <v>53427</v>
      </c>
    </row>
    <row r="241" spans="1:21" x14ac:dyDescent="0.25">
      <c r="A241" s="967">
        <v>92505</v>
      </c>
      <c r="B241" s="968" t="s">
        <v>2882</v>
      </c>
      <c r="C241" s="969">
        <v>1.9239999999999999E-4</v>
      </c>
      <c r="D241" s="969">
        <v>1.8709999999999999E-4</v>
      </c>
      <c r="E241" s="1008">
        <v>119136</v>
      </c>
      <c r="F241" s="1011">
        <v>397089</v>
      </c>
      <c r="G241" s="970">
        <v>293934</v>
      </c>
      <c r="H241" s="970"/>
      <c r="I241" s="971">
        <v>16933</v>
      </c>
      <c r="J241" s="972">
        <v>71367</v>
      </c>
      <c r="K241" s="971">
        <v>41978</v>
      </c>
      <c r="L241" s="970">
        <v>59108</v>
      </c>
      <c r="M241" s="970"/>
      <c r="N241" s="971">
        <v>8320</v>
      </c>
      <c r="O241" s="971">
        <v>0</v>
      </c>
      <c r="P241" s="971">
        <v>0</v>
      </c>
      <c r="Q241" s="970">
        <v>0</v>
      </c>
      <c r="R241" s="970"/>
      <c r="S241" s="971">
        <v>99056</v>
      </c>
      <c r="T241" s="973">
        <v>23320</v>
      </c>
      <c r="U241" s="973">
        <v>122376</v>
      </c>
    </row>
    <row r="242" spans="1:21" x14ac:dyDescent="0.25">
      <c r="A242" s="967">
        <v>92506</v>
      </c>
      <c r="B242" s="968" t="s">
        <v>2883</v>
      </c>
      <c r="C242" s="969">
        <v>4.7500000000000003E-5</v>
      </c>
      <c r="D242" s="969">
        <v>4.3699999999999998E-5</v>
      </c>
      <c r="E242" s="1008">
        <v>26570</v>
      </c>
      <c r="F242" s="1011">
        <v>92746</v>
      </c>
      <c r="G242" s="970">
        <v>72567</v>
      </c>
      <c r="H242" s="970"/>
      <c r="I242" s="971">
        <v>4181</v>
      </c>
      <c r="J242" s="972">
        <v>17619</v>
      </c>
      <c r="K242" s="971">
        <v>10364</v>
      </c>
      <c r="L242" s="970">
        <v>17893</v>
      </c>
      <c r="M242" s="970"/>
      <c r="N242" s="971">
        <v>2054</v>
      </c>
      <c r="O242" s="971">
        <v>0</v>
      </c>
      <c r="P242" s="971">
        <v>0</v>
      </c>
      <c r="Q242" s="970">
        <v>0</v>
      </c>
      <c r="R242" s="970"/>
      <c r="S242" s="971">
        <v>24455</v>
      </c>
      <c r="T242" s="973">
        <v>7399</v>
      </c>
      <c r="U242" s="973">
        <v>31854</v>
      </c>
    </row>
    <row r="243" spans="1:21" x14ac:dyDescent="0.25">
      <c r="A243" s="967">
        <v>92507</v>
      </c>
      <c r="B243" s="968" t="s">
        <v>2884</v>
      </c>
      <c r="C243" s="969">
        <v>9.5699999999999995E-5</v>
      </c>
      <c r="D243" s="969">
        <v>7.6799999999999997E-5</v>
      </c>
      <c r="E243" s="1008">
        <v>40750</v>
      </c>
      <c r="F243" s="1011">
        <v>162995</v>
      </c>
      <c r="G243" s="970">
        <v>146203</v>
      </c>
      <c r="H243" s="970"/>
      <c r="I243" s="971">
        <v>8423</v>
      </c>
      <c r="J243" s="972">
        <v>35498</v>
      </c>
      <c r="K243" s="971">
        <v>20880</v>
      </c>
      <c r="L243" s="970">
        <v>10349</v>
      </c>
      <c r="M243" s="970"/>
      <c r="N243" s="971">
        <v>4139</v>
      </c>
      <c r="O243" s="971">
        <v>0</v>
      </c>
      <c r="P243" s="971">
        <v>0</v>
      </c>
      <c r="Q243" s="970">
        <v>14283</v>
      </c>
      <c r="R243" s="970"/>
      <c r="S243" s="971">
        <v>49271</v>
      </c>
      <c r="T243" s="973">
        <v>-5512</v>
      </c>
      <c r="U243" s="973">
        <f>43758+1</f>
        <v>43759</v>
      </c>
    </row>
    <row r="244" spans="1:21" x14ac:dyDescent="0.25">
      <c r="A244" s="967">
        <v>92508</v>
      </c>
      <c r="B244" s="968" t="s">
        <v>2885</v>
      </c>
      <c r="C244" s="969">
        <v>3.1E-4</v>
      </c>
      <c r="D244" s="969">
        <v>3.1930000000000001E-4</v>
      </c>
      <c r="E244" s="1008">
        <v>152021</v>
      </c>
      <c r="F244" s="1011">
        <v>677662</v>
      </c>
      <c r="G244" s="970">
        <v>473594</v>
      </c>
      <c r="H244" s="970"/>
      <c r="I244" s="971">
        <v>27283</v>
      </c>
      <c r="J244" s="972">
        <v>114989</v>
      </c>
      <c r="K244" s="971">
        <v>67636</v>
      </c>
      <c r="L244" s="970">
        <v>5884</v>
      </c>
      <c r="M244" s="970"/>
      <c r="N244" s="971">
        <v>13406</v>
      </c>
      <c r="O244" s="971">
        <v>0</v>
      </c>
      <c r="P244" s="971">
        <v>0</v>
      </c>
      <c r="Q244" s="970">
        <v>1407</v>
      </c>
      <c r="R244" s="970"/>
      <c r="S244" s="971">
        <v>159602</v>
      </c>
      <c r="T244" s="973">
        <v>3411</v>
      </c>
      <c r="U244" s="973">
        <v>163013</v>
      </c>
    </row>
    <row r="245" spans="1:21" x14ac:dyDescent="0.25">
      <c r="A245" s="967">
        <v>92511</v>
      </c>
      <c r="B245" s="968" t="s">
        <v>2887</v>
      </c>
      <c r="C245" s="969">
        <v>3.3240000000000001E-3</v>
      </c>
      <c r="D245" s="969">
        <v>3.4164E-3</v>
      </c>
      <c r="E245" s="1008">
        <v>1524503</v>
      </c>
      <c r="F245" s="1011">
        <v>7250745</v>
      </c>
      <c r="G245" s="970">
        <v>5078151</v>
      </c>
      <c r="H245" s="970"/>
      <c r="I245" s="971">
        <v>292549</v>
      </c>
      <c r="J245" s="972">
        <v>1232981</v>
      </c>
      <c r="K245" s="971">
        <v>725230</v>
      </c>
      <c r="L245" s="970">
        <v>12146</v>
      </c>
      <c r="M245" s="970"/>
      <c r="N245" s="971">
        <v>143746</v>
      </c>
      <c r="O245" s="971">
        <v>0</v>
      </c>
      <c r="P245" s="971">
        <v>0</v>
      </c>
      <c r="Q245" s="970">
        <v>237633</v>
      </c>
      <c r="R245" s="970"/>
      <c r="S245" s="971">
        <v>1711341</v>
      </c>
      <c r="T245" s="973">
        <v>-72839</v>
      </c>
      <c r="U245" s="973">
        <f>1638503-1</f>
        <v>1638502</v>
      </c>
    </row>
    <row r="246" spans="1:21" x14ac:dyDescent="0.25">
      <c r="A246" s="967">
        <v>92513</v>
      </c>
      <c r="B246" s="968" t="s">
        <v>2888</v>
      </c>
      <c r="C246" s="969">
        <v>4.0328999999999999E-3</v>
      </c>
      <c r="D246" s="969">
        <v>3.9753000000000002E-3</v>
      </c>
      <c r="E246" s="1008">
        <v>1669954</v>
      </c>
      <c r="F246" s="1011">
        <v>8436918</v>
      </c>
      <c r="G246" s="970">
        <v>6161154</v>
      </c>
      <c r="H246" s="970"/>
      <c r="I246" s="971">
        <v>354940</v>
      </c>
      <c r="J246" s="972">
        <v>1495936</v>
      </c>
      <c r="K246" s="971">
        <v>879898</v>
      </c>
      <c r="L246" s="970">
        <f>1481541+87063+162533</f>
        <v>1731137</v>
      </c>
      <c r="M246" s="970"/>
      <c r="N246" s="971">
        <v>174403</v>
      </c>
      <c r="O246" s="971">
        <v>0</v>
      </c>
      <c r="P246" s="971">
        <v>0</v>
      </c>
      <c r="Q246" s="970">
        <f>106570+867533+690246</f>
        <v>1664349</v>
      </c>
      <c r="R246" s="970"/>
      <c r="S246" s="971">
        <v>2076314</v>
      </c>
      <c r="T246" s="973">
        <f>491379-223763-102954</f>
        <v>164662</v>
      </c>
      <c r="U246" s="973">
        <f>2567693-223763-102954</f>
        <v>2240976</v>
      </c>
    </row>
    <row r="247" spans="1:21" x14ac:dyDescent="0.25">
      <c r="A247" s="967">
        <v>92521</v>
      </c>
      <c r="B247" s="968" t="s">
        <v>2889</v>
      </c>
      <c r="C247" s="969">
        <v>8.6899999999999998E-5</v>
      </c>
      <c r="D247" s="969">
        <v>8.9800000000000001E-5</v>
      </c>
      <c r="E247" s="1008">
        <v>37384</v>
      </c>
      <c r="F247" s="1011">
        <v>190586</v>
      </c>
      <c r="G247" s="970">
        <v>132759</v>
      </c>
      <c r="H247" s="970"/>
      <c r="I247" s="971">
        <v>7648</v>
      </c>
      <c r="J247" s="972">
        <v>32235</v>
      </c>
      <c r="K247" s="971">
        <v>18960</v>
      </c>
      <c r="L247" s="970">
        <v>3168</v>
      </c>
      <c r="M247" s="970"/>
      <c r="N247" s="971">
        <v>3758</v>
      </c>
      <c r="O247" s="971">
        <v>0</v>
      </c>
      <c r="P247" s="971">
        <v>0</v>
      </c>
      <c r="Q247" s="970">
        <v>10611</v>
      </c>
      <c r="R247" s="970"/>
      <c r="S247" s="971">
        <v>44740</v>
      </c>
      <c r="T247" s="973">
        <v>-2554</v>
      </c>
      <c r="U247" s="973">
        <v>42186</v>
      </c>
    </row>
    <row r="248" spans="1:21" x14ac:dyDescent="0.25">
      <c r="A248" s="967">
        <v>92531</v>
      </c>
      <c r="B248" s="968" t="s">
        <v>2890</v>
      </c>
      <c r="C248" s="969">
        <v>8.6490000000000004E-4</v>
      </c>
      <c r="D248" s="969">
        <v>8.3779999999999998E-4</v>
      </c>
      <c r="E248" s="1008">
        <v>358464</v>
      </c>
      <c r="F248" s="1011">
        <v>1778092</v>
      </c>
      <c r="G248" s="970">
        <v>1321328</v>
      </c>
      <c r="H248" s="970"/>
      <c r="I248" s="971">
        <v>76121</v>
      </c>
      <c r="J248" s="972">
        <v>320820</v>
      </c>
      <c r="K248" s="971">
        <v>188704</v>
      </c>
      <c r="L248" s="970">
        <v>0</v>
      </c>
      <c r="M248" s="970"/>
      <c r="N248" s="971">
        <v>37403</v>
      </c>
      <c r="O248" s="971">
        <v>0</v>
      </c>
      <c r="P248" s="971">
        <v>0</v>
      </c>
      <c r="Q248" s="970">
        <v>124043</v>
      </c>
      <c r="R248" s="970"/>
      <c r="S248" s="971">
        <v>445289</v>
      </c>
      <c r="T248" s="973">
        <v>-61397</v>
      </c>
      <c r="U248" s="973">
        <v>383892</v>
      </c>
    </row>
    <row r="249" spans="1:21" x14ac:dyDescent="0.25">
      <c r="A249" s="967">
        <v>92541</v>
      </c>
      <c r="B249" s="968" t="s">
        <v>2891</v>
      </c>
      <c r="C249" s="969">
        <v>1.4469999999999999E-4</v>
      </c>
      <c r="D249" s="969">
        <v>1.4300000000000001E-4</v>
      </c>
      <c r="E249" s="1008">
        <v>58964</v>
      </c>
      <c r="F249" s="1011">
        <v>303494</v>
      </c>
      <c r="G249" s="970">
        <v>221062</v>
      </c>
      <c r="H249" s="970"/>
      <c r="I249" s="971">
        <v>12735</v>
      </c>
      <c r="J249" s="972">
        <v>53674</v>
      </c>
      <c r="K249" s="971">
        <v>31571</v>
      </c>
      <c r="L249" s="970">
        <v>7292</v>
      </c>
      <c r="M249" s="970"/>
      <c r="N249" s="971">
        <v>6258</v>
      </c>
      <c r="O249" s="971">
        <v>0</v>
      </c>
      <c r="P249" s="971">
        <v>0</v>
      </c>
      <c r="Q249" s="970">
        <v>7300</v>
      </c>
      <c r="R249" s="970"/>
      <c r="S249" s="971">
        <v>74498</v>
      </c>
      <c r="T249" s="973">
        <v>2019</v>
      </c>
      <c r="U249" s="973">
        <v>76517</v>
      </c>
    </row>
    <row r="250" spans="1:21" x14ac:dyDescent="0.25">
      <c r="A250" s="967">
        <v>92551</v>
      </c>
      <c r="B250" s="968" t="s">
        <v>2892</v>
      </c>
      <c r="C250" s="969">
        <v>5.3300000000000001E-5</v>
      </c>
      <c r="D250" s="969">
        <v>4.18E-5</v>
      </c>
      <c r="E250" s="1008">
        <v>19992</v>
      </c>
      <c r="F250" s="1011">
        <v>88714</v>
      </c>
      <c r="G250" s="970">
        <v>81428</v>
      </c>
      <c r="H250" s="970"/>
      <c r="I250" s="971">
        <v>4691</v>
      </c>
      <c r="J250" s="972">
        <v>19771</v>
      </c>
      <c r="K250" s="971">
        <v>11629</v>
      </c>
      <c r="L250" s="970">
        <v>7529</v>
      </c>
      <c r="M250" s="970"/>
      <c r="N250" s="971">
        <v>2305</v>
      </c>
      <c r="O250" s="971">
        <v>0</v>
      </c>
      <c r="P250" s="971">
        <v>0</v>
      </c>
      <c r="Q250" s="970">
        <v>8359</v>
      </c>
      <c r="R250" s="970"/>
      <c r="S250" s="971">
        <v>27441</v>
      </c>
      <c r="T250" s="973">
        <v>961</v>
      </c>
      <c r="U250" s="973">
        <v>28402</v>
      </c>
    </row>
    <row r="251" spans="1:21" x14ac:dyDescent="0.25">
      <c r="A251" s="967">
        <v>92561</v>
      </c>
      <c r="B251" s="968" t="s">
        <v>2893</v>
      </c>
      <c r="C251" s="969">
        <v>2.2200000000000001E-5</v>
      </c>
      <c r="D251" s="969">
        <v>2.2900000000000001E-5</v>
      </c>
      <c r="E251" s="1008">
        <v>11716</v>
      </c>
      <c r="F251" s="1011">
        <v>48601</v>
      </c>
      <c r="G251" s="970">
        <v>33915</v>
      </c>
      <c r="H251" s="970"/>
      <c r="I251" s="971">
        <v>1954</v>
      </c>
      <c r="J251" s="972">
        <v>8235</v>
      </c>
      <c r="K251" s="971">
        <v>4844</v>
      </c>
      <c r="L251" s="970">
        <v>5369</v>
      </c>
      <c r="M251" s="970"/>
      <c r="N251" s="971">
        <v>960</v>
      </c>
      <c r="O251" s="971">
        <v>0</v>
      </c>
      <c r="P251" s="971">
        <v>0</v>
      </c>
      <c r="Q251" s="970">
        <v>0</v>
      </c>
      <c r="R251" s="970"/>
      <c r="S251" s="971">
        <v>11430</v>
      </c>
      <c r="T251" s="973">
        <v>2639</v>
      </c>
      <c r="U251" s="973">
        <f>14068+1</f>
        <v>14069</v>
      </c>
    </row>
    <row r="252" spans="1:21" x14ac:dyDescent="0.25">
      <c r="A252" s="967">
        <v>92571</v>
      </c>
      <c r="B252" s="968" t="s">
        <v>2894</v>
      </c>
      <c r="C252" s="969">
        <v>1.01E-5</v>
      </c>
      <c r="D252" s="969">
        <v>3.1E-6</v>
      </c>
      <c r="E252" s="1008">
        <v>6486</v>
      </c>
      <c r="F252" s="1011">
        <v>6579</v>
      </c>
      <c r="G252" s="970">
        <v>15430</v>
      </c>
      <c r="H252" s="970"/>
      <c r="I252" s="971">
        <v>889</v>
      </c>
      <c r="J252" s="972">
        <v>3746</v>
      </c>
      <c r="K252" s="971">
        <v>2204</v>
      </c>
      <c r="L252" s="970">
        <v>9367</v>
      </c>
      <c r="M252" s="970"/>
      <c r="N252" s="971">
        <v>437</v>
      </c>
      <c r="O252" s="971">
        <v>0</v>
      </c>
      <c r="P252" s="971">
        <v>0</v>
      </c>
      <c r="Q252" s="970">
        <v>100</v>
      </c>
      <c r="R252" s="970"/>
      <c r="S252" s="971">
        <v>5200</v>
      </c>
      <c r="T252" s="973">
        <v>2687</v>
      </c>
      <c r="U252" s="973">
        <v>7887</v>
      </c>
    </row>
    <row r="253" spans="1:21" x14ac:dyDescent="0.25">
      <c r="A253" s="967">
        <v>92601</v>
      </c>
      <c r="B253" s="968" t="s">
        <v>2895</v>
      </c>
      <c r="C253" s="969">
        <v>1.51874E-2</v>
      </c>
      <c r="D253" s="969">
        <v>1.54185E-2</v>
      </c>
      <c r="E253" s="1008">
        <v>7108398</v>
      </c>
      <c r="F253" s="1011">
        <v>32723222</v>
      </c>
      <c r="G253" s="970">
        <v>23202140</v>
      </c>
      <c r="H253" s="970"/>
      <c r="I253" s="971">
        <v>1336658</v>
      </c>
      <c r="J253" s="972">
        <v>5633508</v>
      </c>
      <c r="K253" s="971">
        <v>3313587</v>
      </c>
      <c r="L253" s="970">
        <v>134811</v>
      </c>
      <c r="M253" s="970"/>
      <c r="N253" s="971">
        <v>656779</v>
      </c>
      <c r="O253" s="971">
        <v>0</v>
      </c>
      <c r="P253" s="971">
        <v>0</v>
      </c>
      <c r="Q253" s="970">
        <v>46060</v>
      </c>
      <c r="R253" s="970"/>
      <c r="S253" s="971">
        <v>7819142</v>
      </c>
      <c r="T253" s="973">
        <v>112074</v>
      </c>
      <c r="U253" s="973">
        <f>7931215+1</f>
        <v>7931216</v>
      </c>
    </row>
    <row r="254" spans="1:21" x14ac:dyDescent="0.25">
      <c r="A254" s="967">
        <v>92602</v>
      </c>
      <c r="B254" s="968" t="s">
        <v>2896</v>
      </c>
      <c r="C254" s="969">
        <v>8.3000000000000002E-6</v>
      </c>
      <c r="D254" s="969">
        <v>8.1999999999999994E-6</v>
      </c>
      <c r="E254" s="1008">
        <v>3605</v>
      </c>
      <c r="F254" s="1011">
        <v>17403</v>
      </c>
      <c r="G254" s="970">
        <v>12680</v>
      </c>
      <c r="H254" s="970"/>
      <c r="I254" s="971">
        <v>730</v>
      </c>
      <c r="J254" s="972">
        <v>3079</v>
      </c>
      <c r="K254" s="971">
        <v>1811</v>
      </c>
      <c r="L254" s="970">
        <v>352</v>
      </c>
      <c r="M254" s="970"/>
      <c r="N254" s="971">
        <v>359</v>
      </c>
      <c r="O254" s="971">
        <v>0</v>
      </c>
      <c r="P254" s="971">
        <v>0</v>
      </c>
      <c r="Q254" s="970">
        <v>927</v>
      </c>
      <c r="R254" s="970"/>
      <c r="S254" s="971">
        <v>4273</v>
      </c>
      <c r="T254" s="973">
        <v>-99</v>
      </c>
      <c r="U254" s="973">
        <v>4174</v>
      </c>
    </row>
    <row r="255" spans="1:21" x14ac:dyDescent="0.25">
      <c r="A255" s="967">
        <v>92604</v>
      </c>
      <c r="B255" s="968" t="s">
        <v>2897</v>
      </c>
      <c r="C255" s="969">
        <v>3.4099999999999999E-4</v>
      </c>
      <c r="D255" s="969">
        <v>3.4380000000000001E-4</v>
      </c>
      <c r="E255" s="1008">
        <v>178691</v>
      </c>
      <c r="F255" s="1011">
        <v>729659</v>
      </c>
      <c r="G255" s="970">
        <v>520954</v>
      </c>
      <c r="H255" s="970"/>
      <c r="I255" s="971">
        <v>30012</v>
      </c>
      <c r="J255" s="972">
        <v>126488</v>
      </c>
      <c r="K255" s="971">
        <v>74399</v>
      </c>
      <c r="L255" s="970">
        <v>52760</v>
      </c>
      <c r="M255" s="970"/>
      <c r="N255" s="971">
        <v>14747</v>
      </c>
      <c r="O255" s="971">
        <v>0</v>
      </c>
      <c r="P255" s="971">
        <v>0</v>
      </c>
      <c r="Q255" s="970">
        <v>0</v>
      </c>
      <c r="R255" s="970"/>
      <c r="S255" s="971">
        <v>175562</v>
      </c>
      <c r="T255" s="973">
        <v>23975</v>
      </c>
      <c r="U255" s="973">
        <v>199537</v>
      </c>
    </row>
    <row r="256" spans="1:21" x14ac:dyDescent="0.25">
      <c r="A256" s="967">
        <v>92607</v>
      </c>
      <c r="B256" s="968" t="s">
        <v>2898</v>
      </c>
      <c r="C256" s="969">
        <v>6.6400000000000001E-5</v>
      </c>
      <c r="D256" s="969">
        <v>7.0400000000000004E-5</v>
      </c>
      <c r="E256" s="1008">
        <v>38427</v>
      </c>
      <c r="F256" s="1011">
        <v>149412</v>
      </c>
      <c r="G256" s="970">
        <v>101441</v>
      </c>
      <c r="H256" s="970"/>
      <c r="I256" s="971">
        <v>5844</v>
      </c>
      <c r="J256" s="972">
        <v>24630</v>
      </c>
      <c r="K256" s="971">
        <v>14487</v>
      </c>
      <c r="L256" s="970">
        <v>9416</v>
      </c>
      <c r="M256" s="970"/>
      <c r="N256" s="971">
        <v>2871</v>
      </c>
      <c r="O256" s="971">
        <v>0</v>
      </c>
      <c r="P256" s="971">
        <v>0</v>
      </c>
      <c r="Q256" s="970">
        <v>0</v>
      </c>
      <c r="R256" s="970"/>
      <c r="S256" s="971">
        <v>34186</v>
      </c>
      <c r="T256" s="973">
        <v>4781</v>
      </c>
      <c r="U256" s="973">
        <f>38966+1</f>
        <v>38967</v>
      </c>
    </row>
    <row r="257" spans="1:21" x14ac:dyDescent="0.25">
      <c r="A257" s="967">
        <v>92608</v>
      </c>
      <c r="B257" s="968" t="s">
        <v>2899</v>
      </c>
      <c r="C257" s="969">
        <v>0</v>
      </c>
      <c r="D257" s="969">
        <v>0</v>
      </c>
      <c r="E257" s="1008">
        <v>0</v>
      </c>
      <c r="F257" s="1011">
        <v>0</v>
      </c>
      <c r="G257" s="970">
        <v>0</v>
      </c>
      <c r="H257" s="970"/>
      <c r="I257" s="971">
        <v>0</v>
      </c>
      <c r="J257" s="972">
        <v>0</v>
      </c>
      <c r="K257" s="971">
        <v>0</v>
      </c>
      <c r="L257" s="970">
        <v>0</v>
      </c>
      <c r="M257" s="970"/>
      <c r="N257" s="971">
        <v>0</v>
      </c>
      <c r="O257" s="971">
        <v>0</v>
      </c>
      <c r="P257" s="971">
        <v>0</v>
      </c>
      <c r="Q257" s="970">
        <v>69935</v>
      </c>
      <c r="R257" s="970"/>
      <c r="S257" s="971">
        <v>0</v>
      </c>
      <c r="T257" s="973">
        <v>-69872</v>
      </c>
      <c r="U257" s="973">
        <v>-69872</v>
      </c>
    </row>
    <row r="258" spans="1:21" x14ac:dyDescent="0.25">
      <c r="A258" s="967">
        <v>92611</v>
      </c>
      <c r="B258" s="968" t="s">
        <v>2900</v>
      </c>
      <c r="C258" s="969">
        <v>1.3080899999999999E-2</v>
      </c>
      <c r="D258" s="969">
        <v>1.3650799999999999E-2</v>
      </c>
      <c r="E258" s="1008">
        <v>5890415</v>
      </c>
      <c r="F258" s="1011">
        <v>28971571</v>
      </c>
      <c r="G258" s="970">
        <v>19983992</v>
      </c>
      <c r="H258" s="970"/>
      <c r="I258" s="971">
        <v>1151263</v>
      </c>
      <c r="J258" s="972">
        <v>4852137</v>
      </c>
      <c r="K258" s="971">
        <v>2853991</v>
      </c>
      <c r="L258" s="970">
        <v>10109</v>
      </c>
      <c r="M258" s="970"/>
      <c r="N258" s="971">
        <v>565684</v>
      </c>
      <c r="O258" s="971">
        <v>0</v>
      </c>
      <c r="P258" s="971">
        <v>0</v>
      </c>
      <c r="Q258" s="970">
        <v>976593</v>
      </c>
      <c r="R258" s="970"/>
      <c r="S258" s="971">
        <v>6734623</v>
      </c>
      <c r="T258" s="973">
        <v>-313138</v>
      </c>
      <c r="U258" s="973">
        <v>6421485</v>
      </c>
    </row>
    <row r="259" spans="1:21" x14ac:dyDescent="0.25">
      <c r="A259" s="967">
        <v>92613</v>
      </c>
      <c r="B259" s="968" t="s">
        <v>2901</v>
      </c>
      <c r="C259" s="969">
        <v>2.6439999999999998E-4</v>
      </c>
      <c r="D259" s="969">
        <v>2.81E-4</v>
      </c>
      <c r="E259" s="1008">
        <v>143121</v>
      </c>
      <c r="F259" s="1011">
        <v>596376</v>
      </c>
      <c r="G259" s="970">
        <v>403930</v>
      </c>
      <c r="H259" s="970"/>
      <c r="I259" s="971">
        <v>23270</v>
      </c>
      <c r="J259" s="972">
        <v>98075</v>
      </c>
      <c r="K259" s="971">
        <v>57687</v>
      </c>
      <c r="L259" s="970">
        <v>84489</v>
      </c>
      <c r="M259" s="970"/>
      <c r="N259" s="971">
        <v>11434</v>
      </c>
      <c r="O259" s="971">
        <v>0</v>
      </c>
      <c r="P259" s="971">
        <v>0</v>
      </c>
      <c r="Q259" s="970">
        <v>941</v>
      </c>
      <c r="R259" s="970"/>
      <c r="S259" s="971">
        <v>136125</v>
      </c>
      <c r="T259" s="973">
        <v>41506</v>
      </c>
      <c r="U259" s="973">
        <v>177631</v>
      </c>
    </row>
    <row r="260" spans="1:21" x14ac:dyDescent="0.25">
      <c r="A260" s="967">
        <v>92614</v>
      </c>
      <c r="B260" s="968" t="s">
        <v>2902</v>
      </c>
      <c r="C260" s="969">
        <v>5.7273000000000003E-3</v>
      </c>
      <c r="D260" s="969">
        <v>5.6468000000000004E-3</v>
      </c>
      <c r="E260" s="1008">
        <v>4788008</v>
      </c>
      <c r="F260" s="1011">
        <v>11984401</v>
      </c>
      <c r="G260" s="970">
        <v>8749728</v>
      </c>
      <c r="H260" s="970"/>
      <c r="I260" s="971">
        <v>504065</v>
      </c>
      <c r="J260" s="972">
        <v>2124444</v>
      </c>
      <c r="K260" s="971">
        <v>1249582</v>
      </c>
      <c r="L260" s="970">
        <v>3908054</v>
      </c>
      <c r="M260" s="970"/>
      <c r="N260" s="971">
        <v>247677</v>
      </c>
      <c r="O260" s="971">
        <v>0</v>
      </c>
      <c r="P260" s="971">
        <v>0</v>
      </c>
      <c r="Q260" s="970">
        <v>0</v>
      </c>
      <c r="R260" s="970"/>
      <c r="S260" s="971">
        <v>2948666</v>
      </c>
      <c r="T260" s="973">
        <v>1416067</v>
      </c>
      <c r="U260" s="973">
        <v>4364733</v>
      </c>
    </row>
    <row r="261" spans="1:21" x14ac:dyDescent="0.25">
      <c r="A261" s="967">
        <v>92621</v>
      </c>
      <c r="B261" s="968" t="s">
        <v>2903</v>
      </c>
      <c r="C261" s="969">
        <v>2.72E-5</v>
      </c>
      <c r="D261" s="969">
        <v>3.2799999999999998E-5</v>
      </c>
      <c r="E261" s="1008">
        <v>11243</v>
      </c>
      <c r="F261" s="1011">
        <v>69613</v>
      </c>
      <c r="G261" s="970">
        <v>41554</v>
      </c>
      <c r="H261" s="970"/>
      <c r="I261" s="971">
        <v>2394</v>
      </c>
      <c r="J261" s="972">
        <v>10089</v>
      </c>
      <c r="K261" s="971">
        <v>5934</v>
      </c>
      <c r="L261" s="970">
        <v>872</v>
      </c>
      <c r="M261" s="970"/>
      <c r="N261" s="971">
        <v>1176</v>
      </c>
      <c r="O261" s="971">
        <v>0</v>
      </c>
      <c r="P261" s="971">
        <v>0</v>
      </c>
      <c r="Q261" s="970">
        <v>6521</v>
      </c>
      <c r="R261" s="970"/>
      <c r="S261" s="971">
        <v>14004</v>
      </c>
      <c r="T261" s="973">
        <v>-1988</v>
      </c>
      <c r="U261" s="973">
        <v>12016</v>
      </c>
    </row>
    <row r="262" spans="1:21" x14ac:dyDescent="0.25">
      <c r="A262" s="967">
        <v>92631</v>
      </c>
      <c r="B262" s="968" t="s">
        <v>2904</v>
      </c>
      <c r="C262" s="969">
        <v>9.2710000000000004E-4</v>
      </c>
      <c r="D262" s="969">
        <v>1.0068E-3</v>
      </c>
      <c r="E262" s="1008">
        <v>397128</v>
      </c>
      <c r="F262" s="1011">
        <v>2136767</v>
      </c>
      <c r="G262" s="970">
        <v>1416352</v>
      </c>
      <c r="H262" s="970"/>
      <c r="I262" s="971">
        <v>81595</v>
      </c>
      <c r="J262" s="972">
        <v>343892</v>
      </c>
      <c r="K262" s="971">
        <v>202275</v>
      </c>
      <c r="L262" s="970">
        <v>0</v>
      </c>
      <c r="M262" s="970"/>
      <c r="N262" s="971">
        <v>40092</v>
      </c>
      <c r="O262" s="971">
        <v>0</v>
      </c>
      <c r="P262" s="971">
        <v>0</v>
      </c>
      <c r="Q262" s="970">
        <v>146834</v>
      </c>
      <c r="R262" s="970"/>
      <c r="S262" s="971">
        <v>477312</v>
      </c>
      <c r="T262" s="973">
        <v>-49734</v>
      </c>
      <c r="U262" s="973">
        <v>427578</v>
      </c>
    </row>
    <row r="263" spans="1:21" x14ac:dyDescent="0.25">
      <c r="A263" s="967">
        <v>92641</v>
      </c>
      <c r="B263" s="968" t="s">
        <v>2905</v>
      </c>
      <c r="C263" s="969">
        <v>1.0200000000000001E-5</v>
      </c>
      <c r="D263" s="969">
        <v>1.03E-5</v>
      </c>
      <c r="E263" s="1008">
        <v>5720</v>
      </c>
      <c r="F263" s="1011">
        <v>21860</v>
      </c>
      <c r="G263" s="970">
        <v>15583</v>
      </c>
      <c r="H263" s="970"/>
      <c r="I263" s="971">
        <v>898</v>
      </c>
      <c r="J263" s="972">
        <v>3784</v>
      </c>
      <c r="K263" s="971">
        <v>2225</v>
      </c>
      <c r="L263" s="970">
        <v>2556</v>
      </c>
      <c r="M263" s="970"/>
      <c r="N263" s="971">
        <v>441</v>
      </c>
      <c r="O263" s="971">
        <v>0</v>
      </c>
      <c r="P263" s="971">
        <v>0</v>
      </c>
      <c r="Q263" s="970">
        <v>945</v>
      </c>
      <c r="R263" s="970"/>
      <c r="S263" s="971">
        <v>5251</v>
      </c>
      <c r="T263" s="973">
        <v>173</v>
      </c>
      <c r="U263" s="973">
        <v>5424</v>
      </c>
    </row>
    <row r="264" spans="1:21" x14ac:dyDescent="0.25">
      <c r="A264" s="967">
        <v>92651</v>
      </c>
      <c r="B264" s="968" t="s">
        <v>2906</v>
      </c>
      <c r="C264" s="969">
        <v>2.6000000000000001E-6</v>
      </c>
      <c r="D264" s="969">
        <v>2.6000000000000001E-6</v>
      </c>
      <c r="E264" s="1008">
        <v>3151</v>
      </c>
      <c r="F264" s="1011">
        <v>5518</v>
      </c>
      <c r="G264" s="970">
        <v>3972</v>
      </c>
      <c r="H264" s="970"/>
      <c r="I264" s="971">
        <v>229</v>
      </c>
      <c r="J264" s="972">
        <v>964</v>
      </c>
      <c r="K264" s="971">
        <v>567</v>
      </c>
      <c r="L264" s="970">
        <v>3432</v>
      </c>
      <c r="M264" s="970"/>
      <c r="N264" s="971">
        <v>112</v>
      </c>
      <c r="O264" s="971">
        <v>0</v>
      </c>
      <c r="P264" s="971">
        <v>0</v>
      </c>
      <c r="Q264" s="970">
        <v>0</v>
      </c>
      <c r="R264" s="970"/>
      <c r="S264" s="971">
        <v>1339</v>
      </c>
      <c r="T264" s="973">
        <v>1345</v>
      </c>
      <c r="U264" s="973">
        <f>2683+1</f>
        <v>2684</v>
      </c>
    </row>
    <row r="265" spans="1:21" x14ac:dyDescent="0.25">
      <c r="A265" s="967">
        <v>92661</v>
      </c>
      <c r="B265" s="968" t="s">
        <v>2907</v>
      </c>
      <c r="C265" s="969">
        <v>6.9999999999999999E-4</v>
      </c>
      <c r="D265" s="969">
        <v>6.6299999999999996E-4</v>
      </c>
      <c r="E265" s="1008">
        <v>591164</v>
      </c>
      <c r="F265" s="1011">
        <v>1407108</v>
      </c>
      <c r="G265" s="970">
        <v>1069406</v>
      </c>
      <c r="H265" s="970"/>
      <c r="I265" s="971">
        <v>61608</v>
      </c>
      <c r="J265" s="972">
        <v>259653</v>
      </c>
      <c r="K265" s="971">
        <v>152726</v>
      </c>
      <c r="L265" s="970">
        <v>446841</v>
      </c>
      <c r="M265" s="970"/>
      <c r="N265" s="971">
        <v>30272</v>
      </c>
      <c r="O265" s="971">
        <v>0</v>
      </c>
      <c r="P265" s="971">
        <v>0</v>
      </c>
      <c r="Q265" s="970">
        <v>16877</v>
      </c>
      <c r="R265" s="970"/>
      <c r="S265" s="971">
        <v>360391</v>
      </c>
      <c r="T265" s="973">
        <v>130287</v>
      </c>
      <c r="U265" s="973">
        <v>490678</v>
      </c>
    </row>
    <row r="266" spans="1:21" x14ac:dyDescent="0.25">
      <c r="A266" s="967">
        <v>92671</v>
      </c>
      <c r="B266" s="968" t="s">
        <v>2908</v>
      </c>
      <c r="C266" s="969">
        <v>2.6000000000000001E-6</v>
      </c>
      <c r="D266" s="969">
        <v>2.9000000000000002E-6</v>
      </c>
      <c r="E266" s="1008">
        <v>5279</v>
      </c>
      <c r="F266" s="1011">
        <v>6155</v>
      </c>
      <c r="G266" s="970">
        <v>3972</v>
      </c>
      <c r="H266" s="970"/>
      <c r="I266" s="971">
        <v>229</v>
      </c>
      <c r="J266" s="972">
        <v>964</v>
      </c>
      <c r="K266" s="971">
        <v>567</v>
      </c>
      <c r="L266" s="970">
        <v>6237</v>
      </c>
      <c r="M266" s="970"/>
      <c r="N266" s="971">
        <v>112</v>
      </c>
      <c r="O266" s="971">
        <v>0</v>
      </c>
      <c r="P266" s="971">
        <v>0</v>
      </c>
      <c r="Q266" s="970">
        <v>0</v>
      </c>
      <c r="R266" s="970"/>
      <c r="S266" s="971">
        <v>1339</v>
      </c>
      <c r="T266" s="973">
        <v>2205</v>
      </c>
      <c r="U266" s="973">
        <f>3543+1</f>
        <v>3544</v>
      </c>
    </row>
    <row r="267" spans="1:21" x14ac:dyDescent="0.25">
      <c r="A267" s="967">
        <v>92681</v>
      </c>
      <c r="B267" s="968" t="s">
        <v>2909</v>
      </c>
      <c r="C267" s="969">
        <v>1.17E-5</v>
      </c>
      <c r="D267" s="969">
        <v>1.01E-5</v>
      </c>
      <c r="E267" s="1008">
        <v>11572</v>
      </c>
      <c r="F267" s="1011">
        <v>21436</v>
      </c>
      <c r="G267" s="970">
        <v>17874</v>
      </c>
      <c r="H267" s="970"/>
      <c r="I267" s="971">
        <v>1030</v>
      </c>
      <c r="J267" s="972">
        <v>4340</v>
      </c>
      <c r="K267" s="971">
        <v>2553</v>
      </c>
      <c r="L267" s="970">
        <v>13621</v>
      </c>
      <c r="M267" s="970"/>
      <c r="N267" s="971">
        <v>506</v>
      </c>
      <c r="O267" s="971">
        <v>0</v>
      </c>
      <c r="P267" s="971">
        <v>0</v>
      </c>
      <c r="Q267" s="970">
        <v>0</v>
      </c>
      <c r="R267" s="970"/>
      <c r="S267" s="971">
        <v>6024</v>
      </c>
      <c r="T267" s="973">
        <v>4960</v>
      </c>
      <c r="U267" s="973">
        <v>10984</v>
      </c>
    </row>
    <row r="268" spans="1:21" x14ac:dyDescent="0.25">
      <c r="A268" s="967">
        <v>92701</v>
      </c>
      <c r="B268" s="968" t="s">
        <v>2910</v>
      </c>
      <c r="C268" s="969">
        <v>3.0777000000000001E-3</v>
      </c>
      <c r="D268" s="969">
        <v>2.9588000000000001E-3</v>
      </c>
      <c r="E268" s="1008">
        <v>1358591</v>
      </c>
      <c r="F268" s="1011">
        <v>6279565</v>
      </c>
      <c r="G268" s="970">
        <v>4701873</v>
      </c>
      <c r="H268" s="970"/>
      <c r="I268" s="971">
        <v>270871</v>
      </c>
      <c r="J268" s="972">
        <v>1141620</v>
      </c>
      <c r="K268" s="971">
        <v>671493</v>
      </c>
      <c r="L268" s="970">
        <v>48990</v>
      </c>
      <c r="M268" s="970"/>
      <c r="N268" s="971">
        <v>133095</v>
      </c>
      <c r="O268" s="971">
        <v>0</v>
      </c>
      <c r="P268" s="971">
        <v>0</v>
      </c>
      <c r="Q268" s="970">
        <v>42924</v>
      </c>
      <c r="R268" s="970"/>
      <c r="S268" s="971">
        <v>1584535</v>
      </c>
      <c r="T268" s="973">
        <v>-25139</v>
      </c>
      <c r="U268" s="973">
        <f>1559397-1</f>
        <v>1559396</v>
      </c>
    </row>
    <row r="269" spans="1:21" x14ac:dyDescent="0.25">
      <c r="A269" s="967">
        <v>92704</v>
      </c>
      <c r="B269" s="968" t="s">
        <v>2911</v>
      </c>
      <c r="C269" s="969">
        <v>4.1600000000000002E-5</v>
      </c>
      <c r="D269" s="969">
        <v>4.7700000000000001E-5</v>
      </c>
      <c r="E269" s="1008">
        <v>18894</v>
      </c>
      <c r="F269" s="1011">
        <v>101235</v>
      </c>
      <c r="G269" s="970">
        <v>63553</v>
      </c>
      <c r="H269" s="970"/>
      <c r="I269" s="971">
        <v>3661</v>
      </c>
      <c r="J269" s="972">
        <v>15431</v>
      </c>
      <c r="K269" s="971">
        <v>9076</v>
      </c>
      <c r="L269" s="970">
        <v>1560</v>
      </c>
      <c r="M269" s="970"/>
      <c r="N269" s="971">
        <v>1799</v>
      </c>
      <c r="O269" s="971">
        <v>0</v>
      </c>
      <c r="P269" s="971">
        <v>0</v>
      </c>
      <c r="Q269" s="970">
        <v>5674</v>
      </c>
      <c r="R269" s="970"/>
      <c r="S269" s="971">
        <v>21418</v>
      </c>
      <c r="T269" s="973">
        <v>-706</v>
      </c>
      <c r="U269" s="973">
        <f>20711+1</f>
        <v>20712</v>
      </c>
    </row>
    <row r="270" spans="1:21" x14ac:dyDescent="0.25">
      <c r="A270" s="967">
        <v>92801</v>
      </c>
      <c r="B270" s="968" t="s">
        <v>2912</v>
      </c>
      <c r="C270" s="969">
        <v>5.0951E-3</v>
      </c>
      <c r="D270" s="969">
        <v>5.1701000000000004E-3</v>
      </c>
      <c r="E270" s="1008">
        <v>2417020</v>
      </c>
      <c r="F270" s="1011">
        <v>10972684</v>
      </c>
      <c r="G270" s="970">
        <v>7783901</v>
      </c>
      <c r="H270" s="970"/>
      <c r="I270" s="971">
        <v>448425</v>
      </c>
      <c r="J270" s="972">
        <v>1889940</v>
      </c>
      <c r="K270" s="971">
        <v>1111649</v>
      </c>
      <c r="L270" s="970">
        <v>152907</v>
      </c>
      <c r="M270" s="970"/>
      <c r="N270" s="971">
        <v>220338</v>
      </c>
      <c r="O270" s="971">
        <v>0</v>
      </c>
      <c r="P270" s="971">
        <v>0</v>
      </c>
      <c r="Q270" s="970">
        <v>0</v>
      </c>
      <c r="R270" s="970"/>
      <c r="S270" s="971">
        <v>2623182</v>
      </c>
      <c r="T270" s="973">
        <v>81450</v>
      </c>
      <c r="U270" s="973">
        <f>2704631+1</f>
        <v>2704632</v>
      </c>
    </row>
    <row r="271" spans="1:21" x14ac:dyDescent="0.25">
      <c r="A271" s="967">
        <v>92802</v>
      </c>
      <c r="B271" s="968" t="s">
        <v>2913</v>
      </c>
      <c r="C271" s="969">
        <v>1.2970000000000001E-4</v>
      </c>
      <c r="D271" s="969">
        <v>1.3410000000000001E-4</v>
      </c>
      <c r="E271" s="1008">
        <v>55828</v>
      </c>
      <c r="F271" s="1011">
        <v>284605</v>
      </c>
      <c r="G271" s="970">
        <v>198146</v>
      </c>
      <c r="H271" s="970"/>
      <c r="I271" s="971">
        <v>11415</v>
      </c>
      <c r="J271" s="972">
        <v>48110</v>
      </c>
      <c r="K271" s="971">
        <v>28298</v>
      </c>
      <c r="L271" s="970">
        <v>0</v>
      </c>
      <c r="M271" s="970"/>
      <c r="N271" s="971">
        <v>5609</v>
      </c>
      <c r="O271" s="971">
        <v>0</v>
      </c>
      <c r="P271" s="971">
        <v>0</v>
      </c>
      <c r="Q271" s="970">
        <v>17517</v>
      </c>
      <c r="R271" s="970"/>
      <c r="S271" s="971">
        <v>66775</v>
      </c>
      <c r="T271" s="973">
        <v>-6938</v>
      </c>
      <c r="U271" s="973">
        <v>59837</v>
      </c>
    </row>
    <row r="272" spans="1:21" x14ac:dyDescent="0.25">
      <c r="A272" s="967">
        <v>92804</v>
      </c>
      <c r="B272" s="968" t="s">
        <v>2914</v>
      </c>
      <c r="C272" s="969">
        <v>1.36E-4</v>
      </c>
      <c r="D272" s="969">
        <v>1.47E-4</v>
      </c>
      <c r="E272" s="1008">
        <v>57777</v>
      </c>
      <c r="F272" s="1011">
        <v>311983</v>
      </c>
      <c r="G272" s="970">
        <v>207770</v>
      </c>
      <c r="H272" s="970"/>
      <c r="I272" s="971">
        <v>11969</v>
      </c>
      <c r="J272" s="972">
        <v>50447</v>
      </c>
      <c r="K272" s="971">
        <v>29672</v>
      </c>
      <c r="L272" s="970">
        <v>8730</v>
      </c>
      <c r="M272" s="970"/>
      <c r="N272" s="971">
        <v>5881</v>
      </c>
      <c r="O272" s="971">
        <v>0</v>
      </c>
      <c r="P272" s="971">
        <v>0</v>
      </c>
      <c r="Q272" s="970">
        <v>12427</v>
      </c>
      <c r="R272" s="970"/>
      <c r="S272" s="971">
        <v>70019</v>
      </c>
      <c r="T272" s="973">
        <v>-172</v>
      </c>
      <c r="U272" s="973">
        <v>69847</v>
      </c>
    </row>
    <row r="273" spans="1:21" x14ac:dyDescent="0.25">
      <c r="A273" s="967">
        <v>92811</v>
      </c>
      <c r="B273" s="968" t="s">
        <v>2915</v>
      </c>
      <c r="C273" s="969">
        <v>1.0036000000000001E-3</v>
      </c>
      <c r="D273" s="969">
        <v>9.8569999999999994E-4</v>
      </c>
      <c r="E273" s="1008">
        <v>442635</v>
      </c>
      <c r="F273" s="1011">
        <v>2091986</v>
      </c>
      <c r="G273" s="970">
        <v>1533223</v>
      </c>
      <c r="H273" s="970"/>
      <c r="I273" s="971">
        <v>88328</v>
      </c>
      <c r="J273" s="972">
        <v>372269</v>
      </c>
      <c r="K273" s="971">
        <v>218965</v>
      </c>
      <c r="L273" s="970">
        <v>0</v>
      </c>
      <c r="M273" s="970"/>
      <c r="N273" s="971">
        <v>43401</v>
      </c>
      <c r="O273" s="971">
        <v>0</v>
      </c>
      <c r="P273" s="971">
        <v>0</v>
      </c>
      <c r="Q273" s="970">
        <v>85272</v>
      </c>
      <c r="R273" s="970"/>
      <c r="S273" s="971">
        <v>516697</v>
      </c>
      <c r="T273" s="973">
        <v>-36667</v>
      </c>
      <c r="U273" s="973">
        <v>480030</v>
      </c>
    </row>
    <row r="274" spans="1:21" x14ac:dyDescent="0.25">
      <c r="A274" s="967">
        <v>92821</v>
      </c>
      <c r="B274" s="968" t="s">
        <v>2916</v>
      </c>
      <c r="C274" s="969">
        <v>9.9400000000000009E-4</v>
      </c>
      <c r="D274" s="969">
        <v>1.0139999999999999E-3</v>
      </c>
      <c r="E274" s="1008">
        <v>481049</v>
      </c>
      <c r="F274" s="1011">
        <v>2152048</v>
      </c>
      <c r="G274" s="970">
        <v>1518557</v>
      </c>
      <c r="H274" s="970"/>
      <c r="I274" s="971">
        <v>87483</v>
      </c>
      <c r="J274" s="972">
        <v>368707</v>
      </c>
      <c r="K274" s="971">
        <v>216871</v>
      </c>
      <c r="L274" s="970">
        <v>24870</v>
      </c>
      <c r="M274" s="970"/>
      <c r="N274" s="971">
        <v>42986</v>
      </c>
      <c r="O274" s="971">
        <v>0</v>
      </c>
      <c r="P274" s="971">
        <v>0</v>
      </c>
      <c r="Q274" s="970">
        <v>0</v>
      </c>
      <c r="R274" s="970"/>
      <c r="S274" s="971">
        <v>511755</v>
      </c>
      <c r="T274" s="973">
        <v>10495</v>
      </c>
      <c r="U274" s="973">
        <v>522250</v>
      </c>
    </row>
    <row r="275" spans="1:21" x14ac:dyDescent="0.25">
      <c r="A275" s="967">
        <v>92831</v>
      </c>
      <c r="B275" s="968" t="s">
        <v>2917</v>
      </c>
      <c r="C275" s="969">
        <v>2.1829999999999999E-4</v>
      </c>
      <c r="D275" s="969">
        <v>2.476E-4</v>
      </c>
      <c r="E275" s="1008">
        <v>122076</v>
      </c>
      <c r="F275" s="1011">
        <v>525490</v>
      </c>
      <c r="G275" s="970">
        <v>333502</v>
      </c>
      <c r="H275" s="970"/>
      <c r="I275" s="971">
        <v>19213</v>
      </c>
      <c r="J275" s="972">
        <v>80975</v>
      </c>
      <c r="K275" s="971">
        <v>47629</v>
      </c>
      <c r="L275" s="970">
        <v>19156</v>
      </c>
      <c r="M275" s="970"/>
      <c r="N275" s="971">
        <v>9440</v>
      </c>
      <c r="O275" s="971">
        <v>0</v>
      </c>
      <c r="P275" s="971">
        <v>0</v>
      </c>
      <c r="Q275" s="970">
        <v>2159</v>
      </c>
      <c r="R275" s="970"/>
      <c r="S275" s="971">
        <v>112390</v>
      </c>
      <c r="T275" s="973">
        <v>9503</v>
      </c>
      <c r="U275" s="973">
        <f>121894-1</f>
        <v>121893</v>
      </c>
    </row>
    <row r="276" spans="1:21" x14ac:dyDescent="0.25">
      <c r="A276" s="967">
        <v>92841</v>
      </c>
      <c r="B276" s="968" t="s">
        <v>2918</v>
      </c>
      <c r="C276" s="969">
        <v>2.7809999999999998E-4</v>
      </c>
      <c r="D276" s="969">
        <v>2.8160000000000001E-4</v>
      </c>
      <c r="E276" s="1008">
        <v>116983</v>
      </c>
      <c r="F276" s="1011">
        <v>597650</v>
      </c>
      <c r="G276" s="970">
        <v>424860</v>
      </c>
      <c r="H276" s="970"/>
      <c r="I276" s="971">
        <v>24476</v>
      </c>
      <c r="J276" s="972">
        <v>103157</v>
      </c>
      <c r="K276" s="971">
        <v>60676</v>
      </c>
      <c r="L276" s="970">
        <v>5821</v>
      </c>
      <c r="M276" s="970"/>
      <c r="N276" s="971">
        <v>12026</v>
      </c>
      <c r="O276" s="971">
        <v>0</v>
      </c>
      <c r="P276" s="971">
        <v>0</v>
      </c>
      <c r="Q276" s="970">
        <v>13149</v>
      </c>
      <c r="R276" s="970"/>
      <c r="S276" s="971">
        <v>143178</v>
      </c>
      <c r="T276" s="973">
        <v>2288</v>
      </c>
      <c r="U276" s="973">
        <v>145466</v>
      </c>
    </row>
    <row r="277" spans="1:21" x14ac:dyDescent="0.25">
      <c r="A277" s="967">
        <v>92851</v>
      </c>
      <c r="B277" s="968" t="s">
        <v>2919</v>
      </c>
      <c r="C277" s="969">
        <v>4.6079999999999998E-4</v>
      </c>
      <c r="D277" s="969">
        <v>4.3909999999999999E-4</v>
      </c>
      <c r="E277" s="1008">
        <v>187164</v>
      </c>
      <c r="F277" s="1011">
        <v>931917</v>
      </c>
      <c r="G277" s="970">
        <v>703975</v>
      </c>
      <c r="H277" s="970"/>
      <c r="I277" s="971">
        <v>40555</v>
      </c>
      <c r="J277" s="972">
        <v>170926</v>
      </c>
      <c r="K277" s="971">
        <v>100537</v>
      </c>
      <c r="L277" s="970">
        <v>0</v>
      </c>
      <c r="M277" s="970"/>
      <c r="N277" s="971">
        <v>19927</v>
      </c>
      <c r="O277" s="971">
        <v>0</v>
      </c>
      <c r="P277" s="971">
        <v>0</v>
      </c>
      <c r="Q277" s="970">
        <v>62664</v>
      </c>
      <c r="R277" s="970"/>
      <c r="S277" s="971">
        <v>237240</v>
      </c>
      <c r="T277" s="973">
        <v>-35531</v>
      </c>
      <c r="U277" s="973">
        <v>201709</v>
      </c>
    </row>
    <row r="278" spans="1:21" x14ac:dyDescent="0.25">
      <c r="A278" s="967">
        <v>92861</v>
      </c>
      <c r="B278" s="968" t="s">
        <v>2920</v>
      </c>
      <c r="C278" s="969">
        <v>3.6010000000000003E-4</v>
      </c>
      <c r="D278" s="969">
        <v>3.3629999999999999E-4</v>
      </c>
      <c r="E278" s="1008">
        <v>121951</v>
      </c>
      <c r="F278" s="1011">
        <v>713741</v>
      </c>
      <c r="G278" s="970">
        <v>550133</v>
      </c>
      <c r="H278" s="970"/>
      <c r="I278" s="971">
        <v>31693</v>
      </c>
      <c r="J278" s="972">
        <v>133573</v>
      </c>
      <c r="K278" s="971">
        <v>78567</v>
      </c>
      <c r="L278" s="970">
        <v>0</v>
      </c>
      <c r="M278" s="970"/>
      <c r="N278" s="971">
        <v>15573</v>
      </c>
      <c r="O278" s="971">
        <v>0</v>
      </c>
      <c r="P278" s="971">
        <v>0</v>
      </c>
      <c r="Q278" s="970">
        <v>83092</v>
      </c>
      <c r="R278" s="970"/>
      <c r="S278" s="971">
        <v>185395</v>
      </c>
      <c r="T278" s="973">
        <v>-36908</v>
      </c>
      <c r="U278" s="973">
        <f>148488-1</f>
        <v>148487</v>
      </c>
    </row>
    <row r="279" spans="1:21" x14ac:dyDescent="0.25">
      <c r="A279" s="967">
        <v>92901</v>
      </c>
      <c r="B279" s="968" t="s">
        <v>2921</v>
      </c>
      <c r="C279" s="969">
        <v>5.5082999999999998E-3</v>
      </c>
      <c r="D279" s="969">
        <v>5.7581000000000004E-3</v>
      </c>
      <c r="E279" s="1008">
        <v>2645958</v>
      </c>
      <c r="F279" s="1011">
        <v>12220617</v>
      </c>
      <c r="G279" s="970">
        <v>8415157</v>
      </c>
      <c r="H279" s="970"/>
      <c r="I279" s="971">
        <v>484791</v>
      </c>
      <c r="J279" s="972">
        <v>2043211</v>
      </c>
      <c r="K279" s="971">
        <v>1201801</v>
      </c>
      <c r="L279" s="970">
        <v>65697</v>
      </c>
      <c r="M279" s="970"/>
      <c r="N279" s="971">
        <v>238206</v>
      </c>
      <c r="O279" s="971">
        <v>0</v>
      </c>
      <c r="P279" s="971">
        <v>0</v>
      </c>
      <c r="Q279" s="970">
        <v>124949</v>
      </c>
      <c r="R279" s="970"/>
      <c r="S279" s="971">
        <v>2835915</v>
      </c>
      <c r="T279" s="973">
        <v>6522</v>
      </c>
      <c r="U279" s="973">
        <f>2842438-1</f>
        <v>2842437</v>
      </c>
    </row>
    <row r="280" spans="1:21" x14ac:dyDescent="0.25">
      <c r="A280" s="967">
        <v>92911</v>
      </c>
      <c r="B280" s="968" t="s">
        <v>2922</v>
      </c>
      <c r="C280" s="969">
        <v>1.9548999999999999E-3</v>
      </c>
      <c r="D280" s="969">
        <v>1.9442999999999999E-3</v>
      </c>
      <c r="E280" s="1008">
        <v>924132</v>
      </c>
      <c r="F280" s="1011">
        <v>4126456</v>
      </c>
      <c r="G280" s="970">
        <v>2986546</v>
      </c>
      <c r="H280" s="970"/>
      <c r="I280" s="971">
        <v>172053</v>
      </c>
      <c r="J280" s="972">
        <v>725137</v>
      </c>
      <c r="K280" s="971">
        <v>426520</v>
      </c>
      <c r="L280" s="970">
        <v>28442</v>
      </c>
      <c r="M280" s="970"/>
      <c r="N280" s="971">
        <v>84540</v>
      </c>
      <c r="O280" s="971">
        <v>0</v>
      </c>
      <c r="P280" s="971">
        <v>0</v>
      </c>
      <c r="Q280" s="970">
        <v>113525</v>
      </c>
      <c r="R280" s="970"/>
      <c r="S280" s="971">
        <v>1006469</v>
      </c>
      <c r="T280" s="973">
        <v>-55041</v>
      </c>
      <c r="U280" s="973">
        <v>951428</v>
      </c>
    </row>
    <row r="281" spans="1:21" x14ac:dyDescent="0.25">
      <c r="A281" s="967">
        <v>92913</v>
      </c>
      <c r="B281" s="968" t="s">
        <v>2923</v>
      </c>
      <c r="C281" s="969">
        <v>2.1999999999999999E-5</v>
      </c>
      <c r="D281" s="969">
        <v>2.37E-5</v>
      </c>
      <c r="E281" s="1008">
        <v>57760</v>
      </c>
      <c r="F281" s="1011">
        <v>50299</v>
      </c>
      <c r="G281" s="970">
        <v>33610</v>
      </c>
      <c r="H281" s="970"/>
      <c r="I281" s="971">
        <v>1936</v>
      </c>
      <c r="J281" s="972">
        <v>8160</v>
      </c>
      <c r="K281" s="971">
        <v>4800</v>
      </c>
      <c r="L281" s="970">
        <v>79442</v>
      </c>
      <c r="M281" s="970"/>
      <c r="N281" s="971">
        <v>951</v>
      </c>
      <c r="O281" s="971">
        <v>0</v>
      </c>
      <c r="P281" s="971">
        <v>0</v>
      </c>
      <c r="Q281" s="970">
        <v>2047</v>
      </c>
      <c r="R281" s="970"/>
      <c r="S281" s="971">
        <v>11327</v>
      </c>
      <c r="T281" s="973">
        <v>25513</v>
      </c>
      <c r="U281" s="973">
        <v>36840</v>
      </c>
    </row>
    <row r="282" spans="1:21" x14ac:dyDescent="0.25">
      <c r="A282" s="967">
        <v>92914</v>
      </c>
      <c r="B282" s="968" t="s">
        <v>3686</v>
      </c>
      <c r="C282" s="969">
        <v>2.8900000000000001E-5</v>
      </c>
      <c r="D282" s="969">
        <v>0</v>
      </c>
      <c r="E282" s="1008">
        <v>10513</v>
      </c>
      <c r="F282" s="1011">
        <v>0</v>
      </c>
      <c r="G282" s="970">
        <v>44151</v>
      </c>
      <c r="H282" s="970"/>
      <c r="I282" s="971">
        <v>2544</v>
      </c>
      <c r="J282" s="972">
        <v>10720</v>
      </c>
      <c r="K282" s="971">
        <v>6305</v>
      </c>
      <c r="L282" s="970">
        <v>17173</v>
      </c>
      <c r="M282" s="970"/>
      <c r="N282" s="971">
        <v>1250</v>
      </c>
      <c r="O282" s="971">
        <v>0</v>
      </c>
      <c r="P282" s="971">
        <v>0</v>
      </c>
      <c r="Q282" s="970">
        <v>0</v>
      </c>
      <c r="R282" s="970"/>
      <c r="S282" s="971">
        <v>14879</v>
      </c>
      <c r="T282" s="973">
        <v>4293</v>
      </c>
      <c r="U282" s="973">
        <v>19172</v>
      </c>
    </row>
    <row r="283" spans="1:21" x14ac:dyDescent="0.25">
      <c r="A283" s="967">
        <v>92917</v>
      </c>
      <c r="B283" s="968" t="s">
        <v>2924</v>
      </c>
      <c r="C283" s="969">
        <v>1.4800000000000001E-5</v>
      </c>
      <c r="D283" s="969">
        <v>2.0000000000000002E-5</v>
      </c>
      <c r="E283" s="1008">
        <v>16082</v>
      </c>
      <c r="F283" s="1011">
        <v>42447</v>
      </c>
      <c r="G283" s="970">
        <v>22610</v>
      </c>
      <c r="H283" s="970"/>
      <c r="I283" s="971">
        <v>1303</v>
      </c>
      <c r="J283" s="972">
        <v>5490</v>
      </c>
      <c r="K283" s="971">
        <v>3229</v>
      </c>
      <c r="L283" s="970">
        <v>13223</v>
      </c>
      <c r="M283" s="970"/>
      <c r="N283" s="971">
        <v>640</v>
      </c>
      <c r="O283" s="971">
        <v>0</v>
      </c>
      <c r="P283" s="971">
        <v>0</v>
      </c>
      <c r="Q283" s="970">
        <v>0</v>
      </c>
      <c r="R283" s="970"/>
      <c r="S283" s="971">
        <v>7620</v>
      </c>
      <c r="T283" s="973">
        <v>6352</v>
      </c>
      <c r="U283" s="973">
        <f>13971+1</f>
        <v>13972</v>
      </c>
    </row>
    <row r="284" spans="1:21" x14ac:dyDescent="0.25">
      <c r="A284" s="967">
        <v>92921</v>
      </c>
      <c r="B284" s="968" t="s">
        <v>2925</v>
      </c>
      <c r="C284" s="969">
        <v>7.4400000000000006E-5</v>
      </c>
      <c r="D284" s="969">
        <v>6.2899999999999997E-5</v>
      </c>
      <c r="E284" s="1008">
        <v>41073</v>
      </c>
      <c r="F284" s="1011">
        <v>133495</v>
      </c>
      <c r="G284" s="970">
        <v>113663</v>
      </c>
      <c r="H284" s="970"/>
      <c r="I284" s="971">
        <v>6548</v>
      </c>
      <c r="J284" s="972">
        <v>27597</v>
      </c>
      <c r="K284" s="971">
        <v>16233</v>
      </c>
      <c r="L284" s="970">
        <v>13244</v>
      </c>
      <c r="M284" s="970"/>
      <c r="N284" s="971">
        <v>3217</v>
      </c>
      <c r="O284" s="971">
        <v>0</v>
      </c>
      <c r="P284" s="971">
        <v>0</v>
      </c>
      <c r="Q284" s="970">
        <v>7831</v>
      </c>
      <c r="R284" s="970"/>
      <c r="S284" s="971">
        <v>38304</v>
      </c>
      <c r="T284" s="973">
        <v>-2914</v>
      </c>
      <c r="U284" s="973">
        <v>35390</v>
      </c>
    </row>
    <row r="285" spans="1:21" x14ac:dyDescent="0.25">
      <c r="A285" s="967">
        <v>92931</v>
      </c>
      <c r="B285" s="968" t="s">
        <v>2926</v>
      </c>
      <c r="C285" s="969">
        <v>2.3996E-3</v>
      </c>
      <c r="D285" s="969">
        <v>2.5048000000000002E-3</v>
      </c>
      <c r="E285" s="1008">
        <v>1109331</v>
      </c>
      <c r="F285" s="1011">
        <v>5316025</v>
      </c>
      <c r="G285" s="970">
        <v>3665924</v>
      </c>
      <c r="H285" s="970"/>
      <c r="I285" s="971">
        <v>211191</v>
      </c>
      <c r="J285" s="972">
        <v>890091</v>
      </c>
      <c r="K285" s="971">
        <v>523545</v>
      </c>
      <c r="L285" s="970">
        <v>7721</v>
      </c>
      <c r="M285" s="970"/>
      <c r="N285" s="971">
        <v>103771</v>
      </c>
      <c r="O285" s="971">
        <v>0</v>
      </c>
      <c r="P285" s="971">
        <v>0</v>
      </c>
      <c r="Q285" s="970">
        <v>147858</v>
      </c>
      <c r="R285" s="970"/>
      <c r="S285" s="971">
        <v>1235420</v>
      </c>
      <c r="T285" s="973">
        <v>-41276</v>
      </c>
      <c r="U285" s="973">
        <v>1194144</v>
      </c>
    </row>
    <row r="286" spans="1:21" x14ac:dyDescent="0.25">
      <c r="A286" s="967">
        <v>92941</v>
      </c>
      <c r="B286" s="968" t="s">
        <v>1450</v>
      </c>
      <c r="C286" s="969">
        <v>1.2300000000000001E-5</v>
      </c>
      <c r="D286" s="969">
        <v>1.84E-5</v>
      </c>
      <c r="E286" s="1008">
        <v>8547</v>
      </c>
      <c r="F286" s="1011">
        <v>39051</v>
      </c>
      <c r="G286" s="970">
        <v>18791</v>
      </c>
      <c r="H286" s="970"/>
      <c r="I286" s="971">
        <v>1083</v>
      </c>
      <c r="J286" s="972">
        <v>4563</v>
      </c>
      <c r="K286" s="971">
        <v>2684</v>
      </c>
      <c r="L286" s="970">
        <v>6612</v>
      </c>
      <c r="M286" s="970"/>
      <c r="N286" s="971">
        <v>532</v>
      </c>
      <c r="O286" s="971">
        <v>0</v>
      </c>
      <c r="P286" s="971">
        <v>0</v>
      </c>
      <c r="Q286" s="970">
        <v>1770</v>
      </c>
      <c r="R286" s="970"/>
      <c r="S286" s="971">
        <v>6333</v>
      </c>
      <c r="T286" s="973">
        <v>3162</v>
      </c>
      <c r="U286" s="973">
        <v>9495</v>
      </c>
    </row>
    <row r="287" spans="1:21" x14ac:dyDescent="0.25">
      <c r="A287" s="967">
        <v>93001</v>
      </c>
      <c r="B287" s="968" t="s">
        <v>2927</v>
      </c>
      <c r="C287" s="969">
        <v>2.2227000000000002E-3</v>
      </c>
      <c r="D287" s="969">
        <v>2.2739000000000001E-3</v>
      </c>
      <c r="E287" s="1008">
        <v>981066</v>
      </c>
      <c r="F287" s="1011">
        <v>4825978</v>
      </c>
      <c r="G287" s="970">
        <v>3395670</v>
      </c>
      <c r="H287" s="970"/>
      <c r="I287" s="971">
        <v>195622</v>
      </c>
      <c r="J287" s="972">
        <v>824473</v>
      </c>
      <c r="K287" s="971">
        <v>484949</v>
      </c>
      <c r="L287" s="970">
        <v>8733</v>
      </c>
      <c r="M287" s="970"/>
      <c r="N287" s="971">
        <v>96121</v>
      </c>
      <c r="O287" s="971">
        <v>0</v>
      </c>
      <c r="P287" s="971">
        <v>0</v>
      </c>
      <c r="Q287" s="970">
        <v>123729</v>
      </c>
      <c r="R287" s="970"/>
      <c r="S287" s="971">
        <v>1144344</v>
      </c>
      <c r="T287" s="973">
        <v>-57358</v>
      </c>
      <c r="U287" s="973">
        <v>1086986</v>
      </c>
    </row>
    <row r="288" spans="1:21" x14ac:dyDescent="0.25">
      <c r="A288" s="967">
        <v>93009</v>
      </c>
      <c r="B288" s="968" t="s">
        <v>2928</v>
      </c>
      <c r="C288" s="969">
        <v>1.47E-5</v>
      </c>
      <c r="D288" s="969">
        <v>1.5400000000000002E-5</v>
      </c>
      <c r="E288" s="1008">
        <v>5348</v>
      </c>
      <c r="F288" s="1011">
        <v>32684</v>
      </c>
      <c r="G288" s="970">
        <v>22458</v>
      </c>
      <c r="H288" s="970"/>
      <c r="I288" s="971">
        <v>1294</v>
      </c>
      <c r="J288" s="972">
        <v>5453</v>
      </c>
      <c r="K288" s="971">
        <v>3207</v>
      </c>
      <c r="L288" s="970">
        <v>0</v>
      </c>
      <c r="M288" s="970"/>
      <c r="N288" s="971">
        <v>636</v>
      </c>
      <c r="O288" s="971">
        <v>0</v>
      </c>
      <c r="P288" s="971">
        <v>0</v>
      </c>
      <c r="Q288" s="970">
        <v>4280</v>
      </c>
      <c r="R288" s="970"/>
      <c r="S288" s="971">
        <v>7568</v>
      </c>
      <c r="T288" s="973">
        <v>-1918</v>
      </c>
      <c r="U288" s="973">
        <v>5650</v>
      </c>
    </row>
    <row r="289" spans="1:21" x14ac:dyDescent="0.25">
      <c r="A289" s="967">
        <v>93011</v>
      </c>
      <c r="B289" s="968" t="s">
        <v>2929</v>
      </c>
      <c r="C289" s="969">
        <v>2.2699999999999999E-4</v>
      </c>
      <c r="D289" s="969">
        <v>2.6160000000000002E-4</v>
      </c>
      <c r="E289" s="1008">
        <v>118523</v>
      </c>
      <c r="F289" s="1011">
        <v>555203</v>
      </c>
      <c r="G289" s="970">
        <v>346793</v>
      </c>
      <c r="H289" s="970"/>
      <c r="I289" s="971">
        <v>19978</v>
      </c>
      <c r="J289" s="972">
        <v>84202</v>
      </c>
      <c r="K289" s="971">
        <v>49527</v>
      </c>
      <c r="L289" s="970">
        <v>1542</v>
      </c>
      <c r="M289" s="970"/>
      <c r="N289" s="971">
        <v>9817</v>
      </c>
      <c r="O289" s="971">
        <v>0</v>
      </c>
      <c r="P289" s="971">
        <v>0</v>
      </c>
      <c r="Q289" s="970">
        <v>15019</v>
      </c>
      <c r="R289" s="970"/>
      <c r="S289" s="971">
        <v>116870</v>
      </c>
      <c r="T289" s="973">
        <v>-3863</v>
      </c>
      <c r="U289" s="973">
        <v>113007</v>
      </c>
    </row>
    <row r="290" spans="1:21" x14ac:dyDescent="0.25">
      <c r="A290" s="967">
        <v>93021</v>
      </c>
      <c r="B290" s="968" t="s">
        <v>2930</v>
      </c>
      <c r="C290" s="969">
        <v>3.4199999999999998E-5</v>
      </c>
      <c r="D290" s="969">
        <v>2.8900000000000001E-5</v>
      </c>
      <c r="E290" s="1008">
        <v>12994</v>
      </c>
      <c r="F290" s="1011">
        <v>61335</v>
      </c>
      <c r="G290" s="970">
        <v>52248</v>
      </c>
      <c r="H290" s="970"/>
      <c r="I290" s="971">
        <v>3010</v>
      </c>
      <c r="J290" s="972">
        <v>12686</v>
      </c>
      <c r="K290" s="971">
        <v>7462</v>
      </c>
      <c r="L290" s="970">
        <v>3788</v>
      </c>
      <c r="M290" s="970"/>
      <c r="N290" s="971">
        <v>1479</v>
      </c>
      <c r="O290" s="971">
        <v>0</v>
      </c>
      <c r="P290" s="971">
        <v>0</v>
      </c>
      <c r="Q290" s="970">
        <v>4978</v>
      </c>
      <c r="R290" s="970"/>
      <c r="S290" s="971">
        <v>17608</v>
      </c>
      <c r="T290" s="973">
        <v>260</v>
      </c>
      <c r="U290" s="973">
        <v>17868</v>
      </c>
    </row>
    <row r="291" spans="1:21" x14ac:dyDescent="0.25">
      <c r="A291" s="967">
        <v>93027</v>
      </c>
      <c r="B291" s="968" t="s">
        <v>2931</v>
      </c>
      <c r="C291" s="969">
        <v>1.6699999999999999E-5</v>
      </c>
      <c r="D291" s="969">
        <v>1.6699999999999999E-5</v>
      </c>
      <c r="E291" s="1008">
        <v>8270</v>
      </c>
      <c r="F291" s="1011">
        <v>35443</v>
      </c>
      <c r="G291" s="970">
        <v>25513</v>
      </c>
      <c r="H291" s="970"/>
      <c r="I291" s="971">
        <v>1470</v>
      </c>
      <c r="J291" s="972">
        <v>6194</v>
      </c>
      <c r="K291" s="971">
        <v>3644</v>
      </c>
      <c r="L291" s="970">
        <v>1152</v>
      </c>
      <c r="M291" s="970"/>
      <c r="N291" s="971">
        <v>722</v>
      </c>
      <c r="O291" s="971">
        <v>0</v>
      </c>
      <c r="P291" s="971">
        <v>0</v>
      </c>
      <c r="Q291" s="970">
        <v>834</v>
      </c>
      <c r="R291" s="970"/>
      <c r="S291" s="971">
        <v>8598</v>
      </c>
      <c r="T291" s="973">
        <v>-308</v>
      </c>
      <c r="U291" s="973">
        <v>8290</v>
      </c>
    </row>
    <row r="292" spans="1:21" x14ac:dyDescent="0.25">
      <c r="A292" s="967">
        <v>93031</v>
      </c>
      <c r="B292" s="968" t="s">
        <v>2932</v>
      </c>
      <c r="C292" s="969">
        <v>2.1699999999999999E-5</v>
      </c>
      <c r="D292" s="969">
        <v>2.2399999999999999E-5</v>
      </c>
      <c r="E292" s="1008">
        <v>20397</v>
      </c>
      <c r="F292" s="1011">
        <v>47540</v>
      </c>
      <c r="G292" s="970">
        <v>33152</v>
      </c>
      <c r="H292" s="970"/>
      <c r="I292" s="971">
        <v>1910</v>
      </c>
      <c r="J292" s="972">
        <v>8050</v>
      </c>
      <c r="K292" s="971">
        <v>4735</v>
      </c>
      <c r="L292" s="970">
        <v>18910</v>
      </c>
      <c r="M292" s="970"/>
      <c r="N292" s="971">
        <v>938</v>
      </c>
      <c r="O292" s="971">
        <v>0</v>
      </c>
      <c r="P292" s="971">
        <v>0</v>
      </c>
      <c r="Q292" s="970">
        <v>221</v>
      </c>
      <c r="R292" s="970"/>
      <c r="S292" s="971">
        <v>11172</v>
      </c>
      <c r="T292" s="973">
        <v>5880</v>
      </c>
      <c r="U292" s="973">
        <v>17052</v>
      </c>
    </row>
    <row r="293" spans="1:21" x14ac:dyDescent="0.25">
      <c r="A293" s="967">
        <v>93101</v>
      </c>
      <c r="B293" s="968" t="s">
        <v>2933</v>
      </c>
      <c r="C293" s="969">
        <v>3.5159000000000002E-3</v>
      </c>
      <c r="D293" s="969">
        <v>3.5771000000000002E-3</v>
      </c>
      <c r="E293" s="1008">
        <v>1521217</v>
      </c>
      <c r="F293" s="1011">
        <v>7591805</v>
      </c>
      <c r="G293" s="970">
        <v>5371321</v>
      </c>
      <c r="H293" s="970"/>
      <c r="I293" s="971">
        <v>309438</v>
      </c>
      <c r="J293" s="972">
        <v>1304163</v>
      </c>
      <c r="K293" s="971">
        <v>767099</v>
      </c>
      <c r="L293" s="970">
        <v>104257</v>
      </c>
      <c r="M293" s="970"/>
      <c r="N293" s="971">
        <v>152045</v>
      </c>
      <c r="O293" s="971">
        <v>0</v>
      </c>
      <c r="P293" s="971">
        <v>0</v>
      </c>
      <c r="Q293" s="970">
        <v>115334</v>
      </c>
      <c r="R293" s="970"/>
      <c r="S293" s="971">
        <v>1810140</v>
      </c>
      <c r="T293" s="973">
        <v>39451</v>
      </c>
      <c r="U293" s="973">
        <v>1849591</v>
      </c>
    </row>
    <row r="294" spans="1:21" x14ac:dyDescent="0.25">
      <c r="A294" s="967">
        <v>93103</v>
      </c>
      <c r="B294" s="968" t="s">
        <v>2126</v>
      </c>
      <c r="C294" s="969">
        <v>1.7099999999999999E-5</v>
      </c>
      <c r="D294" s="969">
        <v>1.7200000000000001E-5</v>
      </c>
      <c r="E294" s="1008">
        <v>5686</v>
      </c>
      <c r="F294" s="1011">
        <v>36504</v>
      </c>
      <c r="G294" s="970">
        <v>26124</v>
      </c>
      <c r="H294" s="970"/>
      <c r="I294" s="971">
        <v>1505</v>
      </c>
      <c r="J294" s="972">
        <v>6343</v>
      </c>
      <c r="K294" s="971">
        <v>3731</v>
      </c>
      <c r="L294" s="970">
        <v>6718</v>
      </c>
      <c r="M294" s="970"/>
      <c r="N294" s="971">
        <v>739</v>
      </c>
      <c r="O294" s="971">
        <v>0</v>
      </c>
      <c r="P294" s="971">
        <v>0</v>
      </c>
      <c r="Q294" s="970">
        <v>1798</v>
      </c>
      <c r="R294" s="970"/>
      <c r="S294" s="971">
        <v>8804</v>
      </c>
      <c r="T294" s="973">
        <v>2085</v>
      </c>
      <c r="U294" s="973">
        <v>10889</v>
      </c>
    </row>
    <row r="295" spans="1:21" x14ac:dyDescent="0.25">
      <c r="A295" s="967">
        <v>93108</v>
      </c>
      <c r="B295" s="968" t="s">
        <v>2934</v>
      </c>
      <c r="C295" s="969">
        <v>2.6624999999999999E-3</v>
      </c>
      <c r="D295" s="969">
        <v>2.5661999999999998E-3</v>
      </c>
      <c r="E295" s="1008">
        <v>1189197</v>
      </c>
      <c r="F295" s="1011">
        <v>5446336</v>
      </c>
      <c r="G295" s="970">
        <v>4067562</v>
      </c>
      <c r="H295" s="970"/>
      <c r="I295" s="971">
        <v>234329</v>
      </c>
      <c r="J295" s="972">
        <v>987609</v>
      </c>
      <c r="K295" s="971">
        <v>580904</v>
      </c>
      <c r="L295" s="970">
        <v>274861</v>
      </c>
      <c r="M295" s="970"/>
      <c r="N295" s="971">
        <v>115140</v>
      </c>
      <c r="O295" s="971">
        <v>0</v>
      </c>
      <c r="P295" s="971">
        <v>0</v>
      </c>
      <c r="Q295" s="970">
        <v>0</v>
      </c>
      <c r="R295" s="970"/>
      <c r="S295" s="971">
        <v>1370772</v>
      </c>
      <c r="T295" s="973">
        <v>189775</v>
      </c>
      <c r="U295" s="973">
        <v>1560547</v>
      </c>
    </row>
    <row r="296" spans="1:21" x14ac:dyDescent="0.25">
      <c r="A296" s="967">
        <v>93111</v>
      </c>
      <c r="B296" s="968" t="s">
        <v>2935</v>
      </c>
      <c r="C296" s="969">
        <v>5.8499999999999999E-5</v>
      </c>
      <c r="D296" s="969">
        <v>7.08E-5</v>
      </c>
      <c r="E296" s="1008">
        <v>27143</v>
      </c>
      <c r="F296" s="1011">
        <v>150261</v>
      </c>
      <c r="G296" s="970">
        <v>89372</v>
      </c>
      <c r="H296" s="970"/>
      <c r="I296" s="971">
        <v>5149</v>
      </c>
      <c r="J296" s="972">
        <v>21700</v>
      </c>
      <c r="K296" s="971">
        <v>12764</v>
      </c>
      <c r="L296" s="970">
        <v>0</v>
      </c>
      <c r="M296" s="970"/>
      <c r="N296" s="971">
        <v>2530</v>
      </c>
      <c r="O296" s="971">
        <v>0</v>
      </c>
      <c r="P296" s="971">
        <v>0</v>
      </c>
      <c r="Q296" s="970">
        <v>15463</v>
      </c>
      <c r="R296" s="970"/>
      <c r="S296" s="971">
        <v>30118</v>
      </c>
      <c r="T296" s="973">
        <v>-5541</v>
      </c>
      <c r="U296" s="973">
        <f>24578-1</f>
        <v>24577</v>
      </c>
    </row>
    <row r="297" spans="1:21" x14ac:dyDescent="0.25">
      <c r="A297" s="967">
        <v>93121</v>
      </c>
      <c r="B297" s="968" t="s">
        <v>2936</v>
      </c>
      <c r="C297" s="969">
        <v>6.2299999999999996E-5</v>
      </c>
      <c r="D297" s="969">
        <v>5.8900000000000002E-5</v>
      </c>
      <c r="E297" s="1008">
        <v>28306</v>
      </c>
      <c r="F297" s="1011">
        <v>125006</v>
      </c>
      <c r="G297" s="970">
        <v>95177</v>
      </c>
      <c r="H297" s="970"/>
      <c r="I297" s="971">
        <v>5483</v>
      </c>
      <c r="J297" s="972">
        <v>23109</v>
      </c>
      <c r="K297" s="971">
        <v>13593</v>
      </c>
      <c r="L297" s="970">
        <v>2043</v>
      </c>
      <c r="M297" s="970"/>
      <c r="N297" s="971">
        <v>2694</v>
      </c>
      <c r="O297" s="971">
        <v>0</v>
      </c>
      <c r="P297" s="971">
        <v>0</v>
      </c>
      <c r="Q297" s="970">
        <v>9059</v>
      </c>
      <c r="R297" s="970"/>
      <c r="S297" s="971">
        <v>32075</v>
      </c>
      <c r="T297" s="973">
        <v>-3552</v>
      </c>
      <c r="U297" s="973">
        <f>28522+1</f>
        <v>28523</v>
      </c>
    </row>
    <row r="298" spans="1:21" x14ac:dyDescent="0.25">
      <c r="A298" s="967">
        <v>93127</v>
      </c>
      <c r="B298" s="968" t="s">
        <v>2937</v>
      </c>
      <c r="C298" s="969">
        <v>6.9E-6</v>
      </c>
      <c r="D298" s="969">
        <v>6.8000000000000001E-6</v>
      </c>
      <c r="E298" s="1008">
        <v>3239</v>
      </c>
      <c r="F298" s="1011">
        <v>14432</v>
      </c>
      <c r="G298" s="970">
        <v>10541</v>
      </c>
      <c r="H298" s="970"/>
      <c r="I298" s="971">
        <v>607</v>
      </c>
      <c r="J298" s="972">
        <v>2560</v>
      </c>
      <c r="K298" s="971">
        <v>1505</v>
      </c>
      <c r="L298" s="970">
        <v>124</v>
      </c>
      <c r="M298" s="970"/>
      <c r="N298" s="971">
        <v>298</v>
      </c>
      <c r="O298" s="971">
        <v>0</v>
      </c>
      <c r="P298" s="971">
        <v>0</v>
      </c>
      <c r="Q298" s="970">
        <v>731</v>
      </c>
      <c r="R298" s="970"/>
      <c r="S298" s="971">
        <v>3552</v>
      </c>
      <c r="T298" s="973">
        <v>-369</v>
      </c>
      <c r="U298" s="973">
        <v>3183</v>
      </c>
    </row>
    <row r="299" spans="1:21" x14ac:dyDescent="0.25">
      <c r="A299" s="967">
        <v>93131</v>
      </c>
      <c r="B299" s="968" t="s">
        <v>2938</v>
      </c>
      <c r="C299" s="969">
        <v>2.218E-4</v>
      </c>
      <c r="D299" s="969">
        <v>2.3939999999999999E-4</v>
      </c>
      <c r="E299" s="1008">
        <v>95091</v>
      </c>
      <c r="F299" s="1011">
        <v>508087</v>
      </c>
      <c r="G299" s="970">
        <v>338849</v>
      </c>
      <c r="H299" s="970"/>
      <c r="I299" s="971">
        <v>19521</v>
      </c>
      <c r="J299" s="972">
        <v>82273</v>
      </c>
      <c r="K299" s="971">
        <v>48392</v>
      </c>
      <c r="L299" s="970">
        <v>7888</v>
      </c>
      <c r="M299" s="970"/>
      <c r="N299" s="971">
        <v>9592</v>
      </c>
      <c r="O299" s="971">
        <v>0</v>
      </c>
      <c r="P299" s="971">
        <v>0</v>
      </c>
      <c r="Q299" s="970">
        <v>21906</v>
      </c>
      <c r="R299" s="970"/>
      <c r="S299" s="971">
        <v>114192</v>
      </c>
      <c r="T299" s="973">
        <v>-530</v>
      </c>
      <c r="U299" s="973">
        <v>113662</v>
      </c>
    </row>
    <row r="300" spans="1:21" x14ac:dyDescent="0.25">
      <c r="A300" s="967">
        <v>93137</v>
      </c>
      <c r="B300" s="968" t="s">
        <v>2939</v>
      </c>
      <c r="C300" s="969">
        <v>3.3000000000000002E-6</v>
      </c>
      <c r="D300" s="969">
        <v>1.9E-6</v>
      </c>
      <c r="E300" s="1008">
        <v>2530</v>
      </c>
      <c r="F300" s="1011">
        <v>4032</v>
      </c>
      <c r="G300" s="970">
        <v>5041</v>
      </c>
      <c r="H300" s="970"/>
      <c r="I300" s="971">
        <v>290</v>
      </c>
      <c r="J300" s="972">
        <v>1224</v>
      </c>
      <c r="K300" s="971">
        <v>720</v>
      </c>
      <c r="L300" s="970">
        <v>2709</v>
      </c>
      <c r="M300" s="970"/>
      <c r="N300" s="971">
        <v>143</v>
      </c>
      <c r="O300" s="971">
        <v>0</v>
      </c>
      <c r="P300" s="971">
        <v>0</v>
      </c>
      <c r="Q300" s="970">
        <v>0</v>
      </c>
      <c r="R300" s="970"/>
      <c r="S300" s="971">
        <v>1699</v>
      </c>
      <c r="T300" s="973">
        <v>839</v>
      </c>
      <c r="U300" s="973">
        <v>2538</v>
      </c>
    </row>
    <row r="301" spans="1:21" x14ac:dyDescent="0.25">
      <c r="A301" s="967">
        <v>93141</v>
      </c>
      <c r="B301" s="968" t="s">
        <v>2940</v>
      </c>
      <c r="C301" s="969">
        <v>4.1100000000000003E-5</v>
      </c>
      <c r="D301" s="969">
        <v>4.5500000000000001E-5</v>
      </c>
      <c r="E301" s="1008">
        <v>16199</v>
      </c>
      <c r="F301" s="1011">
        <v>96566</v>
      </c>
      <c r="G301" s="970">
        <v>62789</v>
      </c>
      <c r="H301" s="970"/>
      <c r="I301" s="971">
        <v>3617</v>
      </c>
      <c r="J301" s="972">
        <v>15246</v>
      </c>
      <c r="K301" s="971">
        <v>8967</v>
      </c>
      <c r="L301" s="970">
        <v>2083</v>
      </c>
      <c r="M301" s="970"/>
      <c r="N301" s="971">
        <v>1777</v>
      </c>
      <c r="O301" s="971">
        <v>0</v>
      </c>
      <c r="P301" s="971">
        <v>0</v>
      </c>
      <c r="Q301" s="970">
        <v>7408</v>
      </c>
      <c r="R301" s="970"/>
      <c r="S301" s="971">
        <v>21160</v>
      </c>
      <c r="T301" s="973">
        <v>-351</v>
      </c>
      <c r="U301" s="973">
        <v>20809</v>
      </c>
    </row>
    <row r="302" spans="1:21" x14ac:dyDescent="0.25">
      <c r="A302" s="967">
        <v>93151</v>
      </c>
      <c r="B302" s="968" t="s">
        <v>2941</v>
      </c>
      <c r="C302" s="969">
        <v>3.4279999999999998E-4</v>
      </c>
      <c r="D302" s="969">
        <v>3.6539999999999999E-4</v>
      </c>
      <c r="E302" s="1008">
        <v>156182</v>
      </c>
      <c r="F302" s="1011">
        <v>775501</v>
      </c>
      <c r="G302" s="970">
        <v>523703</v>
      </c>
      <c r="H302" s="970"/>
      <c r="I302" s="971">
        <v>30170</v>
      </c>
      <c r="J302" s="972">
        <v>127156</v>
      </c>
      <c r="K302" s="971">
        <v>74792</v>
      </c>
      <c r="L302" s="970">
        <v>3795</v>
      </c>
      <c r="M302" s="970"/>
      <c r="N302" s="971">
        <v>14824</v>
      </c>
      <c r="O302" s="971">
        <v>0</v>
      </c>
      <c r="P302" s="971">
        <v>0</v>
      </c>
      <c r="Q302" s="970">
        <v>19989</v>
      </c>
      <c r="R302" s="970"/>
      <c r="S302" s="971">
        <v>176489</v>
      </c>
      <c r="T302" s="973">
        <v>-4355</v>
      </c>
      <c r="U302" s="973">
        <f>172133+1</f>
        <v>172134</v>
      </c>
    </row>
    <row r="303" spans="1:21" x14ac:dyDescent="0.25">
      <c r="A303" s="967">
        <v>93157</v>
      </c>
      <c r="B303" s="968" t="s">
        <v>2942</v>
      </c>
      <c r="C303" s="969">
        <v>3.5999999999999998E-6</v>
      </c>
      <c r="D303" s="969">
        <v>3.8E-6</v>
      </c>
      <c r="E303" s="1008">
        <v>6045</v>
      </c>
      <c r="F303" s="1011">
        <v>8065</v>
      </c>
      <c r="G303" s="970">
        <v>5500</v>
      </c>
      <c r="H303" s="970"/>
      <c r="I303" s="971">
        <v>317</v>
      </c>
      <c r="J303" s="972">
        <v>1336</v>
      </c>
      <c r="K303" s="971">
        <v>785</v>
      </c>
      <c r="L303" s="970">
        <v>6931</v>
      </c>
      <c r="M303" s="970"/>
      <c r="N303" s="971">
        <v>156</v>
      </c>
      <c r="O303" s="971">
        <v>0</v>
      </c>
      <c r="P303" s="971">
        <v>0</v>
      </c>
      <c r="Q303" s="970">
        <v>340</v>
      </c>
      <c r="R303" s="970"/>
      <c r="S303" s="971">
        <v>1853</v>
      </c>
      <c r="T303" s="973">
        <v>2783</v>
      </c>
      <c r="U303" s="973">
        <f>4637-1</f>
        <v>4636</v>
      </c>
    </row>
    <row r="304" spans="1:21" x14ac:dyDescent="0.25">
      <c r="A304" s="967">
        <v>93161</v>
      </c>
      <c r="B304" s="968" t="s">
        <v>2943</v>
      </c>
      <c r="C304" s="969">
        <v>1.038E-4</v>
      </c>
      <c r="D304" s="969">
        <v>6.2500000000000001E-5</v>
      </c>
      <c r="E304" s="1008">
        <v>47956</v>
      </c>
      <c r="F304" s="1011">
        <v>132646</v>
      </c>
      <c r="G304" s="970">
        <v>158578</v>
      </c>
      <c r="H304" s="970"/>
      <c r="I304" s="971">
        <v>9136</v>
      </c>
      <c r="J304" s="972">
        <v>38503</v>
      </c>
      <c r="K304" s="971">
        <v>22647</v>
      </c>
      <c r="L304" s="970">
        <v>35990</v>
      </c>
      <c r="M304" s="970"/>
      <c r="N304" s="971">
        <v>4489</v>
      </c>
      <c r="O304" s="971">
        <v>0</v>
      </c>
      <c r="P304" s="971">
        <v>0</v>
      </c>
      <c r="Q304" s="970">
        <v>0</v>
      </c>
      <c r="R304" s="970"/>
      <c r="S304" s="971">
        <v>53441</v>
      </c>
      <c r="T304" s="973">
        <v>13001</v>
      </c>
      <c r="U304" s="973">
        <v>66442</v>
      </c>
    </row>
    <row r="305" spans="1:21" x14ac:dyDescent="0.25">
      <c r="A305" s="967">
        <v>93171</v>
      </c>
      <c r="B305" s="968" t="s">
        <v>2944</v>
      </c>
      <c r="C305" s="969">
        <v>5.2000000000000002E-6</v>
      </c>
      <c r="D305" s="969">
        <v>5.8000000000000004E-6</v>
      </c>
      <c r="E305" s="1008">
        <v>3889</v>
      </c>
      <c r="F305" s="1011">
        <v>12310</v>
      </c>
      <c r="G305" s="970">
        <v>7944</v>
      </c>
      <c r="H305" s="970"/>
      <c r="I305" s="971">
        <v>458</v>
      </c>
      <c r="J305" s="972">
        <v>1929</v>
      </c>
      <c r="K305" s="971">
        <v>1135</v>
      </c>
      <c r="L305" s="970">
        <v>1960</v>
      </c>
      <c r="M305" s="970"/>
      <c r="N305" s="971">
        <v>225</v>
      </c>
      <c r="O305" s="971">
        <v>0</v>
      </c>
      <c r="P305" s="971">
        <v>0</v>
      </c>
      <c r="Q305" s="970">
        <v>0</v>
      </c>
      <c r="R305" s="970"/>
      <c r="S305" s="971">
        <v>2677</v>
      </c>
      <c r="T305" s="973">
        <v>791</v>
      </c>
      <c r="U305" s="973">
        <v>3468</v>
      </c>
    </row>
    <row r="306" spans="1:21" x14ac:dyDescent="0.25">
      <c r="A306" s="967">
        <v>93181</v>
      </c>
      <c r="B306" s="968" t="s">
        <v>2945</v>
      </c>
      <c r="C306" s="969">
        <v>1.13E-5</v>
      </c>
      <c r="D306" s="969">
        <v>1.1E-5</v>
      </c>
      <c r="E306" s="1008">
        <v>5393</v>
      </c>
      <c r="F306" s="1011">
        <v>23346</v>
      </c>
      <c r="G306" s="970">
        <v>17263</v>
      </c>
      <c r="H306" s="970"/>
      <c r="I306" s="971">
        <v>995</v>
      </c>
      <c r="J306" s="972">
        <v>4191</v>
      </c>
      <c r="K306" s="971">
        <v>2465</v>
      </c>
      <c r="L306" s="970">
        <v>772</v>
      </c>
      <c r="M306" s="970"/>
      <c r="N306" s="971">
        <v>489</v>
      </c>
      <c r="O306" s="971">
        <v>0</v>
      </c>
      <c r="P306" s="971">
        <v>0</v>
      </c>
      <c r="Q306" s="970">
        <v>28</v>
      </c>
      <c r="R306" s="970"/>
      <c r="S306" s="971">
        <v>5818</v>
      </c>
      <c r="T306" s="973">
        <v>412</v>
      </c>
      <c r="U306" s="973">
        <v>6230</v>
      </c>
    </row>
    <row r="307" spans="1:21" x14ac:dyDescent="0.25">
      <c r="A307" s="967">
        <v>93191</v>
      </c>
      <c r="B307" s="968" t="s">
        <v>2946</v>
      </c>
      <c r="C307" s="969">
        <v>2.4600000000000002E-5</v>
      </c>
      <c r="D307" s="969">
        <v>3.3000000000000003E-5</v>
      </c>
      <c r="E307" s="1008">
        <v>16089</v>
      </c>
      <c r="F307" s="1011">
        <v>70037</v>
      </c>
      <c r="G307" s="970">
        <v>37582</v>
      </c>
      <c r="H307" s="970"/>
      <c r="I307" s="971">
        <v>2165</v>
      </c>
      <c r="J307" s="972">
        <v>9125</v>
      </c>
      <c r="K307" s="971">
        <v>5367</v>
      </c>
      <c r="L307" s="970">
        <v>1713</v>
      </c>
      <c r="M307" s="970"/>
      <c r="N307" s="971">
        <v>1064</v>
      </c>
      <c r="O307" s="971">
        <v>0</v>
      </c>
      <c r="P307" s="971">
        <v>0</v>
      </c>
      <c r="Q307" s="970">
        <v>2443</v>
      </c>
      <c r="R307" s="970"/>
      <c r="S307" s="971">
        <v>12665</v>
      </c>
      <c r="T307" s="973">
        <v>-169</v>
      </c>
      <c r="U307" s="973">
        <v>12496</v>
      </c>
    </row>
    <row r="308" spans="1:21" x14ac:dyDescent="0.25">
      <c r="A308" s="967">
        <v>93201</v>
      </c>
      <c r="B308" s="968" t="s">
        <v>2947</v>
      </c>
      <c r="C308" s="969">
        <v>1.5517E-2</v>
      </c>
      <c r="D308" s="969">
        <v>1.5819699999999999E-2</v>
      </c>
      <c r="E308" s="1008">
        <v>7119270</v>
      </c>
      <c r="F308" s="1011">
        <v>33574703</v>
      </c>
      <c r="G308" s="970">
        <v>23705678</v>
      </c>
      <c r="H308" s="970"/>
      <c r="I308" s="971">
        <v>1365667</v>
      </c>
      <c r="J308" s="972">
        <v>5755768</v>
      </c>
      <c r="K308" s="971">
        <v>3385499</v>
      </c>
      <c r="L308" s="970">
        <v>809545</v>
      </c>
      <c r="M308" s="970"/>
      <c r="N308" s="971">
        <v>671033</v>
      </c>
      <c r="O308" s="971">
        <v>0</v>
      </c>
      <c r="P308" s="971">
        <v>0</v>
      </c>
      <c r="Q308" s="970">
        <v>206420</v>
      </c>
      <c r="R308" s="970"/>
      <c r="S308" s="971">
        <v>7988834</v>
      </c>
      <c r="T308" s="973">
        <v>397964</v>
      </c>
      <c r="U308" s="973">
        <f>8386799-1</f>
        <v>8386798</v>
      </c>
    </row>
    <row r="309" spans="1:21" x14ac:dyDescent="0.25">
      <c r="A309" s="967">
        <v>93202</v>
      </c>
      <c r="B309" s="968" t="s">
        <v>2948</v>
      </c>
      <c r="C309" s="969">
        <v>0</v>
      </c>
      <c r="D309" s="969">
        <v>0</v>
      </c>
      <c r="E309" s="1008">
        <v>0</v>
      </c>
      <c r="F309" s="1011">
        <v>0</v>
      </c>
      <c r="G309" s="970">
        <v>0</v>
      </c>
      <c r="H309" s="970"/>
      <c r="I309" s="971">
        <v>0</v>
      </c>
      <c r="J309" s="972">
        <v>0</v>
      </c>
      <c r="K309" s="971">
        <v>0</v>
      </c>
      <c r="L309" s="970">
        <v>0</v>
      </c>
      <c r="M309" s="970"/>
      <c r="N309" s="971">
        <v>0</v>
      </c>
      <c r="O309" s="971">
        <v>0</v>
      </c>
      <c r="P309" s="971">
        <v>0</v>
      </c>
      <c r="Q309" s="970">
        <v>212519</v>
      </c>
      <c r="R309" s="970"/>
      <c r="S309" s="971">
        <v>0</v>
      </c>
      <c r="T309" s="973">
        <v>-109544</v>
      </c>
      <c r="U309" s="973">
        <v>-109544</v>
      </c>
    </row>
    <row r="310" spans="1:21" x14ac:dyDescent="0.25">
      <c r="A310" s="967">
        <v>93204</v>
      </c>
      <c r="B310" s="968" t="s">
        <v>2949</v>
      </c>
      <c r="C310" s="969">
        <v>3.0279999999999999E-4</v>
      </c>
      <c r="D310" s="969">
        <v>2.9480000000000001E-4</v>
      </c>
      <c r="E310" s="1008">
        <v>157546</v>
      </c>
      <c r="F310" s="1011">
        <v>625664</v>
      </c>
      <c r="G310" s="970">
        <v>462595</v>
      </c>
      <c r="H310" s="970"/>
      <c r="I310" s="971">
        <v>26650</v>
      </c>
      <c r="J310" s="972">
        <v>112319</v>
      </c>
      <c r="K310" s="971">
        <v>66065</v>
      </c>
      <c r="L310" s="970">
        <v>24167</v>
      </c>
      <c r="M310" s="970"/>
      <c r="N310" s="971">
        <v>13095</v>
      </c>
      <c r="O310" s="971">
        <v>0</v>
      </c>
      <c r="P310" s="971">
        <v>0</v>
      </c>
      <c r="Q310" s="970">
        <v>9452</v>
      </c>
      <c r="R310" s="970"/>
      <c r="S310" s="971">
        <v>155895</v>
      </c>
      <c r="T310" s="973">
        <v>782</v>
      </c>
      <c r="U310" s="973">
        <v>156677</v>
      </c>
    </row>
    <row r="311" spans="1:21" x14ac:dyDescent="0.25">
      <c r="A311" s="967">
        <v>93209</v>
      </c>
      <c r="B311" s="968" t="s">
        <v>2950</v>
      </c>
      <c r="C311" s="969">
        <v>4.6693999999999998E-3</v>
      </c>
      <c r="D311" s="969">
        <v>4.5113999999999996E-3</v>
      </c>
      <c r="E311" s="1008">
        <v>2094525</v>
      </c>
      <c r="F311" s="1011">
        <v>9574702</v>
      </c>
      <c r="G311" s="970">
        <v>7133550</v>
      </c>
      <c r="H311" s="970"/>
      <c r="I311" s="971">
        <v>410959</v>
      </c>
      <c r="J311" s="972">
        <v>1732035</v>
      </c>
      <c r="K311" s="971">
        <v>1018770</v>
      </c>
      <c r="L311" s="970">
        <v>838336</v>
      </c>
      <c r="M311" s="970"/>
      <c r="N311" s="971">
        <v>201928</v>
      </c>
      <c r="O311" s="971">
        <v>0</v>
      </c>
      <c r="P311" s="971">
        <v>0</v>
      </c>
      <c r="Q311" s="970">
        <v>0</v>
      </c>
      <c r="R311" s="970"/>
      <c r="S311" s="971">
        <v>2404013</v>
      </c>
      <c r="T311" s="973">
        <v>551077</v>
      </c>
      <c r="U311" s="973">
        <v>2955090</v>
      </c>
    </row>
    <row r="312" spans="1:21" x14ac:dyDescent="0.25">
      <c r="A312" s="967">
        <v>93211</v>
      </c>
      <c r="B312" s="968" t="s">
        <v>2951</v>
      </c>
      <c r="C312" s="969">
        <v>2.0374099999999999E-2</v>
      </c>
      <c r="D312" s="969">
        <v>2.0456800000000001E-2</v>
      </c>
      <c r="E312" s="1008">
        <v>9330077</v>
      </c>
      <c r="F312" s="1011">
        <v>43416183</v>
      </c>
      <c r="G312" s="970">
        <v>31125981</v>
      </c>
      <c r="H312" s="970"/>
      <c r="I312" s="971">
        <v>1793145</v>
      </c>
      <c r="J312" s="972">
        <v>7557426</v>
      </c>
      <c r="K312" s="971">
        <v>4445221</v>
      </c>
      <c r="L312" s="970">
        <v>0</v>
      </c>
      <c r="M312" s="970"/>
      <c r="N312" s="971">
        <v>881078</v>
      </c>
      <c r="O312" s="971">
        <v>0</v>
      </c>
      <c r="P312" s="971">
        <v>0</v>
      </c>
      <c r="Q312" s="970">
        <v>991023</v>
      </c>
      <c r="R312" s="970"/>
      <c r="S312" s="971">
        <v>10489483</v>
      </c>
      <c r="T312" s="973">
        <v>-507236</v>
      </c>
      <c r="U312" s="973">
        <v>9982247</v>
      </c>
    </row>
    <row r="313" spans="1:21" x14ac:dyDescent="0.25">
      <c r="A313" s="967">
        <v>93212</v>
      </c>
      <c r="B313" s="968" t="s">
        <v>2952</v>
      </c>
      <c r="C313" s="969">
        <v>2.2130000000000001E-4</v>
      </c>
      <c r="D313" s="969">
        <v>2.052E-4</v>
      </c>
      <c r="E313" s="1008">
        <v>193584</v>
      </c>
      <c r="F313" s="1011">
        <v>435503</v>
      </c>
      <c r="G313" s="970">
        <v>338085</v>
      </c>
      <c r="H313" s="970"/>
      <c r="I313" s="971">
        <v>19477</v>
      </c>
      <c r="J313" s="972">
        <v>82087</v>
      </c>
      <c r="K313" s="971">
        <v>48283</v>
      </c>
      <c r="L313" s="970">
        <v>158429</v>
      </c>
      <c r="M313" s="970"/>
      <c r="N313" s="971">
        <v>9570</v>
      </c>
      <c r="O313" s="971">
        <v>0</v>
      </c>
      <c r="P313" s="971">
        <v>0</v>
      </c>
      <c r="Q313" s="970">
        <v>0</v>
      </c>
      <c r="R313" s="970"/>
      <c r="S313" s="971">
        <v>113935</v>
      </c>
      <c r="T313" s="973">
        <v>53448</v>
      </c>
      <c r="U313" s="973">
        <v>167383</v>
      </c>
    </row>
    <row r="314" spans="1:21" x14ac:dyDescent="0.25">
      <c r="A314" s="967">
        <v>93219</v>
      </c>
      <c r="B314" s="968" t="s">
        <v>2953</v>
      </c>
      <c r="C314" s="969">
        <v>2.6289999999999999E-4</v>
      </c>
      <c r="D314" s="969">
        <v>2.286E-4</v>
      </c>
      <c r="E314" s="1008">
        <v>120179</v>
      </c>
      <c r="F314" s="1011">
        <v>485166</v>
      </c>
      <c r="G314" s="970">
        <v>401638</v>
      </c>
      <c r="H314" s="970"/>
      <c r="I314" s="971">
        <v>23138</v>
      </c>
      <c r="J314" s="972">
        <v>97518</v>
      </c>
      <c r="K314" s="971">
        <v>57360</v>
      </c>
      <c r="L314" s="970">
        <v>22706</v>
      </c>
      <c r="M314" s="970"/>
      <c r="N314" s="971">
        <v>11369</v>
      </c>
      <c r="O314" s="971">
        <v>0</v>
      </c>
      <c r="P314" s="971">
        <v>0</v>
      </c>
      <c r="Q314" s="970">
        <v>9094</v>
      </c>
      <c r="R314" s="970"/>
      <c r="S314" s="971">
        <v>135352</v>
      </c>
      <c r="T314" s="973">
        <v>1456</v>
      </c>
      <c r="U314" s="973">
        <f>136809-1</f>
        <v>136808</v>
      </c>
    </row>
    <row r="315" spans="1:21" x14ac:dyDescent="0.25">
      <c r="A315" s="967">
        <v>93301</v>
      </c>
      <c r="B315" s="968" t="s">
        <v>2954</v>
      </c>
      <c r="C315" s="969">
        <v>2.5243000000000002E-3</v>
      </c>
      <c r="D315" s="969">
        <v>2.5330999999999999E-3</v>
      </c>
      <c r="E315" s="1008">
        <v>1153746</v>
      </c>
      <c r="F315" s="1011">
        <v>5376087</v>
      </c>
      <c r="G315" s="970">
        <v>3856431</v>
      </c>
      <c r="H315" s="970"/>
      <c r="I315" s="971">
        <v>222166</v>
      </c>
      <c r="J315" s="972">
        <v>936346</v>
      </c>
      <c r="K315" s="971">
        <v>550752</v>
      </c>
      <c r="L315" s="970">
        <v>47371</v>
      </c>
      <c r="M315" s="970"/>
      <c r="N315" s="971">
        <v>109163</v>
      </c>
      <c r="O315" s="971">
        <v>0</v>
      </c>
      <c r="P315" s="971">
        <v>0</v>
      </c>
      <c r="Q315" s="970">
        <v>61692</v>
      </c>
      <c r="R315" s="970"/>
      <c r="S315" s="971">
        <v>1299621</v>
      </c>
      <c r="T315" s="973">
        <v>-19789</v>
      </c>
      <c r="U315" s="973">
        <f>1279831+1</f>
        <v>1279832</v>
      </c>
    </row>
    <row r="316" spans="1:21" x14ac:dyDescent="0.25">
      <c r="A316" s="967">
        <v>93304</v>
      </c>
      <c r="B316" s="968" t="s">
        <v>2955</v>
      </c>
      <c r="C316" s="969">
        <v>3.0300000000000001E-5</v>
      </c>
      <c r="D316" s="969">
        <v>3.4400000000000003E-5</v>
      </c>
      <c r="E316" s="1008">
        <v>18289</v>
      </c>
      <c r="F316" s="1011">
        <v>73008</v>
      </c>
      <c r="G316" s="970">
        <v>46290</v>
      </c>
      <c r="H316" s="970"/>
      <c r="I316" s="971">
        <v>2667</v>
      </c>
      <c r="J316" s="972">
        <v>11239</v>
      </c>
      <c r="K316" s="971">
        <v>6611</v>
      </c>
      <c r="L316" s="970">
        <v>9418</v>
      </c>
      <c r="M316" s="970"/>
      <c r="N316" s="971">
        <v>1310</v>
      </c>
      <c r="O316" s="971">
        <v>0</v>
      </c>
      <c r="P316" s="971">
        <v>0</v>
      </c>
      <c r="Q316" s="970">
        <v>0</v>
      </c>
      <c r="R316" s="970"/>
      <c r="S316" s="971">
        <v>15600</v>
      </c>
      <c r="T316" s="973">
        <v>5129</v>
      </c>
      <c r="U316" s="973">
        <v>20729</v>
      </c>
    </row>
    <row r="317" spans="1:21" x14ac:dyDescent="0.25">
      <c r="A317" s="967">
        <v>93305</v>
      </c>
      <c r="B317" s="968" t="s">
        <v>2956</v>
      </c>
      <c r="C317" s="969">
        <v>4.6999999999999997E-5</v>
      </c>
      <c r="D317" s="969">
        <v>4.9400000000000001E-5</v>
      </c>
      <c r="E317" s="1008">
        <v>19565</v>
      </c>
      <c r="F317" s="1011">
        <v>104843</v>
      </c>
      <c r="G317" s="970">
        <v>71803</v>
      </c>
      <c r="H317" s="970"/>
      <c r="I317" s="971">
        <v>4137</v>
      </c>
      <c r="J317" s="972">
        <v>17434</v>
      </c>
      <c r="K317" s="971">
        <v>10254</v>
      </c>
      <c r="L317" s="970">
        <v>0</v>
      </c>
      <c r="M317" s="970"/>
      <c r="N317" s="971">
        <v>2033</v>
      </c>
      <c r="O317" s="971">
        <v>0</v>
      </c>
      <c r="P317" s="971">
        <v>0</v>
      </c>
      <c r="Q317" s="970">
        <v>5631</v>
      </c>
      <c r="R317" s="970"/>
      <c r="S317" s="971">
        <v>24198</v>
      </c>
      <c r="T317" s="973">
        <v>-1929</v>
      </c>
      <c r="U317" s="973">
        <v>22269</v>
      </c>
    </row>
    <row r="318" spans="1:21" x14ac:dyDescent="0.25">
      <c r="A318" s="967">
        <v>93309</v>
      </c>
      <c r="B318" s="968" t="s">
        <v>2957</v>
      </c>
      <c r="C318" s="969">
        <v>1.63E-4</v>
      </c>
      <c r="D318" s="969">
        <v>1.716E-4</v>
      </c>
      <c r="E318" s="1008">
        <v>89051</v>
      </c>
      <c r="F318" s="1011">
        <v>364193</v>
      </c>
      <c r="G318" s="970">
        <v>249019</v>
      </c>
      <c r="H318" s="970"/>
      <c r="I318" s="971">
        <v>14346</v>
      </c>
      <c r="J318" s="972">
        <v>60462</v>
      </c>
      <c r="K318" s="971">
        <v>35563</v>
      </c>
      <c r="L318" s="970">
        <v>22457</v>
      </c>
      <c r="M318" s="970"/>
      <c r="N318" s="971">
        <v>7049</v>
      </c>
      <c r="O318" s="971">
        <v>0</v>
      </c>
      <c r="P318" s="971">
        <v>0</v>
      </c>
      <c r="Q318" s="970">
        <v>981</v>
      </c>
      <c r="R318" s="970"/>
      <c r="S318" s="971">
        <v>83920</v>
      </c>
      <c r="T318" s="973">
        <v>7147</v>
      </c>
      <c r="U318" s="973">
        <v>91067</v>
      </c>
    </row>
    <row r="319" spans="1:21" x14ac:dyDescent="0.25">
      <c r="A319" s="967">
        <v>93311</v>
      </c>
      <c r="B319" s="968" t="s">
        <v>2958</v>
      </c>
      <c r="C319" s="969">
        <v>1.1665E-3</v>
      </c>
      <c r="D319" s="969">
        <v>1.1567000000000001E-3</v>
      </c>
      <c r="E319" s="1008">
        <v>529432</v>
      </c>
      <c r="F319" s="1011">
        <v>2454905</v>
      </c>
      <c r="G319" s="970">
        <v>1782089</v>
      </c>
      <c r="H319" s="970"/>
      <c r="I319" s="971">
        <v>102665</v>
      </c>
      <c r="J319" s="972">
        <v>432693</v>
      </c>
      <c r="K319" s="971">
        <v>254507</v>
      </c>
      <c r="L319" s="970">
        <v>1699</v>
      </c>
      <c r="M319" s="970"/>
      <c r="N319" s="971">
        <v>50445</v>
      </c>
      <c r="O319" s="971">
        <v>0</v>
      </c>
      <c r="P319" s="971">
        <v>0</v>
      </c>
      <c r="Q319" s="970">
        <v>83745</v>
      </c>
      <c r="R319" s="970"/>
      <c r="S319" s="971">
        <v>600566</v>
      </c>
      <c r="T319" s="973">
        <v>-37677</v>
      </c>
      <c r="U319" s="973">
        <v>562889</v>
      </c>
    </row>
    <row r="320" spans="1:21" x14ac:dyDescent="0.25">
      <c r="A320" s="967">
        <v>93317</v>
      </c>
      <c r="B320" s="968" t="s">
        <v>2959</v>
      </c>
      <c r="C320" s="969">
        <v>5.0099999999999998E-5</v>
      </c>
      <c r="D320" s="969">
        <v>4.8099999999999997E-5</v>
      </c>
      <c r="E320" s="1008">
        <v>21779</v>
      </c>
      <c r="F320" s="1011">
        <v>102084</v>
      </c>
      <c r="G320" s="970">
        <v>76539</v>
      </c>
      <c r="H320" s="970"/>
      <c r="I320" s="971">
        <v>4409</v>
      </c>
      <c r="J320" s="972">
        <v>18583</v>
      </c>
      <c r="K320" s="971">
        <v>10931</v>
      </c>
      <c r="L320" s="970">
        <v>805</v>
      </c>
      <c r="M320" s="970"/>
      <c r="N320" s="971">
        <v>2167</v>
      </c>
      <c r="O320" s="971">
        <v>0</v>
      </c>
      <c r="P320" s="971">
        <v>0</v>
      </c>
      <c r="Q320" s="970">
        <v>277</v>
      </c>
      <c r="R320" s="970"/>
      <c r="S320" s="971">
        <v>25794</v>
      </c>
      <c r="T320" s="973">
        <v>-23</v>
      </c>
      <c r="U320" s="973">
        <f>25770+1</f>
        <v>25771</v>
      </c>
    </row>
    <row r="321" spans="1:21" x14ac:dyDescent="0.25">
      <c r="A321" s="967">
        <v>93321</v>
      </c>
      <c r="B321" s="968" t="s">
        <v>2960</v>
      </c>
      <c r="C321" s="969">
        <v>7.3600000000000002E-3</v>
      </c>
      <c r="D321" s="969">
        <v>7.4706E-3</v>
      </c>
      <c r="E321" s="1008">
        <v>3205902</v>
      </c>
      <c r="F321" s="1011">
        <v>15855116</v>
      </c>
      <c r="G321" s="970">
        <v>11244041</v>
      </c>
      <c r="H321" s="970"/>
      <c r="I321" s="971">
        <v>647761</v>
      </c>
      <c r="J321" s="972">
        <v>2730067</v>
      </c>
      <c r="K321" s="971">
        <v>1605805</v>
      </c>
      <c r="L321" s="970">
        <v>0</v>
      </c>
      <c r="M321" s="970"/>
      <c r="N321" s="971">
        <v>318283</v>
      </c>
      <c r="O321" s="971">
        <v>0</v>
      </c>
      <c r="P321" s="971">
        <v>0</v>
      </c>
      <c r="Q321" s="970">
        <v>681688</v>
      </c>
      <c r="R321" s="970"/>
      <c r="S321" s="971">
        <v>3789252</v>
      </c>
      <c r="T321" s="973">
        <v>-330030</v>
      </c>
      <c r="U321" s="973">
        <f>3459221+1</f>
        <v>3459222</v>
      </c>
    </row>
    <row r="322" spans="1:21" x14ac:dyDescent="0.25">
      <c r="A322" s="967">
        <v>93323</v>
      </c>
      <c r="B322" s="968" t="s">
        <v>2961</v>
      </c>
      <c r="C322" s="969">
        <v>2.19E-5</v>
      </c>
      <c r="D322" s="969">
        <v>1.0200000000000001E-5</v>
      </c>
      <c r="E322" s="1008">
        <v>8923</v>
      </c>
      <c r="F322" s="1011">
        <v>21648</v>
      </c>
      <c r="G322" s="970">
        <v>33457</v>
      </c>
      <c r="H322" s="970"/>
      <c r="I322" s="971">
        <v>1927</v>
      </c>
      <c r="J322" s="972">
        <v>8123</v>
      </c>
      <c r="K322" s="971">
        <v>4778</v>
      </c>
      <c r="L322" s="970">
        <v>8607</v>
      </c>
      <c r="M322" s="970"/>
      <c r="N322" s="971">
        <v>947</v>
      </c>
      <c r="O322" s="971">
        <v>0</v>
      </c>
      <c r="P322" s="971">
        <v>0</v>
      </c>
      <c r="Q322" s="970">
        <v>1100</v>
      </c>
      <c r="R322" s="970"/>
      <c r="S322" s="971">
        <v>11275</v>
      </c>
      <c r="T322" s="973">
        <v>2519</v>
      </c>
      <c r="U322" s="973">
        <v>13794</v>
      </c>
    </row>
    <row r="323" spans="1:21" x14ac:dyDescent="0.25">
      <c r="A323" s="967">
        <v>93331</v>
      </c>
      <c r="B323" s="968" t="s">
        <v>2962</v>
      </c>
      <c r="C323" s="969">
        <v>1.208E-4</v>
      </c>
      <c r="D323" s="969">
        <v>1.3090000000000001E-4</v>
      </c>
      <c r="E323" s="1008">
        <v>56936</v>
      </c>
      <c r="F323" s="1011">
        <v>277814</v>
      </c>
      <c r="G323" s="970">
        <v>184549</v>
      </c>
      <c r="H323" s="970"/>
      <c r="I323" s="971">
        <v>10632</v>
      </c>
      <c r="J323" s="972">
        <v>44809</v>
      </c>
      <c r="K323" s="971">
        <v>26356</v>
      </c>
      <c r="L323" s="970">
        <v>2512</v>
      </c>
      <c r="M323" s="970"/>
      <c r="N323" s="971">
        <v>5224</v>
      </c>
      <c r="O323" s="971">
        <v>0</v>
      </c>
      <c r="P323" s="971">
        <v>0</v>
      </c>
      <c r="Q323" s="970">
        <v>11531</v>
      </c>
      <c r="R323" s="970"/>
      <c r="S323" s="971">
        <v>62193</v>
      </c>
      <c r="T323" s="973">
        <v>-2506</v>
      </c>
      <c r="U323" s="973">
        <v>59687</v>
      </c>
    </row>
    <row r="324" spans="1:21" x14ac:dyDescent="0.25">
      <c r="A324" s="967">
        <v>93333</v>
      </c>
      <c r="B324" s="968" t="s">
        <v>2963</v>
      </c>
      <c r="C324" s="969">
        <v>1.796E-4</v>
      </c>
      <c r="D324" s="969">
        <v>1.9990000000000001E-4</v>
      </c>
      <c r="E324" s="1008">
        <v>190543</v>
      </c>
      <c r="F324" s="1011">
        <v>424255</v>
      </c>
      <c r="G324" s="970">
        <v>274379</v>
      </c>
      <c r="H324" s="970"/>
      <c r="I324" s="971">
        <v>15807</v>
      </c>
      <c r="J324" s="972">
        <v>66619</v>
      </c>
      <c r="K324" s="971">
        <v>39185</v>
      </c>
      <c r="L324" s="970">
        <v>194737</v>
      </c>
      <c r="M324" s="970"/>
      <c r="N324" s="971">
        <v>7767</v>
      </c>
      <c r="O324" s="971">
        <v>0</v>
      </c>
      <c r="P324" s="971">
        <v>0</v>
      </c>
      <c r="Q324" s="970">
        <v>0</v>
      </c>
      <c r="R324" s="970"/>
      <c r="S324" s="971">
        <v>92466</v>
      </c>
      <c r="T324" s="973">
        <v>74695</v>
      </c>
      <c r="U324" s="973">
        <v>167161</v>
      </c>
    </row>
    <row r="325" spans="1:21" x14ac:dyDescent="0.25">
      <c r="A325" s="967">
        <v>93341</v>
      </c>
      <c r="B325" s="968" t="s">
        <v>2964</v>
      </c>
      <c r="C325" s="969">
        <v>2.34E-5</v>
      </c>
      <c r="D325" s="969">
        <v>2.73E-5</v>
      </c>
      <c r="E325" s="1008">
        <v>12933</v>
      </c>
      <c r="F325" s="1011">
        <v>57940</v>
      </c>
      <c r="G325" s="970">
        <v>35749</v>
      </c>
      <c r="H325" s="970"/>
      <c r="I325" s="971">
        <v>2059</v>
      </c>
      <c r="J325" s="972">
        <v>8680</v>
      </c>
      <c r="K325" s="971">
        <v>5105</v>
      </c>
      <c r="L325" s="970">
        <v>1866</v>
      </c>
      <c r="M325" s="970"/>
      <c r="N325" s="971">
        <v>1012</v>
      </c>
      <c r="O325" s="971">
        <v>0</v>
      </c>
      <c r="P325" s="971">
        <v>0</v>
      </c>
      <c r="Q325" s="970">
        <v>863</v>
      </c>
      <c r="R325" s="970"/>
      <c r="S325" s="971">
        <v>12047</v>
      </c>
      <c r="T325" s="973">
        <v>708</v>
      </c>
      <c r="U325" s="973">
        <v>12755</v>
      </c>
    </row>
    <row r="326" spans="1:21" x14ac:dyDescent="0.25">
      <c r="A326" s="967">
        <v>93351</v>
      </c>
      <c r="B326" s="968" t="s">
        <v>2965</v>
      </c>
      <c r="C326" s="969">
        <v>3.4E-5</v>
      </c>
      <c r="D326" s="969">
        <v>1.5999999999999999E-5</v>
      </c>
      <c r="E326" s="1008">
        <v>16319</v>
      </c>
      <c r="F326" s="1011">
        <v>33957</v>
      </c>
      <c r="G326" s="970">
        <v>51943</v>
      </c>
      <c r="H326" s="970"/>
      <c r="I326" s="971">
        <v>2992</v>
      </c>
      <c r="J326" s="972">
        <v>12611</v>
      </c>
      <c r="K326" s="971">
        <v>7418</v>
      </c>
      <c r="L326" s="970">
        <v>18867</v>
      </c>
      <c r="M326" s="970"/>
      <c r="N326" s="971">
        <v>1470</v>
      </c>
      <c r="O326" s="971">
        <v>0</v>
      </c>
      <c r="P326" s="971">
        <v>0</v>
      </c>
      <c r="Q326" s="970">
        <v>4169</v>
      </c>
      <c r="R326" s="970"/>
      <c r="S326" s="971">
        <v>17505</v>
      </c>
      <c r="T326" s="973">
        <v>2906</v>
      </c>
      <c r="U326" s="973">
        <f>20410+1</f>
        <v>20411</v>
      </c>
    </row>
    <row r="327" spans="1:21" x14ac:dyDescent="0.25">
      <c r="A327" s="967">
        <v>93401</v>
      </c>
      <c r="B327" s="968" t="s">
        <v>2966</v>
      </c>
      <c r="C327" s="969">
        <v>1.3834900000000001E-2</v>
      </c>
      <c r="D327" s="969">
        <v>1.37997E-2</v>
      </c>
      <c r="E327" s="1008">
        <v>6356857</v>
      </c>
      <c r="F327" s="1011">
        <v>29287586</v>
      </c>
      <c r="G327" s="970">
        <v>21135895</v>
      </c>
      <c r="H327" s="970"/>
      <c r="I327" s="971">
        <v>1217623</v>
      </c>
      <c r="J327" s="972">
        <v>5131821</v>
      </c>
      <c r="K327" s="971">
        <v>3018498</v>
      </c>
      <c r="L327" s="970">
        <v>99926</v>
      </c>
      <c r="M327" s="970"/>
      <c r="N327" s="971">
        <v>598290</v>
      </c>
      <c r="O327" s="971">
        <v>0</v>
      </c>
      <c r="P327" s="971">
        <v>0</v>
      </c>
      <c r="Q327" s="970">
        <v>186001</v>
      </c>
      <c r="R327" s="970"/>
      <c r="S327" s="971">
        <v>7122815</v>
      </c>
      <c r="T327" s="973">
        <v>-76616</v>
      </c>
      <c r="U327" s="973">
        <v>7046199</v>
      </c>
    </row>
    <row r="328" spans="1:21" x14ac:dyDescent="0.25">
      <c r="A328" s="967">
        <v>93402</v>
      </c>
      <c r="B328" s="968" t="s">
        <v>2967</v>
      </c>
      <c r="C328" s="969">
        <v>9.8800000000000003E-5</v>
      </c>
      <c r="D328" s="969">
        <v>9.2999999999999997E-5</v>
      </c>
      <c r="E328" s="1008">
        <v>38604</v>
      </c>
      <c r="F328" s="1011">
        <v>197377</v>
      </c>
      <c r="G328" s="970">
        <v>150939</v>
      </c>
      <c r="H328" s="970"/>
      <c r="I328" s="971">
        <v>8695</v>
      </c>
      <c r="J328" s="972">
        <v>36648</v>
      </c>
      <c r="K328" s="971">
        <v>21556</v>
      </c>
      <c r="L328" s="970">
        <v>5545</v>
      </c>
      <c r="M328" s="970"/>
      <c r="N328" s="971">
        <v>4273</v>
      </c>
      <c r="O328" s="971">
        <v>0</v>
      </c>
      <c r="P328" s="971">
        <v>0</v>
      </c>
      <c r="Q328" s="970">
        <v>3446</v>
      </c>
      <c r="R328" s="970"/>
      <c r="S328" s="971">
        <v>50867</v>
      </c>
      <c r="T328" s="973">
        <v>3029</v>
      </c>
      <c r="U328" s="973">
        <f>53895+1</f>
        <v>53896</v>
      </c>
    </row>
    <row r="329" spans="1:21" x14ac:dyDescent="0.25">
      <c r="A329" s="967">
        <v>93406</v>
      </c>
      <c r="B329" s="968" t="s">
        <v>2968</v>
      </c>
      <c r="C329" s="969">
        <v>6.5059999999999998E-4</v>
      </c>
      <c r="D329" s="969">
        <v>7.1170000000000001E-4</v>
      </c>
      <c r="E329" s="1008">
        <v>289720</v>
      </c>
      <c r="F329" s="1011">
        <v>1510466</v>
      </c>
      <c r="G329" s="970">
        <v>993937</v>
      </c>
      <c r="H329" s="970"/>
      <c r="I329" s="971">
        <v>57260</v>
      </c>
      <c r="J329" s="972">
        <v>241329</v>
      </c>
      <c r="K329" s="971">
        <v>141948</v>
      </c>
      <c r="L329" s="970">
        <v>26056</v>
      </c>
      <c r="M329" s="970"/>
      <c r="N329" s="971">
        <v>28135</v>
      </c>
      <c r="O329" s="971">
        <v>0</v>
      </c>
      <c r="P329" s="971">
        <v>0</v>
      </c>
      <c r="Q329" s="970">
        <v>48133</v>
      </c>
      <c r="R329" s="970"/>
      <c r="S329" s="971">
        <v>334958</v>
      </c>
      <c r="T329" s="973">
        <v>7011</v>
      </c>
      <c r="U329" s="973">
        <f>341968+1</f>
        <v>341969</v>
      </c>
    </row>
    <row r="330" spans="1:21" x14ac:dyDescent="0.25">
      <c r="A330" s="967">
        <v>93408</v>
      </c>
      <c r="B330" s="968" t="s">
        <v>2969</v>
      </c>
      <c r="C330" s="969">
        <v>0</v>
      </c>
      <c r="D330" s="969">
        <v>1.8967999999999999E-3</v>
      </c>
      <c r="E330" s="1008">
        <v>73962</v>
      </c>
      <c r="F330" s="1011">
        <v>4025645</v>
      </c>
      <c r="G330" s="970">
        <v>0</v>
      </c>
      <c r="H330" s="970"/>
      <c r="I330" s="971">
        <v>0</v>
      </c>
      <c r="J330" s="972">
        <v>0</v>
      </c>
      <c r="K330" s="971">
        <v>0</v>
      </c>
      <c r="L330" s="970">
        <v>173575</v>
      </c>
      <c r="M330" s="970"/>
      <c r="N330" s="971">
        <v>0</v>
      </c>
      <c r="O330" s="971">
        <v>0</v>
      </c>
      <c r="P330" s="971">
        <v>0</v>
      </c>
      <c r="Q330" s="970">
        <v>1605024</v>
      </c>
      <c r="R330" s="970"/>
      <c r="S330" s="971">
        <v>0</v>
      </c>
      <c r="T330" s="973">
        <v>-292149</v>
      </c>
      <c r="U330" s="973">
        <v>-292149</v>
      </c>
    </row>
    <row r="331" spans="1:21" x14ac:dyDescent="0.25">
      <c r="A331" s="967">
        <v>93411</v>
      </c>
      <c r="B331" s="968" t="s">
        <v>2970</v>
      </c>
      <c r="C331" s="969">
        <v>1.7454999999999998E-2</v>
      </c>
      <c r="D331" s="969">
        <v>1.73309E-2</v>
      </c>
      <c r="E331" s="1008">
        <v>8222694</v>
      </c>
      <c r="F331" s="1011">
        <v>36781976</v>
      </c>
      <c r="G331" s="970">
        <v>26666405</v>
      </c>
      <c r="H331" s="970"/>
      <c r="I331" s="971">
        <v>1536232</v>
      </c>
      <c r="J331" s="972">
        <v>6474635</v>
      </c>
      <c r="K331" s="971">
        <v>3808332</v>
      </c>
      <c r="L331" s="970">
        <v>250711</v>
      </c>
      <c r="M331" s="970"/>
      <c r="N331" s="971">
        <v>754841</v>
      </c>
      <c r="O331" s="971">
        <v>0</v>
      </c>
      <c r="P331" s="971">
        <v>0</v>
      </c>
      <c r="Q331" s="970">
        <v>594754</v>
      </c>
      <c r="R331" s="970"/>
      <c r="S331" s="971">
        <v>8986602</v>
      </c>
      <c r="T331" s="973">
        <v>-306468</v>
      </c>
      <c r="U331" s="973">
        <v>8680134</v>
      </c>
    </row>
    <row r="332" spans="1:21" x14ac:dyDescent="0.25">
      <c r="A332" s="967">
        <v>93413</v>
      </c>
      <c r="B332" s="968" t="s">
        <v>2971</v>
      </c>
      <c r="C332" s="969">
        <v>7.7070000000000003E-4</v>
      </c>
      <c r="D332" s="969">
        <v>8.0130000000000002E-4</v>
      </c>
      <c r="E332" s="1008">
        <v>378796</v>
      </c>
      <c r="F332" s="1011">
        <v>1700627</v>
      </c>
      <c r="G332" s="970">
        <v>1177416</v>
      </c>
      <c r="H332" s="970"/>
      <c r="I332" s="971">
        <v>67830</v>
      </c>
      <c r="J332" s="972">
        <v>285878</v>
      </c>
      <c r="K332" s="971">
        <v>168151</v>
      </c>
      <c r="L332" s="970">
        <v>0</v>
      </c>
      <c r="M332" s="970"/>
      <c r="N332" s="971">
        <v>33329</v>
      </c>
      <c r="O332" s="971">
        <v>0</v>
      </c>
      <c r="P332" s="971">
        <v>0</v>
      </c>
      <c r="Q332" s="970">
        <v>35372</v>
      </c>
      <c r="R332" s="970"/>
      <c r="S332" s="971">
        <v>396790</v>
      </c>
      <c r="T332" s="973">
        <v>-17507</v>
      </c>
      <c r="U332" s="973">
        <v>379283</v>
      </c>
    </row>
    <row r="333" spans="1:21" x14ac:dyDescent="0.25">
      <c r="A333" s="967">
        <v>93417</v>
      </c>
      <c r="B333" s="968" t="s">
        <v>2972</v>
      </c>
      <c r="C333" s="969">
        <v>3.4430000000000002E-4</v>
      </c>
      <c r="D333" s="969">
        <v>4.1130000000000002E-4</v>
      </c>
      <c r="E333" s="1008">
        <v>172878</v>
      </c>
      <c r="F333" s="1011">
        <v>872916</v>
      </c>
      <c r="G333" s="970">
        <v>525995</v>
      </c>
      <c r="H333" s="970"/>
      <c r="I333" s="971">
        <v>30302</v>
      </c>
      <c r="J333" s="972">
        <v>127712</v>
      </c>
      <c r="K333" s="971">
        <v>75119</v>
      </c>
      <c r="L333" s="970">
        <v>15432</v>
      </c>
      <c r="M333" s="970"/>
      <c r="N333" s="971">
        <v>14889</v>
      </c>
      <c r="O333" s="971">
        <v>0</v>
      </c>
      <c r="P333" s="971">
        <v>0</v>
      </c>
      <c r="Q333" s="970">
        <v>33069</v>
      </c>
      <c r="R333" s="970"/>
      <c r="S333" s="971">
        <v>177261</v>
      </c>
      <c r="T333" s="973">
        <v>5883</v>
      </c>
      <c r="U333" s="973">
        <v>183144</v>
      </c>
    </row>
    <row r="334" spans="1:21" x14ac:dyDescent="0.25">
      <c r="A334" s="967">
        <v>93421</v>
      </c>
      <c r="B334" s="968" t="s">
        <v>2973</v>
      </c>
      <c r="C334" s="969">
        <v>2.1294999999999999E-3</v>
      </c>
      <c r="D334" s="969">
        <v>2.1646E-3</v>
      </c>
      <c r="E334" s="1008">
        <v>893357</v>
      </c>
      <c r="F334" s="1011">
        <v>4594006</v>
      </c>
      <c r="G334" s="970">
        <v>3253286</v>
      </c>
      <c r="H334" s="970"/>
      <c r="I334" s="971">
        <v>187419</v>
      </c>
      <c r="J334" s="972">
        <v>789902</v>
      </c>
      <c r="K334" s="971">
        <v>464614</v>
      </c>
      <c r="L334" s="970">
        <v>0</v>
      </c>
      <c r="M334" s="970"/>
      <c r="N334" s="971">
        <v>92090</v>
      </c>
      <c r="O334" s="971">
        <v>0</v>
      </c>
      <c r="P334" s="971">
        <v>0</v>
      </c>
      <c r="Q334" s="970">
        <v>273225</v>
      </c>
      <c r="R334" s="970"/>
      <c r="S334" s="971">
        <v>1096360</v>
      </c>
      <c r="T334" s="973">
        <v>-126565</v>
      </c>
      <c r="U334" s="973">
        <v>969795</v>
      </c>
    </row>
    <row r="335" spans="1:21" x14ac:dyDescent="0.25">
      <c r="A335" s="967">
        <v>93431</v>
      </c>
      <c r="B335" s="968" t="s">
        <v>2974</v>
      </c>
      <c r="C335" s="969">
        <v>1.2689999999999999E-4</v>
      </c>
      <c r="D335" s="969">
        <v>1.127E-4</v>
      </c>
      <c r="E335" s="1008">
        <v>61080</v>
      </c>
      <c r="F335" s="1011">
        <v>239187</v>
      </c>
      <c r="G335" s="970">
        <v>193868</v>
      </c>
      <c r="H335" s="970"/>
      <c r="I335" s="971">
        <v>11169</v>
      </c>
      <c r="J335" s="972">
        <v>47071</v>
      </c>
      <c r="K335" s="971">
        <v>27687</v>
      </c>
      <c r="L335" s="970">
        <v>12612</v>
      </c>
      <c r="M335" s="970"/>
      <c r="N335" s="971">
        <v>5488</v>
      </c>
      <c r="O335" s="971">
        <v>0</v>
      </c>
      <c r="P335" s="971">
        <v>0</v>
      </c>
      <c r="Q335" s="970">
        <v>5397</v>
      </c>
      <c r="R335" s="970"/>
      <c r="S335" s="971">
        <v>65334</v>
      </c>
      <c r="T335" s="973">
        <v>1734</v>
      </c>
      <c r="U335" s="973">
        <v>67068</v>
      </c>
    </row>
    <row r="336" spans="1:21" x14ac:dyDescent="0.25">
      <c r="A336" s="967">
        <v>93441</v>
      </c>
      <c r="B336" s="968" t="s">
        <v>2975</v>
      </c>
      <c r="C336" s="969">
        <v>1.54E-4</v>
      </c>
      <c r="D336" s="969">
        <v>1.4970000000000001E-4</v>
      </c>
      <c r="E336" s="1008">
        <v>77933</v>
      </c>
      <c r="F336" s="1011">
        <v>317714</v>
      </c>
      <c r="G336" s="970">
        <v>235269</v>
      </c>
      <c r="H336" s="970"/>
      <c r="I336" s="971">
        <v>13554</v>
      </c>
      <c r="J336" s="972">
        <v>57124</v>
      </c>
      <c r="K336" s="971">
        <v>33600</v>
      </c>
      <c r="L336" s="970">
        <v>30786</v>
      </c>
      <c r="M336" s="970"/>
      <c r="N336" s="971">
        <v>6660</v>
      </c>
      <c r="O336" s="971">
        <v>0</v>
      </c>
      <c r="P336" s="971">
        <v>0</v>
      </c>
      <c r="Q336" s="970">
        <v>0</v>
      </c>
      <c r="R336" s="970"/>
      <c r="S336" s="971">
        <v>79286</v>
      </c>
      <c r="T336" s="973">
        <v>14822</v>
      </c>
      <c r="U336" s="973">
        <v>94108</v>
      </c>
    </row>
    <row r="337" spans="1:21" x14ac:dyDescent="0.25">
      <c r="A337" s="967">
        <v>93442</v>
      </c>
      <c r="B337" s="968" t="s">
        <v>2976</v>
      </c>
      <c r="C337" s="969">
        <v>1.505E-4</v>
      </c>
      <c r="D337" s="969">
        <v>1.3540000000000001E-4</v>
      </c>
      <c r="E337" s="1008">
        <v>57507</v>
      </c>
      <c r="F337" s="1011">
        <v>287364</v>
      </c>
      <c r="G337" s="970">
        <v>229922</v>
      </c>
      <c r="H337" s="970"/>
      <c r="I337" s="971">
        <v>13246</v>
      </c>
      <c r="J337" s="972">
        <v>55826</v>
      </c>
      <c r="K337" s="971">
        <v>32836</v>
      </c>
      <c r="L337" s="970">
        <v>5191</v>
      </c>
      <c r="M337" s="970"/>
      <c r="N337" s="971">
        <v>6508</v>
      </c>
      <c r="O337" s="971">
        <v>0</v>
      </c>
      <c r="P337" s="971">
        <v>0</v>
      </c>
      <c r="Q337" s="970">
        <v>20988</v>
      </c>
      <c r="R337" s="970"/>
      <c r="S337" s="971">
        <v>77484</v>
      </c>
      <c r="T337" s="973">
        <v>-6353</v>
      </c>
      <c r="U337" s="973">
        <v>71131</v>
      </c>
    </row>
    <row r="338" spans="1:21" x14ac:dyDescent="0.25">
      <c r="A338" s="967">
        <v>93451</v>
      </c>
      <c r="B338" s="968" t="s">
        <v>2977</v>
      </c>
      <c r="C338" s="969">
        <v>7.0900000000000002E-5</v>
      </c>
      <c r="D338" s="969">
        <v>7.6899999999999999E-5</v>
      </c>
      <c r="E338" s="1008">
        <v>41775</v>
      </c>
      <c r="F338" s="1011">
        <v>163208</v>
      </c>
      <c r="G338" s="970">
        <v>108316</v>
      </c>
      <c r="H338" s="970"/>
      <c r="I338" s="971">
        <v>6240</v>
      </c>
      <c r="J338" s="972">
        <v>26299</v>
      </c>
      <c r="K338" s="971">
        <v>15469</v>
      </c>
      <c r="L338" s="970">
        <v>16242</v>
      </c>
      <c r="M338" s="970"/>
      <c r="N338" s="971">
        <v>3066</v>
      </c>
      <c r="O338" s="971">
        <v>0</v>
      </c>
      <c r="P338" s="971">
        <v>0</v>
      </c>
      <c r="Q338" s="970">
        <v>1492</v>
      </c>
      <c r="R338" s="970"/>
      <c r="S338" s="971">
        <v>36502</v>
      </c>
      <c r="T338" s="973">
        <v>5181</v>
      </c>
      <c r="U338" s="973">
        <f>41684-1</f>
        <v>41683</v>
      </c>
    </row>
    <row r="339" spans="1:21" x14ac:dyDescent="0.25">
      <c r="A339" s="967">
        <v>93461</v>
      </c>
      <c r="B339" s="968" t="s">
        <v>2978</v>
      </c>
      <c r="C339" s="969">
        <v>1.66E-5</v>
      </c>
      <c r="D339" s="969">
        <v>1.7200000000000001E-5</v>
      </c>
      <c r="E339" s="1008">
        <v>8264</v>
      </c>
      <c r="F339" s="1011">
        <v>36504</v>
      </c>
      <c r="G339" s="970">
        <v>25360</v>
      </c>
      <c r="H339" s="970"/>
      <c r="I339" s="971">
        <v>1461</v>
      </c>
      <c r="J339" s="972">
        <v>6157</v>
      </c>
      <c r="K339" s="971">
        <v>3622</v>
      </c>
      <c r="L339" s="970">
        <v>580</v>
      </c>
      <c r="M339" s="970"/>
      <c r="N339" s="971">
        <v>718</v>
      </c>
      <c r="O339" s="971">
        <v>0</v>
      </c>
      <c r="P339" s="971">
        <v>0</v>
      </c>
      <c r="Q339" s="970">
        <v>0</v>
      </c>
      <c r="R339" s="970"/>
      <c r="S339" s="971">
        <v>8546</v>
      </c>
      <c r="T339" s="973">
        <v>254</v>
      </c>
      <c r="U339" s="973">
        <f>8801-1</f>
        <v>8800</v>
      </c>
    </row>
    <row r="340" spans="1:21" x14ac:dyDescent="0.25">
      <c r="A340" s="967">
        <v>93471</v>
      </c>
      <c r="B340" s="968" t="s">
        <v>2979</v>
      </c>
      <c r="C340" s="969">
        <v>1.31E-5</v>
      </c>
      <c r="D340" s="969">
        <v>1.1800000000000001E-5</v>
      </c>
      <c r="E340" s="1008">
        <v>8324</v>
      </c>
      <c r="F340" s="1011">
        <v>25044</v>
      </c>
      <c r="G340" s="970">
        <v>20013</v>
      </c>
      <c r="H340" s="970"/>
      <c r="I340" s="971">
        <v>1153</v>
      </c>
      <c r="J340" s="972">
        <v>4859</v>
      </c>
      <c r="K340" s="971">
        <v>2858</v>
      </c>
      <c r="L340" s="970">
        <v>4280</v>
      </c>
      <c r="M340" s="970"/>
      <c r="N340" s="971">
        <v>567</v>
      </c>
      <c r="O340" s="971">
        <v>0</v>
      </c>
      <c r="P340" s="971">
        <v>0</v>
      </c>
      <c r="Q340" s="970">
        <v>63</v>
      </c>
      <c r="R340" s="970"/>
      <c r="S340" s="971">
        <v>6744</v>
      </c>
      <c r="T340" s="973">
        <v>1243</v>
      </c>
      <c r="U340" s="973">
        <v>7987</v>
      </c>
    </row>
    <row r="341" spans="1:21" x14ac:dyDescent="0.25">
      <c r="A341" s="967">
        <v>93501</v>
      </c>
      <c r="B341" s="968" t="s">
        <v>2980</v>
      </c>
      <c r="C341" s="969">
        <v>3.6113999999999999E-3</v>
      </c>
      <c r="D341" s="969">
        <v>3.4039000000000001E-3</v>
      </c>
      <c r="E341" s="1008">
        <v>1661033</v>
      </c>
      <c r="F341" s="1011">
        <v>7224216</v>
      </c>
      <c r="G341" s="970">
        <v>5517219</v>
      </c>
      <c r="H341" s="970"/>
      <c r="I341" s="971">
        <v>317843</v>
      </c>
      <c r="J341" s="972">
        <v>1339587</v>
      </c>
      <c r="K341" s="971">
        <v>787935</v>
      </c>
      <c r="L341" s="970">
        <v>233815</v>
      </c>
      <c r="M341" s="970"/>
      <c r="N341" s="971">
        <v>156175</v>
      </c>
      <c r="O341" s="971">
        <v>0</v>
      </c>
      <c r="P341" s="971">
        <v>0</v>
      </c>
      <c r="Q341" s="970">
        <v>57589</v>
      </c>
      <c r="R341" s="970"/>
      <c r="S341" s="971">
        <v>1859308</v>
      </c>
      <c r="T341" s="973">
        <v>88331</v>
      </c>
      <c r="U341" s="973">
        <v>1947639</v>
      </c>
    </row>
    <row r="342" spans="1:21" x14ac:dyDescent="0.25">
      <c r="A342" s="967">
        <v>93511</v>
      </c>
      <c r="B342" s="968" t="s">
        <v>2981</v>
      </c>
      <c r="C342" s="969">
        <v>8.8300000000000005E-5</v>
      </c>
      <c r="D342" s="969">
        <v>9.8999999999999994E-5</v>
      </c>
      <c r="E342" s="1008">
        <v>45050</v>
      </c>
      <c r="F342" s="1011">
        <v>210111</v>
      </c>
      <c r="G342" s="970">
        <v>134898</v>
      </c>
      <c r="H342" s="970"/>
      <c r="I342" s="971">
        <v>7771</v>
      </c>
      <c r="J342" s="972">
        <v>32753</v>
      </c>
      <c r="K342" s="971">
        <v>19265</v>
      </c>
      <c r="L342" s="970">
        <v>2589</v>
      </c>
      <c r="M342" s="970"/>
      <c r="N342" s="971">
        <v>3819</v>
      </c>
      <c r="O342" s="971">
        <v>0</v>
      </c>
      <c r="P342" s="971">
        <v>0</v>
      </c>
      <c r="Q342" s="970">
        <v>13801</v>
      </c>
      <c r="R342" s="970"/>
      <c r="S342" s="971">
        <v>45461</v>
      </c>
      <c r="T342" s="973">
        <v>-2683</v>
      </c>
      <c r="U342" s="973">
        <v>42778</v>
      </c>
    </row>
    <row r="343" spans="1:21" x14ac:dyDescent="0.25">
      <c r="A343" s="967">
        <v>93517</v>
      </c>
      <c r="B343" s="968" t="s">
        <v>2982</v>
      </c>
      <c r="C343" s="969">
        <v>6.0000000000000002E-6</v>
      </c>
      <c r="D343" s="969">
        <v>6.4999999999999996E-6</v>
      </c>
      <c r="E343" s="1008">
        <v>4387</v>
      </c>
      <c r="F343" s="1011">
        <v>13795</v>
      </c>
      <c r="G343" s="970">
        <v>9166</v>
      </c>
      <c r="H343" s="970"/>
      <c r="I343" s="971">
        <v>528</v>
      </c>
      <c r="J343" s="972">
        <v>2226</v>
      </c>
      <c r="K343" s="971">
        <v>1309</v>
      </c>
      <c r="L343" s="970">
        <v>3133</v>
      </c>
      <c r="M343" s="970"/>
      <c r="N343" s="971">
        <v>259</v>
      </c>
      <c r="O343" s="971">
        <v>0</v>
      </c>
      <c r="P343" s="971">
        <v>0</v>
      </c>
      <c r="Q343" s="970">
        <v>503</v>
      </c>
      <c r="R343" s="970"/>
      <c r="S343" s="971">
        <v>3089</v>
      </c>
      <c r="T343" s="973">
        <v>771</v>
      </c>
      <c r="U343" s="973">
        <v>3860</v>
      </c>
    </row>
    <row r="344" spans="1:21" x14ac:dyDescent="0.25">
      <c r="A344" s="967">
        <v>93521</v>
      </c>
      <c r="B344" s="968" t="s">
        <v>2983</v>
      </c>
      <c r="C344" s="969">
        <v>4.5649999999999998E-4</v>
      </c>
      <c r="D344" s="969">
        <v>5.6389999999999999E-4</v>
      </c>
      <c r="E344" s="1008">
        <v>213305</v>
      </c>
      <c r="F344" s="1011">
        <v>1196785</v>
      </c>
      <c r="G344" s="970">
        <v>697406</v>
      </c>
      <c r="H344" s="970"/>
      <c r="I344" s="971">
        <v>40177</v>
      </c>
      <c r="J344" s="972">
        <v>169331</v>
      </c>
      <c r="K344" s="971">
        <v>99599</v>
      </c>
      <c r="L344" s="970">
        <v>7159</v>
      </c>
      <c r="M344" s="970"/>
      <c r="N344" s="971">
        <v>19741</v>
      </c>
      <c r="O344" s="971">
        <v>0</v>
      </c>
      <c r="P344" s="971">
        <v>0</v>
      </c>
      <c r="Q344" s="970">
        <v>74583</v>
      </c>
      <c r="R344" s="970"/>
      <c r="S344" s="971">
        <v>235026</v>
      </c>
      <c r="T344" s="973">
        <v>-19847</v>
      </c>
      <c r="U344" s="973">
        <f>215180-1</f>
        <v>215179</v>
      </c>
    </row>
    <row r="345" spans="1:21" x14ac:dyDescent="0.25">
      <c r="A345" s="967">
        <v>93527</v>
      </c>
      <c r="B345" s="968" t="s">
        <v>2984</v>
      </c>
      <c r="C345" s="969">
        <v>1.2099999999999999E-5</v>
      </c>
      <c r="D345" s="969">
        <v>5.4E-6</v>
      </c>
      <c r="E345" s="1008">
        <v>9591</v>
      </c>
      <c r="F345" s="1011">
        <v>11461</v>
      </c>
      <c r="G345" s="970">
        <v>18485</v>
      </c>
      <c r="H345" s="970"/>
      <c r="I345" s="971">
        <v>1065</v>
      </c>
      <c r="J345" s="972">
        <v>4488</v>
      </c>
      <c r="K345" s="971">
        <v>2640</v>
      </c>
      <c r="L345" s="970">
        <v>15016</v>
      </c>
      <c r="M345" s="970"/>
      <c r="N345" s="971">
        <v>523</v>
      </c>
      <c r="O345" s="971">
        <v>0</v>
      </c>
      <c r="P345" s="971">
        <v>0</v>
      </c>
      <c r="Q345" s="970">
        <v>0</v>
      </c>
      <c r="R345" s="970"/>
      <c r="S345" s="971">
        <v>6230</v>
      </c>
      <c r="T345" s="973">
        <v>5872</v>
      </c>
      <c r="U345" s="973">
        <f>12101+1</f>
        <v>12102</v>
      </c>
    </row>
    <row r="346" spans="1:21" x14ac:dyDescent="0.25">
      <c r="A346" s="967">
        <v>93531</v>
      </c>
      <c r="B346" s="968" t="s">
        <v>2985</v>
      </c>
      <c r="C346" s="969">
        <v>1.7E-5</v>
      </c>
      <c r="D346" s="969">
        <v>2.4000000000000001E-5</v>
      </c>
      <c r="E346" s="1008">
        <v>11624</v>
      </c>
      <c r="F346" s="1011">
        <v>50936</v>
      </c>
      <c r="G346" s="970">
        <v>25971</v>
      </c>
      <c r="H346" s="970"/>
      <c r="I346" s="971">
        <v>1496</v>
      </c>
      <c r="J346" s="972">
        <v>6306</v>
      </c>
      <c r="K346" s="971">
        <v>3709</v>
      </c>
      <c r="L346" s="970">
        <v>791</v>
      </c>
      <c r="M346" s="970"/>
      <c r="N346" s="971">
        <v>735</v>
      </c>
      <c r="O346" s="971">
        <v>0</v>
      </c>
      <c r="P346" s="971">
        <v>0</v>
      </c>
      <c r="Q346" s="970">
        <v>2743</v>
      </c>
      <c r="R346" s="970"/>
      <c r="S346" s="971">
        <v>8752</v>
      </c>
      <c r="T346" s="973">
        <v>-1210</v>
      </c>
      <c r="U346" s="973">
        <v>7542</v>
      </c>
    </row>
    <row r="347" spans="1:21" x14ac:dyDescent="0.25">
      <c r="A347" s="967">
        <v>93537</v>
      </c>
      <c r="B347" s="968" t="s">
        <v>2986</v>
      </c>
      <c r="C347" s="969">
        <v>1.1199999999999999E-5</v>
      </c>
      <c r="D347" s="969">
        <v>1.17E-5</v>
      </c>
      <c r="E347" s="1008">
        <v>4064</v>
      </c>
      <c r="F347" s="1011">
        <v>24831</v>
      </c>
      <c r="G347" s="970">
        <v>17110</v>
      </c>
      <c r="H347" s="970"/>
      <c r="I347" s="971">
        <v>986</v>
      </c>
      <c r="J347" s="972">
        <v>4154</v>
      </c>
      <c r="K347" s="971">
        <v>2444</v>
      </c>
      <c r="L347" s="970">
        <v>0</v>
      </c>
      <c r="M347" s="970"/>
      <c r="N347" s="971">
        <v>484</v>
      </c>
      <c r="O347" s="971">
        <v>0</v>
      </c>
      <c r="P347" s="971">
        <v>0</v>
      </c>
      <c r="Q347" s="970">
        <v>1898</v>
      </c>
      <c r="R347" s="970"/>
      <c r="S347" s="971">
        <v>5766</v>
      </c>
      <c r="T347" s="973">
        <v>-575</v>
      </c>
      <c r="U347" s="973">
        <v>5191</v>
      </c>
    </row>
    <row r="348" spans="1:21" x14ac:dyDescent="0.25">
      <c r="A348" s="967">
        <v>93541</v>
      </c>
      <c r="B348" s="968" t="s">
        <v>2987</v>
      </c>
      <c r="C348" s="969">
        <v>1.0560000000000001E-4</v>
      </c>
      <c r="D348" s="969">
        <v>1.061E-4</v>
      </c>
      <c r="E348" s="1008">
        <v>49276</v>
      </c>
      <c r="F348" s="1011">
        <v>225180</v>
      </c>
      <c r="G348" s="970">
        <v>161328</v>
      </c>
      <c r="H348" s="970"/>
      <c r="I348" s="971">
        <v>9294</v>
      </c>
      <c r="J348" s="972">
        <v>39171</v>
      </c>
      <c r="K348" s="971">
        <v>23040</v>
      </c>
      <c r="L348" s="970">
        <v>4560</v>
      </c>
      <c r="M348" s="970"/>
      <c r="N348" s="971">
        <v>4567</v>
      </c>
      <c r="O348" s="971">
        <v>0</v>
      </c>
      <c r="P348" s="971">
        <v>0</v>
      </c>
      <c r="Q348" s="970">
        <v>781</v>
      </c>
      <c r="R348" s="970"/>
      <c r="S348" s="971">
        <v>54368</v>
      </c>
      <c r="T348" s="973">
        <v>4003</v>
      </c>
      <c r="U348" s="973">
        <f>58370+1</f>
        <v>58371</v>
      </c>
    </row>
    <row r="349" spans="1:21" x14ac:dyDescent="0.25">
      <c r="A349" s="967">
        <v>93601</v>
      </c>
      <c r="B349" s="968" t="s">
        <v>2988</v>
      </c>
      <c r="C349" s="969">
        <v>1.0721400000000001E-2</v>
      </c>
      <c r="D349" s="969">
        <v>1.1139899999999999E-2</v>
      </c>
      <c r="E349" s="1008">
        <v>5038240</v>
      </c>
      <c r="F349" s="1011">
        <v>23642600</v>
      </c>
      <c r="G349" s="970">
        <v>16379329</v>
      </c>
      <c r="H349" s="970"/>
      <c r="I349" s="971">
        <v>943601</v>
      </c>
      <c r="J349" s="972">
        <v>3976921</v>
      </c>
      <c r="K349" s="971">
        <v>2339195</v>
      </c>
      <c r="L349" s="970">
        <v>65732</v>
      </c>
      <c r="M349" s="970"/>
      <c r="N349" s="971">
        <v>463647</v>
      </c>
      <c r="O349" s="971">
        <v>0</v>
      </c>
      <c r="P349" s="971">
        <v>0</v>
      </c>
      <c r="Q349" s="970">
        <v>282932</v>
      </c>
      <c r="R349" s="970"/>
      <c r="S349" s="971">
        <v>5519848</v>
      </c>
      <c r="T349" s="973">
        <v>-87424</v>
      </c>
      <c r="U349" s="973">
        <f>5432425-1</f>
        <v>5432424</v>
      </c>
    </row>
    <row r="350" spans="1:21" x14ac:dyDescent="0.25">
      <c r="A350" s="967">
        <v>93602</v>
      </c>
      <c r="B350" s="968" t="s">
        <v>2989</v>
      </c>
      <c r="C350" s="969">
        <v>1.7540000000000001E-4</v>
      </c>
      <c r="D350" s="969">
        <v>1.7200000000000001E-4</v>
      </c>
      <c r="E350" s="1008">
        <v>82188</v>
      </c>
      <c r="F350" s="1011">
        <v>365042</v>
      </c>
      <c r="G350" s="970">
        <v>267963</v>
      </c>
      <c r="H350" s="970"/>
      <c r="I350" s="971">
        <v>15437</v>
      </c>
      <c r="J350" s="972">
        <v>65062</v>
      </c>
      <c r="K350" s="971">
        <v>38269</v>
      </c>
      <c r="L350" s="970">
        <v>4381</v>
      </c>
      <c r="M350" s="970"/>
      <c r="N350" s="971">
        <v>7585</v>
      </c>
      <c r="O350" s="971">
        <v>0</v>
      </c>
      <c r="P350" s="971">
        <v>0</v>
      </c>
      <c r="Q350" s="970">
        <v>10262</v>
      </c>
      <c r="R350" s="970"/>
      <c r="S350" s="971">
        <v>90304</v>
      </c>
      <c r="T350" s="973">
        <v>-2871</v>
      </c>
      <c r="U350" s="973">
        <v>87433</v>
      </c>
    </row>
    <row r="351" spans="1:21" x14ac:dyDescent="0.25">
      <c r="A351" s="967">
        <v>93609</v>
      </c>
      <c r="B351" s="968" t="s">
        <v>2990</v>
      </c>
      <c r="C351" s="969">
        <v>3.7629999999999999E-3</v>
      </c>
      <c r="D351" s="969">
        <v>3.0569E-3</v>
      </c>
      <c r="E351" s="1008">
        <v>1743934</v>
      </c>
      <c r="F351" s="1011">
        <v>6487766</v>
      </c>
      <c r="G351" s="970">
        <v>5748822</v>
      </c>
      <c r="H351" s="970"/>
      <c r="I351" s="971">
        <v>331185</v>
      </c>
      <c r="J351" s="972">
        <v>1395821</v>
      </c>
      <c r="K351" s="971">
        <v>821011</v>
      </c>
      <c r="L351" s="970">
        <v>823315</v>
      </c>
      <c r="M351" s="970"/>
      <c r="N351" s="971">
        <v>162731</v>
      </c>
      <c r="O351" s="971">
        <v>0</v>
      </c>
      <c r="P351" s="971">
        <v>0</v>
      </c>
      <c r="Q351" s="970">
        <v>0</v>
      </c>
      <c r="R351" s="970"/>
      <c r="S351" s="971">
        <v>1937358</v>
      </c>
      <c r="T351" s="973">
        <v>360052</v>
      </c>
      <c r="U351" s="973">
        <v>2297410</v>
      </c>
    </row>
    <row r="352" spans="1:21" x14ac:dyDescent="0.25">
      <c r="A352" s="967">
        <v>93610</v>
      </c>
      <c r="B352" s="968" t="s">
        <v>2991</v>
      </c>
      <c r="C352" s="969">
        <v>1.33E-5</v>
      </c>
      <c r="D352" s="969">
        <v>6.4999999999999996E-6</v>
      </c>
      <c r="E352" s="1008">
        <v>5846</v>
      </c>
      <c r="F352" s="1011">
        <v>13795</v>
      </c>
      <c r="G352" s="970">
        <v>20319</v>
      </c>
      <c r="H352" s="970"/>
      <c r="I352" s="971">
        <v>1171</v>
      </c>
      <c r="J352" s="972">
        <v>4933</v>
      </c>
      <c r="K352" s="971">
        <v>2902</v>
      </c>
      <c r="L352" s="970">
        <v>6303</v>
      </c>
      <c r="M352" s="970"/>
      <c r="N352" s="971">
        <v>575</v>
      </c>
      <c r="O352" s="971">
        <v>0</v>
      </c>
      <c r="P352" s="971">
        <v>0</v>
      </c>
      <c r="Q352" s="970">
        <v>3373</v>
      </c>
      <c r="R352" s="970"/>
      <c r="S352" s="971">
        <v>6847</v>
      </c>
      <c r="T352" s="973">
        <v>1242</v>
      </c>
      <c r="U352" s="973">
        <f>8090-1</f>
        <v>8089</v>
      </c>
    </row>
    <row r="353" spans="1:21" x14ac:dyDescent="0.25">
      <c r="A353" s="967">
        <v>93611</v>
      </c>
      <c r="B353" s="968" t="s">
        <v>2992</v>
      </c>
      <c r="C353" s="969">
        <v>6.9544000000000003E-3</v>
      </c>
      <c r="D353" s="969">
        <v>6.9325000000000003E-3</v>
      </c>
      <c r="E353" s="1008">
        <v>3250733</v>
      </c>
      <c r="F353" s="1011">
        <v>14713087</v>
      </c>
      <c r="G353" s="970">
        <v>10624397</v>
      </c>
      <c r="H353" s="970"/>
      <c r="I353" s="971">
        <v>612064</v>
      </c>
      <c r="J353" s="972">
        <v>2579617</v>
      </c>
      <c r="K353" s="971">
        <v>1517311</v>
      </c>
      <c r="L353" s="970">
        <v>61146</v>
      </c>
      <c r="M353" s="970"/>
      <c r="N353" s="971">
        <v>300743</v>
      </c>
      <c r="O353" s="971">
        <v>0</v>
      </c>
      <c r="P353" s="971">
        <v>0</v>
      </c>
      <c r="Q353" s="970">
        <v>153061</v>
      </c>
      <c r="R353" s="970"/>
      <c r="S353" s="971">
        <v>3580431</v>
      </c>
      <c r="T353" s="973">
        <v>-98066</v>
      </c>
      <c r="U353" s="973">
        <v>3482365</v>
      </c>
    </row>
    <row r="354" spans="1:21" x14ac:dyDescent="0.25">
      <c r="A354" s="967">
        <v>93617</v>
      </c>
      <c r="B354" s="968" t="s">
        <v>2993</v>
      </c>
      <c r="C354" s="969">
        <v>8.2799999999999993E-5</v>
      </c>
      <c r="D354" s="969">
        <v>9.5000000000000005E-5</v>
      </c>
      <c r="E354" s="1008">
        <v>49100</v>
      </c>
      <c r="F354" s="1011">
        <v>201622</v>
      </c>
      <c r="G354" s="970">
        <v>126495</v>
      </c>
      <c r="H354" s="970"/>
      <c r="I354" s="971">
        <v>7287</v>
      </c>
      <c r="J354" s="972">
        <v>30714</v>
      </c>
      <c r="K354" s="971">
        <v>18065</v>
      </c>
      <c r="L354" s="970">
        <v>19622</v>
      </c>
      <c r="M354" s="970"/>
      <c r="N354" s="971">
        <v>3581</v>
      </c>
      <c r="O354" s="971">
        <v>0</v>
      </c>
      <c r="P354" s="971">
        <v>0</v>
      </c>
      <c r="Q354" s="970">
        <v>0</v>
      </c>
      <c r="R354" s="970"/>
      <c r="S354" s="971">
        <v>42629</v>
      </c>
      <c r="T354" s="973">
        <v>10180</v>
      </c>
      <c r="U354" s="973">
        <v>52809</v>
      </c>
    </row>
    <row r="355" spans="1:21" x14ac:dyDescent="0.25">
      <c r="A355" s="967">
        <v>93618</v>
      </c>
      <c r="B355" s="968" t="s">
        <v>2994</v>
      </c>
      <c r="C355" s="969">
        <v>1.11E-5</v>
      </c>
      <c r="D355" s="969">
        <v>1.17E-5</v>
      </c>
      <c r="E355" s="1008">
        <v>23982</v>
      </c>
      <c r="F355" s="1011">
        <v>24831</v>
      </c>
      <c r="G355" s="970">
        <v>16958</v>
      </c>
      <c r="H355" s="970"/>
      <c r="I355" s="971">
        <v>977</v>
      </c>
      <c r="J355" s="972">
        <v>4117</v>
      </c>
      <c r="K355" s="971">
        <v>2422</v>
      </c>
      <c r="L355" s="970">
        <v>33625</v>
      </c>
      <c r="M355" s="970"/>
      <c r="N355" s="971">
        <v>480</v>
      </c>
      <c r="O355" s="971">
        <v>0</v>
      </c>
      <c r="P355" s="971">
        <v>0</v>
      </c>
      <c r="Q355" s="970">
        <v>0</v>
      </c>
      <c r="R355" s="970"/>
      <c r="S355" s="971">
        <v>5715</v>
      </c>
      <c r="T355" s="973">
        <v>12182</v>
      </c>
      <c r="U355" s="973">
        <v>17897</v>
      </c>
    </row>
    <row r="356" spans="1:21" x14ac:dyDescent="0.25">
      <c r="A356" s="967">
        <v>93621</v>
      </c>
      <c r="B356" s="968" t="s">
        <v>2995</v>
      </c>
      <c r="C356" s="969">
        <v>9.5719999999999996E-4</v>
      </c>
      <c r="D356" s="969">
        <v>8.5320000000000003E-4</v>
      </c>
      <c r="E356" s="1008">
        <v>412639</v>
      </c>
      <c r="F356" s="1011">
        <v>1810776</v>
      </c>
      <c r="G356" s="970">
        <v>1462336</v>
      </c>
      <c r="H356" s="970"/>
      <c r="I356" s="971">
        <v>84244</v>
      </c>
      <c r="J356" s="972">
        <v>355057</v>
      </c>
      <c r="K356" s="971">
        <v>208842</v>
      </c>
      <c r="L356" s="970">
        <v>48292</v>
      </c>
      <c r="M356" s="970"/>
      <c r="N356" s="971">
        <v>41394</v>
      </c>
      <c r="O356" s="971">
        <v>0</v>
      </c>
      <c r="P356" s="971">
        <v>0</v>
      </c>
      <c r="Q356" s="970">
        <v>79767</v>
      </c>
      <c r="R356" s="970"/>
      <c r="S356" s="971">
        <v>492809</v>
      </c>
      <c r="T356" s="973">
        <v>-26570</v>
      </c>
      <c r="U356" s="973">
        <f>466238+1</f>
        <v>466239</v>
      </c>
    </row>
    <row r="357" spans="1:21" x14ac:dyDescent="0.25">
      <c r="A357" s="967">
        <v>93623</v>
      </c>
      <c r="B357" s="968" t="s">
        <v>2996</v>
      </c>
      <c r="C357" s="969">
        <v>1.2799999999999999E-5</v>
      </c>
      <c r="D357" s="969">
        <v>1.2500000000000001E-5</v>
      </c>
      <c r="E357" s="1008">
        <v>8720</v>
      </c>
      <c r="F357" s="1011">
        <v>26529</v>
      </c>
      <c r="G357" s="970">
        <v>19555</v>
      </c>
      <c r="H357" s="970"/>
      <c r="I357" s="971">
        <v>1127</v>
      </c>
      <c r="J357" s="972">
        <v>4748</v>
      </c>
      <c r="K357" s="971">
        <v>2793</v>
      </c>
      <c r="L357" s="970">
        <v>5501</v>
      </c>
      <c r="M357" s="970"/>
      <c r="N357" s="971">
        <v>554</v>
      </c>
      <c r="O357" s="971">
        <v>0</v>
      </c>
      <c r="P357" s="971">
        <v>0</v>
      </c>
      <c r="Q357" s="970">
        <v>1</v>
      </c>
      <c r="R357" s="970"/>
      <c r="S357" s="971">
        <v>6590</v>
      </c>
      <c r="T357" s="973">
        <v>1908</v>
      </c>
      <c r="U357" s="973">
        <v>8498</v>
      </c>
    </row>
    <row r="358" spans="1:21" x14ac:dyDescent="0.25">
      <c r="A358" s="967">
        <v>93631</v>
      </c>
      <c r="B358" s="968" t="s">
        <v>2997</v>
      </c>
      <c r="C358" s="969">
        <v>2.252E-4</v>
      </c>
      <c r="D358" s="969">
        <v>2.3440000000000001E-4</v>
      </c>
      <c r="E358" s="1008">
        <v>100501</v>
      </c>
      <c r="F358" s="1011">
        <v>497475</v>
      </c>
      <c r="G358" s="970">
        <v>344043</v>
      </c>
      <c r="H358" s="970"/>
      <c r="I358" s="971">
        <v>19820</v>
      </c>
      <c r="J358" s="972">
        <v>83534</v>
      </c>
      <c r="K358" s="971">
        <v>49134</v>
      </c>
      <c r="L358" s="970">
        <v>435</v>
      </c>
      <c r="M358" s="970"/>
      <c r="N358" s="971">
        <v>9739</v>
      </c>
      <c r="O358" s="971">
        <v>0</v>
      </c>
      <c r="P358" s="971">
        <v>0</v>
      </c>
      <c r="Q358" s="970">
        <v>20459</v>
      </c>
      <c r="R358" s="970"/>
      <c r="S358" s="971">
        <v>115943</v>
      </c>
      <c r="T358" s="973">
        <v>-7001</v>
      </c>
      <c r="U358" s="973">
        <v>108942</v>
      </c>
    </row>
    <row r="359" spans="1:21" x14ac:dyDescent="0.25">
      <c r="A359" s="967">
        <v>93641</v>
      </c>
      <c r="B359" s="968" t="s">
        <v>2998</v>
      </c>
      <c r="C359" s="969">
        <v>4.0450000000000002E-4</v>
      </c>
      <c r="D359" s="969">
        <v>4.3550000000000001E-4</v>
      </c>
      <c r="E359" s="1008">
        <v>197852</v>
      </c>
      <c r="F359" s="1011">
        <v>924277</v>
      </c>
      <c r="G359" s="970">
        <v>617964</v>
      </c>
      <c r="H359" s="970"/>
      <c r="I359" s="971">
        <v>35600</v>
      </c>
      <c r="J359" s="972">
        <v>150042</v>
      </c>
      <c r="K359" s="971">
        <v>88254</v>
      </c>
      <c r="L359" s="970">
        <v>14033</v>
      </c>
      <c r="M359" s="970"/>
      <c r="N359" s="971">
        <v>17493</v>
      </c>
      <c r="O359" s="971">
        <v>0</v>
      </c>
      <c r="P359" s="971">
        <v>0</v>
      </c>
      <c r="Q359" s="970">
        <v>11062</v>
      </c>
      <c r="R359" s="970"/>
      <c r="S359" s="971">
        <v>208254</v>
      </c>
      <c r="T359" s="973">
        <v>4772</v>
      </c>
      <c r="U359" s="973">
        <v>213026</v>
      </c>
    </row>
    <row r="360" spans="1:21" x14ac:dyDescent="0.25">
      <c r="A360" s="967">
        <v>93647</v>
      </c>
      <c r="B360" s="968" t="s">
        <v>2999</v>
      </c>
      <c r="C360" s="969">
        <v>6.0000000000000002E-6</v>
      </c>
      <c r="D360" s="969">
        <v>6.1E-6</v>
      </c>
      <c r="E360" s="1008">
        <v>9062</v>
      </c>
      <c r="F360" s="1011">
        <v>12946</v>
      </c>
      <c r="G360" s="970">
        <v>9166</v>
      </c>
      <c r="H360" s="970"/>
      <c r="I360" s="971">
        <v>528</v>
      </c>
      <c r="J360" s="972">
        <v>2226</v>
      </c>
      <c r="K360" s="971">
        <v>1309</v>
      </c>
      <c r="L360" s="970">
        <v>12039</v>
      </c>
      <c r="M360" s="970"/>
      <c r="N360" s="971">
        <v>259</v>
      </c>
      <c r="O360" s="971">
        <v>0</v>
      </c>
      <c r="P360" s="971">
        <v>0</v>
      </c>
      <c r="Q360" s="970">
        <v>0</v>
      </c>
      <c r="R360" s="970"/>
      <c r="S360" s="971">
        <v>3089</v>
      </c>
      <c r="T360" s="973">
        <v>4642</v>
      </c>
      <c r="U360" s="973">
        <v>7731</v>
      </c>
    </row>
    <row r="361" spans="1:21" x14ac:dyDescent="0.25">
      <c r="A361" s="967">
        <v>93651</v>
      </c>
      <c r="B361" s="968" t="s">
        <v>3000</v>
      </c>
      <c r="C361" s="969">
        <v>4.3800000000000002E-4</v>
      </c>
      <c r="D361" s="969">
        <v>4.282E-4</v>
      </c>
      <c r="E361" s="1008">
        <v>185953</v>
      </c>
      <c r="F361" s="1011">
        <v>908784</v>
      </c>
      <c r="G361" s="970">
        <v>669143</v>
      </c>
      <c r="H361" s="970"/>
      <c r="I361" s="971">
        <v>38549</v>
      </c>
      <c r="J361" s="972">
        <v>162468</v>
      </c>
      <c r="K361" s="971">
        <v>95563</v>
      </c>
      <c r="L361" s="970">
        <v>5830</v>
      </c>
      <c r="M361" s="970"/>
      <c r="N361" s="971">
        <v>18941</v>
      </c>
      <c r="O361" s="971">
        <v>0</v>
      </c>
      <c r="P361" s="971">
        <v>0</v>
      </c>
      <c r="Q361" s="970">
        <v>13910</v>
      </c>
      <c r="R361" s="970"/>
      <c r="S361" s="971">
        <v>225502</v>
      </c>
      <c r="T361" s="973">
        <v>-1521</v>
      </c>
      <c r="U361" s="973">
        <f>223980+1</f>
        <v>223981</v>
      </c>
    </row>
    <row r="362" spans="1:21" x14ac:dyDescent="0.25">
      <c r="A362" s="967">
        <v>93661</v>
      </c>
      <c r="B362" s="968" t="s">
        <v>3001</v>
      </c>
      <c r="C362" s="969">
        <v>1.3410000000000001E-4</v>
      </c>
      <c r="D362" s="969">
        <v>1.3420000000000001E-4</v>
      </c>
      <c r="E362" s="1008">
        <v>66084</v>
      </c>
      <c r="F362" s="1011">
        <v>284817</v>
      </c>
      <c r="G362" s="970">
        <v>204868</v>
      </c>
      <c r="H362" s="970"/>
      <c r="I362" s="971">
        <v>11802</v>
      </c>
      <c r="J362" s="972">
        <v>49742</v>
      </c>
      <c r="K362" s="971">
        <v>29258</v>
      </c>
      <c r="L362" s="970">
        <v>11769</v>
      </c>
      <c r="M362" s="970"/>
      <c r="N362" s="971">
        <v>5799</v>
      </c>
      <c r="O362" s="971">
        <v>0</v>
      </c>
      <c r="P362" s="971">
        <v>0</v>
      </c>
      <c r="Q362" s="970">
        <v>0</v>
      </c>
      <c r="R362" s="970"/>
      <c r="S362" s="971">
        <v>69041</v>
      </c>
      <c r="T362" s="973">
        <v>4842</v>
      </c>
      <c r="U362" s="973">
        <v>73883</v>
      </c>
    </row>
    <row r="363" spans="1:21" x14ac:dyDescent="0.25">
      <c r="A363" s="967">
        <v>93671</v>
      </c>
      <c r="B363" s="968" t="s">
        <v>3002</v>
      </c>
      <c r="C363" s="969">
        <v>3.5530000000000002E-4</v>
      </c>
      <c r="D363" s="969">
        <v>3.6900000000000002E-4</v>
      </c>
      <c r="E363" s="1008">
        <v>172672</v>
      </c>
      <c r="F363" s="1011">
        <v>783142</v>
      </c>
      <c r="G363" s="970">
        <v>542800</v>
      </c>
      <c r="H363" s="970"/>
      <c r="I363" s="971">
        <v>31270</v>
      </c>
      <c r="J363" s="972">
        <v>131793</v>
      </c>
      <c r="K363" s="971">
        <v>77519</v>
      </c>
      <c r="L363" s="970">
        <v>38666</v>
      </c>
      <c r="M363" s="970"/>
      <c r="N363" s="971">
        <v>15365</v>
      </c>
      <c r="O363" s="971">
        <v>0</v>
      </c>
      <c r="P363" s="971">
        <v>0</v>
      </c>
      <c r="Q363" s="970">
        <v>2899</v>
      </c>
      <c r="R363" s="970"/>
      <c r="S363" s="971">
        <v>182924</v>
      </c>
      <c r="T363" s="973">
        <v>28467</v>
      </c>
      <c r="U363" s="973">
        <v>211391</v>
      </c>
    </row>
    <row r="364" spans="1:21" x14ac:dyDescent="0.25">
      <c r="A364" s="967">
        <v>93677</v>
      </c>
      <c r="B364" s="968" t="s">
        <v>1522</v>
      </c>
      <c r="C364" s="969">
        <v>0</v>
      </c>
      <c r="D364" s="969">
        <v>0</v>
      </c>
      <c r="E364" s="1008">
        <v>0</v>
      </c>
      <c r="F364" s="1011">
        <v>0</v>
      </c>
      <c r="G364" s="970">
        <v>0</v>
      </c>
      <c r="H364" s="970"/>
      <c r="I364" s="971">
        <v>0</v>
      </c>
      <c r="J364" s="972">
        <v>0</v>
      </c>
      <c r="K364" s="971">
        <v>0</v>
      </c>
      <c r="L364" s="970">
        <v>0</v>
      </c>
      <c r="M364" s="970"/>
      <c r="N364" s="971">
        <v>0</v>
      </c>
      <c r="O364" s="971">
        <v>0</v>
      </c>
      <c r="P364" s="971">
        <v>0</v>
      </c>
      <c r="Q364" s="970">
        <v>718</v>
      </c>
      <c r="R364" s="970"/>
      <c r="S364" s="971">
        <v>0</v>
      </c>
      <c r="T364" s="973">
        <v>-725</v>
      </c>
      <c r="U364" s="973">
        <v>-725</v>
      </c>
    </row>
    <row r="365" spans="1:21" x14ac:dyDescent="0.25">
      <c r="A365" s="967">
        <v>93681</v>
      </c>
      <c r="B365" s="968" t="s">
        <v>3003</v>
      </c>
      <c r="C365" s="969">
        <v>1.1179999999999999E-4</v>
      </c>
      <c r="D365" s="969">
        <v>1.1010000000000001E-4</v>
      </c>
      <c r="E365" s="1008">
        <v>48115</v>
      </c>
      <c r="F365" s="1011">
        <v>233669</v>
      </c>
      <c r="G365" s="970">
        <v>170799</v>
      </c>
      <c r="H365" s="970"/>
      <c r="I365" s="971">
        <v>9840</v>
      </c>
      <c r="J365" s="972">
        <v>41470</v>
      </c>
      <c r="K365" s="971">
        <v>24393</v>
      </c>
      <c r="L365" s="970">
        <v>264</v>
      </c>
      <c r="M365" s="970"/>
      <c r="N365" s="971">
        <v>4835</v>
      </c>
      <c r="O365" s="971">
        <v>0</v>
      </c>
      <c r="P365" s="971">
        <v>0</v>
      </c>
      <c r="Q365" s="970">
        <v>12629</v>
      </c>
      <c r="R365" s="970"/>
      <c r="S365" s="971">
        <v>57560</v>
      </c>
      <c r="T365" s="973">
        <v>-6498</v>
      </c>
      <c r="U365" s="973">
        <f>51061+1</f>
        <v>51062</v>
      </c>
    </row>
    <row r="366" spans="1:21" x14ac:dyDescent="0.25">
      <c r="A366" s="967">
        <v>93691</v>
      </c>
      <c r="B366" s="968" t="s">
        <v>3004</v>
      </c>
      <c r="C366" s="969">
        <v>1.0858E-3</v>
      </c>
      <c r="D366" s="969">
        <v>1.1251E-3</v>
      </c>
      <c r="E366" s="1008">
        <v>464182</v>
      </c>
      <c r="F366" s="1011">
        <v>2387839</v>
      </c>
      <c r="G366" s="970">
        <v>1658802</v>
      </c>
      <c r="H366" s="970"/>
      <c r="I366" s="971">
        <v>95562</v>
      </c>
      <c r="J366" s="972">
        <v>402759</v>
      </c>
      <c r="K366" s="971">
        <v>236900</v>
      </c>
      <c r="L366" s="970">
        <v>0</v>
      </c>
      <c r="M366" s="970"/>
      <c r="N366" s="971">
        <v>46955</v>
      </c>
      <c r="O366" s="971">
        <v>0</v>
      </c>
      <c r="P366" s="971">
        <v>0</v>
      </c>
      <c r="Q366" s="970">
        <v>115438</v>
      </c>
      <c r="R366" s="970"/>
      <c r="S366" s="971">
        <v>559018</v>
      </c>
      <c r="T366" s="973">
        <v>-42411</v>
      </c>
      <c r="U366" s="973">
        <v>516607</v>
      </c>
    </row>
    <row r="367" spans="1:21" x14ac:dyDescent="0.25">
      <c r="A367" s="967">
        <v>93701</v>
      </c>
      <c r="B367" s="968" t="s">
        <v>3687</v>
      </c>
      <c r="C367" s="969">
        <v>4.5800000000000002E-4</v>
      </c>
      <c r="D367" s="969">
        <v>4.6200000000000001E-4</v>
      </c>
      <c r="E367" s="1008">
        <v>201820</v>
      </c>
      <c r="F367" s="1011">
        <v>0</v>
      </c>
      <c r="G367" s="970">
        <v>699697</v>
      </c>
      <c r="H367" s="970"/>
      <c r="I367" s="971">
        <v>40309</v>
      </c>
      <c r="J367" s="972">
        <v>169888</v>
      </c>
      <c r="K367" s="971">
        <v>99926</v>
      </c>
      <c r="L367" s="970">
        <v>7923</v>
      </c>
      <c r="M367" s="970"/>
      <c r="N367" s="971">
        <v>19806</v>
      </c>
      <c r="O367" s="971">
        <v>0</v>
      </c>
      <c r="P367" s="971">
        <v>0</v>
      </c>
      <c r="Q367" s="970">
        <v>17631</v>
      </c>
      <c r="R367" s="970"/>
      <c r="S367" s="971">
        <v>235799</v>
      </c>
      <c r="T367" s="973">
        <v>566</v>
      </c>
      <c r="U367" s="973">
        <v>236365</v>
      </c>
    </row>
    <row r="368" spans="1:21" x14ac:dyDescent="0.25">
      <c r="A368" s="967">
        <v>93704</v>
      </c>
      <c r="B368" s="968" t="s">
        <v>3006</v>
      </c>
      <c r="C368" s="969">
        <v>3.0000000000000001E-6</v>
      </c>
      <c r="D368" s="969">
        <v>3.3000000000000002E-6</v>
      </c>
      <c r="E368" s="1008">
        <v>1962</v>
      </c>
      <c r="F368" s="1011">
        <v>7004</v>
      </c>
      <c r="G368" s="970">
        <v>4583</v>
      </c>
      <c r="H368" s="970"/>
      <c r="I368" s="971">
        <v>264</v>
      </c>
      <c r="J368" s="972">
        <v>1113</v>
      </c>
      <c r="K368" s="971">
        <v>655</v>
      </c>
      <c r="L368" s="970">
        <v>578</v>
      </c>
      <c r="M368" s="970"/>
      <c r="N368" s="971">
        <v>130</v>
      </c>
      <c r="O368" s="971">
        <v>0</v>
      </c>
      <c r="P368" s="971">
        <v>0</v>
      </c>
      <c r="Q368" s="970">
        <v>49</v>
      </c>
      <c r="R368" s="970"/>
      <c r="S368" s="971">
        <v>1545</v>
      </c>
      <c r="T368" s="973">
        <v>136</v>
      </c>
      <c r="U368" s="973">
        <v>1681</v>
      </c>
    </row>
    <row r="369" spans="1:21" x14ac:dyDescent="0.25">
      <c r="A369" s="967">
        <v>93801</v>
      </c>
      <c r="B369" s="968" t="s">
        <v>3007</v>
      </c>
      <c r="C369" s="969">
        <v>4.7889999999999999E-4</v>
      </c>
      <c r="D369" s="969">
        <v>5.4180000000000005E-4</v>
      </c>
      <c r="E369" s="1008">
        <v>205984</v>
      </c>
      <c r="F369" s="1011">
        <v>1149881</v>
      </c>
      <c r="G369" s="970">
        <v>731627</v>
      </c>
      <c r="H369" s="970"/>
      <c r="I369" s="971">
        <v>42148</v>
      </c>
      <c r="J369" s="972">
        <v>177639</v>
      </c>
      <c r="K369" s="971">
        <v>104486</v>
      </c>
      <c r="L369" s="970">
        <v>113630</v>
      </c>
      <c r="M369" s="970"/>
      <c r="N369" s="971">
        <v>20710</v>
      </c>
      <c r="O369" s="971">
        <v>0</v>
      </c>
      <c r="P369" s="971">
        <v>0</v>
      </c>
      <c r="Q369" s="970">
        <v>54734</v>
      </c>
      <c r="R369" s="970"/>
      <c r="S369" s="971">
        <v>246559</v>
      </c>
      <c r="T369" s="973">
        <v>28052</v>
      </c>
      <c r="U369" s="973">
        <v>274611</v>
      </c>
    </row>
    <row r="370" spans="1:21" x14ac:dyDescent="0.25">
      <c r="A370" s="967">
        <v>93803</v>
      </c>
      <c r="B370" s="968" t="s">
        <v>3008</v>
      </c>
      <c r="C370" s="969">
        <v>1.1900000000000001E-4</v>
      </c>
      <c r="D370" s="969">
        <v>1.4469999999999999E-4</v>
      </c>
      <c r="E370" s="1008">
        <v>50573</v>
      </c>
      <c r="F370" s="1011">
        <v>307102</v>
      </c>
      <c r="G370" s="970">
        <v>181799</v>
      </c>
      <c r="H370" s="970"/>
      <c r="I370" s="971">
        <v>10473</v>
      </c>
      <c r="J370" s="972">
        <v>44141</v>
      </c>
      <c r="K370" s="971">
        <v>25963</v>
      </c>
      <c r="L370" s="970">
        <v>0</v>
      </c>
      <c r="M370" s="970"/>
      <c r="N370" s="971">
        <v>5146</v>
      </c>
      <c r="O370" s="971">
        <v>0</v>
      </c>
      <c r="P370" s="971">
        <v>0</v>
      </c>
      <c r="Q370" s="970">
        <v>42594</v>
      </c>
      <c r="R370" s="970"/>
      <c r="S370" s="971">
        <v>61266</v>
      </c>
      <c r="T370" s="973">
        <v>-17510</v>
      </c>
      <c r="U370" s="973">
        <v>43756</v>
      </c>
    </row>
    <row r="371" spans="1:21" x14ac:dyDescent="0.25">
      <c r="A371" s="967">
        <v>93806</v>
      </c>
      <c r="B371" s="968" t="s">
        <v>3009</v>
      </c>
      <c r="C371" s="969">
        <v>9.3900000000000006E-5</v>
      </c>
      <c r="D371" s="969">
        <v>7.3700000000000002E-5</v>
      </c>
      <c r="E371" s="1008">
        <v>41336</v>
      </c>
      <c r="F371" s="1011">
        <v>156416</v>
      </c>
      <c r="G371" s="970">
        <v>143453</v>
      </c>
      <c r="H371" s="970"/>
      <c r="I371" s="971">
        <v>8264</v>
      </c>
      <c r="J371" s="972">
        <v>34831</v>
      </c>
      <c r="K371" s="971">
        <v>20487</v>
      </c>
      <c r="L371" s="970">
        <v>13283</v>
      </c>
      <c r="M371" s="970"/>
      <c r="N371" s="971">
        <v>4061</v>
      </c>
      <c r="O371" s="971">
        <v>0</v>
      </c>
      <c r="P371" s="971">
        <v>0</v>
      </c>
      <c r="Q371" s="970">
        <v>10049</v>
      </c>
      <c r="R371" s="970"/>
      <c r="S371" s="971">
        <v>48344</v>
      </c>
      <c r="T371" s="973">
        <v>-6121</v>
      </c>
      <c r="U371" s="973">
        <v>42223</v>
      </c>
    </row>
    <row r="372" spans="1:21" x14ac:dyDescent="0.25">
      <c r="A372" s="967">
        <v>93821</v>
      </c>
      <c r="B372" s="968" t="s">
        <v>3010</v>
      </c>
      <c r="C372" s="969">
        <v>2.9899999999999998E-5</v>
      </c>
      <c r="D372" s="969">
        <v>5.7200000000000001E-5</v>
      </c>
      <c r="E372" s="1008">
        <v>36177</v>
      </c>
      <c r="F372" s="1011">
        <v>121398</v>
      </c>
      <c r="G372" s="970">
        <v>45679</v>
      </c>
      <c r="H372" s="970"/>
      <c r="I372" s="971">
        <v>2632</v>
      </c>
      <c r="J372" s="972">
        <v>11090</v>
      </c>
      <c r="K372" s="971">
        <v>6524</v>
      </c>
      <c r="L372" s="970">
        <v>18424</v>
      </c>
      <c r="M372" s="970"/>
      <c r="N372" s="971">
        <v>1293</v>
      </c>
      <c r="O372" s="971">
        <v>0</v>
      </c>
      <c r="P372" s="971">
        <v>0</v>
      </c>
      <c r="Q372" s="970">
        <v>343</v>
      </c>
      <c r="R372" s="970"/>
      <c r="S372" s="971">
        <v>15394</v>
      </c>
      <c r="T372" s="973">
        <v>7633</v>
      </c>
      <c r="U372" s="973">
        <f>23026+1</f>
        <v>23027</v>
      </c>
    </row>
    <row r="373" spans="1:21" x14ac:dyDescent="0.25">
      <c r="A373" s="967">
        <v>93901</v>
      </c>
      <c r="B373" s="968" t="s">
        <v>3011</v>
      </c>
      <c r="C373" s="969">
        <v>1.7974E-3</v>
      </c>
      <c r="D373" s="969">
        <v>1.8059E-3</v>
      </c>
      <c r="E373" s="1008">
        <v>887170</v>
      </c>
      <c r="F373" s="1011">
        <v>3832725</v>
      </c>
      <c r="G373" s="970">
        <v>2745929</v>
      </c>
      <c r="H373" s="970"/>
      <c r="I373" s="971">
        <v>158191</v>
      </c>
      <c r="J373" s="972">
        <v>666715</v>
      </c>
      <c r="K373" s="971">
        <v>392157</v>
      </c>
      <c r="L373" s="970">
        <v>89069</v>
      </c>
      <c r="M373" s="970"/>
      <c r="N373" s="971">
        <v>77729</v>
      </c>
      <c r="O373" s="971">
        <v>0</v>
      </c>
      <c r="P373" s="971">
        <v>0</v>
      </c>
      <c r="Q373" s="970">
        <v>0</v>
      </c>
      <c r="R373" s="970"/>
      <c r="S373" s="971">
        <v>925381</v>
      </c>
      <c r="T373" s="973">
        <v>32657</v>
      </c>
      <c r="U373" s="973">
        <v>958038</v>
      </c>
    </row>
    <row r="374" spans="1:21" x14ac:dyDescent="0.25">
      <c r="A374" s="967">
        <v>93904</v>
      </c>
      <c r="B374" s="968" t="s">
        <v>3012</v>
      </c>
      <c r="C374" s="969">
        <v>3.0000000000000001E-5</v>
      </c>
      <c r="D374" s="969">
        <v>2.4700000000000001E-5</v>
      </c>
      <c r="E374" s="1008">
        <v>17302</v>
      </c>
      <c r="F374" s="1011">
        <v>52422</v>
      </c>
      <c r="G374" s="970">
        <v>45832</v>
      </c>
      <c r="H374" s="970"/>
      <c r="I374" s="971">
        <v>2640</v>
      </c>
      <c r="J374" s="972">
        <v>11128</v>
      </c>
      <c r="K374" s="971">
        <v>6545</v>
      </c>
      <c r="L374" s="970">
        <v>9710</v>
      </c>
      <c r="M374" s="970"/>
      <c r="N374" s="971">
        <v>1297</v>
      </c>
      <c r="O374" s="971">
        <v>0</v>
      </c>
      <c r="P374" s="971">
        <v>0</v>
      </c>
      <c r="Q374" s="970">
        <v>28</v>
      </c>
      <c r="R374" s="970"/>
      <c r="S374" s="971">
        <v>15445</v>
      </c>
      <c r="T374" s="973">
        <v>3144</v>
      </c>
      <c r="U374" s="973">
        <v>18589</v>
      </c>
    </row>
    <row r="375" spans="1:21" x14ac:dyDescent="0.25">
      <c r="A375" s="967">
        <v>93906</v>
      </c>
      <c r="B375" s="968" t="s">
        <v>3013</v>
      </c>
      <c r="C375" s="969">
        <v>3.3882000000000001E-3</v>
      </c>
      <c r="D375" s="969">
        <v>3.4513E-3</v>
      </c>
      <c r="E375" s="1008">
        <v>1486051</v>
      </c>
      <c r="F375" s="1011">
        <v>7324815</v>
      </c>
      <c r="G375" s="970">
        <v>5176231</v>
      </c>
      <c r="H375" s="970"/>
      <c r="I375" s="971">
        <v>298199</v>
      </c>
      <c r="J375" s="972">
        <v>1256796</v>
      </c>
      <c r="K375" s="971">
        <v>739237</v>
      </c>
      <c r="L375" s="970">
        <v>14983</v>
      </c>
      <c r="M375" s="970"/>
      <c r="N375" s="971">
        <v>146523</v>
      </c>
      <c r="O375" s="971">
        <v>0</v>
      </c>
      <c r="P375" s="971">
        <v>0</v>
      </c>
      <c r="Q375" s="970">
        <v>222323</v>
      </c>
      <c r="R375" s="970"/>
      <c r="S375" s="971">
        <v>1744394</v>
      </c>
      <c r="T375" s="973">
        <v>-70525</v>
      </c>
      <c r="U375" s="973">
        <v>1673869</v>
      </c>
    </row>
    <row r="376" spans="1:21" x14ac:dyDescent="0.25">
      <c r="A376" s="967">
        <v>93908</v>
      </c>
      <c r="B376" s="968" t="s">
        <v>3688</v>
      </c>
      <c r="C376" s="969">
        <v>5.1219999999999998E-4</v>
      </c>
      <c r="D376" s="969">
        <v>5.0239999999999996E-4</v>
      </c>
      <c r="E376" s="1008">
        <v>237114</v>
      </c>
      <c r="F376" s="1011">
        <v>0</v>
      </c>
      <c r="G376" s="970">
        <v>782500</v>
      </c>
      <c r="H376" s="970"/>
      <c r="I376" s="971">
        <v>45079</v>
      </c>
      <c r="J376" s="972">
        <v>189992</v>
      </c>
      <c r="K376" s="971">
        <v>111752</v>
      </c>
      <c r="L376" s="970">
        <v>12340</v>
      </c>
      <c r="M376" s="970"/>
      <c r="N376" s="971">
        <v>22150</v>
      </c>
      <c r="O376" s="971">
        <v>0</v>
      </c>
      <c r="P376" s="971">
        <v>0</v>
      </c>
      <c r="Q376" s="970">
        <v>16479</v>
      </c>
      <c r="R376" s="970"/>
      <c r="S376" s="971">
        <v>263703</v>
      </c>
      <c r="T376" s="973">
        <v>-2302</v>
      </c>
      <c r="U376" s="973">
        <v>261401</v>
      </c>
    </row>
    <row r="377" spans="1:21" x14ac:dyDescent="0.25">
      <c r="A377" s="967">
        <v>93910</v>
      </c>
      <c r="B377" s="968" t="s">
        <v>3015</v>
      </c>
      <c r="C377" s="969">
        <v>2.786E-4</v>
      </c>
      <c r="D377" s="969">
        <v>2.9129999999999998E-4</v>
      </c>
      <c r="E377" s="1008">
        <v>117578</v>
      </c>
      <c r="F377" s="1011">
        <v>618236</v>
      </c>
      <c r="G377" s="970">
        <v>425624</v>
      </c>
      <c r="H377" s="970"/>
      <c r="I377" s="971">
        <v>24520</v>
      </c>
      <c r="J377" s="972">
        <v>103342</v>
      </c>
      <c r="K377" s="971">
        <v>60785</v>
      </c>
      <c r="L377" s="970">
        <v>0</v>
      </c>
      <c r="M377" s="970"/>
      <c r="N377" s="971">
        <v>12048</v>
      </c>
      <c r="O377" s="971">
        <v>0</v>
      </c>
      <c r="P377" s="971">
        <v>0</v>
      </c>
      <c r="Q377" s="970">
        <v>34002</v>
      </c>
      <c r="R377" s="970"/>
      <c r="S377" s="971">
        <v>143436</v>
      </c>
      <c r="T377" s="973">
        <v>-14513</v>
      </c>
      <c r="U377" s="973">
        <v>128923</v>
      </c>
    </row>
    <row r="378" spans="1:21" x14ac:dyDescent="0.25">
      <c r="A378" s="967">
        <v>93911</v>
      </c>
      <c r="B378" s="968" t="s">
        <v>3016</v>
      </c>
      <c r="C378" s="969">
        <v>6.3429999999999997E-4</v>
      </c>
      <c r="D378" s="969">
        <v>6.9890000000000002E-4</v>
      </c>
      <c r="E378" s="1008">
        <v>301989</v>
      </c>
      <c r="F378" s="1011">
        <v>1483300</v>
      </c>
      <c r="G378" s="970">
        <v>969035</v>
      </c>
      <c r="H378" s="970"/>
      <c r="I378" s="971">
        <v>55825</v>
      </c>
      <c r="J378" s="972">
        <v>235283</v>
      </c>
      <c r="K378" s="971">
        <v>138392</v>
      </c>
      <c r="L378" s="970">
        <v>13175</v>
      </c>
      <c r="M378" s="970"/>
      <c r="N378" s="971">
        <v>27430</v>
      </c>
      <c r="O378" s="971">
        <v>0</v>
      </c>
      <c r="P378" s="971">
        <v>0</v>
      </c>
      <c r="Q378" s="970">
        <v>54353</v>
      </c>
      <c r="R378" s="970"/>
      <c r="S378" s="971">
        <v>326566</v>
      </c>
      <c r="T378" s="973">
        <v>-6922</v>
      </c>
      <c r="U378" s="973">
        <v>319644</v>
      </c>
    </row>
    <row r="379" spans="1:21" x14ac:dyDescent="0.25">
      <c r="A379" s="967">
        <v>93913</v>
      </c>
      <c r="B379" s="968" t="s">
        <v>3017</v>
      </c>
      <c r="C379" s="969">
        <v>5.8799999999999999E-5</v>
      </c>
      <c r="D379" s="969">
        <v>6.2600000000000004E-5</v>
      </c>
      <c r="E379" s="1008">
        <v>29910</v>
      </c>
      <c r="F379" s="1011">
        <v>132858</v>
      </c>
      <c r="G379" s="970">
        <v>89830</v>
      </c>
      <c r="H379" s="970"/>
      <c r="I379" s="971">
        <v>5175</v>
      </c>
      <c r="J379" s="972">
        <v>21810</v>
      </c>
      <c r="K379" s="971">
        <v>12829</v>
      </c>
      <c r="L379" s="970">
        <v>2902</v>
      </c>
      <c r="M379" s="970"/>
      <c r="N379" s="971">
        <v>2543</v>
      </c>
      <c r="O379" s="971">
        <v>0</v>
      </c>
      <c r="P379" s="971">
        <v>0</v>
      </c>
      <c r="Q379" s="970">
        <v>1064</v>
      </c>
      <c r="R379" s="970"/>
      <c r="S379" s="971">
        <v>30273</v>
      </c>
      <c r="T379" s="973">
        <v>476</v>
      </c>
      <c r="U379" s="973">
        <v>30749</v>
      </c>
    </row>
    <row r="380" spans="1:21" x14ac:dyDescent="0.25">
      <c r="A380" s="967">
        <v>93914</v>
      </c>
      <c r="B380" s="968" t="s">
        <v>3018</v>
      </c>
      <c r="C380" s="969">
        <v>8.1000000000000004E-6</v>
      </c>
      <c r="D380" s="969">
        <v>9.0999999999999993E-6</v>
      </c>
      <c r="E380" s="1008">
        <v>6536</v>
      </c>
      <c r="F380" s="1011">
        <v>19313</v>
      </c>
      <c r="G380" s="970">
        <v>12375</v>
      </c>
      <c r="H380" s="970"/>
      <c r="I380" s="971">
        <v>713</v>
      </c>
      <c r="J380" s="972">
        <v>3005</v>
      </c>
      <c r="K380" s="971">
        <v>1767</v>
      </c>
      <c r="L380" s="970">
        <v>3568</v>
      </c>
      <c r="M380" s="970"/>
      <c r="N380" s="971">
        <v>350</v>
      </c>
      <c r="O380" s="971">
        <v>0</v>
      </c>
      <c r="P380" s="971">
        <v>0</v>
      </c>
      <c r="Q380" s="970">
        <v>0</v>
      </c>
      <c r="R380" s="970"/>
      <c r="S380" s="971">
        <v>4170</v>
      </c>
      <c r="T380" s="973">
        <v>1520</v>
      </c>
      <c r="U380" s="973">
        <v>5690</v>
      </c>
    </row>
    <row r="381" spans="1:21" x14ac:dyDescent="0.25">
      <c r="A381" s="967">
        <v>93921</v>
      </c>
      <c r="B381" s="968" t="s">
        <v>3019</v>
      </c>
      <c r="C381" s="969">
        <v>2.9020000000000001E-4</v>
      </c>
      <c r="D381" s="969">
        <v>2.7139999999999998E-4</v>
      </c>
      <c r="E381" s="1008">
        <v>126884</v>
      </c>
      <c r="F381" s="1011">
        <v>576002</v>
      </c>
      <c r="G381" s="970">
        <v>443345</v>
      </c>
      <c r="H381" s="970"/>
      <c r="I381" s="971">
        <v>25541</v>
      </c>
      <c r="J381" s="972">
        <v>107645</v>
      </c>
      <c r="K381" s="971">
        <v>63316</v>
      </c>
      <c r="L381" s="970">
        <v>16222</v>
      </c>
      <c r="M381" s="970"/>
      <c r="N381" s="971">
        <v>12550</v>
      </c>
      <c r="O381" s="971">
        <v>0</v>
      </c>
      <c r="P381" s="971">
        <v>0</v>
      </c>
      <c r="Q381" s="970">
        <v>5036</v>
      </c>
      <c r="R381" s="970"/>
      <c r="S381" s="971">
        <v>149408</v>
      </c>
      <c r="T381" s="973">
        <v>6326</v>
      </c>
      <c r="U381" s="973">
        <v>155734</v>
      </c>
    </row>
    <row r="382" spans="1:21" x14ac:dyDescent="0.25">
      <c r="A382" s="967">
        <v>93931</v>
      </c>
      <c r="B382" s="968" t="s">
        <v>3020</v>
      </c>
      <c r="C382" s="969">
        <v>5.0029999999999996E-4</v>
      </c>
      <c r="D382" s="969">
        <v>5.2260000000000002E-4</v>
      </c>
      <c r="E382" s="1008">
        <v>212623</v>
      </c>
      <c r="F382" s="1011">
        <v>1109132</v>
      </c>
      <c r="G382" s="970">
        <v>764320</v>
      </c>
      <c r="H382" s="970"/>
      <c r="I382" s="971">
        <v>44032</v>
      </c>
      <c r="J382" s="972">
        <v>185578</v>
      </c>
      <c r="K382" s="971">
        <v>109155</v>
      </c>
      <c r="L382" s="970">
        <v>107572</v>
      </c>
      <c r="M382" s="970"/>
      <c r="N382" s="971">
        <v>21635</v>
      </c>
      <c r="O382" s="971">
        <v>0</v>
      </c>
      <c r="P382" s="971">
        <v>0</v>
      </c>
      <c r="Q382" s="970">
        <v>39017</v>
      </c>
      <c r="R382" s="970"/>
      <c r="S382" s="971">
        <v>257576</v>
      </c>
      <c r="T382" s="973">
        <v>79129</v>
      </c>
      <c r="U382" s="973">
        <v>336705</v>
      </c>
    </row>
    <row r="383" spans="1:21" x14ac:dyDescent="0.25">
      <c r="A383" s="967">
        <v>94001</v>
      </c>
      <c r="B383" s="968" t="s">
        <v>3021</v>
      </c>
      <c r="C383" s="969">
        <v>9.209E-4</v>
      </c>
      <c r="D383" s="969">
        <v>9.0240000000000003E-4</v>
      </c>
      <c r="E383" s="1008">
        <v>430503</v>
      </c>
      <c r="F383" s="1011">
        <v>1915195</v>
      </c>
      <c r="G383" s="970">
        <v>1406880</v>
      </c>
      <c r="H383" s="970"/>
      <c r="I383" s="971">
        <v>81049</v>
      </c>
      <c r="J383" s="972">
        <v>341592</v>
      </c>
      <c r="K383" s="971">
        <v>200922</v>
      </c>
      <c r="L383" s="970">
        <v>45532</v>
      </c>
      <c r="M383" s="970"/>
      <c r="N383" s="971">
        <v>39824</v>
      </c>
      <c r="O383" s="971">
        <v>0</v>
      </c>
      <c r="P383" s="971">
        <v>0</v>
      </c>
      <c r="Q383" s="970">
        <v>27168</v>
      </c>
      <c r="R383" s="970"/>
      <c r="S383" s="971">
        <v>474120</v>
      </c>
      <c r="T383" s="973">
        <v>-12411</v>
      </c>
      <c r="U383" s="973">
        <v>461709</v>
      </c>
    </row>
    <row r="384" spans="1:21" x14ac:dyDescent="0.25">
      <c r="A384" s="967">
        <v>94002</v>
      </c>
      <c r="B384" s="968" t="s">
        <v>3022</v>
      </c>
      <c r="C384" s="969">
        <v>7.0999999999999998E-6</v>
      </c>
      <c r="D384" s="969">
        <v>7.6000000000000001E-6</v>
      </c>
      <c r="E384" s="1008">
        <v>4693</v>
      </c>
      <c r="F384" s="1011">
        <v>16130</v>
      </c>
      <c r="G384" s="970">
        <v>10847</v>
      </c>
      <c r="H384" s="970"/>
      <c r="I384" s="971">
        <v>625</v>
      </c>
      <c r="J384" s="972">
        <v>2633</v>
      </c>
      <c r="K384" s="971">
        <v>1549</v>
      </c>
      <c r="L384" s="970">
        <v>1428</v>
      </c>
      <c r="M384" s="970"/>
      <c r="N384" s="971">
        <v>307</v>
      </c>
      <c r="O384" s="971">
        <v>0</v>
      </c>
      <c r="P384" s="971">
        <v>0</v>
      </c>
      <c r="Q384" s="970">
        <v>214</v>
      </c>
      <c r="R384" s="970"/>
      <c r="S384" s="971">
        <v>3655</v>
      </c>
      <c r="T384" s="973">
        <v>237</v>
      </c>
      <c r="U384" s="973">
        <v>3892</v>
      </c>
    </row>
    <row r="385" spans="1:21" x14ac:dyDescent="0.25">
      <c r="A385" s="967">
        <v>94004</v>
      </c>
      <c r="B385" s="968" t="s">
        <v>3023</v>
      </c>
      <c r="C385" s="969">
        <v>7.3000000000000004E-6</v>
      </c>
      <c r="D385" s="969">
        <v>2.7999999999999999E-6</v>
      </c>
      <c r="E385" s="1008">
        <v>4145</v>
      </c>
      <c r="F385" s="1011">
        <v>5943</v>
      </c>
      <c r="G385" s="970">
        <v>11152</v>
      </c>
      <c r="H385" s="970"/>
      <c r="I385" s="971">
        <v>642</v>
      </c>
      <c r="J385" s="972">
        <v>2708</v>
      </c>
      <c r="K385" s="971">
        <v>1593</v>
      </c>
      <c r="L385" s="970">
        <v>4768</v>
      </c>
      <c r="M385" s="970"/>
      <c r="N385" s="971">
        <v>316</v>
      </c>
      <c r="O385" s="971">
        <v>0</v>
      </c>
      <c r="P385" s="971">
        <v>0</v>
      </c>
      <c r="Q385" s="970">
        <v>626</v>
      </c>
      <c r="R385" s="970"/>
      <c r="S385" s="971">
        <v>3758</v>
      </c>
      <c r="T385" s="973">
        <v>706</v>
      </c>
      <c r="U385" s="973">
        <v>4464</v>
      </c>
    </row>
    <row r="386" spans="1:21" x14ac:dyDescent="0.25">
      <c r="A386" s="967">
        <v>94005</v>
      </c>
      <c r="B386" s="968" t="s">
        <v>3024</v>
      </c>
      <c r="C386" s="969">
        <v>0</v>
      </c>
      <c r="D386" s="969">
        <v>5.4999999999999999E-6</v>
      </c>
      <c r="E386" s="1008">
        <v>560</v>
      </c>
      <c r="F386" s="1011">
        <v>11673</v>
      </c>
      <c r="G386" s="970">
        <v>0</v>
      </c>
      <c r="H386" s="970"/>
      <c r="I386" s="971">
        <v>0</v>
      </c>
      <c r="J386" s="972">
        <v>0</v>
      </c>
      <c r="K386" s="971">
        <v>0</v>
      </c>
      <c r="L386" s="970">
        <v>0</v>
      </c>
      <c r="M386" s="970"/>
      <c r="N386" s="971">
        <v>0</v>
      </c>
      <c r="O386" s="971">
        <v>0</v>
      </c>
      <c r="P386" s="971">
        <v>0</v>
      </c>
      <c r="Q386" s="970">
        <v>5864</v>
      </c>
      <c r="R386" s="970"/>
      <c r="S386" s="971">
        <v>0</v>
      </c>
      <c r="T386" s="973">
        <v>-1984</v>
      </c>
      <c r="U386" s="973">
        <v>-1984</v>
      </c>
    </row>
    <row r="387" spans="1:21" x14ac:dyDescent="0.25">
      <c r="A387" s="967">
        <v>94011</v>
      </c>
      <c r="B387" s="968" t="s">
        <v>3025</v>
      </c>
      <c r="C387" s="969">
        <v>2.3600000000000001E-5</v>
      </c>
      <c r="D387" s="969">
        <v>2.5599999999999999E-5</v>
      </c>
      <c r="E387" s="1008">
        <v>9233</v>
      </c>
      <c r="F387" s="1011">
        <v>54332</v>
      </c>
      <c r="G387" s="970">
        <v>36054</v>
      </c>
      <c r="H387" s="970"/>
      <c r="I387" s="971">
        <v>2077</v>
      </c>
      <c r="J387" s="972">
        <v>8754</v>
      </c>
      <c r="K387" s="971">
        <v>5149</v>
      </c>
      <c r="L387" s="970">
        <v>3216</v>
      </c>
      <c r="M387" s="970"/>
      <c r="N387" s="971">
        <v>1021</v>
      </c>
      <c r="O387" s="971">
        <v>0</v>
      </c>
      <c r="P387" s="971">
        <v>0</v>
      </c>
      <c r="Q387" s="970">
        <v>3156</v>
      </c>
      <c r="R387" s="970"/>
      <c r="S387" s="971">
        <v>12150</v>
      </c>
      <c r="T387" s="973">
        <v>-16</v>
      </c>
      <c r="U387" s="973">
        <v>12134</v>
      </c>
    </row>
    <row r="388" spans="1:21" x14ac:dyDescent="0.25">
      <c r="A388" s="967">
        <v>94021</v>
      </c>
      <c r="B388" s="968" t="s">
        <v>3026</v>
      </c>
      <c r="C388" s="969">
        <v>9.3399999999999993E-5</v>
      </c>
      <c r="D388" s="969">
        <v>8.1699999999999994E-5</v>
      </c>
      <c r="E388" s="1008">
        <v>47346</v>
      </c>
      <c r="F388" s="1011">
        <v>173395</v>
      </c>
      <c r="G388" s="970">
        <v>142689</v>
      </c>
      <c r="H388" s="970"/>
      <c r="I388" s="971">
        <v>8220</v>
      </c>
      <c r="J388" s="972">
        <v>34645</v>
      </c>
      <c r="K388" s="971">
        <v>20378</v>
      </c>
      <c r="L388" s="970">
        <v>20025</v>
      </c>
      <c r="M388" s="970"/>
      <c r="N388" s="971">
        <v>4039</v>
      </c>
      <c r="O388" s="971">
        <v>0</v>
      </c>
      <c r="P388" s="971">
        <v>0</v>
      </c>
      <c r="Q388" s="970">
        <v>0</v>
      </c>
      <c r="R388" s="970"/>
      <c r="S388" s="971">
        <v>48086</v>
      </c>
      <c r="T388" s="973">
        <v>8567</v>
      </c>
      <c r="U388" s="973">
        <v>56653</v>
      </c>
    </row>
    <row r="389" spans="1:21" x14ac:dyDescent="0.25">
      <c r="A389" s="967">
        <v>94031</v>
      </c>
      <c r="B389" s="968" t="s">
        <v>3027</v>
      </c>
      <c r="C389" s="969">
        <v>5.4E-6</v>
      </c>
      <c r="D389" s="969">
        <v>8.1000000000000004E-6</v>
      </c>
      <c r="E389" s="1008">
        <v>6800</v>
      </c>
      <c r="F389" s="1011">
        <v>17191</v>
      </c>
      <c r="G389" s="970">
        <v>8250</v>
      </c>
      <c r="H389" s="970"/>
      <c r="I389" s="971">
        <v>475</v>
      </c>
      <c r="J389" s="972">
        <v>2003</v>
      </c>
      <c r="K389" s="971">
        <v>1178</v>
      </c>
      <c r="L389" s="970">
        <v>7232</v>
      </c>
      <c r="M389" s="970"/>
      <c r="N389" s="971">
        <v>234</v>
      </c>
      <c r="O389" s="971">
        <v>0</v>
      </c>
      <c r="P389" s="971">
        <v>0</v>
      </c>
      <c r="Q389" s="970">
        <v>41</v>
      </c>
      <c r="R389" s="970"/>
      <c r="S389" s="971">
        <v>2780</v>
      </c>
      <c r="T389" s="973">
        <v>2829</v>
      </c>
      <c r="U389" s="973">
        <v>5609</v>
      </c>
    </row>
    <row r="390" spans="1:21" x14ac:dyDescent="0.25">
      <c r="A390" s="967">
        <v>94101</v>
      </c>
      <c r="B390" s="968" t="s">
        <v>3028</v>
      </c>
      <c r="C390" s="969">
        <v>1.8321799999999999E-2</v>
      </c>
      <c r="D390" s="969">
        <v>1.85028E-2</v>
      </c>
      <c r="E390" s="1008">
        <v>8515875</v>
      </c>
      <c r="F390" s="1011">
        <v>39269140</v>
      </c>
      <c r="G390" s="970">
        <v>27990635</v>
      </c>
      <c r="H390" s="970"/>
      <c r="I390" s="971">
        <v>1612520</v>
      </c>
      <c r="J390" s="972">
        <v>6796161</v>
      </c>
      <c r="K390" s="971">
        <v>3997450</v>
      </c>
      <c r="L390" s="970">
        <v>271577</v>
      </c>
      <c r="M390" s="970"/>
      <c r="N390" s="971">
        <v>792326</v>
      </c>
      <c r="O390" s="971">
        <v>0</v>
      </c>
      <c r="P390" s="971">
        <v>0</v>
      </c>
      <c r="Q390" s="970">
        <v>721969</v>
      </c>
      <c r="R390" s="970"/>
      <c r="S390" s="971">
        <v>9432869</v>
      </c>
      <c r="T390" s="973">
        <v>-270678</v>
      </c>
      <c r="U390" s="973">
        <v>9162191</v>
      </c>
    </row>
    <row r="391" spans="1:21" x14ac:dyDescent="0.25">
      <c r="A391" s="967">
        <v>94102</v>
      </c>
      <c r="B391" s="968" t="s">
        <v>3029</v>
      </c>
      <c r="C391" s="969">
        <v>2.965E-4</v>
      </c>
      <c r="D391" s="969">
        <v>2.7569999999999998E-4</v>
      </c>
      <c r="E391" s="1008">
        <v>104557</v>
      </c>
      <c r="F391" s="1011">
        <v>585128</v>
      </c>
      <c r="G391" s="970">
        <v>452970</v>
      </c>
      <c r="H391" s="970"/>
      <c r="I391" s="971">
        <v>26095</v>
      </c>
      <c r="J391" s="972">
        <v>109981</v>
      </c>
      <c r="K391" s="971">
        <v>64690</v>
      </c>
      <c r="L391" s="970">
        <v>2570</v>
      </c>
      <c r="M391" s="970"/>
      <c r="N391" s="971">
        <v>12822</v>
      </c>
      <c r="O391" s="971">
        <v>0</v>
      </c>
      <c r="P391" s="971">
        <v>0</v>
      </c>
      <c r="Q391" s="970">
        <v>36856</v>
      </c>
      <c r="R391" s="970"/>
      <c r="S391" s="971">
        <v>152651</v>
      </c>
      <c r="T391" s="973">
        <v>-11311</v>
      </c>
      <c r="U391" s="973">
        <v>141340</v>
      </c>
    </row>
    <row r="392" spans="1:21" x14ac:dyDescent="0.25">
      <c r="A392" s="967">
        <v>94108</v>
      </c>
      <c r="B392" s="968" t="s">
        <v>3030</v>
      </c>
      <c r="C392" s="969">
        <v>3.1389999999999999E-4</v>
      </c>
      <c r="D392" s="969">
        <v>3.1809999999999998E-4</v>
      </c>
      <c r="E392" s="1008">
        <v>112936</v>
      </c>
      <c r="F392" s="1011">
        <v>675115</v>
      </c>
      <c r="G392" s="970">
        <v>479552</v>
      </c>
      <c r="H392" s="970"/>
      <c r="I392" s="971">
        <v>27627</v>
      </c>
      <c r="J392" s="972">
        <v>116436</v>
      </c>
      <c r="K392" s="971">
        <v>68487</v>
      </c>
      <c r="L392" s="970">
        <v>0</v>
      </c>
      <c r="M392" s="970"/>
      <c r="N392" s="971">
        <v>13575</v>
      </c>
      <c r="O392" s="971">
        <v>0</v>
      </c>
      <c r="P392" s="971">
        <v>0</v>
      </c>
      <c r="Q392" s="970">
        <v>108607</v>
      </c>
      <c r="R392" s="970"/>
      <c r="S392" s="971">
        <v>161610</v>
      </c>
      <c r="T392" s="973">
        <v>-47459</v>
      </c>
      <c r="U392" s="973">
        <v>114151</v>
      </c>
    </row>
    <row r="393" spans="1:21" x14ac:dyDescent="0.25">
      <c r="A393" s="967">
        <v>94109</v>
      </c>
      <c r="B393" s="968" t="s">
        <v>3031</v>
      </c>
      <c r="C393" s="969">
        <v>9.09E-5</v>
      </c>
      <c r="D393" s="969">
        <v>1.0399999999999999E-4</v>
      </c>
      <c r="E393" s="1008">
        <v>31710</v>
      </c>
      <c r="F393" s="1011">
        <v>220723</v>
      </c>
      <c r="G393" s="970">
        <v>138870</v>
      </c>
      <c r="H393" s="970"/>
      <c r="I393" s="971">
        <v>8000</v>
      </c>
      <c r="J393" s="972">
        <v>33718</v>
      </c>
      <c r="K393" s="971">
        <v>19833</v>
      </c>
      <c r="L393" s="970">
        <v>796</v>
      </c>
      <c r="M393" s="970"/>
      <c r="N393" s="971">
        <v>3931</v>
      </c>
      <c r="O393" s="971">
        <v>0</v>
      </c>
      <c r="P393" s="971">
        <v>0</v>
      </c>
      <c r="Q393" s="970">
        <v>41294</v>
      </c>
      <c r="R393" s="970"/>
      <c r="S393" s="971">
        <v>46799</v>
      </c>
      <c r="T393" s="973">
        <v>-12890</v>
      </c>
      <c r="U393" s="973">
        <v>33909</v>
      </c>
    </row>
    <row r="394" spans="1:21" x14ac:dyDescent="0.25">
      <c r="A394" s="967">
        <v>94111</v>
      </c>
      <c r="B394" s="968" t="s">
        <v>3032</v>
      </c>
      <c r="C394" s="969">
        <v>2.5682300000000002E-2</v>
      </c>
      <c r="D394" s="969">
        <v>2.5623300000000002E-2</v>
      </c>
      <c r="E394" s="1008">
        <v>11270051</v>
      </c>
      <c r="F394" s="1011">
        <v>54381226</v>
      </c>
      <c r="G394" s="970">
        <v>39235440</v>
      </c>
      <c r="H394" s="970"/>
      <c r="I394" s="971">
        <v>2260325</v>
      </c>
      <c r="J394" s="972">
        <v>9526412</v>
      </c>
      <c r="K394" s="971">
        <v>5603364</v>
      </c>
      <c r="L394" s="970">
        <v>7528</v>
      </c>
      <c r="M394" s="970"/>
      <c r="N394" s="971">
        <v>1110631</v>
      </c>
      <c r="O394" s="971">
        <v>0</v>
      </c>
      <c r="P394" s="971">
        <v>0</v>
      </c>
      <c r="Q394" s="970">
        <v>1491627</v>
      </c>
      <c r="R394" s="970"/>
      <c r="S394" s="971">
        <v>13222378</v>
      </c>
      <c r="T394" s="973">
        <v>-524586</v>
      </c>
      <c r="U394" s="973">
        <v>12697792</v>
      </c>
    </row>
    <row r="395" spans="1:21" x14ac:dyDescent="0.25">
      <c r="A395" s="967">
        <v>94112</v>
      </c>
      <c r="B395" s="968" t="s">
        <v>3033</v>
      </c>
      <c r="C395" s="969">
        <v>1.6699999999999999E-4</v>
      </c>
      <c r="D395" s="969">
        <v>1.6530000000000001E-4</v>
      </c>
      <c r="E395" s="1008">
        <v>68640</v>
      </c>
      <c r="F395" s="1011">
        <v>350822</v>
      </c>
      <c r="G395" s="970">
        <v>255130</v>
      </c>
      <c r="H395" s="970"/>
      <c r="I395" s="971">
        <v>14698</v>
      </c>
      <c r="J395" s="972">
        <v>61946</v>
      </c>
      <c r="K395" s="971">
        <v>36436</v>
      </c>
      <c r="L395" s="970">
        <v>0</v>
      </c>
      <c r="M395" s="970"/>
      <c r="N395" s="971">
        <v>7222</v>
      </c>
      <c r="O395" s="971">
        <v>0</v>
      </c>
      <c r="P395" s="971">
        <v>0</v>
      </c>
      <c r="Q395" s="970">
        <v>18973</v>
      </c>
      <c r="R395" s="970"/>
      <c r="S395" s="971">
        <v>85979</v>
      </c>
      <c r="T395" s="973">
        <v>-8534</v>
      </c>
      <c r="U395" s="973">
        <v>77445</v>
      </c>
    </row>
    <row r="396" spans="1:21" x14ac:dyDescent="0.25">
      <c r="A396" s="967">
        <v>94117</v>
      </c>
      <c r="B396" s="968" t="s">
        <v>3034</v>
      </c>
      <c r="C396" s="969">
        <v>3.9809999999999997E-4</v>
      </c>
      <c r="D396" s="969">
        <v>4.0709999999999997E-4</v>
      </c>
      <c r="E396" s="1008">
        <v>179744</v>
      </c>
      <c r="F396" s="1011">
        <v>864003</v>
      </c>
      <c r="G396" s="970">
        <v>608187</v>
      </c>
      <c r="H396" s="970"/>
      <c r="I396" s="971">
        <v>35037</v>
      </c>
      <c r="J396" s="972">
        <v>147669</v>
      </c>
      <c r="K396" s="971">
        <v>86857</v>
      </c>
      <c r="L396" s="970">
        <v>8133</v>
      </c>
      <c r="M396" s="970"/>
      <c r="N396" s="971">
        <v>17216</v>
      </c>
      <c r="O396" s="971">
        <v>0</v>
      </c>
      <c r="P396" s="971">
        <v>0</v>
      </c>
      <c r="Q396" s="970">
        <v>15587</v>
      </c>
      <c r="R396" s="970"/>
      <c r="S396" s="971">
        <v>204959</v>
      </c>
      <c r="T396" s="973">
        <v>-79</v>
      </c>
      <c r="U396" s="973">
        <v>204880</v>
      </c>
    </row>
    <row r="397" spans="1:21" x14ac:dyDescent="0.25">
      <c r="A397" s="967">
        <v>94118</v>
      </c>
      <c r="B397" s="968" t="s">
        <v>3035</v>
      </c>
      <c r="C397" s="969">
        <v>1.494E-4</v>
      </c>
      <c r="D397" s="969">
        <v>1.63E-4</v>
      </c>
      <c r="E397" s="1008">
        <v>57233</v>
      </c>
      <c r="F397" s="1011">
        <v>345941</v>
      </c>
      <c r="G397" s="970">
        <v>228242</v>
      </c>
      <c r="H397" s="970"/>
      <c r="I397" s="971">
        <v>13149</v>
      </c>
      <c r="J397" s="972">
        <v>55417</v>
      </c>
      <c r="K397" s="971">
        <v>32596</v>
      </c>
      <c r="L397" s="970">
        <v>0</v>
      </c>
      <c r="M397" s="970"/>
      <c r="N397" s="971">
        <v>6461</v>
      </c>
      <c r="O397" s="971">
        <v>0</v>
      </c>
      <c r="P397" s="971">
        <v>0</v>
      </c>
      <c r="Q397" s="970">
        <v>56599</v>
      </c>
      <c r="R397" s="970"/>
      <c r="S397" s="971">
        <v>76918</v>
      </c>
      <c r="T397" s="973">
        <v>-24768</v>
      </c>
      <c r="U397" s="973">
        <v>52150</v>
      </c>
    </row>
    <row r="398" spans="1:21" x14ac:dyDescent="0.25">
      <c r="A398" s="967">
        <v>94121</v>
      </c>
      <c r="B398" s="968" t="s">
        <v>3036</v>
      </c>
      <c r="C398" s="969">
        <v>1.1246000000000001E-2</v>
      </c>
      <c r="D398" s="969">
        <v>1.12823E-2</v>
      </c>
      <c r="E398" s="1008">
        <v>5240634</v>
      </c>
      <c r="F398" s="1011">
        <v>23944820</v>
      </c>
      <c r="G398" s="970">
        <v>17180773</v>
      </c>
      <c r="H398" s="970"/>
      <c r="I398" s="971">
        <v>989772</v>
      </c>
      <c r="J398" s="972">
        <v>4171512</v>
      </c>
      <c r="K398" s="971">
        <v>2453652</v>
      </c>
      <c r="L398" s="970">
        <v>65556</v>
      </c>
      <c r="M398" s="970"/>
      <c r="N398" s="971">
        <v>486333</v>
      </c>
      <c r="O398" s="971">
        <v>0</v>
      </c>
      <c r="P398" s="971">
        <v>0</v>
      </c>
      <c r="Q398" s="970">
        <v>276825</v>
      </c>
      <c r="R398" s="970"/>
      <c r="S398" s="971">
        <v>5789936</v>
      </c>
      <c r="T398" s="973">
        <v>-128084</v>
      </c>
      <c r="U398" s="973">
        <v>5661852</v>
      </c>
    </row>
    <row r="399" spans="1:21" x14ac:dyDescent="0.25">
      <c r="A399" s="967">
        <v>94127</v>
      </c>
      <c r="B399" s="968" t="s">
        <v>3037</v>
      </c>
      <c r="C399" s="969">
        <v>1.7310000000000001E-4</v>
      </c>
      <c r="D399" s="969">
        <v>1.528E-4</v>
      </c>
      <c r="E399" s="1008">
        <v>70093</v>
      </c>
      <c r="F399" s="1011">
        <v>324293</v>
      </c>
      <c r="G399" s="970">
        <v>264449</v>
      </c>
      <c r="H399" s="970"/>
      <c r="I399" s="971">
        <v>15235</v>
      </c>
      <c r="J399" s="972">
        <v>64208</v>
      </c>
      <c r="K399" s="971">
        <v>37767</v>
      </c>
      <c r="L399" s="970">
        <v>8697</v>
      </c>
      <c r="M399" s="970"/>
      <c r="N399" s="971">
        <v>7486</v>
      </c>
      <c r="O399" s="971">
        <v>0</v>
      </c>
      <c r="P399" s="971">
        <v>0</v>
      </c>
      <c r="Q399" s="970">
        <v>398</v>
      </c>
      <c r="R399" s="970"/>
      <c r="S399" s="971">
        <v>89119</v>
      </c>
      <c r="T399" s="973">
        <v>2605</v>
      </c>
      <c r="U399" s="973">
        <v>91724</v>
      </c>
    </row>
    <row r="400" spans="1:21" x14ac:dyDescent="0.25">
      <c r="A400" s="967">
        <v>94131</v>
      </c>
      <c r="B400" s="968" t="s">
        <v>3038</v>
      </c>
      <c r="C400" s="969">
        <v>1.7479999999999999E-4</v>
      </c>
      <c r="D400" s="969">
        <v>2.0049999999999999E-4</v>
      </c>
      <c r="E400" s="1008">
        <v>91156</v>
      </c>
      <c r="F400" s="1011">
        <v>425528</v>
      </c>
      <c r="G400" s="970">
        <v>267046</v>
      </c>
      <c r="H400" s="970"/>
      <c r="I400" s="971">
        <v>15384</v>
      </c>
      <c r="J400" s="972">
        <v>64840</v>
      </c>
      <c r="K400" s="971">
        <v>38138</v>
      </c>
      <c r="L400" s="970">
        <v>3004</v>
      </c>
      <c r="M400" s="970"/>
      <c r="N400" s="971">
        <v>7559</v>
      </c>
      <c r="O400" s="971">
        <v>0</v>
      </c>
      <c r="P400" s="971">
        <v>0</v>
      </c>
      <c r="Q400" s="970">
        <v>9062</v>
      </c>
      <c r="R400" s="970"/>
      <c r="S400" s="971">
        <v>89995</v>
      </c>
      <c r="T400" s="973">
        <v>-1148</v>
      </c>
      <c r="U400" s="973">
        <v>88847</v>
      </c>
    </row>
    <row r="401" spans="1:21" x14ac:dyDescent="0.25">
      <c r="A401" s="967">
        <v>94151</v>
      </c>
      <c r="B401" s="968" t="s">
        <v>3039</v>
      </c>
      <c r="C401" s="969">
        <v>4.1590000000000003E-4</v>
      </c>
      <c r="D401" s="969">
        <v>4.2870000000000001E-4</v>
      </c>
      <c r="E401" s="1008">
        <v>171244</v>
      </c>
      <c r="F401" s="1011">
        <v>909845</v>
      </c>
      <c r="G401" s="970">
        <v>635380</v>
      </c>
      <c r="H401" s="970"/>
      <c r="I401" s="971">
        <v>36604</v>
      </c>
      <c r="J401" s="972">
        <v>154271</v>
      </c>
      <c r="K401" s="971">
        <v>90741</v>
      </c>
      <c r="L401" s="970">
        <v>0</v>
      </c>
      <c r="M401" s="970"/>
      <c r="N401" s="971">
        <v>17986</v>
      </c>
      <c r="O401" s="971">
        <v>0</v>
      </c>
      <c r="P401" s="971">
        <v>0</v>
      </c>
      <c r="Q401" s="970">
        <v>36672</v>
      </c>
      <c r="R401" s="970"/>
      <c r="S401" s="971">
        <v>214124</v>
      </c>
      <c r="T401" s="973">
        <v>-12878</v>
      </c>
      <c r="U401" s="973">
        <v>201246</v>
      </c>
    </row>
    <row r="402" spans="1:21" x14ac:dyDescent="0.25">
      <c r="A402" s="967">
        <v>94157</v>
      </c>
      <c r="B402" s="968" t="s">
        <v>3040</v>
      </c>
      <c r="C402" s="969">
        <v>8.8999999999999995E-6</v>
      </c>
      <c r="D402" s="969">
        <v>9.3999999999999998E-6</v>
      </c>
      <c r="E402" s="1008">
        <v>5186</v>
      </c>
      <c r="F402" s="1011">
        <v>19950</v>
      </c>
      <c r="G402" s="970">
        <v>13597</v>
      </c>
      <c r="H402" s="970"/>
      <c r="I402" s="971">
        <v>783</v>
      </c>
      <c r="J402" s="972">
        <v>3302</v>
      </c>
      <c r="K402" s="971">
        <v>1942</v>
      </c>
      <c r="L402" s="970">
        <v>3748</v>
      </c>
      <c r="M402" s="970"/>
      <c r="N402" s="971">
        <v>385</v>
      </c>
      <c r="O402" s="971">
        <v>0</v>
      </c>
      <c r="P402" s="971">
        <v>0</v>
      </c>
      <c r="Q402" s="970">
        <v>0</v>
      </c>
      <c r="R402" s="970"/>
      <c r="S402" s="971">
        <v>4582</v>
      </c>
      <c r="T402" s="973">
        <v>2084</v>
      </c>
      <c r="U402" s="973">
        <v>6666</v>
      </c>
    </row>
    <row r="403" spans="1:21" x14ac:dyDescent="0.25">
      <c r="A403" s="967">
        <v>94161</v>
      </c>
      <c r="B403" s="968" t="s">
        <v>3041</v>
      </c>
      <c r="C403" s="969">
        <v>5.1900000000000001E-5</v>
      </c>
      <c r="D403" s="969">
        <v>5.7899999999999998E-5</v>
      </c>
      <c r="E403" s="1008">
        <v>24925</v>
      </c>
      <c r="F403" s="1011">
        <v>122883</v>
      </c>
      <c r="G403" s="970">
        <v>79289</v>
      </c>
      <c r="H403" s="970"/>
      <c r="I403" s="971">
        <v>4568</v>
      </c>
      <c r="J403" s="972">
        <v>19252</v>
      </c>
      <c r="K403" s="971">
        <v>11324</v>
      </c>
      <c r="L403" s="970">
        <v>5455</v>
      </c>
      <c r="M403" s="970"/>
      <c r="N403" s="971">
        <v>2244</v>
      </c>
      <c r="O403" s="971">
        <v>0</v>
      </c>
      <c r="P403" s="971">
        <v>0</v>
      </c>
      <c r="Q403" s="970">
        <v>3144</v>
      </c>
      <c r="R403" s="970"/>
      <c r="S403" s="971">
        <v>26720</v>
      </c>
      <c r="T403" s="973">
        <v>2302</v>
      </c>
      <c r="U403" s="973">
        <v>29022</v>
      </c>
    </row>
    <row r="404" spans="1:21" x14ac:dyDescent="0.25">
      <c r="A404" s="967">
        <v>94168</v>
      </c>
      <c r="B404" s="968" t="s">
        <v>3042</v>
      </c>
      <c r="C404" s="969">
        <v>2.5899999999999999E-5</v>
      </c>
      <c r="D404" s="969">
        <v>3.4E-5</v>
      </c>
      <c r="E404" s="1008">
        <v>14686</v>
      </c>
      <c r="F404" s="1011">
        <v>72159</v>
      </c>
      <c r="G404" s="970">
        <v>39568</v>
      </c>
      <c r="H404" s="970"/>
      <c r="I404" s="971">
        <v>2279</v>
      </c>
      <c r="J404" s="972">
        <v>9607</v>
      </c>
      <c r="K404" s="971">
        <v>5651</v>
      </c>
      <c r="L404" s="970">
        <v>0</v>
      </c>
      <c r="M404" s="970"/>
      <c r="N404" s="971">
        <v>1120</v>
      </c>
      <c r="O404" s="971">
        <v>0</v>
      </c>
      <c r="P404" s="971">
        <v>0</v>
      </c>
      <c r="Q404" s="970">
        <v>11664</v>
      </c>
      <c r="R404" s="970"/>
      <c r="S404" s="971">
        <v>13334</v>
      </c>
      <c r="T404" s="973">
        <v>-5442</v>
      </c>
      <c r="U404" s="973">
        <v>7892</v>
      </c>
    </row>
    <row r="405" spans="1:21" x14ac:dyDescent="0.25">
      <c r="A405" s="967">
        <v>94171</v>
      </c>
      <c r="B405" s="968" t="s">
        <v>3043</v>
      </c>
      <c r="C405" s="969">
        <v>6.9800000000000003E-5</v>
      </c>
      <c r="D405" s="969">
        <v>5.5000000000000002E-5</v>
      </c>
      <c r="E405" s="1008">
        <v>26828</v>
      </c>
      <c r="F405" s="1011">
        <v>116728</v>
      </c>
      <c r="G405" s="970">
        <v>106635</v>
      </c>
      <c r="H405" s="970"/>
      <c r="I405" s="971">
        <v>6143</v>
      </c>
      <c r="J405" s="972">
        <v>25891</v>
      </c>
      <c r="K405" s="971">
        <v>15229</v>
      </c>
      <c r="L405" s="970">
        <v>10026</v>
      </c>
      <c r="M405" s="970"/>
      <c r="N405" s="971">
        <v>3019</v>
      </c>
      <c r="O405" s="971">
        <v>0</v>
      </c>
      <c r="P405" s="971">
        <v>0</v>
      </c>
      <c r="Q405" s="970">
        <v>862</v>
      </c>
      <c r="R405" s="970"/>
      <c r="S405" s="971">
        <v>35936</v>
      </c>
      <c r="T405" s="973">
        <v>2780</v>
      </c>
      <c r="U405" s="973">
        <v>38716</v>
      </c>
    </row>
    <row r="406" spans="1:21" x14ac:dyDescent="0.25">
      <c r="A406" s="967">
        <v>94172</v>
      </c>
      <c r="B406" s="968" t="s">
        <v>3044</v>
      </c>
      <c r="C406" s="969">
        <v>2.6289999999999999E-4</v>
      </c>
      <c r="D406" s="969">
        <v>2.6699999999999998E-4</v>
      </c>
      <c r="E406" s="1008">
        <v>91553</v>
      </c>
      <c r="F406" s="1011">
        <v>566663</v>
      </c>
      <c r="G406" s="970">
        <v>401638</v>
      </c>
      <c r="H406" s="970"/>
      <c r="I406" s="971">
        <v>23138</v>
      </c>
      <c r="J406" s="972">
        <v>97518</v>
      </c>
      <c r="K406" s="971">
        <v>57360</v>
      </c>
      <c r="L406" s="970">
        <v>0</v>
      </c>
      <c r="M406" s="970"/>
      <c r="N406" s="971">
        <v>11369</v>
      </c>
      <c r="O406" s="971">
        <v>0</v>
      </c>
      <c r="P406" s="971">
        <v>0</v>
      </c>
      <c r="Q406" s="970">
        <v>90059</v>
      </c>
      <c r="R406" s="970"/>
      <c r="S406" s="971">
        <v>135352</v>
      </c>
      <c r="T406" s="973">
        <v>-41178</v>
      </c>
      <c r="U406" s="973">
        <v>94174</v>
      </c>
    </row>
    <row r="407" spans="1:21" x14ac:dyDescent="0.25">
      <c r="A407" s="967">
        <v>94201</v>
      </c>
      <c r="B407" s="968" t="s">
        <v>3045</v>
      </c>
      <c r="C407" s="969">
        <v>3.3658999999999998E-3</v>
      </c>
      <c r="D407" s="969">
        <v>3.4813000000000001E-3</v>
      </c>
      <c r="E407" s="1008">
        <v>1556105</v>
      </c>
      <c r="F407" s="1011">
        <v>7388485</v>
      </c>
      <c r="G407" s="970">
        <v>5142163</v>
      </c>
      <c r="H407" s="970"/>
      <c r="I407" s="971">
        <v>296236</v>
      </c>
      <c r="J407" s="972">
        <v>1248524</v>
      </c>
      <c r="K407" s="971">
        <v>734372</v>
      </c>
      <c r="L407" s="970">
        <v>37947</v>
      </c>
      <c r="M407" s="970"/>
      <c r="N407" s="971">
        <v>145558</v>
      </c>
      <c r="O407" s="971">
        <v>0</v>
      </c>
      <c r="P407" s="971">
        <v>0</v>
      </c>
      <c r="Q407" s="970">
        <v>70514</v>
      </c>
      <c r="R407" s="970"/>
      <c r="S407" s="971">
        <v>1732913</v>
      </c>
      <c r="T407" s="973">
        <v>-942</v>
      </c>
      <c r="U407" s="973">
        <v>1731971</v>
      </c>
    </row>
    <row r="408" spans="1:21" x14ac:dyDescent="0.25">
      <c r="A408" s="967">
        <v>94204</v>
      </c>
      <c r="B408" s="968" t="s">
        <v>3046</v>
      </c>
      <c r="C408" s="969">
        <v>2.5899999999999999E-5</v>
      </c>
      <c r="D408" s="969">
        <v>2.4899999999999999E-5</v>
      </c>
      <c r="E408" s="1008">
        <v>17428</v>
      </c>
      <c r="F408" s="1011">
        <v>52846</v>
      </c>
      <c r="G408" s="970">
        <v>39568</v>
      </c>
      <c r="H408" s="970"/>
      <c r="I408" s="971">
        <v>2279</v>
      </c>
      <c r="J408" s="972">
        <v>9607</v>
      </c>
      <c r="K408" s="971">
        <v>5651</v>
      </c>
      <c r="L408" s="970">
        <v>12190</v>
      </c>
      <c r="M408" s="970"/>
      <c r="N408" s="971">
        <v>1120</v>
      </c>
      <c r="O408" s="971">
        <v>0</v>
      </c>
      <c r="P408" s="971">
        <v>0</v>
      </c>
      <c r="Q408" s="970">
        <v>0</v>
      </c>
      <c r="R408" s="970"/>
      <c r="S408" s="971">
        <v>13334</v>
      </c>
      <c r="T408" s="973">
        <v>4996</v>
      </c>
      <c r="U408" s="973">
        <v>18330</v>
      </c>
    </row>
    <row r="409" spans="1:21" x14ac:dyDescent="0.25">
      <c r="A409" s="967">
        <v>94205</v>
      </c>
      <c r="B409" s="968" t="s">
        <v>3047</v>
      </c>
      <c r="C409" s="969">
        <v>2.0699999999999998E-5</v>
      </c>
      <c r="D409" s="969">
        <v>2.6100000000000001E-5</v>
      </c>
      <c r="E409" s="1008">
        <v>11902</v>
      </c>
      <c r="F409" s="1011">
        <v>55393</v>
      </c>
      <c r="G409" s="970">
        <v>31624</v>
      </c>
      <c r="H409" s="970"/>
      <c r="I409" s="971">
        <v>1822</v>
      </c>
      <c r="J409" s="972">
        <v>7678</v>
      </c>
      <c r="K409" s="971">
        <v>4516</v>
      </c>
      <c r="L409" s="970">
        <v>1652</v>
      </c>
      <c r="M409" s="970"/>
      <c r="N409" s="971">
        <v>895</v>
      </c>
      <c r="O409" s="971">
        <v>0</v>
      </c>
      <c r="P409" s="971">
        <v>0</v>
      </c>
      <c r="Q409" s="970">
        <v>5048</v>
      </c>
      <c r="R409" s="970"/>
      <c r="S409" s="971">
        <v>10657</v>
      </c>
      <c r="T409" s="973">
        <v>-3026</v>
      </c>
      <c r="U409" s="973">
        <v>7631</v>
      </c>
    </row>
    <row r="410" spans="1:21" x14ac:dyDescent="0.25">
      <c r="A410" s="967">
        <v>94209</v>
      </c>
      <c r="B410" s="968" t="s">
        <v>3048</v>
      </c>
      <c r="C410" s="969">
        <v>3.4190000000000002E-4</v>
      </c>
      <c r="D410" s="969">
        <v>3.2909999999999998E-4</v>
      </c>
      <c r="E410" s="1008">
        <v>157003</v>
      </c>
      <c r="F410" s="1011">
        <v>698460</v>
      </c>
      <c r="G410" s="970">
        <v>522328</v>
      </c>
      <c r="H410" s="970"/>
      <c r="I410" s="971">
        <v>30091</v>
      </c>
      <c r="J410" s="972">
        <v>126822</v>
      </c>
      <c r="K410" s="971">
        <v>74596</v>
      </c>
      <c r="L410" s="970">
        <v>23431</v>
      </c>
      <c r="M410" s="970"/>
      <c r="N410" s="971">
        <v>14785</v>
      </c>
      <c r="O410" s="971">
        <v>0</v>
      </c>
      <c r="P410" s="971">
        <v>0</v>
      </c>
      <c r="Q410" s="970">
        <v>7196</v>
      </c>
      <c r="R410" s="970"/>
      <c r="S410" s="971">
        <v>176025</v>
      </c>
      <c r="T410" s="973">
        <v>9128</v>
      </c>
      <c r="U410" s="973">
        <v>185153</v>
      </c>
    </row>
    <row r="411" spans="1:21" x14ac:dyDescent="0.25">
      <c r="A411" s="967">
        <v>94211</v>
      </c>
      <c r="B411" s="968" t="s">
        <v>3049</v>
      </c>
      <c r="C411" s="969">
        <v>1.3660000000000001E-4</v>
      </c>
      <c r="D411" s="969">
        <v>1.2400000000000001E-4</v>
      </c>
      <c r="E411" s="1008">
        <v>61663</v>
      </c>
      <c r="F411" s="1011">
        <v>263170</v>
      </c>
      <c r="G411" s="970">
        <v>208687</v>
      </c>
      <c r="H411" s="970"/>
      <c r="I411" s="971">
        <v>12022</v>
      </c>
      <c r="J411" s="972">
        <v>50669</v>
      </c>
      <c r="K411" s="971">
        <v>29803</v>
      </c>
      <c r="L411" s="970">
        <v>7857</v>
      </c>
      <c r="M411" s="970"/>
      <c r="N411" s="971">
        <v>5907</v>
      </c>
      <c r="O411" s="971">
        <v>0</v>
      </c>
      <c r="P411" s="971">
        <v>0</v>
      </c>
      <c r="Q411" s="970">
        <v>17326</v>
      </c>
      <c r="R411" s="970"/>
      <c r="S411" s="971">
        <v>70328</v>
      </c>
      <c r="T411" s="973">
        <v>-11553</v>
      </c>
      <c r="U411" s="973">
        <v>58775</v>
      </c>
    </row>
    <row r="412" spans="1:21" x14ac:dyDescent="0.25">
      <c r="A412" s="967">
        <v>94221</v>
      </c>
      <c r="B412" s="968" t="s">
        <v>3050</v>
      </c>
      <c r="C412" s="969">
        <v>1.0436E-3</v>
      </c>
      <c r="D412" s="969">
        <v>1.0705999999999999E-3</v>
      </c>
      <c r="E412" s="1008">
        <v>459328</v>
      </c>
      <c r="F412" s="1011">
        <v>2272172</v>
      </c>
      <c r="G412" s="970">
        <v>1594332</v>
      </c>
      <c r="H412" s="970"/>
      <c r="I412" s="971">
        <v>91848</v>
      </c>
      <c r="J412" s="972">
        <v>387106</v>
      </c>
      <c r="K412" s="971">
        <v>227693</v>
      </c>
      <c r="L412" s="970">
        <v>63725</v>
      </c>
      <c r="M412" s="970"/>
      <c r="N412" s="971">
        <v>45130</v>
      </c>
      <c r="O412" s="971">
        <v>0</v>
      </c>
      <c r="P412" s="971">
        <v>0</v>
      </c>
      <c r="Q412" s="970">
        <v>120971</v>
      </c>
      <c r="R412" s="970"/>
      <c r="S412" s="971">
        <v>537291</v>
      </c>
      <c r="T412" s="973">
        <v>-24799</v>
      </c>
      <c r="U412" s="973">
        <v>512492</v>
      </c>
    </row>
    <row r="413" spans="1:21" x14ac:dyDescent="0.25">
      <c r="A413" s="967">
        <v>94231</v>
      </c>
      <c r="B413" s="968" t="s">
        <v>3051</v>
      </c>
      <c r="C413" s="969">
        <v>2.2609999999999999E-4</v>
      </c>
      <c r="D413" s="969">
        <v>2.1269999999999999E-4</v>
      </c>
      <c r="E413" s="1008">
        <v>101171</v>
      </c>
      <c r="F413" s="1011">
        <v>451421</v>
      </c>
      <c r="G413" s="970">
        <v>345418</v>
      </c>
      <c r="H413" s="970"/>
      <c r="I413" s="971">
        <v>19899</v>
      </c>
      <c r="J413" s="972">
        <v>83868</v>
      </c>
      <c r="K413" s="971">
        <v>49330</v>
      </c>
      <c r="L413" s="970">
        <v>8354</v>
      </c>
      <c r="M413" s="970"/>
      <c r="N413" s="971">
        <v>9778</v>
      </c>
      <c r="O413" s="971">
        <v>0</v>
      </c>
      <c r="P413" s="971">
        <v>0</v>
      </c>
      <c r="Q413" s="970">
        <v>6714</v>
      </c>
      <c r="R413" s="970"/>
      <c r="S413" s="971">
        <v>116406</v>
      </c>
      <c r="T413" s="973">
        <v>-2799</v>
      </c>
      <c r="U413" s="973">
        <v>113607</v>
      </c>
    </row>
    <row r="414" spans="1:21" x14ac:dyDescent="0.25">
      <c r="A414" s="967">
        <v>94241</v>
      </c>
      <c r="B414" s="968" t="s">
        <v>3052</v>
      </c>
      <c r="C414" s="969">
        <v>1.2669999999999999E-4</v>
      </c>
      <c r="D414" s="969">
        <v>8.4099999999999998E-5</v>
      </c>
      <c r="E414" s="1008">
        <v>53317</v>
      </c>
      <c r="F414" s="1011">
        <v>178488</v>
      </c>
      <c r="G414" s="970">
        <v>193563</v>
      </c>
      <c r="H414" s="970"/>
      <c r="I414" s="971">
        <v>11151</v>
      </c>
      <c r="J414" s="972">
        <v>46997</v>
      </c>
      <c r="K414" s="971">
        <v>27643</v>
      </c>
      <c r="L414" s="970">
        <v>26711</v>
      </c>
      <c r="M414" s="970"/>
      <c r="N414" s="971">
        <v>5479</v>
      </c>
      <c r="O414" s="971">
        <v>0</v>
      </c>
      <c r="P414" s="971">
        <v>0</v>
      </c>
      <c r="Q414" s="970">
        <v>856</v>
      </c>
      <c r="R414" s="970"/>
      <c r="S414" s="971">
        <v>65231</v>
      </c>
      <c r="T414" s="973">
        <v>6835</v>
      </c>
      <c r="U414" s="973">
        <v>72066</v>
      </c>
    </row>
    <row r="415" spans="1:21" x14ac:dyDescent="0.25">
      <c r="A415" s="967">
        <v>94251</v>
      </c>
      <c r="B415" s="968" t="s">
        <v>3053</v>
      </c>
      <c r="C415" s="969">
        <v>1.95E-5</v>
      </c>
      <c r="D415" s="969">
        <v>1.4E-5</v>
      </c>
      <c r="E415" s="1008">
        <v>8455</v>
      </c>
      <c r="F415" s="1011">
        <v>29713</v>
      </c>
      <c r="G415" s="970">
        <v>29791</v>
      </c>
      <c r="H415" s="970"/>
      <c r="I415" s="971">
        <v>1716</v>
      </c>
      <c r="J415" s="972">
        <v>7233</v>
      </c>
      <c r="K415" s="971">
        <v>4255</v>
      </c>
      <c r="L415" s="970">
        <v>3290</v>
      </c>
      <c r="M415" s="970"/>
      <c r="N415" s="971">
        <v>843</v>
      </c>
      <c r="O415" s="971">
        <v>0</v>
      </c>
      <c r="P415" s="971">
        <v>0</v>
      </c>
      <c r="Q415" s="970">
        <v>6508</v>
      </c>
      <c r="R415" s="970"/>
      <c r="S415" s="971">
        <v>10039</v>
      </c>
      <c r="T415" s="973">
        <v>-2297</v>
      </c>
      <c r="U415" s="973">
        <v>7742</v>
      </c>
    </row>
    <row r="416" spans="1:21" x14ac:dyDescent="0.25">
      <c r="A416" s="967">
        <v>94261</v>
      </c>
      <c r="B416" s="968" t="s">
        <v>3054</v>
      </c>
      <c r="C416" s="969">
        <v>3.9199999999999997E-5</v>
      </c>
      <c r="D416" s="969">
        <v>2.9499999999999999E-5</v>
      </c>
      <c r="E416" s="1008">
        <v>18726</v>
      </c>
      <c r="F416" s="1011">
        <v>62609</v>
      </c>
      <c r="G416" s="970">
        <v>59887</v>
      </c>
      <c r="H416" s="970"/>
      <c r="I416" s="971">
        <v>3450</v>
      </c>
      <c r="J416" s="972">
        <v>14541</v>
      </c>
      <c r="K416" s="971">
        <v>8553</v>
      </c>
      <c r="L416" s="970">
        <v>15518</v>
      </c>
      <c r="M416" s="970"/>
      <c r="N416" s="971">
        <v>1695</v>
      </c>
      <c r="O416" s="971">
        <v>0</v>
      </c>
      <c r="P416" s="971">
        <v>0</v>
      </c>
      <c r="Q416" s="970">
        <v>0</v>
      </c>
      <c r="R416" s="970"/>
      <c r="S416" s="971">
        <v>20182</v>
      </c>
      <c r="T416" s="973">
        <v>5508</v>
      </c>
      <c r="U416" s="973">
        <v>25690</v>
      </c>
    </row>
    <row r="417" spans="1:21" x14ac:dyDescent="0.25">
      <c r="A417" s="967">
        <v>94301</v>
      </c>
      <c r="B417" s="968" t="s">
        <v>3055</v>
      </c>
      <c r="C417" s="969">
        <v>6.2988999999999996E-3</v>
      </c>
      <c r="D417" s="969">
        <v>6.0746999999999997E-3</v>
      </c>
      <c r="E417" s="1008">
        <v>2799560</v>
      </c>
      <c r="F417" s="1011">
        <v>12892548</v>
      </c>
      <c r="G417" s="970">
        <v>9622974</v>
      </c>
      <c r="H417" s="970"/>
      <c r="I417" s="971">
        <v>554372</v>
      </c>
      <c r="J417" s="972">
        <v>2336470</v>
      </c>
      <c r="K417" s="971">
        <v>1374294</v>
      </c>
      <c r="L417" s="970">
        <v>85982</v>
      </c>
      <c r="M417" s="970"/>
      <c r="N417" s="971">
        <v>272396</v>
      </c>
      <c r="O417" s="971">
        <v>0</v>
      </c>
      <c r="P417" s="971">
        <v>0</v>
      </c>
      <c r="Q417" s="970">
        <v>117980</v>
      </c>
      <c r="R417" s="970"/>
      <c r="S417" s="971">
        <v>3242951</v>
      </c>
      <c r="T417" s="973">
        <v>-22710</v>
      </c>
      <c r="U417" s="973">
        <v>3220241</v>
      </c>
    </row>
    <row r="418" spans="1:21" x14ac:dyDescent="0.25">
      <c r="A418" s="967">
        <v>94311</v>
      </c>
      <c r="B418" s="968" t="s">
        <v>3056</v>
      </c>
      <c r="C418" s="969">
        <v>7.8540000000000001E-4</v>
      </c>
      <c r="D418" s="969">
        <v>7.4399999999999998E-4</v>
      </c>
      <c r="E418" s="1008">
        <v>355079</v>
      </c>
      <c r="F418" s="1011">
        <v>1579017</v>
      </c>
      <c r="G418" s="970">
        <v>1199874</v>
      </c>
      <c r="H418" s="970"/>
      <c r="I418" s="971">
        <v>69124</v>
      </c>
      <c r="J418" s="972">
        <v>291331</v>
      </c>
      <c r="K418" s="971">
        <v>171359</v>
      </c>
      <c r="L418" s="970">
        <v>26150</v>
      </c>
      <c r="M418" s="970"/>
      <c r="N418" s="971">
        <v>33965</v>
      </c>
      <c r="O418" s="971">
        <v>0</v>
      </c>
      <c r="P418" s="971">
        <v>0</v>
      </c>
      <c r="Q418" s="970">
        <v>52115</v>
      </c>
      <c r="R418" s="970"/>
      <c r="S418" s="971">
        <v>404358</v>
      </c>
      <c r="T418" s="973">
        <v>-13365</v>
      </c>
      <c r="U418" s="973">
        <v>390993</v>
      </c>
    </row>
    <row r="419" spans="1:21" x14ac:dyDescent="0.25">
      <c r="A419" s="967">
        <v>94313</v>
      </c>
      <c r="B419" s="968" t="s">
        <v>3057</v>
      </c>
      <c r="C419" s="969">
        <v>1.8700000000000001E-5</v>
      </c>
      <c r="D419" s="969">
        <v>2.0299999999999999E-5</v>
      </c>
      <c r="E419" s="1008">
        <v>12663</v>
      </c>
      <c r="F419" s="1011">
        <v>43083</v>
      </c>
      <c r="G419" s="970">
        <v>28568</v>
      </c>
      <c r="H419" s="970"/>
      <c r="I419" s="971">
        <v>1646</v>
      </c>
      <c r="J419" s="972">
        <v>6936</v>
      </c>
      <c r="K419" s="971">
        <v>4080</v>
      </c>
      <c r="L419" s="970">
        <v>7421</v>
      </c>
      <c r="M419" s="970"/>
      <c r="N419" s="971">
        <v>809</v>
      </c>
      <c r="O419" s="971">
        <v>0</v>
      </c>
      <c r="P419" s="971">
        <v>0</v>
      </c>
      <c r="Q419" s="970">
        <v>0</v>
      </c>
      <c r="R419" s="970"/>
      <c r="S419" s="971">
        <v>9628</v>
      </c>
      <c r="T419" s="973">
        <v>3124</v>
      </c>
      <c r="U419" s="973">
        <v>12752</v>
      </c>
    </row>
    <row r="420" spans="1:21" x14ac:dyDescent="0.25">
      <c r="A420" s="967">
        <v>94317</v>
      </c>
      <c r="B420" s="968" t="s">
        <v>3058</v>
      </c>
      <c r="C420" s="969">
        <v>1.2E-5</v>
      </c>
      <c r="D420" s="969">
        <v>1.2099999999999999E-5</v>
      </c>
      <c r="E420" s="1008">
        <v>9618</v>
      </c>
      <c r="F420" s="1011">
        <v>25680</v>
      </c>
      <c r="G420" s="970">
        <v>18333</v>
      </c>
      <c r="H420" s="970"/>
      <c r="I420" s="971">
        <v>1056</v>
      </c>
      <c r="J420" s="972">
        <v>4451</v>
      </c>
      <c r="K420" s="971">
        <v>2618</v>
      </c>
      <c r="L420" s="970">
        <v>7663</v>
      </c>
      <c r="M420" s="970"/>
      <c r="N420" s="971">
        <v>519</v>
      </c>
      <c r="O420" s="971">
        <v>0</v>
      </c>
      <c r="P420" s="971">
        <v>0</v>
      </c>
      <c r="Q420" s="970">
        <v>0</v>
      </c>
      <c r="R420" s="970"/>
      <c r="S420" s="971">
        <v>6178</v>
      </c>
      <c r="T420" s="973">
        <v>3130</v>
      </c>
      <c r="U420" s="973">
        <v>9308</v>
      </c>
    </row>
    <row r="421" spans="1:21" x14ac:dyDescent="0.25">
      <c r="A421" s="967">
        <v>94321</v>
      </c>
      <c r="B421" s="968" t="s">
        <v>3059</v>
      </c>
      <c r="C421" s="969">
        <v>2.7760000000000003E-4</v>
      </c>
      <c r="D421" s="969">
        <v>2.7070000000000002E-4</v>
      </c>
      <c r="E421" s="1008">
        <v>115395</v>
      </c>
      <c r="F421" s="1011">
        <v>574516</v>
      </c>
      <c r="G421" s="970">
        <v>424096</v>
      </c>
      <c r="H421" s="970"/>
      <c r="I421" s="971">
        <v>24432</v>
      </c>
      <c r="J421" s="972">
        <v>102971</v>
      </c>
      <c r="K421" s="971">
        <v>60567</v>
      </c>
      <c r="L421" s="970">
        <v>1692</v>
      </c>
      <c r="M421" s="970"/>
      <c r="N421" s="971">
        <v>12005</v>
      </c>
      <c r="O421" s="971">
        <v>0</v>
      </c>
      <c r="P421" s="971">
        <v>0</v>
      </c>
      <c r="Q421" s="970">
        <v>19924</v>
      </c>
      <c r="R421" s="970"/>
      <c r="S421" s="971">
        <v>142921</v>
      </c>
      <c r="T421" s="973">
        <v>-5646</v>
      </c>
      <c r="U421" s="973">
        <v>137275</v>
      </c>
    </row>
    <row r="422" spans="1:21" x14ac:dyDescent="0.25">
      <c r="A422" s="967">
        <v>94331</v>
      </c>
      <c r="B422" s="968" t="s">
        <v>3060</v>
      </c>
      <c r="C422" s="969">
        <v>1.3569999999999999E-4</v>
      </c>
      <c r="D422" s="969">
        <v>1.517E-4</v>
      </c>
      <c r="E422" s="1008">
        <v>68284</v>
      </c>
      <c r="F422" s="1011">
        <v>321958</v>
      </c>
      <c r="G422" s="970">
        <v>207312</v>
      </c>
      <c r="H422" s="970"/>
      <c r="I422" s="971">
        <v>11943</v>
      </c>
      <c r="J422" s="972">
        <v>50336</v>
      </c>
      <c r="K422" s="971">
        <v>29607</v>
      </c>
      <c r="L422" s="970">
        <v>7715</v>
      </c>
      <c r="M422" s="970"/>
      <c r="N422" s="971">
        <v>5868</v>
      </c>
      <c r="O422" s="971">
        <v>0</v>
      </c>
      <c r="P422" s="971">
        <v>0</v>
      </c>
      <c r="Q422" s="970">
        <v>10557</v>
      </c>
      <c r="R422" s="970"/>
      <c r="S422" s="971">
        <v>69864</v>
      </c>
      <c r="T422" s="973">
        <v>2981</v>
      </c>
      <c r="U422" s="973">
        <v>72845</v>
      </c>
    </row>
    <row r="423" spans="1:21" x14ac:dyDescent="0.25">
      <c r="A423" s="967">
        <v>94341</v>
      </c>
      <c r="B423" s="968" t="s">
        <v>3061</v>
      </c>
      <c r="C423" s="969">
        <v>9.4699999999999998E-5</v>
      </c>
      <c r="D423" s="969">
        <v>8.1000000000000004E-5</v>
      </c>
      <c r="E423" s="1008">
        <v>38534</v>
      </c>
      <c r="F423" s="1011">
        <v>171909</v>
      </c>
      <c r="G423" s="970">
        <v>144675</v>
      </c>
      <c r="H423" s="970"/>
      <c r="I423" s="971">
        <v>8335</v>
      </c>
      <c r="J423" s="972">
        <v>35127</v>
      </c>
      <c r="K423" s="971">
        <v>20662</v>
      </c>
      <c r="L423" s="970">
        <v>5564</v>
      </c>
      <c r="M423" s="970"/>
      <c r="N423" s="971">
        <v>4095</v>
      </c>
      <c r="O423" s="971">
        <v>0</v>
      </c>
      <c r="P423" s="971">
        <v>0</v>
      </c>
      <c r="Q423" s="970">
        <v>5713</v>
      </c>
      <c r="R423" s="970"/>
      <c r="S423" s="971">
        <v>48756</v>
      </c>
      <c r="T423" s="973">
        <v>-1783</v>
      </c>
      <c r="U423" s="973">
        <v>46973</v>
      </c>
    </row>
    <row r="424" spans="1:21" x14ac:dyDescent="0.25">
      <c r="A424" s="967">
        <v>94347</v>
      </c>
      <c r="B424" s="968" t="s">
        <v>3062</v>
      </c>
      <c r="C424" s="969">
        <v>1.22E-5</v>
      </c>
      <c r="D424" s="969">
        <v>1.2300000000000001E-5</v>
      </c>
      <c r="E424" s="1008">
        <v>8691</v>
      </c>
      <c r="F424" s="1011">
        <v>26105</v>
      </c>
      <c r="G424" s="970">
        <v>18638</v>
      </c>
      <c r="H424" s="970"/>
      <c r="I424" s="971">
        <v>1074</v>
      </c>
      <c r="J424" s="972">
        <v>4526</v>
      </c>
      <c r="K424" s="971">
        <v>2662</v>
      </c>
      <c r="L424" s="970">
        <v>4271</v>
      </c>
      <c r="M424" s="970"/>
      <c r="N424" s="971">
        <v>528</v>
      </c>
      <c r="O424" s="971">
        <v>0</v>
      </c>
      <c r="P424" s="971">
        <v>0</v>
      </c>
      <c r="Q424" s="970">
        <v>0</v>
      </c>
      <c r="R424" s="970"/>
      <c r="S424" s="971">
        <v>6281</v>
      </c>
      <c r="T424" s="973">
        <v>1892</v>
      </c>
      <c r="U424" s="973">
        <v>8173</v>
      </c>
    </row>
    <row r="425" spans="1:21" x14ac:dyDescent="0.25">
      <c r="A425" s="967">
        <v>94351</v>
      </c>
      <c r="B425" s="968" t="s">
        <v>3063</v>
      </c>
      <c r="C425" s="969">
        <v>2.433E-4</v>
      </c>
      <c r="D425" s="969">
        <v>2.377E-4</v>
      </c>
      <c r="E425" s="1008">
        <v>104639</v>
      </c>
      <c r="F425" s="1011">
        <v>504479</v>
      </c>
      <c r="G425" s="970">
        <v>371695</v>
      </c>
      <c r="H425" s="970"/>
      <c r="I425" s="971">
        <v>21413</v>
      </c>
      <c r="J425" s="972">
        <v>90248</v>
      </c>
      <c r="K425" s="971">
        <v>53083</v>
      </c>
      <c r="L425" s="970">
        <v>1592</v>
      </c>
      <c r="M425" s="970"/>
      <c r="N425" s="971">
        <v>10522</v>
      </c>
      <c r="O425" s="971">
        <v>0</v>
      </c>
      <c r="P425" s="971">
        <v>0</v>
      </c>
      <c r="Q425" s="970">
        <v>4723</v>
      </c>
      <c r="R425" s="970"/>
      <c r="S425" s="971">
        <v>125262</v>
      </c>
      <c r="T425" s="973">
        <v>-1683</v>
      </c>
      <c r="U425" s="973">
        <v>123579</v>
      </c>
    </row>
    <row r="426" spans="1:21" x14ac:dyDescent="0.25">
      <c r="A426" s="967">
        <v>94401</v>
      </c>
      <c r="B426" s="968" t="s">
        <v>3689</v>
      </c>
      <c r="C426" s="969">
        <v>3.2718000000000001E-3</v>
      </c>
      <c r="D426" s="969">
        <v>3.4548999999999999E-3</v>
      </c>
      <c r="E426" s="1008">
        <v>1551159</v>
      </c>
      <c r="F426" s="1011">
        <v>0</v>
      </c>
      <c r="G426" s="970">
        <v>4998404</v>
      </c>
      <c r="H426" s="970"/>
      <c r="I426" s="971">
        <v>287954</v>
      </c>
      <c r="J426" s="972">
        <v>1213619</v>
      </c>
      <c r="K426" s="971">
        <v>713841</v>
      </c>
      <c r="L426" s="970">
        <v>20795</v>
      </c>
      <c r="M426" s="970"/>
      <c r="N426" s="971">
        <v>141489</v>
      </c>
      <c r="O426" s="971">
        <v>0</v>
      </c>
      <c r="P426" s="971">
        <v>0</v>
      </c>
      <c r="Q426" s="970">
        <v>83776</v>
      </c>
      <c r="R426" s="970"/>
      <c r="S426" s="971">
        <v>1684467</v>
      </c>
      <c r="T426" s="973">
        <v>-11283</v>
      </c>
      <c r="U426" s="973">
        <v>1673184</v>
      </c>
    </row>
    <row r="427" spans="1:21" x14ac:dyDescent="0.25">
      <c r="A427" s="967">
        <v>94402</v>
      </c>
      <c r="B427" s="968" t="s">
        <v>3064</v>
      </c>
      <c r="C427" s="969">
        <v>0</v>
      </c>
      <c r="D427" s="969">
        <v>0</v>
      </c>
      <c r="E427" s="1008">
        <v>0</v>
      </c>
      <c r="F427" s="1011">
        <v>0</v>
      </c>
      <c r="G427" s="970">
        <v>0</v>
      </c>
      <c r="H427" s="970"/>
      <c r="I427" s="971">
        <v>0</v>
      </c>
      <c r="J427" s="972">
        <v>0</v>
      </c>
      <c r="K427" s="971">
        <v>0</v>
      </c>
      <c r="L427" s="970">
        <v>0</v>
      </c>
      <c r="M427" s="970"/>
      <c r="N427" s="971">
        <v>0</v>
      </c>
      <c r="O427" s="971">
        <v>0</v>
      </c>
      <c r="P427" s="971">
        <v>0</v>
      </c>
      <c r="Q427" s="970">
        <v>1774367</v>
      </c>
      <c r="R427" s="970"/>
      <c r="S427" s="971">
        <v>0</v>
      </c>
      <c r="T427" s="973">
        <v>-1007431</v>
      </c>
      <c r="U427" s="973">
        <v>-1007431</v>
      </c>
    </row>
    <row r="428" spans="1:21" x14ac:dyDescent="0.25">
      <c r="A428" s="967">
        <v>94403</v>
      </c>
      <c r="B428" s="968" t="s">
        <v>3690</v>
      </c>
      <c r="C428" s="969">
        <v>2.2099999999999998E-5</v>
      </c>
      <c r="D428" s="969">
        <v>0</v>
      </c>
      <c r="E428" s="1008">
        <v>9904</v>
      </c>
      <c r="F428" s="1011">
        <v>0</v>
      </c>
      <c r="G428" s="970">
        <v>33763</v>
      </c>
      <c r="H428" s="970"/>
      <c r="I428" s="971">
        <v>1945</v>
      </c>
      <c r="J428" s="972">
        <v>8198</v>
      </c>
      <c r="K428" s="971">
        <v>4822</v>
      </c>
      <c r="L428" s="970">
        <v>14624</v>
      </c>
      <c r="M428" s="970"/>
      <c r="N428" s="971">
        <v>956</v>
      </c>
      <c r="O428" s="971">
        <v>0</v>
      </c>
      <c r="P428" s="971">
        <v>0</v>
      </c>
      <c r="Q428" s="970">
        <v>0</v>
      </c>
      <c r="R428" s="970"/>
      <c r="S428" s="971">
        <v>11378</v>
      </c>
      <c r="T428" s="973">
        <v>3656</v>
      </c>
      <c r="U428" s="973">
        <v>15034</v>
      </c>
    </row>
    <row r="429" spans="1:21" x14ac:dyDescent="0.25">
      <c r="A429" s="967">
        <v>94408</v>
      </c>
      <c r="B429" s="968" t="s">
        <v>3065</v>
      </c>
      <c r="C429" s="969">
        <v>4.2400000000000001E-5</v>
      </c>
      <c r="D429" s="969">
        <v>4.0099999999999999E-5</v>
      </c>
      <c r="E429" s="1008">
        <v>14750</v>
      </c>
      <c r="F429" s="1011">
        <v>85106</v>
      </c>
      <c r="G429" s="970">
        <v>64775</v>
      </c>
      <c r="H429" s="970"/>
      <c r="I429" s="971">
        <v>3732</v>
      </c>
      <c r="J429" s="972">
        <v>15728</v>
      </c>
      <c r="K429" s="971">
        <v>9251</v>
      </c>
      <c r="L429" s="970">
        <v>7577</v>
      </c>
      <c r="M429" s="970"/>
      <c r="N429" s="971">
        <v>1834</v>
      </c>
      <c r="O429" s="971">
        <v>0</v>
      </c>
      <c r="P429" s="971">
        <v>0</v>
      </c>
      <c r="Q429" s="970">
        <v>4064</v>
      </c>
      <c r="R429" s="970"/>
      <c r="S429" s="971">
        <v>21829</v>
      </c>
      <c r="T429" s="973">
        <v>382</v>
      </c>
      <c r="U429" s="973">
        <v>22211</v>
      </c>
    </row>
    <row r="430" spans="1:21" x14ac:dyDescent="0.25">
      <c r="A430" s="967">
        <v>94411</v>
      </c>
      <c r="B430" s="968" t="s">
        <v>3066</v>
      </c>
      <c r="C430" s="969">
        <v>1.2672E-3</v>
      </c>
      <c r="D430" s="969">
        <v>1.1592E-3</v>
      </c>
      <c r="E430" s="1008">
        <v>555106</v>
      </c>
      <c r="F430" s="1011">
        <v>2460211</v>
      </c>
      <c r="G430" s="970">
        <v>1935931</v>
      </c>
      <c r="H430" s="970"/>
      <c r="I430" s="971">
        <v>111528</v>
      </c>
      <c r="J430" s="972">
        <v>470046</v>
      </c>
      <c r="K430" s="971">
        <v>276478</v>
      </c>
      <c r="L430" s="970">
        <v>63511</v>
      </c>
      <c r="M430" s="970"/>
      <c r="N430" s="971">
        <v>54800</v>
      </c>
      <c r="O430" s="971">
        <v>0</v>
      </c>
      <c r="P430" s="971">
        <v>0</v>
      </c>
      <c r="Q430" s="970">
        <v>4125</v>
      </c>
      <c r="R430" s="970"/>
      <c r="S430" s="971">
        <v>652410</v>
      </c>
      <c r="T430" s="973">
        <v>18114</v>
      </c>
      <c r="U430" s="973">
        <v>670524</v>
      </c>
    </row>
    <row r="431" spans="1:21" x14ac:dyDescent="0.25">
      <c r="A431" s="967">
        <v>94412</v>
      </c>
      <c r="B431" s="968" t="s">
        <v>3067</v>
      </c>
      <c r="C431" s="969">
        <v>1.5099999999999999E-5</v>
      </c>
      <c r="D431" s="969">
        <v>1.63E-5</v>
      </c>
      <c r="E431" s="1008">
        <v>13059</v>
      </c>
      <c r="F431" s="1011">
        <v>34594</v>
      </c>
      <c r="G431" s="970">
        <v>23069</v>
      </c>
      <c r="H431" s="970"/>
      <c r="I431" s="971">
        <v>1329</v>
      </c>
      <c r="J431" s="972">
        <v>5602</v>
      </c>
      <c r="K431" s="971">
        <v>3295</v>
      </c>
      <c r="L431" s="970">
        <v>12533</v>
      </c>
      <c r="M431" s="970"/>
      <c r="N431" s="971">
        <v>653</v>
      </c>
      <c r="O431" s="971">
        <v>0</v>
      </c>
      <c r="P431" s="971">
        <v>0</v>
      </c>
      <c r="Q431" s="970">
        <v>0</v>
      </c>
      <c r="R431" s="970"/>
      <c r="S431" s="971">
        <v>7774</v>
      </c>
      <c r="T431" s="973">
        <v>5893</v>
      </c>
      <c r="U431" s="973">
        <v>13667</v>
      </c>
    </row>
    <row r="432" spans="1:21" x14ac:dyDescent="0.25">
      <c r="A432" s="967">
        <v>94421</v>
      </c>
      <c r="B432" s="968" t="s">
        <v>3068</v>
      </c>
      <c r="C432" s="969">
        <v>1.6679999999999999E-4</v>
      </c>
      <c r="D432" s="969">
        <v>1.6899999999999999E-4</v>
      </c>
      <c r="E432" s="1008">
        <v>80768</v>
      </c>
      <c r="F432" s="1011">
        <v>358675</v>
      </c>
      <c r="G432" s="970">
        <v>254824</v>
      </c>
      <c r="H432" s="970"/>
      <c r="I432" s="971">
        <v>14680</v>
      </c>
      <c r="J432" s="972">
        <v>61871</v>
      </c>
      <c r="K432" s="971">
        <v>36392</v>
      </c>
      <c r="L432" s="970">
        <v>4157</v>
      </c>
      <c r="M432" s="970"/>
      <c r="N432" s="971">
        <v>7213</v>
      </c>
      <c r="O432" s="971">
        <v>0</v>
      </c>
      <c r="P432" s="971">
        <v>0</v>
      </c>
      <c r="Q432" s="970">
        <v>6763</v>
      </c>
      <c r="R432" s="970"/>
      <c r="S432" s="971">
        <v>85876</v>
      </c>
      <c r="T432" s="973">
        <v>-3870</v>
      </c>
      <c r="U432" s="973">
        <v>82006</v>
      </c>
    </row>
    <row r="433" spans="1:21" x14ac:dyDescent="0.25">
      <c r="A433" s="967">
        <v>94427</v>
      </c>
      <c r="B433" s="968" t="s">
        <v>3069</v>
      </c>
      <c r="C433" s="969">
        <v>1.5699999999999999E-5</v>
      </c>
      <c r="D433" s="969">
        <v>1.29E-5</v>
      </c>
      <c r="E433" s="1008">
        <v>9340</v>
      </c>
      <c r="F433" s="1011">
        <v>27378</v>
      </c>
      <c r="G433" s="970">
        <v>23985</v>
      </c>
      <c r="H433" s="970"/>
      <c r="I433" s="971">
        <v>1382</v>
      </c>
      <c r="J433" s="972">
        <v>5824</v>
      </c>
      <c r="K433" s="971">
        <v>3425</v>
      </c>
      <c r="L433" s="970">
        <v>4090</v>
      </c>
      <c r="M433" s="970"/>
      <c r="N433" s="971">
        <v>679</v>
      </c>
      <c r="O433" s="971">
        <v>0</v>
      </c>
      <c r="P433" s="971">
        <v>0</v>
      </c>
      <c r="Q433" s="970">
        <v>478</v>
      </c>
      <c r="R433" s="970"/>
      <c r="S433" s="971">
        <v>8083</v>
      </c>
      <c r="T433" s="973">
        <v>943</v>
      </c>
      <c r="U433" s="973">
        <v>9026</v>
      </c>
    </row>
    <row r="434" spans="1:21" x14ac:dyDescent="0.25">
      <c r="A434" s="967">
        <v>94428</v>
      </c>
      <c r="B434" s="968" t="s">
        <v>3070</v>
      </c>
      <c r="C434" s="969">
        <v>6.5199999999999999E-5</v>
      </c>
      <c r="D434" s="969">
        <v>7.4400000000000006E-5</v>
      </c>
      <c r="E434" s="1008">
        <v>33460</v>
      </c>
      <c r="F434" s="1011">
        <v>157902</v>
      </c>
      <c r="G434" s="970">
        <v>99608</v>
      </c>
      <c r="H434" s="970"/>
      <c r="I434" s="971">
        <v>5738</v>
      </c>
      <c r="J434" s="972">
        <v>24185</v>
      </c>
      <c r="K434" s="971">
        <v>14225</v>
      </c>
      <c r="L434" s="970">
        <v>2315</v>
      </c>
      <c r="M434" s="970"/>
      <c r="N434" s="971">
        <v>2820</v>
      </c>
      <c r="O434" s="971">
        <v>0</v>
      </c>
      <c r="P434" s="971">
        <v>0</v>
      </c>
      <c r="Q434" s="970">
        <v>3346</v>
      </c>
      <c r="R434" s="970"/>
      <c r="S434" s="971">
        <v>33568</v>
      </c>
      <c r="T434" s="973">
        <v>366</v>
      </c>
      <c r="U434" s="973">
        <v>33934</v>
      </c>
    </row>
    <row r="435" spans="1:21" x14ac:dyDescent="0.25">
      <c r="A435" s="967">
        <v>94431</v>
      </c>
      <c r="B435" s="968" t="s">
        <v>3071</v>
      </c>
      <c r="C435" s="969">
        <v>4.2440000000000002E-4</v>
      </c>
      <c r="D435" s="969">
        <v>3.7589999999999998E-4</v>
      </c>
      <c r="E435" s="1008">
        <v>293286</v>
      </c>
      <c r="F435" s="1011">
        <v>797786</v>
      </c>
      <c r="G435" s="970">
        <v>648366</v>
      </c>
      <c r="H435" s="970"/>
      <c r="I435" s="971">
        <v>37352</v>
      </c>
      <c r="J435" s="972">
        <v>157424</v>
      </c>
      <c r="K435" s="971">
        <v>92596</v>
      </c>
      <c r="L435" s="970">
        <v>210809</v>
      </c>
      <c r="M435" s="970"/>
      <c r="N435" s="971">
        <v>18353</v>
      </c>
      <c r="O435" s="971">
        <v>0</v>
      </c>
      <c r="P435" s="971">
        <v>0</v>
      </c>
      <c r="Q435" s="970">
        <v>611</v>
      </c>
      <c r="R435" s="970"/>
      <c r="S435" s="971">
        <v>218500</v>
      </c>
      <c r="T435" s="973">
        <v>68328</v>
      </c>
      <c r="U435" s="973">
        <v>286828</v>
      </c>
    </row>
    <row r="436" spans="1:21" x14ac:dyDescent="0.25">
      <c r="A436" s="967">
        <v>94437</v>
      </c>
      <c r="B436" s="968" t="s">
        <v>3072</v>
      </c>
      <c r="C436" s="969">
        <v>1.5299999999999999E-5</v>
      </c>
      <c r="D436" s="969">
        <v>1.34E-5</v>
      </c>
      <c r="E436" s="1008">
        <v>12848</v>
      </c>
      <c r="F436" s="1011">
        <v>28439</v>
      </c>
      <c r="G436" s="970">
        <v>23374</v>
      </c>
      <c r="H436" s="970"/>
      <c r="I436" s="971">
        <v>1347</v>
      </c>
      <c r="J436" s="972">
        <v>5675</v>
      </c>
      <c r="K436" s="971">
        <v>3338</v>
      </c>
      <c r="L436" s="970">
        <v>13868</v>
      </c>
      <c r="M436" s="970"/>
      <c r="N436" s="971">
        <v>662</v>
      </c>
      <c r="O436" s="971">
        <v>0</v>
      </c>
      <c r="P436" s="971">
        <v>0</v>
      </c>
      <c r="Q436" s="970">
        <v>0</v>
      </c>
      <c r="R436" s="970"/>
      <c r="S436" s="971">
        <v>7877</v>
      </c>
      <c r="T436" s="973">
        <v>5640</v>
      </c>
      <c r="U436" s="973">
        <v>13517</v>
      </c>
    </row>
    <row r="437" spans="1:21" x14ac:dyDescent="0.25">
      <c r="A437" s="967">
        <v>94501</v>
      </c>
      <c r="B437" s="968" t="s">
        <v>3073</v>
      </c>
      <c r="C437" s="969">
        <v>5.6991000000000003E-3</v>
      </c>
      <c r="D437" s="969">
        <v>5.8474E-3</v>
      </c>
      <c r="E437" s="1008">
        <v>2726192</v>
      </c>
      <c r="F437" s="1011">
        <v>12410142</v>
      </c>
      <c r="G437" s="970">
        <v>8706646</v>
      </c>
      <c r="H437" s="970"/>
      <c r="I437" s="971">
        <v>501583</v>
      </c>
      <c r="J437" s="972">
        <v>2113984</v>
      </c>
      <c r="K437" s="971">
        <v>1243430</v>
      </c>
      <c r="L437" s="970">
        <v>145440</v>
      </c>
      <c r="M437" s="970"/>
      <c r="N437" s="971">
        <v>246458</v>
      </c>
      <c r="O437" s="971">
        <v>0</v>
      </c>
      <c r="P437" s="971">
        <v>0</v>
      </c>
      <c r="Q437" s="970">
        <v>11569</v>
      </c>
      <c r="R437" s="970"/>
      <c r="S437" s="971">
        <v>2934147</v>
      </c>
      <c r="T437" s="973">
        <v>99795</v>
      </c>
      <c r="U437" s="973">
        <v>3033942</v>
      </c>
    </row>
    <row r="438" spans="1:21" x14ac:dyDescent="0.25">
      <c r="A438" s="967">
        <v>94511</v>
      </c>
      <c r="B438" s="968" t="s">
        <v>3074</v>
      </c>
      <c r="C438" s="969">
        <v>1.8538999999999999E-3</v>
      </c>
      <c r="D438" s="969">
        <v>1.7432000000000001E-3</v>
      </c>
      <c r="E438" s="1008">
        <v>773013</v>
      </c>
      <c r="F438" s="1011">
        <v>3699654</v>
      </c>
      <c r="G438" s="970">
        <v>2832246</v>
      </c>
      <c r="H438" s="970"/>
      <c r="I438" s="971">
        <v>163164</v>
      </c>
      <c r="J438" s="972">
        <v>687673</v>
      </c>
      <c r="K438" s="971">
        <v>404484</v>
      </c>
      <c r="L438" s="970">
        <v>155537</v>
      </c>
      <c r="M438" s="970"/>
      <c r="N438" s="971">
        <v>80172</v>
      </c>
      <c r="O438" s="971">
        <v>0</v>
      </c>
      <c r="P438" s="971">
        <v>0</v>
      </c>
      <c r="Q438" s="970">
        <v>31633</v>
      </c>
      <c r="R438" s="970"/>
      <c r="S438" s="971">
        <v>954469</v>
      </c>
      <c r="T438" s="973">
        <v>72914</v>
      </c>
      <c r="U438" s="973">
        <v>1027383</v>
      </c>
    </row>
    <row r="439" spans="1:21" x14ac:dyDescent="0.25">
      <c r="A439" s="967">
        <v>94512</v>
      </c>
      <c r="B439" s="968" t="s">
        <v>3075</v>
      </c>
      <c r="C439" s="969">
        <v>0</v>
      </c>
      <c r="D439" s="969">
        <v>0</v>
      </c>
      <c r="E439" s="1008">
        <v>0</v>
      </c>
      <c r="F439" s="1011">
        <v>0</v>
      </c>
      <c r="G439" s="970">
        <v>0</v>
      </c>
      <c r="H439" s="970"/>
      <c r="I439" s="971">
        <v>0</v>
      </c>
      <c r="J439" s="972">
        <v>0</v>
      </c>
      <c r="K439" s="971">
        <v>0</v>
      </c>
      <c r="L439" s="970">
        <v>0</v>
      </c>
      <c r="M439" s="970"/>
      <c r="N439" s="971">
        <v>0</v>
      </c>
      <c r="O439" s="971">
        <v>0</v>
      </c>
      <c r="P439" s="971">
        <v>0</v>
      </c>
      <c r="Q439" s="970">
        <v>138579</v>
      </c>
      <c r="R439" s="970"/>
      <c r="S439" s="971">
        <v>0</v>
      </c>
      <c r="T439" s="973">
        <v>-78713</v>
      </c>
      <c r="U439" s="973">
        <v>-78713</v>
      </c>
    </row>
    <row r="440" spans="1:21" x14ac:dyDescent="0.25">
      <c r="A440" s="967">
        <v>94517</v>
      </c>
      <c r="B440" s="968" t="s">
        <v>3076</v>
      </c>
      <c r="C440" s="969">
        <v>4.7599999999999998E-5</v>
      </c>
      <c r="D440" s="969">
        <v>4.9599999999999999E-5</v>
      </c>
      <c r="E440" s="1008">
        <v>31750</v>
      </c>
      <c r="F440" s="1011">
        <v>105268</v>
      </c>
      <c r="G440" s="970">
        <v>72720</v>
      </c>
      <c r="H440" s="970"/>
      <c r="I440" s="971">
        <v>4189</v>
      </c>
      <c r="J440" s="972">
        <v>17656</v>
      </c>
      <c r="K440" s="971">
        <v>10385</v>
      </c>
      <c r="L440" s="970">
        <v>18702</v>
      </c>
      <c r="M440" s="970"/>
      <c r="N440" s="971">
        <v>2058</v>
      </c>
      <c r="O440" s="971">
        <v>0</v>
      </c>
      <c r="P440" s="971">
        <v>0</v>
      </c>
      <c r="Q440" s="970">
        <v>0</v>
      </c>
      <c r="R440" s="970"/>
      <c r="S440" s="971">
        <v>24507</v>
      </c>
      <c r="T440" s="973">
        <v>9021</v>
      </c>
      <c r="U440" s="973">
        <v>33528</v>
      </c>
    </row>
    <row r="441" spans="1:21" x14ac:dyDescent="0.25">
      <c r="A441" s="967">
        <v>94521</v>
      </c>
      <c r="B441" s="968" t="s">
        <v>3077</v>
      </c>
      <c r="C441" s="969">
        <v>1.517E-4</v>
      </c>
      <c r="D441" s="969">
        <v>1.2410000000000001E-4</v>
      </c>
      <c r="E441" s="1008">
        <v>61289</v>
      </c>
      <c r="F441" s="1011">
        <v>263382</v>
      </c>
      <c r="G441" s="970">
        <v>231756</v>
      </c>
      <c r="H441" s="970"/>
      <c r="I441" s="971">
        <v>13351</v>
      </c>
      <c r="J441" s="972">
        <v>56271</v>
      </c>
      <c r="K441" s="971">
        <v>33098</v>
      </c>
      <c r="L441" s="970">
        <v>15354</v>
      </c>
      <c r="M441" s="970"/>
      <c r="N441" s="971">
        <v>6560</v>
      </c>
      <c r="O441" s="971">
        <v>0</v>
      </c>
      <c r="P441" s="971">
        <v>0</v>
      </c>
      <c r="Q441" s="970">
        <v>13856</v>
      </c>
      <c r="R441" s="970"/>
      <c r="S441" s="971">
        <v>78102</v>
      </c>
      <c r="T441" s="973">
        <v>429</v>
      </c>
      <c r="U441" s="973">
        <v>78531</v>
      </c>
    </row>
    <row r="442" spans="1:21" x14ac:dyDescent="0.25">
      <c r="A442" s="967">
        <v>94527</v>
      </c>
      <c r="B442" s="968" t="s">
        <v>3078</v>
      </c>
      <c r="C442" s="969">
        <v>5.4E-6</v>
      </c>
      <c r="D442" s="969">
        <v>6.3999999999999997E-6</v>
      </c>
      <c r="E442" s="1008">
        <v>2382</v>
      </c>
      <c r="F442" s="1011">
        <v>13583</v>
      </c>
      <c r="G442" s="970">
        <v>8250</v>
      </c>
      <c r="H442" s="970"/>
      <c r="I442" s="971">
        <v>475</v>
      </c>
      <c r="J442" s="972">
        <v>2003</v>
      </c>
      <c r="K442" s="971">
        <v>1178</v>
      </c>
      <c r="L442" s="970">
        <v>308</v>
      </c>
      <c r="M442" s="970"/>
      <c r="N442" s="971">
        <v>234</v>
      </c>
      <c r="O442" s="971">
        <v>0</v>
      </c>
      <c r="P442" s="971">
        <v>0</v>
      </c>
      <c r="Q442" s="970">
        <v>3369</v>
      </c>
      <c r="R442" s="970"/>
      <c r="S442" s="971">
        <v>2780</v>
      </c>
      <c r="T442" s="973">
        <v>-953</v>
      </c>
      <c r="U442" s="973">
        <v>1827</v>
      </c>
    </row>
    <row r="443" spans="1:21" x14ac:dyDescent="0.25">
      <c r="A443" s="967">
        <v>94531</v>
      </c>
      <c r="B443" s="968" t="s">
        <v>3079</v>
      </c>
      <c r="C443" s="969">
        <v>1.5E-5</v>
      </c>
      <c r="D443" s="969">
        <v>1.5500000000000001E-5</v>
      </c>
      <c r="E443" s="1008">
        <v>11396</v>
      </c>
      <c r="F443" s="1011">
        <v>32896</v>
      </c>
      <c r="G443" s="970">
        <v>22916</v>
      </c>
      <c r="H443" s="970"/>
      <c r="I443" s="971">
        <v>1320</v>
      </c>
      <c r="J443" s="972">
        <v>5564</v>
      </c>
      <c r="K443" s="971">
        <v>3273</v>
      </c>
      <c r="L443" s="970">
        <v>6665</v>
      </c>
      <c r="M443" s="970"/>
      <c r="N443" s="971">
        <v>649</v>
      </c>
      <c r="O443" s="971">
        <v>0</v>
      </c>
      <c r="P443" s="971">
        <v>0</v>
      </c>
      <c r="Q443" s="970">
        <v>0</v>
      </c>
      <c r="R443" s="970"/>
      <c r="S443" s="971">
        <v>7723</v>
      </c>
      <c r="T443" s="973">
        <v>2681</v>
      </c>
      <c r="U443" s="973">
        <v>10404</v>
      </c>
    </row>
    <row r="444" spans="1:21" x14ac:dyDescent="0.25">
      <c r="A444" s="967">
        <v>94532</v>
      </c>
      <c r="B444" s="968" t="s">
        <v>3080</v>
      </c>
      <c r="C444" s="969">
        <v>8.7800000000000006E-5</v>
      </c>
      <c r="D444" s="969">
        <v>9.4099999999999997E-5</v>
      </c>
      <c r="E444" s="1008">
        <v>45014</v>
      </c>
      <c r="F444" s="1011">
        <v>199712</v>
      </c>
      <c r="G444" s="970">
        <v>134134</v>
      </c>
      <c r="H444" s="970"/>
      <c r="I444" s="971">
        <v>7727</v>
      </c>
      <c r="J444" s="972">
        <v>32568</v>
      </c>
      <c r="K444" s="971">
        <v>19156</v>
      </c>
      <c r="L444" s="970">
        <v>0</v>
      </c>
      <c r="M444" s="970"/>
      <c r="N444" s="971">
        <v>3797</v>
      </c>
      <c r="O444" s="971">
        <v>0</v>
      </c>
      <c r="P444" s="971">
        <v>0</v>
      </c>
      <c r="Q444" s="970">
        <v>10367</v>
      </c>
      <c r="R444" s="970"/>
      <c r="S444" s="971">
        <v>45203</v>
      </c>
      <c r="T444" s="973">
        <v>-5525</v>
      </c>
      <c r="U444" s="973">
        <v>39678</v>
      </c>
    </row>
    <row r="445" spans="1:21" x14ac:dyDescent="0.25">
      <c r="A445" s="967">
        <v>94541</v>
      </c>
      <c r="B445" s="968" t="s">
        <v>3081</v>
      </c>
      <c r="C445" s="969">
        <v>2.9300000000000002E-4</v>
      </c>
      <c r="D445" s="969">
        <v>2.9839999999999999E-4</v>
      </c>
      <c r="E445" s="1008">
        <v>124372</v>
      </c>
      <c r="F445" s="1011">
        <v>633305</v>
      </c>
      <c r="G445" s="970">
        <v>447623</v>
      </c>
      <c r="H445" s="970"/>
      <c r="I445" s="971">
        <v>25787</v>
      </c>
      <c r="J445" s="972">
        <v>108683</v>
      </c>
      <c r="K445" s="971">
        <v>63927</v>
      </c>
      <c r="L445" s="970">
        <v>0</v>
      </c>
      <c r="M445" s="970"/>
      <c r="N445" s="971">
        <v>12671</v>
      </c>
      <c r="O445" s="971">
        <v>0</v>
      </c>
      <c r="P445" s="971">
        <v>0</v>
      </c>
      <c r="Q445" s="970">
        <v>27614</v>
      </c>
      <c r="R445" s="970"/>
      <c r="S445" s="971">
        <v>150849</v>
      </c>
      <c r="T445" s="973">
        <v>-10625</v>
      </c>
      <c r="U445" s="973">
        <v>140224</v>
      </c>
    </row>
    <row r="446" spans="1:21" x14ac:dyDescent="0.25">
      <c r="A446" s="967">
        <v>94547</v>
      </c>
      <c r="B446" s="968" t="s">
        <v>3082</v>
      </c>
      <c r="C446" s="969">
        <v>1.08E-5</v>
      </c>
      <c r="D446" s="969">
        <v>1.24E-5</v>
      </c>
      <c r="E446" s="1008">
        <v>8019</v>
      </c>
      <c r="F446" s="1011">
        <v>26317</v>
      </c>
      <c r="G446" s="970">
        <v>16499</v>
      </c>
      <c r="H446" s="970"/>
      <c r="I446" s="971">
        <v>951</v>
      </c>
      <c r="J446" s="972">
        <v>4006</v>
      </c>
      <c r="K446" s="971">
        <v>2356</v>
      </c>
      <c r="L446" s="970">
        <v>2853</v>
      </c>
      <c r="M446" s="970"/>
      <c r="N446" s="971">
        <v>467</v>
      </c>
      <c r="O446" s="971">
        <v>0</v>
      </c>
      <c r="P446" s="971">
        <v>0</v>
      </c>
      <c r="Q446" s="970">
        <v>0</v>
      </c>
      <c r="R446" s="970"/>
      <c r="S446" s="971">
        <v>5560</v>
      </c>
      <c r="T446" s="973">
        <v>1000</v>
      </c>
      <c r="U446" s="973">
        <v>6560</v>
      </c>
    </row>
    <row r="447" spans="1:21" x14ac:dyDescent="0.25">
      <c r="A447" s="967">
        <v>94551</v>
      </c>
      <c r="B447" s="968" t="s">
        <v>3083</v>
      </c>
      <c r="C447" s="969">
        <v>4.1900000000000002E-5</v>
      </c>
      <c r="D447" s="969">
        <v>4.5899999999999998E-5</v>
      </c>
      <c r="E447" s="1008">
        <v>24929</v>
      </c>
      <c r="F447" s="1011">
        <v>97415</v>
      </c>
      <c r="G447" s="970">
        <v>64012</v>
      </c>
      <c r="H447" s="970"/>
      <c r="I447" s="971">
        <v>3688</v>
      </c>
      <c r="J447" s="972">
        <v>15543</v>
      </c>
      <c r="K447" s="971">
        <v>9142</v>
      </c>
      <c r="L447" s="970">
        <v>11600</v>
      </c>
      <c r="M447" s="970"/>
      <c r="N447" s="971">
        <v>1812</v>
      </c>
      <c r="O447" s="971">
        <v>0</v>
      </c>
      <c r="P447" s="971">
        <v>0</v>
      </c>
      <c r="Q447" s="970">
        <v>1576</v>
      </c>
      <c r="R447" s="970"/>
      <c r="S447" s="971">
        <v>21572</v>
      </c>
      <c r="T447" s="973">
        <v>4116</v>
      </c>
      <c r="U447" s="973">
        <v>25688</v>
      </c>
    </row>
    <row r="448" spans="1:21" x14ac:dyDescent="0.25">
      <c r="A448" s="967">
        <v>94601</v>
      </c>
      <c r="B448" s="968" t="s">
        <v>3084</v>
      </c>
      <c r="C448" s="969">
        <v>1.0602999999999999E-3</v>
      </c>
      <c r="D448" s="969">
        <v>1.0011E-3</v>
      </c>
      <c r="E448" s="1008">
        <v>501425</v>
      </c>
      <c r="F448" s="1011">
        <v>2124670</v>
      </c>
      <c r="G448" s="970">
        <v>1619845</v>
      </c>
      <c r="H448" s="970"/>
      <c r="I448" s="971">
        <v>93318</v>
      </c>
      <c r="J448" s="972">
        <v>393300</v>
      </c>
      <c r="K448" s="971">
        <v>231336</v>
      </c>
      <c r="L448" s="970">
        <v>77480</v>
      </c>
      <c r="M448" s="970"/>
      <c r="N448" s="971">
        <v>45853</v>
      </c>
      <c r="O448" s="971">
        <v>0</v>
      </c>
      <c r="P448" s="971">
        <v>0</v>
      </c>
      <c r="Q448" s="970">
        <v>2182</v>
      </c>
      <c r="R448" s="970"/>
      <c r="S448" s="971">
        <v>545889</v>
      </c>
      <c r="T448" s="973">
        <v>21640</v>
      </c>
      <c r="U448" s="973">
        <v>567529</v>
      </c>
    </row>
    <row r="449" spans="1:21" x14ac:dyDescent="0.25">
      <c r="A449" s="967">
        <v>94604</v>
      </c>
      <c r="B449" s="968" t="s">
        <v>3085</v>
      </c>
      <c r="C449" s="969">
        <v>2.62E-5</v>
      </c>
      <c r="D449" s="969">
        <v>2.65E-5</v>
      </c>
      <c r="E449" s="1008">
        <v>14408</v>
      </c>
      <c r="F449" s="1011">
        <v>56242</v>
      </c>
      <c r="G449" s="970">
        <v>40026</v>
      </c>
      <c r="H449" s="970"/>
      <c r="I449" s="971">
        <v>2306</v>
      </c>
      <c r="J449" s="972">
        <v>9718</v>
      </c>
      <c r="K449" s="971">
        <v>5716</v>
      </c>
      <c r="L449" s="970">
        <v>2471</v>
      </c>
      <c r="M449" s="970"/>
      <c r="N449" s="971">
        <v>1133</v>
      </c>
      <c r="O449" s="971">
        <v>0</v>
      </c>
      <c r="P449" s="971">
        <v>0</v>
      </c>
      <c r="Q449" s="970">
        <v>26</v>
      </c>
      <c r="R449" s="970"/>
      <c r="S449" s="971">
        <v>13489</v>
      </c>
      <c r="T449" s="973">
        <v>697</v>
      </c>
      <c r="U449" s="973">
        <v>14186</v>
      </c>
    </row>
    <row r="450" spans="1:21" x14ac:dyDescent="0.25">
      <c r="A450" s="967">
        <v>94606</v>
      </c>
      <c r="B450" s="968" t="s">
        <v>3086</v>
      </c>
      <c r="C450" s="969">
        <v>2.3550000000000001E-4</v>
      </c>
      <c r="D450" s="969">
        <v>2.6229999999999998E-4</v>
      </c>
      <c r="E450" s="1008">
        <v>106916</v>
      </c>
      <c r="F450" s="1011">
        <v>556688</v>
      </c>
      <c r="G450" s="970">
        <v>359779</v>
      </c>
      <c r="H450" s="970"/>
      <c r="I450" s="971">
        <v>20727</v>
      </c>
      <c r="J450" s="972">
        <v>87355</v>
      </c>
      <c r="K450" s="971">
        <v>51381</v>
      </c>
      <c r="L450" s="970">
        <v>0</v>
      </c>
      <c r="M450" s="970"/>
      <c r="N450" s="971">
        <v>10184</v>
      </c>
      <c r="O450" s="971">
        <v>0</v>
      </c>
      <c r="P450" s="971">
        <v>0</v>
      </c>
      <c r="Q450" s="970">
        <v>51703</v>
      </c>
      <c r="R450" s="970"/>
      <c r="S450" s="971">
        <v>121246</v>
      </c>
      <c r="T450" s="973">
        <v>-24169</v>
      </c>
      <c r="U450" s="973">
        <v>97077</v>
      </c>
    </row>
    <row r="451" spans="1:21" x14ac:dyDescent="0.25">
      <c r="A451" s="967">
        <v>94611</v>
      </c>
      <c r="B451" s="968" t="s">
        <v>3087</v>
      </c>
      <c r="C451" s="969">
        <v>3.6850000000000001E-4</v>
      </c>
      <c r="D451" s="969">
        <v>4.4450000000000002E-4</v>
      </c>
      <c r="E451" s="1008">
        <v>191641</v>
      </c>
      <c r="F451" s="1011">
        <v>943378</v>
      </c>
      <c r="G451" s="970">
        <v>562966</v>
      </c>
      <c r="H451" s="970"/>
      <c r="I451" s="971">
        <v>32432</v>
      </c>
      <c r="J451" s="972">
        <v>136689</v>
      </c>
      <c r="K451" s="971">
        <v>80399</v>
      </c>
      <c r="L451" s="970">
        <v>2567</v>
      </c>
      <c r="M451" s="970"/>
      <c r="N451" s="971">
        <v>15936</v>
      </c>
      <c r="O451" s="971">
        <v>0</v>
      </c>
      <c r="P451" s="971">
        <v>0</v>
      </c>
      <c r="Q451" s="970">
        <v>35426</v>
      </c>
      <c r="R451" s="970"/>
      <c r="S451" s="971">
        <v>189720</v>
      </c>
      <c r="T451" s="973">
        <v>-9323</v>
      </c>
      <c r="U451" s="973">
        <v>180397</v>
      </c>
    </row>
    <row r="452" spans="1:21" x14ac:dyDescent="0.25">
      <c r="A452" s="967">
        <v>94621</v>
      </c>
      <c r="B452" s="968" t="s">
        <v>3088</v>
      </c>
      <c r="C452" s="969">
        <v>9.7600000000000001E-5</v>
      </c>
      <c r="D452" s="969">
        <v>1.3119999999999999E-4</v>
      </c>
      <c r="E452" s="1008">
        <v>66541</v>
      </c>
      <c r="F452" s="1011">
        <v>278450</v>
      </c>
      <c r="G452" s="970">
        <v>149106</v>
      </c>
      <c r="H452" s="970"/>
      <c r="I452" s="971">
        <v>8590</v>
      </c>
      <c r="J452" s="972">
        <v>36203</v>
      </c>
      <c r="K452" s="971">
        <v>21294</v>
      </c>
      <c r="L452" s="970">
        <v>6585</v>
      </c>
      <c r="M452" s="970"/>
      <c r="N452" s="971">
        <v>4221</v>
      </c>
      <c r="O452" s="971">
        <v>0</v>
      </c>
      <c r="P452" s="971">
        <v>0</v>
      </c>
      <c r="Q452" s="970">
        <v>18055</v>
      </c>
      <c r="R452" s="970"/>
      <c r="S452" s="971">
        <v>50249</v>
      </c>
      <c r="T452" s="973">
        <v>-1288</v>
      </c>
      <c r="U452" s="973">
        <v>48961</v>
      </c>
    </row>
    <row r="453" spans="1:21" x14ac:dyDescent="0.25">
      <c r="A453" s="967">
        <v>94631</v>
      </c>
      <c r="B453" s="968" t="s">
        <v>3089</v>
      </c>
      <c r="C453" s="969">
        <v>3.9100000000000002E-5</v>
      </c>
      <c r="D453" s="969">
        <v>3.9799999999999998E-5</v>
      </c>
      <c r="E453" s="1008">
        <v>22453</v>
      </c>
      <c r="F453" s="1011">
        <v>84469</v>
      </c>
      <c r="G453" s="970">
        <v>59734</v>
      </c>
      <c r="H453" s="970"/>
      <c r="I453" s="971">
        <v>3441</v>
      </c>
      <c r="J453" s="972">
        <v>14504</v>
      </c>
      <c r="K453" s="971">
        <v>8531</v>
      </c>
      <c r="L453" s="970">
        <v>6569</v>
      </c>
      <c r="M453" s="970"/>
      <c r="N453" s="971">
        <v>1691</v>
      </c>
      <c r="O453" s="971">
        <v>0</v>
      </c>
      <c r="P453" s="971">
        <v>0</v>
      </c>
      <c r="Q453" s="970">
        <v>0</v>
      </c>
      <c r="R453" s="970"/>
      <c r="S453" s="971">
        <v>20130</v>
      </c>
      <c r="T453" s="973">
        <v>2517</v>
      </c>
      <c r="U453" s="973">
        <v>22647</v>
      </c>
    </row>
    <row r="454" spans="1:21" x14ac:dyDescent="0.25">
      <c r="A454" s="967">
        <v>94641</v>
      </c>
      <c r="B454" s="968" t="s">
        <v>3090</v>
      </c>
      <c r="C454" s="969">
        <v>3.8999999999999999E-6</v>
      </c>
      <c r="D454" s="969">
        <v>4.6999999999999999E-6</v>
      </c>
      <c r="E454" s="1008">
        <v>5004</v>
      </c>
      <c r="F454" s="1011">
        <v>9975</v>
      </c>
      <c r="G454" s="970">
        <v>5958</v>
      </c>
      <c r="H454" s="970"/>
      <c r="I454" s="971">
        <v>343</v>
      </c>
      <c r="J454" s="972">
        <v>1446</v>
      </c>
      <c r="K454" s="971">
        <v>851</v>
      </c>
      <c r="L454" s="970">
        <v>5156</v>
      </c>
      <c r="M454" s="970"/>
      <c r="N454" s="971">
        <v>169</v>
      </c>
      <c r="O454" s="971">
        <v>0</v>
      </c>
      <c r="P454" s="971">
        <v>0</v>
      </c>
      <c r="Q454" s="970">
        <v>0</v>
      </c>
      <c r="R454" s="970"/>
      <c r="S454" s="971">
        <v>2008</v>
      </c>
      <c r="T454" s="973">
        <v>2187</v>
      </c>
      <c r="U454" s="973">
        <v>4195</v>
      </c>
    </row>
    <row r="455" spans="1:21" x14ac:dyDescent="0.25">
      <c r="A455" s="967">
        <v>94701</v>
      </c>
      <c r="B455" s="968" t="s">
        <v>3091</v>
      </c>
      <c r="C455" s="969">
        <v>2.5446000000000002E-3</v>
      </c>
      <c r="D455" s="969">
        <v>2.5636000000000001E-3</v>
      </c>
      <c r="E455" s="1008">
        <v>1148600</v>
      </c>
      <c r="F455" s="1011">
        <v>5440818</v>
      </c>
      <c r="G455" s="970">
        <v>3887444</v>
      </c>
      <c r="H455" s="970"/>
      <c r="I455" s="971">
        <v>223953</v>
      </c>
      <c r="J455" s="972">
        <v>943877</v>
      </c>
      <c r="K455" s="971">
        <v>555181</v>
      </c>
      <c r="L455" s="970">
        <v>45251</v>
      </c>
      <c r="M455" s="970"/>
      <c r="N455" s="971">
        <v>110041</v>
      </c>
      <c r="O455" s="971">
        <v>0</v>
      </c>
      <c r="P455" s="971">
        <v>0</v>
      </c>
      <c r="Q455" s="970">
        <v>103182</v>
      </c>
      <c r="R455" s="970"/>
      <c r="S455" s="971">
        <v>1310072</v>
      </c>
      <c r="T455" s="973">
        <v>-2731</v>
      </c>
      <c r="U455" s="973">
        <v>1307341</v>
      </c>
    </row>
    <row r="456" spans="1:21" x14ac:dyDescent="0.25">
      <c r="A456" s="967">
        <v>94704</v>
      </c>
      <c r="B456" s="968" t="s">
        <v>3092</v>
      </c>
      <c r="C456" s="969">
        <v>9.5000000000000005E-6</v>
      </c>
      <c r="D456" s="969">
        <v>1.04E-5</v>
      </c>
      <c r="E456" s="1008">
        <v>5070</v>
      </c>
      <c r="F456" s="1011">
        <v>22072</v>
      </c>
      <c r="G456" s="970">
        <v>14513</v>
      </c>
      <c r="H456" s="970"/>
      <c r="I456" s="971">
        <v>836</v>
      </c>
      <c r="J456" s="972">
        <v>3524</v>
      </c>
      <c r="K456" s="971">
        <v>2073</v>
      </c>
      <c r="L456" s="970">
        <v>77</v>
      </c>
      <c r="M456" s="970"/>
      <c r="N456" s="971">
        <v>411</v>
      </c>
      <c r="O456" s="971">
        <v>0</v>
      </c>
      <c r="P456" s="971">
        <v>0</v>
      </c>
      <c r="Q456" s="970">
        <v>100</v>
      </c>
      <c r="R456" s="970"/>
      <c r="S456" s="971">
        <v>4891</v>
      </c>
      <c r="T456" s="973">
        <v>38</v>
      </c>
      <c r="U456" s="973">
        <v>4929</v>
      </c>
    </row>
    <row r="457" spans="1:21" x14ac:dyDescent="0.25">
      <c r="A457" s="967">
        <v>94711</v>
      </c>
      <c r="B457" s="968" t="s">
        <v>3093</v>
      </c>
      <c r="C457" s="969">
        <v>3.3599999999999998E-4</v>
      </c>
      <c r="D457" s="969">
        <v>3.5110000000000002E-4</v>
      </c>
      <c r="E457" s="1008">
        <v>165327</v>
      </c>
      <c r="F457" s="1011">
        <v>745152</v>
      </c>
      <c r="G457" s="970">
        <v>513315</v>
      </c>
      <c r="H457" s="970"/>
      <c r="I457" s="971">
        <v>29572</v>
      </c>
      <c r="J457" s="972">
        <v>124633</v>
      </c>
      <c r="K457" s="971">
        <v>73308</v>
      </c>
      <c r="L457" s="970">
        <v>9113</v>
      </c>
      <c r="M457" s="970"/>
      <c r="N457" s="971">
        <v>14530</v>
      </c>
      <c r="O457" s="971">
        <v>0</v>
      </c>
      <c r="P457" s="971">
        <v>0</v>
      </c>
      <c r="Q457" s="970">
        <v>6693</v>
      </c>
      <c r="R457" s="970"/>
      <c r="S457" s="971">
        <v>172988</v>
      </c>
      <c r="T457" s="973">
        <v>1163</v>
      </c>
      <c r="U457" s="973">
        <v>174151</v>
      </c>
    </row>
    <row r="458" spans="1:21" x14ac:dyDescent="0.25">
      <c r="A458" s="967">
        <v>94801</v>
      </c>
      <c r="B458" s="968" t="s">
        <v>3094</v>
      </c>
      <c r="C458" s="969">
        <v>7.2440000000000004E-4</v>
      </c>
      <c r="D458" s="969">
        <v>7.6539999999999996E-4</v>
      </c>
      <c r="E458" s="1008">
        <v>342416</v>
      </c>
      <c r="F458" s="1011">
        <v>1624435</v>
      </c>
      <c r="G458" s="970">
        <v>1106683</v>
      </c>
      <c r="H458" s="970"/>
      <c r="I458" s="971">
        <v>63755</v>
      </c>
      <c r="J458" s="972">
        <v>268704</v>
      </c>
      <c r="K458" s="971">
        <v>158050</v>
      </c>
      <c r="L458" s="970">
        <v>40380</v>
      </c>
      <c r="M458" s="970"/>
      <c r="N458" s="971">
        <v>31327</v>
      </c>
      <c r="O458" s="971">
        <v>0</v>
      </c>
      <c r="P458" s="971">
        <v>0</v>
      </c>
      <c r="Q458" s="970">
        <v>19605</v>
      </c>
      <c r="R458" s="970"/>
      <c r="S458" s="971">
        <v>372953</v>
      </c>
      <c r="T458" s="973">
        <v>17711</v>
      </c>
      <c r="U458" s="973">
        <v>390664</v>
      </c>
    </row>
    <row r="459" spans="1:21" x14ac:dyDescent="0.25">
      <c r="A459" s="967">
        <v>94804</v>
      </c>
      <c r="B459" s="968" t="s">
        <v>3095</v>
      </c>
      <c r="C459" s="969">
        <v>3.8E-6</v>
      </c>
      <c r="D459" s="969">
        <v>3.8E-6</v>
      </c>
      <c r="E459" s="1008">
        <v>2740</v>
      </c>
      <c r="F459" s="1011">
        <v>8065</v>
      </c>
      <c r="G459" s="970">
        <v>5805</v>
      </c>
      <c r="H459" s="970"/>
      <c r="I459" s="971">
        <v>334</v>
      </c>
      <c r="J459" s="972">
        <v>1409</v>
      </c>
      <c r="K459" s="971">
        <v>829</v>
      </c>
      <c r="L459" s="970">
        <v>2556</v>
      </c>
      <c r="M459" s="970"/>
      <c r="N459" s="971">
        <v>164</v>
      </c>
      <c r="O459" s="971">
        <v>0</v>
      </c>
      <c r="P459" s="971">
        <v>0</v>
      </c>
      <c r="Q459" s="970">
        <v>218</v>
      </c>
      <c r="R459" s="970"/>
      <c r="S459" s="971">
        <v>1956</v>
      </c>
      <c r="T459" s="973">
        <v>1879</v>
      </c>
      <c r="U459" s="973">
        <v>3835</v>
      </c>
    </row>
    <row r="460" spans="1:21" x14ac:dyDescent="0.25">
      <c r="A460" s="967">
        <v>94812</v>
      </c>
      <c r="B460" s="968" t="s">
        <v>3096</v>
      </c>
      <c r="C460" s="969">
        <v>3.3000000000000003E-5</v>
      </c>
      <c r="D460" s="969">
        <v>3.3500000000000001E-5</v>
      </c>
      <c r="E460" s="1008">
        <v>19658</v>
      </c>
      <c r="F460" s="1011">
        <v>71098</v>
      </c>
      <c r="G460" s="970">
        <v>50415</v>
      </c>
      <c r="H460" s="970"/>
      <c r="I460" s="971">
        <v>2904</v>
      </c>
      <c r="J460" s="972">
        <v>12241</v>
      </c>
      <c r="K460" s="971">
        <v>7200</v>
      </c>
      <c r="L460" s="970">
        <v>10442</v>
      </c>
      <c r="M460" s="970"/>
      <c r="N460" s="971">
        <v>1427</v>
      </c>
      <c r="O460" s="971">
        <v>0</v>
      </c>
      <c r="P460" s="971">
        <v>0</v>
      </c>
      <c r="Q460" s="970">
        <v>0</v>
      </c>
      <c r="R460" s="970"/>
      <c r="S460" s="971">
        <v>16990</v>
      </c>
      <c r="T460" s="973">
        <v>4040</v>
      </c>
      <c r="U460" s="973">
        <v>21030</v>
      </c>
    </row>
    <row r="461" spans="1:21" x14ac:dyDescent="0.25">
      <c r="A461" s="967">
        <v>94901</v>
      </c>
      <c r="B461" s="968" t="s">
        <v>3097</v>
      </c>
      <c r="C461" s="969">
        <v>6.7841999999999998E-3</v>
      </c>
      <c r="D461" s="969">
        <v>7.0014999999999999E-3</v>
      </c>
      <c r="E461" s="1008">
        <v>3201093</v>
      </c>
      <c r="F461" s="1011">
        <v>14859529</v>
      </c>
      <c r="G461" s="970">
        <v>10364378</v>
      </c>
      <c r="H461" s="970"/>
      <c r="I461" s="971">
        <v>597084</v>
      </c>
      <c r="J461" s="972">
        <v>2516484</v>
      </c>
      <c r="K461" s="971">
        <v>1480177</v>
      </c>
      <c r="L461" s="970">
        <v>16760</v>
      </c>
      <c r="M461" s="970"/>
      <c r="N461" s="971">
        <v>293383</v>
      </c>
      <c r="O461" s="971">
        <v>0</v>
      </c>
      <c r="P461" s="971">
        <v>0</v>
      </c>
      <c r="Q461" s="970">
        <v>129476</v>
      </c>
      <c r="R461" s="970"/>
      <c r="S461" s="971">
        <v>3492805</v>
      </c>
      <c r="T461" s="973">
        <v>-36324</v>
      </c>
      <c r="U461" s="973">
        <v>3456481</v>
      </c>
    </row>
    <row r="462" spans="1:21" x14ac:dyDescent="0.25">
      <c r="A462" s="967">
        <v>94908</v>
      </c>
      <c r="B462" s="968" t="s">
        <v>3098</v>
      </c>
      <c r="C462" s="969">
        <v>7.7000000000000008E-6</v>
      </c>
      <c r="D462" s="969">
        <v>3.9799999999999998E-5</v>
      </c>
      <c r="E462" s="1008">
        <v>7868</v>
      </c>
      <c r="F462" s="1011">
        <v>84469</v>
      </c>
      <c r="G462" s="970">
        <v>11763</v>
      </c>
      <c r="H462" s="970"/>
      <c r="I462" s="971">
        <v>678</v>
      </c>
      <c r="J462" s="972">
        <v>2857</v>
      </c>
      <c r="K462" s="971">
        <v>1680</v>
      </c>
      <c r="L462" s="970">
        <v>0</v>
      </c>
      <c r="M462" s="970"/>
      <c r="N462" s="971">
        <v>333</v>
      </c>
      <c r="O462" s="971">
        <v>0</v>
      </c>
      <c r="P462" s="971">
        <v>0</v>
      </c>
      <c r="Q462" s="970">
        <v>21664</v>
      </c>
      <c r="R462" s="970"/>
      <c r="S462" s="971">
        <v>3964</v>
      </c>
      <c r="T462" s="973">
        <v>-6783</v>
      </c>
      <c r="U462" s="973">
        <v>-2819</v>
      </c>
    </row>
    <row r="463" spans="1:21" x14ac:dyDescent="0.25">
      <c r="A463" s="967">
        <v>94911</v>
      </c>
      <c r="B463" s="968" t="s">
        <v>3099</v>
      </c>
      <c r="C463" s="969">
        <v>2.8311E-3</v>
      </c>
      <c r="D463" s="969">
        <v>2.7745999999999999E-3</v>
      </c>
      <c r="E463" s="1008">
        <v>1295988</v>
      </c>
      <c r="F463" s="1011">
        <v>5888631</v>
      </c>
      <c r="G463" s="970">
        <v>4325137</v>
      </c>
      <c r="H463" s="970"/>
      <c r="I463" s="971">
        <v>249168</v>
      </c>
      <c r="J463" s="972">
        <v>1050149</v>
      </c>
      <c r="K463" s="971">
        <v>617689</v>
      </c>
      <c r="L463" s="970">
        <v>39747</v>
      </c>
      <c r="M463" s="970"/>
      <c r="N463" s="971">
        <v>122431</v>
      </c>
      <c r="O463" s="971">
        <v>0</v>
      </c>
      <c r="P463" s="971">
        <v>0</v>
      </c>
      <c r="Q463" s="970">
        <v>40147</v>
      </c>
      <c r="R463" s="970"/>
      <c r="S463" s="971">
        <v>1457575</v>
      </c>
      <c r="T463" s="973">
        <v>-7457</v>
      </c>
      <c r="U463" s="973">
        <v>1450118</v>
      </c>
    </row>
    <row r="464" spans="1:21" x14ac:dyDescent="0.25">
      <c r="A464" s="967">
        <v>94917</v>
      </c>
      <c r="B464" s="968" t="s">
        <v>3100</v>
      </c>
      <c r="C464" s="969">
        <v>3.5099999999999999E-5</v>
      </c>
      <c r="D464" s="969">
        <v>3.7400000000000001E-5</v>
      </c>
      <c r="E464" s="1008">
        <v>27131</v>
      </c>
      <c r="F464" s="1011">
        <v>79375</v>
      </c>
      <c r="G464" s="970">
        <v>53623</v>
      </c>
      <c r="H464" s="970"/>
      <c r="I464" s="971">
        <v>3089</v>
      </c>
      <c r="J464" s="972">
        <v>13020</v>
      </c>
      <c r="K464" s="971">
        <v>7658</v>
      </c>
      <c r="L464" s="970">
        <v>16574</v>
      </c>
      <c r="M464" s="970"/>
      <c r="N464" s="971">
        <v>1518</v>
      </c>
      <c r="O464" s="971">
        <v>0</v>
      </c>
      <c r="P464" s="971">
        <v>0</v>
      </c>
      <c r="Q464" s="970">
        <v>0</v>
      </c>
      <c r="R464" s="970"/>
      <c r="S464" s="971">
        <v>18071</v>
      </c>
      <c r="T464" s="973">
        <v>7114</v>
      </c>
      <c r="U464" s="973">
        <v>25185</v>
      </c>
    </row>
    <row r="465" spans="1:21" x14ac:dyDescent="0.25">
      <c r="A465" s="967">
        <v>94921</v>
      </c>
      <c r="B465" s="968" t="s">
        <v>3101</v>
      </c>
      <c r="C465" s="969">
        <v>3.9515000000000002E-3</v>
      </c>
      <c r="D465" s="969">
        <v>3.7063E-3</v>
      </c>
      <c r="E465" s="1008">
        <v>1632572</v>
      </c>
      <c r="F465" s="1011">
        <v>7866010</v>
      </c>
      <c r="G465" s="970">
        <v>6036797</v>
      </c>
      <c r="H465" s="970"/>
      <c r="I465" s="971">
        <v>347775</v>
      </c>
      <c r="J465" s="972">
        <v>1465741</v>
      </c>
      <c r="K465" s="971">
        <v>862138</v>
      </c>
      <c r="L465" s="970">
        <v>19200</v>
      </c>
      <c r="M465" s="970"/>
      <c r="N465" s="971">
        <v>170883</v>
      </c>
      <c r="O465" s="971">
        <v>0</v>
      </c>
      <c r="P465" s="971">
        <v>0</v>
      </c>
      <c r="Q465" s="970">
        <v>350239</v>
      </c>
      <c r="R465" s="970"/>
      <c r="S465" s="971">
        <v>2034406</v>
      </c>
      <c r="T465" s="973">
        <v>-150626</v>
      </c>
      <c r="U465" s="973">
        <v>1883780</v>
      </c>
    </row>
    <row r="466" spans="1:21" x14ac:dyDescent="0.25">
      <c r="A466" s="967">
        <v>94923</v>
      </c>
      <c r="B466" s="968" t="s">
        <v>3102</v>
      </c>
      <c r="C466" s="969">
        <v>3.0700000000000001E-5</v>
      </c>
      <c r="D466" s="969">
        <v>2.4499999999999999E-5</v>
      </c>
      <c r="E466" s="1008">
        <v>14810</v>
      </c>
      <c r="F466" s="1011">
        <v>51997</v>
      </c>
      <c r="G466" s="970">
        <v>46901</v>
      </c>
      <c r="H466" s="970"/>
      <c r="I466" s="971">
        <v>2702</v>
      </c>
      <c r="J466" s="972">
        <v>11387</v>
      </c>
      <c r="K466" s="971">
        <v>6698</v>
      </c>
      <c r="L466" s="970">
        <v>5727</v>
      </c>
      <c r="M466" s="970"/>
      <c r="N466" s="971">
        <v>1328</v>
      </c>
      <c r="O466" s="971">
        <v>0</v>
      </c>
      <c r="P466" s="971">
        <v>0</v>
      </c>
      <c r="Q466" s="970">
        <v>86</v>
      </c>
      <c r="R466" s="970"/>
      <c r="S466" s="971">
        <v>15806</v>
      </c>
      <c r="T466" s="973">
        <v>1556</v>
      </c>
      <c r="U466" s="973">
        <v>17362</v>
      </c>
    </row>
    <row r="467" spans="1:21" x14ac:dyDescent="0.25">
      <c r="A467" s="967">
        <v>94927</v>
      </c>
      <c r="B467" s="968" t="s">
        <v>3103</v>
      </c>
      <c r="C467" s="969">
        <v>3.0599999999999998E-5</v>
      </c>
      <c r="D467" s="969">
        <v>3.3899999999999997E-5</v>
      </c>
      <c r="E467" s="1008">
        <v>17353</v>
      </c>
      <c r="F467" s="1011">
        <v>71947</v>
      </c>
      <c r="G467" s="970">
        <v>46748</v>
      </c>
      <c r="H467" s="970"/>
      <c r="I467" s="971">
        <v>2693</v>
      </c>
      <c r="J467" s="972">
        <v>11350</v>
      </c>
      <c r="K467" s="971">
        <v>6676</v>
      </c>
      <c r="L467" s="970">
        <v>2683</v>
      </c>
      <c r="M467" s="970"/>
      <c r="N467" s="971">
        <v>1323</v>
      </c>
      <c r="O467" s="971">
        <v>0</v>
      </c>
      <c r="P467" s="971">
        <v>0</v>
      </c>
      <c r="Q467" s="970">
        <v>26</v>
      </c>
      <c r="R467" s="970"/>
      <c r="S467" s="971">
        <v>15754</v>
      </c>
      <c r="T467" s="973">
        <v>911</v>
      </c>
      <c r="U467" s="973">
        <v>16665</v>
      </c>
    </row>
    <row r="468" spans="1:21" x14ac:dyDescent="0.25">
      <c r="A468" s="967">
        <v>94931</v>
      </c>
      <c r="B468" s="968" t="s">
        <v>3104</v>
      </c>
      <c r="C468" s="969">
        <v>2.163E-4</v>
      </c>
      <c r="D468" s="969">
        <v>2.1130000000000001E-4</v>
      </c>
      <c r="E468" s="1008">
        <v>96302</v>
      </c>
      <c r="F468" s="1011">
        <v>448449</v>
      </c>
      <c r="G468" s="970">
        <v>330446</v>
      </c>
      <c r="H468" s="970"/>
      <c r="I468" s="971">
        <v>19037</v>
      </c>
      <c r="J468" s="972">
        <v>80233</v>
      </c>
      <c r="K468" s="971">
        <v>47192</v>
      </c>
      <c r="L468" s="970">
        <v>954</v>
      </c>
      <c r="M468" s="970"/>
      <c r="N468" s="971">
        <v>9354</v>
      </c>
      <c r="O468" s="971">
        <v>0</v>
      </c>
      <c r="P468" s="971">
        <v>0</v>
      </c>
      <c r="Q468" s="970">
        <v>15740</v>
      </c>
      <c r="R468" s="970"/>
      <c r="S468" s="971">
        <v>111361</v>
      </c>
      <c r="T468" s="973">
        <v>-7901</v>
      </c>
      <c r="U468" s="973">
        <v>103460</v>
      </c>
    </row>
    <row r="469" spans="1:21" x14ac:dyDescent="0.25">
      <c r="A469" s="967">
        <v>94941</v>
      </c>
      <c r="B469" s="968" t="s">
        <v>3105</v>
      </c>
      <c r="C469" s="969">
        <v>5.7879999999999997E-4</v>
      </c>
      <c r="D469" s="969">
        <v>5.2959999999999997E-4</v>
      </c>
      <c r="E469" s="1008">
        <v>242954</v>
      </c>
      <c r="F469" s="1011">
        <v>1123989</v>
      </c>
      <c r="G469" s="970">
        <v>884246</v>
      </c>
      <c r="H469" s="970"/>
      <c r="I469" s="971">
        <v>50941</v>
      </c>
      <c r="J469" s="972">
        <v>214696</v>
      </c>
      <c r="K469" s="971">
        <v>126283</v>
      </c>
      <c r="L469" s="970">
        <v>68775</v>
      </c>
      <c r="M469" s="970"/>
      <c r="N469" s="971">
        <v>25030</v>
      </c>
      <c r="O469" s="971">
        <v>0</v>
      </c>
      <c r="P469" s="971">
        <v>0</v>
      </c>
      <c r="Q469" s="970">
        <v>0</v>
      </c>
      <c r="R469" s="970"/>
      <c r="S469" s="971">
        <v>297992</v>
      </c>
      <c r="T469" s="973">
        <v>46151</v>
      </c>
      <c r="U469" s="973">
        <v>344143</v>
      </c>
    </row>
    <row r="470" spans="1:21" x14ac:dyDescent="0.25">
      <c r="A470" s="967">
        <v>95001</v>
      </c>
      <c r="B470" s="968" t="s">
        <v>3106</v>
      </c>
      <c r="C470" s="969">
        <v>2.4867000000000001E-3</v>
      </c>
      <c r="D470" s="969">
        <v>2.3779000000000001E-3</v>
      </c>
      <c r="E470" s="1008">
        <v>1196131</v>
      </c>
      <c r="F470" s="1011">
        <v>5046700</v>
      </c>
      <c r="G470" s="970">
        <v>3798989</v>
      </c>
      <c r="H470" s="970"/>
      <c r="I470" s="971">
        <v>218857</v>
      </c>
      <c r="J470" s="972">
        <v>922399</v>
      </c>
      <c r="K470" s="971">
        <v>542548</v>
      </c>
      <c r="L470" s="970">
        <v>176888</v>
      </c>
      <c r="M470" s="970"/>
      <c r="N470" s="971">
        <v>107537</v>
      </c>
      <c r="O470" s="971">
        <v>0</v>
      </c>
      <c r="P470" s="971">
        <v>0</v>
      </c>
      <c r="Q470" s="970">
        <v>3991</v>
      </c>
      <c r="R470" s="970"/>
      <c r="S470" s="971">
        <v>1280263</v>
      </c>
      <c r="T470" s="973">
        <v>51652</v>
      </c>
      <c r="U470" s="973">
        <v>1331915</v>
      </c>
    </row>
    <row r="471" spans="1:21" x14ac:dyDescent="0.25">
      <c r="A471" s="967">
        <v>95002</v>
      </c>
      <c r="B471" s="968" t="s">
        <v>3107</v>
      </c>
      <c r="C471" s="969">
        <v>1.907E-4</v>
      </c>
      <c r="D471" s="969">
        <v>2.0120000000000001E-4</v>
      </c>
      <c r="E471" s="1008">
        <v>100854</v>
      </c>
      <c r="F471" s="1011">
        <v>427014</v>
      </c>
      <c r="G471" s="970">
        <v>291337</v>
      </c>
      <c r="H471" s="970"/>
      <c r="I471" s="971">
        <v>16784</v>
      </c>
      <c r="J471" s="972">
        <v>70737</v>
      </c>
      <c r="K471" s="971">
        <v>41607</v>
      </c>
      <c r="L471" s="970">
        <v>15647</v>
      </c>
      <c r="M471" s="970"/>
      <c r="N471" s="971">
        <v>8247</v>
      </c>
      <c r="O471" s="971">
        <v>0</v>
      </c>
      <c r="P471" s="971">
        <v>0</v>
      </c>
      <c r="Q471" s="970">
        <v>0</v>
      </c>
      <c r="R471" s="970"/>
      <c r="S471" s="971">
        <v>98181</v>
      </c>
      <c r="T471" s="973">
        <v>6293</v>
      </c>
      <c r="U471" s="973">
        <v>104474</v>
      </c>
    </row>
    <row r="472" spans="1:21" x14ac:dyDescent="0.25">
      <c r="A472" s="967">
        <v>95005</v>
      </c>
      <c r="B472" s="968" t="s">
        <v>3108</v>
      </c>
      <c r="C472" s="969">
        <v>2.2949999999999999E-4</v>
      </c>
      <c r="D472" s="969">
        <v>2.3829999999999999E-4</v>
      </c>
      <c r="E472" s="1008">
        <v>111067</v>
      </c>
      <c r="F472" s="1011">
        <v>505752</v>
      </c>
      <c r="G472" s="970">
        <v>350612</v>
      </c>
      <c r="H472" s="970"/>
      <c r="I472" s="971">
        <v>20199</v>
      </c>
      <c r="J472" s="972">
        <v>85129</v>
      </c>
      <c r="K472" s="971">
        <v>50072</v>
      </c>
      <c r="L472" s="970">
        <v>13727</v>
      </c>
      <c r="M472" s="970"/>
      <c r="N472" s="971">
        <v>9925</v>
      </c>
      <c r="O472" s="971">
        <v>0</v>
      </c>
      <c r="P472" s="971">
        <v>0</v>
      </c>
      <c r="Q472" s="970">
        <v>1630</v>
      </c>
      <c r="R472" s="970"/>
      <c r="S472" s="971">
        <v>118157</v>
      </c>
      <c r="T472" s="973">
        <v>9042</v>
      </c>
      <c r="U472" s="973">
        <v>127199</v>
      </c>
    </row>
    <row r="473" spans="1:21" x14ac:dyDescent="0.25">
      <c r="A473" s="967">
        <v>95008</v>
      </c>
      <c r="B473" s="968" t="s">
        <v>3109</v>
      </c>
      <c r="C473" s="969">
        <v>1.1519999999999999E-4</v>
      </c>
      <c r="D473" s="969">
        <v>1.169E-4</v>
      </c>
      <c r="E473" s="1008">
        <v>62834</v>
      </c>
      <c r="F473" s="1011">
        <v>248101</v>
      </c>
      <c r="G473" s="970">
        <v>175994</v>
      </c>
      <c r="H473" s="970"/>
      <c r="I473" s="971">
        <v>10139</v>
      </c>
      <c r="J473" s="972">
        <v>42731</v>
      </c>
      <c r="K473" s="971">
        <v>25134</v>
      </c>
      <c r="L473" s="970">
        <v>19189</v>
      </c>
      <c r="M473" s="970"/>
      <c r="N473" s="971">
        <v>4982</v>
      </c>
      <c r="O473" s="971">
        <v>0</v>
      </c>
      <c r="P473" s="971">
        <v>0</v>
      </c>
      <c r="Q473" s="970">
        <v>6239</v>
      </c>
      <c r="R473" s="970"/>
      <c r="S473" s="971">
        <v>59310</v>
      </c>
      <c r="T473" s="973">
        <v>9098</v>
      </c>
      <c r="U473" s="973">
        <v>68408</v>
      </c>
    </row>
    <row r="474" spans="1:21" x14ac:dyDescent="0.25">
      <c r="A474" s="967">
        <v>95009</v>
      </c>
      <c r="B474" s="968" t="s">
        <v>3691</v>
      </c>
      <c r="C474" s="969">
        <v>4.2208999999999997E-3</v>
      </c>
      <c r="D474" s="969">
        <v>3.9902000000000002E-3</v>
      </c>
      <c r="E474" s="1008">
        <v>1917856</v>
      </c>
      <c r="F474" s="1011">
        <v>0</v>
      </c>
      <c r="G474" s="970">
        <v>6448366</v>
      </c>
      <c r="H474" s="970"/>
      <c r="I474" s="971">
        <v>371486</v>
      </c>
      <c r="J474" s="972">
        <v>1565671</v>
      </c>
      <c r="K474" s="971">
        <v>920916</v>
      </c>
      <c r="L474" s="970">
        <v>897451</v>
      </c>
      <c r="M474" s="970"/>
      <c r="N474" s="971">
        <v>182533</v>
      </c>
      <c r="O474" s="971">
        <v>0</v>
      </c>
      <c r="P474" s="971">
        <v>0</v>
      </c>
      <c r="Q474" s="970">
        <v>0</v>
      </c>
      <c r="R474" s="970"/>
      <c r="S474" s="971">
        <v>2173105</v>
      </c>
      <c r="T474" s="973">
        <v>582135</v>
      </c>
      <c r="U474" s="973">
        <v>2755240</v>
      </c>
    </row>
    <row r="475" spans="1:21" x14ac:dyDescent="0.25">
      <c r="A475" s="967">
        <v>95011</v>
      </c>
      <c r="B475" s="968" t="s">
        <v>3111</v>
      </c>
      <c r="C475" s="969">
        <v>1.8000000000000001E-4</v>
      </c>
      <c r="D475" s="969">
        <v>1.707E-4</v>
      </c>
      <c r="E475" s="1008">
        <v>78934</v>
      </c>
      <c r="F475" s="1011">
        <v>362283</v>
      </c>
      <c r="G475" s="970">
        <v>274990</v>
      </c>
      <c r="H475" s="970"/>
      <c r="I475" s="971">
        <v>15842</v>
      </c>
      <c r="J475" s="972">
        <v>66768</v>
      </c>
      <c r="K475" s="971">
        <v>39272</v>
      </c>
      <c r="L475" s="970">
        <v>3275</v>
      </c>
      <c r="M475" s="970"/>
      <c r="N475" s="971">
        <v>7784</v>
      </c>
      <c r="O475" s="971">
        <v>0</v>
      </c>
      <c r="P475" s="971">
        <v>0</v>
      </c>
      <c r="Q475" s="970">
        <v>8909</v>
      </c>
      <c r="R475" s="970"/>
      <c r="S475" s="971">
        <v>92672</v>
      </c>
      <c r="T475" s="973">
        <v>-3840</v>
      </c>
      <c r="U475" s="973">
        <v>88832</v>
      </c>
    </row>
    <row r="476" spans="1:21" x14ac:dyDescent="0.25">
      <c r="A476" s="967">
        <v>95017</v>
      </c>
      <c r="B476" s="968" t="s">
        <v>3112</v>
      </c>
      <c r="C476" s="969">
        <v>3.8800000000000001E-5</v>
      </c>
      <c r="D476" s="969">
        <v>3.5800000000000003E-5</v>
      </c>
      <c r="E476" s="1008">
        <v>15330</v>
      </c>
      <c r="F476" s="1011">
        <v>75980</v>
      </c>
      <c r="G476" s="970">
        <v>59276</v>
      </c>
      <c r="H476" s="970"/>
      <c r="I476" s="971">
        <v>3415</v>
      </c>
      <c r="J476" s="972">
        <v>14392</v>
      </c>
      <c r="K476" s="971">
        <v>8465</v>
      </c>
      <c r="L476" s="970">
        <v>13339</v>
      </c>
      <c r="M476" s="970"/>
      <c r="N476" s="971">
        <v>1678</v>
      </c>
      <c r="O476" s="971">
        <v>0</v>
      </c>
      <c r="P476" s="971">
        <v>0</v>
      </c>
      <c r="Q476" s="970">
        <v>0</v>
      </c>
      <c r="R476" s="970"/>
      <c r="S476" s="971">
        <v>19976</v>
      </c>
      <c r="T476" s="973">
        <v>7635</v>
      </c>
      <c r="U476" s="973">
        <v>27611</v>
      </c>
    </row>
    <row r="477" spans="1:21" x14ac:dyDescent="0.25">
      <c r="A477" s="967">
        <v>95101</v>
      </c>
      <c r="B477" s="968" t="s">
        <v>3113</v>
      </c>
      <c r="C477" s="969">
        <v>8.3750999999999999E-3</v>
      </c>
      <c r="D477" s="969">
        <v>8.0955999999999997E-3</v>
      </c>
      <c r="E477" s="1008">
        <v>3555097</v>
      </c>
      <c r="F477" s="1011">
        <v>17181575</v>
      </c>
      <c r="G477" s="970">
        <v>12794833</v>
      </c>
      <c r="H477" s="970"/>
      <c r="I477" s="971">
        <v>737101</v>
      </c>
      <c r="J477" s="972">
        <v>3106601</v>
      </c>
      <c r="K477" s="971">
        <v>1827279</v>
      </c>
      <c r="L477" s="970">
        <v>39562</v>
      </c>
      <c r="M477" s="970"/>
      <c r="N477" s="971">
        <v>362181</v>
      </c>
      <c r="O477" s="971">
        <v>0</v>
      </c>
      <c r="P477" s="971">
        <v>0</v>
      </c>
      <c r="Q477" s="970">
        <v>114122</v>
      </c>
      <c r="R477" s="970"/>
      <c r="S477" s="971">
        <v>4311870</v>
      </c>
      <c r="T477" s="973">
        <v>1978</v>
      </c>
      <c r="U477" s="973">
        <v>4313848</v>
      </c>
    </row>
    <row r="478" spans="1:21" x14ac:dyDescent="0.25">
      <c r="A478" s="967">
        <v>95103</v>
      </c>
      <c r="B478" s="968" t="s">
        <v>3114</v>
      </c>
      <c r="C478" s="969">
        <v>4.9100000000000001E-5</v>
      </c>
      <c r="D478" s="969">
        <v>6.02E-5</v>
      </c>
      <c r="E478" s="1008">
        <v>33036</v>
      </c>
      <c r="F478" s="1011">
        <v>127765</v>
      </c>
      <c r="G478" s="970">
        <v>75011</v>
      </c>
      <c r="H478" s="970"/>
      <c r="I478" s="971">
        <v>4321</v>
      </c>
      <c r="J478" s="972">
        <v>18213</v>
      </c>
      <c r="K478" s="971">
        <v>10713</v>
      </c>
      <c r="L478" s="970">
        <v>24203</v>
      </c>
      <c r="M478" s="970"/>
      <c r="N478" s="971">
        <v>2123</v>
      </c>
      <c r="O478" s="971">
        <v>0</v>
      </c>
      <c r="P478" s="971">
        <v>0</v>
      </c>
      <c r="Q478" s="970">
        <v>0</v>
      </c>
      <c r="R478" s="970"/>
      <c r="S478" s="971">
        <v>25279</v>
      </c>
      <c r="T478" s="973">
        <v>18053</v>
      </c>
      <c r="U478" s="973">
        <v>43332</v>
      </c>
    </row>
    <row r="479" spans="1:21" x14ac:dyDescent="0.25">
      <c r="A479" s="967">
        <v>95104</v>
      </c>
      <c r="B479" s="968" t="s">
        <v>3115</v>
      </c>
      <c r="C479" s="969">
        <v>1.02E-4</v>
      </c>
      <c r="D479" s="969">
        <v>1.011E-4</v>
      </c>
      <c r="E479" s="1008">
        <v>55856</v>
      </c>
      <c r="F479" s="1011">
        <v>214568</v>
      </c>
      <c r="G479" s="970">
        <v>155828</v>
      </c>
      <c r="H479" s="970"/>
      <c r="I479" s="971">
        <v>8977</v>
      </c>
      <c r="J479" s="972">
        <v>37835</v>
      </c>
      <c r="K479" s="971">
        <v>22254</v>
      </c>
      <c r="L479" s="970">
        <v>19729</v>
      </c>
      <c r="M479" s="970"/>
      <c r="N479" s="971">
        <v>4411</v>
      </c>
      <c r="O479" s="971">
        <v>0</v>
      </c>
      <c r="P479" s="971">
        <v>0</v>
      </c>
      <c r="Q479" s="970">
        <v>0</v>
      </c>
      <c r="R479" s="970"/>
      <c r="S479" s="971">
        <v>52514</v>
      </c>
      <c r="T479" s="973">
        <v>8399</v>
      </c>
      <c r="U479" s="973">
        <v>60913</v>
      </c>
    </row>
    <row r="480" spans="1:21" x14ac:dyDescent="0.25">
      <c r="A480" s="967">
        <v>95105</v>
      </c>
      <c r="B480" s="968" t="s">
        <v>3116</v>
      </c>
      <c r="C480" s="969">
        <v>6.1099999999999994E-5</v>
      </c>
      <c r="D480" s="969">
        <v>6.3700000000000003E-5</v>
      </c>
      <c r="E480" s="1008">
        <v>33363</v>
      </c>
      <c r="F480" s="1011">
        <v>135193</v>
      </c>
      <c r="G480" s="970">
        <v>93344</v>
      </c>
      <c r="H480" s="970"/>
      <c r="I480" s="971">
        <v>5377</v>
      </c>
      <c r="J480" s="972">
        <v>22664</v>
      </c>
      <c r="K480" s="971">
        <v>13331</v>
      </c>
      <c r="L480" s="970">
        <v>8129</v>
      </c>
      <c r="M480" s="970"/>
      <c r="N480" s="971">
        <v>2642</v>
      </c>
      <c r="O480" s="971">
        <v>0</v>
      </c>
      <c r="P480" s="971">
        <v>0</v>
      </c>
      <c r="Q480" s="970">
        <v>0</v>
      </c>
      <c r="R480" s="970"/>
      <c r="S480" s="971">
        <v>31457</v>
      </c>
      <c r="T480" s="973">
        <v>4018</v>
      </c>
      <c r="U480" s="973">
        <v>35475</v>
      </c>
    </row>
    <row r="481" spans="1:21" x14ac:dyDescent="0.25">
      <c r="A481" s="967">
        <v>95106</v>
      </c>
      <c r="B481" s="968" t="s">
        <v>3117</v>
      </c>
      <c r="C481" s="969">
        <v>1.2099999999999999E-5</v>
      </c>
      <c r="D481" s="969">
        <v>1.3900000000000001E-5</v>
      </c>
      <c r="E481" s="1008">
        <v>5272</v>
      </c>
      <c r="F481" s="1011">
        <v>29500</v>
      </c>
      <c r="G481" s="970">
        <v>18485</v>
      </c>
      <c r="H481" s="970"/>
      <c r="I481" s="971">
        <v>1065</v>
      </c>
      <c r="J481" s="972">
        <v>4488</v>
      </c>
      <c r="K481" s="971">
        <v>2640</v>
      </c>
      <c r="L481" s="970">
        <v>4918</v>
      </c>
      <c r="M481" s="970"/>
      <c r="N481" s="971">
        <v>523</v>
      </c>
      <c r="O481" s="971">
        <v>0</v>
      </c>
      <c r="P481" s="971">
        <v>0</v>
      </c>
      <c r="Q481" s="970">
        <v>1433</v>
      </c>
      <c r="R481" s="970"/>
      <c r="S481" s="971">
        <v>6230</v>
      </c>
      <c r="T481" s="973">
        <v>2234</v>
      </c>
      <c r="U481" s="973">
        <v>8464</v>
      </c>
    </row>
    <row r="482" spans="1:21" x14ac:dyDescent="0.25">
      <c r="A482" s="967">
        <v>95110</v>
      </c>
      <c r="B482" s="968" t="s">
        <v>3118</v>
      </c>
      <c r="C482" s="969">
        <v>4.2902000000000001E-3</v>
      </c>
      <c r="D482" s="969">
        <v>4.4609000000000003E-3</v>
      </c>
      <c r="E482" s="1008">
        <v>1965505</v>
      </c>
      <c r="F482" s="1011">
        <v>9467524</v>
      </c>
      <c r="G482" s="970">
        <v>6554237</v>
      </c>
      <c r="H482" s="970"/>
      <c r="I482" s="971">
        <v>377585</v>
      </c>
      <c r="J482" s="972">
        <v>1591377</v>
      </c>
      <c r="K482" s="971">
        <v>936036</v>
      </c>
      <c r="L482" s="970">
        <v>0</v>
      </c>
      <c r="M482" s="970"/>
      <c r="N482" s="971">
        <v>185530</v>
      </c>
      <c r="O482" s="971">
        <v>0</v>
      </c>
      <c r="P482" s="971">
        <v>0</v>
      </c>
      <c r="Q482" s="970">
        <v>1097124</v>
      </c>
      <c r="R482" s="970"/>
      <c r="S482" s="971">
        <v>2208784</v>
      </c>
      <c r="T482" s="973">
        <v>-636198</v>
      </c>
      <c r="U482" s="973">
        <v>1572586</v>
      </c>
    </row>
    <row r="483" spans="1:21" x14ac:dyDescent="0.25">
      <c r="A483" s="967">
        <v>95111</v>
      </c>
      <c r="B483" s="968" t="s">
        <v>3119</v>
      </c>
      <c r="C483" s="969">
        <v>1.0778999999999999E-3</v>
      </c>
      <c r="D483" s="969">
        <v>1.0709000000000001E-3</v>
      </c>
      <c r="E483" s="1008">
        <v>470003</v>
      </c>
      <c r="F483" s="1011">
        <v>2272809</v>
      </c>
      <c r="G483" s="970">
        <v>1646733</v>
      </c>
      <c r="H483" s="970"/>
      <c r="I483" s="971">
        <v>94867</v>
      </c>
      <c r="J483" s="972">
        <v>399829</v>
      </c>
      <c r="K483" s="971">
        <v>235176</v>
      </c>
      <c r="L483" s="970">
        <v>0</v>
      </c>
      <c r="M483" s="970"/>
      <c r="N483" s="971">
        <v>46614</v>
      </c>
      <c r="O483" s="971">
        <v>0</v>
      </c>
      <c r="P483" s="971">
        <v>0</v>
      </c>
      <c r="Q483" s="970">
        <v>120462</v>
      </c>
      <c r="R483" s="970"/>
      <c r="S483" s="971">
        <v>554950</v>
      </c>
      <c r="T483" s="973">
        <v>-59518</v>
      </c>
      <c r="U483" s="973">
        <v>495432</v>
      </c>
    </row>
    <row r="484" spans="1:21" x14ac:dyDescent="0.25">
      <c r="A484" s="967">
        <v>95113</v>
      </c>
      <c r="B484" s="968" t="s">
        <v>3120</v>
      </c>
      <c r="C484" s="969">
        <v>4.6699999999999997E-5</v>
      </c>
      <c r="D484" s="969">
        <v>4.7500000000000003E-5</v>
      </c>
      <c r="E484" s="1008">
        <v>66187</v>
      </c>
      <c r="F484" s="1011">
        <v>100811</v>
      </c>
      <c r="G484" s="970">
        <v>71345</v>
      </c>
      <c r="H484" s="970"/>
      <c r="I484" s="971">
        <v>4110</v>
      </c>
      <c r="J484" s="972">
        <v>17322</v>
      </c>
      <c r="K484" s="971">
        <v>10189</v>
      </c>
      <c r="L484" s="970">
        <v>82563</v>
      </c>
      <c r="M484" s="970"/>
      <c r="N484" s="971">
        <v>2020</v>
      </c>
      <c r="O484" s="971">
        <v>0</v>
      </c>
      <c r="P484" s="971">
        <v>0</v>
      </c>
      <c r="Q484" s="970">
        <v>0</v>
      </c>
      <c r="R484" s="970"/>
      <c r="S484" s="971">
        <v>24043</v>
      </c>
      <c r="T484" s="973">
        <v>31359</v>
      </c>
      <c r="U484" s="973">
        <v>55402</v>
      </c>
    </row>
    <row r="485" spans="1:21" x14ac:dyDescent="0.25">
      <c r="A485" s="967">
        <v>95121</v>
      </c>
      <c r="B485" s="968" t="s">
        <v>3121</v>
      </c>
      <c r="C485" s="969">
        <v>4.9770000000000001E-4</v>
      </c>
      <c r="D485" s="969">
        <v>4.9580000000000002E-4</v>
      </c>
      <c r="E485" s="1008">
        <v>224754</v>
      </c>
      <c r="F485" s="1011">
        <v>1052254</v>
      </c>
      <c r="G485" s="970">
        <v>760348</v>
      </c>
      <c r="H485" s="970"/>
      <c r="I485" s="971">
        <v>43803</v>
      </c>
      <c r="J485" s="972">
        <v>184613</v>
      </c>
      <c r="K485" s="971">
        <v>108588</v>
      </c>
      <c r="L485" s="970">
        <v>12640</v>
      </c>
      <c r="M485" s="970"/>
      <c r="N485" s="971">
        <v>21523</v>
      </c>
      <c r="O485" s="971">
        <v>0</v>
      </c>
      <c r="P485" s="971">
        <v>0</v>
      </c>
      <c r="Q485" s="970">
        <v>14371</v>
      </c>
      <c r="R485" s="970"/>
      <c r="S485" s="971">
        <v>256238</v>
      </c>
      <c r="T485" s="973">
        <v>-7628</v>
      </c>
      <c r="U485" s="973">
        <v>248610</v>
      </c>
    </row>
    <row r="486" spans="1:21" x14ac:dyDescent="0.25">
      <c r="A486" s="967">
        <v>95122</v>
      </c>
      <c r="B486" s="968" t="s">
        <v>3122</v>
      </c>
      <c r="C486" s="969">
        <v>6.4999999999999996E-6</v>
      </c>
      <c r="D486" s="969">
        <v>2.7999999999999999E-6</v>
      </c>
      <c r="E486" s="1008">
        <v>3103</v>
      </c>
      <c r="F486" s="1011">
        <v>5943</v>
      </c>
      <c r="G486" s="970">
        <v>9930</v>
      </c>
      <c r="H486" s="970"/>
      <c r="I486" s="971">
        <v>572</v>
      </c>
      <c r="J486" s="972">
        <v>2411</v>
      </c>
      <c r="K486" s="971">
        <v>1418</v>
      </c>
      <c r="L486" s="970">
        <v>3675</v>
      </c>
      <c r="M486" s="970"/>
      <c r="N486" s="971">
        <v>281</v>
      </c>
      <c r="O486" s="971">
        <v>0</v>
      </c>
      <c r="P486" s="971">
        <v>0</v>
      </c>
      <c r="Q486" s="970">
        <v>0</v>
      </c>
      <c r="R486" s="970"/>
      <c r="S486" s="971">
        <v>3346</v>
      </c>
      <c r="T486" s="973">
        <v>1103</v>
      </c>
      <c r="U486" s="973">
        <v>4449</v>
      </c>
    </row>
    <row r="487" spans="1:21" x14ac:dyDescent="0.25">
      <c r="A487" s="967">
        <v>95123</v>
      </c>
      <c r="B487" s="968" t="s">
        <v>3123</v>
      </c>
      <c r="C487" s="969">
        <v>5.7399999999999999E-5</v>
      </c>
      <c r="D487" s="969">
        <v>5.6700000000000003E-5</v>
      </c>
      <c r="E487" s="1008">
        <v>29191</v>
      </c>
      <c r="F487" s="1011">
        <v>120336</v>
      </c>
      <c r="G487" s="970">
        <v>87691</v>
      </c>
      <c r="H487" s="970"/>
      <c r="I487" s="971">
        <v>5052</v>
      </c>
      <c r="J487" s="972">
        <v>21291</v>
      </c>
      <c r="K487" s="971">
        <v>12524</v>
      </c>
      <c r="L487" s="970">
        <v>8811</v>
      </c>
      <c r="M487" s="970"/>
      <c r="N487" s="971">
        <v>2482</v>
      </c>
      <c r="O487" s="971">
        <v>0</v>
      </c>
      <c r="P487" s="971">
        <v>0</v>
      </c>
      <c r="Q487" s="970">
        <v>1459</v>
      </c>
      <c r="R487" s="970"/>
      <c r="S487" s="971">
        <v>29552</v>
      </c>
      <c r="T487" s="973">
        <v>1830</v>
      </c>
      <c r="U487" s="973">
        <v>31382</v>
      </c>
    </row>
    <row r="488" spans="1:21" x14ac:dyDescent="0.25">
      <c r="A488" s="967">
        <v>95131</v>
      </c>
      <c r="B488" s="968" t="s">
        <v>3124</v>
      </c>
      <c r="C488" s="969">
        <v>1.6682999999999999E-3</v>
      </c>
      <c r="D488" s="969">
        <v>1.5451E-3</v>
      </c>
      <c r="E488" s="1008">
        <v>749707</v>
      </c>
      <c r="F488" s="1011">
        <v>3279220</v>
      </c>
      <c r="G488" s="970">
        <v>2548700</v>
      </c>
      <c r="H488" s="970"/>
      <c r="I488" s="971">
        <v>146829</v>
      </c>
      <c r="J488" s="972">
        <v>618827</v>
      </c>
      <c r="K488" s="971">
        <v>363990</v>
      </c>
      <c r="L488" s="970">
        <v>105945</v>
      </c>
      <c r="M488" s="970"/>
      <c r="N488" s="971">
        <v>72146</v>
      </c>
      <c r="O488" s="971">
        <v>0</v>
      </c>
      <c r="P488" s="971">
        <v>0</v>
      </c>
      <c r="Q488" s="970">
        <v>846</v>
      </c>
      <c r="R488" s="970"/>
      <c r="S488" s="971">
        <v>858914</v>
      </c>
      <c r="T488" s="973">
        <v>33842</v>
      </c>
      <c r="U488" s="973">
        <v>892756</v>
      </c>
    </row>
    <row r="489" spans="1:21" x14ac:dyDescent="0.25">
      <c r="A489" s="967">
        <v>95141</v>
      </c>
      <c r="B489" s="968" t="s">
        <v>3125</v>
      </c>
      <c r="C489" s="969">
        <v>3.2220000000000003E-4</v>
      </c>
      <c r="D489" s="969">
        <v>3.1819999999999998E-4</v>
      </c>
      <c r="E489" s="1008">
        <v>131053</v>
      </c>
      <c r="F489" s="1011">
        <v>675327</v>
      </c>
      <c r="G489" s="970">
        <v>492232</v>
      </c>
      <c r="H489" s="970"/>
      <c r="I489" s="971">
        <v>28357</v>
      </c>
      <c r="J489" s="972">
        <v>119515</v>
      </c>
      <c r="K489" s="971">
        <v>70298</v>
      </c>
      <c r="L489" s="970">
        <v>1251</v>
      </c>
      <c r="M489" s="970"/>
      <c r="N489" s="971">
        <v>13934</v>
      </c>
      <c r="O489" s="971">
        <v>0</v>
      </c>
      <c r="P489" s="971">
        <v>0</v>
      </c>
      <c r="Q489" s="970">
        <v>29129</v>
      </c>
      <c r="R489" s="970"/>
      <c r="S489" s="971">
        <v>165883</v>
      </c>
      <c r="T489" s="973">
        <v>-11233</v>
      </c>
      <c r="U489" s="973">
        <v>154650</v>
      </c>
    </row>
    <row r="490" spans="1:21" x14ac:dyDescent="0.25">
      <c r="A490" s="967">
        <v>95151</v>
      </c>
      <c r="B490" s="968" t="s">
        <v>3126</v>
      </c>
      <c r="C490" s="969">
        <v>1.092E-4</v>
      </c>
      <c r="D490" s="969">
        <v>1.158E-4</v>
      </c>
      <c r="E490" s="1008">
        <v>46663</v>
      </c>
      <c r="F490" s="1011">
        <v>245766</v>
      </c>
      <c r="G490" s="970">
        <v>166827</v>
      </c>
      <c r="H490" s="970"/>
      <c r="I490" s="971">
        <v>9611</v>
      </c>
      <c r="J490" s="972">
        <v>40506</v>
      </c>
      <c r="K490" s="971">
        <v>23825</v>
      </c>
      <c r="L490" s="970">
        <v>364</v>
      </c>
      <c r="M490" s="970"/>
      <c r="N490" s="971">
        <v>4722</v>
      </c>
      <c r="O490" s="971">
        <v>0</v>
      </c>
      <c r="P490" s="971">
        <v>0</v>
      </c>
      <c r="Q490" s="970">
        <v>10802</v>
      </c>
      <c r="R490" s="970"/>
      <c r="S490" s="971">
        <v>56221</v>
      </c>
      <c r="T490" s="973">
        <v>-3332</v>
      </c>
      <c r="U490" s="973">
        <v>52889</v>
      </c>
    </row>
    <row r="491" spans="1:21" x14ac:dyDescent="0.25">
      <c r="A491" s="967">
        <v>95161</v>
      </c>
      <c r="B491" s="968" t="s">
        <v>3127</v>
      </c>
      <c r="C491" s="969">
        <v>6.8100000000000002E-5</v>
      </c>
      <c r="D491" s="969">
        <v>7.4800000000000002E-5</v>
      </c>
      <c r="E491" s="1008">
        <v>38087</v>
      </c>
      <c r="F491" s="1011">
        <v>158751</v>
      </c>
      <c r="G491" s="970">
        <v>104038</v>
      </c>
      <c r="H491" s="970"/>
      <c r="I491" s="971">
        <v>5994</v>
      </c>
      <c r="J491" s="972">
        <v>25261</v>
      </c>
      <c r="K491" s="971">
        <v>14858</v>
      </c>
      <c r="L491" s="970">
        <v>5468</v>
      </c>
      <c r="M491" s="970"/>
      <c r="N491" s="971">
        <v>2945</v>
      </c>
      <c r="O491" s="971">
        <v>0</v>
      </c>
      <c r="P491" s="971">
        <v>0</v>
      </c>
      <c r="Q491" s="970">
        <v>1353</v>
      </c>
      <c r="R491" s="970"/>
      <c r="S491" s="971">
        <v>35061</v>
      </c>
      <c r="T491" s="973">
        <v>1287</v>
      </c>
      <c r="U491" s="973">
        <v>36348</v>
      </c>
    </row>
    <row r="492" spans="1:21" x14ac:dyDescent="0.25">
      <c r="A492" s="967">
        <v>95171</v>
      </c>
      <c r="B492" s="968" t="s">
        <v>3128</v>
      </c>
      <c r="C492" s="969">
        <v>1.0459999999999999E-4</v>
      </c>
      <c r="D492" s="969">
        <v>1.2300000000000001E-4</v>
      </c>
      <c r="E492" s="1008">
        <v>53917</v>
      </c>
      <c r="F492" s="1011">
        <v>261047</v>
      </c>
      <c r="G492" s="970">
        <v>159800</v>
      </c>
      <c r="H492" s="970"/>
      <c r="I492" s="971">
        <v>9206</v>
      </c>
      <c r="J492" s="972">
        <v>38799</v>
      </c>
      <c r="K492" s="971">
        <v>22822</v>
      </c>
      <c r="L492" s="970">
        <v>6705</v>
      </c>
      <c r="M492" s="970"/>
      <c r="N492" s="971">
        <v>4523</v>
      </c>
      <c r="O492" s="971">
        <v>0</v>
      </c>
      <c r="P492" s="971">
        <v>0</v>
      </c>
      <c r="Q492" s="970">
        <v>14987</v>
      </c>
      <c r="R492" s="970"/>
      <c r="S492" s="971">
        <v>53853</v>
      </c>
      <c r="T492" s="973">
        <v>-3646</v>
      </c>
      <c r="U492" s="973">
        <v>50207</v>
      </c>
    </row>
    <row r="493" spans="1:21" x14ac:dyDescent="0.25">
      <c r="A493" s="967">
        <v>95181</v>
      </c>
      <c r="B493" s="968" t="s">
        <v>3129</v>
      </c>
      <c r="C493" s="969">
        <v>7.7100000000000004E-5</v>
      </c>
      <c r="D493" s="969">
        <v>7.7899999999999996E-5</v>
      </c>
      <c r="E493" s="1008">
        <v>30099</v>
      </c>
      <c r="F493" s="1011">
        <v>165330</v>
      </c>
      <c r="G493" s="970">
        <v>117787</v>
      </c>
      <c r="H493" s="970"/>
      <c r="I493" s="971">
        <v>6786</v>
      </c>
      <c r="J493" s="972">
        <v>28599</v>
      </c>
      <c r="K493" s="971">
        <v>16822</v>
      </c>
      <c r="L493" s="970">
        <v>1069</v>
      </c>
      <c r="M493" s="970"/>
      <c r="N493" s="971">
        <v>3334</v>
      </c>
      <c r="O493" s="971">
        <v>0</v>
      </c>
      <c r="P493" s="971">
        <v>0</v>
      </c>
      <c r="Q493" s="970">
        <v>9474</v>
      </c>
      <c r="R493" s="970"/>
      <c r="S493" s="971">
        <v>39694</v>
      </c>
      <c r="T493" s="973">
        <v>-2444</v>
      </c>
      <c r="U493" s="973">
        <v>37250</v>
      </c>
    </row>
    <row r="494" spans="1:21" x14ac:dyDescent="0.25">
      <c r="A494" s="967">
        <v>95191</v>
      </c>
      <c r="B494" s="968" t="s">
        <v>3130</v>
      </c>
      <c r="C494" s="969">
        <v>5.3999999999999998E-5</v>
      </c>
      <c r="D494" s="969">
        <v>5.3999999999999998E-5</v>
      </c>
      <c r="E494" s="1008">
        <v>31311</v>
      </c>
      <c r="F494" s="1011">
        <v>114606</v>
      </c>
      <c r="G494" s="970">
        <v>82497</v>
      </c>
      <c r="H494" s="970"/>
      <c r="I494" s="971">
        <v>4753</v>
      </c>
      <c r="J494" s="972">
        <v>20031</v>
      </c>
      <c r="K494" s="971">
        <v>11782</v>
      </c>
      <c r="L494" s="970">
        <v>12522</v>
      </c>
      <c r="M494" s="970"/>
      <c r="N494" s="971">
        <v>2335</v>
      </c>
      <c r="O494" s="971">
        <v>0</v>
      </c>
      <c r="P494" s="971">
        <v>0</v>
      </c>
      <c r="Q494" s="970">
        <v>5293</v>
      </c>
      <c r="R494" s="970"/>
      <c r="S494" s="971">
        <v>27802</v>
      </c>
      <c r="T494" s="973">
        <v>4438</v>
      </c>
      <c r="U494" s="973">
        <v>32240</v>
      </c>
    </row>
    <row r="495" spans="1:21" x14ac:dyDescent="0.25">
      <c r="A495" s="967">
        <v>95201</v>
      </c>
      <c r="B495" s="968" t="s">
        <v>3131</v>
      </c>
      <c r="C495" s="969">
        <v>7.0969999999999996E-4</v>
      </c>
      <c r="D495" s="969">
        <v>6.8329999999999997E-4</v>
      </c>
      <c r="E495" s="1008">
        <v>303949</v>
      </c>
      <c r="F495" s="1011">
        <v>1450192</v>
      </c>
      <c r="G495" s="970">
        <v>1084225</v>
      </c>
      <c r="H495" s="970"/>
      <c r="I495" s="971">
        <v>62461</v>
      </c>
      <c r="J495" s="972">
        <v>263252</v>
      </c>
      <c r="K495" s="971">
        <v>154842</v>
      </c>
      <c r="L495" s="970">
        <v>6474</v>
      </c>
      <c r="M495" s="970"/>
      <c r="N495" s="971">
        <v>30691</v>
      </c>
      <c r="O495" s="971">
        <v>0</v>
      </c>
      <c r="P495" s="971">
        <v>0</v>
      </c>
      <c r="Q495" s="970">
        <v>21158</v>
      </c>
      <c r="R495" s="970"/>
      <c r="S495" s="971">
        <v>365385</v>
      </c>
      <c r="T495" s="973">
        <v>-9663</v>
      </c>
      <c r="U495" s="973">
        <v>355722</v>
      </c>
    </row>
    <row r="496" spans="1:21" x14ac:dyDescent="0.25">
      <c r="A496" s="967">
        <v>95204</v>
      </c>
      <c r="B496" s="968" t="s">
        <v>3132</v>
      </c>
      <c r="C496" s="969">
        <v>1.26E-5</v>
      </c>
      <c r="D496" s="969">
        <v>1.1600000000000001E-5</v>
      </c>
      <c r="E496" s="1008">
        <v>7226</v>
      </c>
      <c r="F496" s="1011">
        <v>24619</v>
      </c>
      <c r="G496" s="970">
        <v>19249</v>
      </c>
      <c r="H496" s="970"/>
      <c r="I496" s="971">
        <v>1109</v>
      </c>
      <c r="J496" s="972">
        <v>4674</v>
      </c>
      <c r="K496" s="971">
        <v>2749</v>
      </c>
      <c r="L496" s="970">
        <v>1824</v>
      </c>
      <c r="M496" s="970"/>
      <c r="N496" s="971">
        <v>545</v>
      </c>
      <c r="O496" s="971">
        <v>0</v>
      </c>
      <c r="P496" s="971">
        <v>0</v>
      </c>
      <c r="Q496" s="970">
        <v>1143</v>
      </c>
      <c r="R496" s="970"/>
      <c r="S496" s="971">
        <v>6487</v>
      </c>
      <c r="T496" s="973">
        <v>-195</v>
      </c>
      <c r="U496" s="973">
        <v>6292</v>
      </c>
    </row>
    <row r="497" spans="1:21" x14ac:dyDescent="0.25">
      <c r="A497" s="967">
        <v>95205</v>
      </c>
      <c r="B497" s="968" t="s">
        <v>3133</v>
      </c>
      <c r="C497" s="969">
        <v>4.5000000000000001E-6</v>
      </c>
      <c r="D497" s="969">
        <v>4.7999999999999998E-6</v>
      </c>
      <c r="E497" s="1008">
        <v>2455</v>
      </c>
      <c r="F497" s="1011">
        <v>10187</v>
      </c>
      <c r="G497" s="970">
        <v>6875</v>
      </c>
      <c r="H497" s="970"/>
      <c r="I497" s="971">
        <v>396</v>
      </c>
      <c r="J497" s="972">
        <v>1669</v>
      </c>
      <c r="K497" s="971">
        <v>982</v>
      </c>
      <c r="L497" s="970">
        <v>605</v>
      </c>
      <c r="M497" s="970"/>
      <c r="N497" s="971">
        <v>195</v>
      </c>
      <c r="O497" s="971">
        <v>0</v>
      </c>
      <c r="P497" s="971">
        <v>0</v>
      </c>
      <c r="Q497" s="970">
        <v>0</v>
      </c>
      <c r="R497" s="970"/>
      <c r="S497" s="971">
        <v>2317</v>
      </c>
      <c r="T497" s="973">
        <v>311</v>
      </c>
      <c r="U497" s="973">
        <v>2628</v>
      </c>
    </row>
    <row r="498" spans="1:21" x14ac:dyDescent="0.25">
      <c r="A498" s="967">
        <v>95211</v>
      </c>
      <c r="B498" s="968" t="s">
        <v>3134</v>
      </c>
      <c r="C498" s="969">
        <v>8.3999999999999992E-6</v>
      </c>
      <c r="D498" s="969">
        <v>9.2E-6</v>
      </c>
      <c r="E498" s="1008">
        <v>4222</v>
      </c>
      <c r="F498" s="1011">
        <v>19525</v>
      </c>
      <c r="G498" s="970">
        <v>12833</v>
      </c>
      <c r="H498" s="970"/>
      <c r="I498" s="971">
        <v>739</v>
      </c>
      <c r="J498" s="972">
        <v>3115</v>
      </c>
      <c r="K498" s="971">
        <v>1833</v>
      </c>
      <c r="L498" s="970">
        <v>1455</v>
      </c>
      <c r="M498" s="970"/>
      <c r="N498" s="971">
        <v>363</v>
      </c>
      <c r="O498" s="971">
        <v>0</v>
      </c>
      <c r="P498" s="971">
        <v>0</v>
      </c>
      <c r="Q498" s="970">
        <v>1231</v>
      </c>
      <c r="R498" s="970"/>
      <c r="S498" s="971">
        <v>4325</v>
      </c>
      <c r="T498" s="973">
        <v>-523</v>
      </c>
      <c r="U498" s="973">
        <v>3802</v>
      </c>
    </row>
    <row r="499" spans="1:21" x14ac:dyDescent="0.25">
      <c r="A499" s="967">
        <v>95221</v>
      </c>
      <c r="B499" s="968" t="s">
        <v>3135</v>
      </c>
      <c r="C499" s="969">
        <v>4.4100000000000001E-5</v>
      </c>
      <c r="D499" s="969">
        <v>1.6900000000000001E-5</v>
      </c>
      <c r="E499" s="1008">
        <v>20361</v>
      </c>
      <c r="F499" s="1011">
        <v>35867</v>
      </c>
      <c r="G499" s="970">
        <v>67373</v>
      </c>
      <c r="H499" s="970"/>
      <c r="I499" s="971">
        <v>3881</v>
      </c>
      <c r="J499" s="972">
        <v>16358</v>
      </c>
      <c r="K499" s="971">
        <v>9622</v>
      </c>
      <c r="L499" s="970">
        <v>21037</v>
      </c>
      <c r="M499" s="970"/>
      <c r="N499" s="971">
        <v>1907</v>
      </c>
      <c r="O499" s="971">
        <v>0</v>
      </c>
      <c r="P499" s="971">
        <v>0</v>
      </c>
      <c r="Q499" s="970">
        <v>11299</v>
      </c>
      <c r="R499" s="970"/>
      <c r="S499" s="971">
        <v>22705</v>
      </c>
      <c r="T499" s="973">
        <v>2535</v>
      </c>
      <c r="U499" s="973">
        <v>25240</v>
      </c>
    </row>
    <row r="500" spans="1:21" x14ac:dyDescent="0.25">
      <c r="A500" s="967">
        <v>95301</v>
      </c>
      <c r="B500" s="968" t="s">
        <v>3136</v>
      </c>
      <c r="C500" s="969">
        <v>2.3917999999999999E-3</v>
      </c>
      <c r="D500" s="969">
        <v>2.4063999999999999E-3</v>
      </c>
      <c r="E500" s="1008">
        <v>1141657</v>
      </c>
      <c r="F500" s="1011">
        <v>5107187</v>
      </c>
      <c r="G500" s="970">
        <v>3654008</v>
      </c>
      <c r="H500" s="970"/>
      <c r="I500" s="971">
        <v>210505</v>
      </c>
      <c r="J500" s="972">
        <v>887197</v>
      </c>
      <c r="K500" s="971">
        <v>521843</v>
      </c>
      <c r="L500" s="970">
        <v>73478</v>
      </c>
      <c r="M500" s="970"/>
      <c r="N500" s="971">
        <v>103433</v>
      </c>
      <c r="O500" s="971">
        <v>0</v>
      </c>
      <c r="P500" s="971">
        <v>0</v>
      </c>
      <c r="Q500" s="970">
        <v>11228</v>
      </c>
      <c r="R500" s="970"/>
      <c r="S500" s="971">
        <v>1231404</v>
      </c>
      <c r="T500" s="973">
        <v>19362</v>
      </c>
      <c r="U500" s="973">
        <f>1250765+1</f>
        <v>1250766</v>
      </c>
    </row>
    <row r="501" spans="1:21" x14ac:dyDescent="0.25">
      <c r="A501" s="967">
        <v>95311</v>
      </c>
      <c r="B501" s="968" t="s">
        <v>3137</v>
      </c>
      <c r="C501" s="969">
        <v>2.6873999999999999E-3</v>
      </c>
      <c r="D501" s="969">
        <v>2.6841999999999999E-3</v>
      </c>
      <c r="E501" s="1008">
        <v>1275634</v>
      </c>
      <c r="F501" s="1011">
        <v>5696772</v>
      </c>
      <c r="G501" s="970">
        <v>4105603</v>
      </c>
      <c r="H501" s="970"/>
      <c r="I501" s="971">
        <v>236521</v>
      </c>
      <c r="J501" s="972">
        <v>996846</v>
      </c>
      <c r="K501" s="971">
        <v>586337</v>
      </c>
      <c r="L501" s="970">
        <v>41083</v>
      </c>
      <c r="M501" s="970"/>
      <c r="N501" s="971">
        <v>116217</v>
      </c>
      <c r="O501" s="971">
        <v>0</v>
      </c>
      <c r="P501" s="971">
        <v>0</v>
      </c>
      <c r="Q501" s="970">
        <v>117171</v>
      </c>
      <c r="R501" s="970"/>
      <c r="S501" s="971">
        <v>1383592</v>
      </c>
      <c r="T501" s="973">
        <v>-46704</v>
      </c>
      <c r="U501" s="973">
        <v>1336888</v>
      </c>
    </row>
    <row r="502" spans="1:21" x14ac:dyDescent="0.25">
      <c r="A502" s="967">
        <v>95317</v>
      </c>
      <c r="B502" s="968" t="s">
        <v>3138</v>
      </c>
      <c r="C502" s="969">
        <v>4.8900000000000003E-5</v>
      </c>
      <c r="D502" s="969">
        <v>5.1400000000000003E-5</v>
      </c>
      <c r="E502" s="1008">
        <v>27511</v>
      </c>
      <c r="F502" s="1011">
        <v>109088</v>
      </c>
      <c r="G502" s="970">
        <v>74706</v>
      </c>
      <c r="H502" s="970"/>
      <c r="I502" s="971">
        <v>4304</v>
      </c>
      <c r="J502" s="972">
        <v>18138</v>
      </c>
      <c r="K502" s="971">
        <v>10669</v>
      </c>
      <c r="L502" s="970">
        <v>6328</v>
      </c>
      <c r="M502" s="970"/>
      <c r="N502" s="971">
        <v>2115</v>
      </c>
      <c r="O502" s="971">
        <v>0</v>
      </c>
      <c r="P502" s="971">
        <v>0</v>
      </c>
      <c r="Q502" s="970">
        <v>38</v>
      </c>
      <c r="R502" s="970"/>
      <c r="S502" s="971">
        <v>25176</v>
      </c>
      <c r="T502" s="973">
        <v>2474</v>
      </c>
      <c r="U502" s="973">
        <v>27650</v>
      </c>
    </row>
    <row r="503" spans="1:21" x14ac:dyDescent="0.25">
      <c r="A503" s="967">
        <v>95321</v>
      </c>
      <c r="B503" s="968" t="s">
        <v>3139</v>
      </c>
      <c r="C503" s="969">
        <v>4.71E-5</v>
      </c>
      <c r="D503" s="969">
        <v>5.7000000000000003E-5</v>
      </c>
      <c r="E503" s="1008">
        <v>27222</v>
      </c>
      <c r="F503" s="1011">
        <v>120973</v>
      </c>
      <c r="G503" s="970">
        <v>71956</v>
      </c>
      <c r="H503" s="970"/>
      <c r="I503" s="971">
        <v>4145</v>
      </c>
      <c r="J503" s="972">
        <v>17471</v>
      </c>
      <c r="K503" s="971">
        <v>10276</v>
      </c>
      <c r="L503" s="970">
        <v>3087</v>
      </c>
      <c r="M503" s="970"/>
      <c r="N503" s="971">
        <v>2037</v>
      </c>
      <c r="O503" s="971">
        <v>0</v>
      </c>
      <c r="P503" s="971">
        <v>0</v>
      </c>
      <c r="Q503" s="970">
        <v>2158</v>
      </c>
      <c r="R503" s="970"/>
      <c r="S503" s="971">
        <v>24249</v>
      </c>
      <c r="T503" s="973">
        <v>1089</v>
      </c>
      <c r="U503" s="973">
        <v>25338</v>
      </c>
    </row>
    <row r="504" spans="1:21" x14ac:dyDescent="0.25">
      <c r="A504" s="967">
        <v>95401</v>
      </c>
      <c r="B504" s="968" t="s">
        <v>3140</v>
      </c>
      <c r="C504" s="969">
        <v>2.9992E-3</v>
      </c>
      <c r="D504" s="969">
        <v>2.9979999999999998E-3</v>
      </c>
      <c r="E504" s="1008">
        <v>1351002</v>
      </c>
      <c r="F504" s="1011">
        <v>6362760</v>
      </c>
      <c r="G504" s="970">
        <v>4581947</v>
      </c>
      <c r="H504" s="970"/>
      <c r="I504" s="971">
        <v>263963</v>
      </c>
      <c r="J504" s="972">
        <v>1112502</v>
      </c>
      <c r="K504" s="971">
        <v>654365</v>
      </c>
      <c r="L504" s="970">
        <v>27695</v>
      </c>
      <c r="M504" s="970"/>
      <c r="N504" s="971">
        <v>129700</v>
      </c>
      <c r="O504" s="971">
        <v>0</v>
      </c>
      <c r="P504" s="971">
        <v>0</v>
      </c>
      <c r="Q504" s="970">
        <v>19902</v>
      </c>
      <c r="R504" s="970"/>
      <c r="S504" s="971">
        <v>1544120</v>
      </c>
      <c r="T504" s="973">
        <v>10089</v>
      </c>
      <c r="U504" s="973">
        <v>1554209</v>
      </c>
    </row>
    <row r="505" spans="1:21" x14ac:dyDescent="0.25">
      <c r="A505" s="967">
        <v>95404</v>
      </c>
      <c r="B505" s="968" t="s">
        <v>3141</v>
      </c>
      <c r="C505" s="969">
        <v>5.3100000000000003E-5</v>
      </c>
      <c r="D505" s="969">
        <v>4.9799999999999998E-5</v>
      </c>
      <c r="E505" s="1008">
        <v>22123</v>
      </c>
      <c r="F505" s="1011">
        <v>105692</v>
      </c>
      <c r="G505" s="970">
        <v>81122</v>
      </c>
      <c r="H505" s="970"/>
      <c r="I505" s="971">
        <v>4673</v>
      </c>
      <c r="J505" s="972">
        <v>19697</v>
      </c>
      <c r="K505" s="971">
        <v>11585</v>
      </c>
      <c r="L505" s="970">
        <v>5158</v>
      </c>
      <c r="M505" s="970"/>
      <c r="N505" s="971">
        <v>2296</v>
      </c>
      <c r="O505" s="971">
        <v>0</v>
      </c>
      <c r="P505" s="971">
        <v>0</v>
      </c>
      <c r="Q505" s="970">
        <v>0</v>
      </c>
      <c r="R505" s="970"/>
      <c r="S505" s="971">
        <v>27338</v>
      </c>
      <c r="T505" s="973">
        <v>1949</v>
      </c>
      <c r="U505" s="973">
        <v>29287</v>
      </c>
    </row>
    <row r="506" spans="1:21" x14ac:dyDescent="0.25">
      <c r="A506" s="967">
        <v>95405</v>
      </c>
      <c r="B506" s="968" t="s">
        <v>3142</v>
      </c>
      <c r="C506" s="969">
        <v>1.84E-5</v>
      </c>
      <c r="D506" s="969">
        <v>1.84E-5</v>
      </c>
      <c r="E506" s="1008">
        <v>17053</v>
      </c>
      <c r="F506" s="1011">
        <v>39051</v>
      </c>
      <c r="G506" s="970">
        <v>28110</v>
      </c>
      <c r="H506" s="970"/>
      <c r="I506" s="971">
        <v>1619</v>
      </c>
      <c r="J506" s="972">
        <v>6826</v>
      </c>
      <c r="K506" s="971">
        <v>4015</v>
      </c>
      <c r="L506" s="970">
        <v>15544</v>
      </c>
      <c r="M506" s="970"/>
      <c r="N506" s="971">
        <v>796</v>
      </c>
      <c r="O506" s="971">
        <v>0</v>
      </c>
      <c r="P506" s="971">
        <v>0</v>
      </c>
      <c r="Q506" s="970">
        <v>0</v>
      </c>
      <c r="R506" s="970"/>
      <c r="S506" s="971">
        <v>9473</v>
      </c>
      <c r="T506" s="973">
        <v>5475</v>
      </c>
      <c r="U506" s="973">
        <v>14948</v>
      </c>
    </row>
    <row r="507" spans="1:21" x14ac:dyDescent="0.25">
      <c r="A507" s="967">
        <v>95411</v>
      </c>
      <c r="B507" s="968" t="s">
        <v>3143</v>
      </c>
      <c r="C507" s="969">
        <v>2.2173000000000002E-3</v>
      </c>
      <c r="D507" s="969">
        <v>2.3272000000000002E-3</v>
      </c>
      <c r="E507" s="1008">
        <v>1058017</v>
      </c>
      <c r="F507" s="1011">
        <v>4939098</v>
      </c>
      <c r="G507" s="970">
        <v>3387420</v>
      </c>
      <c r="H507" s="970"/>
      <c r="I507" s="971">
        <v>195147</v>
      </c>
      <c r="J507" s="972">
        <v>822470</v>
      </c>
      <c r="K507" s="971">
        <v>483771</v>
      </c>
      <c r="L507" s="970">
        <v>14015</v>
      </c>
      <c r="M507" s="970"/>
      <c r="N507" s="971">
        <v>95887</v>
      </c>
      <c r="O507" s="971">
        <v>0</v>
      </c>
      <c r="P507" s="971">
        <v>0</v>
      </c>
      <c r="Q507" s="970">
        <v>60237</v>
      </c>
      <c r="R507" s="970"/>
      <c r="S507" s="971">
        <v>1141564</v>
      </c>
      <c r="T507" s="973">
        <v>-23907</v>
      </c>
      <c r="U507" s="973">
        <f>1117656+1</f>
        <v>1117657</v>
      </c>
    </row>
    <row r="508" spans="1:21" x14ac:dyDescent="0.25">
      <c r="A508" s="967">
        <v>95412</v>
      </c>
      <c r="B508" s="968" t="s">
        <v>3144</v>
      </c>
      <c r="C508" s="969">
        <v>0</v>
      </c>
      <c r="D508" s="969">
        <v>0</v>
      </c>
      <c r="E508" s="1008">
        <v>0</v>
      </c>
      <c r="F508" s="1011">
        <v>0</v>
      </c>
      <c r="G508" s="970">
        <v>0</v>
      </c>
      <c r="H508" s="970"/>
      <c r="I508" s="971">
        <v>0</v>
      </c>
      <c r="J508" s="972">
        <v>0</v>
      </c>
      <c r="K508" s="971">
        <v>0</v>
      </c>
      <c r="L508" s="970">
        <v>0</v>
      </c>
      <c r="M508" s="970"/>
      <c r="N508" s="971">
        <v>0</v>
      </c>
      <c r="O508" s="971">
        <v>0</v>
      </c>
      <c r="P508" s="971">
        <v>0</v>
      </c>
      <c r="Q508" s="970">
        <v>27831</v>
      </c>
      <c r="R508" s="970"/>
      <c r="S508" s="971">
        <v>0</v>
      </c>
      <c r="T508" s="973">
        <v>-18518</v>
      </c>
      <c r="U508" s="973">
        <v>-18518</v>
      </c>
    </row>
    <row r="509" spans="1:21" x14ac:dyDescent="0.25">
      <c r="A509" s="967">
        <v>95413</v>
      </c>
      <c r="B509" s="968" t="s">
        <v>3145</v>
      </c>
      <c r="C509" s="969">
        <v>2.5809999999999999E-4</v>
      </c>
      <c r="D509" s="969">
        <v>2.945E-4</v>
      </c>
      <c r="E509" s="1008">
        <v>285392</v>
      </c>
      <c r="F509" s="1011">
        <v>625028</v>
      </c>
      <c r="G509" s="970">
        <v>394305</v>
      </c>
      <c r="H509" s="970"/>
      <c r="I509" s="971">
        <v>22716</v>
      </c>
      <c r="J509" s="972">
        <v>95737</v>
      </c>
      <c r="K509" s="971">
        <v>56312</v>
      </c>
      <c r="L509" s="970">
        <v>247679</v>
      </c>
      <c r="M509" s="970"/>
      <c r="N509" s="971">
        <v>11162</v>
      </c>
      <c r="O509" s="971">
        <v>0</v>
      </c>
      <c r="P509" s="971">
        <v>0</v>
      </c>
      <c r="Q509" s="970">
        <v>9401</v>
      </c>
      <c r="R509" s="970"/>
      <c r="S509" s="971">
        <v>132881</v>
      </c>
      <c r="T509" s="973">
        <v>77340</v>
      </c>
      <c r="U509" s="973">
        <v>210221</v>
      </c>
    </row>
    <row r="510" spans="1:21" x14ac:dyDescent="0.25">
      <c r="A510" s="967">
        <v>95415</v>
      </c>
      <c r="B510" s="968" t="s">
        <v>3146</v>
      </c>
      <c r="C510" s="969">
        <v>6.2899999999999997E-5</v>
      </c>
      <c r="D510" s="969">
        <v>7.9499999999999994E-5</v>
      </c>
      <c r="E510" s="1008">
        <v>28158</v>
      </c>
      <c r="F510" s="1011">
        <v>168726</v>
      </c>
      <c r="G510" s="970">
        <v>96094</v>
      </c>
      <c r="H510" s="970"/>
      <c r="I510" s="971">
        <v>5536</v>
      </c>
      <c r="J510" s="972">
        <v>23331</v>
      </c>
      <c r="K510" s="971">
        <v>13724</v>
      </c>
      <c r="L510" s="970">
        <v>5301</v>
      </c>
      <c r="M510" s="970"/>
      <c r="N510" s="971">
        <v>2720</v>
      </c>
      <c r="O510" s="971">
        <v>0</v>
      </c>
      <c r="P510" s="971">
        <v>0</v>
      </c>
      <c r="Q510" s="970">
        <v>16874</v>
      </c>
      <c r="R510" s="970"/>
      <c r="S510" s="971">
        <v>32384</v>
      </c>
      <c r="T510" s="973">
        <v>-165</v>
      </c>
      <c r="U510" s="973">
        <v>32219</v>
      </c>
    </row>
    <row r="511" spans="1:21" x14ac:dyDescent="0.25">
      <c r="A511" s="967">
        <v>95421</v>
      </c>
      <c r="B511" s="968" t="s">
        <v>3147</v>
      </c>
      <c r="C511" s="969">
        <v>3.8699999999999999E-5</v>
      </c>
      <c r="D511" s="969">
        <v>3.9100000000000002E-5</v>
      </c>
      <c r="E511" s="1008">
        <v>18385</v>
      </c>
      <c r="F511" s="1011">
        <v>82983</v>
      </c>
      <c r="G511" s="970">
        <v>59123</v>
      </c>
      <c r="H511" s="970"/>
      <c r="I511" s="971">
        <v>3406</v>
      </c>
      <c r="J511" s="972">
        <v>14355</v>
      </c>
      <c r="K511" s="971">
        <v>8444</v>
      </c>
      <c r="L511" s="970">
        <v>226</v>
      </c>
      <c r="M511" s="970"/>
      <c r="N511" s="971">
        <v>1674</v>
      </c>
      <c r="O511" s="971">
        <v>0</v>
      </c>
      <c r="P511" s="971">
        <v>0</v>
      </c>
      <c r="Q511" s="970">
        <v>9353</v>
      </c>
      <c r="R511" s="970"/>
      <c r="S511" s="971">
        <v>19924</v>
      </c>
      <c r="T511" s="973">
        <v>-4913</v>
      </c>
      <c r="U511" s="973">
        <f>15012-1</f>
        <v>15011</v>
      </c>
    </row>
    <row r="512" spans="1:21" x14ac:dyDescent="0.25">
      <c r="A512" s="967">
        <v>95431</v>
      </c>
      <c r="B512" s="968" t="s">
        <v>3148</v>
      </c>
      <c r="C512" s="969">
        <v>1.5300000000000001E-4</v>
      </c>
      <c r="D512" s="969">
        <v>1.8009999999999999E-4</v>
      </c>
      <c r="E512" s="1008">
        <v>61885</v>
      </c>
      <c r="F512" s="1011">
        <v>382233</v>
      </c>
      <c r="G512" s="970">
        <v>233742</v>
      </c>
      <c r="H512" s="970"/>
      <c r="I512" s="971">
        <v>13466</v>
      </c>
      <c r="J512" s="972">
        <v>56753</v>
      </c>
      <c r="K512" s="971">
        <v>33382</v>
      </c>
      <c r="L512" s="970">
        <v>224</v>
      </c>
      <c r="M512" s="970"/>
      <c r="N512" s="971">
        <v>6616</v>
      </c>
      <c r="O512" s="971">
        <v>0</v>
      </c>
      <c r="P512" s="971">
        <v>0</v>
      </c>
      <c r="Q512" s="970">
        <v>34003</v>
      </c>
      <c r="R512" s="970"/>
      <c r="S512" s="971">
        <v>78771</v>
      </c>
      <c r="T512" s="973">
        <v>-9919</v>
      </c>
      <c r="U512" s="973">
        <v>68852</v>
      </c>
    </row>
    <row r="513" spans="1:21" x14ac:dyDescent="0.25">
      <c r="A513" s="967">
        <v>95501</v>
      </c>
      <c r="B513" s="968" t="s">
        <v>3149</v>
      </c>
      <c r="C513" s="969">
        <v>4.8764999999999998E-3</v>
      </c>
      <c r="D513" s="969">
        <v>4.7917999999999997E-3</v>
      </c>
      <c r="E513" s="1008">
        <v>2104813</v>
      </c>
      <c r="F513" s="1011">
        <v>10169805</v>
      </c>
      <c r="G513" s="970">
        <v>7449941</v>
      </c>
      <c r="H513" s="970"/>
      <c r="I513" s="971">
        <v>429186</v>
      </c>
      <c r="J513" s="972">
        <v>1808855</v>
      </c>
      <c r="K513" s="971">
        <v>1063955</v>
      </c>
      <c r="L513" s="970">
        <v>31695</v>
      </c>
      <c r="M513" s="970"/>
      <c r="N513" s="971">
        <v>210884</v>
      </c>
      <c r="O513" s="971">
        <v>0</v>
      </c>
      <c r="P513" s="971">
        <v>0</v>
      </c>
      <c r="Q513" s="970">
        <v>124610</v>
      </c>
      <c r="R513" s="970"/>
      <c r="S513" s="971">
        <v>2510637</v>
      </c>
      <c r="T513" s="973">
        <v>-8646</v>
      </c>
      <c r="U513" s="973">
        <v>2501991</v>
      </c>
    </row>
    <row r="514" spans="1:21" x14ac:dyDescent="0.25">
      <c r="A514" s="967">
        <v>95504</v>
      </c>
      <c r="B514" s="968" t="s">
        <v>3150</v>
      </c>
      <c r="C514" s="969">
        <v>9.3999999999999998E-6</v>
      </c>
      <c r="D514" s="969">
        <v>8.8999999999999995E-6</v>
      </c>
      <c r="E514" s="1008">
        <v>9297</v>
      </c>
      <c r="F514" s="1011">
        <v>18889</v>
      </c>
      <c r="G514" s="970">
        <v>14361</v>
      </c>
      <c r="H514" s="970"/>
      <c r="I514" s="971">
        <v>827</v>
      </c>
      <c r="J514" s="972">
        <v>3487</v>
      </c>
      <c r="K514" s="971">
        <v>2051</v>
      </c>
      <c r="L514" s="970">
        <v>7912</v>
      </c>
      <c r="M514" s="970"/>
      <c r="N514" s="971">
        <v>407</v>
      </c>
      <c r="O514" s="971">
        <v>0</v>
      </c>
      <c r="P514" s="971">
        <v>0</v>
      </c>
      <c r="Q514" s="970">
        <v>0</v>
      </c>
      <c r="R514" s="970"/>
      <c r="S514" s="971">
        <v>4840</v>
      </c>
      <c r="T514" s="973">
        <v>2952</v>
      </c>
      <c r="U514" s="973">
        <f>7791+1</f>
        <v>7792</v>
      </c>
    </row>
    <row r="515" spans="1:21" x14ac:dyDescent="0.25">
      <c r="A515" s="967">
        <v>95511</v>
      </c>
      <c r="B515" s="968" t="s">
        <v>3151</v>
      </c>
      <c r="C515" s="969">
        <v>9.7460000000000005E-4</v>
      </c>
      <c r="D515" s="969">
        <v>9.6049999999999998E-4</v>
      </c>
      <c r="E515" s="1008">
        <v>484188</v>
      </c>
      <c r="F515" s="1011">
        <v>2038503</v>
      </c>
      <c r="G515" s="970">
        <v>1488919</v>
      </c>
      <c r="H515" s="970"/>
      <c r="I515" s="971">
        <v>85776</v>
      </c>
      <c r="J515" s="972">
        <v>361511</v>
      </c>
      <c r="K515" s="971">
        <v>212638</v>
      </c>
      <c r="L515" s="970">
        <v>44242</v>
      </c>
      <c r="M515" s="970"/>
      <c r="N515" s="971">
        <v>42147</v>
      </c>
      <c r="O515" s="971">
        <v>0</v>
      </c>
      <c r="P515" s="971">
        <v>0</v>
      </c>
      <c r="Q515" s="970">
        <v>52155</v>
      </c>
      <c r="R515" s="970"/>
      <c r="S515" s="971">
        <v>501767</v>
      </c>
      <c r="T515" s="973">
        <v>-4607</v>
      </c>
      <c r="U515" s="973">
        <v>497160</v>
      </c>
    </row>
    <row r="516" spans="1:21" x14ac:dyDescent="0.25">
      <c r="A516" s="967">
        <v>95513</v>
      </c>
      <c r="B516" s="968" t="s">
        <v>3152</v>
      </c>
      <c r="C516" s="969">
        <v>4.6699999999999997E-5</v>
      </c>
      <c r="D516" s="969">
        <v>4.5500000000000001E-5</v>
      </c>
      <c r="E516" s="1008">
        <v>31793</v>
      </c>
      <c r="F516" s="1011">
        <v>96566</v>
      </c>
      <c r="G516" s="970">
        <v>71345</v>
      </c>
      <c r="H516" s="970"/>
      <c r="I516" s="971">
        <v>4110</v>
      </c>
      <c r="J516" s="972">
        <v>17322</v>
      </c>
      <c r="K516" s="971">
        <v>10189</v>
      </c>
      <c r="L516" s="970">
        <v>21773</v>
      </c>
      <c r="M516" s="970"/>
      <c r="N516" s="971">
        <v>2020</v>
      </c>
      <c r="O516" s="971">
        <v>0</v>
      </c>
      <c r="P516" s="971">
        <v>0</v>
      </c>
      <c r="Q516" s="970">
        <v>0</v>
      </c>
      <c r="R516" s="970"/>
      <c r="S516" s="971">
        <v>24043</v>
      </c>
      <c r="T516" s="973">
        <v>9103</v>
      </c>
      <c r="U516" s="973">
        <v>33146</v>
      </c>
    </row>
    <row r="517" spans="1:21" x14ac:dyDescent="0.25">
      <c r="A517" s="967">
        <v>95517</v>
      </c>
      <c r="B517" s="968" t="s">
        <v>3153</v>
      </c>
      <c r="C517" s="969">
        <v>2.4499999999999999E-5</v>
      </c>
      <c r="D517" s="969">
        <v>1.66E-5</v>
      </c>
      <c r="E517" s="1008">
        <v>15695</v>
      </c>
      <c r="F517" s="1011">
        <v>35231</v>
      </c>
      <c r="G517" s="970">
        <v>37429</v>
      </c>
      <c r="H517" s="970"/>
      <c r="I517" s="971">
        <v>2156</v>
      </c>
      <c r="J517" s="972">
        <v>9087</v>
      </c>
      <c r="K517" s="971">
        <v>5345</v>
      </c>
      <c r="L517" s="970">
        <v>17989</v>
      </c>
      <c r="M517" s="970"/>
      <c r="N517" s="971">
        <v>1060</v>
      </c>
      <c r="O517" s="971">
        <v>0</v>
      </c>
      <c r="P517" s="971">
        <v>0</v>
      </c>
      <c r="Q517" s="970">
        <v>0</v>
      </c>
      <c r="R517" s="970"/>
      <c r="S517" s="971">
        <v>12614</v>
      </c>
      <c r="T517" s="973">
        <v>6544</v>
      </c>
      <c r="U517" s="973">
        <v>19158</v>
      </c>
    </row>
    <row r="518" spans="1:21" x14ac:dyDescent="0.25">
      <c r="A518" s="967">
        <v>95601</v>
      </c>
      <c r="B518" s="968" t="s">
        <v>3154</v>
      </c>
      <c r="C518" s="969">
        <v>2.6280000000000001E-3</v>
      </c>
      <c r="D518" s="969">
        <v>2.6592999999999999E-3</v>
      </c>
      <c r="E518" s="1008">
        <v>1208853</v>
      </c>
      <c r="F518" s="1011">
        <v>5643925</v>
      </c>
      <c r="G518" s="970">
        <v>4014856</v>
      </c>
      <c r="H518" s="970"/>
      <c r="I518" s="971">
        <v>231293</v>
      </c>
      <c r="J518" s="972">
        <v>974812</v>
      </c>
      <c r="K518" s="971">
        <v>573377</v>
      </c>
      <c r="L518" s="970">
        <v>85590</v>
      </c>
      <c r="M518" s="970"/>
      <c r="N518" s="971">
        <v>113648</v>
      </c>
      <c r="O518" s="971">
        <v>0</v>
      </c>
      <c r="P518" s="971">
        <v>0</v>
      </c>
      <c r="Q518" s="970">
        <v>19082</v>
      </c>
      <c r="R518" s="970"/>
      <c r="S518" s="971">
        <v>1353010</v>
      </c>
      <c r="T518" s="973">
        <v>47697</v>
      </c>
      <c r="U518" s="973">
        <v>1400707</v>
      </c>
    </row>
    <row r="519" spans="1:21" x14ac:dyDescent="0.25">
      <c r="A519" s="967">
        <v>95611</v>
      </c>
      <c r="B519" s="968" t="s">
        <v>3155</v>
      </c>
      <c r="C519" s="969">
        <v>4.0660000000000002E-4</v>
      </c>
      <c r="D519" s="969">
        <v>3.9540000000000002E-4</v>
      </c>
      <c r="E519" s="1008">
        <v>186384</v>
      </c>
      <c r="F519" s="1011">
        <v>839171</v>
      </c>
      <c r="G519" s="970">
        <v>621172</v>
      </c>
      <c r="H519" s="970"/>
      <c r="I519" s="971">
        <v>35785</v>
      </c>
      <c r="J519" s="972">
        <v>150821</v>
      </c>
      <c r="K519" s="971">
        <v>88712</v>
      </c>
      <c r="L519" s="970">
        <v>8653</v>
      </c>
      <c r="M519" s="970"/>
      <c r="N519" s="971">
        <v>17583</v>
      </c>
      <c r="O519" s="971">
        <v>0</v>
      </c>
      <c r="P519" s="971">
        <v>0</v>
      </c>
      <c r="Q519" s="970">
        <v>3649</v>
      </c>
      <c r="R519" s="970"/>
      <c r="S519" s="971">
        <v>209336</v>
      </c>
      <c r="T519" s="973">
        <v>1212</v>
      </c>
      <c r="U519" s="973">
        <f>210547+1</f>
        <v>210548</v>
      </c>
    </row>
    <row r="520" spans="1:21" x14ac:dyDescent="0.25">
      <c r="A520" s="967">
        <v>95617</v>
      </c>
      <c r="B520" s="968" t="s">
        <v>3156</v>
      </c>
      <c r="C520" s="969">
        <v>1.6399999999999999E-5</v>
      </c>
      <c r="D520" s="969">
        <v>1.6500000000000001E-5</v>
      </c>
      <c r="E520" s="1008">
        <v>8201</v>
      </c>
      <c r="F520" s="1011">
        <v>35019</v>
      </c>
      <c r="G520" s="970">
        <v>25055</v>
      </c>
      <c r="H520" s="970"/>
      <c r="I520" s="971">
        <v>1443</v>
      </c>
      <c r="J520" s="972">
        <v>6084</v>
      </c>
      <c r="K520" s="971">
        <v>3578</v>
      </c>
      <c r="L520" s="970">
        <v>722</v>
      </c>
      <c r="M520" s="970"/>
      <c r="N520" s="971">
        <v>709</v>
      </c>
      <c r="O520" s="971">
        <v>0</v>
      </c>
      <c r="P520" s="971">
        <v>0</v>
      </c>
      <c r="Q520" s="970">
        <v>1277</v>
      </c>
      <c r="R520" s="970"/>
      <c r="S520" s="971">
        <v>8443</v>
      </c>
      <c r="T520" s="973">
        <v>-659</v>
      </c>
      <c r="U520" s="973">
        <v>7784</v>
      </c>
    </row>
    <row r="521" spans="1:21" x14ac:dyDescent="0.25">
      <c r="A521" s="967">
        <v>95621</v>
      </c>
      <c r="B521" s="968" t="s">
        <v>3157</v>
      </c>
      <c r="C521" s="969">
        <v>4.5360000000000002E-4</v>
      </c>
      <c r="D521" s="969">
        <v>4.8020000000000002E-4</v>
      </c>
      <c r="E521" s="1008">
        <v>227836</v>
      </c>
      <c r="F521" s="1011">
        <v>1019145</v>
      </c>
      <c r="G521" s="970">
        <v>692975</v>
      </c>
      <c r="H521" s="970"/>
      <c r="I521" s="971">
        <v>39922</v>
      </c>
      <c r="J521" s="972">
        <v>168255</v>
      </c>
      <c r="K521" s="971">
        <v>98966</v>
      </c>
      <c r="L521" s="970">
        <v>3166</v>
      </c>
      <c r="M521" s="970"/>
      <c r="N521" s="971">
        <v>19616</v>
      </c>
      <c r="O521" s="971">
        <v>0</v>
      </c>
      <c r="P521" s="971">
        <v>0</v>
      </c>
      <c r="Q521" s="970">
        <v>4423</v>
      </c>
      <c r="R521" s="970"/>
      <c r="S521" s="971">
        <v>233533</v>
      </c>
      <c r="T521" s="973">
        <v>1481</v>
      </c>
      <c r="U521" s="973">
        <f>235015-1</f>
        <v>235014</v>
      </c>
    </row>
    <row r="522" spans="1:21" x14ac:dyDescent="0.25">
      <c r="A522" s="967">
        <v>95701</v>
      </c>
      <c r="B522" s="968" t="s">
        <v>3158</v>
      </c>
      <c r="C522" s="969">
        <v>1.3747E-3</v>
      </c>
      <c r="D522" s="969">
        <v>1.291E-3</v>
      </c>
      <c r="E522" s="1008">
        <v>600622</v>
      </c>
      <c r="F522" s="1011">
        <v>2739934</v>
      </c>
      <c r="G522" s="970">
        <v>2100161</v>
      </c>
      <c r="H522" s="970"/>
      <c r="I522" s="971">
        <v>120989</v>
      </c>
      <c r="J522" s="972">
        <v>509922</v>
      </c>
      <c r="K522" s="971">
        <v>299932</v>
      </c>
      <c r="L522" s="970">
        <v>62898</v>
      </c>
      <c r="M522" s="970"/>
      <c r="N522" s="971">
        <v>59449</v>
      </c>
      <c r="O522" s="971">
        <v>0</v>
      </c>
      <c r="P522" s="971">
        <v>0</v>
      </c>
      <c r="Q522" s="970">
        <v>0</v>
      </c>
      <c r="R522" s="970"/>
      <c r="S522" s="971">
        <v>707756</v>
      </c>
      <c r="T522" s="973">
        <v>28646</v>
      </c>
      <c r="U522" s="973">
        <v>736402</v>
      </c>
    </row>
    <row r="523" spans="1:21" x14ac:dyDescent="0.25">
      <c r="A523" s="967">
        <v>95711</v>
      </c>
      <c r="B523" s="968" t="s">
        <v>3159</v>
      </c>
      <c r="C523" s="969">
        <v>1.394E-4</v>
      </c>
      <c r="D523" s="969">
        <v>1.382E-4</v>
      </c>
      <c r="E523" s="1008">
        <v>55785</v>
      </c>
      <c r="F523" s="1011">
        <v>293307</v>
      </c>
      <c r="G523" s="970">
        <v>212965</v>
      </c>
      <c r="H523" s="970"/>
      <c r="I523" s="971">
        <v>12269</v>
      </c>
      <c r="J523" s="972">
        <v>51708</v>
      </c>
      <c r="K523" s="971">
        <v>30414</v>
      </c>
      <c r="L523" s="970">
        <v>6056</v>
      </c>
      <c r="M523" s="970"/>
      <c r="N523" s="971">
        <v>6028</v>
      </c>
      <c r="O523" s="971">
        <v>0</v>
      </c>
      <c r="P523" s="971">
        <v>0</v>
      </c>
      <c r="Q523" s="970">
        <v>5836</v>
      </c>
      <c r="R523" s="970"/>
      <c r="S523" s="971">
        <v>71769</v>
      </c>
      <c r="T523" s="973">
        <v>1663</v>
      </c>
      <c r="U523" s="973">
        <v>73432</v>
      </c>
    </row>
    <row r="524" spans="1:21" x14ac:dyDescent="0.25">
      <c r="A524" s="967">
        <v>95721</v>
      </c>
      <c r="B524" s="968" t="s">
        <v>3160</v>
      </c>
      <c r="C524" s="969">
        <v>6.7600000000000003E-5</v>
      </c>
      <c r="D524" s="969">
        <v>6.6199999999999996E-5</v>
      </c>
      <c r="E524" s="1008">
        <v>25093</v>
      </c>
      <c r="F524" s="1011">
        <v>140499</v>
      </c>
      <c r="G524" s="970">
        <v>103274</v>
      </c>
      <c r="H524" s="970"/>
      <c r="I524" s="971">
        <v>5950</v>
      </c>
      <c r="J524" s="972">
        <v>25075</v>
      </c>
      <c r="K524" s="971">
        <v>14749</v>
      </c>
      <c r="L524" s="970">
        <v>0</v>
      </c>
      <c r="M524" s="970"/>
      <c r="N524" s="971">
        <v>2923</v>
      </c>
      <c r="O524" s="971">
        <v>0</v>
      </c>
      <c r="P524" s="971">
        <v>0</v>
      </c>
      <c r="Q524" s="970">
        <v>9622</v>
      </c>
      <c r="R524" s="970"/>
      <c r="S524" s="971">
        <v>34803</v>
      </c>
      <c r="T524" s="973">
        <v>-4619</v>
      </c>
      <c r="U524" s="973">
        <f>30185-1</f>
        <v>30184</v>
      </c>
    </row>
    <row r="525" spans="1:21" x14ac:dyDescent="0.25">
      <c r="A525" s="967">
        <v>95733</v>
      </c>
      <c r="B525" s="968" t="s">
        <v>3161</v>
      </c>
      <c r="C525" s="969">
        <v>1.5400000000000002E-5</v>
      </c>
      <c r="D525" s="969">
        <v>1.56E-5</v>
      </c>
      <c r="E525" s="1008">
        <v>6898</v>
      </c>
      <c r="F525" s="1011">
        <v>33108</v>
      </c>
      <c r="G525" s="970">
        <v>23527</v>
      </c>
      <c r="H525" s="970"/>
      <c r="I525" s="971">
        <v>1355</v>
      </c>
      <c r="J525" s="972">
        <v>5712</v>
      </c>
      <c r="K525" s="971">
        <v>3360</v>
      </c>
      <c r="L525" s="970">
        <v>581</v>
      </c>
      <c r="M525" s="970"/>
      <c r="N525" s="971">
        <v>666</v>
      </c>
      <c r="O525" s="971">
        <v>0</v>
      </c>
      <c r="P525" s="971">
        <v>0</v>
      </c>
      <c r="Q525" s="970">
        <v>464</v>
      </c>
      <c r="R525" s="970"/>
      <c r="S525" s="971">
        <v>7929</v>
      </c>
      <c r="T525" s="973">
        <v>209</v>
      </c>
      <c r="U525" s="973">
        <v>8138</v>
      </c>
    </row>
    <row r="526" spans="1:21" x14ac:dyDescent="0.25">
      <c r="A526" s="967">
        <v>95801</v>
      </c>
      <c r="B526" s="968" t="s">
        <v>3162</v>
      </c>
      <c r="C526" s="969">
        <v>9.6310000000000005E-4</v>
      </c>
      <c r="D526" s="969">
        <v>8.9349999999999998E-4</v>
      </c>
      <c r="E526" s="1008">
        <v>449779</v>
      </c>
      <c r="F526" s="1011">
        <v>1896306</v>
      </c>
      <c r="G526" s="970">
        <v>1471350</v>
      </c>
      <c r="H526" s="970"/>
      <c r="I526" s="971">
        <v>84763</v>
      </c>
      <c r="J526" s="972">
        <v>357246</v>
      </c>
      <c r="K526" s="971">
        <v>210129</v>
      </c>
      <c r="L526" s="970">
        <v>62205</v>
      </c>
      <c r="M526" s="970"/>
      <c r="N526" s="971">
        <v>41649</v>
      </c>
      <c r="O526" s="971">
        <v>0</v>
      </c>
      <c r="P526" s="971">
        <v>0</v>
      </c>
      <c r="Q526" s="970">
        <v>4103</v>
      </c>
      <c r="R526" s="970"/>
      <c r="S526" s="971">
        <v>495846</v>
      </c>
      <c r="T526" s="973">
        <v>14399</v>
      </c>
      <c r="U526" s="973">
        <v>510245</v>
      </c>
    </row>
    <row r="527" spans="1:21" x14ac:dyDescent="0.25">
      <c r="A527" s="967">
        <v>95802</v>
      </c>
      <c r="B527" s="968" t="s">
        <v>3163</v>
      </c>
      <c r="C527" s="969">
        <v>6.1E-6</v>
      </c>
      <c r="D527" s="969">
        <v>6.8000000000000001E-6</v>
      </c>
      <c r="E527" s="1008">
        <v>5124</v>
      </c>
      <c r="F527" s="1011">
        <v>14432</v>
      </c>
      <c r="G527" s="970">
        <v>9319</v>
      </c>
      <c r="H527" s="970"/>
      <c r="I527" s="971">
        <v>537</v>
      </c>
      <c r="J527" s="972">
        <v>2263</v>
      </c>
      <c r="K527" s="971">
        <v>1331</v>
      </c>
      <c r="L527" s="970">
        <v>3297</v>
      </c>
      <c r="M527" s="970"/>
      <c r="N527" s="971">
        <v>264</v>
      </c>
      <c r="O527" s="971">
        <v>0</v>
      </c>
      <c r="P527" s="971">
        <v>0</v>
      </c>
      <c r="Q527" s="970">
        <v>1248</v>
      </c>
      <c r="R527" s="970"/>
      <c r="S527" s="971">
        <v>3141</v>
      </c>
      <c r="T527" s="973">
        <v>-81</v>
      </c>
      <c r="U527" s="973">
        <v>3060</v>
      </c>
    </row>
    <row r="528" spans="1:21" x14ac:dyDescent="0.25">
      <c r="A528" s="967">
        <v>95804</v>
      </c>
      <c r="B528" s="968" t="s">
        <v>3164</v>
      </c>
      <c r="C528" s="969">
        <v>2.19E-5</v>
      </c>
      <c r="D528" s="969">
        <v>1.63E-5</v>
      </c>
      <c r="E528" s="1008">
        <v>7566</v>
      </c>
      <c r="F528" s="1011">
        <v>34594</v>
      </c>
      <c r="G528" s="970">
        <v>33457</v>
      </c>
      <c r="H528" s="970"/>
      <c r="I528" s="971">
        <v>1927</v>
      </c>
      <c r="J528" s="972">
        <v>8123</v>
      </c>
      <c r="K528" s="971">
        <v>4778</v>
      </c>
      <c r="L528" s="970">
        <v>3631</v>
      </c>
      <c r="M528" s="970"/>
      <c r="N528" s="971">
        <v>947</v>
      </c>
      <c r="O528" s="971">
        <v>0</v>
      </c>
      <c r="P528" s="971">
        <v>0</v>
      </c>
      <c r="Q528" s="970">
        <v>0</v>
      </c>
      <c r="R528" s="970"/>
      <c r="S528" s="971">
        <v>11275</v>
      </c>
      <c r="T528" s="973">
        <v>1628</v>
      </c>
      <c r="U528" s="973">
        <f>12904-1</f>
        <v>12903</v>
      </c>
    </row>
    <row r="529" spans="1:21" x14ac:dyDescent="0.25">
      <c r="A529" s="967">
        <v>95811</v>
      </c>
      <c r="B529" s="968" t="s">
        <v>3165</v>
      </c>
      <c r="C529" s="969">
        <v>5.3129999999999996E-4</v>
      </c>
      <c r="D529" s="969">
        <v>5.3410000000000003E-4</v>
      </c>
      <c r="E529" s="1008">
        <v>243909</v>
      </c>
      <c r="F529" s="1011">
        <v>1133539</v>
      </c>
      <c r="G529" s="970">
        <v>811679</v>
      </c>
      <c r="H529" s="970"/>
      <c r="I529" s="971">
        <v>46760</v>
      </c>
      <c r="J529" s="972">
        <v>197076</v>
      </c>
      <c r="K529" s="971">
        <v>115919</v>
      </c>
      <c r="L529" s="970">
        <v>1678</v>
      </c>
      <c r="M529" s="970"/>
      <c r="N529" s="971">
        <v>22976</v>
      </c>
      <c r="O529" s="971">
        <v>0</v>
      </c>
      <c r="P529" s="971">
        <v>0</v>
      </c>
      <c r="Q529" s="970">
        <v>5329</v>
      </c>
      <c r="R529" s="970"/>
      <c r="S529" s="971">
        <v>273537</v>
      </c>
      <c r="T529" s="973">
        <v>-1501</v>
      </c>
      <c r="U529" s="973">
        <f>272035+1</f>
        <v>272036</v>
      </c>
    </row>
    <row r="530" spans="1:21" x14ac:dyDescent="0.25">
      <c r="A530" s="967">
        <v>95813</v>
      </c>
      <c r="B530" s="968" t="s">
        <v>3166</v>
      </c>
      <c r="C530" s="969">
        <v>4.88E-5</v>
      </c>
      <c r="D530" s="969">
        <v>4.4400000000000002E-5</v>
      </c>
      <c r="E530" s="1008">
        <v>63299</v>
      </c>
      <c r="F530" s="1011">
        <v>94232</v>
      </c>
      <c r="G530" s="970">
        <v>74553</v>
      </c>
      <c r="H530" s="970"/>
      <c r="I530" s="971">
        <v>4295</v>
      </c>
      <c r="J530" s="972">
        <v>18101</v>
      </c>
      <c r="K530" s="971">
        <v>10647</v>
      </c>
      <c r="L530" s="970">
        <v>72000</v>
      </c>
      <c r="M530" s="970"/>
      <c r="N530" s="971">
        <v>2110</v>
      </c>
      <c r="O530" s="971">
        <v>0</v>
      </c>
      <c r="P530" s="971">
        <v>0</v>
      </c>
      <c r="Q530" s="970">
        <v>0</v>
      </c>
      <c r="R530" s="970"/>
      <c r="S530" s="971">
        <v>25124</v>
      </c>
      <c r="T530" s="973">
        <v>24457</v>
      </c>
      <c r="U530" s="973">
        <v>49581</v>
      </c>
    </row>
    <row r="531" spans="1:21" x14ac:dyDescent="0.25">
      <c r="A531" s="967">
        <v>95821</v>
      </c>
      <c r="B531" s="968" t="s">
        <v>3167</v>
      </c>
      <c r="C531" s="969">
        <v>0</v>
      </c>
      <c r="D531" s="969">
        <v>1.7E-6</v>
      </c>
      <c r="E531" s="1008">
        <v>610</v>
      </c>
      <c r="F531" s="1011">
        <v>3608</v>
      </c>
      <c r="G531" s="970">
        <v>0</v>
      </c>
      <c r="H531" s="970"/>
      <c r="I531" s="971">
        <v>0</v>
      </c>
      <c r="J531" s="972">
        <v>0</v>
      </c>
      <c r="K531" s="971">
        <v>0</v>
      </c>
      <c r="L531" s="970">
        <v>1293</v>
      </c>
      <c r="M531" s="970"/>
      <c r="N531" s="971">
        <v>0</v>
      </c>
      <c r="O531" s="971">
        <v>0</v>
      </c>
      <c r="P531" s="971">
        <v>0</v>
      </c>
      <c r="Q531" s="970">
        <v>652</v>
      </c>
      <c r="R531" s="970"/>
      <c r="S531" s="971">
        <v>0</v>
      </c>
      <c r="T531" s="973">
        <v>460</v>
      </c>
      <c r="U531" s="973">
        <v>460</v>
      </c>
    </row>
    <row r="532" spans="1:21" x14ac:dyDescent="0.25">
      <c r="A532" s="967">
        <v>95831</v>
      </c>
      <c r="B532" s="968" t="s">
        <v>3168</v>
      </c>
      <c r="C532" s="969">
        <v>1.6799999999999998E-5</v>
      </c>
      <c r="D532" s="969">
        <v>1.36E-5</v>
      </c>
      <c r="E532" s="1008">
        <v>22034</v>
      </c>
      <c r="F532" s="1011">
        <v>28864</v>
      </c>
      <c r="G532" s="970">
        <v>25666</v>
      </c>
      <c r="H532" s="970"/>
      <c r="I532" s="971">
        <v>1479</v>
      </c>
      <c r="J532" s="972">
        <v>6232</v>
      </c>
      <c r="K532" s="971">
        <v>3665</v>
      </c>
      <c r="L532" s="970">
        <v>23962</v>
      </c>
      <c r="M532" s="970"/>
      <c r="N532" s="971">
        <v>727</v>
      </c>
      <c r="O532" s="971">
        <v>0</v>
      </c>
      <c r="P532" s="971">
        <v>0</v>
      </c>
      <c r="Q532" s="970">
        <v>0</v>
      </c>
      <c r="R532" s="970"/>
      <c r="S532" s="971">
        <v>8649</v>
      </c>
      <c r="T532" s="973">
        <v>8068</v>
      </c>
      <c r="U532" s="973">
        <v>16717</v>
      </c>
    </row>
    <row r="533" spans="1:21" x14ac:dyDescent="0.25">
      <c r="A533" s="967">
        <v>95841</v>
      </c>
      <c r="B533" s="968" t="s">
        <v>3169</v>
      </c>
      <c r="C533" s="969">
        <v>2.0999999999999999E-5</v>
      </c>
      <c r="D533" s="969">
        <v>2.1100000000000001E-5</v>
      </c>
      <c r="E533" s="1008">
        <v>10805</v>
      </c>
      <c r="F533" s="1011">
        <v>44781</v>
      </c>
      <c r="G533" s="970">
        <v>32082</v>
      </c>
      <c r="H533" s="970"/>
      <c r="I533" s="971">
        <v>1848</v>
      </c>
      <c r="J533" s="972">
        <v>7790</v>
      </c>
      <c r="K533" s="971">
        <v>4582</v>
      </c>
      <c r="L533" s="970">
        <v>2103</v>
      </c>
      <c r="M533" s="970"/>
      <c r="N533" s="971">
        <v>908</v>
      </c>
      <c r="O533" s="971">
        <v>0</v>
      </c>
      <c r="P533" s="971">
        <v>0</v>
      </c>
      <c r="Q533" s="970">
        <v>0</v>
      </c>
      <c r="R533" s="970"/>
      <c r="S533" s="971">
        <v>10812</v>
      </c>
      <c r="T533" s="973">
        <v>817</v>
      </c>
      <c r="U533" s="973">
        <v>11629</v>
      </c>
    </row>
    <row r="534" spans="1:21" x14ac:dyDescent="0.25">
      <c r="A534" s="967">
        <v>95851</v>
      </c>
      <c r="B534" s="968" t="s">
        <v>3170</v>
      </c>
      <c r="C534" s="969">
        <v>1.327E-4</v>
      </c>
      <c r="D534" s="969">
        <v>1.3009999999999999E-4</v>
      </c>
      <c r="E534" s="1008">
        <v>142459</v>
      </c>
      <c r="F534" s="1011">
        <v>276116</v>
      </c>
      <c r="G534" s="970">
        <v>202729</v>
      </c>
      <c r="H534" s="970"/>
      <c r="I534" s="971">
        <v>11679</v>
      </c>
      <c r="J534" s="972">
        <v>49223</v>
      </c>
      <c r="K534" s="971">
        <v>28952</v>
      </c>
      <c r="L534" s="970">
        <v>130637</v>
      </c>
      <c r="M534" s="970"/>
      <c r="N534" s="971">
        <v>5739</v>
      </c>
      <c r="O534" s="971">
        <v>0</v>
      </c>
      <c r="P534" s="971">
        <v>0</v>
      </c>
      <c r="Q534" s="970">
        <v>4180</v>
      </c>
      <c r="R534" s="970"/>
      <c r="S534" s="971">
        <v>68320</v>
      </c>
      <c r="T534" s="973">
        <v>39831</v>
      </c>
      <c r="U534" s="973">
        <v>108151</v>
      </c>
    </row>
    <row r="535" spans="1:21" x14ac:dyDescent="0.25">
      <c r="A535" s="967">
        <v>95853</v>
      </c>
      <c r="B535" s="968" t="s">
        <v>3171</v>
      </c>
      <c r="C535" s="969">
        <v>2.69E-5</v>
      </c>
      <c r="D535" s="969">
        <v>2.4000000000000001E-5</v>
      </c>
      <c r="E535" s="1008">
        <v>14344</v>
      </c>
      <c r="F535" s="1011">
        <v>50936</v>
      </c>
      <c r="G535" s="970">
        <v>41096</v>
      </c>
      <c r="H535" s="970"/>
      <c r="I535" s="971">
        <v>2367</v>
      </c>
      <c r="J535" s="972">
        <v>9978</v>
      </c>
      <c r="K535" s="971">
        <v>5869</v>
      </c>
      <c r="L535" s="970">
        <v>8793</v>
      </c>
      <c r="M535" s="970"/>
      <c r="N535" s="971">
        <v>1163</v>
      </c>
      <c r="O535" s="971">
        <v>0</v>
      </c>
      <c r="P535" s="971">
        <v>0</v>
      </c>
      <c r="Q535" s="970">
        <v>0</v>
      </c>
      <c r="R535" s="970"/>
      <c r="S535" s="971">
        <v>13849</v>
      </c>
      <c r="T535" s="973">
        <v>3675</v>
      </c>
      <c r="U535" s="973">
        <f>17525-1</f>
        <v>17524</v>
      </c>
    </row>
    <row r="536" spans="1:21" x14ac:dyDescent="0.25">
      <c r="A536" s="967">
        <v>95901</v>
      </c>
      <c r="B536" s="968" t="s">
        <v>3172</v>
      </c>
      <c r="C536" s="969">
        <v>1.8714999999999999E-3</v>
      </c>
      <c r="D536" s="969">
        <v>1.8266999999999999E-3</v>
      </c>
      <c r="E536" s="1008">
        <v>815702</v>
      </c>
      <c r="F536" s="1011">
        <v>3876869</v>
      </c>
      <c r="G536" s="970">
        <v>2859134</v>
      </c>
      <c r="H536" s="970"/>
      <c r="I536" s="971">
        <v>164713</v>
      </c>
      <c r="J536" s="972">
        <v>694201</v>
      </c>
      <c r="K536" s="971">
        <v>408324</v>
      </c>
      <c r="L536" s="970">
        <v>36652</v>
      </c>
      <c r="M536" s="970"/>
      <c r="N536" s="971">
        <v>80933</v>
      </c>
      <c r="O536" s="971">
        <v>0</v>
      </c>
      <c r="P536" s="971">
        <v>0</v>
      </c>
      <c r="Q536" s="970">
        <v>13191</v>
      </c>
      <c r="R536" s="970"/>
      <c r="S536" s="971">
        <v>963531</v>
      </c>
      <c r="T536" s="973">
        <v>28466</v>
      </c>
      <c r="U536" s="973">
        <v>991997</v>
      </c>
    </row>
    <row r="537" spans="1:21" x14ac:dyDescent="0.25">
      <c r="A537" s="967">
        <v>95908</v>
      </c>
      <c r="B537" s="968" t="s">
        <v>3173</v>
      </c>
      <c r="C537" s="969">
        <v>7.2200000000000007E-5</v>
      </c>
      <c r="D537" s="969">
        <v>7.2000000000000002E-5</v>
      </c>
      <c r="E537" s="1008">
        <v>24598</v>
      </c>
      <c r="F537" s="1011">
        <v>152808</v>
      </c>
      <c r="G537" s="970">
        <v>110302</v>
      </c>
      <c r="H537" s="970"/>
      <c r="I537" s="971">
        <v>6354</v>
      </c>
      <c r="J537" s="972">
        <v>26781</v>
      </c>
      <c r="K537" s="971">
        <v>15753</v>
      </c>
      <c r="L537" s="970">
        <v>0</v>
      </c>
      <c r="M537" s="970"/>
      <c r="N537" s="971">
        <v>3122</v>
      </c>
      <c r="O537" s="971">
        <v>0</v>
      </c>
      <c r="P537" s="971">
        <v>0</v>
      </c>
      <c r="Q537" s="970">
        <v>22164</v>
      </c>
      <c r="R537" s="970"/>
      <c r="S537" s="971">
        <v>37172</v>
      </c>
      <c r="T537" s="973">
        <v>-10736</v>
      </c>
      <c r="U537" s="973">
        <v>26436</v>
      </c>
    </row>
    <row r="538" spans="1:21" x14ac:dyDescent="0.25">
      <c r="A538" s="967">
        <v>95911</v>
      </c>
      <c r="B538" s="968" t="s">
        <v>3174</v>
      </c>
      <c r="C538" s="969">
        <v>5.7450000000000003E-4</v>
      </c>
      <c r="D538" s="969">
        <v>5.6979999999999997E-4</v>
      </c>
      <c r="E538" s="1008">
        <v>244845</v>
      </c>
      <c r="F538" s="1011">
        <v>1209306</v>
      </c>
      <c r="G538" s="970">
        <v>877677</v>
      </c>
      <c r="H538" s="970"/>
      <c r="I538" s="971">
        <v>50562</v>
      </c>
      <c r="J538" s="972">
        <v>213101</v>
      </c>
      <c r="K538" s="971">
        <v>125344</v>
      </c>
      <c r="L538" s="970">
        <v>2898</v>
      </c>
      <c r="M538" s="970"/>
      <c r="N538" s="971">
        <v>24844</v>
      </c>
      <c r="O538" s="971">
        <v>0</v>
      </c>
      <c r="P538" s="971">
        <v>0</v>
      </c>
      <c r="Q538" s="970">
        <v>40952</v>
      </c>
      <c r="R538" s="970"/>
      <c r="S538" s="971">
        <v>295778</v>
      </c>
      <c r="T538" s="973">
        <v>-14076</v>
      </c>
      <c r="U538" s="973">
        <v>281702</v>
      </c>
    </row>
    <row r="539" spans="1:21" x14ac:dyDescent="0.25">
      <c r="A539" s="967">
        <v>95917</v>
      </c>
      <c r="B539" s="968" t="s">
        <v>3175</v>
      </c>
      <c r="C539" s="969">
        <v>2.6699999999999998E-5</v>
      </c>
      <c r="D539" s="969">
        <v>2.2399999999999999E-5</v>
      </c>
      <c r="E539" s="1008">
        <v>11001</v>
      </c>
      <c r="F539" s="1011">
        <v>47540</v>
      </c>
      <c r="G539" s="970">
        <v>40790</v>
      </c>
      <c r="H539" s="970"/>
      <c r="I539" s="971">
        <v>2350</v>
      </c>
      <c r="J539" s="972">
        <v>9904</v>
      </c>
      <c r="K539" s="971">
        <v>5825</v>
      </c>
      <c r="L539" s="970">
        <v>4378</v>
      </c>
      <c r="M539" s="970"/>
      <c r="N539" s="971">
        <v>1155</v>
      </c>
      <c r="O539" s="971">
        <v>0</v>
      </c>
      <c r="P539" s="971">
        <v>0</v>
      </c>
      <c r="Q539" s="970">
        <v>501</v>
      </c>
      <c r="R539" s="970"/>
      <c r="S539" s="971">
        <v>13746</v>
      </c>
      <c r="T539" s="973">
        <v>2216</v>
      </c>
      <c r="U539" s="973">
        <v>15962</v>
      </c>
    </row>
    <row r="540" spans="1:21" x14ac:dyDescent="0.25">
      <c r="A540" s="967">
        <v>95921</v>
      </c>
      <c r="B540" s="968" t="s">
        <v>3176</v>
      </c>
      <c r="C540" s="969">
        <v>4.7500000000000003E-5</v>
      </c>
      <c r="D540" s="969">
        <v>4.4700000000000002E-5</v>
      </c>
      <c r="E540" s="1008">
        <v>19772</v>
      </c>
      <c r="F540" s="1011">
        <v>94868</v>
      </c>
      <c r="G540" s="970">
        <v>72567</v>
      </c>
      <c r="H540" s="970"/>
      <c r="I540" s="971">
        <v>4181</v>
      </c>
      <c r="J540" s="972">
        <v>17619</v>
      </c>
      <c r="K540" s="971">
        <v>10364</v>
      </c>
      <c r="L540" s="970">
        <v>3925</v>
      </c>
      <c r="M540" s="970"/>
      <c r="N540" s="971">
        <v>2054</v>
      </c>
      <c r="O540" s="971">
        <v>0</v>
      </c>
      <c r="P540" s="971">
        <v>0</v>
      </c>
      <c r="Q540" s="970">
        <v>948</v>
      </c>
      <c r="R540" s="970"/>
      <c r="S540" s="971">
        <v>24455</v>
      </c>
      <c r="T540" s="973">
        <v>526</v>
      </c>
      <c r="U540" s="973">
        <v>24981</v>
      </c>
    </row>
    <row r="541" spans="1:21" x14ac:dyDescent="0.25">
      <c r="A541" s="967">
        <v>96001</v>
      </c>
      <c r="B541" s="968" t="s">
        <v>3177</v>
      </c>
      <c r="C541" s="969">
        <v>4.4386399999999999E-2</v>
      </c>
      <c r="D541" s="969">
        <v>4.43519E-2</v>
      </c>
      <c r="E541" s="1008">
        <v>20012605</v>
      </c>
      <c r="F541" s="1011">
        <v>94129590</v>
      </c>
      <c r="G541" s="970">
        <v>67810124</v>
      </c>
      <c r="H541" s="970"/>
      <c r="I541" s="971">
        <v>3906491</v>
      </c>
      <c r="J541" s="972">
        <v>16464380</v>
      </c>
      <c r="K541" s="971">
        <v>9684225</v>
      </c>
      <c r="L541" s="970">
        <v>1457342</v>
      </c>
      <c r="M541" s="970"/>
      <c r="N541" s="971">
        <v>1919490</v>
      </c>
      <c r="O541" s="971">
        <v>0</v>
      </c>
      <c r="P541" s="971">
        <v>0</v>
      </c>
      <c r="Q541" s="970">
        <v>477903</v>
      </c>
      <c r="R541" s="970"/>
      <c r="S541" s="971">
        <v>22852072</v>
      </c>
      <c r="T541" s="973">
        <v>1208760</v>
      </c>
      <c r="U541" s="973">
        <v>24060832</v>
      </c>
    </row>
    <row r="542" spans="1:21" x14ac:dyDescent="0.25">
      <c r="A542" s="967">
        <v>96003</v>
      </c>
      <c r="B542" s="968" t="s">
        <v>3178</v>
      </c>
      <c r="C542" s="969">
        <v>1.6523E-3</v>
      </c>
      <c r="D542" s="969">
        <v>1.7309000000000001E-3</v>
      </c>
      <c r="E542" s="1008">
        <v>743373</v>
      </c>
      <c r="F542" s="1011">
        <v>3673550</v>
      </c>
      <c r="G542" s="970">
        <v>2524257</v>
      </c>
      <c r="H542" s="970"/>
      <c r="I542" s="971">
        <v>145421</v>
      </c>
      <c r="J542" s="972">
        <v>612893</v>
      </c>
      <c r="K542" s="971">
        <v>360499</v>
      </c>
      <c r="L542" s="970">
        <v>3089</v>
      </c>
      <c r="M542" s="970"/>
      <c r="N542" s="971">
        <v>71454</v>
      </c>
      <c r="O542" s="971">
        <v>0</v>
      </c>
      <c r="P542" s="971">
        <v>0</v>
      </c>
      <c r="Q542" s="970">
        <v>135978</v>
      </c>
      <c r="R542" s="970"/>
      <c r="S542" s="971">
        <v>850677</v>
      </c>
      <c r="T542" s="973">
        <v>-56030</v>
      </c>
      <c r="U542" s="973">
        <v>794647</v>
      </c>
    </row>
    <row r="543" spans="1:21" x14ac:dyDescent="0.25">
      <c r="A543" s="967">
        <v>96004</v>
      </c>
      <c r="B543" s="968" t="s">
        <v>3179</v>
      </c>
      <c r="C543" s="969">
        <v>8.9439999999999995E-4</v>
      </c>
      <c r="D543" s="969">
        <v>8.7699999999999996E-4</v>
      </c>
      <c r="E543" s="1008">
        <v>462352</v>
      </c>
      <c r="F543" s="1011">
        <v>1861288</v>
      </c>
      <c r="G543" s="970">
        <v>1366395</v>
      </c>
      <c r="H543" s="970"/>
      <c r="I543" s="971">
        <v>78717</v>
      </c>
      <c r="J543" s="972">
        <v>331762</v>
      </c>
      <c r="K543" s="971">
        <v>195140</v>
      </c>
      <c r="L543" s="970">
        <v>149546</v>
      </c>
      <c r="M543" s="970"/>
      <c r="N543" s="971">
        <v>38678</v>
      </c>
      <c r="O543" s="971">
        <v>0</v>
      </c>
      <c r="P543" s="971">
        <v>0</v>
      </c>
      <c r="Q543" s="970">
        <v>0</v>
      </c>
      <c r="R543" s="970"/>
      <c r="S543" s="971">
        <v>460476</v>
      </c>
      <c r="T543" s="973">
        <v>65505</v>
      </c>
      <c r="U543" s="973">
        <f>525982-1</f>
        <v>525981</v>
      </c>
    </row>
    <row r="544" spans="1:21" x14ac:dyDescent="0.25">
      <c r="A544" s="967">
        <v>96005</v>
      </c>
      <c r="B544" s="968" t="s">
        <v>3180</v>
      </c>
      <c r="C544" s="969">
        <v>2.6733999999999998E-3</v>
      </c>
      <c r="D544" s="969">
        <v>2.6457E-3</v>
      </c>
      <c r="E544" s="1008">
        <v>1240290</v>
      </c>
      <c r="F544" s="1011">
        <v>5615062</v>
      </c>
      <c r="G544" s="970">
        <v>4084215</v>
      </c>
      <c r="H544" s="970"/>
      <c r="I544" s="971">
        <v>235289</v>
      </c>
      <c r="J544" s="972">
        <v>991653</v>
      </c>
      <c r="K544" s="971">
        <v>583282</v>
      </c>
      <c r="L544" s="970">
        <v>222285</v>
      </c>
      <c r="M544" s="970"/>
      <c r="N544" s="971">
        <v>115611</v>
      </c>
      <c r="O544" s="971">
        <v>0</v>
      </c>
      <c r="P544" s="971">
        <v>0</v>
      </c>
      <c r="Q544" s="970">
        <v>0</v>
      </c>
      <c r="R544" s="970"/>
      <c r="S544" s="971">
        <v>1376384</v>
      </c>
      <c r="T544" s="973">
        <v>159087</v>
      </c>
      <c r="U544" s="973">
        <v>1535471</v>
      </c>
    </row>
    <row r="545" spans="1:21" x14ac:dyDescent="0.25">
      <c r="A545" s="967">
        <v>96008</v>
      </c>
      <c r="B545" s="968" t="s">
        <v>3181</v>
      </c>
      <c r="C545" s="969">
        <v>5.9955E-3</v>
      </c>
      <c r="D545" s="969">
        <v>5.9388000000000002E-3</v>
      </c>
      <c r="E545" s="1008">
        <v>2075076</v>
      </c>
      <c r="F545" s="1011">
        <v>12604123</v>
      </c>
      <c r="G545" s="970">
        <v>9159463</v>
      </c>
      <c r="H545" s="970"/>
      <c r="I545" s="971">
        <v>527670</v>
      </c>
      <c r="J545" s="972">
        <v>2223929</v>
      </c>
      <c r="K545" s="971">
        <v>1308098</v>
      </c>
      <c r="L545" s="970">
        <v>0</v>
      </c>
      <c r="M545" s="970"/>
      <c r="N545" s="971">
        <v>259275</v>
      </c>
      <c r="O545" s="971">
        <v>0</v>
      </c>
      <c r="P545" s="971">
        <v>0</v>
      </c>
      <c r="Q545" s="970">
        <v>767021</v>
      </c>
      <c r="R545" s="970"/>
      <c r="S545" s="971">
        <v>3086747</v>
      </c>
      <c r="T545" s="973">
        <v>-274630</v>
      </c>
      <c r="U545" s="973">
        <v>2812117</v>
      </c>
    </row>
    <row r="546" spans="1:21" x14ac:dyDescent="0.25">
      <c r="A546" s="967">
        <v>96009</v>
      </c>
      <c r="B546" s="968" t="s">
        <v>3182</v>
      </c>
      <c r="C546" s="969">
        <v>3.7609999999999998E-4</v>
      </c>
      <c r="D546" s="969">
        <v>3.5980000000000002E-4</v>
      </c>
      <c r="E546" s="1008">
        <v>192063</v>
      </c>
      <c r="F546" s="1011">
        <v>763616</v>
      </c>
      <c r="G546" s="970">
        <v>574577</v>
      </c>
      <c r="H546" s="970"/>
      <c r="I546" s="971">
        <v>33101</v>
      </c>
      <c r="J546" s="972">
        <v>139508</v>
      </c>
      <c r="K546" s="971">
        <v>82057</v>
      </c>
      <c r="L546" s="970">
        <v>33181</v>
      </c>
      <c r="M546" s="970"/>
      <c r="N546" s="971">
        <v>16264</v>
      </c>
      <c r="O546" s="971">
        <v>0</v>
      </c>
      <c r="P546" s="971">
        <v>0</v>
      </c>
      <c r="Q546" s="970">
        <v>2595</v>
      </c>
      <c r="R546" s="970"/>
      <c r="S546" s="971">
        <v>193633</v>
      </c>
      <c r="T546" s="973">
        <v>11508</v>
      </c>
      <c r="U546" s="973">
        <v>205141</v>
      </c>
    </row>
    <row r="547" spans="1:21" x14ac:dyDescent="0.25">
      <c r="A547" s="967">
        <v>96011</v>
      </c>
      <c r="B547" s="968" t="s">
        <v>3183</v>
      </c>
      <c r="C547" s="969">
        <v>6.1150400000000001E-2</v>
      </c>
      <c r="D547" s="969">
        <v>6.0489000000000001E-2</v>
      </c>
      <c r="E547" s="1008">
        <v>28379211</v>
      </c>
      <c r="F547" s="1011">
        <v>128377922</v>
      </c>
      <c r="G547" s="970">
        <v>93420873</v>
      </c>
      <c r="H547" s="970"/>
      <c r="I547" s="971">
        <v>5381908</v>
      </c>
      <c r="J547" s="972">
        <v>22682701</v>
      </c>
      <c r="K547" s="971">
        <v>13341794</v>
      </c>
      <c r="L547" s="970">
        <v>796221</v>
      </c>
      <c r="M547" s="970"/>
      <c r="N547" s="971">
        <v>2644449</v>
      </c>
      <c r="O547" s="971">
        <v>0</v>
      </c>
      <c r="P547" s="971">
        <v>0</v>
      </c>
      <c r="Q547" s="970">
        <v>51460</v>
      </c>
      <c r="R547" s="970"/>
      <c r="S547" s="971">
        <v>31482917</v>
      </c>
      <c r="T547" s="973">
        <v>212508</v>
      </c>
      <c r="U547" s="973">
        <v>31695425</v>
      </c>
    </row>
    <row r="548" spans="1:21" x14ac:dyDescent="0.25">
      <c r="A548" s="967">
        <v>96012</v>
      </c>
      <c r="B548" s="968" t="s">
        <v>3184</v>
      </c>
      <c r="C548" s="969">
        <v>2.4417000000000002E-3</v>
      </c>
      <c r="D548" s="969">
        <v>2.4095000000000002E-3</v>
      </c>
      <c r="E548" s="1008">
        <v>1092788</v>
      </c>
      <c r="F548" s="1011">
        <v>5113766</v>
      </c>
      <c r="G548" s="970">
        <v>3730241</v>
      </c>
      <c r="H548" s="970"/>
      <c r="I548" s="971">
        <v>214896</v>
      </c>
      <c r="J548" s="972">
        <v>905707</v>
      </c>
      <c r="K548" s="971">
        <v>532730</v>
      </c>
      <c r="L548" s="970">
        <v>77080</v>
      </c>
      <c r="M548" s="970"/>
      <c r="N548" s="971">
        <v>105591</v>
      </c>
      <c r="O548" s="971">
        <v>0</v>
      </c>
      <c r="P548" s="971">
        <v>0</v>
      </c>
      <c r="Q548" s="970">
        <v>937</v>
      </c>
      <c r="R548" s="970"/>
      <c r="S548" s="971">
        <v>1257095</v>
      </c>
      <c r="T548" s="973">
        <v>35595</v>
      </c>
      <c r="U548" s="973">
        <v>1292690</v>
      </c>
    </row>
    <row r="549" spans="1:21" x14ac:dyDescent="0.25">
      <c r="A549" s="967">
        <v>96018</v>
      </c>
      <c r="B549" s="968" t="s">
        <v>3185</v>
      </c>
      <c r="C549" s="969">
        <v>4.3600000000000003E-5</v>
      </c>
      <c r="D549" s="969">
        <v>3.6199999999999999E-5</v>
      </c>
      <c r="E549" s="1008">
        <v>18035</v>
      </c>
      <c r="F549" s="1011">
        <v>76829</v>
      </c>
      <c r="G549" s="970">
        <v>66609</v>
      </c>
      <c r="H549" s="970"/>
      <c r="I549" s="971">
        <v>3837</v>
      </c>
      <c r="J549" s="972">
        <v>16173</v>
      </c>
      <c r="K549" s="971">
        <v>9513</v>
      </c>
      <c r="L549" s="970">
        <v>9704</v>
      </c>
      <c r="M549" s="970"/>
      <c r="N549" s="971">
        <v>1885</v>
      </c>
      <c r="O549" s="971">
        <v>0</v>
      </c>
      <c r="P549" s="971">
        <v>0</v>
      </c>
      <c r="Q549" s="970">
        <v>0</v>
      </c>
      <c r="R549" s="970"/>
      <c r="S549" s="971">
        <v>22447</v>
      </c>
      <c r="T549" s="973">
        <v>5913</v>
      </c>
      <c r="U549" s="973">
        <v>28360</v>
      </c>
    </row>
    <row r="550" spans="1:21" x14ac:dyDescent="0.25">
      <c r="A550" s="967">
        <v>96021</v>
      </c>
      <c r="B550" s="968" t="s">
        <v>3186</v>
      </c>
      <c r="C550" s="969">
        <v>7.2090000000000001E-4</v>
      </c>
      <c r="D550" s="969">
        <v>8.5829999999999999E-4</v>
      </c>
      <c r="E550" s="1008">
        <v>327690</v>
      </c>
      <c r="F550" s="1011">
        <v>1821600</v>
      </c>
      <c r="G550" s="970">
        <v>1101336</v>
      </c>
      <c r="H550" s="970"/>
      <c r="I550" s="971">
        <v>63447</v>
      </c>
      <c r="J550" s="972">
        <v>267406</v>
      </c>
      <c r="K550" s="971">
        <v>157286</v>
      </c>
      <c r="L550" s="970">
        <v>31959</v>
      </c>
      <c r="M550" s="970"/>
      <c r="N550" s="971">
        <v>31175</v>
      </c>
      <c r="O550" s="971">
        <v>0</v>
      </c>
      <c r="P550" s="971">
        <v>0</v>
      </c>
      <c r="Q550" s="970">
        <v>119309</v>
      </c>
      <c r="R550" s="970"/>
      <c r="S550" s="971">
        <v>371151</v>
      </c>
      <c r="T550" s="973">
        <v>-13869</v>
      </c>
      <c r="U550" s="973">
        <v>357282</v>
      </c>
    </row>
    <row r="551" spans="1:21" x14ac:dyDescent="0.25">
      <c r="A551" s="967">
        <v>96031</v>
      </c>
      <c r="B551" s="968" t="s">
        <v>3187</v>
      </c>
      <c r="C551" s="969">
        <v>8.2580000000000001E-4</v>
      </c>
      <c r="D551" s="969">
        <v>9.0189999999999997E-4</v>
      </c>
      <c r="E551" s="1008">
        <v>325476</v>
      </c>
      <c r="F551" s="1011">
        <v>1914134</v>
      </c>
      <c r="G551" s="970">
        <v>1261594</v>
      </c>
      <c r="H551" s="970"/>
      <c r="I551" s="971">
        <v>72679</v>
      </c>
      <c r="J551" s="972">
        <v>306317</v>
      </c>
      <c r="K551" s="971">
        <v>180173</v>
      </c>
      <c r="L551" s="970">
        <v>0</v>
      </c>
      <c r="M551" s="970"/>
      <c r="N551" s="971">
        <v>35712</v>
      </c>
      <c r="O551" s="971">
        <v>0</v>
      </c>
      <c r="P551" s="971">
        <v>0</v>
      </c>
      <c r="Q551" s="970">
        <v>179263</v>
      </c>
      <c r="R551" s="970"/>
      <c r="S551" s="971">
        <v>425158</v>
      </c>
      <c r="T551" s="973">
        <v>-74461</v>
      </c>
      <c r="U551" s="973">
        <v>350697</v>
      </c>
    </row>
    <row r="552" spans="1:21" x14ac:dyDescent="0.25">
      <c r="A552" s="967">
        <v>96041</v>
      </c>
      <c r="B552" s="968" t="s">
        <v>3188</v>
      </c>
      <c r="C552" s="969">
        <v>1.7361E-3</v>
      </c>
      <c r="D552" s="969">
        <v>1.7323E-3</v>
      </c>
      <c r="E552" s="1008">
        <v>721544</v>
      </c>
      <c r="F552" s="1011">
        <v>3676521</v>
      </c>
      <c r="G552" s="970">
        <v>2652280</v>
      </c>
      <c r="H552" s="970"/>
      <c r="I552" s="971">
        <v>152796</v>
      </c>
      <c r="J552" s="972">
        <v>643977</v>
      </c>
      <c r="K552" s="971">
        <v>378782</v>
      </c>
      <c r="L552" s="970">
        <v>0</v>
      </c>
      <c r="M552" s="970"/>
      <c r="N552" s="971">
        <v>75078</v>
      </c>
      <c r="O552" s="971">
        <v>0</v>
      </c>
      <c r="P552" s="971">
        <v>0</v>
      </c>
      <c r="Q552" s="970">
        <v>139404</v>
      </c>
      <c r="R552" s="970"/>
      <c r="S552" s="971">
        <v>893821</v>
      </c>
      <c r="T552" s="973">
        <v>-60075</v>
      </c>
      <c r="U552" s="973">
        <v>833746</v>
      </c>
    </row>
    <row r="553" spans="1:21" x14ac:dyDescent="0.25">
      <c r="A553" s="967">
        <v>96051</v>
      </c>
      <c r="B553" s="968" t="s">
        <v>3189</v>
      </c>
      <c r="C553" s="969">
        <v>1.0062000000000001E-3</v>
      </c>
      <c r="D553" s="969">
        <v>1.0258000000000001E-3</v>
      </c>
      <c r="E553" s="1008">
        <v>418346</v>
      </c>
      <c r="F553" s="1011">
        <v>2177091</v>
      </c>
      <c r="G553" s="970">
        <v>1537195</v>
      </c>
      <c r="H553" s="970"/>
      <c r="I553" s="971">
        <v>88557</v>
      </c>
      <c r="J553" s="972">
        <v>373233</v>
      </c>
      <c r="K553" s="971">
        <v>219533</v>
      </c>
      <c r="L553" s="970">
        <v>0</v>
      </c>
      <c r="M553" s="970"/>
      <c r="N553" s="971">
        <v>43513</v>
      </c>
      <c r="O553" s="971">
        <v>0</v>
      </c>
      <c r="P553" s="971">
        <v>0</v>
      </c>
      <c r="Q553" s="970">
        <v>109605</v>
      </c>
      <c r="R553" s="970"/>
      <c r="S553" s="971">
        <v>518036</v>
      </c>
      <c r="T553" s="973">
        <v>-44751</v>
      </c>
      <c r="U553" s="973">
        <v>473285</v>
      </c>
    </row>
    <row r="554" spans="1:21" x14ac:dyDescent="0.25">
      <c r="A554" s="967">
        <v>96061</v>
      </c>
      <c r="B554" s="968" t="s">
        <v>3190</v>
      </c>
      <c r="C554" s="969">
        <v>3.3950000000000001E-4</v>
      </c>
      <c r="D554" s="969">
        <v>3.0800000000000001E-4</v>
      </c>
      <c r="E554" s="1008">
        <v>154988</v>
      </c>
      <c r="F554" s="1011">
        <v>653679</v>
      </c>
      <c r="G554" s="970">
        <v>518662</v>
      </c>
      <c r="H554" s="970"/>
      <c r="I554" s="971">
        <v>29880</v>
      </c>
      <c r="J554" s="972">
        <v>125932</v>
      </c>
      <c r="K554" s="971">
        <v>74072</v>
      </c>
      <c r="L554" s="970">
        <v>21868</v>
      </c>
      <c r="M554" s="970"/>
      <c r="N554" s="971">
        <v>14682</v>
      </c>
      <c r="O554" s="971">
        <v>0</v>
      </c>
      <c r="P554" s="971">
        <v>0</v>
      </c>
      <c r="Q554" s="970">
        <v>7447</v>
      </c>
      <c r="R554" s="970"/>
      <c r="S554" s="971">
        <v>174790</v>
      </c>
      <c r="T554" s="973">
        <v>2241</v>
      </c>
      <c r="U554" s="973">
        <v>177031</v>
      </c>
    </row>
    <row r="555" spans="1:21" x14ac:dyDescent="0.25">
      <c r="A555" s="967">
        <v>96071</v>
      </c>
      <c r="B555" s="968" t="s">
        <v>3191</v>
      </c>
      <c r="C555" s="969">
        <v>1.1367E-3</v>
      </c>
      <c r="D555" s="969">
        <v>1.1280999999999999E-3</v>
      </c>
      <c r="E555" s="1008">
        <v>554009</v>
      </c>
      <c r="F555" s="1011">
        <v>2394206</v>
      </c>
      <c r="G555" s="970">
        <v>1736563</v>
      </c>
      <c r="H555" s="970"/>
      <c r="I555" s="971">
        <v>100042</v>
      </c>
      <c r="J555" s="972">
        <v>421639</v>
      </c>
      <c r="K555" s="971">
        <v>248005</v>
      </c>
      <c r="L555" s="970">
        <v>72999</v>
      </c>
      <c r="M555" s="970"/>
      <c r="N555" s="971">
        <v>49157</v>
      </c>
      <c r="O555" s="971">
        <v>0</v>
      </c>
      <c r="P555" s="971">
        <v>0</v>
      </c>
      <c r="Q555" s="970">
        <v>71715</v>
      </c>
      <c r="R555" s="970"/>
      <c r="S555" s="971">
        <v>585223</v>
      </c>
      <c r="T555" s="973">
        <v>-1282</v>
      </c>
      <c r="U555" s="973">
        <v>583941</v>
      </c>
    </row>
    <row r="556" spans="1:21" x14ac:dyDescent="0.25">
      <c r="A556" s="967">
        <v>96081</v>
      </c>
      <c r="B556" s="968" t="s">
        <v>3192</v>
      </c>
      <c r="C556" s="969">
        <v>5.0900000000000001E-4</v>
      </c>
      <c r="D556" s="969">
        <v>4.7820000000000002E-4</v>
      </c>
      <c r="E556" s="1008">
        <v>211520</v>
      </c>
      <c r="F556" s="1011">
        <v>1014901</v>
      </c>
      <c r="G556" s="970">
        <v>777611</v>
      </c>
      <c r="H556" s="970"/>
      <c r="I556" s="971">
        <v>44798</v>
      </c>
      <c r="J556" s="972">
        <v>188805</v>
      </c>
      <c r="K556" s="971">
        <v>111054</v>
      </c>
      <c r="L556" s="970">
        <v>10640</v>
      </c>
      <c r="M556" s="970"/>
      <c r="N556" s="971">
        <v>22012</v>
      </c>
      <c r="O556" s="971">
        <v>0</v>
      </c>
      <c r="P556" s="971">
        <v>0</v>
      </c>
      <c r="Q556" s="970">
        <v>4115</v>
      </c>
      <c r="R556" s="970"/>
      <c r="S556" s="971">
        <v>262056</v>
      </c>
      <c r="T556" s="973">
        <v>5137</v>
      </c>
      <c r="U556" s="973">
        <v>267193</v>
      </c>
    </row>
    <row r="557" spans="1:21" x14ac:dyDescent="0.25">
      <c r="A557" s="967">
        <v>96101</v>
      </c>
      <c r="B557" s="968" t="s">
        <v>3193</v>
      </c>
      <c r="C557" s="969">
        <v>7.6749999999999995E-4</v>
      </c>
      <c r="D557" s="969">
        <v>7.5860000000000001E-4</v>
      </c>
      <c r="E557" s="1008">
        <v>371541</v>
      </c>
      <c r="F557" s="1011">
        <v>1610003</v>
      </c>
      <c r="G557" s="970">
        <v>1172527</v>
      </c>
      <c r="H557" s="970"/>
      <c r="I557" s="971">
        <v>67548</v>
      </c>
      <c r="J557" s="972">
        <v>284691</v>
      </c>
      <c r="K557" s="971">
        <v>167453</v>
      </c>
      <c r="L557" s="970">
        <v>39221</v>
      </c>
      <c r="M557" s="970"/>
      <c r="N557" s="971">
        <v>33191</v>
      </c>
      <c r="O557" s="971">
        <v>0</v>
      </c>
      <c r="P557" s="971">
        <v>0</v>
      </c>
      <c r="Q557" s="970">
        <v>3498</v>
      </c>
      <c r="R557" s="970"/>
      <c r="S557" s="971">
        <v>395143</v>
      </c>
      <c r="T557" s="973">
        <v>17230</v>
      </c>
      <c r="U557" s="973">
        <v>412373</v>
      </c>
    </row>
    <row r="558" spans="1:21" x14ac:dyDescent="0.25">
      <c r="A558" s="967">
        <v>96102</v>
      </c>
      <c r="B558" s="968" t="s">
        <v>3194</v>
      </c>
      <c r="C558" s="969">
        <v>1.36E-5</v>
      </c>
      <c r="D558" s="969">
        <v>1.42E-5</v>
      </c>
      <c r="E558" s="1008">
        <v>5078</v>
      </c>
      <c r="F558" s="1011">
        <v>30137</v>
      </c>
      <c r="G558" s="970">
        <v>20777</v>
      </c>
      <c r="H558" s="970"/>
      <c r="I558" s="971">
        <v>1197</v>
      </c>
      <c r="J558" s="972">
        <v>5045</v>
      </c>
      <c r="K558" s="971">
        <v>2967</v>
      </c>
      <c r="L558" s="970">
        <v>0</v>
      </c>
      <c r="M558" s="970"/>
      <c r="N558" s="971">
        <v>588</v>
      </c>
      <c r="O558" s="971">
        <v>0</v>
      </c>
      <c r="P558" s="971">
        <v>0</v>
      </c>
      <c r="Q558" s="970">
        <v>3137</v>
      </c>
      <c r="R558" s="970"/>
      <c r="S558" s="971">
        <v>7002</v>
      </c>
      <c r="T558" s="973">
        <v>-1435</v>
      </c>
      <c r="U558" s="973">
        <v>5567</v>
      </c>
    </row>
    <row r="559" spans="1:21" x14ac:dyDescent="0.25">
      <c r="A559" s="967">
        <v>96111</v>
      </c>
      <c r="B559" s="968" t="s">
        <v>3195</v>
      </c>
      <c r="C559" s="969">
        <v>1.5349999999999999E-4</v>
      </c>
      <c r="D559" s="969">
        <v>1.6119999999999999E-4</v>
      </c>
      <c r="E559" s="1008">
        <v>74819</v>
      </c>
      <c r="F559" s="1011">
        <v>342120</v>
      </c>
      <c r="G559" s="970">
        <v>234505</v>
      </c>
      <c r="H559" s="970"/>
      <c r="I559" s="971">
        <v>13510</v>
      </c>
      <c r="J559" s="972">
        <v>56938</v>
      </c>
      <c r="K559" s="971">
        <v>33491</v>
      </c>
      <c r="L559" s="970">
        <v>9403</v>
      </c>
      <c r="M559" s="970"/>
      <c r="N559" s="971">
        <v>6638</v>
      </c>
      <c r="O559" s="971">
        <v>0</v>
      </c>
      <c r="P559" s="971">
        <v>0</v>
      </c>
      <c r="Q559" s="970">
        <v>1683</v>
      </c>
      <c r="R559" s="970"/>
      <c r="S559" s="971">
        <v>79029</v>
      </c>
      <c r="T559" s="973">
        <v>6754</v>
      </c>
      <c r="U559" s="973">
        <v>85783</v>
      </c>
    </row>
    <row r="560" spans="1:21" x14ac:dyDescent="0.25">
      <c r="A560" s="967">
        <v>96121</v>
      </c>
      <c r="B560" s="968" t="s">
        <v>3196</v>
      </c>
      <c r="C560" s="969">
        <v>2.2500000000000001E-5</v>
      </c>
      <c r="D560" s="969">
        <v>2.2099999999999998E-5</v>
      </c>
      <c r="E560" s="1008">
        <v>9052</v>
      </c>
      <c r="F560" s="1011">
        <v>46904</v>
      </c>
      <c r="G560" s="970">
        <v>34374</v>
      </c>
      <c r="H560" s="970"/>
      <c r="I560" s="971">
        <v>1980</v>
      </c>
      <c r="J560" s="972">
        <v>8346</v>
      </c>
      <c r="K560" s="971">
        <v>4909</v>
      </c>
      <c r="L560" s="970">
        <v>397</v>
      </c>
      <c r="M560" s="970"/>
      <c r="N560" s="971">
        <v>973</v>
      </c>
      <c r="O560" s="971">
        <v>0</v>
      </c>
      <c r="P560" s="971">
        <v>0</v>
      </c>
      <c r="Q560" s="970">
        <v>1764</v>
      </c>
      <c r="R560" s="970"/>
      <c r="S560" s="971">
        <v>11584</v>
      </c>
      <c r="T560" s="973">
        <v>-946</v>
      </c>
      <c r="U560" s="973">
        <v>10638</v>
      </c>
    </row>
    <row r="561" spans="1:21" x14ac:dyDescent="0.25">
      <c r="A561" s="967">
        <v>96201</v>
      </c>
      <c r="B561" s="968" t="s">
        <v>3197</v>
      </c>
      <c r="C561" s="969">
        <v>1.1788E-3</v>
      </c>
      <c r="D561" s="969">
        <v>1.2302999999999999E-3</v>
      </c>
      <c r="E561" s="1008">
        <v>527645</v>
      </c>
      <c r="F561" s="1011">
        <v>2611109</v>
      </c>
      <c r="G561" s="970">
        <v>1800880</v>
      </c>
      <c r="H561" s="970"/>
      <c r="I561" s="971">
        <v>103747</v>
      </c>
      <c r="J561" s="972">
        <v>437256</v>
      </c>
      <c r="K561" s="971">
        <v>257191</v>
      </c>
      <c r="L561" s="970">
        <v>0</v>
      </c>
      <c r="M561" s="970"/>
      <c r="N561" s="971">
        <v>50977</v>
      </c>
      <c r="O561" s="971">
        <v>0</v>
      </c>
      <c r="P561" s="971">
        <v>0</v>
      </c>
      <c r="Q561" s="970">
        <v>73119</v>
      </c>
      <c r="R561" s="970"/>
      <c r="S561" s="971">
        <v>606898</v>
      </c>
      <c r="T561" s="973">
        <v>-23257</v>
      </c>
      <c r="U561" s="973">
        <v>583641</v>
      </c>
    </row>
    <row r="562" spans="1:21" x14ac:dyDescent="0.25">
      <c r="A562" s="967">
        <v>96204</v>
      </c>
      <c r="B562" s="968" t="s">
        <v>3198</v>
      </c>
      <c r="C562" s="969">
        <v>1.5099999999999999E-5</v>
      </c>
      <c r="D562" s="969">
        <v>1.5400000000000002E-5</v>
      </c>
      <c r="E562" s="1008">
        <v>8503</v>
      </c>
      <c r="F562" s="1011">
        <v>32684</v>
      </c>
      <c r="G562" s="970">
        <v>23069</v>
      </c>
      <c r="H562" s="970"/>
      <c r="I562" s="971">
        <v>1329</v>
      </c>
      <c r="J562" s="972">
        <v>5602</v>
      </c>
      <c r="K562" s="971">
        <v>3295</v>
      </c>
      <c r="L562" s="970">
        <v>3517</v>
      </c>
      <c r="M562" s="970"/>
      <c r="N562" s="971">
        <v>653</v>
      </c>
      <c r="O562" s="971">
        <v>0</v>
      </c>
      <c r="P562" s="971">
        <v>0</v>
      </c>
      <c r="Q562" s="970">
        <v>0</v>
      </c>
      <c r="R562" s="970"/>
      <c r="S562" s="971">
        <v>7774</v>
      </c>
      <c r="T562" s="973">
        <v>1655</v>
      </c>
      <c r="U562" s="973">
        <f>9430-1</f>
        <v>9429</v>
      </c>
    </row>
    <row r="563" spans="1:21" x14ac:dyDescent="0.25">
      <c r="A563" s="967">
        <v>96211</v>
      </c>
      <c r="B563" s="968" t="s">
        <v>3199</v>
      </c>
      <c r="C563" s="969">
        <v>2.62E-5</v>
      </c>
      <c r="D563" s="969">
        <v>3.0700000000000001E-5</v>
      </c>
      <c r="E563" s="1008">
        <v>16678</v>
      </c>
      <c r="F563" s="1011">
        <v>65156</v>
      </c>
      <c r="G563" s="970">
        <v>40026</v>
      </c>
      <c r="H563" s="970"/>
      <c r="I563" s="971">
        <v>2306</v>
      </c>
      <c r="J563" s="972">
        <v>9718</v>
      </c>
      <c r="K563" s="971">
        <v>5716</v>
      </c>
      <c r="L563" s="970">
        <v>4494</v>
      </c>
      <c r="M563" s="970"/>
      <c r="N563" s="971">
        <v>1133</v>
      </c>
      <c r="O563" s="971">
        <v>0</v>
      </c>
      <c r="P563" s="971">
        <v>0</v>
      </c>
      <c r="Q563" s="970">
        <v>4462</v>
      </c>
      <c r="R563" s="970"/>
      <c r="S563" s="971">
        <v>13489</v>
      </c>
      <c r="T563" s="973">
        <v>-2681</v>
      </c>
      <c r="U563" s="973">
        <v>10808</v>
      </c>
    </row>
    <row r="564" spans="1:21" x14ac:dyDescent="0.25">
      <c r="A564" s="967">
        <v>96221</v>
      </c>
      <c r="B564" s="968" t="s">
        <v>3200</v>
      </c>
      <c r="C564" s="969">
        <v>2.3350000000000001E-4</v>
      </c>
      <c r="D564" s="969">
        <v>2.287E-4</v>
      </c>
      <c r="E564" s="1008">
        <v>98415</v>
      </c>
      <c r="F564" s="1011">
        <v>485378</v>
      </c>
      <c r="G564" s="970">
        <v>356723</v>
      </c>
      <c r="H564" s="970"/>
      <c r="I564" s="971">
        <v>20551</v>
      </c>
      <c r="J564" s="972">
        <v>86613</v>
      </c>
      <c r="K564" s="971">
        <v>50945</v>
      </c>
      <c r="L564" s="970">
        <v>2439</v>
      </c>
      <c r="M564" s="970"/>
      <c r="N564" s="971">
        <v>10098</v>
      </c>
      <c r="O564" s="971">
        <v>0</v>
      </c>
      <c r="P564" s="971">
        <v>0</v>
      </c>
      <c r="Q564" s="970">
        <v>15042</v>
      </c>
      <c r="R564" s="970"/>
      <c r="S564" s="971">
        <v>120216</v>
      </c>
      <c r="T564" s="973">
        <v>-3357</v>
      </c>
      <c r="U564" s="973">
        <f>116860-1</f>
        <v>116859</v>
      </c>
    </row>
    <row r="565" spans="1:21" x14ac:dyDescent="0.25">
      <c r="A565" s="967">
        <v>96231</v>
      </c>
      <c r="B565" s="968" t="s">
        <v>3201</v>
      </c>
      <c r="C565" s="969">
        <v>1.3339999999999999E-4</v>
      </c>
      <c r="D565" s="969">
        <v>1.145E-4</v>
      </c>
      <c r="E565" s="1008">
        <v>48595</v>
      </c>
      <c r="F565" s="1011">
        <v>243007</v>
      </c>
      <c r="G565" s="970">
        <v>203798</v>
      </c>
      <c r="H565" s="970"/>
      <c r="I565" s="971">
        <v>11741</v>
      </c>
      <c r="J565" s="972">
        <v>49482</v>
      </c>
      <c r="K565" s="971">
        <v>29105</v>
      </c>
      <c r="L565" s="970">
        <v>2554</v>
      </c>
      <c r="M565" s="970"/>
      <c r="N565" s="971">
        <v>5769</v>
      </c>
      <c r="O565" s="971">
        <v>0</v>
      </c>
      <c r="P565" s="971">
        <v>0</v>
      </c>
      <c r="Q565" s="970">
        <v>14959</v>
      </c>
      <c r="R565" s="970"/>
      <c r="S565" s="971">
        <v>68680</v>
      </c>
      <c r="T565" s="973">
        <v>-7094</v>
      </c>
      <c r="U565" s="973">
        <v>61586</v>
      </c>
    </row>
    <row r="566" spans="1:21" x14ac:dyDescent="0.25">
      <c r="A566" s="967">
        <v>96241</v>
      </c>
      <c r="B566" s="968" t="s">
        <v>3202</v>
      </c>
      <c r="C566" s="969">
        <v>4.4700000000000002E-5</v>
      </c>
      <c r="D566" s="969">
        <v>4.6100000000000002E-5</v>
      </c>
      <c r="E566" s="1008">
        <v>22791</v>
      </c>
      <c r="F566" s="1011">
        <v>97840</v>
      </c>
      <c r="G566" s="970">
        <v>68289</v>
      </c>
      <c r="H566" s="970"/>
      <c r="I566" s="971">
        <v>3934</v>
      </c>
      <c r="J566" s="972">
        <v>16580</v>
      </c>
      <c r="K566" s="971">
        <v>9753</v>
      </c>
      <c r="L566" s="970">
        <v>5027</v>
      </c>
      <c r="M566" s="970"/>
      <c r="N566" s="971">
        <v>1933</v>
      </c>
      <c r="O566" s="971">
        <v>0</v>
      </c>
      <c r="P566" s="971">
        <v>0</v>
      </c>
      <c r="Q566" s="970">
        <v>4371</v>
      </c>
      <c r="R566" s="970"/>
      <c r="S566" s="971">
        <v>23014</v>
      </c>
      <c r="T566" s="973">
        <v>2407</v>
      </c>
      <c r="U566" s="973">
        <f>25420+1</f>
        <v>25421</v>
      </c>
    </row>
    <row r="567" spans="1:21" x14ac:dyDescent="0.25">
      <c r="A567" s="967">
        <v>96251</v>
      </c>
      <c r="B567" s="968" t="s">
        <v>3203</v>
      </c>
      <c r="C567" s="969">
        <v>9.3999999999999994E-5</v>
      </c>
      <c r="D567" s="969">
        <v>7.7100000000000004E-5</v>
      </c>
      <c r="E567" s="1008">
        <v>36737</v>
      </c>
      <c r="F567" s="1011">
        <v>163632</v>
      </c>
      <c r="G567" s="970">
        <v>143606</v>
      </c>
      <c r="H567" s="970"/>
      <c r="I567" s="971">
        <v>8273</v>
      </c>
      <c r="J567" s="972">
        <v>34868</v>
      </c>
      <c r="K567" s="971">
        <v>20509</v>
      </c>
      <c r="L567" s="970">
        <v>6198</v>
      </c>
      <c r="M567" s="970"/>
      <c r="N567" s="971">
        <v>4065</v>
      </c>
      <c r="O567" s="971">
        <v>0</v>
      </c>
      <c r="P567" s="971">
        <v>0</v>
      </c>
      <c r="Q567" s="970">
        <v>16886</v>
      </c>
      <c r="R567" s="970"/>
      <c r="S567" s="971">
        <v>48395</v>
      </c>
      <c r="T567" s="973">
        <v>-7102</v>
      </c>
      <c r="U567" s="973">
        <v>41293</v>
      </c>
    </row>
    <row r="568" spans="1:21" x14ac:dyDescent="0.25">
      <c r="A568" s="967">
        <v>96301</v>
      </c>
      <c r="B568" s="968" t="s">
        <v>3204</v>
      </c>
      <c r="C568" s="969">
        <v>4.3712999999999998E-3</v>
      </c>
      <c r="D568" s="969">
        <v>4.3785999999999999E-3</v>
      </c>
      <c r="E568" s="1008">
        <v>1938350</v>
      </c>
      <c r="F568" s="1011">
        <v>9292856</v>
      </c>
      <c r="G568" s="970">
        <v>6678136</v>
      </c>
      <c r="H568" s="970"/>
      <c r="I568" s="971">
        <v>384722</v>
      </c>
      <c r="J568" s="972">
        <v>1621460</v>
      </c>
      <c r="K568" s="971">
        <v>953730</v>
      </c>
      <c r="L568" s="970">
        <v>60786</v>
      </c>
      <c r="M568" s="970"/>
      <c r="N568" s="971">
        <v>189037</v>
      </c>
      <c r="O568" s="971">
        <v>0</v>
      </c>
      <c r="P568" s="971">
        <v>0</v>
      </c>
      <c r="Q568" s="970">
        <v>160488</v>
      </c>
      <c r="R568" s="970"/>
      <c r="S568" s="971">
        <v>2250538</v>
      </c>
      <c r="T568" s="973">
        <v>-27776</v>
      </c>
      <c r="U568" s="973">
        <v>2222762</v>
      </c>
    </row>
    <row r="569" spans="1:21" x14ac:dyDescent="0.25">
      <c r="A569" s="967">
        <v>96302</v>
      </c>
      <c r="B569" s="968" t="s">
        <v>3205</v>
      </c>
      <c r="C569" s="969">
        <v>2.5199999999999999E-5</v>
      </c>
      <c r="D569" s="969">
        <v>1.9199999999999999E-5</v>
      </c>
      <c r="E569" s="1008">
        <v>12121</v>
      </c>
      <c r="F569" s="1011">
        <v>40749</v>
      </c>
      <c r="G569" s="970">
        <v>38499</v>
      </c>
      <c r="H569" s="970"/>
      <c r="I569" s="971">
        <v>2218</v>
      </c>
      <c r="J569" s="972">
        <v>9347</v>
      </c>
      <c r="K569" s="971">
        <v>5498</v>
      </c>
      <c r="L569" s="970">
        <v>7399</v>
      </c>
      <c r="M569" s="970"/>
      <c r="N569" s="971">
        <v>1090</v>
      </c>
      <c r="O569" s="971">
        <v>0</v>
      </c>
      <c r="P569" s="971">
        <v>0</v>
      </c>
      <c r="Q569" s="970">
        <v>0</v>
      </c>
      <c r="R569" s="970"/>
      <c r="S569" s="971">
        <v>12974</v>
      </c>
      <c r="T569" s="973">
        <v>2631</v>
      </c>
      <c r="U569" s="973">
        <v>15605</v>
      </c>
    </row>
    <row r="570" spans="1:21" x14ac:dyDescent="0.25">
      <c r="A570" s="967">
        <v>96304</v>
      </c>
      <c r="B570" s="968" t="s">
        <v>3206</v>
      </c>
      <c r="C570" s="969">
        <v>4.5500000000000001E-5</v>
      </c>
      <c r="D570" s="969">
        <v>5.4599999999999999E-5</v>
      </c>
      <c r="E570" s="1008">
        <v>27294</v>
      </c>
      <c r="F570" s="1011">
        <v>115879</v>
      </c>
      <c r="G570" s="970">
        <v>69511</v>
      </c>
      <c r="H570" s="970"/>
      <c r="I570" s="971">
        <v>4005</v>
      </c>
      <c r="J570" s="972">
        <v>16877</v>
      </c>
      <c r="K570" s="971">
        <v>9927</v>
      </c>
      <c r="L570" s="970">
        <v>5469</v>
      </c>
      <c r="M570" s="970"/>
      <c r="N570" s="971">
        <v>1968</v>
      </c>
      <c r="O570" s="971">
        <v>0</v>
      </c>
      <c r="P570" s="971">
        <v>0</v>
      </c>
      <c r="Q570" s="970">
        <v>1092</v>
      </c>
      <c r="R570" s="970"/>
      <c r="S570" s="971">
        <v>23425</v>
      </c>
      <c r="T570" s="973">
        <v>2085</v>
      </c>
      <c r="U570" s="973">
        <v>25510</v>
      </c>
    </row>
    <row r="571" spans="1:21" x14ac:dyDescent="0.25">
      <c r="A571" s="967">
        <v>96305</v>
      </c>
      <c r="B571" s="968" t="s">
        <v>3207</v>
      </c>
      <c r="C571" s="969">
        <v>4.5500000000000001E-5</v>
      </c>
      <c r="D571" s="969">
        <v>4.8199999999999999E-5</v>
      </c>
      <c r="E571" s="1008">
        <v>30520</v>
      </c>
      <c r="F571" s="1011">
        <v>102297</v>
      </c>
      <c r="G571" s="970">
        <v>69511</v>
      </c>
      <c r="H571" s="970"/>
      <c r="I571" s="971">
        <v>4005</v>
      </c>
      <c r="J571" s="972">
        <v>16877</v>
      </c>
      <c r="K571" s="971">
        <v>9927</v>
      </c>
      <c r="L571" s="970">
        <v>13328</v>
      </c>
      <c r="M571" s="970"/>
      <c r="N571" s="971">
        <v>1968</v>
      </c>
      <c r="O571" s="971">
        <v>0</v>
      </c>
      <c r="P571" s="971">
        <v>0</v>
      </c>
      <c r="Q571" s="970">
        <v>0</v>
      </c>
      <c r="R571" s="970"/>
      <c r="S571" s="971">
        <v>23425</v>
      </c>
      <c r="T571" s="973">
        <v>4752</v>
      </c>
      <c r="U571" s="973">
        <v>28177</v>
      </c>
    </row>
    <row r="572" spans="1:21" x14ac:dyDescent="0.25">
      <c r="A572" s="967">
        <v>96310</v>
      </c>
      <c r="B572" s="968" t="s">
        <v>3208</v>
      </c>
      <c r="C572" s="969">
        <v>6.1099999999999994E-5</v>
      </c>
      <c r="D572" s="969">
        <v>4.88E-5</v>
      </c>
      <c r="E572" s="1008">
        <v>26767</v>
      </c>
      <c r="F572" s="1011">
        <v>103570</v>
      </c>
      <c r="G572" s="970">
        <v>93344</v>
      </c>
      <c r="H572" s="970"/>
      <c r="I572" s="971">
        <v>5377</v>
      </c>
      <c r="J572" s="972">
        <v>22664</v>
      </c>
      <c r="K572" s="971">
        <v>13331</v>
      </c>
      <c r="L572" s="970">
        <v>10507</v>
      </c>
      <c r="M572" s="970"/>
      <c r="N572" s="971">
        <v>2642</v>
      </c>
      <c r="O572" s="971">
        <v>0</v>
      </c>
      <c r="P572" s="971">
        <v>0</v>
      </c>
      <c r="Q572" s="970">
        <v>3055</v>
      </c>
      <c r="R572" s="970"/>
      <c r="S572" s="971">
        <v>31457</v>
      </c>
      <c r="T572" s="973">
        <v>3506</v>
      </c>
      <c r="U572" s="973">
        <v>34963</v>
      </c>
    </row>
    <row r="573" spans="1:21" x14ac:dyDescent="0.25">
      <c r="A573" s="967">
        <v>96311</v>
      </c>
      <c r="B573" s="968" t="s">
        <v>3209</v>
      </c>
      <c r="C573" s="969">
        <v>1.3113000000000001E-3</v>
      </c>
      <c r="D573" s="969">
        <v>1.4082999999999999E-3</v>
      </c>
      <c r="E573" s="1008">
        <v>595124</v>
      </c>
      <c r="F573" s="1011">
        <v>2988884</v>
      </c>
      <c r="G573" s="970">
        <v>2003303</v>
      </c>
      <c r="H573" s="970"/>
      <c r="I573" s="971">
        <v>115409</v>
      </c>
      <c r="J573" s="972">
        <v>486404</v>
      </c>
      <c r="K573" s="971">
        <v>286099</v>
      </c>
      <c r="L573" s="970">
        <v>11041</v>
      </c>
      <c r="M573" s="970"/>
      <c r="N573" s="971">
        <v>56707</v>
      </c>
      <c r="O573" s="971">
        <v>0</v>
      </c>
      <c r="P573" s="971">
        <v>0</v>
      </c>
      <c r="Q573" s="970">
        <v>139297</v>
      </c>
      <c r="R573" s="970"/>
      <c r="S573" s="971">
        <v>675115</v>
      </c>
      <c r="T573" s="973">
        <v>-33999</v>
      </c>
      <c r="U573" s="973">
        <v>641116</v>
      </c>
    </row>
    <row r="574" spans="1:21" x14ac:dyDescent="0.25">
      <c r="A574" s="967">
        <v>96312</v>
      </c>
      <c r="B574" s="968" t="s">
        <v>3210</v>
      </c>
      <c r="C574" s="969">
        <v>1.5999999999999999E-5</v>
      </c>
      <c r="D574" s="969">
        <v>1.5999999999999999E-6</v>
      </c>
      <c r="E574" s="1008">
        <v>4820</v>
      </c>
      <c r="F574" s="1011">
        <v>3396</v>
      </c>
      <c r="G574" s="970">
        <v>24444</v>
      </c>
      <c r="H574" s="970"/>
      <c r="I574" s="971">
        <v>1408</v>
      </c>
      <c r="J574" s="972">
        <v>5935</v>
      </c>
      <c r="K574" s="971">
        <v>3491</v>
      </c>
      <c r="L574" s="970">
        <v>7668</v>
      </c>
      <c r="M574" s="970"/>
      <c r="N574" s="971">
        <v>692</v>
      </c>
      <c r="O574" s="971">
        <v>0</v>
      </c>
      <c r="P574" s="971">
        <v>0</v>
      </c>
      <c r="Q574" s="970">
        <v>1864</v>
      </c>
      <c r="R574" s="970"/>
      <c r="S574" s="971">
        <v>8238</v>
      </c>
      <c r="T574" s="973">
        <v>374</v>
      </c>
      <c r="U574" s="973">
        <v>8612</v>
      </c>
    </row>
    <row r="575" spans="1:21" x14ac:dyDescent="0.25">
      <c r="A575" s="967">
        <v>96318</v>
      </c>
      <c r="B575" s="968" t="s">
        <v>3211</v>
      </c>
      <c r="C575" s="969">
        <v>2.1684999999999999E-3</v>
      </c>
      <c r="D575" s="969">
        <v>1.7782E-3</v>
      </c>
      <c r="E575" s="1008">
        <v>1061238</v>
      </c>
      <c r="F575" s="1011">
        <v>3773936</v>
      </c>
      <c r="G575" s="970">
        <v>3312867</v>
      </c>
      <c r="H575" s="970"/>
      <c r="I575" s="971">
        <v>190852</v>
      </c>
      <c r="J575" s="972">
        <v>804368</v>
      </c>
      <c r="K575" s="971">
        <v>473123</v>
      </c>
      <c r="L575" s="970">
        <v>7711758</v>
      </c>
      <c r="M575" s="970"/>
      <c r="N575" s="971">
        <v>93777</v>
      </c>
      <c r="O575" s="971">
        <v>0</v>
      </c>
      <c r="P575" s="971">
        <v>0</v>
      </c>
      <c r="Q575" s="970">
        <v>0</v>
      </c>
      <c r="R575" s="970"/>
      <c r="S575" s="971">
        <v>1116439</v>
      </c>
      <c r="T575" s="973">
        <v>2665103</v>
      </c>
      <c r="U575" s="973">
        <v>3781542</v>
      </c>
    </row>
    <row r="576" spans="1:21" x14ac:dyDescent="0.25">
      <c r="A576" s="967">
        <v>96321</v>
      </c>
      <c r="B576" s="968" t="s">
        <v>3212</v>
      </c>
      <c r="C576" s="969">
        <v>3.6900000000000002E-5</v>
      </c>
      <c r="D576" s="969">
        <v>3.7400000000000001E-5</v>
      </c>
      <c r="E576" s="1008">
        <v>18737</v>
      </c>
      <c r="F576" s="1011">
        <v>79375</v>
      </c>
      <c r="G576" s="970">
        <v>56373</v>
      </c>
      <c r="H576" s="970"/>
      <c r="I576" s="971">
        <v>3248</v>
      </c>
      <c r="J576" s="972">
        <v>13687</v>
      </c>
      <c r="K576" s="971">
        <v>8051</v>
      </c>
      <c r="L576" s="970">
        <v>1642</v>
      </c>
      <c r="M576" s="970"/>
      <c r="N576" s="971">
        <v>1596</v>
      </c>
      <c r="O576" s="971">
        <v>0</v>
      </c>
      <c r="P576" s="971">
        <v>0</v>
      </c>
      <c r="Q576" s="970">
        <v>2449</v>
      </c>
      <c r="R576" s="970"/>
      <c r="S576" s="971">
        <v>18998</v>
      </c>
      <c r="T576" s="973">
        <v>-489</v>
      </c>
      <c r="U576" s="973">
        <v>18509</v>
      </c>
    </row>
    <row r="577" spans="1:21" x14ac:dyDescent="0.25">
      <c r="A577" s="967">
        <v>96331</v>
      </c>
      <c r="B577" s="968" t="s">
        <v>3213</v>
      </c>
      <c r="C577" s="969">
        <v>7.0850000000000004E-4</v>
      </c>
      <c r="D577" s="969">
        <v>7.1699999999999997E-4</v>
      </c>
      <c r="E577" s="1008">
        <v>321182</v>
      </c>
      <c r="F577" s="1011">
        <v>1521714</v>
      </c>
      <c r="G577" s="970">
        <v>1082392</v>
      </c>
      <c r="H577" s="970"/>
      <c r="I577" s="971">
        <v>62356</v>
      </c>
      <c r="J577" s="972">
        <v>262806</v>
      </c>
      <c r="K577" s="971">
        <v>154581</v>
      </c>
      <c r="L577" s="970">
        <v>3107</v>
      </c>
      <c r="M577" s="970"/>
      <c r="N577" s="971">
        <v>30639</v>
      </c>
      <c r="O577" s="971">
        <v>0</v>
      </c>
      <c r="P577" s="971">
        <v>0</v>
      </c>
      <c r="Q577" s="970">
        <v>53524</v>
      </c>
      <c r="R577" s="970"/>
      <c r="S577" s="971">
        <v>364767</v>
      </c>
      <c r="T577" s="973">
        <v>-22322</v>
      </c>
      <c r="U577" s="973">
        <v>342445</v>
      </c>
    </row>
    <row r="578" spans="1:21" x14ac:dyDescent="0.25">
      <c r="A578" s="967">
        <v>96341</v>
      </c>
      <c r="B578" s="968" t="s">
        <v>3214</v>
      </c>
      <c r="C578" s="969">
        <v>8.3800000000000004E-5</v>
      </c>
      <c r="D578" s="969">
        <v>9.1600000000000004E-5</v>
      </c>
      <c r="E578" s="1008">
        <v>35036</v>
      </c>
      <c r="F578" s="1011">
        <v>194406</v>
      </c>
      <c r="G578" s="970">
        <v>128023</v>
      </c>
      <c r="H578" s="970"/>
      <c r="I578" s="971">
        <v>7375</v>
      </c>
      <c r="J578" s="972">
        <v>31084</v>
      </c>
      <c r="K578" s="971">
        <v>18283</v>
      </c>
      <c r="L578" s="970">
        <v>8694</v>
      </c>
      <c r="M578" s="970"/>
      <c r="N578" s="971">
        <v>3624</v>
      </c>
      <c r="O578" s="971">
        <v>0</v>
      </c>
      <c r="P578" s="971">
        <v>0</v>
      </c>
      <c r="Q578" s="970">
        <v>13544</v>
      </c>
      <c r="R578" s="970"/>
      <c r="S578" s="971">
        <v>43144</v>
      </c>
      <c r="T578" s="973">
        <v>-3090</v>
      </c>
      <c r="U578" s="973">
        <v>40054</v>
      </c>
    </row>
    <row r="579" spans="1:21" x14ac:dyDescent="0.25">
      <c r="A579" s="967">
        <v>96351</v>
      </c>
      <c r="B579" s="968" t="s">
        <v>3215</v>
      </c>
      <c r="C579" s="969">
        <v>1.0616E-3</v>
      </c>
      <c r="D579" s="969">
        <v>1.0736000000000001E-3</v>
      </c>
      <c r="E579" s="1008">
        <v>488441</v>
      </c>
      <c r="F579" s="1011">
        <v>2278539</v>
      </c>
      <c r="G579" s="970">
        <v>1621831</v>
      </c>
      <c r="H579" s="970"/>
      <c r="I579" s="971">
        <v>93432</v>
      </c>
      <c r="J579" s="972">
        <v>393782</v>
      </c>
      <c r="K579" s="971">
        <v>231620</v>
      </c>
      <c r="L579" s="970">
        <v>5421</v>
      </c>
      <c r="M579" s="970"/>
      <c r="N579" s="971">
        <v>45909</v>
      </c>
      <c r="O579" s="971">
        <v>0</v>
      </c>
      <c r="P579" s="971">
        <v>0</v>
      </c>
      <c r="Q579" s="970">
        <v>28542</v>
      </c>
      <c r="R579" s="970"/>
      <c r="S579" s="971">
        <v>546558</v>
      </c>
      <c r="T579" s="973">
        <v>-5218</v>
      </c>
      <c r="U579" s="973">
        <v>541340</v>
      </c>
    </row>
    <row r="580" spans="1:21" x14ac:dyDescent="0.25">
      <c r="A580" s="967">
        <v>96361</v>
      </c>
      <c r="B580" s="968" t="s">
        <v>3216</v>
      </c>
      <c r="C580" s="969">
        <v>5.5699999999999999E-5</v>
      </c>
      <c r="D580" s="969">
        <v>5.8900000000000002E-5</v>
      </c>
      <c r="E580" s="1008">
        <v>24289</v>
      </c>
      <c r="F580" s="1011">
        <v>125006</v>
      </c>
      <c r="G580" s="970">
        <v>85094</v>
      </c>
      <c r="H580" s="970"/>
      <c r="I580" s="971">
        <v>4902</v>
      </c>
      <c r="J580" s="972">
        <v>20661</v>
      </c>
      <c r="K580" s="971">
        <v>12153</v>
      </c>
      <c r="L580" s="970">
        <v>3403</v>
      </c>
      <c r="M580" s="970"/>
      <c r="N580" s="971">
        <v>2409</v>
      </c>
      <c r="O580" s="971">
        <v>0</v>
      </c>
      <c r="P580" s="971">
        <v>0</v>
      </c>
      <c r="Q580" s="970">
        <v>3423</v>
      </c>
      <c r="R580" s="970"/>
      <c r="S580" s="971">
        <v>28677</v>
      </c>
      <c r="T580" s="973">
        <v>936</v>
      </c>
      <c r="U580" s="973">
        <f>29612+1</f>
        <v>29613</v>
      </c>
    </row>
    <row r="581" spans="1:21" x14ac:dyDescent="0.25">
      <c r="A581" s="967">
        <v>96371</v>
      </c>
      <c r="B581" s="968" t="s">
        <v>3217</v>
      </c>
      <c r="C581" s="969">
        <v>1.5249999999999999E-4</v>
      </c>
      <c r="D581" s="969">
        <v>1.6359999999999999E-4</v>
      </c>
      <c r="E581" s="1008">
        <v>67276</v>
      </c>
      <c r="F581" s="1011">
        <v>347214</v>
      </c>
      <c r="G581" s="970">
        <v>232978</v>
      </c>
      <c r="H581" s="970"/>
      <c r="I581" s="971">
        <v>13422</v>
      </c>
      <c r="J581" s="972">
        <v>56568</v>
      </c>
      <c r="K581" s="971">
        <v>33272</v>
      </c>
      <c r="L581" s="970">
        <v>1335</v>
      </c>
      <c r="M581" s="970"/>
      <c r="N581" s="971">
        <v>6595</v>
      </c>
      <c r="O581" s="971">
        <v>0</v>
      </c>
      <c r="P581" s="971">
        <v>0</v>
      </c>
      <c r="Q581" s="970">
        <v>14966</v>
      </c>
      <c r="R581" s="970"/>
      <c r="S581" s="971">
        <v>78514</v>
      </c>
      <c r="T581" s="973">
        <v>-3158</v>
      </c>
      <c r="U581" s="973">
        <v>75356</v>
      </c>
    </row>
    <row r="582" spans="1:21" x14ac:dyDescent="0.25">
      <c r="A582" s="967">
        <v>96381</v>
      </c>
      <c r="B582" s="968" t="s">
        <v>3218</v>
      </c>
      <c r="C582" s="969">
        <v>3.2100000000000001E-5</v>
      </c>
      <c r="D582" s="969">
        <v>3.26E-5</v>
      </c>
      <c r="E582" s="1008">
        <v>15357</v>
      </c>
      <c r="F582" s="1011">
        <v>69188</v>
      </c>
      <c r="G582" s="970">
        <v>49040</v>
      </c>
      <c r="H582" s="970"/>
      <c r="I582" s="971">
        <v>2825</v>
      </c>
      <c r="J582" s="972">
        <v>11907</v>
      </c>
      <c r="K582" s="971">
        <v>7004</v>
      </c>
      <c r="L582" s="970">
        <v>235</v>
      </c>
      <c r="M582" s="970"/>
      <c r="N582" s="971">
        <v>1388</v>
      </c>
      <c r="O582" s="971">
        <v>0</v>
      </c>
      <c r="P582" s="971">
        <v>0</v>
      </c>
      <c r="Q582" s="970">
        <v>1858</v>
      </c>
      <c r="R582" s="970"/>
      <c r="S582" s="971">
        <v>16526</v>
      </c>
      <c r="T582" s="973">
        <v>-1164</v>
      </c>
      <c r="U582" s="973">
        <v>15362</v>
      </c>
    </row>
    <row r="583" spans="1:21" x14ac:dyDescent="0.25">
      <c r="A583" s="967">
        <v>96391</v>
      </c>
      <c r="B583" s="968" t="s">
        <v>3219</v>
      </c>
      <c r="C583" s="969">
        <v>2.029E-4</v>
      </c>
      <c r="D583" s="969">
        <v>1.807E-4</v>
      </c>
      <c r="E583" s="1008">
        <v>74519</v>
      </c>
      <c r="F583" s="1011">
        <v>383506</v>
      </c>
      <c r="G583" s="970">
        <v>309975</v>
      </c>
      <c r="H583" s="970"/>
      <c r="I583" s="971">
        <v>17857</v>
      </c>
      <c r="J583" s="972">
        <v>75263</v>
      </c>
      <c r="K583" s="971">
        <v>44269</v>
      </c>
      <c r="L583" s="970">
        <v>9831</v>
      </c>
      <c r="M583" s="970"/>
      <c r="N583" s="971">
        <v>8774</v>
      </c>
      <c r="O583" s="971">
        <v>0</v>
      </c>
      <c r="P583" s="971">
        <v>0</v>
      </c>
      <c r="Q583" s="970">
        <v>18208</v>
      </c>
      <c r="R583" s="970"/>
      <c r="S583" s="971">
        <v>104462</v>
      </c>
      <c r="T583" s="973">
        <v>2008</v>
      </c>
      <c r="U583" s="973">
        <v>106470</v>
      </c>
    </row>
    <row r="584" spans="1:21" x14ac:dyDescent="0.25">
      <c r="A584" s="967">
        <v>96401</v>
      </c>
      <c r="B584" s="968" t="s">
        <v>3220</v>
      </c>
      <c r="C584" s="969">
        <v>4.5672000000000004E-3</v>
      </c>
      <c r="D584" s="969">
        <v>4.5900000000000003E-3</v>
      </c>
      <c r="E584" s="1008">
        <v>2040109</v>
      </c>
      <c r="F584" s="1011">
        <v>9741518</v>
      </c>
      <c r="G584" s="970">
        <v>6977416</v>
      </c>
      <c r="H584" s="970"/>
      <c r="I584" s="971">
        <v>401964</v>
      </c>
      <c r="J584" s="972">
        <v>1694125</v>
      </c>
      <c r="K584" s="971">
        <v>996472</v>
      </c>
      <c r="L584" s="970">
        <v>15869</v>
      </c>
      <c r="M584" s="970"/>
      <c r="N584" s="971">
        <v>197509</v>
      </c>
      <c r="O584" s="971">
        <v>0</v>
      </c>
      <c r="P584" s="971">
        <v>0</v>
      </c>
      <c r="Q584" s="970">
        <v>86285</v>
      </c>
      <c r="R584" s="970"/>
      <c r="S584" s="971">
        <v>2351396</v>
      </c>
      <c r="T584" s="973">
        <v>-10848</v>
      </c>
      <c r="U584" s="973">
        <v>2340548</v>
      </c>
    </row>
    <row r="585" spans="1:21" x14ac:dyDescent="0.25">
      <c r="A585" s="967">
        <v>96404</v>
      </c>
      <c r="B585" s="968" t="s">
        <v>3221</v>
      </c>
      <c r="C585" s="969">
        <v>1.026E-4</v>
      </c>
      <c r="D585" s="969">
        <v>9.8800000000000003E-5</v>
      </c>
      <c r="E585" s="1008">
        <v>57855</v>
      </c>
      <c r="F585" s="1011">
        <v>209687</v>
      </c>
      <c r="G585" s="970">
        <v>156744</v>
      </c>
      <c r="H585" s="970"/>
      <c r="I585" s="971">
        <v>9030</v>
      </c>
      <c r="J585" s="972">
        <v>38058</v>
      </c>
      <c r="K585" s="971">
        <v>22385</v>
      </c>
      <c r="L585" s="970">
        <v>26983</v>
      </c>
      <c r="M585" s="970"/>
      <c r="N585" s="971">
        <v>4437</v>
      </c>
      <c r="O585" s="971">
        <v>0</v>
      </c>
      <c r="P585" s="971">
        <v>0</v>
      </c>
      <c r="Q585" s="970">
        <v>0</v>
      </c>
      <c r="R585" s="970"/>
      <c r="S585" s="971">
        <v>52823</v>
      </c>
      <c r="T585" s="973">
        <v>10540</v>
      </c>
      <c r="U585" s="973">
        <v>63363</v>
      </c>
    </row>
    <row r="586" spans="1:21" x14ac:dyDescent="0.25">
      <c r="A586" s="967">
        <v>96405</v>
      </c>
      <c r="B586" s="968" t="s">
        <v>3222</v>
      </c>
      <c r="C586" s="969">
        <v>1.6139999999999999E-4</v>
      </c>
      <c r="D586" s="969">
        <v>1.7760000000000001E-4</v>
      </c>
      <c r="E586" s="1008">
        <v>86618</v>
      </c>
      <c r="F586" s="1011">
        <v>376927</v>
      </c>
      <c r="G586" s="970">
        <v>246574</v>
      </c>
      <c r="H586" s="970"/>
      <c r="I586" s="971">
        <v>14205</v>
      </c>
      <c r="J586" s="972">
        <v>59869</v>
      </c>
      <c r="K586" s="971">
        <v>35214</v>
      </c>
      <c r="L586" s="970">
        <v>10221</v>
      </c>
      <c r="M586" s="970"/>
      <c r="N586" s="971">
        <v>6980</v>
      </c>
      <c r="O586" s="971">
        <v>0</v>
      </c>
      <c r="P586" s="971">
        <v>0</v>
      </c>
      <c r="Q586" s="970">
        <v>2204</v>
      </c>
      <c r="R586" s="970"/>
      <c r="S586" s="971">
        <v>83096</v>
      </c>
      <c r="T586" s="973">
        <v>4354</v>
      </c>
      <c r="U586" s="973">
        <v>87450</v>
      </c>
    </row>
    <row r="587" spans="1:21" x14ac:dyDescent="0.25">
      <c r="A587" s="967">
        <v>96411</v>
      </c>
      <c r="B587" s="968" t="s">
        <v>3223</v>
      </c>
      <c r="C587" s="969">
        <v>7.2299999999999996E-5</v>
      </c>
      <c r="D587" s="969">
        <v>5.66E-5</v>
      </c>
      <c r="E587" s="1008">
        <v>28784</v>
      </c>
      <c r="F587" s="1011">
        <v>120124</v>
      </c>
      <c r="G587" s="970">
        <v>110454</v>
      </c>
      <c r="H587" s="970"/>
      <c r="I587" s="971">
        <v>6363</v>
      </c>
      <c r="J587" s="972">
        <v>26818</v>
      </c>
      <c r="K587" s="971">
        <v>15774</v>
      </c>
      <c r="L587" s="970">
        <v>12280</v>
      </c>
      <c r="M587" s="970"/>
      <c r="N587" s="971">
        <v>3127</v>
      </c>
      <c r="O587" s="971">
        <v>0</v>
      </c>
      <c r="P587" s="971">
        <v>0</v>
      </c>
      <c r="Q587" s="970">
        <v>4004</v>
      </c>
      <c r="R587" s="970"/>
      <c r="S587" s="971">
        <v>37223</v>
      </c>
      <c r="T587" s="973">
        <v>2528</v>
      </c>
      <c r="U587" s="973">
        <v>39751</v>
      </c>
    </row>
    <row r="588" spans="1:21" x14ac:dyDescent="0.25">
      <c r="A588" s="967">
        <v>96421</v>
      </c>
      <c r="B588" s="968" t="s">
        <v>3224</v>
      </c>
      <c r="C588" s="969">
        <v>4.2529999999999998E-4</v>
      </c>
      <c r="D588" s="969">
        <v>4.2860000000000001E-4</v>
      </c>
      <c r="E588" s="1008">
        <v>170404</v>
      </c>
      <c r="F588" s="1011">
        <v>909633</v>
      </c>
      <c r="G588" s="970">
        <v>649741</v>
      </c>
      <c r="H588" s="970"/>
      <c r="I588" s="971">
        <v>37431</v>
      </c>
      <c r="J588" s="972">
        <v>157758</v>
      </c>
      <c r="K588" s="971">
        <v>92792</v>
      </c>
      <c r="L588" s="970">
        <v>0</v>
      </c>
      <c r="M588" s="970"/>
      <c r="N588" s="971">
        <v>18392</v>
      </c>
      <c r="O588" s="971">
        <v>0</v>
      </c>
      <c r="P588" s="971">
        <v>0</v>
      </c>
      <c r="Q588" s="970">
        <v>78762</v>
      </c>
      <c r="R588" s="970"/>
      <c r="S588" s="971">
        <v>218963</v>
      </c>
      <c r="T588" s="973">
        <v>-35149</v>
      </c>
      <c r="U588" s="973">
        <v>183814</v>
      </c>
    </row>
    <row r="589" spans="1:21" x14ac:dyDescent="0.25">
      <c r="A589" s="967">
        <v>96431</v>
      </c>
      <c r="B589" s="968" t="s">
        <v>3225</v>
      </c>
      <c r="C589" s="969">
        <v>4.2799999999999997E-5</v>
      </c>
      <c r="D589" s="969">
        <v>5.6100000000000002E-5</v>
      </c>
      <c r="E589" s="1008">
        <v>21290</v>
      </c>
      <c r="F589" s="1011">
        <v>119063</v>
      </c>
      <c r="G589" s="970">
        <v>65387</v>
      </c>
      <c r="H589" s="970"/>
      <c r="I589" s="971">
        <v>3767</v>
      </c>
      <c r="J589" s="972">
        <v>15876</v>
      </c>
      <c r="K589" s="971">
        <v>9338</v>
      </c>
      <c r="L589" s="970">
        <v>6277</v>
      </c>
      <c r="M589" s="970"/>
      <c r="N589" s="971">
        <v>1851</v>
      </c>
      <c r="O589" s="971">
        <v>0</v>
      </c>
      <c r="P589" s="971">
        <v>0</v>
      </c>
      <c r="Q589" s="970">
        <v>10135</v>
      </c>
      <c r="R589" s="970"/>
      <c r="S589" s="971">
        <v>22035</v>
      </c>
      <c r="T589" s="973">
        <v>-1596</v>
      </c>
      <c r="U589" s="973">
        <v>20439</v>
      </c>
    </row>
    <row r="590" spans="1:21" x14ac:dyDescent="0.25">
      <c r="A590" s="967">
        <v>96441</v>
      </c>
      <c r="B590" s="968" t="s">
        <v>3226</v>
      </c>
      <c r="C590" s="969">
        <v>2.97E-5</v>
      </c>
      <c r="D590" s="969">
        <v>3.1199999999999999E-5</v>
      </c>
      <c r="E590" s="1008">
        <v>18707</v>
      </c>
      <c r="F590" s="1011">
        <v>66217</v>
      </c>
      <c r="G590" s="970">
        <v>45373</v>
      </c>
      <c r="H590" s="970"/>
      <c r="I590" s="971">
        <v>2614</v>
      </c>
      <c r="J590" s="972">
        <v>11017</v>
      </c>
      <c r="K590" s="971">
        <v>6480</v>
      </c>
      <c r="L590" s="970">
        <v>7489</v>
      </c>
      <c r="M590" s="970"/>
      <c r="N590" s="971">
        <v>1284</v>
      </c>
      <c r="O590" s="971">
        <v>0</v>
      </c>
      <c r="P590" s="971">
        <v>0</v>
      </c>
      <c r="Q590" s="970">
        <v>440</v>
      </c>
      <c r="R590" s="970"/>
      <c r="S590" s="971">
        <v>15291</v>
      </c>
      <c r="T590" s="973">
        <v>2815</v>
      </c>
      <c r="U590" s="973">
        <v>18106</v>
      </c>
    </row>
    <row r="591" spans="1:21" x14ac:dyDescent="0.25">
      <c r="A591" s="967">
        <v>96451</v>
      </c>
      <c r="B591" s="968" t="s">
        <v>3227</v>
      </c>
      <c r="C591" s="969">
        <v>2.0299999999999999E-5</v>
      </c>
      <c r="D591" s="969">
        <v>1.38E-5</v>
      </c>
      <c r="E591" s="1008">
        <v>8566</v>
      </c>
      <c r="F591" s="1011">
        <v>29288</v>
      </c>
      <c r="G591" s="970">
        <v>31013</v>
      </c>
      <c r="H591" s="970"/>
      <c r="I591" s="971">
        <v>1787</v>
      </c>
      <c r="J591" s="972">
        <v>7530</v>
      </c>
      <c r="K591" s="971">
        <v>4429</v>
      </c>
      <c r="L591" s="970">
        <v>6431</v>
      </c>
      <c r="M591" s="970"/>
      <c r="N591" s="971">
        <v>878</v>
      </c>
      <c r="O591" s="971">
        <v>0</v>
      </c>
      <c r="P591" s="971">
        <v>0</v>
      </c>
      <c r="Q591" s="970">
        <v>1319</v>
      </c>
      <c r="R591" s="970"/>
      <c r="S591" s="971">
        <v>10451</v>
      </c>
      <c r="T591" s="973">
        <v>994</v>
      </c>
      <c r="U591" s="973">
        <v>11445</v>
      </c>
    </row>
    <row r="592" spans="1:21" x14ac:dyDescent="0.25">
      <c r="A592" s="967">
        <v>96461</v>
      </c>
      <c r="B592" s="968" t="s">
        <v>3228</v>
      </c>
      <c r="C592" s="969">
        <v>1.361E-4</v>
      </c>
      <c r="D592" s="969">
        <v>1.3410000000000001E-4</v>
      </c>
      <c r="E592" s="1008">
        <v>63932</v>
      </c>
      <c r="F592" s="1011">
        <v>284605</v>
      </c>
      <c r="G592" s="970">
        <v>207923</v>
      </c>
      <c r="H592" s="970"/>
      <c r="I592" s="971">
        <v>11978</v>
      </c>
      <c r="J592" s="972">
        <v>50484</v>
      </c>
      <c r="K592" s="971">
        <v>29694</v>
      </c>
      <c r="L592" s="970">
        <v>6504</v>
      </c>
      <c r="M592" s="970"/>
      <c r="N592" s="971">
        <v>5886</v>
      </c>
      <c r="O592" s="971">
        <v>0</v>
      </c>
      <c r="P592" s="971">
        <v>0</v>
      </c>
      <c r="Q592" s="970">
        <v>18452</v>
      </c>
      <c r="R592" s="970"/>
      <c r="S592" s="971">
        <v>70070</v>
      </c>
      <c r="T592" s="973">
        <v>-3923</v>
      </c>
      <c r="U592" s="973">
        <f>66148-1</f>
        <v>66147</v>
      </c>
    </row>
    <row r="593" spans="1:21" x14ac:dyDescent="0.25">
      <c r="A593" s="967">
        <v>96501</v>
      </c>
      <c r="B593" s="968" t="s">
        <v>3229</v>
      </c>
      <c r="C593" s="969">
        <v>1.44739E-2</v>
      </c>
      <c r="D593" s="969">
        <v>1.4156999999999999E-2</v>
      </c>
      <c r="E593" s="1008">
        <v>6399556</v>
      </c>
      <c r="F593" s="1011">
        <v>30045897</v>
      </c>
      <c r="G593" s="970">
        <v>22112110</v>
      </c>
      <c r="H593" s="970"/>
      <c r="I593" s="971">
        <v>1273862</v>
      </c>
      <c r="J593" s="972">
        <v>5368847</v>
      </c>
      <c r="K593" s="971">
        <v>3157916</v>
      </c>
      <c r="L593" s="970">
        <v>365065</v>
      </c>
      <c r="M593" s="970"/>
      <c r="N593" s="971">
        <v>625924</v>
      </c>
      <c r="O593" s="971">
        <v>0</v>
      </c>
      <c r="P593" s="971">
        <v>0</v>
      </c>
      <c r="Q593" s="970">
        <v>292930</v>
      </c>
      <c r="R593" s="970"/>
      <c r="S593" s="971">
        <v>7451801</v>
      </c>
      <c r="T593" s="973">
        <v>150498</v>
      </c>
      <c r="U593" s="973">
        <f>7602298+1</f>
        <v>7602299</v>
      </c>
    </row>
    <row r="594" spans="1:21" x14ac:dyDescent="0.25">
      <c r="A594" s="967">
        <v>96502</v>
      </c>
      <c r="B594" s="968" t="s">
        <v>3230</v>
      </c>
      <c r="C594" s="969">
        <v>4.2440000000000002E-4</v>
      </c>
      <c r="D594" s="969">
        <v>4.2309999999999998E-4</v>
      </c>
      <c r="E594" s="1008">
        <v>198105</v>
      </c>
      <c r="F594" s="1011">
        <v>897960</v>
      </c>
      <c r="G594" s="970">
        <v>648366</v>
      </c>
      <c r="H594" s="970"/>
      <c r="I594" s="971">
        <v>37352</v>
      </c>
      <c r="J594" s="972">
        <v>157424</v>
      </c>
      <c r="K594" s="971">
        <v>92596</v>
      </c>
      <c r="L594" s="970">
        <v>39317</v>
      </c>
      <c r="M594" s="970"/>
      <c r="N594" s="971">
        <v>18353</v>
      </c>
      <c r="O594" s="971">
        <v>0</v>
      </c>
      <c r="P594" s="971">
        <v>0</v>
      </c>
      <c r="Q594" s="970">
        <v>0</v>
      </c>
      <c r="R594" s="970"/>
      <c r="S594" s="971">
        <v>218500</v>
      </c>
      <c r="T594" s="973">
        <v>23185</v>
      </c>
      <c r="U594" s="973">
        <v>241685</v>
      </c>
    </row>
    <row r="595" spans="1:21" x14ac:dyDescent="0.25">
      <c r="A595" s="967">
        <v>96503</v>
      </c>
      <c r="B595" s="968" t="s">
        <v>3692</v>
      </c>
      <c r="C595" s="969">
        <v>3.0039999999999998E-4</v>
      </c>
      <c r="D595" s="969">
        <v>3.3700000000000001E-4</v>
      </c>
      <c r="E595" s="1008">
        <v>293863</v>
      </c>
      <c r="F595" s="1011">
        <v>0</v>
      </c>
      <c r="G595" s="970">
        <v>458928</v>
      </c>
      <c r="H595" s="970"/>
      <c r="I595" s="971">
        <v>26439</v>
      </c>
      <c r="J595" s="972">
        <v>111428</v>
      </c>
      <c r="K595" s="971">
        <v>65541</v>
      </c>
      <c r="L595" s="970">
        <v>240013</v>
      </c>
      <c r="M595" s="970"/>
      <c r="N595" s="971">
        <v>12991</v>
      </c>
      <c r="O595" s="971">
        <v>0</v>
      </c>
      <c r="P595" s="971">
        <v>0</v>
      </c>
      <c r="Q595" s="970">
        <v>14874</v>
      </c>
      <c r="R595" s="970"/>
      <c r="S595" s="971">
        <v>154659</v>
      </c>
      <c r="T595" s="973">
        <v>71167</v>
      </c>
      <c r="U595" s="973">
        <v>225826</v>
      </c>
    </row>
    <row r="596" spans="1:21" x14ac:dyDescent="0.25">
      <c r="A596" s="967">
        <v>96504</v>
      </c>
      <c r="B596" s="968" t="s">
        <v>3232</v>
      </c>
      <c r="C596" s="969">
        <v>4.1760000000000001E-4</v>
      </c>
      <c r="D596" s="969">
        <v>3.6039999999999998E-4</v>
      </c>
      <c r="E596" s="1008">
        <v>189892</v>
      </c>
      <c r="F596" s="1011">
        <v>764890</v>
      </c>
      <c r="G596" s="970">
        <v>637977</v>
      </c>
      <c r="H596" s="970"/>
      <c r="I596" s="971">
        <v>36753</v>
      </c>
      <c r="J596" s="972">
        <v>154902</v>
      </c>
      <c r="K596" s="971">
        <v>91112</v>
      </c>
      <c r="L596" s="970">
        <v>44166</v>
      </c>
      <c r="M596" s="970"/>
      <c r="N596" s="971">
        <v>18059</v>
      </c>
      <c r="O596" s="971">
        <v>0</v>
      </c>
      <c r="P596" s="971">
        <v>0</v>
      </c>
      <c r="Q596" s="970">
        <v>4428</v>
      </c>
      <c r="R596" s="970"/>
      <c r="S596" s="971">
        <v>214999</v>
      </c>
      <c r="T596" s="973">
        <v>11523</v>
      </c>
      <c r="U596" s="973">
        <f>226521+1</f>
        <v>226522</v>
      </c>
    </row>
    <row r="597" spans="1:21" x14ac:dyDescent="0.25">
      <c r="A597" s="967">
        <v>96507</v>
      </c>
      <c r="B597" s="968" t="s">
        <v>3233</v>
      </c>
      <c r="C597" s="969">
        <v>2.2147E-3</v>
      </c>
      <c r="D597" s="969">
        <v>2.2604999999999999E-3</v>
      </c>
      <c r="E597" s="1008">
        <v>1026624</v>
      </c>
      <c r="F597" s="1011">
        <v>4797538</v>
      </c>
      <c r="G597" s="970">
        <v>3383448</v>
      </c>
      <c r="H597" s="970"/>
      <c r="I597" s="971">
        <v>194918</v>
      </c>
      <c r="J597" s="972">
        <v>821505</v>
      </c>
      <c r="K597" s="971">
        <v>483203</v>
      </c>
      <c r="L597" s="970">
        <v>115759</v>
      </c>
      <c r="M597" s="970"/>
      <c r="N597" s="971">
        <v>95775</v>
      </c>
      <c r="O597" s="971">
        <v>0</v>
      </c>
      <c r="P597" s="971">
        <v>0</v>
      </c>
      <c r="Q597" s="970">
        <v>22795</v>
      </c>
      <c r="R597" s="970"/>
      <c r="S597" s="971">
        <v>1140225</v>
      </c>
      <c r="T597" s="973">
        <v>58867</v>
      </c>
      <c r="U597" s="973">
        <v>1199092</v>
      </c>
    </row>
    <row r="598" spans="1:21" x14ac:dyDescent="0.25">
      <c r="A598" s="967">
        <v>96508</v>
      </c>
      <c r="B598" s="968" t="s">
        <v>3234</v>
      </c>
      <c r="C598" s="969">
        <v>8.6000000000000007E-6</v>
      </c>
      <c r="D598" s="969">
        <v>9.7999999999999993E-6</v>
      </c>
      <c r="E598" s="1008">
        <v>11086</v>
      </c>
      <c r="F598" s="1011">
        <v>20799</v>
      </c>
      <c r="G598" s="970">
        <v>13138</v>
      </c>
      <c r="H598" s="970"/>
      <c r="I598" s="971">
        <v>757</v>
      </c>
      <c r="J598" s="972">
        <v>3190</v>
      </c>
      <c r="K598" s="971">
        <v>1876</v>
      </c>
      <c r="L598" s="970">
        <v>11113</v>
      </c>
      <c r="M598" s="970"/>
      <c r="N598" s="971">
        <v>372</v>
      </c>
      <c r="O598" s="971">
        <v>0</v>
      </c>
      <c r="P598" s="971">
        <v>0</v>
      </c>
      <c r="Q598" s="970">
        <v>0</v>
      </c>
      <c r="R598" s="970"/>
      <c r="S598" s="971">
        <v>4428</v>
      </c>
      <c r="T598" s="973">
        <v>4402</v>
      </c>
      <c r="U598" s="973">
        <v>8830</v>
      </c>
    </row>
    <row r="599" spans="1:21" x14ac:dyDescent="0.25">
      <c r="A599" s="967">
        <v>96511</v>
      </c>
      <c r="B599" s="968" t="s">
        <v>3235</v>
      </c>
      <c r="C599" s="969">
        <v>6.2069999999999996E-4</v>
      </c>
      <c r="D599" s="969">
        <v>6.221E-4</v>
      </c>
      <c r="E599" s="1008">
        <v>276057</v>
      </c>
      <c r="F599" s="1011">
        <v>1320305</v>
      </c>
      <c r="G599" s="970">
        <v>948258</v>
      </c>
      <c r="H599" s="970"/>
      <c r="I599" s="971">
        <v>54628</v>
      </c>
      <c r="J599" s="972">
        <v>230238</v>
      </c>
      <c r="K599" s="971">
        <v>135424</v>
      </c>
      <c r="L599" s="970">
        <v>0</v>
      </c>
      <c r="M599" s="970"/>
      <c r="N599" s="971">
        <v>26842</v>
      </c>
      <c r="O599" s="971">
        <v>0</v>
      </c>
      <c r="P599" s="971">
        <v>0</v>
      </c>
      <c r="Q599" s="970">
        <v>95843</v>
      </c>
      <c r="R599" s="970"/>
      <c r="S599" s="971">
        <v>319564</v>
      </c>
      <c r="T599" s="973">
        <v>-49396</v>
      </c>
      <c r="U599" s="973">
        <v>270168</v>
      </c>
    </row>
    <row r="600" spans="1:21" x14ac:dyDescent="0.25">
      <c r="A600" s="967">
        <v>96512</v>
      </c>
      <c r="B600" s="968" t="s">
        <v>3236</v>
      </c>
      <c r="C600" s="969">
        <v>1.5119999999999999E-4</v>
      </c>
      <c r="D600" s="969">
        <v>1.7000000000000001E-4</v>
      </c>
      <c r="E600" s="1008">
        <v>72715</v>
      </c>
      <c r="F600" s="1011">
        <v>360797</v>
      </c>
      <c r="G600" s="970">
        <v>230992</v>
      </c>
      <c r="H600" s="970"/>
      <c r="I600" s="971">
        <v>13307</v>
      </c>
      <c r="J600" s="972">
        <v>56085</v>
      </c>
      <c r="K600" s="971">
        <v>32989</v>
      </c>
      <c r="L600" s="970">
        <v>5578</v>
      </c>
      <c r="M600" s="970"/>
      <c r="N600" s="971">
        <v>6539</v>
      </c>
      <c r="O600" s="971">
        <v>0</v>
      </c>
      <c r="P600" s="971">
        <v>0</v>
      </c>
      <c r="Q600" s="970">
        <v>9964</v>
      </c>
      <c r="R600" s="970"/>
      <c r="S600" s="971">
        <v>77844</v>
      </c>
      <c r="T600" s="973">
        <v>198</v>
      </c>
      <c r="U600" s="973">
        <v>78042</v>
      </c>
    </row>
    <row r="601" spans="1:21" x14ac:dyDescent="0.25">
      <c r="A601" s="967">
        <v>96521</v>
      </c>
      <c r="B601" s="968" t="s">
        <v>3238</v>
      </c>
      <c r="C601" s="969">
        <v>9.881E-4</v>
      </c>
      <c r="D601" s="969">
        <v>9.4240000000000003E-4</v>
      </c>
      <c r="E601" s="1008">
        <v>408178</v>
      </c>
      <c r="F601" s="1011">
        <v>2000089</v>
      </c>
      <c r="G601" s="970">
        <v>1509543</v>
      </c>
      <c r="H601" s="970"/>
      <c r="I601" s="971">
        <v>86964</v>
      </c>
      <c r="J601" s="972">
        <v>366519</v>
      </c>
      <c r="K601" s="971">
        <v>215584</v>
      </c>
      <c r="L601" s="970">
        <v>30024</v>
      </c>
      <c r="M601" s="970"/>
      <c r="N601" s="971">
        <v>42730</v>
      </c>
      <c r="O601" s="971">
        <v>0</v>
      </c>
      <c r="P601" s="971">
        <v>0</v>
      </c>
      <c r="Q601" s="970">
        <v>25241</v>
      </c>
      <c r="R601" s="970"/>
      <c r="S601" s="971">
        <v>508717</v>
      </c>
      <c r="T601" s="973">
        <v>6710</v>
      </c>
      <c r="U601" s="973">
        <f>515428-1</f>
        <v>515427</v>
      </c>
    </row>
    <row r="602" spans="1:21" x14ac:dyDescent="0.25">
      <c r="A602" s="967">
        <v>96531</v>
      </c>
      <c r="B602" s="968" t="s">
        <v>3239</v>
      </c>
      <c r="C602" s="969">
        <v>8.5845000000000001E-3</v>
      </c>
      <c r="D602" s="969">
        <v>8.6088999999999992E-3</v>
      </c>
      <c r="E602" s="1008">
        <v>3779881</v>
      </c>
      <c r="F602" s="1011">
        <v>18270970</v>
      </c>
      <c r="G602" s="970">
        <v>13114738</v>
      </c>
      <c r="H602" s="970"/>
      <c r="I602" s="971">
        <v>755530</v>
      </c>
      <c r="J602" s="972">
        <v>3184274</v>
      </c>
      <c r="K602" s="971">
        <v>1872966</v>
      </c>
      <c r="L602" s="970">
        <v>48765</v>
      </c>
      <c r="M602" s="970"/>
      <c r="N602" s="971">
        <v>371237</v>
      </c>
      <c r="O602" s="971">
        <v>0</v>
      </c>
      <c r="P602" s="971">
        <v>0</v>
      </c>
      <c r="Q602" s="970">
        <v>418860</v>
      </c>
      <c r="R602" s="970"/>
      <c r="S602" s="971">
        <v>4419678</v>
      </c>
      <c r="T602" s="973">
        <v>-117601</v>
      </c>
      <c r="U602" s="973">
        <v>4302077</v>
      </c>
    </row>
    <row r="603" spans="1:21" x14ac:dyDescent="0.25">
      <c r="A603" s="967">
        <v>96541</v>
      </c>
      <c r="B603" s="968" t="s">
        <v>3240</v>
      </c>
      <c r="C603" s="969">
        <v>3.5950000000000001E-4</v>
      </c>
      <c r="D603" s="969">
        <v>3.3169999999999999E-4</v>
      </c>
      <c r="E603" s="1008">
        <v>156792</v>
      </c>
      <c r="F603" s="1011">
        <v>703979</v>
      </c>
      <c r="G603" s="970">
        <v>549216</v>
      </c>
      <c r="H603" s="970"/>
      <c r="I603" s="971">
        <v>31640</v>
      </c>
      <c r="J603" s="972">
        <v>133350</v>
      </c>
      <c r="K603" s="971">
        <v>78436</v>
      </c>
      <c r="L603" s="970">
        <v>24801</v>
      </c>
      <c r="M603" s="970"/>
      <c r="N603" s="971">
        <v>15547</v>
      </c>
      <c r="O603" s="971">
        <v>0</v>
      </c>
      <c r="P603" s="971">
        <v>0</v>
      </c>
      <c r="Q603" s="970">
        <v>0</v>
      </c>
      <c r="R603" s="970"/>
      <c r="S603" s="971">
        <v>185086</v>
      </c>
      <c r="T603" s="973">
        <v>13028</v>
      </c>
      <c r="U603" s="973">
        <f>198115-1</f>
        <v>198114</v>
      </c>
    </row>
    <row r="604" spans="1:21" x14ac:dyDescent="0.25">
      <c r="A604" s="967">
        <v>96601</v>
      </c>
      <c r="B604" s="968" t="s">
        <v>3241</v>
      </c>
      <c r="C604" s="969">
        <v>1.8169E-3</v>
      </c>
      <c r="D604" s="969">
        <v>1.8416000000000001E-3</v>
      </c>
      <c r="E604" s="1008">
        <v>878872</v>
      </c>
      <c r="F604" s="1011">
        <v>3908492</v>
      </c>
      <c r="G604" s="970">
        <v>2775720</v>
      </c>
      <c r="H604" s="970"/>
      <c r="I604" s="971">
        <v>159907</v>
      </c>
      <c r="J604" s="972">
        <v>673948</v>
      </c>
      <c r="K604" s="971">
        <v>396411</v>
      </c>
      <c r="L604" s="970">
        <v>50154</v>
      </c>
      <c r="M604" s="970"/>
      <c r="N604" s="971">
        <v>78572</v>
      </c>
      <c r="O604" s="971">
        <v>0</v>
      </c>
      <c r="P604" s="971">
        <v>0</v>
      </c>
      <c r="Q604" s="970">
        <v>4139</v>
      </c>
      <c r="R604" s="970"/>
      <c r="S604" s="971">
        <v>935420</v>
      </c>
      <c r="T604" s="973">
        <v>30132</v>
      </c>
      <c r="U604" s="973">
        <v>965552</v>
      </c>
    </row>
    <row r="605" spans="1:21" x14ac:dyDescent="0.25">
      <c r="A605" s="967">
        <v>96604</v>
      </c>
      <c r="B605" s="968" t="s">
        <v>3242</v>
      </c>
      <c r="C605" s="969">
        <v>7.6000000000000001E-6</v>
      </c>
      <c r="D605" s="969">
        <v>7.9000000000000006E-6</v>
      </c>
      <c r="E605" s="1008">
        <v>5011</v>
      </c>
      <c r="F605" s="1011">
        <v>16766</v>
      </c>
      <c r="G605" s="970">
        <v>11611</v>
      </c>
      <c r="H605" s="970"/>
      <c r="I605" s="971">
        <v>669</v>
      </c>
      <c r="J605" s="972">
        <v>2819</v>
      </c>
      <c r="K605" s="971">
        <v>1658</v>
      </c>
      <c r="L605" s="970">
        <v>2027</v>
      </c>
      <c r="M605" s="970"/>
      <c r="N605" s="971">
        <v>329</v>
      </c>
      <c r="O605" s="971">
        <v>0</v>
      </c>
      <c r="P605" s="971">
        <v>0</v>
      </c>
      <c r="Q605" s="970">
        <v>70</v>
      </c>
      <c r="R605" s="970"/>
      <c r="S605" s="971">
        <v>3913</v>
      </c>
      <c r="T605" s="973">
        <v>799</v>
      </c>
      <c r="U605" s="973">
        <v>4712</v>
      </c>
    </row>
    <row r="606" spans="1:21" x14ac:dyDescent="0.25">
      <c r="A606" s="967">
        <v>96611</v>
      </c>
      <c r="B606" s="968" t="s">
        <v>3243</v>
      </c>
      <c r="C606" s="969">
        <v>2.83E-5</v>
      </c>
      <c r="D606" s="969">
        <v>3.29E-5</v>
      </c>
      <c r="E606" s="1008">
        <v>12016</v>
      </c>
      <c r="F606" s="1011">
        <v>69825</v>
      </c>
      <c r="G606" s="970">
        <v>43235</v>
      </c>
      <c r="H606" s="970"/>
      <c r="I606" s="971">
        <v>2491</v>
      </c>
      <c r="J606" s="972">
        <v>10498</v>
      </c>
      <c r="K606" s="971">
        <v>6174</v>
      </c>
      <c r="L606" s="970">
        <v>1561</v>
      </c>
      <c r="M606" s="970"/>
      <c r="N606" s="971">
        <v>1224</v>
      </c>
      <c r="O606" s="971">
        <v>0</v>
      </c>
      <c r="P606" s="971">
        <v>0</v>
      </c>
      <c r="Q606" s="970">
        <v>4284</v>
      </c>
      <c r="R606" s="970"/>
      <c r="S606" s="971">
        <v>14570</v>
      </c>
      <c r="T606" s="973">
        <v>112</v>
      </c>
      <c r="U606" s="973">
        <f>14683-1</f>
        <v>14682</v>
      </c>
    </row>
    <row r="607" spans="1:21" x14ac:dyDescent="0.25">
      <c r="A607" s="967">
        <v>96612</v>
      </c>
      <c r="B607" s="968" t="s">
        <v>3244</v>
      </c>
      <c r="C607" s="969">
        <v>6.3299999999999994E-5</v>
      </c>
      <c r="D607" s="969">
        <v>6.3899999999999995E-5</v>
      </c>
      <c r="E607" s="1008">
        <v>32834</v>
      </c>
      <c r="F607" s="1011">
        <v>135617</v>
      </c>
      <c r="G607" s="970">
        <v>96705</v>
      </c>
      <c r="H607" s="970"/>
      <c r="I607" s="971">
        <v>5571</v>
      </c>
      <c r="J607" s="972">
        <v>23480</v>
      </c>
      <c r="K607" s="971">
        <v>13811</v>
      </c>
      <c r="L607" s="970">
        <v>7699</v>
      </c>
      <c r="M607" s="970"/>
      <c r="N607" s="971">
        <v>2737</v>
      </c>
      <c r="O607" s="971">
        <v>0</v>
      </c>
      <c r="P607" s="971">
        <v>0</v>
      </c>
      <c r="Q607" s="970">
        <v>658</v>
      </c>
      <c r="R607" s="970"/>
      <c r="S607" s="971">
        <v>32590</v>
      </c>
      <c r="T607" s="973">
        <v>2270</v>
      </c>
      <c r="U607" s="973">
        <f>34859+1</f>
        <v>34860</v>
      </c>
    </row>
    <row r="608" spans="1:21" x14ac:dyDescent="0.25">
      <c r="A608" s="967">
        <v>96621</v>
      </c>
      <c r="B608" s="968" t="s">
        <v>3245</v>
      </c>
      <c r="C608" s="969">
        <v>2.5999999999999998E-5</v>
      </c>
      <c r="D608" s="969">
        <v>2.65E-5</v>
      </c>
      <c r="E608" s="1008">
        <v>13235</v>
      </c>
      <c r="F608" s="1011">
        <v>56242</v>
      </c>
      <c r="G608" s="970">
        <v>39721</v>
      </c>
      <c r="H608" s="970"/>
      <c r="I608" s="971">
        <v>2288</v>
      </c>
      <c r="J608" s="972">
        <v>9644</v>
      </c>
      <c r="K608" s="971">
        <v>5673</v>
      </c>
      <c r="L608" s="970">
        <v>1435</v>
      </c>
      <c r="M608" s="970"/>
      <c r="N608" s="971">
        <v>1124</v>
      </c>
      <c r="O608" s="971">
        <v>0</v>
      </c>
      <c r="P608" s="971">
        <v>0</v>
      </c>
      <c r="Q608" s="970">
        <v>4828</v>
      </c>
      <c r="R608" s="970"/>
      <c r="S608" s="971">
        <v>13386</v>
      </c>
      <c r="T608" s="973">
        <v>-2281</v>
      </c>
      <c r="U608" s="973">
        <v>11105</v>
      </c>
    </row>
    <row r="609" spans="1:21" x14ac:dyDescent="0.25">
      <c r="A609" s="967">
        <v>96631</v>
      </c>
      <c r="B609" s="968" t="s">
        <v>3246</v>
      </c>
      <c r="C609" s="969">
        <v>2.51E-5</v>
      </c>
      <c r="D609" s="969">
        <v>2.5899999999999999E-5</v>
      </c>
      <c r="E609" s="1008">
        <v>11905</v>
      </c>
      <c r="F609" s="1011">
        <v>54968</v>
      </c>
      <c r="G609" s="970">
        <v>38346</v>
      </c>
      <c r="H609" s="970"/>
      <c r="I609" s="971">
        <v>2209</v>
      </c>
      <c r="J609" s="972">
        <v>9311</v>
      </c>
      <c r="K609" s="971">
        <v>5476</v>
      </c>
      <c r="L609" s="970">
        <v>3375</v>
      </c>
      <c r="M609" s="970"/>
      <c r="N609" s="971">
        <v>1085</v>
      </c>
      <c r="O609" s="971">
        <v>0</v>
      </c>
      <c r="P609" s="971">
        <v>0</v>
      </c>
      <c r="Q609" s="970">
        <v>345</v>
      </c>
      <c r="R609" s="970"/>
      <c r="S609" s="971">
        <v>12923</v>
      </c>
      <c r="T609" s="973">
        <v>2192</v>
      </c>
      <c r="U609" s="973">
        <f>15114+1</f>
        <v>15115</v>
      </c>
    </row>
    <row r="610" spans="1:21" x14ac:dyDescent="0.25">
      <c r="A610" s="967">
        <v>96641</v>
      </c>
      <c r="B610" s="968" t="s">
        <v>3247</v>
      </c>
      <c r="C610" s="969">
        <v>3.2199999999999997E-5</v>
      </c>
      <c r="D610" s="969">
        <v>2.6999999999999999E-5</v>
      </c>
      <c r="E610" s="1008">
        <v>20865</v>
      </c>
      <c r="F610" s="1011">
        <v>57303</v>
      </c>
      <c r="G610" s="970">
        <v>49193</v>
      </c>
      <c r="H610" s="970"/>
      <c r="I610" s="971">
        <v>2834</v>
      </c>
      <c r="J610" s="972">
        <v>11944</v>
      </c>
      <c r="K610" s="971">
        <v>7025</v>
      </c>
      <c r="L610" s="970">
        <v>15380</v>
      </c>
      <c r="M610" s="970"/>
      <c r="N610" s="971">
        <v>1392</v>
      </c>
      <c r="O610" s="971">
        <v>0</v>
      </c>
      <c r="P610" s="971">
        <v>0</v>
      </c>
      <c r="Q610" s="970">
        <v>0</v>
      </c>
      <c r="R610" s="970"/>
      <c r="S610" s="971">
        <v>16578</v>
      </c>
      <c r="T610" s="973">
        <v>5934</v>
      </c>
      <c r="U610" s="973">
        <v>22512</v>
      </c>
    </row>
    <row r="611" spans="1:21" x14ac:dyDescent="0.25">
      <c r="A611" s="967">
        <v>96651</v>
      </c>
      <c r="B611" s="968" t="s">
        <v>3248</v>
      </c>
      <c r="C611" s="969">
        <v>1.7399999999999999E-5</v>
      </c>
      <c r="D611" s="969">
        <v>1.9400000000000001E-5</v>
      </c>
      <c r="E611" s="1008">
        <v>11419</v>
      </c>
      <c r="F611" s="1011">
        <v>41173</v>
      </c>
      <c r="G611" s="970">
        <v>26582</v>
      </c>
      <c r="H611" s="970"/>
      <c r="I611" s="971">
        <v>1531</v>
      </c>
      <c r="J611" s="972">
        <v>6454</v>
      </c>
      <c r="K611" s="971">
        <v>3796</v>
      </c>
      <c r="L611" s="970">
        <v>1983</v>
      </c>
      <c r="M611" s="970"/>
      <c r="N611" s="971">
        <v>752</v>
      </c>
      <c r="O611" s="971">
        <v>0</v>
      </c>
      <c r="P611" s="971">
        <v>0</v>
      </c>
      <c r="Q611" s="970">
        <v>1305</v>
      </c>
      <c r="R611" s="970"/>
      <c r="S611" s="971">
        <v>8958</v>
      </c>
      <c r="T611" s="973">
        <v>-364</v>
      </c>
      <c r="U611" s="973">
        <f>8595-1</f>
        <v>8594</v>
      </c>
    </row>
    <row r="612" spans="1:21" x14ac:dyDescent="0.25">
      <c r="A612" s="967">
        <v>96661</v>
      </c>
      <c r="B612" s="968" t="s">
        <v>3249</v>
      </c>
      <c r="C612" s="969">
        <v>1.9700000000000001E-5</v>
      </c>
      <c r="D612" s="969">
        <v>1.9000000000000001E-5</v>
      </c>
      <c r="E612" s="1008">
        <v>10400</v>
      </c>
      <c r="F612" s="1011">
        <v>40324</v>
      </c>
      <c r="G612" s="970">
        <v>30096</v>
      </c>
      <c r="H612" s="970"/>
      <c r="I612" s="971">
        <v>1734</v>
      </c>
      <c r="J612" s="972">
        <v>7308</v>
      </c>
      <c r="K612" s="971">
        <v>4298</v>
      </c>
      <c r="L612" s="970">
        <v>5449</v>
      </c>
      <c r="M612" s="970"/>
      <c r="N612" s="971">
        <v>852</v>
      </c>
      <c r="O612" s="971">
        <v>0</v>
      </c>
      <c r="P612" s="971">
        <v>0</v>
      </c>
      <c r="Q612" s="970">
        <v>0</v>
      </c>
      <c r="R612" s="970"/>
      <c r="S612" s="971">
        <v>10142</v>
      </c>
      <c r="T612" s="973">
        <v>2525</v>
      </c>
      <c r="U612" s="973">
        <f>12668-1</f>
        <v>12667</v>
      </c>
    </row>
    <row r="613" spans="1:21" x14ac:dyDescent="0.25">
      <c r="A613" s="967">
        <v>96671</v>
      </c>
      <c r="B613" s="968" t="s">
        <v>3250</v>
      </c>
      <c r="C613" s="969">
        <v>1.49E-5</v>
      </c>
      <c r="D613" s="969">
        <v>1.5500000000000001E-5</v>
      </c>
      <c r="E613" s="1008">
        <v>8400</v>
      </c>
      <c r="F613" s="1011">
        <v>32896</v>
      </c>
      <c r="G613" s="970">
        <v>22763</v>
      </c>
      <c r="H613" s="970"/>
      <c r="I613" s="971">
        <v>1311</v>
      </c>
      <c r="J613" s="972">
        <v>5527</v>
      </c>
      <c r="K613" s="971">
        <v>3251</v>
      </c>
      <c r="L613" s="970">
        <v>8612</v>
      </c>
      <c r="M613" s="970"/>
      <c r="N613" s="971">
        <v>644</v>
      </c>
      <c r="O613" s="971">
        <v>0</v>
      </c>
      <c r="P613" s="971">
        <v>0</v>
      </c>
      <c r="Q613" s="970">
        <v>208</v>
      </c>
      <c r="R613" s="970"/>
      <c r="S613" s="971">
        <v>7671</v>
      </c>
      <c r="T613" s="973">
        <v>3620</v>
      </c>
      <c r="U613" s="973">
        <v>11291</v>
      </c>
    </row>
    <row r="614" spans="1:21" x14ac:dyDescent="0.25">
      <c r="A614" s="967">
        <v>96681</v>
      </c>
      <c r="B614" s="968" t="s">
        <v>3251</v>
      </c>
      <c r="C614" s="969">
        <v>1.7499999999999998E-5</v>
      </c>
      <c r="D614" s="969">
        <v>3.4799999999999999E-5</v>
      </c>
      <c r="E614" s="1008">
        <v>12179</v>
      </c>
      <c r="F614" s="1011">
        <v>73857</v>
      </c>
      <c r="G614" s="970">
        <v>26735</v>
      </c>
      <c r="H614" s="970"/>
      <c r="I614" s="971">
        <v>1540</v>
      </c>
      <c r="J614" s="972">
        <v>6491</v>
      </c>
      <c r="K614" s="971">
        <v>3818</v>
      </c>
      <c r="L614" s="970">
        <v>12682</v>
      </c>
      <c r="M614" s="970"/>
      <c r="N614" s="971">
        <v>757</v>
      </c>
      <c r="O614" s="971">
        <v>0</v>
      </c>
      <c r="P614" s="971">
        <v>0</v>
      </c>
      <c r="Q614" s="970">
        <v>9027</v>
      </c>
      <c r="R614" s="970"/>
      <c r="S614" s="971">
        <v>9010</v>
      </c>
      <c r="T614" s="973">
        <v>3129</v>
      </c>
      <c r="U614" s="973">
        <v>12139</v>
      </c>
    </row>
    <row r="615" spans="1:21" x14ac:dyDescent="0.25">
      <c r="A615" s="967">
        <v>96701</v>
      </c>
      <c r="B615" s="968" t="s">
        <v>3252</v>
      </c>
      <c r="C615" s="969">
        <v>8.4206000000000003E-3</v>
      </c>
      <c r="D615" s="969">
        <v>7.7850000000000003E-3</v>
      </c>
      <c r="E615" s="1008">
        <v>3657208</v>
      </c>
      <c r="F615" s="1011">
        <v>16522378</v>
      </c>
      <c r="G615" s="970">
        <v>12864344</v>
      </c>
      <c r="H615" s="970"/>
      <c r="I615" s="971">
        <v>741105</v>
      </c>
      <c r="J615" s="972">
        <v>3123478</v>
      </c>
      <c r="K615" s="971">
        <v>1837207</v>
      </c>
      <c r="L615" s="970">
        <v>445953</v>
      </c>
      <c r="M615" s="970"/>
      <c r="N615" s="971">
        <v>364149</v>
      </c>
      <c r="O615" s="971">
        <v>0</v>
      </c>
      <c r="P615" s="971">
        <v>0</v>
      </c>
      <c r="Q615" s="970">
        <v>51464</v>
      </c>
      <c r="R615" s="970"/>
      <c r="S615" s="971">
        <v>4335295</v>
      </c>
      <c r="T615" s="973">
        <v>139565</v>
      </c>
      <c r="U615" s="973">
        <f>4474861-1</f>
        <v>4474860</v>
      </c>
    </row>
    <row r="616" spans="1:21" x14ac:dyDescent="0.25">
      <c r="A616" s="967">
        <v>96704</v>
      </c>
      <c r="B616" s="968" t="s">
        <v>3253</v>
      </c>
      <c r="C616" s="969">
        <v>1.7259999999999999E-4</v>
      </c>
      <c r="D616" s="969">
        <v>1.5330000000000001E-4</v>
      </c>
      <c r="E616" s="1008">
        <v>92320</v>
      </c>
      <c r="F616" s="1011">
        <v>325354</v>
      </c>
      <c r="G616" s="970">
        <v>263685</v>
      </c>
      <c r="H616" s="970"/>
      <c r="I616" s="971">
        <v>15191</v>
      </c>
      <c r="J616" s="972">
        <v>64023</v>
      </c>
      <c r="K616" s="971">
        <v>37658</v>
      </c>
      <c r="L616" s="970">
        <v>28813</v>
      </c>
      <c r="M616" s="970"/>
      <c r="N616" s="971">
        <v>7464</v>
      </c>
      <c r="O616" s="971">
        <v>0</v>
      </c>
      <c r="P616" s="971">
        <v>0</v>
      </c>
      <c r="Q616" s="970">
        <v>0</v>
      </c>
      <c r="R616" s="970"/>
      <c r="S616" s="971">
        <v>88862</v>
      </c>
      <c r="T616" s="973">
        <v>9625</v>
      </c>
      <c r="U616" s="973">
        <v>98487</v>
      </c>
    </row>
    <row r="617" spans="1:21" x14ac:dyDescent="0.25">
      <c r="A617" s="967">
        <v>96708</v>
      </c>
      <c r="B617" s="968" t="s">
        <v>3254</v>
      </c>
      <c r="C617" s="969">
        <v>9.031E-4</v>
      </c>
      <c r="D617" s="969">
        <v>8.4590000000000002E-4</v>
      </c>
      <c r="E617" s="1008">
        <v>441727</v>
      </c>
      <c r="F617" s="1011">
        <v>1795283</v>
      </c>
      <c r="G617" s="970">
        <v>1379687</v>
      </c>
      <c r="H617" s="970"/>
      <c r="I617" s="971">
        <v>79483</v>
      </c>
      <c r="J617" s="972">
        <v>334989</v>
      </c>
      <c r="K617" s="971">
        <v>197038</v>
      </c>
      <c r="L617" s="970">
        <v>93931</v>
      </c>
      <c r="M617" s="970"/>
      <c r="N617" s="971">
        <v>39055</v>
      </c>
      <c r="O617" s="971">
        <v>0</v>
      </c>
      <c r="P617" s="971">
        <v>0</v>
      </c>
      <c r="Q617" s="970">
        <v>19895</v>
      </c>
      <c r="R617" s="970"/>
      <c r="S617" s="971">
        <v>464956</v>
      </c>
      <c r="T617" s="973">
        <v>29117</v>
      </c>
      <c r="U617" s="973">
        <v>494073</v>
      </c>
    </row>
    <row r="618" spans="1:21" x14ac:dyDescent="0.25">
      <c r="A618" s="967">
        <v>96711</v>
      </c>
      <c r="B618" s="968" t="s">
        <v>3255</v>
      </c>
      <c r="C618" s="969">
        <v>4.0464000000000003E-3</v>
      </c>
      <c r="D618" s="969">
        <v>4.4140000000000004E-3</v>
      </c>
      <c r="E618" s="1008">
        <v>1869918</v>
      </c>
      <c r="F618" s="1011">
        <v>9367987</v>
      </c>
      <c r="G618" s="970">
        <v>6181778</v>
      </c>
      <c r="H618" s="970"/>
      <c r="I618" s="971">
        <v>356128</v>
      </c>
      <c r="J618" s="972">
        <v>1500943</v>
      </c>
      <c r="K618" s="971">
        <v>882844</v>
      </c>
      <c r="L618" s="970">
        <v>10323</v>
      </c>
      <c r="M618" s="970"/>
      <c r="N618" s="971">
        <v>174987</v>
      </c>
      <c r="O618" s="971">
        <v>0</v>
      </c>
      <c r="P618" s="971">
        <v>0</v>
      </c>
      <c r="Q618" s="970">
        <v>468550</v>
      </c>
      <c r="R618" s="970"/>
      <c r="S618" s="971">
        <v>2083265</v>
      </c>
      <c r="T618" s="973">
        <v>-165088</v>
      </c>
      <c r="U618" s="973">
        <v>1918177</v>
      </c>
    </row>
    <row r="619" spans="1:21" x14ac:dyDescent="0.25">
      <c r="A619" s="967">
        <v>96721</v>
      </c>
      <c r="B619" s="968" t="s">
        <v>3256</v>
      </c>
      <c r="C619" s="969">
        <v>2.1379999999999999E-4</v>
      </c>
      <c r="D619" s="969">
        <v>1.9780000000000001E-4</v>
      </c>
      <c r="E619" s="1008">
        <v>96163</v>
      </c>
      <c r="F619" s="1011">
        <v>419798</v>
      </c>
      <c r="G619" s="970">
        <v>326627</v>
      </c>
      <c r="H619" s="970"/>
      <c r="I619" s="971">
        <v>18817</v>
      </c>
      <c r="J619" s="972">
        <v>79305</v>
      </c>
      <c r="K619" s="971">
        <v>46647</v>
      </c>
      <c r="L619" s="970">
        <v>14615</v>
      </c>
      <c r="M619" s="970"/>
      <c r="N619" s="971">
        <v>9246</v>
      </c>
      <c r="O619" s="971">
        <v>0</v>
      </c>
      <c r="P619" s="971">
        <v>0</v>
      </c>
      <c r="Q619" s="970">
        <v>25539</v>
      </c>
      <c r="R619" s="970"/>
      <c r="S619" s="971">
        <v>110074</v>
      </c>
      <c r="T619" s="973">
        <v>-1269</v>
      </c>
      <c r="U619" s="973">
        <v>108805</v>
      </c>
    </row>
    <row r="620" spans="1:21" x14ac:dyDescent="0.25">
      <c r="A620" s="967">
        <v>96731</v>
      </c>
      <c r="B620" s="968" t="s">
        <v>3257</v>
      </c>
      <c r="C620" s="969">
        <v>1.697E-4</v>
      </c>
      <c r="D620" s="969">
        <v>1.5090000000000001E-4</v>
      </c>
      <c r="E620" s="1008">
        <v>72356</v>
      </c>
      <c r="F620" s="1011">
        <v>320260</v>
      </c>
      <c r="G620" s="970">
        <v>259255</v>
      </c>
      <c r="H620" s="970"/>
      <c r="I620" s="971">
        <v>14935</v>
      </c>
      <c r="J620" s="972">
        <v>62947</v>
      </c>
      <c r="K620" s="971">
        <v>37025</v>
      </c>
      <c r="L620" s="970">
        <v>20951</v>
      </c>
      <c r="M620" s="970"/>
      <c r="N620" s="971">
        <v>7339</v>
      </c>
      <c r="O620" s="971">
        <v>0</v>
      </c>
      <c r="P620" s="971">
        <v>0</v>
      </c>
      <c r="Q620" s="970">
        <v>6</v>
      </c>
      <c r="R620" s="970"/>
      <c r="S620" s="971">
        <v>87369</v>
      </c>
      <c r="T620" s="973">
        <v>7300</v>
      </c>
      <c r="U620" s="973">
        <v>94669</v>
      </c>
    </row>
    <row r="621" spans="1:21" x14ac:dyDescent="0.25">
      <c r="A621" s="967">
        <v>96733</v>
      </c>
      <c r="B621" s="968" t="s">
        <v>3258</v>
      </c>
      <c r="C621" s="969">
        <v>7.3000000000000004E-6</v>
      </c>
      <c r="D621" s="969">
        <v>9.2E-6</v>
      </c>
      <c r="E621" s="1008">
        <v>4279</v>
      </c>
      <c r="F621" s="1011">
        <v>19525</v>
      </c>
      <c r="G621" s="970">
        <v>11152</v>
      </c>
      <c r="H621" s="970"/>
      <c r="I621" s="971">
        <v>642</v>
      </c>
      <c r="J621" s="972">
        <v>2708</v>
      </c>
      <c r="K621" s="971">
        <v>1593</v>
      </c>
      <c r="L621" s="970">
        <v>3988</v>
      </c>
      <c r="M621" s="970"/>
      <c r="N621" s="971">
        <v>316</v>
      </c>
      <c r="O621" s="971">
        <v>0</v>
      </c>
      <c r="P621" s="971">
        <v>0</v>
      </c>
      <c r="Q621" s="970">
        <v>1209</v>
      </c>
      <c r="R621" s="970"/>
      <c r="S621" s="971">
        <v>3758</v>
      </c>
      <c r="T621" s="973">
        <v>1574</v>
      </c>
      <c r="U621" s="973">
        <v>5332</v>
      </c>
    </row>
    <row r="622" spans="1:21" x14ac:dyDescent="0.25">
      <c r="A622" s="967">
        <v>96741</v>
      </c>
      <c r="B622" s="968" t="s">
        <v>3259</v>
      </c>
      <c r="C622" s="969">
        <v>9.0799999999999998E-5</v>
      </c>
      <c r="D622" s="969">
        <v>9.2399999999999996E-5</v>
      </c>
      <c r="E622" s="1008">
        <v>41448</v>
      </c>
      <c r="F622" s="1011">
        <v>196104</v>
      </c>
      <c r="G622" s="970">
        <v>138717</v>
      </c>
      <c r="H622" s="970"/>
      <c r="I622" s="971">
        <v>7991</v>
      </c>
      <c r="J622" s="972">
        <v>33681</v>
      </c>
      <c r="K622" s="971">
        <v>19811</v>
      </c>
      <c r="L622" s="970">
        <v>4204</v>
      </c>
      <c r="M622" s="970"/>
      <c r="N622" s="971">
        <v>3927</v>
      </c>
      <c r="O622" s="971">
        <v>0</v>
      </c>
      <c r="P622" s="971">
        <v>0</v>
      </c>
      <c r="Q622" s="970">
        <v>2410</v>
      </c>
      <c r="R622" s="970"/>
      <c r="S622" s="971">
        <v>46748</v>
      </c>
      <c r="T622" s="973">
        <v>2215</v>
      </c>
      <c r="U622" s="973">
        <v>48963</v>
      </c>
    </row>
    <row r="623" spans="1:21" x14ac:dyDescent="0.25">
      <c r="A623" s="967">
        <v>96751</v>
      </c>
      <c r="B623" s="968" t="s">
        <v>3260</v>
      </c>
      <c r="C623" s="969">
        <v>2.5809999999999999E-4</v>
      </c>
      <c r="D623" s="969">
        <v>2.6120000000000001E-4</v>
      </c>
      <c r="E623" s="1008">
        <v>115660</v>
      </c>
      <c r="F623" s="1011">
        <v>554354</v>
      </c>
      <c r="G623" s="970">
        <v>394305</v>
      </c>
      <c r="H623" s="970"/>
      <c r="I623" s="971">
        <v>22716</v>
      </c>
      <c r="J623" s="972">
        <v>95737</v>
      </c>
      <c r="K623" s="971">
        <v>56312</v>
      </c>
      <c r="L623" s="970">
        <v>10810</v>
      </c>
      <c r="M623" s="970"/>
      <c r="N623" s="971">
        <v>11162</v>
      </c>
      <c r="O623" s="971">
        <v>0</v>
      </c>
      <c r="P623" s="971">
        <v>0</v>
      </c>
      <c r="Q623" s="970">
        <v>31380</v>
      </c>
      <c r="R623" s="970"/>
      <c r="S623" s="971">
        <v>132881</v>
      </c>
      <c r="T623" s="973">
        <v>-737</v>
      </c>
      <c r="U623" s="973">
        <v>132144</v>
      </c>
    </row>
    <row r="624" spans="1:21" x14ac:dyDescent="0.25">
      <c r="A624" s="967">
        <v>96801</v>
      </c>
      <c r="B624" s="968" t="s">
        <v>3261</v>
      </c>
      <c r="C624" s="969">
        <v>7.5814000000000003E-3</v>
      </c>
      <c r="D624" s="969">
        <v>7.8463999999999999E-3</v>
      </c>
      <c r="E624" s="1008">
        <v>3611120</v>
      </c>
      <c r="F624" s="1011">
        <v>16652689</v>
      </c>
      <c r="G624" s="970">
        <v>11582279</v>
      </c>
      <c r="H624" s="970"/>
      <c r="I624" s="971">
        <v>667247</v>
      </c>
      <c r="J624" s="972">
        <v>2812192</v>
      </c>
      <c r="K624" s="971">
        <v>1654110</v>
      </c>
      <c r="L624" s="970">
        <v>406857</v>
      </c>
      <c r="M624" s="970"/>
      <c r="N624" s="971">
        <v>327858</v>
      </c>
      <c r="O624" s="971">
        <v>0</v>
      </c>
      <c r="P624" s="971">
        <v>0</v>
      </c>
      <c r="Q624" s="970">
        <v>73178</v>
      </c>
      <c r="R624" s="970"/>
      <c r="S624" s="971">
        <v>3903238</v>
      </c>
      <c r="T624" s="973">
        <v>217480</v>
      </c>
      <c r="U624" s="973">
        <v>4120718</v>
      </c>
    </row>
    <row r="625" spans="1:21" x14ac:dyDescent="0.25">
      <c r="A625" s="967">
        <v>96804</v>
      </c>
      <c r="B625" s="968" t="s">
        <v>3262</v>
      </c>
      <c r="C625" s="969">
        <v>2.654E-4</v>
      </c>
      <c r="D625" s="969">
        <v>2.4230000000000001E-4</v>
      </c>
      <c r="E625" s="1008">
        <v>109175</v>
      </c>
      <c r="F625" s="1011">
        <v>514242</v>
      </c>
      <c r="G625" s="970">
        <v>405458</v>
      </c>
      <c r="H625" s="970"/>
      <c r="I625" s="971">
        <v>23358</v>
      </c>
      <c r="J625" s="972">
        <v>98446</v>
      </c>
      <c r="K625" s="971">
        <v>57905</v>
      </c>
      <c r="L625" s="970">
        <v>7601</v>
      </c>
      <c r="M625" s="970"/>
      <c r="N625" s="971">
        <v>11477</v>
      </c>
      <c r="O625" s="971">
        <v>0</v>
      </c>
      <c r="P625" s="971">
        <v>0</v>
      </c>
      <c r="Q625" s="970">
        <v>2044</v>
      </c>
      <c r="R625" s="970"/>
      <c r="S625" s="971">
        <v>136640</v>
      </c>
      <c r="T625" s="973">
        <v>2424</v>
      </c>
      <c r="U625" s="973">
        <v>139064</v>
      </c>
    </row>
    <row r="626" spans="1:21" x14ac:dyDescent="0.25">
      <c r="A626" s="967">
        <v>96808</v>
      </c>
      <c r="B626" s="968" t="s">
        <v>3263</v>
      </c>
      <c r="C626" s="969">
        <v>1.2711000000000001E-3</v>
      </c>
      <c r="D626" s="969">
        <v>1.2882E-3</v>
      </c>
      <c r="E626" s="1008">
        <v>593249</v>
      </c>
      <c r="F626" s="1011">
        <v>2733992</v>
      </c>
      <c r="G626" s="970">
        <v>1941889</v>
      </c>
      <c r="H626" s="970"/>
      <c r="I626" s="971">
        <v>111871</v>
      </c>
      <c r="J626" s="972">
        <v>471493</v>
      </c>
      <c r="K626" s="971">
        <v>277329</v>
      </c>
      <c r="L626" s="970">
        <v>42529</v>
      </c>
      <c r="M626" s="970"/>
      <c r="N626" s="971">
        <v>54969</v>
      </c>
      <c r="O626" s="971">
        <v>0</v>
      </c>
      <c r="P626" s="971">
        <v>0</v>
      </c>
      <c r="Q626" s="970">
        <v>3699</v>
      </c>
      <c r="R626" s="970"/>
      <c r="S626" s="971">
        <v>654418</v>
      </c>
      <c r="T626" s="973">
        <v>23633</v>
      </c>
      <c r="U626" s="973">
        <v>678051</v>
      </c>
    </row>
    <row r="627" spans="1:21" x14ac:dyDescent="0.25">
      <c r="A627" s="967">
        <v>96811</v>
      </c>
      <c r="B627" s="968" t="s">
        <v>3264</v>
      </c>
      <c r="C627" s="969">
        <v>6.0096999999999998E-3</v>
      </c>
      <c r="D627" s="969">
        <v>5.9861999999999997E-3</v>
      </c>
      <c r="E627" s="1008">
        <v>2786025</v>
      </c>
      <c r="F627" s="1011">
        <v>12704722</v>
      </c>
      <c r="G627" s="970">
        <v>9181157</v>
      </c>
      <c r="H627" s="970"/>
      <c r="I627" s="971">
        <v>528920</v>
      </c>
      <c r="J627" s="972">
        <v>2229197</v>
      </c>
      <c r="K627" s="971">
        <v>1311196</v>
      </c>
      <c r="L627" s="970">
        <v>37410</v>
      </c>
      <c r="M627" s="970"/>
      <c r="N627" s="971">
        <v>259889</v>
      </c>
      <c r="O627" s="971">
        <v>0</v>
      </c>
      <c r="P627" s="971">
        <v>0</v>
      </c>
      <c r="Q627" s="970">
        <v>53500</v>
      </c>
      <c r="R627" s="970"/>
      <c r="S627" s="971">
        <v>3094058</v>
      </c>
      <c r="T627" s="973">
        <v>-23369</v>
      </c>
      <c r="U627" s="973">
        <v>3070689</v>
      </c>
    </row>
    <row r="628" spans="1:21" x14ac:dyDescent="0.25">
      <c r="A628" s="967">
        <v>96821</v>
      </c>
      <c r="B628" s="968" t="s">
        <v>3265</v>
      </c>
      <c r="C628" s="969">
        <v>1.3247000000000001E-3</v>
      </c>
      <c r="D628" s="969">
        <v>1.3630999999999999E-3</v>
      </c>
      <c r="E628" s="1008">
        <v>603956</v>
      </c>
      <c r="F628" s="1011">
        <v>2892955</v>
      </c>
      <c r="G628" s="970">
        <v>2023775</v>
      </c>
      <c r="H628" s="970"/>
      <c r="I628" s="971">
        <v>116588</v>
      </c>
      <c r="J628" s="972">
        <v>491375</v>
      </c>
      <c r="K628" s="971">
        <v>289023</v>
      </c>
      <c r="L628" s="970">
        <v>0</v>
      </c>
      <c r="M628" s="970"/>
      <c r="N628" s="971">
        <v>57287</v>
      </c>
      <c r="O628" s="971">
        <v>0</v>
      </c>
      <c r="P628" s="971">
        <v>0</v>
      </c>
      <c r="Q628" s="970">
        <v>134629</v>
      </c>
      <c r="R628" s="970"/>
      <c r="S628" s="971">
        <v>682014</v>
      </c>
      <c r="T628" s="973">
        <v>-54878</v>
      </c>
      <c r="U628" s="973">
        <v>627136</v>
      </c>
    </row>
    <row r="629" spans="1:21" x14ac:dyDescent="0.25">
      <c r="A629" s="967">
        <v>96831</v>
      </c>
      <c r="B629" s="968" t="s">
        <v>3266</v>
      </c>
      <c r="C629" s="969">
        <v>9.1929999999999996E-4</v>
      </c>
      <c r="D629" s="969">
        <v>9.2400000000000002E-4</v>
      </c>
      <c r="E629" s="1008">
        <v>426593</v>
      </c>
      <c r="F629" s="1011">
        <v>1961038</v>
      </c>
      <c r="G629" s="970">
        <v>1404436</v>
      </c>
      <c r="H629" s="970"/>
      <c r="I629" s="971">
        <v>80909</v>
      </c>
      <c r="J629" s="972">
        <v>340998</v>
      </c>
      <c r="K629" s="971">
        <v>200573</v>
      </c>
      <c r="L629" s="970">
        <v>37726</v>
      </c>
      <c r="M629" s="970"/>
      <c r="N629" s="971">
        <v>39755</v>
      </c>
      <c r="O629" s="971">
        <v>0</v>
      </c>
      <c r="P629" s="971">
        <v>0</v>
      </c>
      <c r="Q629" s="970">
        <v>0</v>
      </c>
      <c r="R629" s="970"/>
      <c r="S629" s="971">
        <v>473296</v>
      </c>
      <c r="T629" s="973">
        <v>19380</v>
      </c>
      <c r="U629" s="973">
        <v>492676</v>
      </c>
    </row>
    <row r="630" spans="1:21" x14ac:dyDescent="0.25">
      <c r="A630" s="967">
        <v>96901</v>
      </c>
      <c r="B630" s="968" t="s">
        <v>3267</v>
      </c>
      <c r="C630" s="969">
        <v>8.9820000000000004E-4</v>
      </c>
      <c r="D630" s="969">
        <v>8.1610000000000005E-4</v>
      </c>
      <c r="E630" s="1008">
        <v>411770</v>
      </c>
      <c r="F630" s="1011">
        <v>1732038</v>
      </c>
      <c r="G630" s="970">
        <v>1372201</v>
      </c>
      <c r="H630" s="970"/>
      <c r="I630" s="971">
        <v>79051</v>
      </c>
      <c r="J630" s="972">
        <v>333172</v>
      </c>
      <c r="K630" s="971">
        <v>195969</v>
      </c>
      <c r="L630" s="970">
        <v>85745</v>
      </c>
      <c r="M630" s="970"/>
      <c r="N630" s="971">
        <v>38843</v>
      </c>
      <c r="O630" s="971">
        <v>0</v>
      </c>
      <c r="P630" s="971">
        <v>0</v>
      </c>
      <c r="Q630" s="970">
        <v>0</v>
      </c>
      <c r="R630" s="970"/>
      <c r="S630" s="971">
        <v>462433</v>
      </c>
      <c r="T630" s="973">
        <v>28927</v>
      </c>
      <c r="U630" s="973">
        <v>491360</v>
      </c>
    </row>
    <row r="631" spans="1:21" x14ac:dyDescent="0.25">
      <c r="A631" s="967">
        <v>96911</v>
      </c>
      <c r="B631" s="968" t="s">
        <v>3268</v>
      </c>
      <c r="C631" s="969">
        <v>2.3999999999999999E-6</v>
      </c>
      <c r="D631" s="969">
        <v>3.7000000000000002E-6</v>
      </c>
      <c r="E631" s="1008">
        <v>1942</v>
      </c>
      <c r="F631" s="1011">
        <v>7853</v>
      </c>
      <c r="G631" s="970">
        <v>3667</v>
      </c>
      <c r="H631" s="970"/>
      <c r="I631" s="971">
        <v>211</v>
      </c>
      <c r="J631" s="972">
        <v>890</v>
      </c>
      <c r="K631" s="971">
        <v>524</v>
      </c>
      <c r="L631" s="970">
        <v>2464</v>
      </c>
      <c r="M631" s="970"/>
      <c r="N631" s="971">
        <v>104</v>
      </c>
      <c r="O631" s="971">
        <v>0</v>
      </c>
      <c r="P631" s="971">
        <v>0</v>
      </c>
      <c r="Q631" s="970">
        <v>2953</v>
      </c>
      <c r="R631" s="970"/>
      <c r="S631" s="971">
        <v>1236</v>
      </c>
      <c r="T631" s="973">
        <v>521</v>
      </c>
      <c r="U631" s="973">
        <f>1756+1</f>
        <v>1757</v>
      </c>
    </row>
    <row r="632" spans="1:21" x14ac:dyDescent="0.25">
      <c r="A632" s="967">
        <v>96912</v>
      </c>
      <c r="B632" s="968" t="s">
        <v>3269</v>
      </c>
      <c r="C632" s="969">
        <v>6.0099999999999997E-5</v>
      </c>
      <c r="D632" s="969">
        <v>6.0999999999999999E-5</v>
      </c>
      <c r="E632" s="1008">
        <v>24610</v>
      </c>
      <c r="F632" s="1011">
        <v>129462</v>
      </c>
      <c r="G632" s="970">
        <v>91816</v>
      </c>
      <c r="H632" s="970"/>
      <c r="I632" s="971">
        <v>5289</v>
      </c>
      <c r="J632" s="972">
        <v>22293</v>
      </c>
      <c r="K632" s="971">
        <v>13113</v>
      </c>
      <c r="L632" s="970">
        <v>4325</v>
      </c>
      <c r="M632" s="970"/>
      <c r="N632" s="971">
        <v>2599</v>
      </c>
      <c r="O632" s="971">
        <v>0</v>
      </c>
      <c r="P632" s="971">
        <v>0</v>
      </c>
      <c r="Q632" s="970">
        <v>3739</v>
      </c>
      <c r="R632" s="970"/>
      <c r="S632" s="971">
        <v>30942</v>
      </c>
      <c r="T632" s="973">
        <v>2307</v>
      </c>
      <c r="U632" s="973">
        <v>33249</v>
      </c>
    </row>
    <row r="633" spans="1:21" x14ac:dyDescent="0.25">
      <c r="A633" s="967">
        <v>96918</v>
      </c>
      <c r="B633" s="968" t="s">
        <v>3270</v>
      </c>
      <c r="C633" s="969">
        <v>3.8000000000000002E-5</v>
      </c>
      <c r="D633" s="969">
        <v>4.0500000000000002E-5</v>
      </c>
      <c r="E633" s="1008">
        <v>20289</v>
      </c>
      <c r="F633" s="1011">
        <v>85955</v>
      </c>
      <c r="G633" s="970">
        <v>58053</v>
      </c>
      <c r="H633" s="970"/>
      <c r="I633" s="971">
        <v>3344</v>
      </c>
      <c r="J633" s="972">
        <v>14095</v>
      </c>
      <c r="K633" s="971">
        <v>8291</v>
      </c>
      <c r="L633" s="970">
        <v>7713</v>
      </c>
      <c r="M633" s="970"/>
      <c r="N633" s="971">
        <v>1643</v>
      </c>
      <c r="O633" s="971">
        <v>0</v>
      </c>
      <c r="P633" s="971">
        <v>0</v>
      </c>
      <c r="Q633" s="970">
        <v>884</v>
      </c>
      <c r="R633" s="970"/>
      <c r="S633" s="971">
        <v>19564</v>
      </c>
      <c r="T633" s="973">
        <v>5648</v>
      </c>
      <c r="U633" s="973">
        <v>25212</v>
      </c>
    </row>
    <row r="634" spans="1:21" x14ac:dyDescent="0.25">
      <c r="A634" s="967">
        <v>97001</v>
      </c>
      <c r="B634" s="968" t="s">
        <v>3271</v>
      </c>
      <c r="C634" s="969">
        <v>1.3778E-3</v>
      </c>
      <c r="D634" s="969">
        <v>1.3641E-3</v>
      </c>
      <c r="E634" s="1008">
        <v>710694</v>
      </c>
      <c r="F634" s="1011">
        <v>2895077</v>
      </c>
      <c r="G634" s="970">
        <v>2104897</v>
      </c>
      <c r="H634" s="970"/>
      <c r="I634" s="971">
        <v>121262</v>
      </c>
      <c r="J634" s="972">
        <v>511071</v>
      </c>
      <c r="K634" s="971">
        <v>300608</v>
      </c>
      <c r="L634" s="970">
        <v>148744</v>
      </c>
      <c r="M634" s="970"/>
      <c r="N634" s="971">
        <v>59583</v>
      </c>
      <c r="O634" s="971">
        <v>0</v>
      </c>
      <c r="P634" s="971">
        <v>0</v>
      </c>
      <c r="Q634" s="970">
        <v>11523</v>
      </c>
      <c r="R634" s="970"/>
      <c r="S634" s="971">
        <v>709352</v>
      </c>
      <c r="T634" s="973">
        <v>36360</v>
      </c>
      <c r="U634" s="973">
        <v>745712</v>
      </c>
    </row>
    <row r="635" spans="1:21" x14ac:dyDescent="0.25">
      <c r="A635" s="967">
        <v>97002</v>
      </c>
      <c r="B635" s="968" t="s">
        <v>3272</v>
      </c>
      <c r="C635" s="969">
        <v>5.2610000000000005E-4</v>
      </c>
      <c r="D635" s="969">
        <v>4.6589999999999999E-4</v>
      </c>
      <c r="E635" s="1008">
        <v>182319</v>
      </c>
      <c r="F635" s="1011">
        <v>988796</v>
      </c>
      <c r="G635" s="970">
        <v>803735</v>
      </c>
      <c r="H635" s="970"/>
      <c r="I635" s="971">
        <v>46303</v>
      </c>
      <c r="J635" s="972">
        <v>195148</v>
      </c>
      <c r="K635" s="971">
        <v>114784</v>
      </c>
      <c r="L635" s="970">
        <v>16832</v>
      </c>
      <c r="M635" s="970"/>
      <c r="N635" s="971">
        <v>22751</v>
      </c>
      <c r="O635" s="971">
        <v>0</v>
      </c>
      <c r="P635" s="971">
        <v>0</v>
      </c>
      <c r="Q635" s="970">
        <v>7002</v>
      </c>
      <c r="R635" s="970"/>
      <c r="S635" s="971">
        <v>270859</v>
      </c>
      <c r="T635" s="973">
        <v>10025</v>
      </c>
      <c r="U635" s="973">
        <f>280885-1</f>
        <v>280884</v>
      </c>
    </row>
    <row r="636" spans="1:21" x14ac:dyDescent="0.25">
      <c r="A636" s="967">
        <v>97004</v>
      </c>
      <c r="B636" s="968" t="s">
        <v>3273</v>
      </c>
      <c r="C636" s="969">
        <v>9.7999999999999993E-6</v>
      </c>
      <c r="D636" s="969">
        <v>1.0900000000000001E-5</v>
      </c>
      <c r="E636" s="1008">
        <v>8257</v>
      </c>
      <c r="F636" s="1011">
        <v>23133</v>
      </c>
      <c r="G636" s="970">
        <v>14972</v>
      </c>
      <c r="H636" s="970"/>
      <c r="I636" s="971">
        <v>863</v>
      </c>
      <c r="J636" s="972">
        <v>3635</v>
      </c>
      <c r="K636" s="971">
        <v>2138</v>
      </c>
      <c r="L636" s="970">
        <v>4225</v>
      </c>
      <c r="M636" s="970"/>
      <c r="N636" s="971">
        <v>424</v>
      </c>
      <c r="O636" s="971">
        <v>0</v>
      </c>
      <c r="P636" s="971">
        <v>0</v>
      </c>
      <c r="Q636" s="970">
        <v>0</v>
      </c>
      <c r="R636" s="970"/>
      <c r="S636" s="971">
        <v>5045</v>
      </c>
      <c r="T636" s="973">
        <v>1862</v>
      </c>
      <c r="U636" s="973">
        <f>6908-1</f>
        <v>6907</v>
      </c>
    </row>
    <row r="637" spans="1:21" x14ac:dyDescent="0.25">
      <c r="A637" s="967">
        <v>97005</v>
      </c>
      <c r="B637" s="968" t="s">
        <v>3274</v>
      </c>
      <c r="C637" s="969">
        <v>2.83E-5</v>
      </c>
      <c r="D637" s="969">
        <v>1.42E-5</v>
      </c>
      <c r="E637" s="1008">
        <v>15092</v>
      </c>
      <c r="F637" s="1011">
        <v>30137</v>
      </c>
      <c r="G637" s="970">
        <v>43235</v>
      </c>
      <c r="H637" s="970"/>
      <c r="I637" s="971">
        <v>2491</v>
      </c>
      <c r="J637" s="972">
        <v>10498</v>
      </c>
      <c r="K637" s="971">
        <v>6174</v>
      </c>
      <c r="L637" s="970">
        <v>13129</v>
      </c>
      <c r="M637" s="970"/>
      <c r="N637" s="971">
        <v>1224</v>
      </c>
      <c r="O637" s="971">
        <v>0</v>
      </c>
      <c r="P637" s="971">
        <v>0</v>
      </c>
      <c r="Q637" s="970">
        <v>1368</v>
      </c>
      <c r="R637" s="970"/>
      <c r="S637" s="971">
        <v>14570</v>
      </c>
      <c r="T637" s="973">
        <v>3211</v>
      </c>
      <c r="U637" s="973">
        <v>17781</v>
      </c>
    </row>
    <row r="638" spans="1:21" x14ac:dyDescent="0.25">
      <c r="A638" s="967">
        <v>97008</v>
      </c>
      <c r="B638" s="968" t="s">
        <v>3275</v>
      </c>
      <c r="C638" s="969">
        <v>2.8659999999999997E-4</v>
      </c>
      <c r="D638" s="969">
        <v>2.7530000000000002E-4</v>
      </c>
      <c r="E638" s="1008">
        <v>128453</v>
      </c>
      <c r="F638" s="1011">
        <v>584279</v>
      </c>
      <c r="G638" s="970">
        <v>437845</v>
      </c>
      <c r="H638" s="970"/>
      <c r="I638" s="971">
        <v>25224</v>
      </c>
      <c r="J638" s="972">
        <v>106309</v>
      </c>
      <c r="K638" s="971">
        <v>62530</v>
      </c>
      <c r="L638" s="970">
        <v>12387</v>
      </c>
      <c r="M638" s="970"/>
      <c r="N638" s="971">
        <v>12394</v>
      </c>
      <c r="O638" s="971">
        <v>0</v>
      </c>
      <c r="P638" s="971">
        <v>0</v>
      </c>
      <c r="Q638" s="970">
        <v>3127</v>
      </c>
      <c r="R638" s="970"/>
      <c r="S638" s="971">
        <v>147554</v>
      </c>
      <c r="T638" s="973">
        <v>7175</v>
      </c>
      <c r="U638" s="973">
        <v>154729</v>
      </c>
    </row>
    <row r="639" spans="1:21" x14ac:dyDescent="0.25">
      <c r="A639" s="967">
        <v>97010</v>
      </c>
      <c r="B639" s="968" t="s">
        <v>3276</v>
      </c>
      <c r="C639" s="969">
        <v>0</v>
      </c>
      <c r="D639" s="969">
        <v>0</v>
      </c>
      <c r="E639" s="1008">
        <v>0</v>
      </c>
      <c r="F639" s="1011">
        <v>0</v>
      </c>
      <c r="G639" s="970">
        <v>0</v>
      </c>
      <c r="H639" s="970"/>
      <c r="I639" s="971">
        <v>0</v>
      </c>
      <c r="J639" s="972">
        <v>0</v>
      </c>
      <c r="K639" s="971">
        <v>0</v>
      </c>
      <c r="L639" s="970">
        <v>0</v>
      </c>
      <c r="M639" s="970"/>
      <c r="N639" s="971">
        <v>0</v>
      </c>
      <c r="O639" s="971">
        <v>0</v>
      </c>
      <c r="P639" s="971">
        <v>0</v>
      </c>
      <c r="Q639" s="970">
        <v>2056902</v>
      </c>
      <c r="R639" s="970"/>
      <c r="S639" s="971">
        <v>0</v>
      </c>
      <c r="T639" s="973">
        <v>-1282454</v>
      </c>
      <c r="U639" s="973">
        <v>-1282454</v>
      </c>
    </row>
    <row r="640" spans="1:21" x14ac:dyDescent="0.25">
      <c r="A640" s="967">
        <v>97011</v>
      </c>
      <c r="B640" s="968" t="s">
        <v>3277</v>
      </c>
      <c r="C640" s="969">
        <v>1.9166999999999999E-3</v>
      </c>
      <c r="D640" s="969">
        <v>1.9522999999999999E-3</v>
      </c>
      <c r="E640" s="1008">
        <v>907458</v>
      </c>
      <c r="F640" s="1011">
        <v>4143435</v>
      </c>
      <c r="G640" s="970">
        <v>2928187</v>
      </c>
      <c r="H640" s="970"/>
      <c r="I640" s="971">
        <v>168691</v>
      </c>
      <c r="J640" s="972">
        <v>710967</v>
      </c>
      <c r="K640" s="971">
        <v>418186</v>
      </c>
      <c r="L640" s="970">
        <v>0</v>
      </c>
      <c r="M640" s="970"/>
      <c r="N640" s="971">
        <v>82888</v>
      </c>
      <c r="O640" s="971">
        <v>0</v>
      </c>
      <c r="P640" s="971">
        <v>0</v>
      </c>
      <c r="Q640" s="970">
        <v>92552</v>
      </c>
      <c r="R640" s="970"/>
      <c r="S640" s="971">
        <v>986801</v>
      </c>
      <c r="T640" s="973">
        <v>-38711</v>
      </c>
      <c r="U640" s="973">
        <v>948090</v>
      </c>
    </row>
    <row r="641" spans="1:21" x14ac:dyDescent="0.25">
      <c r="A641" s="967">
        <v>97012</v>
      </c>
      <c r="B641" s="968" t="s">
        <v>3278</v>
      </c>
      <c r="C641" s="969">
        <v>2.9499999999999999E-5</v>
      </c>
      <c r="D641" s="969">
        <v>2.4499999999999999E-5</v>
      </c>
      <c r="E641" s="1008">
        <v>12375</v>
      </c>
      <c r="F641" s="1011">
        <v>51997</v>
      </c>
      <c r="G641" s="970">
        <v>45068</v>
      </c>
      <c r="H641" s="970"/>
      <c r="I641" s="971">
        <v>2596</v>
      </c>
      <c r="J641" s="972">
        <v>10942</v>
      </c>
      <c r="K641" s="971">
        <v>6436</v>
      </c>
      <c r="L641" s="970">
        <v>4949</v>
      </c>
      <c r="M641" s="970"/>
      <c r="N641" s="971">
        <v>1276</v>
      </c>
      <c r="O641" s="971">
        <v>0</v>
      </c>
      <c r="P641" s="971">
        <v>0</v>
      </c>
      <c r="Q641" s="970">
        <v>1149</v>
      </c>
      <c r="R641" s="970"/>
      <c r="S641" s="971">
        <v>15188</v>
      </c>
      <c r="T641" s="973">
        <v>752</v>
      </c>
      <c r="U641" s="973">
        <v>15940</v>
      </c>
    </row>
    <row r="642" spans="1:21" x14ac:dyDescent="0.25">
      <c r="A642" s="967">
        <v>97013</v>
      </c>
      <c r="B642" s="968" t="s">
        <v>3279</v>
      </c>
      <c r="C642" s="969">
        <v>1.8199999999999999E-5</v>
      </c>
      <c r="D642" s="969">
        <v>2.0699999999999998E-5</v>
      </c>
      <c r="E642" s="1008">
        <v>11433</v>
      </c>
      <c r="F642" s="1011">
        <v>43932</v>
      </c>
      <c r="G642" s="970">
        <v>27805</v>
      </c>
      <c r="H642" s="970"/>
      <c r="I642" s="971">
        <v>1602</v>
      </c>
      <c r="J642" s="972">
        <v>6751</v>
      </c>
      <c r="K642" s="971">
        <v>3971</v>
      </c>
      <c r="L642" s="970">
        <v>6233</v>
      </c>
      <c r="M642" s="970"/>
      <c r="N642" s="971">
        <v>787</v>
      </c>
      <c r="O642" s="971">
        <v>0</v>
      </c>
      <c r="P642" s="971">
        <v>0</v>
      </c>
      <c r="Q642" s="970">
        <v>431</v>
      </c>
      <c r="R642" s="970"/>
      <c r="S642" s="971">
        <v>9370</v>
      </c>
      <c r="T642" s="973">
        <v>2046</v>
      </c>
      <c r="U642" s="973">
        <v>11416</v>
      </c>
    </row>
    <row r="643" spans="1:21" x14ac:dyDescent="0.25">
      <c r="A643" s="967">
        <v>97015</v>
      </c>
      <c r="B643" s="968" t="s">
        <v>3280</v>
      </c>
      <c r="C643" s="969">
        <v>4.1499999999999999E-5</v>
      </c>
      <c r="D643" s="969">
        <v>5.3699999999999997E-5</v>
      </c>
      <c r="E643" s="1008">
        <v>23036</v>
      </c>
      <c r="F643" s="1011">
        <v>113969</v>
      </c>
      <c r="G643" s="970">
        <v>63401</v>
      </c>
      <c r="H643" s="970"/>
      <c r="I643" s="971">
        <v>3652</v>
      </c>
      <c r="J643" s="972">
        <v>15394</v>
      </c>
      <c r="K643" s="971">
        <v>9054</v>
      </c>
      <c r="L643" s="970">
        <v>4608</v>
      </c>
      <c r="M643" s="970"/>
      <c r="N643" s="971">
        <v>1795</v>
      </c>
      <c r="O643" s="971">
        <v>0</v>
      </c>
      <c r="P643" s="971">
        <v>0</v>
      </c>
      <c r="Q643" s="970">
        <v>5783</v>
      </c>
      <c r="R643" s="970"/>
      <c r="S643" s="971">
        <v>21366</v>
      </c>
      <c r="T643" s="973">
        <v>26</v>
      </c>
      <c r="U643" s="973">
        <v>21392</v>
      </c>
    </row>
    <row r="644" spans="1:21" x14ac:dyDescent="0.25">
      <c r="A644" s="967">
        <v>97018</v>
      </c>
      <c r="B644" s="968" t="s">
        <v>3281</v>
      </c>
      <c r="C644" s="969">
        <v>8.6000000000000007E-6</v>
      </c>
      <c r="D644" s="969">
        <v>9.3999999999999998E-6</v>
      </c>
      <c r="E644" s="1008">
        <v>8135</v>
      </c>
      <c r="F644" s="1011">
        <v>19950</v>
      </c>
      <c r="G644" s="970">
        <v>13138</v>
      </c>
      <c r="H644" s="970"/>
      <c r="I644" s="971">
        <v>757</v>
      </c>
      <c r="J644" s="972">
        <v>3190</v>
      </c>
      <c r="K644" s="971">
        <v>1876</v>
      </c>
      <c r="L644" s="970">
        <v>6833</v>
      </c>
      <c r="M644" s="970"/>
      <c r="N644" s="971">
        <v>372</v>
      </c>
      <c r="O644" s="971">
        <v>0</v>
      </c>
      <c r="P644" s="971">
        <v>0</v>
      </c>
      <c r="Q644" s="970">
        <v>0</v>
      </c>
      <c r="R644" s="970"/>
      <c r="S644" s="971">
        <v>4428</v>
      </c>
      <c r="T644" s="973">
        <v>2806</v>
      </c>
      <c r="U644" s="973">
        <v>7234</v>
      </c>
    </row>
    <row r="645" spans="1:21" x14ac:dyDescent="0.25">
      <c r="A645" s="967">
        <v>97101</v>
      </c>
      <c r="B645" s="968" t="s">
        <v>3282</v>
      </c>
      <c r="C645" s="969">
        <v>2.5790000000000001E-3</v>
      </c>
      <c r="D645" s="969">
        <v>2.6029E-3</v>
      </c>
      <c r="E645" s="1008">
        <v>1208500</v>
      </c>
      <c r="F645" s="1011">
        <v>5524226</v>
      </c>
      <c r="G645" s="970">
        <v>3939998</v>
      </c>
      <c r="H645" s="970"/>
      <c r="I645" s="971">
        <v>226980</v>
      </c>
      <c r="J645" s="972">
        <v>956636</v>
      </c>
      <c r="K645" s="971">
        <v>562686</v>
      </c>
      <c r="L645" s="970">
        <v>22549</v>
      </c>
      <c r="M645" s="970"/>
      <c r="N645" s="971">
        <v>111529</v>
      </c>
      <c r="O645" s="971">
        <v>0</v>
      </c>
      <c r="P645" s="971">
        <v>0</v>
      </c>
      <c r="Q645" s="970">
        <v>6937</v>
      </c>
      <c r="R645" s="970"/>
      <c r="S645" s="971">
        <v>1327783</v>
      </c>
      <c r="T645" s="973">
        <v>3541</v>
      </c>
      <c r="U645" s="973">
        <v>1331324</v>
      </c>
    </row>
    <row r="646" spans="1:21" x14ac:dyDescent="0.25">
      <c r="A646" s="967">
        <v>97104</v>
      </c>
      <c r="B646" s="968" t="s">
        <v>3283</v>
      </c>
      <c r="C646" s="969">
        <v>5.4299999999999998E-5</v>
      </c>
      <c r="D646" s="969">
        <v>5.6799999999999998E-5</v>
      </c>
      <c r="E646" s="1008">
        <v>29147</v>
      </c>
      <c r="F646" s="1011">
        <v>120549</v>
      </c>
      <c r="G646" s="970">
        <v>82955</v>
      </c>
      <c r="H646" s="970"/>
      <c r="I646" s="971">
        <v>4779</v>
      </c>
      <c r="J646" s="972">
        <v>20142</v>
      </c>
      <c r="K646" s="971">
        <v>11847</v>
      </c>
      <c r="L646" s="970">
        <v>11700</v>
      </c>
      <c r="M646" s="970"/>
      <c r="N646" s="971">
        <v>2348</v>
      </c>
      <c r="O646" s="971">
        <v>0</v>
      </c>
      <c r="P646" s="971">
        <v>0</v>
      </c>
      <c r="Q646" s="970">
        <v>0</v>
      </c>
      <c r="R646" s="970"/>
      <c r="S646" s="971">
        <v>27956</v>
      </c>
      <c r="T646" s="973">
        <v>6133</v>
      </c>
      <c r="U646" s="973">
        <v>34089</v>
      </c>
    </row>
    <row r="647" spans="1:21" x14ac:dyDescent="0.25">
      <c r="A647" s="967">
        <v>97111</v>
      </c>
      <c r="B647" s="968" t="s">
        <v>3284</v>
      </c>
      <c r="C647" s="969">
        <v>2.8200000000000002E-4</v>
      </c>
      <c r="D647" s="969">
        <v>2.7099999999999997E-4</v>
      </c>
      <c r="E647" s="1008">
        <v>108871</v>
      </c>
      <c r="F647" s="1011">
        <v>575153</v>
      </c>
      <c r="G647" s="970">
        <v>430818</v>
      </c>
      <c r="H647" s="970"/>
      <c r="I647" s="971">
        <v>24819</v>
      </c>
      <c r="J647" s="972">
        <v>104603</v>
      </c>
      <c r="K647" s="971">
        <v>61527</v>
      </c>
      <c r="L647" s="970">
        <v>7621</v>
      </c>
      <c r="M647" s="970"/>
      <c r="N647" s="971">
        <v>12195</v>
      </c>
      <c r="O647" s="971">
        <v>0</v>
      </c>
      <c r="P647" s="971">
        <v>0</v>
      </c>
      <c r="Q647" s="970">
        <v>20335</v>
      </c>
      <c r="R647" s="970"/>
      <c r="S647" s="971">
        <v>145186</v>
      </c>
      <c r="T647" s="973">
        <v>-1416</v>
      </c>
      <c r="U647" s="973">
        <v>143770</v>
      </c>
    </row>
    <row r="648" spans="1:21" x14ac:dyDescent="0.25">
      <c r="A648" s="967">
        <v>97121</v>
      </c>
      <c r="B648" s="968" t="s">
        <v>3285</v>
      </c>
      <c r="C648" s="969">
        <v>1.3640000000000001E-4</v>
      </c>
      <c r="D648" s="969">
        <v>1.2070000000000001E-4</v>
      </c>
      <c r="E648" s="1008">
        <v>66522</v>
      </c>
      <c r="F648" s="1011">
        <v>256166</v>
      </c>
      <c r="G648" s="970">
        <v>208381</v>
      </c>
      <c r="H648" s="970"/>
      <c r="I648" s="971">
        <v>12005</v>
      </c>
      <c r="J648" s="972">
        <v>50595</v>
      </c>
      <c r="K648" s="971">
        <v>29760</v>
      </c>
      <c r="L648" s="970">
        <v>13649</v>
      </c>
      <c r="M648" s="970"/>
      <c r="N648" s="971">
        <v>5899</v>
      </c>
      <c r="O648" s="971">
        <v>0</v>
      </c>
      <c r="P648" s="971">
        <v>0</v>
      </c>
      <c r="Q648" s="970">
        <v>10026</v>
      </c>
      <c r="R648" s="970"/>
      <c r="S648" s="971">
        <v>70225</v>
      </c>
      <c r="T648" s="973">
        <v>-1103</v>
      </c>
      <c r="U648" s="973">
        <v>69122</v>
      </c>
    </row>
    <row r="649" spans="1:21" x14ac:dyDescent="0.25">
      <c r="A649" s="967">
        <v>97131</v>
      </c>
      <c r="B649" s="968" t="s">
        <v>3286</v>
      </c>
      <c r="C649" s="969">
        <v>7.358E-4</v>
      </c>
      <c r="D649" s="969">
        <v>6.2969999999999996E-4</v>
      </c>
      <c r="E649" s="1008">
        <v>280483</v>
      </c>
      <c r="F649" s="1011">
        <v>1336434</v>
      </c>
      <c r="G649" s="970">
        <v>1124099</v>
      </c>
      <c r="H649" s="970"/>
      <c r="I649" s="971">
        <v>64758</v>
      </c>
      <c r="J649" s="972">
        <v>272933</v>
      </c>
      <c r="K649" s="971">
        <v>160537</v>
      </c>
      <c r="L649" s="970">
        <v>29703</v>
      </c>
      <c r="M649" s="970"/>
      <c r="N649" s="971">
        <v>31820</v>
      </c>
      <c r="O649" s="971">
        <v>0</v>
      </c>
      <c r="P649" s="971">
        <v>0</v>
      </c>
      <c r="Q649" s="970">
        <v>2383</v>
      </c>
      <c r="R649" s="970"/>
      <c r="S649" s="971">
        <v>378822</v>
      </c>
      <c r="T649" s="973">
        <v>7857</v>
      </c>
      <c r="U649" s="973">
        <v>386679</v>
      </c>
    </row>
    <row r="650" spans="1:21" x14ac:dyDescent="0.25">
      <c r="A650" s="967">
        <v>97201</v>
      </c>
      <c r="B650" s="968" t="s">
        <v>3287</v>
      </c>
      <c r="C650" s="969">
        <v>5.2689999999999996E-4</v>
      </c>
      <c r="D650" s="969">
        <v>4.9439999999999998E-4</v>
      </c>
      <c r="E650" s="1008">
        <v>248232</v>
      </c>
      <c r="F650" s="1011">
        <v>1049282</v>
      </c>
      <c r="G650" s="970">
        <v>804957</v>
      </c>
      <c r="H650" s="970"/>
      <c r="I650" s="971">
        <v>46373</v>
      </c>
      <c r="J650" s="972">
        <v>195445</v>
      </c>
      <c r="K650" s="971">
        <v>114959</v>
      </c>
      <c r="L650" s="970">
        <v>43529</v>
      </c>
      <c r="M650" s="970"/>
      <c r="N650" s="971">
        <v>22786</v>
      </c>
      <c r="O650" s="971">
        <v>0</v>
      </c>
      <c r="P650" s="971">
        <v>0</v>
      </c>
      <c r="Q650" s="970">
        <v>1877</v>
      </c>
      <c r="R650" s="970"/>
      <c r="S650" s="971">
        <v>271271</v>
      </c>
      <c r="T650" s="973">
        <v>10950</v>
      </c>
      <c r="U650" s="973">
        <f>282222-1</f>
        <v>282221</v>
      </c>
    </row>
    <row r="651" spans="1:21" x14ac:dyDescent="0.25">
      <c r="A651" s="967">
        <v>97211</v>
      </c>
      <c r="B651" s="968" t="s">
        <v>3288</v>
      </c>
      <c r="C651" s="969">
        <v>1.5980000000000001E-4</v>
      </c>
      <c r="D651" s="969">
        <v>1.4119999999999999E-4</v>
      </c>
      <c r="E651" s="1008">
        <v>74902</v>
      </c>
      <c r="F651" s="1011">
        <v>299674</v>
      </c>
      <c r="G651" s="970">
        <v>244130</v>
      </c>
      <c r="H651" s="970"/>
      <c r="I651" s="971">
        <v>14064</v>
      </c>
      <c r="J651" s="972">
        <v>59275</v>
      </c>
      <c r="K651" s="971">
        <v>34865</v>
      </c>
      <c r="L651" s="970">
        <v>16009</v>
      </c>
      <c r="M651" s="970"/>
      <c r="N651" s="971">
        <v>6911</v>
      </c>
      <c r="O651" s="971">
        <v>0</v>
      </c>
      <c r="P651" s="971">
        <v>0</v>
      </c>
      <c r="Q651" s="970">
        <v>12120</v>
      </c>
      <c r="R651" s="970"/>
      <c r="S651" s="971">
        <v>82272</v>
      </c>
      <c r="T651" s="973">
        <v>347</v>
      </c>
      <c r="U651" s="973">
        <v>82619</v>
      </c>
    </row>
    <row r="652" spans="1:21" x14ac:dyDescent="0.25">
      <c r="A652" s="967">
        <v>97213</v>
      </c>
      <c r="B652" s="968" t="s">
        <v>3289</v>
      </c>
      <c r="C652" s="969">
        <v>3.9100000000000002E-5</v>
      </c>
      <c r="D652" s="969">
        <v>3.8300000000000003E-5</v>
      </c>
      <c r="E652" s="1008">
        <v>24680</v>
      </c>
      <c r="F652" s="1011">
        <v>81285</v>
      </c>
      <c r="G652" s="970">
        <v>59734</v>
      </c>
      <c r="H652" s="970"/>
      <c r="I652" s="971">
        <v>3441</v>
      </c>
      <c r="J652" s="972">
        <v>14504</v>
      </c>
      <c r="K652" s="971">
        <v>8531</v>
      </c>
      <c r="L652" s="970">
        <v>6715</v>
      </c>
      <c r="M652" s="970"/>
      <c r="N652" s="971">
        <v>1691</v>
      </c>
      <c r="O652" s="971">
        <v>0</v>
      </c>
      <c r="P652" s="971">
        <v>0</v>
      </c>
      <c r="Q652" s="970">
        <v>495</v>
      </c>
      <c r="R652" s="970"/>
      <c r="S652" s="971">
        <v>20130</v>
      </c>
      <c r="T652" s="973">
        <v>2057</v>
      </c>
      <c r="U652" s="973">
        <v>22187</v>
      </c>
    </row>
    <row r="653" spans="1:21" x14ac:dyDescent="0.25">
      <c r="A653" s="967">
        <v>97217</v>
      </c>
      <c r="B653" s="968" t="s">
        <v>3290</v>
      </c>
      <c r="C653" s="969">
        <v>4.6E-6</v>
      </c>
      <c r="D653" s="969">
        <v>4.8999999999999997E-6</v>
      </c>
      <c r="E653" s="1008">
        <v>6890</v>
      </c>
      <c r="F653" s="1011">
        <v>10399</v>
      </c>
      <c r="G653" s="970">
        <v>7028</v>
      </c>
      <c r="H653" s="970"/>
      <c r="I653" s="971">
        <v>405</v>
      </c>
      <c r="J653" s="972">
        <v>1706</v>
      </c>
      <c r="K653" s="971">
        <v>1004</v>
      </c>
      <c r="L653" s="970">
        <v>8215</v>
      </c>
      <c r="M653" s="970"/>
      <c r="N653" s="971">
        <v>199</v>
      </c>
      <c r="O653" s="971">
        <v>0</v>
      </c>
      <c r="P653" s="971">
        <v>0</v>
      </c>
      <c r="Q653" s="970">
        <v>0</v>
      </c>
      <c r="R653" s="970"/>
      <c r="S653" s="971">
        <v>2368</v>
      </c>
      <c r="T653" s="973">
        <v>3286</v>
      </c>
      <c r="U653" s="973">
        <v>5654</v>
      </c>
    </row>
    <row r="654" spans="1:21" x14ac:dyDescent="0.25">
      <c r="A654" s="967">
        <v>97221</v>
      </c>
      <c r="B654" s="968" t="s">
        <v>3291</v>
      </c>
      <c r="C654" s="969">
        <v>7.1999999999999997E-6</v>
      </c>
      <c r="D654" s="969">
        <v>6.1999999999999999E-6</v>
      </c>
      <c r="E654" s="1008">
        <v>7778</v>
      </c>
      <c r="F654" s="1011">
        <v>13158</v>
      </c>
      <c r="G654" s="970">
        <v>11000</v>
      </c>
      <c r="H654" s="970"/>
      <c r="I654" s="971">
        <v>634</v>
      </c>
      <c r="J654" s="972">
        <v>2670</v>
      </c>
      <c r="K654" s="971">
        <v>1571</v>
      </c>
      <c r="L654" s="970">
        <v>8086</v>
      </c>
      <c r="M654" s="970"/>
      <c r="N654" s="971">
        <v>311</v>
      </c>
      <c r="O654" s="971">
        <v>0</v>
      </c>
      <c r="P654" s="971">
        <v>0</v>
      </c>
      <c r="Q654" s="970">
        <v>0</v>
      </c>
      <c r="R654" s="970"/>
      <c r="S654" s="971">
        <v>3707</v>
      </c>
      <c r="T654" s="973">
        <v>3119</v>
      </c>
      <c r="U654" s="973">
        <v>6826</v>
      </c>
    </row>
    <row r="655" spans="1:21" x14ac:dyDescent="0.25">
      <c r="A655" s="967">
        <v>97301</v>
      </c>
      <c r="B655" s="968" t="s">
        <v>3292</v>
      </c>
      <c r="C655" s="969">
        <v>2.5135999999999999E-3</v>
      </c>
      <c r="D655" s="969">
        <v>2.5742E-3</v>
      </c>
      <c r="E655" s="1008">
        <v>1186932</v>
      </c>
      <c r="F655" s="1011">
        <v>5463315</v>
      </c>
      <c r="G655" s="970">
        <v>3840085</v>
      </c>
      <c r="H655" s="970"/>
      <c r="I655" s="971">
        <v>221224</v>
      </c>
      <c r="J655" s="972">
        <v>932377</v>
      </c>
      <c r="K655" s="971">
        <v>548417</v>
      </c>
      <c r="L655" s="970">
        <v>23710</v>
      </c>
      <c r="M655" s="970"/>
      <c r="N655" s="971">
        <v>108701</v>
      </c>
      <c r="O655" s="971">
        <v>0</v>
      </c>
      <c r="P655" s="971">
        <v>0</v>
      </c>
      <c r="Q655" s="970">
        <v>56463</v>
      </c>
      <c r="R655" s="970"/>
      <c r="S655" s="971">
        <v>1294112</v>
      </c>
      <c r="T655" s="973">
        <v>-10667</v>
      </c>
      <c r="U655" s="973">
        <v>1283445</v>
      </c>
    </row>
    <row r="656" spans="1:21" x14ac:dyDescent="0.25">
      <c r="A656" s="967">
        <v>97304</v>
      </c>
      <c r="B656" s="968" t="s">
        <v>3293</v>
      </c>
      <c r="C656" s="969">
        <v>1.6799999999999998E-5</v>
      </c>
      <c r="D656" s="969">
        <v>1.7600000000000001E-5</v>
      </c>
      <c r="E656" s="1008">
        <v>13382</v>
      </c>
      <c r="F656" s="1011">
        <v>37353</v>
      </c>
      <c r="G656" s="970">
        <v>25666</v>
      </c>
      <c r="H656" s="970"/>
      <c r="I656" s="971">
        <v>1479</v>
      </c>
      <c r="J656" s="972">
        <v>6232</v>
      </c>
      <c r="K656" s="971">
        <v>3665</v>
      </c>
      <c r="L656" s="970">
        <v>8739</v>
      </c>
      <c r="M656" s="970"/>
      <c r="N656" s="971">
        <v>727</v>
      </c>
      <c r="O656" s="971">
        <v>0</v>
      </c>
      <c r="P656" s="971">
        <v>0</v>
      </c>
      <c r="Q656" s="970">
        <v>0</v>
      </c>
      <c r="R656" s="970"/>
      <c r="S656" s="971">
        <v>8649</v>
      </c>
      <c r="T656" s="973">
        <v>3503</v>
      </c>
      <c r="U656" s="973">
        <f>12153-1</f>
        <v>12152</v>
      </c>
    </row>
    <row r="657" spans="1:21" x14ac:dyDescent="0.25">
      <c r="A657" s="967">
        <v>97311</v>
      </c>
      <c r="B657" s="968" t="s">
        <v>3294</v>
      </c>
      <c r="C657" s="969">
        <v>9.1799999999999998E-4</v>
      </c>
      <c r="D657" s="969">
        <v>9.5E-4</v>
      </c>
      <c r="E657" s="1008">
        <v>407124</v>
      </c>
      <c r="F657" s="1011">
        <v>2016218</v>
      </c>
      <c r="G657" s="970">
        <v>1402450</v>
      </c>
      <c r="H657" s="970"/>
      <c r="I657" s="971">
        <v>80794</v>
      </c>
      <c r="J657" s="972">
        <v>340516</v>
      </c>
      <c r="K657" s="971">
        <v>200289</v>
      </c>
      <c r="L657" s="970">
        <v>0</v>
      </c>
      <c r="M657" s="970"/>
      <c r="N657" s="971">
        <v>39699</v>
      </c>
      <c r="O657" s="971">
        <v>0</v>
      </c>
      <c r="P657" s="971">
        <v>0</v>
      </c>
      <c r="Q657" s="970">
        <v>96844</v>
      </c>
      <c r="R657" s="970"/>
      <c r="S657" s="971">
        <v>472627</v>
      </c>
      <c r="T657" s="973">
        <v>-42048</v>
      </c>
      <c r="U657" s="973">
        <v>430579</v>
      </c>
    </row>
    <row r="658" spans="1:21" x14ac:dyDescent="0.25">
      <c r="A658" s="967">
        <v>97401</v>
      </c>
      <c r="B658" s="968" t="s">
        <v>3295</v>
      </c>
      <c r="C658" s="969">
        <v>7.1303E-3</v>
      </c>
      <c r="D658" s="969">
        <v>6.9633000000000004E-3</v>
      </c>
      <c r="E658" s="1008">
        <v>3322669</v>
      </c>
      <c r="F658" s="1011">
        <v>14778455</v>
      </c>
      <c r="G658" s="970">
        <v>10893123</v>
      </c>
      <c r="H658" s="970"/>
      <c r="I658" s="971">
        <v>627545</v>
      </c>
      <c r="J658" s="972">
        <v>2644864</v>
      </c>
      <c r="K658" s="971">
        <v>1555689</v>
      </c>
      <c r="L658" s="970">
        <v>151378</v>
      </c>
      <c r="M658" s="970"/>
      <c r="N658" s="971">
        <v>308350</v>
      </c>
      <c r="O658" s="971">
        <v>0</v>
      </c>
      <c r="P658" s="971">
        <v>0</v>
      </c>
      <c r="Q658" s="970">
        <v>83194</v>
      </c>
      <c r="R658" s="970"/>
      <c r="S658" s="971">
        <v>3670992</v>
      </c>
      <c r="T658" s="973">
        <v>-21617</v>
      </c>
      <c r="U658" s="973">
        <v>3649375</v>
      </c>
    </row>
    <row r="659" spans="1:21" x14ac:dyDescent="0.25">
      <c r="A659" s="967">
        <v>97402</v>
      </c>
      <c r="B659" s="968" t="s">
        <v>3296</v>
      </c>
      <c r="C659" s="969">
        <v>4.8000000000000001E-5</v>
      </c>
      <c r="D659" s="969">
        <v>4.4700000000000002E-5</v>
      </c>
      <c r="E659" s="1008">
        <v>25207</v>
      </c>
      <c r="F659" s="1011">
        <v>94868</v>
      </c>
      <c r="G659" s="970">
        <v>73331</v>
      </c>
      <c r="H659" s="970"/>
      <c r="I659" s="971">
        <v>4225</v>
      </c>
      <c r="J659" s="972">
        <v>17804</v>
      </c>
      <c r="K659" s="971">
        <v>10473</v>
      </c>
      <c r="L659" s="970">
        <v>15704</v>
      </c>
      <c r="M659" s="970"/>
      <c r="N659" s="971">
        <v>2076</v>
      </c>
      <c r="O659" s="971">
        <v>0</v>
      </c>
      <c r="P659" s="971">
        <v>0</v>
      </c>
      <c r="Q659" s="970">
        <v>0</v>
      </c>
      <c r="R659" s="970"/>
      <c r="S659" s="971">
        <v>24713</v>
      </c>
      <c r="T659" s="973">
        <v>5283</v>
      </c>
      <c r="U659" s="973">
        <f>29995+1</f>
        <v>29996</v>
      </c>
    </row>
    <row r="660" spans="1:21" x14ac:dyDescent="0.25">
      <c r="A660" s="967">
        <v>97404</v>
      </c>
      <c r="B660" s="968" t="s">
        <v>3297</v>
      </c>
      <c r="C660" s="969">
        <v>2.1010000000000001E-4</v>
      </c>
      <c r="D660" s="969">
        <v>2.1049999999999999E-4</v>
      </c>
      <c r="E660" s="1008">
        <v>84649</v>
      </c>
      <c r="F660" s="1011">
        <v>446752</v>
      </c>
      <c r="G660" s="970">
        <v>320975</v>
      </c>
      <c r="H660" s="970"/>
      <c r="I660" s="971">
        <v>18491</v>
      </c>
      <c r="J660" s="972">
        <v>77933</v>
      </c>
      <c r="K660" s="971">
        <v>45840</v>
      </c>
      <c r="L660" s="970">
        <v>983</v>
      </c>
      <c r="M660" s="970"/>
      <c r="N660" s="971">
        <v>9086</v>
      </c>
      <c r="O660" s="971">
        <v>0</v>
      </c>
      <c r="P660" s="971">
        <v>0</v>
      </c>
      <c r="Q660" s="970">
        <v>21173</v>
      </c>
      <c r="R660" s="970"/>
      <c r="S660" s="971">
        <v>108169</v>
      </c>
      <c r="T660" s="973">
        <v>-6084</v>
      </c>
      <c r="U660" s="973">
        <f>102084+1</f>
        <v>102085</v>
      </c>
    </row>
    <row r="661" spans="1:21" x14ac:dyDescent="0.25">
      <c r="A661" s="967">
        <v>97405</v>
      </c>
      <c r="B661" s="968" t="s">
        <v>3298</v>
      </c>
      <c r="C661" s="969">
        <v>1.091E-4</v>
      </c>
      <c r="D661" s="969">
        <v>1.087E-4</v>
      </c>
      <c r="E661" s="1008">
        <v>65706</v>
      </c>
      <c r="F661" s="1011">
        <v>230698</v>
      </c>
      <c r="G661" s="970">
        <v>166675</v>
      </c>
      <c r="H661" s="970"/>
      <c r="I661" s="971">
        <v>9602</v>
      </c>
      <c r="J661" s="972">
        <v>40468</v>
      </c>
      <c r="K661" s="971">
        <v>23803</v>
      </c>
      <c r="L661" s="970">
        <v>26973</v>
      </c>
      <c r="M661" s="970"/>
      <c r="N661" s="971">
        <v>4718</v>
      </c>
      <c r="O661" s="971">
        <v>0</v>
      </c>
      <c r="P661" s="971">
        <v>0</v>
      </c>
      <c r="Q661" s="970">
        <v>4890</v>
      </c>
      <c r="R661" s="970"/>
      <c r="S661" s="971">
        <v>56169</v>
      </c>
      <c r="T661" s="973">
        <v>4747</v>
      </c>
      <c r="U661" s="973">
        <v>60916</v>
      </c>
    </row>
    <row r="662" spans="1:21" x14ac:dyDescent="0.25">
      <c r="A662" s="967">
        <v>97408</v>
      </c>
      <c r="B662" s="968" t="s">
        <v>3299</v>
      </c>
      <c r="C662" s="969">
        <v>4.4499999999999997E-5</v>
      </c>
      <c r="D662" s="969">
        <v>4.9299999999999999E-5</v>
      </c>
      <c r="E662" s="1008">
        <v>27499</v>
      </c>
      <c r="F662" s="1011">
        <v>104631</v>
      </c>
      <c r="G662" s="970">
        <v>67984</v>
      </c>
      <c r="H662" s="970"/>
      <c r="I662" s="971">
        <v>3916</v>
      </c>
      <c r="J662" s="972">
        <v>16507</v>
      </c>
      <c r="K662" s="971">
        <v>9709</v>
      </c>
      <c r="L662" s="970">
        <v>7648</v>
      </c>
      <c r="M662" s="970"/>
      <c r="N662" s="971">
        <v>1924</v>
      </c>
      <c r="O662" s="971">
        <v>0</v>
      </c>
      <c r="P662" s="971">
        <v>0</v>
      </c>
      <c r="Q662" s="970">
        <v>0</v>
      </c>
      <c r="R662" s="970"/>
      <c r="S662" s="971">
        <v>22911</v>
      </c>
      <c r="T662" s="973">
        <v>2984</v>
      </c>
      <c r="U662" s="973">
        <v>25895</v>
      </c>
    </row>
    <row r="663" spans="1:21" x14ac:dyDescent="0.25">
      <c r="A663" s="967">
        <v>97411</v>
      </c>
      <c r="B663" s="968" t="s">
        <v>3300</v>
      </c>
      <c r="C663" s="969">
        <v>6.6379000000000004E-3</v>
      </c>
      <c r="D663" s="969">
        <v>6.7269000000000001E-3</v>
      </c>
      <c r="E663" s="1008">
        <v>2979173</v>
      </c>
      <c r="F663" s="1011">
        <v>14276735</v>
      </c>
      <c r="G663" s="970">
        <v>10140873</v>
      </c>
      <c r="H663" s="970"/>
      <c r="I663" s="971">
        <v>584208</v>
      </c>
      <c r="J663" s="972">
        <v>2462217</v>
      </c>
      <c r="K663" s="971">
        <v>1448257</v>
      </c>
      <c r="L663" s="970">
        <v>0</v>
      </c>
      <c r="M663" s="970"/>
      <c r="N663" s="971">
        <v>287056</v>
      </c>
      <c r="O663" s="971">
        <v>0</v>
      </c>
      <c r="P663" s="971">
        <v>0</v>
      </c>
      <c r="Q663" s="970">
        <v>679489</v>
      </c>
      <c r="R663" s="970"/>
      <c r="S663" s="971">
        <v>3417483</v>
      </c>
      <c r="T663" s="973">
        <v>-317873</v>
      </c>
      <c r="U663" s="973">
        <v>3099610</v>
      </c>
    </row>
    <row r="664" spans="1:21" x14ac:dyDescent="0.25">
      <c r="A664" s="967">
        <v>97412</v>
      </c>
      <c r="B664" s="968" t="s">
        <v>3301</v>
      </c>
      <c r="C664" s="969">
        <v>4.5082000000000004E-3</v>
      </c>
      <c r="D664" s="969">
        <v>4.424E-3</v>
      </c>
      <c r="E664" s="1008">
        <v>2155644</v>
      </c>
      <c r="F664" s="1011">
        <v>9389210</v>
      </c>
      <c r="G664" s="970">
        <v>6887281</v>
      </c>
      <c r="H664" s="970"/>
      <c r="I664" s="971">
        <v>396771</v>
      </c>
      <c r="J664" s="972">
        <v>1672240</v>
      </c>
      <c r="K664" s="971">
        <v>983599</v>
      </c>
      <c r="L664" s="970">
        <v>229685</v>
      </c>
      <c r="M664" s="970"/>
      <c r="N664" s="971">
        <v>194957</v>
      </c>
      <c r="O664" s="971">
        <v>0</v>
      </c>
      <c r="P664" s="971">
        <v>0</v>
      </c>
      <c r="Q664" s="970">
        <v>0</v>
      </c>
      <c r="R664" s="970"/>
      <c r="S664" s="971">
        <v>2321020</v>
      </c>
      <c r="T664" s="973">
        <v>85525</v>
      </c>
      <c r="U664" s="973">
        <v>2406545</v>
      </c>
    </row>
    <row r="665" spans="1:21" x14ac:dyDescent="0.25">
      <c r="A665" s="967">
        <v>97413</v>
      </c>
      <c r="B665" s="968" t="s">
        <v>3302</v>
      </c>
      <c r="C665" s="969">
        <v>2.6570000000000001E-4</v>
      </c>
      <c r="D665" s="969">
        <v>2.7910000000000001E-4</v>
      </c>
      <c r="E665" s="1008">
        <v>140809</v>
      </c>
      <c r="F665" s="1011">
        <v>592344</v>
      </c>
      <c r="G665" s="970">
        <v>405916</v>
      </c>
      <c r="H665" s="970"/>
      <c r="I665" s="971">
        <v>23385</v>
      </c>
      <c r="J665" s="972">
        <v>98557</v>
      </c>
      <c r="K665" s="971">
        <v>57970</v>
      </c>
      <c r="L665" s="970">
        <v>7437</v>
      </c>
      <c r="M665" s="970"/>
      <c r="N665" s="971">
        <v>11490</v>
      </c>
      <c r="O665" s="971">
        <v>0</v>
      </c>
      <c r="P665" s="971">
        <v>0</v>
      </c>
      <c r="Q665" s="970">
        <v>5304</v>
      </c>
      <c r="R665" s="970"/>
      <c r="S665" s="971">
        <v>136794</v>
      </c>
      <c r="T665" s="973">
        <v>-2913</v>
      </c>
      <c r="U665" s="973">
        <v>133881</v>
      </c>
    </row>
    <row r="666" spans="1:21" x14ac:dyDescent="0.25">
      <c r="A666" s="967">
        <v>97421</v>
      </c>
      <c r="B666" s="968" t="s">
        <v>3303</v>
      </c>
      <c r="C666" s="969">
        <v>4.2890000000000002E-4</v>
      </c>
      <c r="D666" s="969">
        <v>4.1120000000000002E-4</v>
      </c>
      <c r="E666" s="1008">
        <v>192261</v>
      </c>
      <c r="F666" s="1011">
        <v>872704</v>
      </c>
      <c r="G666" s="970">
        <v>655240</v>
      </c>
      <c r="H666" s="970"/>
      <c r="I666" s="971">
        <v>37748</v>
      </c>
      <c r="J666" s="972">
        <v>159093</v>
      </c>
      <c r="K666" s="971">
        <v>93577</v>
      </c>
      <c r="L666" s="970">
        <v>8155</v>
      </c>
      <c r="M666" s="970"/>
      <c r="N666" s="971">
        <v>18548</v>
      </c>
      <c r="O666" s="971">
        <v>0</v>
      </c>
      <c r="P666" s="971">
        <v>0</v>
      </c>
      <c r="Q666" s="970">
        <v>24127</v>
      </c>
      <c r="R666" s="970"/>
      <c r="S666" s="971">
        <v>220817</v>
      </c>
      <c r="T666" s="973">
        <v>-14066</v>
      </c>
      <c r="U666" s="973">
        <v>206751</v>
      </c>
    </row>
    <row r="667" spans="1:21" x14ac:dyDescent="0.25">
      <c r="A667" s="967">
        <v>97423</v>
      </c>
      <c r="B667" s="968" t="s">
        <v>3304</v>
      </c>
      <c r="C667" s="969">
        <v>4.3600000000000003E-5</v>
      </c>
      <c r="D667" s="969">
        <v>4.5800000000000002E-5</v>
      </c>
      <c r="E667" s="1008">
        <v>42976</v>
      </c>
      <c r="F667" s="1011">
        <v>97203</v>
      </c>
      <c r="G667" s="970">
        <v>66609</v>
      </c>
      <c r="H667" s="970"/>
      <c r="I667" s="971">
        <v>3837</v>
      </c>
      <c r="J667" s="972">
        <v>16173</v>
      </c>
      <c r="K667" s="971">
        <v>9513</v>
      </c>
      <c r="L667" s="970">
        <v>35421</v>
      </c>
      <c r="M667" s="970"/>
      <c r="N667" s="971">
        <v>1885</v>
      </c>
      <c r="O667" s="971">
        <v>0</v>
      </c>
      <c r="P667" s="971">
        <v>0</v>
      </c>
      <c r="Q667" s="970">
        <v>0</v>
      </c>
      <c r="R667" s="970"/>
      <c r="S667" s="971">
        <v>22447</v>
      </c>
      <c r="T667" s="973">
        <v>12225</v>
      </c>
      <c r="U667" s="973">
        <v>34672</v>
      </c>
    </row>
    <row r="668" spans="1:21" x14ac:dyDescent="0.25">
      <c r="A668" s="967">
        <v>97431</v>
      </c>
      <c r="B668" s="968" t="s">
        <v>3305</v>
      </c>
      <c r="C668" s="969">
        <v>8.5599999999999994E-5</v>
      </c>
      <c r="D668" s="969">
        <v>8.5199999999999997E-5</v>
      </c>
      <c r="E668" s="1008">
        <v>44546</v>
      </c>
      <c r="F668" s="1011">
        <v>180823</v>
      </c>
      <c r="G668" s="970">
        <v>130773</v>
      </c>
      <c r="H668" s="970"/>
      <c r="I668" s="971">
        <v>7534</v>
      </c>
      <c r="J668" s="972">
        <v>31751</v>
      </c>
      <c r="K668" s="971">
        <v>18676</v>
      </c>
      <c r="L668" s="970">
        <v>6440</v>
      </c>
      <c r="M668" s="970"/>
      <c r="N668" s="971">
        <v>3702</v>
      </c>
      <c r="O668" s="971">
        <v>0</v>
      </c>
      <c r="P668" s="971">
        <v>0</v>
      </c>
      <c r="Q668" s="970">
        <v>0</v>
      </c>
      <c r="R668" s="970"/>
      <c r="S668" s="971">
        <v>44071</v>
      </c>
      <c r="T668" s="973">
        <v>2026</v>
      </c>
      <c r="U668" s="973">
        <v>46097</v>
      </c>
    </row>
    <row r="669" spans="1:21" x14ac:dyDescent="0.25">
      <c r="A669" s="967">
        <v>97441</v>
      </c>
      <c r="B669" s="968" t="s">
        <v>3306</v>
      </c>
      <c r="C669" s="969">
        <v>7.5799999999999999E-5</v>
      </c>
      <c r="D669" s="969">
        <v>7.0500000000000006E-5</v>
      </c>
      <c r="E669" s="1008">
        <v>25244</v>
      </c>
      <c r="F669" s="1011">
        <v>149625</v>
      </c>
      <c r="G669" s="970">
        <v>115801</v>
      </c>
      <c r="H669" s="970"/>
      <c r="I669" s="971">
        <v>6671</v>
      </c>
      <c r="J669" s="972">
        <v>28117</v>
      </c>
      <c r="K669" s="971">
        <v>16538</v>
      </c>
      <c r="L669" s="970">
        <v>202</v>
      </c>
      <c r="M669" s="970"/>
      <c r="N669" s="971">
        <v>3278</v>
      </c>
      <c r="O669" s="971">
        <v>0</v>
      </c>
      <c r="P669" s="971">
        <v>0</v>
      </c>
      <c r="Q669" s="970">
        <v>7671</v>
      </c>
      <c r="R669" s="970"/>
      <c r="S669" s="971">
        <v>39025</v>
      </c>
      <c r="T669" s="973">
        <v>-2235</v>
      </c>
      <c r="U669" s="973">
        <v>36790</v>
      </c>
    </row>
    <row r="670" spans="1:21" x14ac:dyDescent="0.25">
      <c r="A670" s="967">
        <v>97451</v>
      </c>
      <c r="B670" s="968" t="s">
        <v>3307</v>
      </c>
      <c r="C670" s="969">
        <v>5.5820000000000002E-4</v>
      </c>
      <c r="D670" s="969">
        <v>6.1039999999999998E-4</v>
      </c>
      <c r="E670" s="1008">
        <v>245214</v>
      </c>
      <c r="F670" s="1011">
        <v>1295473</v>
      </c>
      <c r="G670" s="970">
        <v>852775</v>
      </c>
      <c r="H670" s="970"/>
      <c r="I670" s="971">
        <v>49128</v>
      </c>
      <c r="J670" s="972">
        <v>207055</v>
      </c>
      <c r="K670" s="971">
        <v>121788</v>
      </c>
      <c r="L670" s="970">
        <v>19770</v>
      </c>
      <c r="M670" s="970"/>
      <c r="N670" s="971">
        <v>24139</v>
      </c>
      <c r="O670" s="971">
        <v>0</v>
      </c>
      <c r="P670" s="971">
        <v>0</v>
      </c>
      <c r="Q670" s="970">
        <v>47630</v>
      </c>
      <c r="R670" s="970"/>
      <c r="S670" s="971">
        <v>287386</v>
      </c>
      <c r="T670" s="973">
        <v>-2772</v>
      </c>
      <c r="U670" s="973">
        <v>284614</v>
      </c>
    </row>
    <row r="671" spans="1:21" x14ac:dyDescent="0.25">
      <c r="A671" s="967">
        <v>97461</v>
      </c>
      <c r="B671" s="968" t="s">
        <v>3308</v>
      </c>
      <c r="C671" s="969">
        <v>5.5650000000000003E-4</v>
      </c>
      <c r="D671" s="969">
        <v>5.1869999999999998E-4</v>
      </c>
      <c r="E671" s="1008">
        <v>228350</v>
      </c>
      <c r="F671" s="1011">
        <v>1100855</v>
      </c>
      <c r="G671" s="970">
        <v>850178</v>
      </c>
      <c r="H671" s="970"/>
      <c r="I671" s="971">
        <v>48978</v>
      </c>
      <c r="J671" s="972">
        <v>206424</v>
      </c>
      <c r="K671" s="971">
        <v>121417</v>
      </c>
      <c r="L671" s="970">
        <v>5855</v>
      </c>
      <c r="M671" s="970"/>
      <c r="N671" s="971">
        <v>24066</v>
      </c>
      <c r="O671" s="971">
        <v>0</v>
      </c>
      <c r="P671" s="971">
        <v>0</v>
      </c>
      <c r="Q671" s="970">
        <v>31609</v>
      </c>
      <c r="R671" s="970"/>
      <c r="S671" s="971">
        <v>286511</v>
      </c>
      <c r="T671" s="973">
        <v>-11321</v>
      </c>
      <c r="U671" s="973">
        <v>275190</v>
      </c>
    </row>
    <row r="672" spans="1:21" x14ac:dyDescent="0.25">
      <c r="A672" s="967">
        <v>97463</v>
      </c>
      <c r="B672" s="968" t="s">
        <v>3309</v>
      </c>
      <c r="C672" s="969">
        <v>4.1100000000000003E-5</v>
      </c>
      <c r="D672" s="969">
        <v>5.0099999999999998E-5</v>
      </c>
      <c r="E672" s="1008">
        <v>16312</v>
      </c>
      <c r="F672" s="1011">
        <v>106329</v>
      </c>
      <c r="G672" s="970">
        <v>62789</v>
      </c>
      <c r="H672" s="970"/>
      <c r="I672" s="971">
        <v>3617</v>
      </c>
      <c r="J672" s="972">
        <v>15246</v>
      </c>
      <c r="K672" s="971">
        <v>8967</v>
      </c>
      <c r="L672" s="970">
        <v>1420</v>
      </c>
      <c r="M672" s="970"/>
      <c r="N672" s="971">
        <v>1777</v>
      </c>
      <c r="O672" s="971">
        <v>0</v>
      </c>
      <c r="P672" s="971">
        <v>0</v>
      </c>
      <c r="Q672" s="970">
        <v>12499</v>
      </c>
      <c r="R672" s="970"/>
      <c r="S672" s="971">
        <v>21160</v>
      </c>
      <c r="T672" s="973">
        <v>-2447</v>
      </c>
      <c r="U672" s="973">
        <v>18713</v>
      </c>
    </row>
    <row r="673" spans="1:21" x14ac:dyDescent="0.25">
      <c r="A673" s="967">
        <v>97471</v>
      </c>
      <c r="B673" s="968" t="s">
        <v>3310</v>
      </c>
      <c r="C673" s="969">
        <v>1.22E-5</v>
      </c>
      <c r="D673" s="969">
        <v>1.27E-5</v>
      </c>
      <c r="E673" s="1008">
        <v>10247</v>
      </c>
      <c r="F673" s="1011">
        <v>26954</v>
      </c>
      <c r="G673" s="970">
        <v>18638</v>
      </c>
      <c r="H673" s="970"/>
      <c r="I673" s="971">
        <v>1074</v>
      </c>
      <c r="J673" s="972">
        <v>4526</v>
      </c>
      <c r="K673" s="971">
        <v>2662</v>
      </c>
      <c r="L673" s="970">
        <v>6770</v>
      </c>
      <c r="M673" s="970"/>
      <c r="N673" s="971">
        <v>528</v>
      </c>
      <c r="O673" s="971">
        <v>0</v>
      </c>
      <c r="P673" s="971">
        <v>0</v>
      </c>
      <c r="Q673" s="970">
        <v>0</v>
      </c>
      <c r="R673" s="970"/>
      <c r="S673" s="971">
        <v>6281</v>
      </c>
      <c r="T673" s="973">
        <v>2621</v>
      </c>
      <c r="U673" s="973">
        <v>8902</v>
      </c>
    </row>
    <row r="674" spans="1:21" x14ac:dyDescent="0.25">
      <c r="A674" s="967">
        <v>97481</v>
      </c>
      <c r="B674" s="968" t="s">
        <v>3311</v>
      </c>
      <c r="C674" s="969">
        <v>9.9000000000000001E-6</v>
      </c>
      <c r="D674" s="969">
        <v>1.63E-5</v>
      </c>
      <c r="E674" s="1008">
        <v>6015</v>
      </c>
      <c r="F674" s="1011">
        <v>34594</v>
      </c>
      <c r="G674" s="970">
        <v>15124</v>
      </c>
      <c r="H674" s="970"/>
      <c r="I674" s="971">
        <v>871</v>
      </c>
      <c r="J674" s="972">
        <v>3672</v>
      </c>
      <c r="K674" s="971">
        <v>2160</v>
      </c>
      <c r="L674" s="970">
        <v>3592</v>
      </c>
      <c r="M674" s="970"/>
      <c r="N674" s="971">
        <v>428</v>
      </c>
      <c r="O674" s="971">
        <v>0</v>
      </c>
      <c r="P674" s="971">
        <v>0</v>
      </c>
      <c r="Q674" s="970">
        <v>3115</v>
      </c>
      <c r="R674" s="970"/>
      <c r="S674" s="971">
        <v>5097</v>
      </c>
      <c r="T674" s="973">
        <v>1594</v>
      </c>
      <c r="U674" s="973">
        <v>6691</v>
      </c>
    </row>
    <row r="675" spans="1:21" x14ac:dyDescent="0.25">
      <c r="A675" s="967">
        <v>97491</v>
      </c>
      <c r="B675" s="968" t="s">
        <v>3312</v>
      </c>
      <c r="C675" s="969">
        <v>0</v>
      </c>
      <c r="D675" s="969">
        <v>0</v>
      </c>
      <c r="E675" s="1008">
        <v>0</v>
      </c>
      <c r="F675" s="1011">
        <v>0</v>
      </c>
      <c r="G675" s="970">
        <v>0</v>
      </c>
      <c r="H675" s="970"/>
      <c r="I675" s="971">
        <v>0</v>
      </c>
      <c r="J675" s="972">
        <v>0</v>
      </c>
      <c r="K675" s="971">
        <v>0</v>
      </c>
      <c r="L675" s="970">
        <v>0</v>
      </c>
      <c r="M675" s="970"/>
      <c r="N675" s="971">
        <v>0</v>
      </c>
      <c r="O675" s="971">
        <v>0</v>
      </c>
      <c r="P675" s="971">
        <v>0</v>
      </c>
      <c r="Q675" s="970">
        <v>7849</v>
      </c>
      <c r="R675" s="970"/>
      <c r="S675" s="971">
        <v>0</v>
      </c>
      <c r="T675" s="973">
        <v>-4941</v>
      </c>
      <c r="U675" s="973">
        <v>-4941</v>
      </c>
    </row>
    <row r="676" spans="1:21" x14ac:dyDescent="0.25">
      <c r="A676" s="967">
        <v>97501</v>
      </c>
      <c r="B676" s="968" t="s">
        <v>3313</v>
      </c>
      <c r="C676" s="969">
        <v>1.1000999999999999E-3</v>
      </c>
      <c r="D676" s="969">
        <v>9.6730000000000004E-4</v>
      </c>
      <c r="E676" s="1008">
        <v>517522</v>
      </c>
      <c r="F676" s="1011">
        <v>2052935</v>
      </c>
      <c r="G676" s="970">
        <v>1680648</v>
      </c>
      <c r="H676" s="970"/>
      <c r="I676" s="971">
        <v>96821</v>
      </c>
      <c r="J676" s="972">
        <v>408064</v>
      </c>
      <c r="K676" s="971">
        <v>240020</v>
      </c>
      <c r="L676" s="970">
        <v>125050</v>
      </c>
      <c r="M676" s="970"/>
      <c r="N676" s="971">
        <v>47574</v>
      </c>
      <c r="O676" s="971">
        <v>0</v>
      </c>
      <c r="P676" s="971">
        <v>0</v>
      </c>
      <c r="Q676" s="970">
        <v>0</v>
      </c>
      <c r="R676" s="970"/>
      <c r="S676" s="971">
        <v>566380</v>
      </c>
      <c r="T676" s="973">
        <v>44629</v>
      </c>
      <c r="U676" s="973">
        <v>611009</v>
      </c>
    </row>
    <row r="677" spans="1:21" x14ac:dyDescent="0.25">
      <c r="A677" s="967">
        <v>97511</v>
      </c>
      <c r="B677" s="968" t="s">
        <v>3314</v>
      </c>
      <c r="C677" s="969">
        <v>2.3450000000000001E-4</v>
      </c>
      <c r="D677" s="969">
        <v>2.3220000000000001E-4</v>
      </c>
      <c r="E677" s="1008">
        <v>112044</v>
      </c>
      <c r="F677" s="1011">
        <v>492806</v>
      </c>
      <c r="G677" s="970">
        <v>358251</v>
      </c>
      <c r="H677" s="970"/>
      <c r="I677" s="971">
        <v>20639</v>
      </c>
      <c r="J677" s="972">
        <v>86984</v>
      </c>
      <c r="K677" s="971">
        <v>51163</v>
      </c>
      <c r="L677" s="970">
        <v>12835</v>
      </c>
      <c r="M677" s="970"/>
      <c r="N677" s="971">
        <v>10141</v>
      </c>
      <c r="O677" s="971">
        <v>0</v>
      </c>
      <c r="P677" s="971">
        <v>0</v>
      </c>
      <c r="Q677" s="970">
        <v>844</v>
      </c>
      <c r="R677" s="970"/>
      <c r="S677" s="971">
        <v>120731</v>
      </c>
      <c r="T677" s="973">
        <v>3795</v>
      </c>
      <c r="U677" s="973">
        <v>124526</v>
      </c>
    </row>
    <row r="678" spans="1:21" x14ac:dyDescent="0.25">
      <c r="A678" s="967">
        <v>97521</v>
      </c>
      <c r="B678" s="968" t="s">
        <v>3315</v>
      </c>
      <c r="C678" s="969">
        <v>1.2870000000000001E-4</v>
      </c>
      <c r="D678" s="969">
        <v>1.293E-4</v>
      </c>
      <c r="E678" s="1008">
        <v>56688</v>
      </c>
      <c r="F678" s="1011">
        <v>274418</v>
      </c>
      <c r="G678" s="970">
        <v>196618</v>
      </c>
      <c r="H678" s="970"/>
      <c r="I678" s="971">
        <v>11327</v>
      </c>
      <c r="J678" s="972">
        <v>47739</v>
      </c>
      <c r="K678" s="971">
        <v>28080</v>
      </c>
      <c r="L678" s="970">
        <v>2190</v>
      </c>
      <c r="M678" s="970"/>
      <c r="N678" s="971">
        <v>5566</v>
      </c>
      <c r="O678" s="971">
        <v>0</v>
      </c>
      <c r="P678" s="971">
        <v>0</v>
      </c>
      <c r="Q678" s="970">
        <v>14589</v>
      </c>
      <c r="R678" s="970"/>
      <c r="S678" s="971">
        <v>66260</v>
      </c>
      <c r="T678" s="973">
        <v>-3628</v>
      </c>
      <c r="U678" s="973">
        <v>62632</v>
      </c>
    </row>
    <row r="679" spans="1:21" x14ac:dyDescent="0.25">
      <c r="A679" s="967">
        <v>97531</v>
      </c>
      <c r="B679" s="968" t="s">
        <v>3316</v>
      </c>
      <c r="C679" s="969">
        <v>4.32E-5</v>
      </c>
      <c r="D679" s="969">
        <v>3.6300000000000001E-5</v>
      </c>
      <c r="E679" s="1008">
        <v>25035</v>
      </c>
      <c r="F679" s="1011">
        <v>77041</v>
      </c>
      <c r="G679" s="970">
        <v>65998</v>
      </c>
      <c r="H679" s="970"/>
      <c r="I679" s="971">
        <v>3802</v>
      </c>
      <c r="J679" s="972">
        <v>16025</v>
      </c>
      <c r="K679" s="971">
        <v>9425</v>
      </c>
      <c r="L679" s="970">
        <v>11185</v>
      </c>
      <c r="M679" s="970"/>
      <c r="N679" s="971">
        <v>1868</v>
      </c>
      <c r="O679" s="971">
        <v>0</v>
      </c>
      <c r="P679" s="971">
        <v>0</v>
      </c>
      <c r="Q679" s="970">
        <v>9052</v>
      </c>
      <c r="R679" s="970"/>
      <c r="S679" s="971">
        <v>22241</v>
      </c>
      <c r="T679" s="973">
        <v>-2508</v>
      </c>
      <c r="U679" s="973">
        <f>19734-1</f>
        <v>19733</v>
      </c>
    </row>
    <row r="680" spans="1:21" x14ac:dyDescent="0.25">
      <c r="A680" s="967">
        <v>97601</v>
      </c>
      <c r="B680" s="968" t="s">
        <v>3317</v>
      </c>
      <c r="C680" s="969">
        <v>5.1672000000000003E-3</v>
      </c>
      <c r="D680" s="969">
        <v>4.7808E-3</v>
      </c>
      <c r="E680" s="1008">
        <v>2287000</v>
      </c>
      <c r="F680" s="1011">
        <v>10146459</v>
      </c>
      <c r="G680" s="970">
        <v>7894050</v>
      </c>
      <c r="H680" s="970"/>
      <c r="I680" s="971">
        <v>454770</v>
      </c>
      <c r="J680" s="972">
        <v>1916685</v>
      </c>
      <c r="K680" s="971">
        <v>1127380</v>
      </c>
      <c r="L680" s="970">
        <v>190925</v>
      </c>
      <c r="M680" s="970"/>
      <c r="N680" s="971">
        <v>223456</v>
      </c>
      <c r="O680" s="971">
        <v>0</v>
      </c>
      <c r="P680" s="971">
        <v>0</v>
      </c>
      <c r="Q680" s="970">
        <v>91443</v>
      </c>
      <c r="R680" s="970"/>
      <c r="S680" s="971">
        <v>2660302</v>
      </c>
      <c r="T680" s="973">
        <v>1665</v>
      </c>
      <c r="U680" s="973">
        <v>2661967</v>
      </c>
    </row>
    <row r="681" spans="1:21" x14ac:dyDescent="0.25">
      <c r="A681" s="967">
        <v>97607</v>
      </c>
      <c r="B681" s="968" t="s">
        <v>3318</v>
      </c>
      <c r="C681" s="969">
        <v>2.3200000000000001E-5</v>
      </c>
      <c r="D681" s="969">
        <v>1.9199999999999999E-5</v>
      </c>
      <c r="E681" s="1008">
        <v>17255</v>
      </c>
      <c r="F681" s="1011">
        <v>40749</v>
      </c>
      <c r="G681" s="970">
        <v>35443</v>
      </c>
      <c r="H681" s="970"/>
      <c r="I681" s="971">
        <v>2042</v>
      </c>
      <c r="J681" s="972">
        <v>8605</v>
      </c>
      <c r="K681" s="971">
        <v>5062</v>
      </c>
      <c r="L681" s="970">
        <v>13349</v>
      </c>
      <c r="M681" s="970"/>
      <c r="N681" s="971">
        <v>1003</v>
      </c>
      <c r="O681" s="971">
        <v>0</v>
      </c>
      <c r="P681" s="971">
        <v>0</v>
      </c>
      <c r="Q681" s="970">
        <v>0</v>
      </c>
      <c r="R681" s="970"/>
      <c r="S681" s="971">
        <v>11944</v>
      </c>
      <c r="T681" s="973">
        <v>5427</v>
      </c>
      <c r="U681" s="973">
        <v>17371</v>
      </c>
    </row>
    <row r="682" spans="1:21" x14ac:dyDescent="0.25">
      <c r="A682" s="967">
        <v>97611</v>
      </c>
      <c r="B682" s="968" t="s">
        <v>3319</v>
      </c>
      <c r="C682" s="969">
        <v>2.4767999999999999E-3</v>
      </c>
      <c r="D682" s="969">
        <v>2.5750999999999999E-3</v>
      </c>
      <c r="E682" s="1008">
        <v>1108488</v>
      </c>
      <c r="F682" s="1011">
        <v>5465225</v>
      </c>
      <c r="G682" s="970">
        <v>3783864</v>
      </c>
      <c r="H682" s="970"/>
      <c r="I682" s="971">
        <v>217986</v>
      </c>
      <c r="J682" s="972">
        <v>918727</v>
      </c>
      <c r="K682" s="971">
        <v>540388</v>
      </c>
      <c r="L682" s="970">
        <v>0</v>
      </c>
      <c r="M682" s="970"/>
      <c r="N682" s="971">
        <v>107109</v>
      </c>
      <c r="O682" s="971">
        <v>0</v>
      </c>
      <c r="P682" s="971">
        <v>0</v>
      </c>
      <c r="Q682" s="970">
        <v>276084</v>
      </c>
      <c r="R682" s="970"/>
      <c r="S682" s="971">
        <v>1275166</v>
      </c>
      <c r="T682" s="973">
        <v>-116051</v>
      </c>
      <c r="U682" s="973">
        <v>1159115</v>
      </c>
    </row>
    <row r="683" spans="1:21" x14ac:dyDescent="0.25">
      <c r="A683" s="967">
        <v>97613</v>
      </c>
      <c r="B683" s="968" t="s">
        <v>3320</v>
      </c>
      <c r="C683" s="969">
        <v>1.1629999999999999E-4</v>
      </c>
      <c r="D683" s="969">
        <v>1.2459999999999999E-4</v>
      </c>
      <c r="E683" s="1008">
        <v>60157</v>
      </c>
      <c r="F683" s="1011">
        <v>264443</v>
      </c>
      <c r="G683" s="970">
        <v>177674</v>
      </c>
      <c r="H683" s="970"/>
      <c r="I683" s="971">
        <v>10236</v>
      </c>
      <c r="J683" s="972">
        <v>43140</v>
      </c>
      <c r="K683" s="971">
        <v>25374</v>
      </c>
      <c r="L683" s="970">
        <v>3969</v>
      </c>
      <c r="M683" s="970"/>
      <c r="N683" s="971">
        <v>5029</v>
      </c>
      <c r="O683" s="971">
        <v>0</v>
      </c>
      <c r="P683" s="971">
        <v>0</v>
      </c>
      <c r="Q683" s="970">
        <v>3579</v>
      </c>
      <c r="R683" s="970"/>
      <c r="S683" s="971">
        <v>59876</v>
      </c>
      <c r="T683" s="973">
        <v>-543</v>
      </c>
      <c r="U683" s="973">
        <f>59334-1</f>
        <v>59333</v>
      </c>
    </row>
    <row r="684" spans="1:21" x14ac:dyDescent="0.25">
      <c r="A684" s="967">
        <v>97621</v>
      </c>
      <c r="B684" s="968" t="s">
        <v>3321</v>
      </c>
      <c r="C684" s="969">
        <v>4.5179999999999998E-4</v>
      </c>
      <c r="D684" s="969">
        <v>4.7429999999999998E-4</v>
      </c>
      <c r="E684" s="1008">
        <v>179047</v>
      </c>
      <c r="F684" s="1011">
        <v>1006623</v>
      </c>
      <c r="G684" s="970">
        <v>690225</v>
      </c>
      <c r="H684" s="970"/>
      <c r="I684" s="971">
        <v>39763</v>
      </c>
      <c r="J684" s="972">
        <v>167588</v>
      </c>
      <c r="K684" s="971">
        <v>98574</v>
      </c>
      <c r="L684" s="970">
        <v>15836</v>
      </c>
      <c r="M684" s="970"/>
      <c r="N684" s="971">
        <v>19538</v>
      </c>
      <c r="O684" s="971">
        <v>0</v>
      </c>
      <c r="P684" s="971">
        <v>0</v>
      </c>
      <c r="Q684" s="970">
        <v>70017</v>
      </c>
      <c r="R684" s="970"/>
      <c r="S684" s="971">
        <v>232607</v>
      </c>
      <c r="T684" s="973">
        <v>-11992</v>
      </c>
      <c r="U684" s="973">
        <v>220615</v>
      </c>
    </row>
    <row r="685" spans="1:21" x14ac:dyDescent="0.25">
      <c r="A685" s="967">
        <v>97623</v>
      </c>
      <c r="B685" s="968" t="s">
        <v>3322</v>
      </c>
      <c r="C685" s="969">
        <v>2.9499999999999999E-5</v>
      </c>
      <c r="D685" s="969">
        <v>2.9200000000000002E-5</v>
      </c>
      <c r="E685" s="1008">
        <v>11113</v>
      </c>
      <c r="F685" s="1011">
        <v>61972</v>
      </c>
      <c r="G685" s="970">
        <v>45068</v>
      </c>
      <c r="H685" s="970"/>
      <c r="I685" s="971">
        <v>2596</v>
      </c>
      <c r="J685" s="972">
        <v>10942</v>
      </c>
      <c r="K685" s="971">
        <v>6436</v>
      </c>
      <c r="L685" s="970">
        <v>6505</v>
      </c>
      <c r="M685" s="970"/>
      <c r="N685" s="971">
        <v>1276</v>
      </c>
      <c r="O685" s="971">
        <v>0</v>
      </c>
      <c r="P685" s="971">
        <v>0</v>
      </c>
      <c r="Q685" s="970">
        <v>1742</v>
      </c>
      <c r="R685" s="970"/>
      <c r="S685" s="971">
        <v>15188</v>
      </c>
      <c r="T685" s="973">
        <v>3252</v>
      </c>
      <c r="U685" s="973">
        <v>18440</v>
      </c>
    </row>
    <row r="686" spans="1:21" x14ac:dyDescent="0.25">
      <c r="A686" s="967">
        <v>97627</v>
      </c>
      <c r="B686" s="968" t="s">
        <v>3323</v>
      </c>
      <c r="C686" s="969">
        <v>9.7000000000000003E-6</v>
      </c>
      <c r="D686" s="969">
        <v>1.0200000000000001E-5</v>
      </c>
      <c r="E686" s="1008">
        <v>5008</v>
      </c>
      <c r="F686" s="1011">
        <v>21648</v>
      </c>
      <c r="G686" s="970">
        <v>14819</v>
      </c>
      <c r="H686" s="970"/>
      <c r="I686" s="971">
        <v>854</v>
      </c>
      <c r="J686" s="972">
        <v>3599</v>
      </c>
      <c r="K686" s="971">
        <v>2116</v>
      </c>
      <c r="L686" s="970">
        <v>714</v>
      </c>
      <c r="M686" s="970"/>
      <c r="N686" s="971">
        <v>419</v>
      </c>
      <c r="O686" s="971">
        <v>0</v>
      </c>
      <c r="P686" s="971">
        <v>0</v>
      </c>
      <c r="Q686" s="970">
        <v>1008</v>
      </c>
      <c r="R686" s="970"/>
      <c r="S686" s="971">
        <v>4994</v>
      </c>
      <c r="T686" s="973">
        <v>-190</v>
      </c>
      <c r="U686" s="973">
        <v>4804</v>
      </c>
    </row>
    <row r="687" spans="1:21" x14ac:dyDescent="0.25">
      <c r="A687" s="967">
        <v>97631</v>
      </c>
      <c r="B687" s="968" t="s">
        <v>3324</v>
      </c>
      <c r="C687" s="969">
        <v>2.051E-4</v>
      </c>
      <c r="D687" s="969">
        <v>2.009E-4</v>
      </c>
      <c r="E687" s="1008">
        <v>85999</v>
      </c>
      <c r="F687" s="1011">
        <v>426377</v>
      </c>
      <c r="G687" s="970">
        <v>313336</v>
      </c>
      <c r="H687" s="970"/>
      <c r="I687" s="971">
        <v>18051</v>
      </c>
      <c r="J687" s="972">
        <v>76078</v>
      </c>
      <c r="K687" s="971">
        <v>44749</v>
      </c>
      <c r="L687" s="970">
        <v>9311</v>
      </c>
      <c r="M687" s="970"/>
      <c r="N687" s="971">
        <v>8870</v>
      </c>
      <c r="O687" s="971">
        <v>0</v>
      </c>
      <c r="P687" s="971">
        <v>0</v>
      </c>
      <c r="Q687" s="970">
        <v>3711</v>
      </c>
      <c r="R687" s="970"/>
      <c r="S687" s="971">
        <v>105595</v>
      </c>
      <c r="T687" s="973">
        <v>4564</v>
      </c>
      <c r="U687" s="973">
        <f>110158+1</f>
        <v>110159</v>
      </c>
    </row>
    <row r="688" spans="1:21" x14ac:dyDescent="0.25">
      <c r="A688" s="967">
        <v>97637</v>
      </c>
      <c r="B688" s="968" t="s">
        <v>3325</v>
      </c>
      <c r="C688" s="969">
        <v>4.3000000000000003E-6</v>
      </c>
      <c r="D688" s="969">
        <v>4.7999999999999998E-6</v>
      </c>
      <c r="E688" s="1008">
        <v>3072</v>
      </c>
      <c r="F688" s="1011">
        <v>10187</v>
      </c>
      <c r="G688" s="970">
        <v>6569</v>
      </c>
      <c r="H688" s="970"/>
      <c r="I688" s="971">
        <v>378</v>
      </c>
      <c r="J688" s="972">
        <v>1595</v>
      </c>
      <c r="K688" s="971">
        <v>938</v>
      </c>
      <c r="L688" s="970">
        <v>944</v>
      </c>
      <c r="M688" s="970"/>
      <c r="N688" s="971">
        <v>186</v>
      </c>
      <c r="O688" s="971">
        <v>0</v>
      </c>
      <c r="P688" s="971">
        <v>0</v>
      </c>
      <c r="Q688" s="970">
        <v>30</v>
      </c>
      <c r="R688" s="970"/>
      <c r="S688" s="971">
        <v>2214</v>
      </c>
      <c r="T688" s="973">
        <v>380</v>
      </c>
      <c r="U688" s="973">
        <v>2594</v>
      </c>
    </row>
    <row r="689" spans="1:21" x14ac:dyDescent="0.25">
      <c r="A689" s="967">
        <v>97641</v>
      </c>
      <c r="B689" s="968" t="s">
        <v>3326</v>
      </c>
      <c r="C689" s="969">
        <v>6.8899999999999994E-5</v>
      </c>
      <c r="D689" s="969">
        <v>6.9999999999999994E-5</v>
      </c>
      <c r="E689" s="1008">
        <v>35027</v>
      </c>
      <c r="F689" s="1011">
        <v>148563</v>
      </c>
      <c r="G689" s="970">
        <v>105260</v>
      </c>
      <c r="H689" s="970"/>
      <c r="I689" s="971">
        <v>6064</v>
      </c>
      <c r="J689" s="972">
        <v>25557</v>
      </c>
      <c r="K689" s="971">
        <v>15033</v>
      </c>
      <c r="L689" s="970">
        <v>13063</v>
      </c>
      <c r="M689" s="970"/>
      <c r="N689" s="971">
        <v>2980</v>
      </c>
      <c r="O689" s="971">
        <v>0</v>
      </c>
      <c r="P689" s="971">
        <v>0</v>
      </c>
      <c r="Q689" s="970">
        <v>2889</v>
      </c>
      <c r="R689" s="970"/>
      <c r="S689" s="971">
        <v>35473</v>
      </c>
      <c r="T689" s="973">
        <v>2041</v>
      </c>
      <c r="U689" s="973">
        <v>37514</v>
      </c>
    </row>
    <row r="690" spans="1:21" x14ac:dyDescent="0.25">
      <c r="A690" s="967">
        <v>97651</v>
      </c>
      <c r="B690" s="968" t="s">
        <v>3327</v>
      </c>
      <c r="C690" s="969">
        <v>5.1979999999999995E-4</v>
      </c>
      <c r="D690" s="969">
        <v>5.1579999999999996E-4</v>
      </c>
      <c r="E690" s="1008">
        <v>222466</v>
      </c>
      <c r="F690" s="1011">
        <v>1094700</v>
      </c>
      <c r="G690" s="970">
        <v>794110</v>
      </c>
      <c r="H690" s="970"/>
      <c r="I690" s="971">
        <v>45748</v>
      </c>
      <c r="J690" s="972">
        <v>192810</v>
      </c>
      <c r="K690" s="971">
        <v>113410</v>
      </c>
      <c r="L690" s="970">
        <v>2621</v>
      </c>
      <c r="M690" s="970"/>
      <c r="N690" s="971">
        <v>22479</v>
      </c>
      <c r="O690" s="971">
        <v>0</v>
      </c>
      <c r="P690" s="971">
        <v>0</v>
      </c>
      <c r="Q690" s="970">
        <v>43572</v>
      </c>
      <c r="R690" s="970"/>
      <c r="S690" s="971">
        <v>267616</v>
      </c>
      <c r="T690" s="973">
        <v>-19628</v>
      </c>
      <c r="U690" s="973">
        <v>247988</v>
      </c>
    </row>
    <row r="691" spans="1:21" x14ac:dyDescent="0.25">
      <c r="A691" s="967">
        <v>97661</v>
      </c>
      <c r="B691" s="968" t="s">
        <v>3328</v>
      </c>
      <c r="C691" s="969">
        <v>5.1600000000000001E-5</v>
      </c>
      <c r="D691" s="969">
        <v>4.3900000000000003E-5</v>
      </c>
      <c r="E691" s="1008">
        <v>24366</v>
      </c>
      <c r="F691" s="1011">
        <v>93171</v>
      </c>
      <c r="G691" s="970">
        <v>78831</v>
      </c>
      <c r="H691" s="970"/>
      <c r="I691" s="971">
        <v>4541</v>
      </c>
      <c r="J691" s="972">
        <v>19140</v>
      </c>
      <c r="K691" s="971">
        <v>11258</v>
      </c>
      <c r="L691" s="970">
        <v>13582</v>
      </c>
      <c r="M691" s="970"/>
      <c r="N691" s="971">
        <v>2231</v>
      </c>
      <c r="O691" s="971">
        <v>0</v>
      </c>
      <c r="P691" s="971">
        <v>0</v>
      </c>
      <c r="Q691" s="970">
        <v>1913</v>
      </c>
      <c r="R691" s="970"/>
      <c r="S691" s="971">
        <v>26566</v>
      </c>
      <c r="T691" s="973">
        <v>4861</v>
      </c>
      <c r="U691" s="973">
        <v>31427</v>
      </c>
    </row>
    <row r="692" spans="1:21" x14ac:dyDescent="0.25">
      <c r="A692" s="967">
        <v>97701</v>
      </c>
      <c r="B692" s="968" t="s">
        <v>3329</v>
      </c>
      <c r="C692" s="969">
        <v>2.4975000000000002E-3</v>
      </c>
      <c r="D692" s="969">
        <v>2.5081000000000001E-3</v>
      </c>
      <c r="E692" s="1008">
        <v>1156152</v>
      </c>
      <c r="F692" s="1011">
        <v>5323028</v>
      </c>
      <c r="G692" s="970">
        <v>3815488</v>
      </c>
      <c r="H692" s="970"/>
      <c r="I692" s="971">
        <v>219807</v>
      </c>
      <c r="J692" s="972">
        <v>926405</v>
      </c>
      <c r="K692" s="971">
        <v>544905</v>
      </c>
      <c r="L692" s="970">
        <v>22724</v>
      </c>
      <c r="M692" s="970"/>
      <c r="N692" s="971">
        <v>108004</v>
      </c>
      <c r="O692" s="971">
        <v>0</v>
      </c>
      <c r="P692" s="971">
        <v>0</v>
      </c>
      <c r="Q692" s="970">
        <v>8673</v>
      </c>
      <c r="R692" s="970"/>
      <c r="S692" s="971">
        <v>1285823</v>
      </c>
      <c r="T692" s="973">
        <v>670</v>
      </c>
      <c r="U692" s="973">
        <v>1286493</v>
      </c>
    </row>
    <row r="693" spans="1:21" x14ac:dyDescent="0.25">
      <c r="A693" s="967">
        <v>97705</v>
      </c>
      <c r="B693" s="968" t="s">
        <v>3330</v>
      </c>
      <c r="C693" s="969">
        <v>4.7700000000000001E-5</v>
      </c>
      <c r="D693" s="969">
        <v>6.41E-5</v>
      </c>
      <c r="E693" s="1008">
        <v>22209</v>
      </c>
      <c r="F693" s="1011">
        <v>136042</v>
      </c>
      <c r="G693" s="970">
        <v>72872</v>
      </c>
      <c r="H693" s="970"/>
      <c r="I693" s="971">
        <v>4198</v>
      </c>
      <c r="J693" s="972">
        <v>17694</v>
      </c>
      <c r="K693" s="971">
        <v>10407</v>
      </c>
      <c r="L693" s="970">
        <v>5558</v>
      </c>
      <c r="M693" s="970"/>
      <c r="N693" s="971">
        <v>2063</v>
      </c>
      <c r="O693" s="971">
        <v>0</v>
      </c>
      <c r="P693" s="971">
        <v>0</v>
      </c>
      <c r="Q693" s="970">
        <v>13023</v>
      </c>
      <c r="R693" s="970"/>
      <c r="S693" s="971">
        <v>24558</v>
      </c>
      <c r="T693" s="973">
        <v>105</v>
      </c>
      <c r="U693" s="973">
        <v>24663</v>
      </c>
    </row>
    <row r="694" spans="1:21" x14ac:dyDescent="0.25">
      <c r="A694" s="967">
        <v>97711</v>
      </c>
      <c r="B694" s="968" t="s">
        <v>3331</v>
      </c>
      <c r="C694" s="969">
        <v>9.0879999999999997E-4</v>
      </c>
      <c r="D694" s="969">
        <v>9.3789999999999998E-4</v>
      </c>
      <c r="E694" s="1008">
        <v>424324</v>
      </c>
      <c r="F694" s="1011">
        <v>1990538</v>
      </c>
      <c r="G694" s="970">
        <v>1388395</v>
      </c>
      <c r="H694" s="970"/>
      <c r="I694" s="971">
        <v>79984</v>
      </c>
      <c r="J694" s="972">
        <v>337104</v>
      </c>
      <c r="K694" s="971">
        <v>198282</v>
      </c>
      <c r="L694" s="970">
        <v>9966</v>
      </c>
      <c r="M694" s="970"/>
      <c r="N694" s="971">
        <v>39301</v>
      </c>
      <c r="O694" s="971">
        <v>0</v>
      </c>
      <c r="P694" s="971">
        <v>0</v>
      </c>
      <c r="Q694" s="970">
        <v>31902</v>
      </c>
      <c r="R694" s="970"/>
      <c r="S694" s="971">
        <v>467890</v>
      </c>
      <c r="T694" s="973">
        <v>-1258</v>
      </c>
      <c r="U694" s="973">
        <v>466632</v>
      </c>
    </row>
    <row r="695" spans="1:21" x14ac:dyDescent="0.25">
      <c r="A695" s="967">
        <v>97713</v>
      </c>
      <c r="B695" s="968" t="s">
        <v>3332</v>
      </c>
      <c r="C695" s="969">
        <v>4.1199999999999999E-5</v>
      </c>
      <c r="D695" s="969">
        <v>5.3699999999999997E-5</v>
      </c>
      <c r="E695" s="1008">
        <v>17328</v>
      </c>
      <c r="F695" s="1011">
        <v>113969</v>
      </c>
      <c r="G695" s="970">
        <v>62942</v>
      </c>
      <c r="H695" s="970"/>
      <c r="I695" s="971">
        <v>3626</v>
      </c>
      <c r="J695" s="972">
        <v>15283</v>
      </c>
      <c r="K695" s="971">
        <v>8989</v>
      </c>
      <c r="L695" s="970">
        <v>927</v>
      </c>
      <c r="M695" s="970"/>
      <c r="N695" s="971">
        <v>1782</v>
      </c>
      <c r="O695" s="971">
        <v>0</v>
      </c>
      <c r="P695" s="971">
        <v>0</v>
      </c>
      <c r="Q695" s="970">
        <v>16932</v>
      </c>
      <c r="R695" s="970"/>
      <c r="S695" s="971">
        <v>21212</v>
      </c>
      <c r="T695" s="973">
        <v>-4802</v>
      </c>
      <c r="U695" s="973">
        <v>16410</v>
      </c>
    </row>
    <row r="696" spans="1:21" x14ac:dyDescent="0.25">
      <c r="A696" s="967">
        <v>97717</v>
      </c>
      <c r="B696" s="968" t="s">
        <v>3333</v>
      </c>
      <c r="C696" s="969">
        <v>4.6999999999999999E-6</v>
      </c>
      <c r="D696" s="969">
        <v>7.5000000000000002E-6</v>
      </c>
      <c r="E696" s="1008">
        <v>2478</v>
      </c>
      <c r="F696" s="1011">
        <v>15918</v>
      </c>
      <c r="G696" s="970">
        <v>7180</v>
      </c>
      <c r="H696" s="970"/>
      <c r="I696" s="971">
        <v>414</v>
      </c>
      <c r="J696" s="972">
        <v>1743</v>
      </c>
      <c r="K696" s="971">
        <v>1025</v>
      </c>
      <c r="L696" s="970">
        <v>1078</v>
      </c>
      <c r="M696" s="970"/>
      <c r="N696" s="971">
        <v>203</v>
      </c>
      <c r="O696" s="971">
        <v>0</v>
      </c>
      <c r="P696" s="971">
        <v>0</v>
      </c>
      <c r="Q696" s="970">
        <v>3394</v>
      </c>
      <c r="R696" s="970"/>
      <c r="S696" s="971">
        <v>2420</v>
      </c>
      <c r="T696" s="973">
        <v>-1550</v>
      </c>
      <c r="U696" s="973">
        <f>869+1</f>
        <v>870</v>
      </c>
    </row>
    <row r="697" spans="1:21" x14ac:dyDescent="0.25">
      <c r="A697" s="967">
        <v>97721</v>
      </c>
      <c r="B697" s="968" t="s">
        <v>3334</v>
      </c>
      <c r="C697" s="969">
        <v>5.6599999999999999E-4</v>
      </c>
      <c r="D697" s="969">
        <v>5.7249999999999998E-4</v>
      </c>
      <c r="E697" s="1008">
        <v>255785</v>
      </c>
      <c r="F697" s="1011">
        <v>1215037</v>
      </c>
      <c r="G697" s="970">
        <v>864691</v>
      </c>
      <c r="H697" s="970"/>
      <c r="I697" s="971">
        <v>49814</v>
      </c>
      <c r="J697" s="972">
        <v>209948</v>
      </c>
      <c r="K697" s="971">
        <v>123490</v>
      </c>
      <c r="L697" s="970">
        <v>13608</v>
      </c>
      <c r="M697" s="970"/>
      <c r="N697" s="971">
        <v>24477</v>
      </c>
      <c r="O697" s="971">
        <v>0</v>
      </c>
      <c r="P697" s="971">
        <v>0</v>
      </c>
      <c r="Q697" s="970">
        <v>31303</v>
      </c>
      <c r="R697" s="970"/>
      <c r="S697" s="971">
        <v>291402</v>
      </c>
      <c r="T697" s="973">
        <v>-9026</v>
      </c>
      <c r="U697" s="973">
        <v>282376</v>
      </c>
    </row>
    <row r="698" spans="1:21" x14ac:dyDescent="0.25">
      <c r="A698" s="967">
        <v>97727</v>
      </c>
      <c r="B698" s="968" t="s">
        <v>3335</v>
      </c>
      <c r="C698" s="969">
        <v>2.27E-5</v>
      </c>
      <c r="D698" s="969">
        <v>2.37E-5</v>
      </c>
      <c r="E698" s="1008">
        <v>10992</v>
      </c>
      <c r="F698" s="1011">
        <v>50299</v>
      </c>
      <c r="G698" s="970">
        <v>34679</v>
      </c>
      <c r="H698" s="970"/>
      <c r="I698" s="971">
        <v>1998</v>
      </c>
      <c r="J698" s="972">
        <v>8420</v>
      </c>
      <c r="K698" s="971">
        <v>4953</v>
      </c>
      <c r="L698" s="970">
        <v>0</v>
      </c>
      <c r="M698" s="970"/>
      <c r="N698" s="971">
        <v>982</v>
      </c>
      <c r="O698" s="971">
        <v>0</v>
      </c>
      <c r="P698" s="971">
        <v>0</v>
      </c>
      <c r="Q698" s="970">
        <v>2260</v>
      </c>
      <c r="R698" s="970"/>
      <c r="S698" s="971">
        <v>11687</v>
      </c>
      <c r="T698" s="973">
        <v>-1260</v>
      </c>
      <c r="U698" s="973">
        <v>10427</v>
      </c>
    </row>
    <row r="699" spans="1:21" x14ac:dyDescent="0.25">
      <c r="A699" s="967">
        <v>97731</v>
      </c>
      <c r="B699" s="968" t="s">
        <v>3336</v>
      </c>
      <c r="C699" s="969">
        <v>3.5500000000000002E-5</v>
      </c>
      <c r="D699" s="969">
        <v>3.7100000000000001E-5</v>
      </c>
      <c r="E699" s="1008">
        <v>18460</v>
      </c>
      <c r="F699" s="1011">
        <v>78739</v>
      </c>
      <c r="G699" s="970">
        <v>54234</v>
      </c>
      <c r="H699" s="970"/>
      <c r="I699" s="971">
        <v>3124</v>
      </c>
      <c r="J699" s="972">
        <v>13168</v>
      </c>
      <c r="K699" s="971">
        <v>7745</v>
      </c>
      <c r="L699" s="970">
        <v>6361</v>
      </c>
      <c r="M699" s="970"/>
      <c r="N699" s="971">
        <v>1535</v>
      </c>
      <c r="O699" s="971">
        <v>0</v>
      </c>
      <c r="P699" s="971">
        <v>0</v>
      </c>
      <c r="Q699" s="970">
        <v>0</v>
      </c>
      <c r="R699" s="970"/>
      <c r="S699" s="971">
        <v>18277</v>
      </c>
      <c r="T699" s="973">
        <v>2961</v>
      </c>
      <c r="U699" s="973">
        <v>21238</v>
      </c>
    </row>
    <row r="700" spans="1:21" x14ac:dyDescent="0.25">
      <c r="A700" s="967">
        <v>97801</v>
      </c>
      <c r="B700" s="968" t="s">
        <v>3693</v>
      </c>
      <c r="C700" s="969">
        <v>6.9303000000000003E-3</v>
      </c>
      <c r="D700" s="969">
        <v>7.3343000000000002E-3</v>
      </c>
      <c r="E700" s="1008">
        <v>3179609</v>
      </c>
      <c r="F700" s="1011">
        <v>0</v>
      </c>
      <c r="G700" s="970">
        <v>10587579</v>
      </c>
      <c r="H700" s="970"/>
      <c r="I700" s="971">
        <v>609943</v>
      </c>
      <c r="J700" s="972">
        <v>2570677</v>
      </c>
      <c r="K700" s="971">
        <v>1512053</v>
      </c>
      <c r="L700" s="970">
        <v>27764</v>
      </c>
      <c r="M700" s="970"/>
      <c r="N700" s="971">
        <v>299701</v>
      </c>
      <c r="O700" s="971">
        <v>0</v>
      </c>
      <c r="P700" s="971">
        <v>0</v>
      </c>
      <c r="Q700" s="970">
        <v>406805</v>
      </c>
      <c r="R700" s="970"/>
      <c r="S700" s="971">
        <v>3568023</v>
      </c>
      <c r="T700" s="973">
        <v>-97576</v>
      </c>
      <c r="U700" s="973">
        <v>3470447</v>
      </c>
    </row>
    <row r="701" spans="1:21" x14ac:dyDescent="0.25">
      <c r="A701" s="967">
        <v>97802</v>
      </c>
      <c r="B701" s="968" t="s">
        <v>3338</v>
      </c>
      <c r="C701" s="969">
        <v>1.5300000000000001E-4</v>
      </c>
      <c r="D701" s="969">
        <v>1.8120000000000001E-4</v>
      </c>
      <c r="E701" s="1008">
        <v>76715</v>
      </c>
      <c r="F701" s="1011">
        <v>384567</v>
      </c>
      <c r="G701" s="970">
        <v>233742</v>
      </c>
      <c r="H701" s="970"/>
      <c r="I701" s="971">
        <v>13466</v>
      </c>
      <c r="J701" s="972">
        <v>56753</v>
      </c>
      <c r="K701" s="971">
        <v>33382</v>
      </c>
      <c r="L701" s="970">
        <v>9696</v>
      </c>
      <c r="M701" s="970"/>
      <c r="N701" s="971">
        <v>6616</v>
      </c>
      <c r="O701" s="971">
        <v>0</v>
      </c>
      <c r="P701" s="971">
        <v>0</v>
      </c>
      <c r="Q701" s="970">
        <v>28235</v>
      </c>
      <c r="R701" s="970"/>
      <c r="S701" s="971">
        <v>78771</v>
      </c>
      <c r="T701" s="973">
        <v>-1176</v>
      </c>
      <c r="U701" s="973">
        <v>77595</v>
      </c>
    </row>
    <row r="702" spans="1:21" x14ac:dyDescent="0.25">
      <c r="A702" s="967">
        <v>97803</v>
      </c>
      <c r="B702" s="968" t="s">
        <v>3339</v>
      </c>
      <c r="C702" s="969">
        <v>7.5300000000000001E-5</v>
      </c>
      <c r="D702" s="969">
        <v>7.9099999999999998E-5</v>
      </c>
      <c r="E702" s="1008">
        <v>38231</v>
      </c>
      <c r="F702" s="1011">
        <v>167877</v>
      </c>
      <c r="G702" s="970">
        <v>115038</v>
      </c>
      <c r="H702" s="970"/>
      <c r="I702" s="971">
        <v>6627</v>
      </c>
      <c r="J702" s="972">
        <v>27931</v>
      </c>
      <c r="K702" s="971">
        <v>16429</v>
      </c>
      <c r="L702" s="970">
        <v>5581</v>
      </c>
      <c r="M702" s="970"/>
      <c r="N702" s="971">
        <v>3256</v>
      </c>
      <c r="O702" s="971">
        <v>0</v>
      </c>
      <c r="P702" s="971">
        <v>0</v>
      </c>
      <c r="Q702" s="970">
        <v>1522</v>
      </c>
      <c r="R702" s="970"/>
      <c r="S702" s="971">
        <v>38768</v>
      </c>
      <c r="T702" s="973">
        <v>3424</v>
      </c>
      <c r="U702" s="973">
        <v>42192</v>
      </c>
    </row>
    <row r="703" spans="1:21" x14ac:dyDescent="0.25">
      <c r="A703" s="967">
        <v>97805</v>
      </c>
      <c r="B703" s="968" t="s">
        <v>3340</v>
      </c>
      <c r="C703" s="969">
        <v>7.9400000000000006E-5</v>
      </c>
      <c r="D703" s="969">
        <v>8.2600000000000002E-5</v>
      </c>
      <c r="E703" s="1008">
        <v>39471</v>
      </c>
      <c r="F703" s="1011">
        <v>175305</v>
      </c>
      <c r="G703" s="970">
        <v>121301</v>
      </c>
      <c r="H703" s="970"/>
      <c r="I703" s="971">
        <v>6988</v>
      </c>
      <c r="J703" s="972">
        <v>29452</v>
      </c>
      <c r="K703" s="971">
        <v>17323</v>
      </c>
      <c r="L703" s="970">
        <v>9711</v>
      </c>
      <c r="M703" s="970"/>
      <c r="N703" s="971">
        <v>3434</v>
      </c>
      <c r="O703" s="971">
        <v>0</v>
      </c>
      <c r="P703" s="971">
        <v>0</v>
      </c>
      <c r="Q703" s="970">
        <v>226</v>
      </c>
      <c r="R703" s="970"/>
      <c r="S703" s="971">
        <v>40879</v>
      </c>
      <c r="T703" s="973">
        <v>3824</v>
      </c>
      <c r="U703" s="973">
        <v>44703</v>
      </c>
    </row>
    <row r="704" spans="1:21" x14ac:dyDescent="0.25">
      <c r="A704" s="967">
        <v>97811</v>
      </c>
      <c r="B704" s="968" t="s">
        <v>3341</v>
      </c>
      <c r="C704" s="969">
        <v>2.4172E-3</v>
      </c>
      <c r="D704" s="969">
        <v>2.4088E-3</v>
      </c>
      <c r="E704" s="1008">
        <v>1101270</v>
      </c>
      <c r="F704" s="1011">
        <v>5112281</v>
      </c>
      <c r="G704" s="970">
        <v>3692812</v>
      </c>
      <c r="H704" s="970"/>
      <c r="I704" s="971">
        <v>212740</v>
      </c>
      <c r="J704" s="972">
        <v>896619</v>
      </c>
      <c r="K704" s="971">
        <v>527385</v>
      </c>
      <c r="L704" s="970">
        <v>0</v>
      </c>
      <c r="M704" s="970"/>
      <c r="N704" s="971">
        <v>104532</v>
      </c>
      <c r="O704" s="971">
        <v>0</v>
      </c>
      <c r="P704" s="971">
        <v>0</v>
      </c>
      <c r="Q704" s="970">
        <v>164062</v>
      </c>
      <c r="R704" s="970"/>
      <c r="S704" s="971">
        <v>1244481</v>
      </c>
      <c r="T704" s="973">
        <v>-73272</v>
      </c>
      <c r="U704" s="973">
        <v>1171209</v>
      </c>
    </row>
    <row r="705" spans="1:21" x14ac:dyDescent="0.25">
      <c r="A705" s="967">
        <v>97817</v>
      </c>
      <c r="B705" s="968" t="s">
        <v>3342</v>
      </c>
      <c r="C705" s="969">
        <v>2.2200000000000001E-5</v>
      </c>
      <c r="D705" s="969">
        <v>3.9999999999999998E-6</v>
      </c>
      <c r="E705" s="1008">
        <v>14127</v>
      </c>
      <c r="F705" s="1011">
        <v>8489</v>
      </c>
      <c r="G705" s="970">
        <v>33915</v>
      </c>
      <c r="H705" s="970"/>
      <c r="I705" s="971">
        <v>1954</v>
      </c>
      <c r="J705" s="972">
        <v>8235</v>
      </c>
      <c r="K705" s="971">
        <v>4844</v>
      </c>
      <c r="L705" s="970">
        <v>18101</v>
      </c>
      <c r="M705" s="970"/>
      <c r="N705" s="971">
        <v>960</v>
      </c>
      <c r="O705" s="971">
        <v>0</v>
      </c>
      <c r="P705" s="971">
        <v>0</v>
      </c>
      <c r="Q705" s="970">
        <v>2418</v>
      </c>
      <c r="R705" s="970"/>
      <c r="S705" s="971">
        <v>11430</v>
      </c>
      <c r="T705" s="973">
        <v>3916</v>
      </c>
      <c r="U705" s="973">
        <f>15345+1</f>
        <v>15346</v>
      </c>
    </row>
    <row r="706" spans="1:21" x14ac:dyDescent="0.25">
      <c r="A706" s="967">
        <v>97818</v>
      </c>
      <c r="B706" s="968" t="s">
        <v>3343</v>
      </c>
      <c r="C706" s="969">
        <v>2.1999999999999999E-5</v>
      </c>
      <c r="D706" s="969">
        <v>2.12E-5</v>
      </c>
      <c r="E706" s="1008">
        <v>9809</v>
      </c>
      <c r="F706" s="1011">
        <v>44994</v>
      </c>
      <c r="G706" s="970">
        <v>33610</v>
      </c>
      <c r="H706" s="970"/>
      <c r="I706" s="971">
        <v>1936</v>
      </c>
      <c r="J706" s="972">
        <v>8160</v>
      </c>
      <c r="K706" s="971">
        <v>4800</v>
      </c>
      <c r="L706" s="970">
        <v>6200</v>
      </c>
      <c r="M706" s="970"/>
      <c r="N706" s="971">
        <v>951</v>
      </c>
      <c r="O706" s="971">
        <v>0</v>
      </c>
      <c r="P706" s="971">
        <v>0</v>
      </c>
      <c r="Q706" s="970">
        <v>2136</v>
      </c>
      <c r="R706" s="970"/>
      <c r="S706" s="971">
        <v>11327</v>
      </c>
      <c r="T706" s="973">
        <v>134</v>
      </c>
      <c r="U706" s="973">
        <v>11461</v>
      </c>
    </row>
    <row r="707" spans="1:21" x14ac:dyDescent="0.25">
      <c r="A707" s="967">
        <v>97821</v>
      </c>
      <c r="B707" s="968" t="s">
        <v>3344</v>
      </c>
      <c r="C707" s="969">
        <v>1.126E-4</v>
      </c>
      <c r="D707" s="969">
        <v>1.1620000000000001E-4</v>
      </c>
      <c r="E707" s="1008">
        <v>61404</v>
      </c>
      <c r="F707" s="1011">
        <v>246615</v>
      </c>
      <c r="G707" s="970">
        <v>172022</v>
      </c>
      <c r="H707" s="970"/>
      <c r="I707" s="971">
        <v>9910</v>
      </c>
      <c r="J707" s="972">
        <v>41767</v>
      </c>
      <c r="K707" s="971">
        <v>24567</v>
      </c>
      <c r="L707" s="970">
        <v>5355</v>
      </c>
      <c r="M707" s="970"/>
      <c r="N707" s="971">
        <v>4869</v>
      </c>
      <c r="O707" s="971">
        <v>0</v>
      </c>
      <c r="P707" s="971">
        <v>0</v>
      </c>
      <c r="Q707" s="970">
        <v>16228</v>
      </c>
      <c r="R707" s="970"/>
      <c r="S707" s="971">
        <v>57971</v>
      </c>
      <c r="T707" s="973">
        <v>-9342</v>
      </c>
      <c r="U707" s="973">
        <f>48630-1</f>
        <v>48629</v>
      </c>
    </row>
    <row r="708" spans="1:21" x14ac:dyDescent="0.25">
      <c r="A708" s="967">
        <v>97823</v>
      </c>
      <c r="B708" s="968" t="s">
        <v>3345</v>
      </c>
      <c r="C708" s="969">
        <v>2.3300000000000001E-5</v>
      </c>
      <c r="D708" s="969">
        <v>2.4600000000000002E-5</v>
      </c>
      <c r="E708" s="1008">
        <v>13092</v>
      </c>
      <c r="F708" s="1011">
        <v>52209</v>
      </c>
      <c r="G708" s="970">
        <v>35596</v>
      </c>
      <c r="H708" s="970"/>
      <c r="I708" s="971">
        <v>2051</v>
      </c>
      <c r="J708" s="972">
        <v>8642</v>
      </c>
      <c r="K708" s="971">
        <v>5084</v>
      </c>
      <c r="L708" s="970">
        <v>1711</v>
      </c>
      <c r="M708" s="970"/>
      <c r="N708" s="971">
        <v>1008</v>
      </c>
      <c r="O708" s="971">
        <v>0</v>
      </c>
      <c r="P708" s="971">
        <v>0</v>
      </c>
      <c r="Q708" s="970">
        <v>591</v>
      </c>
      <c r="R708" s="970"/>
      <c r="S708" s="971">
        <v>11996</v>
      </c>
      <c r="T708" s="973">
        <v>-77</v>
      </c>
      <c r="U708" s="973">
        <v>11919</v>
      </c>
    </row>
    <row r="709" spans="1:21" x14ac:dyDescent="0.25">
      <c r="A709" s="967">
        <v>97831</v>
      </c>
      <c r="B709" s="968" t="s">
        <v>3346</v>
      </c>
      <c r="C709" s="969">
        <v>1.7009999999999999E-4</v>
      </c>
      <c r="D709" s="969">
        <v>1.482E-4</v>
      </c>
      <c r="E709" s="1008">
        <v>78813</v>
      </c>
      <c r="F709" s="1011">
        <v>314530</v>
      </c>
      <c r="G709" s="970">
        <v>259866</v>
      </c>
      <c r="H709" s="970"/>
      <c r="I709" s="971">
        <v>14971</v>
      </c>
      <c r="J709" s="972">
        <v>63096</v>
      </c>
      <c r="K709" s="971">
        <v>37112</v>
      </c>
      <c r="L709" s="970">
        <v>15261</v>
      </c>
      <c r="M709" s="970"/>
      <c r="N709" s="971">
        <v>7356</v>
      </c>
      <c r="O709" s="971">
        <v>0</v>
      </c>
      <c r="P709" s="971">
        <v>0</v>
      </c>
      <c r="Q709" s="970">
        <v>8418</v>
      </c>
      <c r="R709" s="970"/>
      <c r="S709" s="971">
        <v>87575</v>
      </c>
      <c r="T709" s="973">
        <v>-2075</v>
      </c>
      <c r="U709" s="973">
        <v>85500</v>
      </c>
    </row>
    <row r="710" spans="1:21" x14ac:dyDescent="0.25">
      <c r="A710" s="967">
        <v>97837</v>
      </c>
      <c r="B710" s="968" t="s">
        <v>3347</v>
      </c>
      <c r="C710" s="969">
        <v>1.0200000000000001E-5</v>
      </c>
      <c r="D710" s="969">
        <v>8.8000000000000004E-6</v>
      </c>
      <c r="E710" s="1008">
        <v>6053</v>
      </c>
      <c r="F710" s="1011">
        <v>18677</v>
      </c>
      <c r="G710" s="970">
        <v>15583</v>
      </c>
      <c r="H710" s="970"/>
      <c r="I710" s="971">
        <v>898</v>
      </c>
      <c r="J710" s="972">
        <v>3784</v>
      </c>
      <c r="K710" s="971">
        <v>2225</v>
      </c>
      <c r="L710" s="970">
        <v>3302</v>
      </c>
      <c r="M710" s="970"/>
      <c r="N710" s="971">
        <v>441</v>
      </c>
      <c r="O710" s="971">
        <v>0</v>
      </c>
      <c r="P710" s="971">
        <v>0</v>
      </c>
      <c r="Q710" s="970">
        <v>214</v>
      </c>
      <c r="R710" s="970"/>
      <c r="S710" s="971">
        <v>5251</v>
      </c>
      <c r="T710" s="973">
        <v>1260</v>
      </c>
      <c r="U710" s="973">
        <v>6511</v>
      </c>
    </row>
    <row r="711" spans="1:21" x14ac:dyDescent="0.25">
      <c r="A711" s="967">
        <v>97840</v>
      </c>
      <c r="B711" s="968" t="s">
        <v>3348</v>
      </c>
      <c r="C711" s="969">
        <v>1.3190000000000001E-4</v>
      </c>
      <c r="D711" s="969">
        <v>1.403E-4</v>
      </c>
      <c r="E711" s="1008">
        <v>107784</v>
      </c>
      <c r="F711" s="1011">
        <v>297764</v>
      </c>
      <c r="G711" s="970">
        <v>201507</v>
      </c>
      <c r="H711" s="970"/>
      <c r="I711" s="971">
        <v>11609</v>
      </c>
      <c r="J711" s="972">
        <v>48926</v>
      </c>
      <c r="K711" s="971">
        <v>28778</v>
      </c>
      <c r="L711" s="970">
        <v>76227</v>
      </c>
      <c r="M711" s="970"/>
      <c r="N711" s="971">
        <v>5704</v>
      </c>
      <c r="O711" s="971">
        <v>0</v>
      </c>
      <c r="P711" s="971">
        <v>0</v>
      </c>
      <c r="Q711" s="970">
        <v>964</v>
      </c>
      <c r="R711" s="970"/>
      <c r="S711" s="971">
        <v>67908</v>
      </c>
      <c r="T711" s="973">
        <v>27073</v>
      </c>
      <c r="U711" s="973">
        <v>94981</v>
      </c>
    </row>
    <row r="712" spans="1:21" x14ac:dyDescent="0.25">
      <c r="A712" s="967">
        <v>97841</v>
      </c>
      <c r="B712" s="968" t="s">
        <v>3349</v>
      </c>
      <c r="C712" s="969">
        <v>1.31E-5</v>
      </c>
      <c r="D712" s="969">
        <v>1.45E-5</v>
      </c>
      <c r="E712" s="1008">
        <v>6425</v>
      </c>
      <c r="F712" s="1011">
        <v>30774</v>
      </c>
      <c r="G712" s="970">
        <v>20013</v>
      </c>
      <c r="H712" s="970"/>
      <c r="I712" s="971">
        <v>1153</v>
      </c>
      <c r="J712" s="972">
        <v>4859</v>
      </c>
      <c r="K712" s="971">
        <v>2858</v>
      </c>
      <c r="L712" s="970">
        <v>410</v>
      </c>
      <c r="M712" s="970"/>
      <c r="N712" s="971">
        <v>567</v>
      </c>
      <c r="O712" s="971">
        <v>0</v>
      </c>
      <c r="P712" s="971">
        <v>0</v>
      </c>
      <c r="Q712" s="970">
        <v>4768</v>
      </c>
      <c r="R712" s="970"/>
      <c r="S712" s="971">
        <v>6744</v>
      </c>
      <c r="T712" s="973">
        <v>-3859</v>
      </c>
      <c r="U712" s="973">
        <v>2885</v>
      </c>
    </row>
    <row r="713" spans="1:21" x14ac:dyDescent="0.25">
      <c r="A713" s="967">
        <v>97847</v>
      </c>
      <c r="B713" s="968" t="s">
        <v>3350</v>
      </c>
      <c r="C713" s="969">
        <v>2.0999999999999998E-6</v>
      </c>
      <c r="D713" s="969">
        <v>2.2000000000000001E-6</v>
      </c>
      <c r="E713" s="1008">
        <v>2259</v>
      </c>
      <c r="F713" s="1011">
        <v>4669</v>
      </c>
      <c r="G713" s="970">
        <v>3208</v>
      </c>
      <c r="H713" s="970"/>
      <c r="I713" s="971">
        <v>185</v>
      </c>
      <c r="J713" s="972">
        <v>779</v>
      </c>
      <c r="K713" s="971">
        <v>458</v>
      </c>
      <c r="L713" s="970">
        <v>1433</v>
      </c>
      <c r="M713" s="970"/>
      <c r="N713" s="971">
        <v>91</v>
      </c>
      <c r="O713" s="971">
        <v>0</v>
      </c>
      <c r="P713" s="971">
        <v>0</v>
      </c>
      <c r="Q713" s="970">
        <v>72</v>
      </c>
      <c r="R713" s="970"/>
      <c r="S713" s="971">
        <v>1081</v>
      </c>
      <c r="T713" s="973">
        <v>355</v>
      </c>
      <c r="U713" s="973">
        <v>1436</v>
      </c>
    </row>
    <row r="714" spans="1:21" x14ac:dyDescent="0.25">
      <c r="A714" s="967">
        <v>97851</v>
      </c>
      <c r="B714" s="968" t="s">
        <v>3351</v>
      </c>
      <c r="C714" s="969">
        <v>2.7799999999999998E-4</v>
      </c>
      <c r="D714" s="969">
        <v>2.7460000000000001E-4</v>
      </c>
      <c r="E714" s="1008">
        <v>116408</v>
      </c>
      <c r="F714" s="1011">
        <v>582793</v>
      </c>
      <c r="G714" s="970">
        <v>424707</v>
      </c>
      <c r="H714" s="970"/>
      <c r="I714" s="971">
        <v>24467</v>
      </c>
      <c r="J714" s="972">
        <v>103120</v>
      </c>
      <c r="K714" s="971">
        <v>60654</v>
      </c>
      <c r="L714" s="970">
        <v>1448</v>
      </c>
      <c r="M714" s="970"/>
      <c r="N714" s="971">
        <v>12022</v>
      </c>
      <c r="O714" s="971">
        <v>0</v>
      </c>
      <c r="P714" s="971">
        <v>0</v>
      </c>
      <c r="Q714" s="970">
        <v>12710</v>
      </c>
      <c r="R714" s="970"/>
      <c r="S714" s="971">
        <v>143127</v>
      </c>
      <c r="T714" s="973">
        <v>-2512</v>
      </c>
      <c r="U714" s="973">
        <v>140615</v>
      </c>
    </row>
    <row r="715" spans="1:21" x14ac:dyDescent="0.25">
      <c r="A715" s="967">
        <v>97853</v>
      </c>
      <c r="B715" s="968" t="s">
        <v>3352</v>
      </c>
      <c r="C715" s="969">
        <v>1.0289999999999999E-4</v>
      </c>
      <c r="D715" s="969">
        <v>9.1600000000000004E-5</v>
      </c>
      <c r="E715" s="1008">
        <v>44043</v>
      </c>
      <c r="F715" s="1011">
        <v>194406</v>
      </c>
      <c r="G715" s="970">
        <v>157203</v>
      </c>
      <c r="H715" s="970"/>
      <c r="I715" s="971">
        <v>9056</v>
      </c>
      <c r="J715" s="972">
        <v>38169</v>
      </c>
      <c r="K715" s="971">
        <v>22451</v>
      </c>
      <c r="L715" s="970">
        <v>8759</v>
      </c>
      <c r="M715" s="970"/>
      <c r="N715" s="971">
        <v>4450</v>
      </c>
      <c r="O715" s="971">
        <v>0</v>
      </c>
      <c r="P715" s="971">
        <v>0</v>
      </c>
      <c r="Q715" s="970">
        <v>9750</v>
      </c>
      <c r="R715" s="970"/>
      <c r="S715" s="971">
        <v>52977</v>
      </c>
      <c r="T715" s="973">
        <v>429</v>
      </c>
      <c r="U715" s="973">
        <f>53407-1</f>
        <v>53406</v>
      </c>
    </row>
    <row r="716" spans="1:21" x14ac:dyDescent="0.25">
      <c r="A716" s="967">
        <v>97861</v>
      </c>
      <c r="B716" s="968" t="s">
        <v>3353</v>
      </c>
      <c r="C716" s="969">
        <v>6.7000000000000002E-5</v>
      </c>
      <c r="D716" s="969">
        <v>6.8499999999999998E-5</v>
      </c>
      <c r="E716" s="1008">
        <v>27517</v>
      </c>
      <c r="F716" s="1011">
        <v>145380</v>
      </c>
      <c r="G716" s="970">
        <v>102357</v>
      </c>
      <c r="H716" s="970"/>
      <c r="I716" s="971">
        <v>5897</v>
      </c>
      <c r="J716" s="972">
        <v>24852</v>
      </c>
      <c r="K716" s="971">
        <v>14618</v>
      </c>
      <c r="L716" s="970">
        <v>1771</v>
      </c>
      <c r="M716" s="970"/>
      <c r="N716" s="971">
        <v>2897</v>
      </c>
      <c r="O716" s="971">
        <v>0</v>
      </c>
      <c r="P716" s="971">
        <v>0</v>
      </c>
      <c r="Q716" s="970">
        <v>7954</v>
      </c>
      <c r="R716" s="970"/>
      <c r="S716" s="971">
        <v>34495</v>
      </c>
      <c r="T716" s="973">
        <v>-3725</v>
      </c>
      <c r="U716" s="973">
        <f>30769+1</f>
        <v>30770</v>
      </c>
    </row>
    <row r="717" spans="1:21" x14ac:dyDescent="0.25">
      <c r="A717" s="967">
        <v>97871</v>
      </c>
      <c r="B717" s="968" t="s">
        <v>3354</v>
      </c>
      <c r="C717" s="969">
        <v>2.9930000000000001E-4</v>
      </c>
      <c r="D717" s="969">
        <v>3.1500000000000001E-4</v>
      </c>
      <c r="E717" s="1008">
        <v>273654</v>
      </c>
      <c r="F717" s="1011">
        <v>668536</v>
      </c>
      <c r="G717" s="970">
        <v>457247</v>
      </c>
      <c r="H717" s="970"/>
      <c r="I717" s="971">
        <v>26342</v>
      </c>
      <c r="J717" s="972">
        <v>111020</v>
      </c>
      <c r="K717" s="971">
        <v>65301</v>
      </c>
      <c r="L717" s="970">
        <v>217143</v>
      </c>
      <c r="M717" s="970"/>
      <c r="N717" s="971">
        <v>12943</v>
      </c>
      <c r="O717" s="971">
        <v>0</v>
      </c>
      <c r="P717" s="971">
        <v>0</v>
      </c>
      <c r="Q717" s="970">
        <v>0</v>
      </c>
      <c r="R717" s="970"/>
      <c r="S717" s="971">
        <v>154093</v>
      </c>
      <c r="T717" s="973">
        <v>79417</v>
      </c>
      <c r="U717" s="973">
        <f>233509+1</f>
        <v>233510</v>
      </c>
    </row>
    <row r="718" spans="1:21" x14ac:dyDescent="0.25">
      <c r="A718" s="967">
        <v>97877</v>
      </c>
      <c r="B718" s="968" t="s">
        <v>3355</v>
      </c>
      <c r="C718" s="969">
        <v>1.9E-6</v>
      </c>
      <c r="D718" s="969">
        <v>2.2000000000000001E-6</v>
      </c>
      <c r="E718" s="1008">
        <v>2104</v>
      </c>
      <c r="F718" s="1011">
        <v>4669</v>
      </c>
      <c r="G718" s="970">
        <v>2903</v>
      </c>
      <c r="H718" s="970"/>
      <c r="I718" s="971">
        <v>167</v>
      </c>
      <c r="J718" s="972">
        <v>705</v>
      </c>
      <c r="K718" s="971">
        <v>415</v>
      </c>
      <c r="L718" s="970">
        <v>1638</v>
      </c>
      <c r="M718" s="970"/>
      <c r="N718" s="971">
        <v>82</v>
      </c>
      <c r="O718" s="971">
        <v>0</v>
      </c>
      <c r="P718" s="971">
        <v>0</v>
      </c>
      <c r="Q718" s="970">
        <v>0</v>
      </c>
      <c r="R718" s="970"/>
      <c r="S718" s="971">
        <v>978</v>
      </c>
      <c r="T718" s="973">
        <v>648</v>
      </c>
      <c r="U718" s="973">
        <f>1627-1</f>
        <v>1626</v>
      </c>
    </row>
    <row r="719" spans="1:21" x14ac:dyDescent="0.25">
      <c r="A719" s="967">
        <v>97901</v>
      </c>
      <c r="B719" s="968" t="s">
        <v>3356</v>
      </c>
      <c r="C719" s="969">
        <v>4.2658000000000001E-3</v>
      </c>
      <c r="D719" s="969">
        <v>4.3616999999999996E-3</v>
      </c>
      <c r="E719" s="1008">
        <v>2091024</v>
      </c>
      <c r="F719" s="1011">
        <v>9256989</v>
      </c>
      <c r="G719" s="970">
        <v>6516961</v>
      </c>
      <c r="H719" s="970"/>
      <c r="I719" s="971">
        <v>375437</v>
      </c>
      <c r="J719" s="972">
        <v>1582326</v>
      </c>
      <c r="K719" s="971">
        <v>930712</v>
      </c>
      <c r="L719" s="970">
        <v>88360</v>
      </c>
      <c r="M719" s="970"/>
      <c r="N719" s="971">
        <v>184475</v>
      </c>
      <c r="O719" s="971">
        <v>0</v>
      </c>
      <c r="P719" s="971">
        <v>0</v>
      </c>
      <c r="Q719" s="970">
        <v>14865</v>
      </c>
      <c r="R719" s="970"/>
      <c r="S719" s="971">
        <v>2196222</v>
      </c>
      <c r="T719" s="973">
        <v>35112</v>
      </c>
      <c r="U719" s="973">
        <v>2231334</v>
      </c>
    </row>
    <row r="720" spans="1:21" x14ac:dyDescent="0.25">
      <c r="A720" s="967">
        <v>97911</v>
      </c>
      <c r="B720" s="968" t="s">
        <v>3357</v>
      </c>
      <c r="C720" s="969">
        <v>1.3005E-3</v>
      </c>
      <c r="D720" s="969">
        <v>1.3190000000000001E-3</v>
      </c>
      <c r="E720" s="1008">
        <v>613265</v>
      </c>
      <c r="F720" s="1011">
        <v>2799360</v>
      </c>
      <c r="G720" s="970">
        <v>1986804</v>
      </c>
      <c r="H720" s="970"/>
      <c r="I720" s="971">
        <v>114458</v>
      </c>
      <c r="J720" s="972">
        <v>482398</v>
      </c>
      <c r="K720" s="971">
        <v>283743</v>
      </c>
      <c r="L720" s="970">
        <v>31167</v>
      </c>
      <c r="M720" s="970"/>
      <c r="N720" s="971">
        <v>56240</v>
      </c>
      <c r="O720" s="971">
        <v>0</v>
      </c>
      <c r="P720" s="971">
        <v>0</v>
      </c>
      <c r="Q720" s="970">
        <v>28435</v>
      </c>
      <c r="R720" s="970"/>
      <c r="S720" s="971">
        <v>669555</v>
      </c>
      <c r="T720" s="973">
        <v>10548</v>
      </c>
      <c r="U720" s="973">
        <v>680103</v>
      </c>
    </row>
    <row r="721" spans="1:21" x14ac:dyDescent="0.25">
      <c r="A721" s="967">
        <v>97913</v>
      </c>
      <c r="B721" s="968" t="s">
        <v>3358</v>
      </c>
      <c r="C721" s="969">
        <v>3.5899999999999998E-5</v>
      </c>
      <c r="D721" s="969">
        <v>3.7400000000000001E-5</v>
      </c>
      <c r="E721" s="1008">
        <v>27559</v>
      </c>
      <c r="F721" s="1011">
        <v>79375</v>
      </c>
      <c r="G721" s="970">
        <v>54845</v>
      </c>
      <c r="H721" s="970"/>
      <c r="I721" s="971">
        <v>3160</v>
      </c>
      <c r="J721" s="972">
        <v>13317</v>
      </c>
      <c r="K721" s="971">
        <v>7833</v>
      </c>
      <c r="L721" s="970">
        <v>15616</v>
      </c>
      <c r="M721" s="970"/>
      <c r="N721" s="971">
        <v>1552</v>
      </c>
      <c r="O721" s="971">
        <v>0</v>
      </c>
      <c r="P721" s="971">
        <v>0</v>
      </c>
      <c r="Q721" s="970">
        <v>0</v>
      </c>
      <c r="R721" s="970"/>
      <c r="S721" s="971">
        <v>18483</v>
      </c>
      <c r="T721" s="973">
        <v>5369</v>
      </c>
      <c r="U721" s="973">
        <f>23851+1</f>
        <v>23852</v>
      </c>
    </row>
    <row r="722" spans="1:21" x14ac:dyDescent="0.25">
      <c r="A722" s="967">
        <v>97917</v>
      </c>
      <c r="B722" s="968" t="s">
        <v>3359</v>
      </c>
      <c r="C722" s="969">
        <v>2.0999999999999999E-5</v>
      </c>
      <c r="D722" s="969">
        <v>1.98E-5</v>
      </c>
      <c r="E722" s="1008">
        <v>13419</v>
      </c>
      <c r="F722" s="1011">
        <v>42022</v>
      </c>
      <c r="G722" s="970">
        <v>32082</v>
      </c>
      <c r="H722" s="970"/>
      <c r="I722" s="971">
        <v>1848</v>
      </c>
      <c r="J722" s="972">
        <v>7790</v>
      </c>
      <c r="K722" s="971">
        <v>4582</v>
      </c>
      <c r="L722" s="970">
        <v>7811</v>
      </c>
      <c r="M722" s="970"/>
      <c r="N722" s="971">
        <v>908</v>
      </c>
      <c r="O722" s="971">
        <v>0</v>
      </c>
      <c r="P722" s="971">
        <v>0</v>
      </c>
      <c r="Q722" s="970">
        <v>0</v>
      </c>
      <c r="R722" s="970"/>
      <c r="S722" s="971">
        <v>10812</v>
      </c>
      <c r="T722" s="973">
        <v>3168</v>
      </c>
      <c r="U722" s="973">
        <f>13979+1</f>
        <v>13980</v>
      </c>
    </row>
    <row r="723" spans="1:21" x14ac:dyDescent="0.25">
      <c r="A723" s="967">
        <v>97921</v>
      </c>
      <c r="B723" s="968" t="s">
        <v>3360</v>
      </c>
      <c r="C723" s="969">
        <v>2.1699999999999999E-4</v>
      </c>
      <c r="D723" s="969">
        <v>2.2169999999999999E-4</v>
      </c>
      <c r="E723" s="1008">
        <v>103163</v>
      </c>
      <c r="F723" s="1011">
        <v>470522</v>
      </c>
      <c r="G723" s="970">
        <v>331516</v>
      </c>
      <c r="H723" s="970"/>
      <c r="I723" s="971">
        <v>19098</v>
      </c>
      <c r="J723" s="972">
        <v>80493</v>
      </c>
      <c r="K723" s="971">
        <v>47345</v>
      </c>
      <c r="L723" s="970">
        <v>11562</v>
      </c>
      <c r="M723" s="970"/>
      <c r="N723" s="971">
        <v>9384</v>
      </c>
      <c r="O723" s="971">
        <v>0</v>
      </c>
      <c r="P723" s="971">
        <v>0</v>
      </c>
      <c r="Q723" s="970">
        <v>5992</v>
      </c>
      <c r="R723" s="970"/>
      <c r="S723" s="971">
        <v>111721</v>
      </c>
      <c r="T723" s="973">
        <v>3241</v>
      </c>
      <c r="U723" s="973">
        <v>114962</v>
      </c>
    </row>
    <row r="724" spans="1:21" x14ac:dyDescent="0.25">
      <c r="A724" s="967">
        <v>97931</v>
      </c>
      <c r="B724" s="968" t="s">
        <v>3361</v>
      </c>
      <c r="C724" s="969">
        <v>7.0199999999999999E-5</v>
      </c>
      <c r="D724" s="969">
        <v>6.1600000000000007E-5</v>
      </c>
      <c r="E724" s="1008">
        <v>31939</v>
      </c>
      <c r="F724" s="1011">
        <v>130736</v>
      </c>
      <c r="G724" s="970">
        <v>107246</v>
      </c>
      <c r="H724" s="970"/>
      <c r="I724" s="971">
        <v>6178</v>
      </c>
      <c r="J724" s="972">
        <v>26039</v>
      </c>
      <c r="K724" s="971">
        <v>15316</v>
      </c>
      <c r="L724" s="970">
        <v>18162</v>
      </c>
      <c r="M724" s="970"/>
      <c r="N724" s="971">
        <v>3036</v>
      </c>
      <c r="O724" s="971">
        <v>0</v>
      </c>
      <c r="P724" s="971">
        <v>0</v>
      </c>
      <c r="Q724" s="970">
        <v>7492</v>
      </c>
      <c r="R724" s="970"/>
      <c r="S724" s="971">
        <v>36142</v>
      </c>
      <c r="T724" s="973">
        <v>2117</v>
      </c>
      <c r="U724" s="973">
        <v>38259</v>
      </c>
    </row>
    <row r="725" spans="1:21" x14ac:dyDescent="0.25">
      <c r="A725" s="967">
        <v>97941</v>
      </c>
      <c r="B725" s="968" t="s">
        <v>3362</v>
      </c>
      <c r="C725" s="969">
        <v>2.0479999999999999E-4</v>
      </c>
      <c r="D725" s="969">
        <v>2.3330000000000001E-4</v>
      </c>
      <c r="E725" s="1008">
        <v>106970</v>
      </c>
      <c r="F725" s="1011">
        <v>495141</v>
      </c>
      <c r="G725" s="970">
        <v>312878</v>
      </c>
      <c r="H725" s="970"/>
      <c r="I725" s="971">
        <v>18025</v>
      </c>
      <c r="J725" s="972">
        <v>75967</v>
      </c>
      <c r="K725" s="971">
        <v>44683</v>
      </c>
      <c r="L725" s="970">
        <v>17999</v>
      </c>
      <c r="M725" s="970"/>
      <c r="N725" s="971">
        <v>8857</v>
      </c>
      <c r="O725" s="971">
        <v>0</v>
      </c>
      <c r="P725" s="971">
        <v>0</v>
      </c>
      <c r="Q725" s="970">
        <v>8897</v>
      </c>
      <c r="R725" s="970"/>
      <c r="S725" s="971">
        <v>105440</v>
      </c>
      <c r="T725" s="973">
        <v>7001</v>
      </c>
      <c r="U725" s="973">
        <v>112441</v>
      </c>
    </row>
    <row r="726" spans="1:21" x14ac:dyDescent="0.25">
      <c r="A726" s="967">
        <v>97947</v>
      </c>
      <c r="B726" s="968" t="s">
        <v>3363</v>
      </c>
      <c r="C726" s="969">
        <v>1.3900000000000001E-5</v>
      </c>
      <c r="D726" s="969">
        <v>1.5500000000000001E-5</v>
      </c>
      <c r="E726" s="1008">
        <v>11471</v>
      </c>
      <c r="F726" s="1011">
        <v>32896</v>
      </c>
      <c r="G726" s="970">
        <v>21235</v>
      </c>
      <c r="H726" s="970"/>
      <c r="I726" s="971">
        <v>1223</v>
      </c>
      <c r="J726" s="972">
        <v>5156</v>
      </c>
      <c r="K726" s="971">
        <v>3033</v>
      </c>
      <c r="L726" s="970">
        <v>9518</v>
      </c>
      <c r="M726" s="970"/>
      <c r="N726" s="971">
        <v>601</v>
      </c>
      <c r="O726" s="971">
        <v>0</v>
      </c>
      <c r="P726" s="971">
        <v>0</v>
      </c>
      <c r="Q726" s="970">
        <v>306</v>
      </c>
      <c r="R726" s="970"/>
      <c r="S726" s="971">
        <v>7156</v>
      </c>
      <c r="T726" s="973">
        <v>3116</v>
      </c>
      <c r="U726" s="973">
        <v>10272</v>
      </c>
    </row>
    <row r="727" spans="1:21" x14ac:dyDescent="0.25">
      <c r="A727" s="967">
        <v>97948</v>
      </c>
      <c r="B727" s="968" t="s">
        <v>3364</v>
      </c>
      <c r="C727" s="969">
        <v>2.2099999999999998E-5</v>
      </c>
      <c r="D727" s="969">
        <v>3.5200000000000002E-5</v>
      </c>
      <c r="E727" s="1008">
        <v>10840</v>
      </c>
      <c r="F727" s="1011">
        <v>74706</v>
      </c>
      <c r="G727" s="970">
        <v>33763</v>
      </c>
      <c r="H727" s="970"/>
      <c r="I727" s="971">
        <v>1945</v>
      </c>
      <c r="J727" s="972">
        <v>8198</v>
      </c>
      <c r="K727" s="971">
        <v>4822</v>
      </c>
      <c r="L727" s="970">
        <v>1909</v>
      </c>
      <c r="M727" s="970"/>
      <c r="N727" s="971">
        <v>956</v>
      </c>
      <c r="O727" s="971">
        <v>0</v>
      </c>
      <c r="P727" s="971">
        <v>0</v>
      </c>
      <c r="Q727" s="970">
        <v>8330</v>
      </c>
      <c r="R727" s="970"/>
      <c r="S727" s="971">
        <v>11378</v>
      </c>
      <c r="T727" s="973">
        <v>-972</v>
      </c>
      <c r="U727" s="973">
        <v>10406</v>
      </c>
    </row>
    <row r="728" spans="1:21" x14ac:dyDescent="0.25">
      <c r="A728" s="967">
        <v>97951</v>
      </c>
      <c r="B728" s="968" t="s">
        <v>3365</v>
      </c>
      <c r="C728" s="969">
        <v>1.2440999999999999E-3</v>
      </c>
      <c r="D728" s="969">
        <v>1.2497000000000001E-3</v>
      </c>
      <c r="E728" s="1008">
        <v>597832</v>
      </c>
      <c r="F728" s="1011">
        <v>2652282</v>
      </c>
      <c r="G728" s="970">
        <v>1900640</v>
      </c>
      <c r="H728" s="970"/>
      <c r="I728" s="971">
        <v>109494</v>
      </c>
      <c r="J728" s="972">
        <v>461477</v>
      </c>
      <c r="K728" s="971">
        <v>271438</v>
      </c>
      <c r="L728" s="970">
        <v>31864</v>
      </c>
      <c r="M728" s="970"/>
      <c r="N728" s="971">
        <v>53801</v>
      </c>
      <c r="O728" s="971">
        <v>0</v>
      </c>
      <c r="P728" s="971">
        <v>0</v>
      </c>
      <c r="Q728" s="970">
        <v>7067</v>
      </c>
      <c r="R728" s="970"/>
      <c r="S728" s="971">
        <v>640517</v>
      </c>
      <c r="T728" s="973">
        <v>4295</v>
      </c>
      <c r="U728" s="973">
        <f>644813-1</f>
        <v>644812</v>
      </c>
    </row>
    <row r="729" spans="1:21" x14ac:dyDescent="0.25">
      <c r="A729" s="967">
        <v>97957</v>
      </c>
      <c r="B729" s="968" t="s">
        <v>3366</v>
      </c>
      <c r="C729" s="969">
        <v>1.8700000000000001E-5</v>
      </c>
      <c r="D729" s="969">
        <v>1.9599999999999999E-5</v>
      </c>
      <c r="E729" s="1008">
        <v>12857</v>
      </c>
      <c r="F729" s="1011">
        <v>41598</v>
      </c>
      <c r="G729" s="970">
        <v>28568</v>
      </c>
      <c r="H729" s="970"/>
      <c r="I729" s="971">
        <v>1646</v>
      </c>
      <c r="J729" s="972">
        <v>6936</v>
      </c>
      <c r="K729" s="971">
        <v>4080</v>
      </c>
      <c r="L729" s="970">
        <v>4456</v>
      </c>
      <c r="M729" s="970"/>
      <c r="N729" s="971">
        <v>809</v>
      </c>
      <c r="O729" s="971">
        <v>0</v>
      </c>
      <c r="P729" s="971">
        <v>0</v>
      </c>
      <c r="Q729" s="970">
        <v>1123</v>
      </c>
      <c r="R729" s="970"/>
      <c r="S729" s="971">
        <v>9628</v>
      </c>
      <c r="T729" s="973">
        <v>620</v>
      </c>
      <c r="U729" s="973">
        <f>10247+1</f>
        <v>10248</v>
      </c>
    </row>
    <row r="730" spans="1:21" x14ac:dyDescent="0.25">
      <c r="A730" s="967">
        <v>98001</v>
      </c>
      <c r="B730" s="968" t="s">
        <v>3367</v>
      </c>
      <c r="C730" s="969">
        <v>5.1148000000000001E-3</v>
      </c>
      <c r="D730" s="969">
        <v>4.9659999999999999E-3</v>
      </c>
      <c r="E730" s="1008">
        <v>2367016</v>
      </c>
      <c r="F730" s="1011">
        <v>10539516</v>
      </c>
      <c r="G730" s="970">
        <v>7813998</v>
      </c>
      <c r="H730" s="970"/>
      <c r="I730" s="971">
        <v>450159</v>
      </c>
      <c r="J730" s="972">
        <v>1897248</v>
      </c>
      <c r="K730" s="971">
        <v>1115947</v>
      </c>
      <c r="L730" s="970">
        <v>181889</v>
      </c>
      <c r="M730" s="970"/>
      <c r="N730" s="971">
        <v>221190</v>
      </c>
      <c r="O730" s="971">
        <v>0</v>
      </c>
      <c r="P730" s="971">
        <v>0</v>
      </c>
      <c r="Q730" s="970">
        <v>0</v>
      </c>
      <c r="R730" s="970"/>
      <c r="S730" s="971">
        <v>2633324</v>
      </c>
      <c r="T730" s="973">
        <v>81305</v>
      </c>
      <c r="U730" s="973">
        <v>2714629</v>
      </c>
    </row>
    <row r="731" spans="1:21" x14ac:dyDescent="0.25">
      <c r="A731" s="967">
        <v>98002</v>
      </c>
      <c r="B731" s="968" t="s">
        <v>3368</v>
      </c>
      <c r="C731" s="969">
        <v>6.7000000000000002E-6</v>
      </c>
      <c r="D731" s="969">
        <v>7.3000000000000004E-6</v>
      </c>
      <c r="E731" s="1008">
        <v>4126</v>
      </c>
      <c r="F731" s="1011">
        <v>15493</v>
      </c>
      <c r="G731" s="970">
        <v>10236</v>
      </c>
      <c r="H731" s="970"/>
      <c r="I731" s="971">
        <v>590</v>
      </c>
      <c r="J731" s="972">
        <v>2485</v>
      </c>
      <c r="K731" s="971">
        <v>1462</v>
      </c>
      <c r="L731" s="970">
        <v>1007</v>
      </c>
      <c r="M731" s="970"/>
      <c r="N731" s="971">
        <v>290</v>
      </c>
      <c r="O731" s="971">
        <v>0</v>
      </c>
      <c r="P731" s="971">
        <v>0</v>
      </c>
      <c r="Q731" s="970">
        <v>6492</v>
      </c>
      <c r="R731" s="970"/>
      <c r="S731" s="971">
        <v>3449</v>
      </c>
      <c r="T731" s="973">
        <v>-6219</v>
      </c>
      <c r="U731" s="973">
        <v>-2770</v>
      </c>
    </row>
    <row r="732" spans="1:21" x14ac:dyDescent="0.25">
      <c r="A732" s="967">
        <v>98003</v>
      </c>
      <c r="B732" s="968" t="s">
        <v>3369</v>
      </c>
      <c r="C732" s="969">
        <v>7.9599999999999997E-5</v>
      </c>
      <c r="D732" s="969">
        <v>8.1600000000000005E-5</v>
      </c>
      <c r="E732" s="1008">
        <v>70274</v>
      </c>
      <c r="F732" s="1011">
        <v>173183</v>
      </c>
      <c r="G732" s="970">
        <v>121607</v>
      </c>
      <c r="H732" s="970"/>
      <c r="I732" s="971">
        <v>7006</v>
      </c>
      <c r="J732" s="972">
        <v>29526</v>
      </c>
      <c r="K732" s="971">
        <v>17367</v>
      </c>
      <c r="L732" s="970">
        <v>54986</v>
      </c>
      <c r="M732" s="970"/>
      <c r="N732" s="971">
        <v>3442</v>
      </c>
      <c r="O732" s="971">
        <v>0</v>
      </c>
      <c r="P732" s="971">
        <v>0</v>
      </c>
      <c r="Q732" s="970">
        <v>0</v>
      </c>
      <c r="R732" s="970"/>
      <c r="S732" s="971">
        <v>40982</v>
      </c>
      <c r="T732" s="973">
        <v>18634</v>
      </c>
      <c r="U732" s="973">
        <v>59616</v>
      </c>
    </row>
    <row r="733" spans="1:21" x14ac:dyDescent="0.25">
      <c r="A733" s="967">
        <v>98004</v>
      </c>
      <c r="B733" s="968" t="s">
        <v>3370</v>
      </c>
      <c r="C733" s="969">
        <v>1.182E-4</v>
      </c>
      <c r="D733" s="969">
        <v>1.209E-4</v>
      </c>
      <c r="E733" s="1008">
        <v>78050</v>
      </c>
      <c r="F733" s="1011">
        <v>256590</v>
      </c>
      <c r="G733" s="970">
        <v>180577</v>
      </c>
      <c r="H733" s="970"/>
      <c r="I733" s="971">
        <v>10403</v>
      </c>
      <c r="J733" s="972">
        <v>43844</v>
      </c>
      <c r="K733" s="971">
        <v>25789</v>
      </c>
      <c r="L733" s="970">
        <v>36575</v>
      </c>
      <c r="M733" s="970"/>
      <c r="N733" s="971">
        <v>5112</v>
      </c>
      <c r="O733" s="971">
        <v>0</v>
      </c>
      <c r="P733" s="971">
        <v>0</v>
      </c>
      <c r="Q733" s="970">
        <v>0</v>
      </c>
      <c r="R733" s="970"/>
      <c r="S733" s="971">
        <v>60855</v>
      </c>
      <c r="T733" s="973">
        <v>14190</v>
      </c>
      <c r="U733" s="973">
        <f>75044+1</f>
        <v>75045</v>
      </c>
    </row>
    <row r="734" spans="1:21" x14ac:dyDescent="0.25">
      <c r="A734" s="967">
        <v>98008</v>
      </c>
      <c r="B734" s="968" t="s">
        <v>3371</v>
      </c>
      <c r="C734" s="969">
        <v>7.9999999999999996E-6</v>
      </c>
      <c r="D734" s="969">
        <v>7.7999999999999999E-6</v>
      </c>
      <c r="E734" s="1008">
        <v>3537</v>
      </c>
      <c r="F734" s="1011">
        <v>16554</v>
      </c>
      <c r="G734" s="970">
        <v>12222</v>
      </c>
      <c r="H734" s="970"/>
      <c r="I734" s="971">
        <v>704</v>
      </c>
      <c r="J734" s="972">
        <v>2967</v>
      </c>
      <c r="K734" s="971">
        <v>1745</v>
      </c>
      <c r="L734" s="970">
        <v>25</v>
      </c>
      <c r="M734" s="970"/>
      <c r="N734" s="971">
        <v>346</v>
      </c>
      <c r="O734" s="971">
        <v>0</v>
      </c>
      <c r="P734" s="971">
        <v>0</v>
      </c>
      <c r="Q734" s="970">
        <v>804</v>
      </c>
      <c r="R734" s="970"/>
      <c r="S734" s="971">
        <v>4119</v>
      </c>
      <c r="T734" s="973">
        <v>-490</v>
      </c>
      <c r="U734" s="973">
        <v>3629</v>
      </c>
    </row>
    <row r="735" spans="1:21" x14ac:dyDescent="0.25">
      <c r="A735" s="967">
        <v>98011</v>
      </c>
      <c r="B735" s="968" t="s">
        <v>3372</v>
      </c>
      <c r="C735" s="969">
        <v>3.1578999999999999E-3</v>
      </c>
      <c r="D735" s="969">
        <v>3.1795E-3</v>
      </c>
      <c r="E735" s="1008">
        <v>1430082</v>
      </c>
      <c r="F735" s="1011">
        <v>6747964</v>
      </c>
      <c r="G735" s="970">
        <v>4824396</v>
      </c>
      <c r="H735" s="970"/>
      <c r="I735" s="971">
        <v>277930</v>
      </c>
      <c r="J735" s="972">
        <v>1171370</v>
      </c>
      <c r="K735" s="971">
        <v>688991</v>
      </c>
      <c r="L735" s="970">
        <v>0</v>
      </c>
      <c r="M735" s="970"/>
      <c r="N735" s="971">
        <v>136563</v>
      </c>
      <c r="O735" s="971">
        <v>0</v>
      </c>
      <c r="P735" s="971">
        <v>0</v>
      </c>
      <c r="Q735" s="970">
        <v>315025</v>
      </c>
      <c r="R735" s="970"/>
      <c r="S735" s="971">
        <v>1625826</v>
      </c>
      <c r="T735" s="973">
        <v>-146862</v>
      </c>
      <c r="U735" s="973">
        <v>1478964</v>
      </c>
    </row>
    <row r="736" spans="1:21" x14ac:dyDescent="0.25">
      <c r="A736" s="967">
        <v>98013</v>
      </c>
      <c r="B736" s="968" t="s">
        <v>3373</v>
      </c>
      <c r="C736" s="969">
        <v>1.415E-4</v>
      </c>
      <c r="D736" s="969">
        <v>1.426E-4</v>
      </c>
      <c r="E736" s="1008">
        <v>138521</v>
      </c>
      <c r="F736" s="1011">
        <v>302645</v>
      </c>
      <c r="G736" s="970">
        <v>216173</v>
      </c>
      <c r="H736" s="970"/>
      <c r="I736" s="971">
        <v>12454</v>
      </c>
      <c r="J736" s="972">
        <v>52487</v>
      </c>
      <c r="K736" s="971">
        <v>30872</v>
      </c>
      <c r="L736" s="970">
        <v>126104</v>
      </c>
      <c r="M736" s="970"/>
      <c r="N736" s="971">
        <v>6119</v>
      </c>
      <c r="O736" s="971">
        <v>0</v>
      </c>
      <c r="P736" s="971">
        <v>0</v>
      </c>
      <c r="Q736" s="970">
        <v>2073</v>
      </c>
      <c r="R736" s="970"/>
      <c r="S736" s="971">
        <v>72850</v>
      </c>
      <c r="T736" s="973">
        <v>41784</v>
      </c>
      <c r="U736" s="973">
        <f>114635-1</f>
        <v>114634</v>
      </c>
    </row>
    <row r="737" spans="1:21" x14ac:dyDescent="0.25">
      <c r="A737" s="967">
        <v>98021</v>
      </c>
      <c r="B737" s="968" t="s">
        <v>3374</v>
      </c>
      <c r="C737" s="969">
        <v>8.6199999999999995E-5</v>
      </c>
      <c r="D737" s="969">
        <v>7.5099999999999996E-5</v>
      </c>
      <c r="E737" s="1008">
        <v>28536</v>
      </c>
      <c r="F737" s="1011">
        <v>159387</v>
      </c>
      <c r="G737" s="970">
        <v>131690</v>
      </c>
      <c r="H737" s="970"/>
      <c r="I737" s="971">
        <v>7587</v>
      </c>
      <c r="J737" s="972">
        <v>31975</v>
      </c>
      <c r="K737" s="971">
        <v>18807</v>
      </c>
      <c r="L737" s="970">
        <v>13468</v>
      </c>
      <c r="M737" s="970"/>
      <c r="N737" s="971">
        <v>3728</v>
      </c>
      <c r="O737" s="971">
        <v>0</v>
      </c>
      <c r="P737" s="971">
        <v>0</v>
      </c>
      <c r="Q737" s="970">
        <v>2708</v>
      </c>
      <c r="R737" s="970"/>
      <c r="S737" s="971">
        <v>44380</v>
      </c>
      <c r="T737" s="973">
        <v>6479</v>
      </c>
      <c r="U737" s="973">
        <v>50859</v>
      </c>
    </row>
    <row r="738" spans="1:21" x14ac:dyDescent="0.25">
      <c r="A738" s="967">
        <v>98023</v>
      </c>
      <c r="B738" s="968" t="s">
        <v>3375</v>
      </c>
      <c r="C738" s="969">
        <v>1.43E-5</v>
      </c>
      <c r="D738" s="969">
        <v>1.45E-5</v>
      </c>
      <c r="E738" s="1008">
        <v>6869</v>
      </c>
      <c r="F738" s="1011">
        <v>30774</v>
      </c>
      <c r="G738" s="970">
        <v>21846</v>
      </c>
      <c r="H738" s="970"/>
      <c r="I738" s="971">
        <v>1259</v>
      </c>
      <c r="J738" s="972">
        <v>5305</v>
      </c>
      <c r="K738" s="971">
        <v>3120</v>
      </c>
      <c r="L738" s="970">
        <v>109</v>
      </c>
      <c r="M738" s="970"/>
      <c r="N738" s="971">
        <v>618</v>
      </c>
      <c r="O738" s="971">
        <v>0</v>
      </c>
      <c r="P738" s="971">
        <v>0</v>
      </c>
      <c r="Q738" s="970">
        <v>5220</v>
      </c>
      <c r="R738" s="970"/>
      <c r="S738" s="971">
        <v>7362</v>
      </c>
      <c r="T738" s="973">
        <v>-2611</v>
      </c>
      <c r="U738" s="973">
        <v>4751</v>
      </c>
    </row>
    <row r="739" spans="1:21" x14ac:dyDescent="0.25">
      <c r="A739" s="967">
        <v>98031</v>
      </c>
      <c r="B739" s="968" t="s">
        <v>3376</v>
      </c>
      <c r="C739" s="969">
        <v>1.537E-4</v>
      </c>
      <c r="D739" s="969">
        <v>1.5530000000000001E-4</v>
      </c>
      <c r="E739" s="1008">
        <v>67740</v>
      </c>
      <c r="F739" s="1011">
        <v>329599</v>
      </c>
      <c r="G739" s="970">
        <v>234811</v>
      </c>
      <c r="H739" s="970"/>
      <c r="I739" s="971">
        <v>13527</v>
      </c>
      <c r="J739" s="972">
        <v>57012</v>
      </c>
      <c r="K739" s="971">
        <v>33534</v>
      </c>
      <c r="L739" s="970">
        <v>4651</v>
      </c>
      <c r="M739" s="970"/>
      <c r="N739" s="971">
        <v>6647</v>
      </c>
      <c r="O739" s="971">
        <v>0</v>
      </c>
      <c r="P739" s="971">
        <v>0</v>
      </c>
      <c r="Q739" s="970">
        <v>9184</v>
      </c>
      <c r="R739" s="970"/>
      <c r="S739" s="971">
        <v>79132</v>
      </c>
      <c r="T739" s="973">
        <v>-1401</v>
      </c>
      <c r="U739" s="973">
        <f>77730+1</f>
        <v>77731</v>
      </c>
    </row>
    <row r="740" spans="1:21" x14ac:dyDescent="0.25">
      <c r="A740" s="967">
        <v>98041</v>
      </c>
      <c r="B740" s="968" t="s">
        <v>3377</v>
      </c>
      <c r="C740" s="969">
        <v>1.9230000000000001E-4</v>
      </c>
      <c r="D740" s="969">
        <v>1.6559999999999999E-4</v>
      </c>
      <c r="E740" s="1008">
        <v>80474</v>
      </c>
      <c r="F740" s="1011">
        <v>351459</v>
      </c>
      <c r="G740" s="970">
        <v>293781</v>
      </c>
      <c r="H740" s="970"/>
      <c r="I740" s="971">
        <v>16925</v>
      </c>
      <c r="J740" s="972">
        <v>71330</v>
      </c>
      <c r="K740" s="971">
        <v>41956</v>
      </c>
      <c r="L740" s="970">
        <v>17154</v>
      </c>
      <c r="M740" s="970"/>
      <c r="N740" s="971">
        <v>8316</v>
      </c>
      <c r="O740" s="971">
        <v>0</v>
      </c>
      <c r="P740" s="971">
        <v>0</v>
      </c>
      <c r="Q740" s="970">
        <v>5779</v>
      </c>
      <c r="R740" s="970"/>
      <c r="S740" s="971">
        <v>99005</v>
      </c>
      <c r="T740" s="973">
        <v>943</v>
      </c>
      <c r="U740" s="973">
        <v>99948</v>
      </c>
    </row>
    <row r="741" spans="1:21" x14ac:dyDescent="0.25">
      <c r="A741" s="967">
        <v>98051</v>
      </c>
      <c r="B741" s="968" t="s">
        <v>3378</v>
      </c>
      <c r="C741" s="969">
        <v>2.8019999999999998E-4</v>
      </c>
      <c r="D741" s="969">
        <v>3.0019999999999998E-4</v>
      </c>
      <c r="E741" s="1008">
        <v>136145</v>
      </c>
      <c r="F741" s="1011">
        <v>637125</v>
      </c>
      <c r="G741" s="970">
        <v>428068</v>
      </c>
      <c r="H741" s="970"/>
      <c r="I741" s="971">
        <v>24661</v>
      </c>
      <c r="J741" s="972">
        <v>103936</v>
      </c>
      <c r="K741" s="971">
        <v>61134</v>
      </c>
      <c r="L741" s="970">
        <v>21691</v>
      </c>
      <c r="M741" s="970"/>
      <c r="N741" s="971">
        <v>12117</v>
      </c>
      <c r="O741" s="971">
        <v>0</v>
      </c>
      <c r="P741" s="971">
        <v>0</v>
      </c>
      <c r="Q741" s="970">
        <v>7516</v>
      </c>
      <c r="R741" s="970"/>
      <c r="S741" s="971">
        <v>144259</v>
      </c>
      <c r="T741" s="973">
        <v>7566</v>
      </c>
      <c r="U741" s="973">
        <v>151825</v>
      </c>
    </row>
    <row r="742" spans="1:21" x14ac:dyDescent="0.25">
      <c r="A742" s="967">
        <v>98061</v>
      </c>
      <c r="B742" s="968" t="s">
        <v>3379</v>
      </c>
      <c r="C742" s="969">
        <v>1.0670000000000001E-4</v>
      </c>
      <c r="D742" s="969">
        <v>9.9099999999999996E-5</v>
      </c>
      <c r="E742" s="1008">
        <v>47390</v>
      </c>
      <c r="F742" s="1011">
        <v>210323</v>
      </c>
      <c r="G742" s="970">
        <v>163008</v>
      </c>
      <c r="H742" s="970"/>
      <c r="I742" s="971">
        <v>9391</v>
      </c>
      <c r="J742" s="972">
        <v>39579</v>
      </c>
      <c r="K742" s="971">
        <v>23280</v>
      </c>
      <c r="L742" s="970">
        <v>3820</v>
      </c>
      <c r="M742" s="970"/>
      <c r="N742" s="971">
        <v>4614</v>
      </c>
      <c r="O742" s="971">
        <v>0</v>
      </c>
      <c r="P742" s="971">
        <v>0</v>
      </c>
      <c r="Q742" s="970">
        <v>17433</v>
      </c>
      <c r="R742" s="970"/>
      <c r="S742" s="971">
        <v>54934</v>
      </c>
      <c r="T742" s="973">
        <v>-6260</v>
      </c>
      <c r="U742" s="973">
        <v>48674</v>
      </c>
    </row>
    <row r="743" spans="1:21" x14ac:dyDescent="0.25">
      <c r="A743" s="967">
        <v>98071</v>
      </c>
      <c r="B743" s="968" t="s">
        <v>3380</v>
      </c>
      <c r="C743" s="969">
        <v>4.0099999999999999E-5</v>
      </c>
      <c r="D743" s="969">
        <v>3.4400000000000003E-5</v>
      </c>
      <c r="E743" s="1008">
        <v>28233</v>
      </c>
      <c r="F743" s="1011">
        <v>73008</v>
      </c>
      <c r="G743" s="970">
        <v>61262</v>
      </c>
      <c r="H743" s="970"/>
      <c r="I743" s="971">
        <v>3529</v>
      </c>
      <c r="J743" s="972">
        <v>14874</v>
      </c>
      <c r="K743" s="971">
        <v>8749</v>
      </c>
      <c r="L743" s="970">
        <v>18505</v>
      </c>
      <c r="M743" s="970"/>
      <c r="N743" s="971">
        <v>1734</v>
      </c>
      <c r="O743" s="971">
        <v>0</v>
      </c>
      <c r="P743" s="971">
        <v>0</v>
      </c>
      <c r="Q743" s="970">
        <v>1200</v>
      </c>
      <c r="R743" s="970"/>
      <c r="S743" s="971">
        <v>20645</v>
      </c>
      <c r="T743" s="973">
        <v>4654</v>
      </c>
      <c r="U743" s="973">
        <v>25299</v>
      </c>
    </row>
    <row r="744" spans="1:21" x14ac:dyDescent="0.25">
      <c r="A744" s="967">
        <v>98081</v>
      </c>
      <c r="B744" s="968" t="s">
        <v>3381</v>
      </c>
      <c r="C744" s="969">
        <v>1.8300000000000001E-5</v>
      </c>
      <c r="D744" s="969">
        <v>1.9400000000000001E-5</v>
      </c>
      <c r="E744" s="1008">
        <v>7556</v>
      </c>
      <c r="F744" s="1011">
        <v>41173</v>
      </c>
      <c r="G744" s="970">
        <v>27957</v>
      </c>
      <c r="H744" s="970"/>
      <c r="I744" s="971">
        <v>1611</v>
      </c>
      <c r="J744" s="972">
        <v>6788</v>
      </c>
      <c r="K744" s="971">
        <v>3993</v>
      </c>
      <c r="L744" s="970">
        <v>0</v>
      </c>
      <c r="M744" s="970"/>
      <c r="N744" s="971">
        <v>791</v>
      </c>
      <c r="O744" s="971">
        <v>0</v>
      </c>
      <c r="P744" s="971">
        <v>0</v>
      </c>
      <c r="Q744" s="970">
        <v>4207</v>
      </c>
      <c r="R744" s="970"/>
      <c r="S744" s="971">
        <v>9422</v>
      </c>
      <c r="T744" s="973">
        <v>-1896</v>
      </c>
      <c r="U744" s="973">
        <v>7526</v>
      </c>
    </row>
    <row r="745" spans="1:21" x14ac:dyDescent="0.25">
      <c r="A745" s="967">
        <v>98091</v>
      </c>
      <c r="B745" s="968" t="s">
        <v>3382</v>
      </c>
      <c r="C745" s="969">
        <v>4.7500000000000003E-5</v>
      </c>
      <c r="D745" s="969">
        <v>5.0899999999999997E-5</v>
      </c>
      <c r="E745" s="1008">
        <v>25241</v>
      </c>
      <c r="F745" s="1011">
        <v>108027</v>
      </c>
      <c r="G745" s="970">
        <v>72567</v>
      </c>
      <c r="H745" s="970"/>
      <c r="I745" s="971">
        <v>4181</v>
      </c>
      <c r="J745" s="972">
        <v>17619</v>
      </c>
      <c r="K745" s="971">
        <v>10364</v>
      </c>
      <c r="L745" s="970">
        <v>1261</v>
      </c>
      <c r="M745" s="970"/>
      <c r="N745" s="971">
        <v>2054</v>
      </c>
      <c r="O745" s="971">
        <v>0</v>
      </c>
      <c r="P745" s="971">
        <v>0</v>
      </c>
      <c r="Q745" s="970">
        <v>807</v>
      </c>
      <c r="R745" s="970"/>
      <c r="S745" s="971">
        <v>24455</v>
      </c>
      <c r="T745" s="973">
        <v>-295</v>
      </c>
      <c r="U745" s="973">
        <v>24160</v>
      </c>
    </row>
    <row r="746" spans="1:21" x14ac:dyDescent="0.25">
      <c r="A746" s="967">
        <v>98101</v>
      </c>
      <c r="B746" s="968" t="s">
        <v>3383</v>
      </c>
      <c r="C746" s="969">
        <v>2.8706999999999999E-3</v>
      </c>
      <c r="D746" s="969">
        <v>2.7642999999999999E-3</v>
      </c>
      <c r="E746" s="1008">
        <v>1210234</v>
      </c>
      <c r="F746" s="1011">
        <v>5866771</v>
      </c>
      <c r="G746" s="970">
        <v>4385634</v>
      </c>
      <c r="H746" s="970"/>
      <c r="I746" s="971">
        <v>252653</v>
      </c>
      <c r="J746" s="972">
        <v>1064838</v>
      </c>
      <c r="K746" s="971">
        <v>626329</v>
      </c>
      <c r="L746" s="970">
        <v>37308</v>
      </c>
      <c r="M746" s="970"/>
      <c r="N746" s="971">
        <v>124143</v>
      </c>
      <c r="O746" s="971">
        <v>0</v>
      </c>
      <c r="P746" s="971">
        <v>0</v>
      </c>
      <c r="Q746" s="970">
        <v>32438</v>
      </c>
      <c r="R746" s="970"/>
      <c r="S746" s="971">
        <v>1477963</v>
      </c>
      <c r="T746" s="973">
        <v>14286</v>
      </c>
      <c r="U746" s="973">
        <f>1492248+1</f>
        <v>1492249</v>
      </c>
    </row>
    <row r="747" spans="1:21" x14ac:dyDescent="0.25">
      <c r="A747" s="967">
        <v>98102</v>
      </c>
      <c r="B747" s="968" t="s">
        <v>3384</v>
      </c>
      <c r="C747" s="969">
        <v>1.5809999999999999E-4</v>
      </c>
      <c r="D747" s="969">
        <v>1.683E-4</v>
      </c>
      <c r="E747" s="1008">
        <v>71621</v>
      </c>
      <c r="F747" s="1011">
        <v>357189</v>
      </c>
      <c r="G747" s="970">
        <v>241533</v>
      </c>
      <c r="H747" s="970"/>
      <c r="I747" s="971">
        <v>13915</v>
      </c>
      <c r="J747" s="972">
        <v>58644</v>
      </c>
      <c r="K747" s="971">
        <v>34494</v>
      </c>
      <c r="L747" s="970">
        <v>0</v>
      </c>
      <c r="M747" s="970"/>
      <c r="N747" s="971">
        <v>6837</v>
      </c>
      <c r="O747" s="971">
        <v>0</v>
      </c>
      <c r="P747" s="971">
        <v>0</v>
      </c>
      <c r="Q747" s="970">
        <v>14329</v>
      </c>
      <c r="R747" s="970"/>
      <c r="S747" s="971">
        <v>81397</v>
      </c>
      <c r="T747" s="973">
        <v>-5584</v>
      </c>
      <c r="U747" s="973">
        <v>75813</v>
      </c>
    </row>
    <row r="748" spans="1:21" x14ac:dyDescent="0.25">
      <c r="A748" s="967">
        <v>98103</v>
      </c>
      <c r="B748" s="968" t="s">
        <v>3385</v>
      </c>
      <c r="C748" s="969">
        <v>5.4410000000000005E-4</v>
      </c>
      <c r="D748" s="969">
        <v>5.3600000000000002E-4</v>
      </c>
      <c r="E748" s="1008">
        <v>255161</v>
      </c>
      <c r="F748" s="1011">
        <v>1137572</v>
      </c>
      <c r="G748" s="970">
        <v>831234</v>
      </c>
      <c r="H748" s="970"/>
      <c r="I748" s="971">
        <v>47887</v>
      </c>
      <c r="J748" s="972">
        <v>201824</v>
      </c>
      <c r="K748" s="971">
        <v>118712</v>
      </c>
      <c r="L748" s="970">
        <v>9730</v>
      </c>
      <c r="M748" s="970"/>
      <c r="N748" s="971">
        <v>23530</v>
      </c>
      <c r="O748" s="971">
        <v>0</v>
      </c>
      <c r="P748" s="971">
        <v>0</v>
      </c>
      <c r="Q748" s="970">
        <v>27055</v>
      </c>
      <c r="R748" s="970"/>
      <c r="S748" s="971">
        <v>280127</v>
      </c>
      <c r="T748" s="973">
        <v>-17051</v>
      </c>
      <c r="U748" s="973">
        <v>263076</v>
      </c>
    </row>
    <row r="749" spans="1:21" x14ac:dyDescent="0.25">
      <c r="A749" s="967">
        <v>98107</v>
      </c>
      <c r="B749" s="968" t="s">
        <v>3386</v>
      </c>
      <c r="C749" s="969">
        <v>1.08E-5</v>
      </c>
      <c r="D749" s="969">
        <v>1.08E-5</v>
      </c>
      <c r="E749" s="1008">
        <v>9242</v>
      </c>
      <c r="F749" s="1011">
        <v>22921</v>
      </c>
      <c r="G749" s="970">
        <v>16499</v>
      </c>
      <c r="H749" s="970"/>
      <c r="I749" s="971">
        <v>951</v>
      </c>
      <c r="J749" s="972">
        <v>4006</v>
      </c>
      <c r="K749" s="971">
        <v>2356</v>
      </c>
      <c r="L749" s="970">
        <v>8237</v>
      </c>
      <c r="M749" s="970"/>
      <c r="N749" s="971">
        <v>467</v>
      </c>
      <c r="O749" s="971">
        <v>0</v>
      </c>
      <c r="P749" s="971">
        <v>0</v>
      </c>
      <c r="Q749" s="970">
        <v>0</v>
      </c>
      <c r="R749" s="970"/>
      <c r="S749" s="971">
        <v>5560</v>
      </c>
      <c r="T749" s="973">
        <v>3467</v>
      </c>
      <c r="U749" s="973">
        <v>9027</v>
      </c>
    </row>
    <row r="750" spans="1:21" x14ac:dyDescent="0.25">
      <c r="A750" s="967">
        <v>98109</v>
      </c>
      <c r="B750" s="968" t="s">
        <v>3387</v>
      </c>
      <c r="C750" s="969">
        <v>1.573E-4</v>
      </c>
      <c r="D750" s="969">
        <v>1.4660000000000001E-4</v>
      </c>
      <c r="E750" s="1008">
        <v>76016</v>
      </c>
      <c r="F750" s="1011">
        <v>311134</v>
      </c>
      <c r="G750" s="970">
        <v>240311</v>
      </c>
      <c r="H750" s="970"/>
      <c r="I750" s="971">
        <v>13844</v>
      </c>
      <c r="J750" s="972">
        <v>58348</v>
      </c>
      <c r="K750" s="971">
        <v>34320</v>
      </c>
      <c r="L750" s="970">
        <v>12163</v>
      </c>
      <c r="M750" s="970"/>
      <c r="N750" s="971">
        <v>6802</v>
      </c>
      <c r="O750" s="971">
        <v>0</v>
      </c>
      <c r="P750" s="971">
        <v>0</v>
      </c>
      <c r="Q750" s="970">
        <v>24551</v>
      </c>
      <c r="R750" s="970"/>
      <c r="S750" s="971">
        <v>80985</v>
      </c>
      <c r="T750" s="973">
        <v>-7590</v>
      </c>
      <c r="U750" s="973">
        <v>73395</v>
      </c>
    </row>
    <row r="751" spans="1:21" x14ac:dyDescent="0.25">
      <c r="A751" s="967">
        <v>98111</v>
      </c>
      <c r="B751" s="968" t="s">
        <v>3388</v>
      </c>
      <c r="C751" s="969">
        <v>1.0143000000000001E-3</v>
      </c>
      <c r="D751" s="969">
        <v>1.0191E-3</v>
      </c>
      <c r="E751" s="1008">
        <v>432530</v>
      </c>
      <c r="F751" s="1011">
        <v>2162872</v>
      </c>
      <c r="G751" s="970">
        <v>1549569</v>
      </c>
      <c r="H751" s="970"/>
      <c r="I751" s="971">
        <v>89270</v>
      </c>
      <c r="J751" s="972">
        <v>376238</v>
      </c>
      <c r="K751" s="971">
        <v>221300</v>
      </c>
      <c r="L751" s="970">
        <v>0</v>
      </c>
      <c r="M751" s="970"/>
      <c r="N751" s="971">
        <v>43863</v>
      </c>
      <c r="O751" s="971">
        <v>0</v>
      </c>
      <c r="P751" s="971">
        <v>0</v>
      </c>
      <c r="Q751" s="970">
        <v>66610</v>
      </c>
      <c r="R751" s="970"/>
      <c r="S751" s="971">
        <v>522206</v>
      </c>
      <c r="T751" s="973">
        <v>-21506</v>
      </c>
      <c r="U751" s="973">
        <v>500700</v>
      </c>
    </row>
    <row r="752" spans="1:21" x14ac:dyDescent="0.25">
      <c r="A752" s="967">
        <v>98113</v>
      </c>
      <c r="B752" s="968" t="s">
        <v>3389</v>
      </c>
      <c r="C752" s="969">
        <v>4.6199999999999998E-5</v>
      </c>
      <c r="D752" s="969">
        <v>3.8999999999999999E-5</v>
      </c>
      <c r="E752" s="1008">
        <v>23492</v>
      </c>
      <c r="F752" s="1011">
        <v>82771</v>
      </c>
      <c r="G752" s="970">
        <v>70581</v>
      </c>
      <c r="H752" s="970"/>
      <c r="I752" s="971">
        <v>4066</v>
      </c>
      <c r="J752" s="972">
        <v>17137</v>
      </c>
      <c r="K752" s="971">
        <v>10080</v>
      </c>
      <c r="L752" s="970">
        <v>11739</v>
      </c>
      <c r="M752" s="970"/>
      <c r="N752" s="971">
        <v>1998</v>
      </c>
      <c r="O752" s="971">
        <v>0</v>
      </c>
      <c r="P752" s="971">
        <v>0</v>
      </c>
      <c r="Q752" s="970">
        <v>0</v>
      </c>
      <c r="R752" s="970"/>
      <c r="S752" s="971">
        <v>23786</v>
      </c>
      <c r="T752" s="973">
        <v>4647</v>
      </c>
      <c r="U752" s="973">
        <f>28432+1</f>
        <v>28433</v>
      </c>
    </row>
    <row r="753" spans="1:21" x14ac:dyDescent="0.25">
      <c r="A753" s="967">
        <v>98121</v>
      </c>
      <c r="B753" s="968" t="s">
        <v>3390</v>
      </c>
      <c r="C753" s="969">
        <v>2.0100000000000001E-4</v>
      </c>
      <c r="D753" s="969">
        <v>2.2910000000000001E-4</v>
      </c>
      <c r="E753" s="1008">
        <v>89370</v>
      </c>
      <c r="F753" s="1011">
        <v>486227</v>
      </c>
      <c r="G753" s="970">
        <v>307072</v>
      </c>
      <c r="H753" s="970"/>
      <c r="I753" s="971">
        <v>17690</v>
      </c>
      <c r="J753" s="972">
        <v>74558</v>
      </c>
      <c r="K753" s="971">
        <v>43854</v>
      </c>
      <c r="L753" s="970">
        <v>2134</v>
      </c>
      <c r="M753" s="970"/>
      <c r="N753" s="971">
        <v>8692</v>
      </c>
      <c r="O753" s="971">
        <v>0</v>
      </c>
      <c r="P753" s="971">
        <v>0</v>
      </c>
      <c r="Q753" s="970">
        <v>25239</v>
      </c>
      <c r="R753" s="970"/>
      <c r="S753" s="971">
        <v>103484</v>
      </c>
      <c r="T753" s="973">
        <v>-5712</v>
      </c>
      <c r="U753" s="973">
        <f>97771+1</f>
        <v>97772</v>
      </c>
    </row>
    <row r="754" spans="1:21" x14ac:dyDescent="0.25">
      <c r="A754" s="967">
        <v>98131</v>
      </c>
      <c r="B754" s="968" t="s">
        <v>3391</v>
      </c>
      <c r="C754" s="969">
        <v>2.5230000000000001E-4</v>
      </c>
      <c r="D754" s="969">
        <v>2.9569999999999998E-4</v>
      </c>
      <c r="E754" s="1008">
        <v>119697</v>
      </c>
      <c r="F754" s="1011">
        <v>627574</v>
      </c>
      <c r="G754" s="970">
        <v>385445</v>
      </c>
      <c r="H754" s="970"/>
      <c r="I754" s="971">
        <v>22205</v>
      </c>
      <c r="J754" s="972">
        <v>93586</v>
      </c>
      <c r="K754" s="971">
        <v>55047</v>
      </c>
      <c r="L754" s="970">
        <v>0</v>
      </c>
      <c r="M754" s="970"/>
      <c r="N754" s="971">
        <v>10911</v>
      </c>
      <c r="O754" s="971">
        <v>0</v>
      </c>
      <c r="P754" s="971">
        <v>0</v>
      </c>
      <c r="Q754" s="970">
        <v>53749</v>
      </c>
      <c r="R754" s="970"/>
      <c r="S754" s="971">
        <v>129895</v>
      </c>
      <c r="T754" s="973">
        <v>-23653</v>
      </c>
      <c r="U754" s="973">
        <v>106242</v>
      </c>
    </row>
    <row r="755" spans="1:21" x14ac:dyDescent="0.25">
      <c r="A755" s="967">
        <v>98141</v>
      </c>
      <c r="B755" s="968" t="s">
        <v>3392</v>
      </c>
      <c r="C755" s="969">
        <v>3.0360000000000001E-4</v>
      </c>
      <c r="D755" s="969">
        <v>2.9030000000000001E-4</v>
      </c>
      <c r="E755" s="1008">
        <v>133558</v>
      </c>
      <c r="F755" s="1011">
        <v>616114</v>
      </c>
      <c r="G755" s="970">
        <v>463817</v>
      </c>
      <c r="H755" s="970"/>
      <c r="I755" s="971">
        <v>26720</v>
      </c>
      <c r="J755" s="972">
        <v>112616</v>
      </c>
      <c r="K755" s="971">
        <v>66239</v>
      </c>
      <c r="L755" s="970">
        <v>5226</v>
      </c>
      <c r="M755" s="970"/>
      <c r="N755" s="971">
        <v>13129</v>
      </c>
      <c r="O755" s="971">
        <v>0</v>
      </c>
      <c r="P755" s="971">
        <v>0</v>
      </c>
      <c r="Q755" s="970">
        <v>22375</v>
      </c>
      <c r="R755" s="970"/>
      <c r="S755" s="971">
        <v>156307</v>
      </c>
      <c r="T755" s="973">
        <v>-11630</v>
      </c>
      <c r="U755" s="973">
        <v>144677</v>
      </c>
    </row>
    <row r="756" spans="1:21" x14ac:dyDescent="0.25">
      <c r="A756" s="967">
        <v>98147</v>
      </c>
      <c r="B756" s="968" t="s">
        <v>3393</v>
      </c>
      <c r="C756" s="969">
        <v>1.29E-5</v>
      </c>
      <c r="D756" s="969">
        <v>1.29E-5</v>
      </c>
      <c r="E756" s="1008">
        <v>9893</v>
      </c>
      <c r="F756" s="1011">
        <v>27378</v>
      </c>
      <c r="G756" s="970">
        <v>19708</v>
      </c>
      <c r="H756" s="970"/>
      <c r="I756" s="971">
        <v>1135</v>
      </c>
      <c r="J756" s="972">
        <v>4785</v>
      </c>
      <c r="K756" s="971">
        <v>2815</v>
      </c>
      <c r="L756" s="970">
        <v>8231</v>
      </c>
      <c r="M756" s="970"/>
      <c r="N756" s="971">
        <v>558</v>
      </c>
      <c r="O756" s="971">
        <v>0</v>
      </c>
      <c r="P756" s="971">
        <v>0</v>
      </c>
      <c r="Q756" s="970">
        <v>0</v>
      </c>
      <c r="R756" s="970"/>
      <c r="S756" s="971">
        <v>6641</v>
      </c>
      <c r="T756" s="973">
        <v>3295</v>
      </c>
      <c r="U756" s="973">
        <f>9937-1</f>
        <v>9936</v>
      </c>
    </row>
    <row r="757" spans="1:21" x14ac:dyDescent="0.25">
      <c r="A757" s="967">
        <v>98161</v>
      </c>
      <c r="B757" s="968" t="s">
        <v>3394</v>
      </c>
      <c r="C757" s="969">
        <v>7.3000000000000004E-6</v>
      </c>
      <c r="D757" s="969">
        <v>7.4000000000000003E-6</v>
      </c>
      <c r="E757" s="1008">
        <v>5046</v>
      </c>
      <c r="F757" s="1011">
        <v>15705</v>
      </c>
      <c r="G757" s="970">
        <v>11152</v>
      </c>
      <c r="H757" s="970"/>
      <c r="I757" s="971">
        <v>642</v>
      </c>
      <c r="J757" s="972">
        <v>2708</v>
      </c>
      <c r="K757" s="971">
        <v>1593</v>
      </c>
      <c r="L757" s="970">
        <v>2689</v>
      </c>
      <c r="M757" s="970"/>
      <c r="N757" s="971">
        <v>316</v>
      </c>
      <c r="O757" s="971">
        <v>0</v>
      </c>
      <c r="P757" s="971">
        <v>0</v>
      </c>
      <c r="Q757" s="970">
        <v>0</v>
      </c>
      <c r="R757" s="970"/>
      <c r="S757" s="971">
        <v>3758</v>
      </c>
      <c r="T757" s="973">
        <v>1075</v>
      </c>
      <c r="U757" s="973">
        <v>4833</v>
      </c>
    </row>
    <row r="758" spans="1:21" x14ac:dyDescent="0.25">
      <c r="A758" s="967">
        <v>98201</v>
      </c>
      <c r="B758" s="968" t="s">
        <v>3395</v>
      </c>
      <c r="C758" s="969">
        <v>3.1664000000000002E-3</v>
      </c>
      <c r="D758" s="969">
        <v>3.0368999999999999E-3</v>
      </c>
      <c r="E758" s="1008">
        <v>1424604</v>
      </c>
      <c r="F758" s="1011">
        <v>6445319</v>
      </c>
      <c r="G758" s="970">
        <v>4837382</v>
      </c>
      <c r="H758" s="970"/>
      <c r="I758" s="971">
        <v>278678</v>
      </c>
      <c r="J758" s="972">
        <v>1174522</v>
      </c>
      <c r="K758" s="971">
        <v>690845</v>
      </c>
      <c r="L758" s="970">
        <v>63594</v>
      </c>
      <c r="M758" s="970"/>
      <c r="N758" s="971">
        <v>136931</v>
      </c>
      <c r="O758" s="971">
        <v>0</v>
      </c>
      <c r="P758" s="971">
        <v>0</v>
      </c>
      <c r="Q758" s="970">
        <v>39608</v>
      </c>
      <c r="R758" s="970"/>
      <c r="S758" s="971">
        <v>1630202</v>
      </c>
      <c r="T758" s="973">
        <v>-5370</v>
      </c>
      <c r="U758" s="973">
        <v>1624832</v>
      </c>
    </row>
    <row r="759" spans="1:21" x14ac:dyDescent="0.25">
      <c r="A759" s="967">
        <v>98205</v>
      </c>
      <c r="B759" s="968" t="s">
        <v>3396</v>
      </c>
      <c r="C759" s="969">
        <v>4.6799999999999999E-5</v>
      </c>
      <c r="D759" s="969">
        <v>5.13E-5</v>
      </c>
      <c r="E759" s="1008">
        <v>23505</v>
      </c>
      <c r="F759" s="1011">
        <v>108876</v>
      </c>
      <c r="G759" s="970">
        <v>71497</v>
      </c>
      <c r="H759" s="970"/>
      <c r="I759" s="971">
        <v>4119</v>
      </c>
      <c r="J759" s="972">
        <v>17359</v>
      </c>
      <c r="K759" s="971">
        <v>10211</v>
      </c>
      <c r="L759" s="970">
        <v>1985</v>
      </c>
      <c r="M759" s="970"/>
      <c r="N759" s="971">
        <v>2024</v>
      </c>
      <c r="O759" s="971">
        <v>0</v>
      </c>
      <c r="P759" s="971">
        <v>0</v>
      </c>
      <c r="Q759" s="970">
        <v>2510</v>
      </c>
      <c r="R759" s="970"/>
      <c r="S759" s="971">
        <v>24095</v>
      </c>
      <c r="T759" s="973">
        <v>-141</v>
      </c>
      <c r="U759" s="973">
        <f>23953+1</f>
        <v>23954</v>
      </c>
    </row>
    <row r="760" spans="1:21" x14ac:dyDescent="0.25">
      <c r="A760" s="967">
        <v>98211</v>
      </c>
      <c r="B760" s="968" t="s">
        <v>3397</v>
      </c>
      <c r="C760" s="969">
        <v>8.6689999999999998E-4</v>
      </c>
      <c r="D760" s="969">
        <v>9.1609999999999999E-4</v>
      </c>
      <c r="E760" s="1008">
        <v>365218</v>
      </c>
      <c r="F760" s="1011">
        <v>1944271</v>
      </c>
      <c r="G760" s="970">
        <v>1324383</v>
      </c>
      <c r="H760" s="970"/>
      <c r="I760" s="971">
        <v>76297</v>
      </c>
      <c r="J760" s="972">
        <v>321561</v>
      </c>
      <c r="K760" s="971">
        <v>189140</v>
      </c>
      <c r="L760" s="970">
        <v>0</v>
      </c>
      <c r="M760" s="970"/>
      <c r="N760" s="971">
        <v>37489</v>
      </c>
      <c r="O760" s="971">
        <v>0</v>
      </c>
      <c r="P760" s="971">
        <v>0</v>
      </c>
      <c r="Q760" s="970">
        <v>136830</v>
      </c>
      <c r="R760" s="970"/>
      <c r="S760" s="971">
        <v>446318</v>
      </c>
      <c r="T760" s="973">
        <v>-50136</v>
      </c>
      <c r="U760" s="973">
        <v>396182</v>
      </c>
    </row>
    <row r="761" spans="1:21" x14ac:dyDescent="0.25">
      <c r="A761" s="967">
        <v>98218</v>
      </c>
      <c r="B761" s="968" t="s">
        <v>3398</v>
      </c>
      <c r="C761" s="969">
        <v>1.3200000000000001E-5</v>
      </c>
      <c r="D761" s="969">
        <v>1.0200000000000001E-5</v>
      </c>
      <c r="E761" s="1008">
        <v>5829</v>
      </c>
      <c r="F761" s="1011">
        <v>21648</v>
      </c>
      <c r="G761" s="970">
        <v>20166</v>
      </c>
      <c r="H761" s="970"/>
      <c r="I761" s="971">
        <v>1162</v>
      </c>
      <c r="J761" s="972">
        <v>4896</v>
      </c>
      <c r="K761" s="971">
        <v>2880</v>
      </c>
      <c r="L761" s="970">
        <v>1827</v>
      </c>
      <c r="M761" s="970"/>
      <c r="N761" s="971">
        <v>571</v>
      </c>
      <c r="O761" s="971">
        <v>0</v>
      </c>
      <c r="P761" s="971">
        <v>0</v>
      </c>
      <c r="Q761" s="970">
        <v>1072</v>
      </c>
      <c r="R761" s="970"/>
      <c r="S761" s="971">
        <v>6796</v>
      </c>
      <c r="T761" s="973">
        <v>-336</v>
      </c>
      <c r="U761" s="973">
        <v>6460</v>
      </c>
    </row>
    <row r="762" spans="1:21" x14ac:dyDescent="0.25">
      <c r="A762" s="967">
        <v>98221</v>
      </c>
      <c r="B762" s="968" t="s">
        <v>3399</v>
      </c>
      <c r="C762" s="969">
        <v>1.8899999999999999E-5</v>
      </c>
      <c r="D762" s="969">
        <v>1.6799999999999998E-5</v>
      </c>
      <c r="E762" s="1008">
        <v>9739</v>
      </c>
      <c r="F762" s="1011">
        <v>35655</v>
      </c>
      <c r="G762" s="970">
        <v>28874</v>
      </c>
      <c r="H762" s="970"/>
      <c r="I762" s="971">
        <v>1663</v>
      </c>
      <c r="J762" s="972">
        <v>7011</v>
      </c>
      <c r="K762" s="971">
        <v>4124</v>
      </c>
      <c r="L762" s="970">
        <v>4593</v>
      </c>
      <c r="M762" s="970"/>
      <c r="N762" s="971">
        <v>817</v>
      </c>
      <c r="O762" s="971">
        <v>0</v>
      </c>
      <c r="P762" s="971">
        <v>0</v>
      </c>
      <c r="Q762" s="970">
        <v>0</v>
      </c>
      <c r="R762" s="970"/>
      <c r="S762" s="971">
        <v>9731</v>
      </c>
      <c r="T762" s="973">
        <v>1469</v>
      </c>
      <c r="U762" s="973">
        <v>11200</v>
      </c>
    </row>
    <row r="763" spans="1:21" x14ac:dyDescent="0.25">
      <c r="A763" s="967">
        <v>98231</v>
      </c>
      <c r="B763" s="968" t="s">
        <v>3400</v>
      </c>
      <c r="C763" s="969">
        <v>2.2799999999999999E-5</v>
      </c>
      <c r="D763" s="969">
        <v>3.1999999999999999E-5</v>
      </c>
      <c r="E763" s="1008">
        <v>11487</v>
      </c>
      <c r="F763" s="1011">
        <v>67915</v>
      </c>
      <c r="G763" s="970">
        <v>34832</v>
      </c>
      <c r="H763" s="970"/>
      <c r="I763" s="971">
        <v>2007</v>
      </c>
      <c r="J763" s="972">
        <v>8457</v>
      </c>
      <c r="K763" s="971">
        <v>4975</v>
      </c>
      <c r="L763" s="970">
        <v>1705</v>
      </c>
      <c r="M763" s="970"/>
      <c r="N763" s="971">
        <v>986</v>
      </c>
      <c r="O763" s="971">
        <v>0</v>
      </c>
      <c r="P763" s="971">
        <v>0</v>
      </c>
      <c r="Q763" s="970">
        <v>9632</v>
      </c>
      <c r="R763" s="970"/>
      <c r="S763" s="971">
        <v>11738</v>
      </c>
      <c r="T763" s="973">
        <v>-3592</v>
      </c>
      <c r="U763" s="973">
        <v>8146</v>
      </c>
    </row>
    <row r="764" spans="1:21" x14ac:dyDescent="0.25">
      <c r="A764" s="967">
        <v>98237</v>
      </c>
      <c r="B764" s="968" t="s">
        <v>3401</v>
      </c>
      <c r="C764" s="969">
        <v>5.9000000000000003E-6</v>
      </c>
      <c r="D764" s="969">
        <v>2.7E-6</v>
      </c>
      <c r="E764" s="1008">
        <v>4385</v>
      </c>
      <c r="F764" s="1011">
        <v>5730</v>
      </c>
      <c r="G764" s="970">
        <v>9014</v>
      </c>
      <c r="H764" s="970"/>
      <c r="I764" s="971">
        <v>519</v>
      </c>
      <c r="J764" s="972">
        <v>2188</v>
      </c>
      <c r="K764" s="971">
        <v>1287</v>
      </c>
      <c r="L764" s="970">
        <v>5034</v>
      </c>
      <c r="M764" s="970"/>
      <c r="N764" s="971">
        <v>255</v>
      </c>
      <c r="O764" s="971">
        <v>0</v>
      </c>
      <c r="P764" s="971">
        <v>0</v>
      </c>
      <c r="Q764" s="970">
        <v>0</v>
      </c>
      <c r="R764" s="970"/>
      <c r="S764" s="971">
        <v>3038</v>
      </c>
      <c r="T764" s="973">
        <v>1666</v>
      </c>
      <c r="U764" s="973">
        <v>4704</v>
      </c>
    </row>
    <row r="765" spans="1:21" x14ac:dyDescent="0.25">
      <c r="A765" s="967">
        <v>98241</v>
      </c>
      <c r="B765" s="968" t="s">
        <v>3402</v>
      </c>
      <c r="C765" s="969">
        <v>1.5099999999999999E-5</v>
      </c>
      <c r="D765" s="969">
        <v>1.98E-5</v>
      </c>
      <c r="E765" s="1008">
        <v>8388</v>
      </c>
      <c r="F765" s="1011">
        <v>42022</v>
      </c>
      <c r="G765" s="970">
        <v>23069</v>
      </c>
      <c r="H765" s="970"/>
      <c r="I765" s="971">
        <v>1329</v>
      </c>
      <c r="J765" s="972">
        <v>5602</v>
      </c>
      <c r="K765" s="971">
        <v>3295</v>
      </c>
      <c r="L765" s="970">
        <v>5512</v>
      </c>
      <c r="M765" s="970"/>
      <c r="N765" s="971">
        <v>653</v>
      </c>
      <c r="O765" s="971">
        <v>0</v>
      </c>
      <c r="P765" s="971">
        <v>0</v>
      </c>
      <c r="Q765" s="970">
        <v>2200</v>
      </c>
      <c r="R765" s="970"/>
      <c r="S765" s="971">
        <v>7774</v>
      </c>
      <c r="T765" s="973">
        <v>2564</v>
      </c>
      <c r="U765" s="973">
        <f>10339-1</f>
        <v>10338</v>
      </c>
    </row>
    <row r="766" spans="1:21" x14ac:dyDescent="0.25">
      <c r="A766" s="967">
        <v>98251</v>
      </c>
      <c r="B766" s="968" t="s">
        <v>3403</v>
      </c>
      <c r="C766" s="969">
        <v>3.0000000000000001E-6</v>
      </c>
      <c r="D766" s="969">
        <v>3.1E-6</v>
      </c>
      <c r="E766" s="1008">
        <v>2206</v>
      </c>
      <c r="F766" s="1011">
        <v>6579</v>
      </c>
      <c r="G766" s="970">
        <v>4583</v>
      </c>
      <c r="H766" s="970"/>
      <c r="I766" s="971">
        <v>264</v>
      </c>
      <c r="J766" s="972">
        <v>1113</v>
      </c>
      <c r="K766" s="971">
        <v>655</v>
      </c>
      <c r="L766" s="970">
        <v>1375</v>
      </c>
      <c r="M766" s="970"/>
      <c r="N766" s="971">
        <v>130</v>
      </c>
      <c r="O766" s="971">
        <v>0</v>
      </c>
      <c r="P766" s="971">
        <v>0</v>
      </c>
      <c r="Q766" s="970">
        <v>0</v>
      </c>
      <c r="R766" s="970"/>
      <c r="S766" s="971">
        <v>1545</v>
      </c>
      <c r="T766" s="973">
        <v>561</v>
      </c>
      <c r="U766" s="973">
        <v>2106</v>
      </c>
    </row>
    <row r="767" spans="1:21" x14ac:dyDescent="0.25">
      <c r="A767" s="967">
        <v>98261</v>
      </c>
      <c r="B767" s="968" t="s">
        <v>3404</v>
      </c>
      <c r="C767" s="969">
        <v>3.3200000000000001E-5</v>
      </c>
      <c r="D767" s="969">
        <v>2.97E-5</v>
      </c>
      <c r="E767" s="1008">
        <v>16865</v>
      </c>
      <c r="F767" s="1011">
        <v>63033</v>
      </c>
      <c r="G767" s="970">
        <v>50720</v>
      </c>
      <c r="H767" s="970"/>
      <c r="I767" s="971">
        <v>2922</v>
      </c>
      <c r="J767" s="972">
        <v>12315</v>
      </c>
      <c r="K767" s="971">
        <v>7244</v>
      </c>
      <c r="L767" s="970">
        <v>6546</v>
      </c>
      <c r="M767" s="970"/>
      <c r="N767" s="971">
        <v>1436</v>
      </c>
      <c r="O767" s="971">
        <v>0</v>
      </c>
      <c r="P767" s="971">
        <v>0</v>
      </c>
      <c r="Q767" s="970">
        <v>4922</v>
      </c>
      <c r="R767" s="970"/>
      <c r="S767" s="971">
        <v>17093</v>
      </c>
      <c r="T767" s="973">
        <v>793</v>
      </c>
      <c r="U767" s="973">
        <v>17886</v>
      </c>
    </row>
    <row r="768" spans="1:21" x14ac:dyDescent="0.25">
      <c r="A768" s="967">
        <v>98271</v>
      </c>
      <c r="B768" s="968" t="s">
        <v>3405</v>
      </c>
      <c r="C768" s="969">
        <v>5.1000000000000003E-6</v>
      </c>
      <c r="D768" s="969">
        <v>4.5000000000000001E-6</v>
      </c>
      <c r="E768" s="1008">
        <v>2676</v>
      </c>
      <c r="F768" s="1011">
        <v>9551</v>
      </c>
      <c r="G768" s="970">
        <v>7791</v>
      </c>
      <c r="H768" s="970"/>
      <c r="I768" s="971">
        <v>449</v>
      </c>
      <c r="J768" s="972">
        <v>1891</v>
      </c>
      <c r="K768" s="971">
        <v>1113</v>
      </c>
      <c r="L768" s="970">
        <v>3229</v>
      </c>
      <c r="M768" s="970"/>
      <c r="N768" s="971">
        <v>221</v>
      </c>
      <c r="O768" s="971">
        <v>0</v>
      </c>
      <c r="P768" s="971">
        <v>0</v>
      </c>
      <c r="Q768" s="970">
        <v>0</v>
      </c>
      <c r="R768" s="970"/>
      <c r="S768" s="971">
        <v>2626</v>
      </c>
      <c r="T768" s="973">
        <v>1560</v>
      </c>
      <c r="U768" s="973">
        <f>4185+1</f>
        <v>4186</v>
      </c>
    </row>
    <row r="769" spans="1:21" x14ac:dyDescent="0.25">
      <c r="A769" s="967">
        <v>98301</v>
      </c>
      <c r="B769" s="968" t="s">
        <v>3406</v>
      </c>
      <c r="C769" s="969">
        <v>1.7542E-3</v>
      </c>
      <c r="D769" s="969">
        <v>1.7776999999999999E-3</v>
      </c>
      <c r="E769" s="1008">
        <v>825878</v>
      </c>
      <c r="F769" s="1011">
        <v>3772875</v>
      </c>
      <c r="G769" s="970">
        <v>2679932</v>
      </c>
      <c r="H769" s="970"/>
      <c r="I769" s="971">
        <v>154389</v>
      </c>
      <c r="J769" s="972">
        <v>650690</v>
      </c>
      <c r="K769" s="971">
        <v>382731</v>
      </c>
      <c r="L769" s="970">
        <v>51704</v>
      </c>
      <c r="M769" s="970"/>
      <c r="N769" s="971">
        <v>75860</v>
      </c>
      <c r="O769" s="971">
        <v>0</v>
      </c>
      <c r="P769" s="971">
        <v>0</v>
      </c>
      <c r="Q769" s="970">
        <v>7816</v>
      </c>
      <c r="R769" s="970"/>
      <c r="S769" s="971">
        <v>903139</v>
      </c>
      <c r="T769" s="973">
        <v>17344</v>
      </c>
      <c r="U769" s="973">
        <v>920483</v>
      </c>
    </row>
    <row r="770" spans="1:21" x14ac:dyDescent="0.25">
      <c r="A770" s="967">
        <v>98304</v>
      </c>
      <c r="B770" s="968" t="s">
        <v>3407</v>
      </c>
      <c r="C770" s="969">
        <v>2.0999999999999999E-5</v>
      </c>
      <c r="D770" s="969">
        <v>2.2900000000000001E-5</v>
      </c>
      <c r="E770" s="1008">
        <v>12751</v>
      </c>
      <c r="F770" s="1011">
        <v>48601</v>
      </c>
      <c r="G770" s="970">
        <v>32082</v>
      </c>
      <c r="H770" s="970"/>
      <c r="I770" s="971">
        <v>1848</v>
      </c>
      <c r="J770" s="972">
        <v>7790</v>
      </c>
      <c r="K770" s="971">
        <v>4582</v>
      </c>
      <c r="L770" s="970">
        <v>2290</v>
      </c>
      <c r="M770" s="970"/>
      <c r="N770" s="971">
        <v>908</v>
      </c>
      <c r="O770" s="971">
        <v>0</v>
      </c>
      <c r="P770" s="971">
        <v>0</v>
      </c>
      <c r="Q770" s="970">
        <v>0</v>
      </c>
      <c r="R770" s="970"/>
      <c r="S770" s="971">
        <v>10812</v>
      </c>
      <c r="T770" s="973">
        <v>818</v>
      </c>
      <c r="U770" s="973">
        <f>11629+1</f>
        <v>11630</v>
      </c>
    </row>
    <row r="771" spans="1:21" x14ac:dyDescent="0.25">
      <c r="A771" s="967">
        <v>98308</v>
      </c>
      <c r="B771" s="968" t="s">
        <v>3408</v>
      </c>
      <c r="C771" s="969">
        <v>2.37E-5</v>
      </c>
      <c r="D771" s="969">
        <v>2.55E-5</v>
      </c>
      <c r="E771" s="1008">
        <v>15363</v>
      </c>
      <c r="F771" s="1011">
        <v>54120</v>
      </c>
      <c r="G771" s="970">
        <v>36207</v>
      </c>
      <c r="H771" s="970"/>
      <c r="I771" s="971">
        <v>2086</v>
      </c>
      <c r="J771" s="972">
        <v>8791</v>
      </c>
      <c r="K771" s="971">
        <v>5171</v>
      </c>
      <c r="L771" s="970">
        <v>7272</v>
      </c>
      <c r="M771" s="970"/>
      <c r="N771" s="971">
        <v>1025</v>
      </c>
      <c r="O771" s="971">
        <v>0</v>
      </c>
      <c r="P771" s="971">
        <v>0</v>
      </c>
      <c r="Q771" s="970">
        <v>0</v>
      </c>
      <c r="R771" s="970"/>
      <c r="S771" s="971">
        <v>12202</v>
      </c>
      <c r="T771" s="973">
        <v>3390</v>
      </c>
      <c r="U771" s="973">
        <v>15592</v>
      </c>
    </row>
    <row r="772" spans="1:21" x14ac:dyDescent="0.25">
      <c r="A772" s="967">
        <v>98311</v>
      </c>
      <c r="B772" s="968" t="s">
        <v>3409</v>
      </c>
      <c r="C772" s="969">
        <v>1.1536000000000001E-3</v>
      </c>
      <c r="D772" s="969">
        <v>1.1441999999999999E-3</v>
      </c>
      <c r="E772" s="1008">
        <v>462217</v>
      </c>
      <c r="F772" s="1011">
        <v>2428376</v>
      </c>
      <c r="G772" s="970">
        <v>1762381</v>
      </c>
      <c r="H772" s="970"/>
      <c r="I772" s="971">
        <v>101529</v>
      </c>
      <c r="J772" s="972">
        <v>427908</v>
      </c>
      <c r="K772" s="971">
        <v>251692</v>
      </c>
      <c r="L772" s="970">
        <v>12653</v>
      </c>
      <c r="M772" s="970"/>
      <c r="N772" s="971">
        <v>49887</v>
      </c>
      <c r="O772" s="971">
        <v>0</v>
      </c>
      <c r="P772" s="971">
        <v>0</v>
      </c>
      <c r="Q772" s="970">
        <v>98661</v>
      </c>
      <c r="R772" s="970"/>
      <c r="S772" s="971">
        <v>593924</v>
      </c>
      <c r="T772" s="973">
        <v>-18424</v>
      </c>
      <c r="U772" s="973">
        <f>575501-1</f>
        <v>575500</v>
      </c>
    </row>
    <row r="773" spans="1:21" x14ac:dyDescent="0.25">
      <c r="A773" s="967">
        <v>98313</v>
      </c>
      <c r="B773" s="968" t="s">
        <v>3410</v>
      </c>
      <c r="C773" s="969">
        <v>2.3560000000000001E-4</v>
      </c>
      <c r="D773" s="969">
        <v>2.4240000000000001E-4</v>
      </c>
      <c r="E773" s="1008">
        <v>259158</v>
      </c>
      <c r="F773" s="1011">
        <v>514454</v>
      </c>
      <c r="G773" s="970">
        <v>359932</v>
      </c>
      <c r="H773" s="970"/>
      <c r="I773" s="971">
        <v>20735</v>
      </c>
      <c r="J773" s="972">
        <v>87392</v>
      </c>
      <c r="K773" s="971">
        <v>51403</v>
      </c>
      <c r="L773" s="970">
        <v>233571</v>
      </c>
      <c r="M773" s="970"/>
      <c r="N773" s="971">
        <v>10189</v>
      </c>
      <c r="O773" s="971">
        <v>0</v>
      </c>
      <c r="P773" s="971">
        <v>0</v>
      </c>
      <c r="Q773" s="970">
        <v>59</v>
      </c>
      <c r="R773" s="970"/>
      <c r="S773" s="971">
        <v>121297</v>
      </c>
      <c r="T773" s="973">
        <v>77966</v>
      </c>
      <c r="U773" s="973">
        <v>199263</v>
      </c>
    </row>
    <row r="774" spans="1:21" x14ac:dyDescent="0.25">
      <c r="A774" s="967">
        <v>98321</v>
      </c>
      <c r="B774" s="968" t="s">
        <v>3411</v>
      </c>
      <c r="C774" s="969">
        <v>2.05E-5</v>
      </c>
      <c r="D774" s="969">
        <v>2.1399999999999998E-5</v>
      </c>
      <c r="E774" s="1008">
        <v>10270</v>
      </c>
      <c r="F774" s="1011">
        <v>45418</v>
      </c>
      <c r="G774" s="970">
        <v>31318</v>
      </c>
      <c r="H774" s="970"/>
      <c r="I774" s="971">
        <v>1804</v>
      </c>
      <c r="J774" s="972">
        <v>7604</v>
      </c>
      <c r="K774" s="971">
        <v>4473</v>
      </c>
      <c r="L774" s="970">
        <v>1639</v>
      </c>
      <c r="M774" s="970"/>
      <c r="N774" s="971">
        <v>887</v>
      </c>
      <c r="O774" s="971">
        <v>0</v>
      </c>
      <c r="P774" s="971">
        <v>0</v>
      </c>
      <c r="Q774" s="970">
        <v>3066</v>
      </c>
      <c r="R774" s="970"/>
      <c r="S774" s="971">
        <v>10554</v>
      </c>
      <c r="T774" s="973">
        <v>472</v>
      </c>
      <c r="U774" s="973">
        <v>11026</v>
      </c>
    </row>
    <row r="775" spans="1:21" x14ac:dyDescent="0.25">
      <c r="A775" s="967">
        <v>98331</v>
      </c>
      <c r="B775" s="968" t="s">
        <v>3412</v>
      </c>
      <c r="C775" s="969">
        <v>9.7999999999999993E-6</v>
      </c>
      <c r="D775" s="969">
        <v>1.03E-5</v>
      </c>
      <c r="E775" s="1008">
        <v>6281</v>
      </c>
      <c r="F775" s="1011">
        <v>21860</v>
      </c>
      <c r="G775" s="970">
        <v>14972</v>
      </c>
      <c r="H775" s="970"/>
      <c r="I775" s="971">
        <v>863</v>
      </c>
      <c r="J775" s="972">
        <v>3635</v>
      </c>
      <c r="K775" s="971">
        <v>2138</v>
      </c>
      <c r="L775" s="970">
        <v>3035</v>
      </c>
      <c r="M775" s="970"/>
      <c r="N775" s="971">
        <v>424</v>
      </c>
      <c r="O775" s="971">
        <v>0</v>
      </c>
      <c r="P775" s="971">
        <v>0</v>
      </c>
      <c r="Q775" s="970">
        <v>132</v>
      </c>
      <c r="R775" s="970"/>
      <c r="S775" s="971">
        <v>5045</v>
      </c>
      <c r="T775" s="973">
        <v>972</v>
      </c>
      <c r="U775" s="973">
        <f>6018-1</f>
        <v>6017</v>
      </c>
    </row>
    <row r="776" spans="1:21" x14ac:dyDescent="0.25">
      <c r="A776" s="967">
        <v>98401</v>
      </c>
      <c r="B776" s="968" t="s">
        <v>3413</v>
      </c>
      <c r="C776" s="969">
        <v>2.7655000000000002E-3</v>
      </c>
      <c r="D776" s="969">
        <v>2.7567999999999998E-3</v>
      </c>
      <c r="E776" s="1008">
        <v>1399311</v>
      </c>
      <c r="F776" s="1011">
        <v>5850853</v>
      </c>
      <c r="G776" s="970">
        <v>4224918</v>
      </c>
      <c r="H776" s="970"/>
      <c r="I776" s="971">
        <v>243394</v>
      </c>
      <c r="J776" s="972">
        <v>1025815</v>
      </c>
      <c r="K776" s="971">
        <v>603377</v>
      </c>
      <c r="L776" s="970">
        <v>168129</v>
      </c>
      <c r="M776" s="970"/>
      <c r="N776" s="971">
        <v>119594</v>
      </c>
      <c r="O776" s="971">
        <v>0</v>
      </c>
      <c r="P776" s="971">
        <v>0</v>
      </c>
      <c r="Q776" s="970">
        <v>6292</v>
      </c>
      <c r="R776" s="970"/>
      <c r="S776" s="971">
        <v>1423801</v>
      </c>
      <c r="T776" s="973">
        <v>58759</v>
      </c>
      <c r="U776" s="973">
        <v>1482560</v>
      </c>
    </row>
    <row r="777" spans="1:21" x14ac:dyDescent="0.25">
      <c r="A777" s="967">
        <v>98404</v>
      </c>
      <c r="B777" s="968" t="s">
        <v>3694</v>
      </c>
      <c r="C777" s="969">
        <v>1.52E-5</v>
      </c>
      <c r="D777" s="969">
        <v>0</v>
      </c>
      <c r="E777" s="1008">
        <v>5852</v>
      </c>
      <c r="F777" s="1011">
        <v>0</v>
      </c>
      <c r="G777" s="970">
        <v>23221</v>
      </c>
      <c r="H777" s="970"/>
      <c r="I777" s="971">
        <v>1338</v>
      </c>
      <c r="J777" s="972">
        <v>5638</v>
      </c>
      <c r="K777" s="971">
        <v>3316</v>
      </c>
      <c r="L777" s="970">
        <v>9290</v>
      </c>
      <c r="M777" s="970"/>
      <c r="N777" s="971">
        <v>657</v>
      </c>
      <c r="O777" s="971">
        <v>0</v>
      </c>
      <c r="P777" s="971">
        <v>0</v>
      </c>
      <c r="Q777" s="970">
        <v>0</v>
      </c>
      <c r="R777" s="970"/>
      <c r="S777" s="971">
        <v>7826</v>
      </c>
      <c r="T777" s="973">
        <v>2323</v>
      </c>
      <c r="U777" s="973">
        <f>10148+1</f>
        <v>10149</v>
      </c>
    </row>
    <row r="778" spans="1:21" x14ac:dyDescent="0.25">
      <c r="A778" s="967">
        <v>98411</v>
      </c>
      <c r="B778" s="968" t="s">
        <v>3414</v>
      </c>
      <c r="C778" s="969">
        <v>1.9816E-3</v>
      </c>
      <c r="D778" s="969">
        <v>2.0076999999999998E-3</v>
      </c>
      <c r="E778" s="1008">
        <v>869964</v>
      </c>
      <c r="F778" s="1011">
        <v>4261012</v>
      </c>
      <c r="G778" s="970">
        <v>3027336</v>
      </c>
      <c r="H778" s="970"/>
      <c r="I778" s="971">
        <v>174403</v>
      </c>
      <c r="J778" s="972">
        <v>735040</v>
      </c>
      <c r="K778" s="971">
        <v>432345</v>
      </c>
      <c r="L778" s="970">
        <v>3986</v>
      </c>
      <c r="M778" s="970"/>
      <c r="N778" s="971">
        <v>85694</v>
      </c>
      <c r="O778" s="971">
        <v>0</v>
      </c>
      <c r="P778" s="971">
        <v>0</v>
      </c>
      <c r="Q778" s="970">
        <v>73699</v>
      </c>
      <c r="R778" s="970"/>
      <c r="S778" s="971">
        <v>1020215</v>
      </c>
      <c r="T778" s="973">
        <v>-19116</v>
      </c>
      <c r="U778" s="973">
        <v>1001099</v>
      </c>
    </row>
    <row r="779" spans="1:21" x14ac:dyDescent="0.25">
      <c r="A779" s="967">
        <v>98414</v>
      </c>
      <c r="B779" s="968" t="s">
        <v>2654</v>
      </c>
      <c r="C779" s="975">
        <f>0.00283%+0.00102%</f>
        <v>3.8500000000000001E-5</v>
      </c>
      <c r="D779" s="969">
        <v>4.3600000000000003E-5</v>
      </c>
      <c r="E779" s="1008">
        <v>7367</v>
      </c>
      <c r="F779" s="1011">
        <v>0</v>
      </c>
      <c r="G779" s="970">
        <f>43235+15583</f>
        <v>58818</v>
      </c>
      <c r="H779" s="970"/>
      <c r="I779" s="971">
        <f>2491+898</f>
        <v>3389</v>
      </c>
      <c r="J779" s="972">
        <v>14282</v>
      </c>
      <c r="K779" s="971">
        <f>6174+2225</f>
        <v>8399</v>
      </c>
      <c r="L779" s="970">
        <v>14474</v>
      </c>
      <c r="M779" s="970"/>
      <c r="N779" s="971">
        <f>1224+441</f>
        <v>1665</v>
      </c>
      <c r="O779" s="971">
        <v>0</v>
      </c>
      <c r="P779" s="971">
        <v>0</v>
      </c>
      <c r="Q779" s="970">
        <f>0+24505</f>
        <v>24505</v>
      </c>
      <c r="R779" s="970"/>
      <c r="S779" s="971">
        <f>14570+5251</f>
        <v>19821</v>
      </c>
      <c r="T779" s="973">
        <f>3619-7460</f>
        <v>-3841</v>
      </c>
      <c r="U779" s="973">
        <f>18189-2209</f>
        <v>15980</v>
      </c>
    </row>
    <row r="780" spans="1:21" x14ac:dyDescent="0.25">
      <c r="A780" s="967">
        <v>98417</v>
      </c>
      <c r="B780" s="968" t="s">
        <v>3415</v>
      </c>
      <c r="C780" s="969">
        <v>2.2900000000000001E-5</v>
      </c>
      <c r="D780" s="969">
        <v>2.4899999999999999E-5</v>
      </c>
      <c r="E780" s="1008">
        <v>14126</v>
      </c>
      <c r="F780" s="1011">
        <v>0</v>
      </c>
      <c r="G780" s="970">
        <v>34985</v>
      </c>
      <c r="H780" s="970"/>
      <c r="I780" s="971">
        <v>2015</v>
      </c>
      <c r="J780" s="972">
        <v>8494</v>
      </c>
      <c r="K780" s="971">
        <v>4996</v>
      </c>
      <c r="L780" s="970">
        <v>2511</v>
      </c>
      <c r="M780" s="970"/>
      <c r="N780" s="971">
        <v>990</v>
      </c>
      <c r="O780" s="971">
        <v>0</v>
      </c>
      <c r="P780" s="971">
        <v>0</v>
      </c>
      <c r="Q780" s="970">
        <v>424</v>
      </c>
      <c r="R780" s="970"/>
      <c r="S780" s="971">
        <v>11790</v>
      </c>
      <c r="T780" s="973">
        <v>315</v>
      </c>
      <c r="U780" s="973">
        <v>12105</v>
      </c>
    </row>
    <row r="781" spans="1:21" x14ac:dyDescent="0.25">
      <c r="A781" s="967">
        <v>98421</v>
      </c>
      <c r="B781" s="968" t="s">
        <v>3416</v>
      </c>
      <c r="C781" s="969">
        <v>8.2700000000000004E-5</v>
      </c>
      <c r="D781" s="969">
        <v>1.0840000000000001E-4</v>
      </c>
      <c r="E781" s="1008">
        <v>44396</v>
      </c>
      <c r="F781" s="1011">
        <v>0</v>
      </c>
      <c r="G781" s="970">
        <v>126343</v>
      </c>
      <c r="H781" s="970"/>
      <c r="I781" s="971">
        <v>7279</v>
      </c>
      <c r="J781" s="972">
        <v>30676</v>
      </c>
      <c r="K781" s="971">
        <v>18043</v>
      </c>
      <c r="L781" s="970">
        <v>5132</v>
      </c>
      <c r="M781" s="970"/>
      <c r="N781" s="971">
        <v>3576</v>
      </c>
      <c r="O781" s="971">
        <v>0</v>
      </c>
      <c r="P781" s="971">
        <v>0</v>
      </c>
      <c r="Q781" s="970">
        <v>12725</v>
      </c>
      <c r="R781" s="970"/>
      <c r="S781" s="971">
        <v>42578</v>
      </c>
      <c r="T781" s="973">
        <v>-911</v>
      </c>
      <c r="U781" s="973">
        <v>41667</v>
      </c>
    </row>
    <row r="782" spans="1:21" x14ac:dyDescent="0.25">
      <c r="A782" s="967">
        <v>98427</v>
      </c>
      <c r="B782" s="968" t="s">
        <v>3417</v>
      </c>
      <c r="C782" s="969">
        <v>3.9999999999999998E-6</v>
      </c>
      <c r="D782" s="969">
        <v>4.6E-6</v>
      </c>
      <c r="E782" s="1008">
        <v>3231</v>
      </c>
      <c r="F782" s="1011">
        <v>0</v>
      </c>
      <c r="G782" s="970">
        <v>6111</v>
      </c>
      <c r="H782" s="970"/>
      <c r="I782" s="971">
        <v>352</v>
      </c>
      <c r="J782" s="972">
        <v>1484</v>
      </c>
      <c r="K782" s="971">
        <v>873</v>
      </c>
      <c r="L782" s="970">
        <v>1351</v>
      </c>
      <c r="M782" s="970"/>
      <c r="N782" s="971">
        <v>173</v>
      </c>
      <c r="O782" s="971">
        <v>0</v>
      </c>
      <c r="P782" s="971">
        <v>0</v>
      </c>
      <c r="Q782" s="970">
        <v>0</v>
      </c>
      <c r="R782" s="970"/>
      <c r="S782" s="971">
        <v>2059</v>
      </c>
      <c r="T782" s="973">
        <v>487</v>
      </c>
      <c r="U782" s="973">
        <f>2547-1</f>
        <v>2546</v>
      </c>
    </row>
    <row r="783" spans="1:21" x14ac:dyDescent="0.25">
      <c r="A783" s="967">
        <v>98431</v>
      </c>
      <c r="B783" s="968" t="s">
        <v>3418</v>
      </c>
      <c r="C783" s="969">
        <v>2.0589999999999999E-4</v>
      </c>
      <c r="D783" s="969">
        <v>2.0010000000000001E-4</v>
      </c>
      <c r="E783" s="1008">
        <v>78482</v>
      </c>
      <c r="F783" s="1011">
        <v>0</v>
      </c>
      <c r="G783" s="970">
        <v>314558</v>
      </c>
      <c r="H783" s="970"/>
      <c r="I783" s="971">
        <v>18121</v>
      </c>
      <c r="J783" s="972">
        <v>76375</v>
      </c>
      <c r="K783" s="971">
        <v>44923</v>
      </c>
      <c r="L783" s="970">
        <v>1246</v>
      </c>
      <c r="M783" s="970"/>
      <c r="N783" s="971">
        <v>8904</v>
      </c>
      <c r="O783" s="971">
        <v>0</v>
      </c>
      <c r="P783" s="971">
        <v>0</v>
      </c>
      <c r="Q783" s="970">
        <v>24844</v>
      </c>
      <c r="R783" s="970"/>
      <c r="S783" s="971">
        <v>106006</v>
      </c>
      <c r="T783" s="973">
        <v>-7635</v>
      </c>
      <c r="U783" s="973">
        <f>98372-1</f>
        <v>98371</v>
      </c>
    </row>
    <row r="784" spans="1:21" x14ac:dyDescent="0.25">
      <c r="A784" s="967">
        <v>98441</v>
      </c>
      <c r="B784" s="968" t="s">
        <v>3419</v>
      </c>
      <c r="C784" s="969">
        <v>8.2700000000000004E-5</v>
      </c>
      <c r="D784" s="969">
        <v>9.1000000000000003E-5</v>
      </c>
      <c r="E784" s="1008">
        <v>35572</v>
      </c>
      <c r="F784" s="1011">
        <v>0</v>
      </c>
      <c r="G784" s="970">
        <v>126343</v>
      </c>
      <c r="H784" s="970"/>
      <c r="I784" s="971">
        <v>7279</v>
      </c>
      <c r="J784" s="972">
        <v>30676</v>
      </c>
      <c r="K784" s="971">
        <v>18043</v>
      </c>
      <c r="L784" s="970">
        <v>570</v>
      </c>
      <c r="M784" s="970"/>
      <c r="N784" s="971">
        <v>3576</v>
      </c>
      <c r="O784" s="971">
        <v>0</v>
      </c>
      <c r="P784" s="971">
        <v>0</v>
      </c>
      <c r="Q784" s="970">
        <v>22406</v>
      </c>
      <c r="R784" s="970"/>
      <c r="S784" s="971">
        <v>42578</v>
      </c>
      <c r="T784" s="973">
        <v>-8026</v>
      </c>
      <c r="U784" s="973">
        <v>34552</v>
      </c>
    </row>
    <row r="785" spans="1:21" x14ac:dyDescent="0.25">
      <c r="A785" s="967">
        <v>98451</v>
      </c>
      <c r="B785" s="968" t="s">
        <v>3420</v>
      </c>
      <c r="C785" s="969">
        <v>5.7000000000000003E-5</v>
      </c>
      <c r="D785" s="969">
        <v>5.6199999999999997E-5</v>
      </c>
      <c r="E785" s="1008">
        <v>26132</v>
      </c>
      <c r="F785" s="1011">
        <v>0</v>
      </c>
      <c r="G785" s="970">
        <v>87080</v>
      </c>
      <c r="H785" s="970"/>
      <c r="I785" s="971">
        <v>5017</v>
      </c>
      <c r="J785" s="972">
        <v>21143</v>
      </c>
      <c r="K785" s="971">
        <v>12436</v>
      </c>
      <c r="L785" s="970">
        <v>508</v>
      </c>
      <c r="M785" s="970"/>
      <c r="N785" s="971">
        <v>2465</v>
      </c>
      <c r="O785" s="971">
        <v>0</v>
      </c>
      <c r="P785" s="971">
        <v>0</v>
      </c>
      <c r="Q785" s="970">
        <v>1478</v>
      </c>
      <c r="R785" s="970"/>
      <c r="S785" s="971">
        <v>29346</v>
      </c>
      <c r="T785" s="973">
        <v>-530</v>
      </c>
      <c r="U785" s="973">
        <v>28816</v>
      </c>
    </row>
    <row r="786" spans="1:21" x14ac:dyDescent="0.25">
      <c r="A786" s="967">
        <v>98481</v>
      </c>
      <c r="B786" s="968" t="s">
        <v>3421</v>
      </c>
      <c r="C786" s="969">
        <v>6.3899999999999995E-5</v>
      </c>
      <c r="D786" s="969">
        <v>6.7700000000000006E-5</v>
      </c>
      <c r="E786" s="1008">
        <v>27198</v>
      </c>
      <c r="F786" s="1011">
        <v>0</v>
      </c>
      <c r="G786" s="970">
        <v>97621</v>
      </c>
      <c r="H786" s="970"/>
      <c r="I786" s="971">
        <v>5624</v>
      </c>
      <c r="J786" s="972">
        <v>23703</v>
      </c>
      <c r="K786" s="971">
        <v>13942</v>
      </c>
      <c r="L786" s="970">
        <v>1545</v>
      </c>
      <c r="M786" s="970"/>
      <c r="N786" s="971">
        <v>2763</v>
      </c>
      <c r="O786" s="971">
        <v>0</v>
      </c>
      <c r="P786" s="971">
        <v>0</v>
      </c>
      <c r="Q786" s="970">
        <v>5772</v>
      </c>
      <c r="R786" s="970"/>
      <c r="S786" s="971">
        <v>32899</v>
      </c>
      <c r="T786" s="973">
        <v>-35</v>
      </c>
      <c r="U786" s="973">
        <f>32863+1</f>
        <v>32864</v>
      </c>
    </row>
    <row r="787" spans="1:21" x14ac:dyDescent="0.25">
      <c r="A787" s="967">
        <v>98501</v>
      </c>
      <c r="B787" s="968" t="s">
        <v>3422</v>
      </c>
      <c r="C787" s="969">
        <v>1.6022E-3</v>
      </c>
      <c r="D787" s="969">
        <v>1.5690999999999999E-3</v>
      </c>
      <c r="E787" s="1008">
        <v>760833</v>
      </c>
      <c r="F787" s="1011">
        <v>0</v>
      </c>
      <c r="G787" s="970">
        <v>2447718</v>
      </c>
      <c r="H787" s="970"/>
      <c r="I787" s="971">
        <v>141011</v>
      </c>
      <c r="J787" s="972">
        <v>594309</v>
      </c>
      <c r="K787" s="971">
        <v>349568</v>
      </c>
      <c r="L787" s="970">
        <v>75098</v>
      </c>
      <c r="M787" s="970"/>
      <c r="N787" s="971">
        <v>69287</v>
      </c>
      <c r="O787" s="971">
        <v>0</v>
      </c>
      <c r="P787" s="971">
        <v>0</v>
      </c>
      <c r="Q787" s="970">
        <v>2932</v>
      </c>
      <c r="R787" s="970"/>
      <c r="S787" s="971">
        <v>824883</v>
      </c>
      <c r="T787" s="973">
        <v>19182</v>
      </c>
      <c r="U787" s="973">
        <v>844065</v>
      </c>
    </row>
    <row r="788" spans="1:21" x14ac:dyDescent="0.25">
      <c r="A788" s="967">
        <v>98511</v>
      </c>
      <c r="B788" s="968" t="s">
        <v>3423</v>
      </c>
      <c r="C788" s="969">
        <v>4.8000000000000001E-5</v>
      </c>
      <c r="D788" s="969">
        <v>4.5800000000000002E-5</v>
      </c>
      <c r="E788" s="1008">
        <v>23435</v>
      </c>
      <c r="F788" s="1011">
        <v>0</v>
      </c>
      <c r="G788" s="970">
        <v>73331</v>
      </c>
      <c r="H788" s="970"/>
      <c r="I788" s="971">
        <v>4225</v>
      </c>
      <c r="J788" s="972">
        <v>17804</v>
      </c>
      <c r="K788" s="971">
        <v>10473</v>
      </c>
      <c r="L788" s="970">
        <v>5918</v>
      </c>
      <c r="M788" s="970"/>
      <c r="N788" s="971">
        <v>2076</v>
      </c>
      <c r="O788" s="971">
        <v>0</v>
      </c>
      <c r="P788" s="971">
        <v>0</v>
      </c>
      <c r="Q788" s="970">
        <v>11919</v>
      </c>
      <c r="R788" s="970"/>
      <c r="S788" s="971">
        <v>24713</v>
      </c>
      <c r="T788" s="973">
        <v>-9378</v>
      </c>
      <c r="U788" s="973">
        <f>15334+1</f>
        <v>15335</v>
      </c>
    </row>
    <row r="789" spans="1:21" x14ac:dyDescent="0.25">
      <c r="A789" s="967">
        <v>98517</v>
      </c>
      <c r="B789" s="968" t="s">
        <v>3424</v>
      </c>
      <c r="C789" s="969">
        <v>2.3E-6</v>
      </c>
      <c r="D789" s="969">
        <v>2.6000000000000001E-6</v>
      </c>
      <c r="E789" s="1008">
        <v>2484</v>
      </c>
      <c r="F789" s="1011">
        <v>0</v>
      </c>
      <c r="G789" s="970">
        <v>3514</v>
      </c>
      <c r="H789" s="970"/>
      <c r="I789" s="971">
        <v>202</v>
      </c>
      <c r="J789" s="972">
        <v>854</v>
      </c>
      <c r="K789" s="971">
        <v>502</v>
      </c>
      <c r="L789" s="970">
        <v>1623</v>
      </c>
      <c r="M789" s="970"/>
      <c r="N789" s="971">
        <v>99</v>
      </c>
      <c r="O789" s="971">
        <v>0</v>
      </c>
      <c r="P789" s="971">
        <v>0</v>
      </c>
      <c r="Q789" s="970">
        <v>0</v>
      </c>
      <c r="R789" s="970"/>
      <c r="S789" s="971">
        <v>1184</v>
      </c>
      <c r="T789" s="973">
        <v>589</v>
      </c>
      <c r="U789" s="973">
        <v>1773</v>
      </c>
    </row>
    <row r="790" spans="1:21" x14ac:dyDescent="0.25">
      <c r="A790" s="967">
        <v>98521</v>
      </c>
      <c r="B790" s="968" t="s">
        <v>3425</v>
      </c>
      <c r="C790" s="969">
        <v>6.6180000000000004E-4</v>
      </c>
      <c r="D790" s="969">
        <v>5.7059999999999999E-4</v>
      </c>
      <c r="E790" s="1008">
        <v>270882</v>
      </c>
      <c r="F790" s="1011">
        <v>0</v>
      </c>
      <c r="G790" s="970">
        <v>1011047</v>
      </c>
      <c r="H790" s="970"/>
      <c r="I790" s="971">
        <v>58246</v>
      </c>
      <c r="J790" s="972">
        <v>245484</v>
      </c>
      <c r="K790" s="971">
        <v>144392</v>
      </c>
      <c r="L790" s="970">
        <v>34795</v>
      </c>
      <c r="M790" s="970"/>
      <c r="N790" s="971">
        <v>28620</v>
      </c>
      <c r="O790" s="971">
        <v>0</v>
      </c>
      <c r="P790" s="971">
        <v>0</v>
      </c>
      <c r="Q790" s="970">
        <v>43967</v>
      </c>
      <c r="R790" s="970"/>
      <c r="S790" s="971">
        <v>340724</v>
      </c>
      <c r="T790" s="973">
        <v>-10201</v>
      </c>
      <c r="U790" s="973">
        <v>330523</v>
      </c>
    </row>
    <row r="791" spans="1:21" x14ac:dyDescent="0.25">
      <c r="A791" s="967">
        <v>98601</v>
      </c>
      <c r="B791" s="968" t="s">
        <v>3426</v>
      </c>
      <c r="C791" s="969">
        <v>3.4148E-3</v>
      </c>
      <c r="D791" s="969">
        <v>3.5065999999999999E-3</v>
      </c>
      <c r="E791" s="1008">
        <v>1494584</v>
      </c>
      <c r="F791" s="1011">
        <v>0</v>
      </c>
      <c r="G791" s="970">
        <v>5216869</v>
      </c>
      <c r="H791" s="970"/>
      <c r="I791" s="971">
        <v>300540</v>
      </c>
      <c r="J791" s="972">
        <v>1266662</v>
      </c>
      <c r="K791" s="971">
        <v>745041</v>
      </c>
      <c r="L791" s="970">
        <v>0</v>
      </c>
      <c r="M791" s="970"/>
      <c r="N791" s="971">
        <v>147673</v>
      </c>
      <c r="O791" s="971">
        <v>0</v>
      </c>
      <c r="P791" s="971">
        <v>0</v>
      </c>
      <c r="Q791" s="970">
        <v>216693</v>
      </c>
      <c r="R791" s="970"/>
      <c r="S791" s="971">
        <v>1758089</v>
      </c>
      <c r="T791" s="973">
        <v>-93549</v>
      </c>
      <c r="U791" s="973">
        <v>1664540</v>
      </c>
    </row>
    <row r="792" spans="1:21" x14ac:dyDescent="0.25">
      <c r="A792" s="967">
        <v>98604</v>
      </c>
      <c r="B792" s="968" t="s">
        <v>3427</v>
      </c>
      <c r="C792" s="969">
        <v>1.34E-5</v>
      </c>
      <c r="D792" s="969">
        <v>1.59E-5</v>
      </c>
      <c r="E792" s="1008">
        <v>7588</v>
      </c>
      <c r="F792" s="1011">
        <v>0</v>
      </c>
      <c r="G792" s="970">
        <v>20471</v>
      </c>
      <c r="H792" s="970"/>
      <c r="I792" s="971">
        <v>1179</v>
      </c>
      <c r="J792" s="972">
        <v>4970</v>
      </c>
      <c r="K792" s="971">
        <v>2924</v>
      </c>
      <c r="L792" s="970">
        <f>5979+2967</f>
        <v>8946</v>
      </c>
      <c r="M792" s="970"/>
      <c r="N792" s="971">
        <v>579</v>
      </c>
      <c r="O792" s="971">
        <v>0</v>
      </c>
      <c r="P792" s="971">
        <v>0</v>
      </c>
      <c r="Q792" s="970">
        <f>527+4977</f>
        <v>5504</v>
      </c>
      <c r="R792" s="970"/>
      <c r="S792" s="971">
        <v>6899</v>
      </c>
      <c r="T792" s="973">
        <f>1959+178</f>
        <v>2137</v>
      </c>
      <c r="U792" s="973">
        <f>8857+1+178</f>
        <v>9036</v>
      </c>
    </row>
    <row r="793" spans="1:21" x14ac:dyDescent="0.25">
      <c r="A793" s="967">
        <v>98607</v>
      </c>
      <c r="B793" s="968" t="s">
        <v>3428</v>
      </c>
      <c r="C793" s="969">
        <v>5.9000000000000003E-6</v>
      </c>
      <c r="D793" s="969">
        <v>5.9000000000000003E-6</v>
      </c>
      <c r="E793" s="1008">
        <v>2774</v>
      </c>
      <c r="F793" s="1011">
        <v>0</v>
      </c>
      <c r="G793" s="970">
        <v>9014</v>
      </c>
      <c r="H793" s="970"/>
      <c r="I793" s="971">
        <v>519</v>
      </c>
      <c r="J793" s="972">
        <v>2188</v>
      </c>
      <c r="K793" s="971">
        <v>1287</v>
      </c>
      <c r="L793" s="970">
        <v>52</v>
      </c>
      <c r="M793" s="970"/>
      <c r="N793" s="971">
        <v>255</v>
      </c>
      <c r="O793" s="971">
        <v>0</v>
      </c>
      <c r="P793" s="971">
        <v>0</v>
      </c>
      <c r="Q793" s="970">
        <v>1474</v>
      </c>
      <c r="R793" s="970"/>
      <c r="S793" s="971">
        <v>3038</v>
      </c>
      <c r="T793" s="973">
        <v>-861</v>
      </c>
      <c r="U793" s="973">
        <v>2177</v>
      </c>
    </row>
    <row r="794" spans="1:21" x14ac:dyDescent="0.25">
      <c r="A794" s="967">
        <v>98608</v>
      </c>
      <c r="B794" s="968" t="s">
        <v>3429</v>
      </c>
      <c r="C794" s="969">
        <v>4.9200000000000003E-5</v>
      </c>
      <c r="D794" s="969">
        <v>4.2299999999999998E-5</v>
      </c>
      <c r="E794" s="1008">
        <v>20059</v>
      </c>
      <c r="F794" s="1011">
        <v>0</v>
      </c>
      <c r="G794" s="970">
        <v>75164</v>
      </c>
      <c r="H794" s="970"/>
      <c r="I794" s="971">
        <v>4330</v>
      </c>
      <c r="J794" s="972">
        <v>18250</v>
      </c>
      <c r="K794" s="971">
        <v>10734</v>
      </c>
      <c r="L794" s="970">
        <v>6529</v>
      </c>
      <c r="M794" s="970"/>
      <c r="N794" s="971">
        <v>2128</v>
      </c>
      <c r="O794" s="971">
        <v>0</v>
      </c>
      <c r="P794" s="971">
        <v>0</v>
      </c>
      <c r="Q794" s="970">
        <v>5369</v>
      </c>
      <c r="R794" s="970"/>
      <c r="S794" s="971">
        <v>25330</v>
      </c>
      <c r="T794" s="973">
        <v>1217</v>
      </c>
      <c r="U794" s="973">
        <v>26547</v>
      </c>
    </row>
    <row r="795" spans="1:21" x14ac:dyDescent="0.25">
      <c r="A795" s="967">
        <v>98611</v>
      </c>
      <c r="B795" s="968" t="s">
        <v>3430</v>
      </c>
      <c r="C795" s="969">
        <v>8.6899999999999998E-5</v>
      </c>
      <c r="D795" s="969">
        <v>8.6700000000000007E-5</v>
      </c>
      <c r="E795" s="1008">
        <v>49931</v>
      </c>
      <c r="F795" s="1011">
        <v>0</v>
      </c>
      <c r="G795" s="970">
        <v>132759</v>
      </c>
      <c r="H795" s="970"/>
      <c r="I795" s="971">
        <v>7648</v>
      </c>
      <c r="J795" s="972">
        <v>32235</v>
      </c>
      <c r="K795" s="971">
        <v>18960</v>
      </c>
      <c r="L795" s="970">
        <v>10690</v>
      </c>
      <c r="M795" s="970"/>
      <c r="N795" s="971">
        <v>3758</v>
      </c>
      <c r="O795" s="971">
        <v>0</v>
      </c>
      <c r="P795" s="971">
        <v>0</v>
      </c>
      <c r="Q795" s="970">
        <v>9519</v>
      </c>
      <c r="R795" s="970"/>
      <c r="S795" s="971">
        <v>44740</v>
      </c>
      <c r="T795" s="973">
        <v>910</v>
      </c>
      <c r="U795" s="973">
        <f>45649+1</f>
        <v>45650</v>
      </c>
    </row>
    <row r="796" spans="1:21" x14ac:dyDescent="0.25">
      <c r="A796" s="967">
        <v>98621</v>
      </c>
      <c r="B796" s="968" t="s">
        <v>3431</v>
      </c>
      <c r="C796" s="969">
        <v>1.314E-4</v>
      </c>
      <c r="D796" s="969">
        <v>1.3239999999999999E-4</v>
      </c>
      <c r="E796" s="1008">
        <v>55891</v>
      </c>
      <c r="F796" s="1011">
        <v>0</v>
      </c>
      <c r="G796" s="970">
        <v>200743</v>
      </c>
      <c r="H796" s="970"/>
      <c r="I796" s="971">
        <v>11565</v>
      </c>
      <c r="J796" s="972">
        <v>48740</v>
      </c>
      <c r="K796" s="971">
        <v>28669</v>
      </c>
      <c r="L796" s="970">
        <v>473</v>
      </c>
      <c r="M796" s="970"/>
      <c r="N796" s="971">
        <v>5682</v>
      </c>
      <c r="O796" s="971">
        <v>0</v>
      </c>
      <c r="P796" s="971">
        <v>0</v>
      </c>
      <c r="Q796" s="970">
        <v>10727</v>
      </c>
      <c r="R796" s="970"/>
      <c r="S796" s="971">
        <v>67651</v>
      </c>
      <c r="T796" s="973">
        <v>-3535</v>
      </c>
      <c r="U796" s="973">
        <f>64115+1</f>
        <v>64116</v>
      </c>
    </row>
    <row r="797" spans="1:21" x14ac:dyDescent="0.25">
      <c r="A797" s="967">
        <v>98627</v>
      </c>
      <c r="B797" s="968" t="s">
        <v>3432</v>
      </c>
      <c r="C797" s="969">
        <v>8.6999999999999997E-6</v>
      </c>
      <c r="D797" s="969">
        <v>9.3999999999999998E-6</v>
      </c>
      <c r="E797" s="1008">
        <v>3354</v>
      </c>
      <c r="F797" s="1011">
        <v>0</v>
      </c>
      <c r="G797" s="970">
        <v>13291</v>
      </c>
      <c r="H797" s="970"/>
      <c r="I797" s="971">
        <v>766</v>
      </c>
      <c r="J797" s="972">
        <v>3227</v>
      </c>
      <c r="K797" s="971">
        <v>1898</v>
      </c>
      <c r="L797" s="970">
        <v>316</v>
      </c>
      <c r="M797" s="970"/>
      <c r="N797" s="971">
        <v>376</v>
      </c>
      <c r="O797" s="971">
        <v>0</v>
      </c>
      <c r="P797" s="971">
        <v>0</v>
      </c>
      <c r="Q797" s="970">
        <v>1098</v>
      </c>
      <c r="R797" s="970"/>
      <c r="S797" s="971">
        <v>4479</v>
      </c>
      <c r="T797" s="973">
        <v>-220</v>
      </c>
      <c r="U797" s="973">
        <v>4259</v>
      </c>
    </row>
    <row r="798" spans="1:21" x14ac:dyDescent="0.25">
      <c r="A798" s="967">
        <v>98631</v>
      </c>
      <c r="B798" s="968" t="s">
        <v>3433</v>
      </c>
      <c r="C798" s="969">
        <v>1.0051999999999999E-3</v>
      </c>
      <c r="D798" s="969">
        <v>1.0415000000000001E-3</v>
      </c>
      <c r="E798" s="1008">
        <v>466623</v>
      </c>
      <c r="F798" s="1011">
        <v>0</v>
      </c>
      <c r="G798" s="970">
        <v>1535667</v>
      </c>
      <c r="H798" s="970"/>
      <c r="I798" s="971">
        <v>88469</v>
      </c>
      <c r="J798" s="972">
        <v>372862</v>
      </c>
      <c r="K798" s="971">
        <v>219315</v>
      </c>
      <c r="L798" s="970">
        <v>0</v>
      </c>
      <c r="M798" s="970"/>
      <c r="N798" s="971">
        <v>43470</v>
      </c>
      <c r="O798" s="971">
        <v>0</v>
      </c>
      <c r="P798" s="971">
        <v>0</v>
      </c>
      <c r="Q798" s="970">
        <v>102113</v>
      </c>
      <c r="R798" s="970"/>
      <c r="S798" s="971">
        <v>517521</v>
      </c>
      <c r="T798" s="973">
        <v>-41744</v>
      </c>
      <c r="U798" s="973">
        <v>475777</v>
      </c>
    </row>
    <row r="799" spans="1:21" x14ac:dyDescent="0.25">
      <c r="A799" s="967">
        <v>98637</v>
      </c>
      <c r="B799" s="968" t="s">
        <v>3434</v>
      </c>
      <c r="C799" s="969">
        <v>2.0800000000000001E-5</v>
      </c>
      <c r="D799" s="969">
        <v>2.2200000000000001E-5</v>
      </c>
      <c r="E799" s="1008">
        <v>15729</v>
      </c>
      <c r="F799" s="1011">
        <v>0</v>
      </c>
      <c r="G799" s="970">
        <v>31777</v>
      </c>
      <c r="H799" s="970"/>
      <c r="I799" s="971">
        <v>1831</v>
      </c>
      <c r="J799" s="972">
        <v>7715</v>
      </c>
      <c r="K799" s="971">
        <v>4538</v>
      </c>
      <c r="L799" s="970">
        <v>8386</v>
      </c>
      <c r="M799" s="970"/>
      <c r="N799" s="971">
        <v>899</v>
      </c>
      <c r="O799" s="971">
        <v>0</v>
      </c>
      <c r="P799" s="971">
        <v>0</v>
      </c>
      <c r="Q799" s="970">
        <v>0</v>
      </c>
      <c r="R799" s="970"/>
      <c r="S799" s="971">
        <v>10709</v>
      </c>
      <c r="T799" s="973">
        <v>3206</v>
      </c>
      <c r="U799" s="973">
        <f>13914+1</f>
        <v>13915</v>
      </c>
    </row>
    <row r="800" spans="1:21" x14ac:dyDescent="0.25">
      <c r="A800" s="967">
        <v>98641</v>
      </c>
      <c r="B800" s="968" t="s">
        <v>3435</v>
      </c>
      <c r="C800" s="969">
        <v>2.965E-4</v>
      </c>
      <c r="D800" s="969">
        <v>3.0019999999999998E-4</v>
      </c>
      <c r="E800" s="1008">
        <v>140670</v>
      </c>
      <c r="F800" s="1011">
        <v>0</v>
      </c>
      <c r="G800" s="970">
        <v>452970</v>
      </c>
      <c r="H800" s="970"/>
      <c r="I800" s="971">
        <v>26095</v>
      </c>
      <c r="J800" s="972">
        <v>109981</v>
      </c>
      <c r="K800" s="971">
        <v>64690</v>
      </c>
      <c r="L800" s="970">
        <v>3407</v>
      </c>
      <c r="M800" s="970"/>
      <c r="N800" s="971">
        <v>12822</v>
      </c>
      <c r="O800" s="971">
        <v>0</v>
      </c>
      <c r="P800" s="971">
        <v>0</v>
      </c>
      <c r="Q800" s="970">
        <v>7840</v>
      </c>
      <c r="R800" s="970"/>
      <c r="S800" s="971">
        <v>152651</v>
      </c>
      <c r="T800" s="973">
        <v>-183</v>
      </c>
      <c r="U800" s="973">
        <v>152468</v>
      </c>
    </row>
    <row r="801" spans="1:21" x14ac:dyDescent="0.25">
      <c r="A801" s="967">
        <v>98701</v>
      </c>
      <c r="B801" s="968" t="s">
        <v>3437</v>
      </c>
      <c r="C801" s="969">
        <v>1.1333999999999999E-3</v>
      </c>
      <c r="D801" s="969">
        <v>1.1793000000000001E-3</v>
      </c>
      <c r="E801" s="1008">
        <v>514113</v>
      </c>
      <c r="F801" s="1011">
        <v>2502870</v>
      </c>
      <c r="G801" s="970">
        <v>1731521</v>
      </c>
      <c r="H801" s="970"/>
      <c r="I801" s="971">
        <v>99752</v>
      </c>
      <c r="J801" s="972">
        <v>420415</v>
      </c>
      <c r="K801" s="971">
        <v>247285</v>
      </c>
      <c r="L801" s="970">
        <v>3431</v>
      </c>
      <c r="M801" s="970"/>
      <c r="N801" s="971">
        <v>49014</v>
      </c>
      <c r="O801" s="971">
        <v>0</v>
      </c>
      <c r="P801" s="971">
        <v>0</v>
      </c>
      <c r="Q801" s="970">
        <v>66380</v>
      </c>
      <c r="R801" s="970"/>
      <c r="S801" s="971">
        <v>583524</v>
      </c>
      <c r="T801" s="973">
        <v>-25976</v>
      </c>
      <c r="U801" s="973">
        <v>557548</v>
      </c>
    </row>
    <row r="802" spans="1:21" x14ac:dyDescent="0.25">
      <c r="A802" s="967">
        <v>98711</v>
      </c>
      <c r="B802" s="968" t="s">
        <v>3438</v>
      </c>
      <c r="C802" s="969">
        <v>1.8369999999999999E-4</v>
      </c>
      <c r="D802" s="969">
        <v>1.8039999999999999E-4</v>
      </c>
      <c r="E802" s="1008">
        <v>70342</v>
      </c>
      <c r="F802" s="1011">
        <v>382869</v>
      </c>
      <c r="G802" s="970">
        <v>280643</v>
      </c>
      <c r="H802" s="970"/>
      <c r="I802" s="971">
        <v>16168</v>
      </c>
      <c r="J802" s="972">
        <v>68140</v>
      </c>
      <c r="K802" s="971">
        <v>40080</v>
      </c>
      <c r="L802" s="970">
        <v>1238</v>
      </c>
      <c r="M802" s="970"/>
      <c r="N802" s="971">
        <v>7944</v>
      </c>
      <c r="O802" s="971">
        <v>0</v>
      </c>
      <c r="P802" s="971">
        <v>0</v>
      </c>
      <c r="Q802" s="970">
        <v>16374</v>
      </c>
      <c r="R802" s="970"/>
      <c r="S802" s="971">
        <v>94577</v>
      </c>
      <c r="T802" s="973">
        <v>-4053</v>
      </c>
      <c r="U802" s="973">
        <v>90524</v>
      </c>
    </row>
    <row r="803" spans="1:21" x14ac:dyDescent="0.25">
      <c r="A803" s="967">
        <v>98717</v>
      </c>
      <c r="B803" s="968" t="s">
        <v>3439</v>
      </c>
      <c r="C803" s="969">
        <v>2.1100000000000001E-5</v>
      </c>
      <c r="D803" s="969">
        <v>1.8600000000000001E-5</v>
      </c>
      <c r="E803" s="1008">
        <v>8759</v>
      </c>
      <c r="F803" s="1011">
        <v>39475</v>
      </c>
      <c r="G803" s="970">
        <v>32235</v>
      </c>
      <c r="H803" s="970"/>
      <c r="I803" s="971">
        <v>1857</v>
      </c>
      <c r="J803" s="972">
        <v>7827</v>
      </c>
      <c r="K803" s="971">
        <v>4604</v>
      </c>
      <c r="L803" s="970">
        <v>1439</v>
      </c>
      <c r="M803" s="970"/>
      <c r="N803" s="971">
        <v>912</v>
      </c>
      <c r="O803" s="971">
        <v>0</v>
      </c>
      <c r="P803" s="971">
        <v>0</v>
      </c>
      <c r="Q803" s="970">
        <v>534</v>
      </c>
      <c r="R803" s="970"/>
      <c r="S803" s="971">
        <v>10863</v>
      </c>
      <c r="T803" s="973">
        <v>247</v>
      </c>
      <c r="U803" s="973">
        <v>11110</v>
      </c>
    </row>
    <row r="804" spans="1:21" x14ac:dyDescent="0.25">
      <c r="A804" s="967">
        <v>98801</v>
      </c>
      <c r="B804" s="968" t="s">
        <v>3440</v>
      </c>
      <c r="C804" s="969">
        <v>2.2859E-3</v>
      </c>
      <c r="D804" s="969">
        <v>2.1771999999999998E-3</v>
      </c>
      <c r="E804" s="1008">
        <v>1067051</v>
      </c>
      <c r="F804" s="1011">
        <v>4620748</v>
      </c>
      <c r="G804" s="970">
        <v>3492222</v>
      </c>
      <c r="H804" s="970"/>
      <c r="I804" s="971">
        <v>201184</v>
      </c>
      <c r="J804" s="972">
        <v>847916</v>
      </c>
      <c r="K804" s="971">
        <v>498738</v>
      </c>
      <c r="L804" s="970">
        <v>146068</v>
      </c>
      <c r="M804" s="970"/>
      <c r="N804" s="971">
        <v>98854</v>
      </c>
      <c r="O804" s="971">
        <v>0</v>
      </c>
      <c r="P804" s="971">
        <v>0</v>
      </c>
      <c r="Q804" s="970">
        <v>0</v>
      </c>
      <c r="R804" s="970"/>
      <c r="S804" s="971">
        <v>1176882</v>
      </c>
      <c r="T804" s="973">
        <v>55567</v>
      </c>
      <c r="U804" s="973">
        <v>1232449</v>
      </c>
    </row>
    <row r="805" spans="1:21" x14ac:dyDescent="0.25">
      <c r="A805" s="967">
        <v>98811</v>
      </c>
      <c r="B805" s="968" t="s">
        <v>3441</v>
      </c>
      <c r="C805" s="969">
        <v>6.5160000000000001E-4</v>
      </c>
      <c r="D805" s="969">
        <v>7.1120000000000005E-4</v>
      </c>
      <c r="E805" s="1008">
        <v>323262</v>
      </c>
      <c r="F805" s="1011">
        <v>1509405</v>
      </c>
      <c r="G805" s="970">
        <v>995464</v>
      </c>
      <c r="H805" s="970"/>
      <c r="I805" s="971">
        <v>57348</v>
      </c>
      <c r="J805" s="972">
        <v>241700</v>
      </c>
      <c r="K805" s="971">
        <v>142166</v>
      </c>
      <c r="L805" s="970">
        <v>16975</v>
      </c>
      <c r="M805" s="970"/>
      <c r="N805" s="971">
        <v>28178</v>
      </c>
      <c r="O805" s="971">
        <v>0</v>
      </c>
      <c r="P805" s="971">
        <v>0</v>
      </c>
      <c r="Q805" s="970">
        <v>46894</v>
      </c>
      <c r="R805" s="970"/>
      <c r="S805" s="971">
        <v>335472</v>
      </c>
      <c r="T805" s="973">
        <v>-312</v>
      </c>
      <c r="U805" s="973">
        <f>335161-1</f>
        <v>335160</v>
      </c>
    </row>
    <row r="806" spans="1:21" x14ac:dyDescent="0.25">
      <c r="A806" s="967">
        <v>98817</v>
      </c>
      <c r="B806" s="968" t="s">
        <v>3442</v>
      </c>
      <c r="C806" s="969">
        <v>2.5199999999999999E-5</v>
      </c>
      <c r="D806" s="969">
        <v>2.34E-5</v>
      </c>
      <c r="E806" s="1008">
        <v>14663</v>
      </c>
      <c r="F806" s="1011">
        <v>49663</v>
      </c>
      <c r="G806" s="970">
        <v>38499</v>
      </c>
      <c r="H806" s="970"/>
      <c r="I806" s="971">
        <v>2218</v>
      </c>
      <c r="J806" s="972">
        <v>9347</v>
      </c>
      <c r="K806" s="971">
        <v>5498</v>
      </c>
      <c r="L806" s="970">
        <v>3862</v>
      </c>
      <c r="M806" s="970"/>
      <c r="N806" s="971">
        <v>1090</v>
      </c>
      <c r="O806" s="971">
        <v>0</v>
      </c>
      <c r="P806" s="971">
        <v>0</v>
      </c>
      <c r="Q806" s="970">
        <v>2179</v>
      </c>
      <c r="R806" s="970"/>
      <c r="S806" s="971">
        <v>12974</v>
      </c>
      <c r="T806" s="973">
        <v>-1216</v>
      </c>
      <c r="U806" s="973">
        <v>11758</v>
      </c>
    </row>
    <row r="807" spans="1:21" x14ac:dyDescent="0.25">
      <c r="A807" s="967">
        <v>98901</v>
      </c>
      <c r="B807" s="968" t="s">
        <v>3443</v>
      </c>
      <c r="C807" s="969">
        <v>3.5050000000000001E-4</v>
      </c>
      <c r="D807" s="969">
        <v>3.392E-4</v>
      </c>
      <c r="E807" s="1008">
        <v>159126</v>
      </c>
      <c r="F807" s="1011">
        <v>719896</v>
      </c>
      <c r="G807" s="970">
        <v>535467</v>
      </c>
      <c r="H807" s="970"/>
      <c r="I807" s="971">
        <v>30848</v>
      </c>
      <c r="J807" s="972">
        <v>130012</v>
      </c>
      <c r="K807" s="971">
        <v>76472</v>
      </c>
      <c r="L807" s="970">
        <v>7505</v>
      </c>
      <c r="M807" s="970"/>
      <c r="N807" s="971">
        <v>15157</v>
      </c>
      <c r="O807" s="971">
        <v>0</v>
      </c>
      <c r="P807" s="971">
        <v>0</v>
      </c>
      <c r="Q807" s="970">
        <v>2530</v>
      </c>
      <c r="R807" s="970"/>
      <c r="S807" s="971">
        <v>180453</v>
      </c>
      <c r="T807" s="973">
        <v>975</v>
      </c>
      <c r="U807" s="973">
        <v>181428</v>
      </c>
    </row>
    <row r="808" spans="1:21" x14ac:dyDescent="0.25">
      <c r="A808" s="967">
        <v>98904</v>
      </c>
      <c r="B808" s="968" t="s">
        <v>3444</v>
      </c>
      <c r="C808" s="969">
        <v>2.7999999999999999E-6</v>
      </c>
      <c r="D808" s="969">
        <v>5.2000000000000002E-6</v>
      </c>
      <c r="E808" s="1008">
        <v>1608</v>
      </c>
      <c r="F808" s="1011">
        <v>11036</v>
      </c>
      <c r="G808" s="970">
        <v>4278</v>
      </c>
      <c r="H808" s="970"/>
      <c r="I808" s="971">
        <v>246</v>
      </c>
      <c r="J808" s="972">
        <v>1039</v>
      </c>
      <c r="K808" s="971">
        <v>611</v>
      </c>
      <c r="L808" s="970">
        <v>365</v>
      </c>
      <c r="M808" s="970"/>
      <c r="N808" s="971">
        <v>121</v>
      </c>
      <c r="O808" s="971">
        <v>0</v>
      </c>
      <c r="P808" s="971">
        <v>0</v>
      </c>
      <c r="Q808" s="970">
        <v>1887</v>
      </c>
      <c r="R808" s="970"/>
      <c r="S808" s="971">
        <v>1442</v>
      </c>
      <c r="T808" s="973">
        <v>-315</v>
      </c>
      <c r="U808" s="973">
        <f>1126+1</f>
        <v>1127</v>
      </c>
    </row>
    <row r="809" spans="1:21" x14ac:dyDescent="0.25">
      <c r="A809" s="967">
        <v>98911</v>
      </c>
      <c r="B809" s="968" t="s">
        <v>3445</v>
      </c>
      <c r="C809" s="969">
        <v>2.7900000000000001E-5</v>
      </c>
      <c r="D809" s="969">
        <v>2.8600000000000001E-5</v>
      </c>
      <c r="E809" s="1008">
        <v>17945</v>
      </c>
      <c r="F809" s="1011">
        <v>60699</v>
      </c>
      <c r="G809" s="970">
        <v>42623</v>
      </c>
      <c r="H809" s="970"/>
      <c r="I809" s="971">
        <v>2456</v>
      </c>
      <c r="J809" s="972">
        <v>10349</v>
      </c>
      <c r="K809" s="971">
        <v>6087</v>
      </c>
      <c r="L809" s="970">
        <v>12780</v>
      </c>
      <c r="M809" s="970"/>
      <c r="N809" s="971">
        <v>1207</v>
      </c>
      <c r="O809" s="971">
        <v>0</v>
      </c>
      <c r="P809" s="971">
        <v>0</v>
      </c>
      <c r="Q809" s="970">
        <v>0</v>
      </c>
      <c r="R809" s="970"/>
      <c r="S809" s="971">
        <v>14364</v>
      </c>
      <c r="T809" s="973">
        <v>5565</v>
      </c>
      <c r="U809" s="973">
        <v>19929</v>
      </c>
    </row>
    <row r="810" spans="1:21" x14ac:dyDescent="0.25">
      <c r="A810" s="967">
        <v>99001</v>
      </c>
      <c r="B810" s="968" t="s">
        <v>3446</v>
      </c>
      <c r="C810" s="969">
        <v>8.0949000000000004E-3</v>
      </c>
      <c r="D810" s="969">
        <v>7.8098999999999998E-3</v>
      </c>
      <c r="E810" s="1008">
        <v>3574723</v>
      </c>
      <c r="F810" s="1011">
        <v>16575224</v>
      </c>
      <c r="G810" s="970">
        <v>12366765</v>
      </c>
      <c r="H810" s="970"/>
      <c r="I810" s="971">
        <v>712440</v>
      </c>
      <c r="J810" s="972">
        <v>3002666</v>
      </c>
      <c r="K810" s="971">
        <v>1766145</v>
      </c>
      <c r="L810" s="970">
        <v>355732</v>
      </c>
      <c r="M810" s="970"/>
      <c r="N810" s="971">
        <v>350064</v>
      </c>
      <c r="O810" s="971">
        <v>0</v>
      </c>
      <c r="P810" s="971">
        <v>0</v>
      </c>
      <c r="Q810" s="970">
        <v>0</v>
      </c>
      <c r="R810" s="970"/>
      <c r="S810" s="971">
        <v>4167611</v>
      </c>
      <c r="T810" s="973">
        <v>186049</v>
      </c>
      <c r="U810" s="973">
        <v>4353660</v>
      </c>
    </row>
    <row r="811" spans="1:21" x14ac:dyDescent="0.25">
      <c r="A811" s="967">
        <v>99011</v>
      </c>
      <c r="B811" s="968" t="s">
        <v>3447</v>
      </c>
      <c r="C811" s="969">
        <v>3.8736999999999999E-3</v>
      </c>
      <c r="D811" s="969">
        <v>3.9039000000000001E-3</v>
      </c>
      <c r="E811" s="1008">
        <v>1767797</v>
      </c>
      <c r="F811" s="1011">
        <v>8285384</v>
      </c>
      <c r="G811" s="970">
        <v>5917941</v>
      </c>
      <c r="H811" s="970"/>
      <c r="I811" s="971">
        <v>340928</v>
      </c>
      <c r="J811" s="972">
        <v>1436883</v>
      </c>
      <c r="K811" s="971">
        <v>845164</v>
      </c>
      <c r="L811" s="970">
        <v>0</v>
      </c>
      <c r="M811" s="970"/>
      <c r="N811" s="971">
        <v>167518</v>
      </c>
      <c r="O811" s="971">
        <v>0</v>
      </c>
      <c r="P811" s="971">
        <v>0</v>
      </c>
      <c r="Q811" s="970">
        <v>396289</v>
      </c>
      <c r="R811" s="970"/>
      <c r="S811" s="971">
        <v>1994351</v>
      </c>
      <c r="T811" s="973">
        <v>-212974</v>
      </c>
      <c r="U811" s="973">
        <v>1781377</v>
      </c>
    </row>
    <row r="812" spans="1:21" x14ac:dyDescent="0.25">
      <c r="A812" s="967">
        <v>99013</v>
      </c>
      <c r="B812" s="968" t="s">
        <v>3448</v>
      </c>
      <c r="C812" s="969">
        <v>5.5999999999999999E-5</v>
      </c>
      <c r="D812" s="969">
        <v>6.02E-5</v>
      </c>
      <c r="E812" s="1008">
        <v>27133</v>
      </c>
      <c r="F812" s="1011">
        <v>127765</v>
      </c>
      <c r="G812" s="970">
        <v>85552</v>
      </c>
      <c r="H812" s="970"/>
      <c r="I812" s="971">
        <v>4929</v>
      </c>
      <c r="J812" s="972">
        <v>20773</v>
      </c>
      <c r="K812" s="971">
        <v>12218</v>
      </c>
      <c r="L812" s="970">
        <v>10</v>
      </c>
      <c r="M812" s="970"/>
      <c r="N812" s="971">
        <v>2422</v>
      </c>
      <c r="O812" s="971">
        <v>0</v>
      </c>
      <c r="P812" s="971">
        <v>0</v>
      </c>
      <c r="Q812" s="970">
        <v>8046</v>
      </c>
      <c r="R812" s="970"/>
      <c r="S812" s="971">
        <v>28831</v>
      </c>
      <c r="T812" s="973">
        <v>-2790</v>
      </c>
      <c r="U812" s="973">
        <f>26042-1</f>
        <v>26041</v>
      </c>
    </row>
    <row r="813" spans="1:21" x14ac:dyDescent="0.25">
      <c r="A813" s="967">
        <v>99014</v>
      </c>
      <c r="B813" s="968" t="s">
        <v>3449</v>
      </c>
      <c r="C813" s="969">
        <v>2.0100000000000001E-5</v>
      </c>
      <c r="D813" s="969">
        <v>2.4199999999999999E-5</v>
      </c>
      <c r="E813" s="1008">
        <v>13999</v>
      </c>
      <c r="F813" s="1011">
        <v>51361</v>
      </c>
      <c r="G813" s="970">
        <v>30707</v>
      </c>
      <c r="H813" s="970"/>
      <c r="I813" s="971">
        <v>1769</v>
      </c>
      <c r="J813" s="972">
        <v>7456</v>
      </c>
      <c r="K813" s="971">
        <v>4385</v>
      </c>
      <c r="L813" s="970">
        <v>12703</v>
      </c>
      <c r="M813" s="970"/>
      <c r="N813" s="971">
        <v>869</v>
      </c>
      <c r="O813" s="971">
        <v>0</v>
      </c>
      <c r="P813" s="971">
        <v>0</v>
      </c>
      <c r="Q813" s="970">
        <v>0</v>
      </c>
      <c r="R813" s="970"/>
      <c r="S813" s="971">
        <v>10348</v>
      </c>
      <c r="T813" s="973">
        <v>4335</v>
      </c>
      <c r="U813" s="973">
        <v>14683</v>
      </c>
    </row>
    <row r="814" spans="1:21" x14ac:dyDescent="0.25">
      <c r="A814" s="967">
        <v>99017</v>
      </c>
      <c r="B814" s="968" t="s">
        <v>3450</v>
      </c>
      <c r="C814" s="969">
        <v>5.13E-5</v>
      </c>
      <c r="D814" s="969">
        <v>4.6999999999999997E-5</v>
      </c>
      <c r="E814" s="1008">
        <v>25055</v>
      </c>
      <c r="F814" s="1011">
        <v>99750</v>
      </c>
      <c r="G814" s="970">
        <v>78372</v>
      </c>
      <c r="H814" s="970"/>
      <c r="I814" s="971">
        <v>4515</v>
      </c>
      <c r="J814" s="972">
        <v>19029</v>
      </c>
      <c r="K814" s="971">
        <v>11193</v>
      </c>
      <c r="L814" s="970">
        <v>8072</v>
      </c>
      <c r="M814" s="970"/>
      <c r="N814" s="971">
        <v>2218</v>
      </c>
      <c r="O814" s="971">
        <v>0</v>
      </c>
      <c r="P814" s="971">
        <v>0</v>
      </c>
      <c r="Q814" s="970">
        <v>3306</v>
      </c>
      <c r="R814" s="970"/>
      <c r="S814" s="971">
        <v>26411</v>
      </c>
      <c r="T814" s="973">
        <v>-629</v>
      </c>
      <c r="U814" s="973">
        <v>25782</v>
      </c>
    </row>
    <row r="815" spans="1:21" x14ac:dyDescent="0.25">
      <c r="A815" s="967">
        <v>99021</v>
      </c>
      <c r="B815" s="968" t="s">
        <v>3451</v>
      </c>
      <c r="C815" s="969">
        <v>1.5249999999999999E-4</v>
      </c>
      <c r="D815" s="969">
        <v>1.3420000000000001E-4</v>
      </c>
      <c r="E815" s="1008">
        <v>64601</v>
      </c>
      <c r="F815" s="1011">
        <v>284817</v>
      </c>
      <c r="G815" s="970">
        <v>232978</v>
      </c>
      <c r="H815" s="970"/>
      <c r="I815" s="971">
        <v>13422</v>
      </c>
      <c r="J815" s="972">
        <v>56568</v>
      </c>
      <c r="K815" s="971">
        <v>33272</v>
      </c>
      <c r="L815" s="970">
        <v>11565</v>
      </c>
      <c r="M815" s="970"/>
      <c r="N815" s="971">
        <v>6595</v>
      </c>
      <c r="O815" s="971">
        <v>0</v>
      </c>
      <c r="P815" s="971">
        <v>0</v>
      </c>
      <c r="Q815" s="970">
        <v>728</v>
      </c>
      <c r="R815" s="970"/>
      <c r="S815" s="971">
        <v>78514</v>
      </c>
      <c r="T815" s="973">
        <v>3978</v>
      </c>
      <c r="U815" s="973">
        <f>82491+1</f>
        <v>82492</v>
      </c>
    </row>
    <row r="816" spans="1:21" x14ac:dyDescent="0.25">
      <c r="A816" s="967">
        <v>99022</v>
      </c>
      <c r="B816" s="968" t="s">
        <v>1962</v>
      </c>
      <c r="C816" s="969">
        <v>1.08E-5</v>
      </c>
      <c r="D816" s="969">
        <v>1.1800000000000001E-5</v>
      </c>
      <c r="E816" s="1008">
        <v>11386</v>
      </c>
      <c r="F816" s="1011">
        <v>25044</v>
      </c>
      <c r="G816" s="970">
        <v>16499</v>
      </c>
      <c r="H816" s="970"/>
      <c r="I816" s="971">
        <v>951</v>
      </c>
      <c r="J816" s="972">
        <v>4006</v>
      </c>
      <c r="K816" s="971">
        <v>2356</v>
      </c>
      <c r="L816" s="970">
        <v>8944</v>
      </c>
      <c r="M816" s="970"/>
      <c r="N816" s="971">
        <v>467</v>
      </c>
      <c r="O816" s="971">
        <v>0</v>
      </c>
      <c r="P816" s="971">
        <v>0</v>
      </c>
      <c r="Q816" s="970">
        <v>132</v>
      </c>
      <c r="R816" s="970"/>
      <c r="S816" s="971">
        <v>5560</v>
      </c>
      <c r="T816" s="973">
        <v>2896</v>
      </c>
      <c r="U816" s="973">
        <v>8456</v>
      </c>
    </row>
    <row r="817" spans="1:21" x14ac:dyDescent="0.25">
      <c r="A817" s="967">
        <v>99031</v>
      </c>
      <c r="B817" s="968" t="s">
        <v>3452</v>
      </c>
      <c r="C817" s="969">
        <v>1.518E-4</v>
      </c>
      <c r="D817" s="969">
        <v>1.5970000000000001E-4</v>
      </c>
      <c r="E817" s="1008">
        <v>59833</v>
      </c>
      <c r="F817" s="1011">
        <v>338937</v>
      </c>
      <c r="G817" s="970">
        <v>231908</v>
      </c>
      <c r="H817" s="970"/>
      <c r="I817" s="971">
        <v>13360</v>
      </c>
      <c r="J817" s="972">
        <v>56308</v>
      </c>
      <c r="K817" s="971">
        <v>33120</v>
      </c>
      <c r="L817" s="970">
        <v>2845</v>
      </c>
      <c r="M817" s="970"/>
      <c r="N817" s="971">
        <v>6565</v>
      </c>
      <c r="O817" s="971">
        <v>0</v>
      </c>
      <c r="P817" s="971">
        <v>0</v>
      </c>
      <c r="Q817" s="970">
        <v>23907</v>
      </c>
      <c r="R817" s="970"/>
      <c r="S817" s="971">
        <v>78153</v>
      </c>
      <c r="T817" s="973">
        <v>-11727</v>
      </c>
      <c r="U817" s="973">
        <v>66426</v>
      </c>
    </row>
    <row r="818" spans="1:21" x14ac:dyDescent="0.25">
      <c r="A818" s="967">
        <v>99041</v>
      </c>
      <c r="B818" s="968" t="s">
        <v>3453</v>
      </c>
      <c r="C818" s="969">
        <v>6.3500000000000004E-4</v>
      </c>
      <c r="D818" s="969">
        <v>5.6289999999999997E-4</v>
      </c>
      <c r="E818" s="1008">
        <v>254000</v>
      </c>
      <c r="F818" s="1011">
        <v>1194662</v>
      </c>
      <c r="G818" s="970">
        <v>970104</v>
      </c>
      <c r="H818" s="970"/>
      <c r="I818" s="971">
        <v>55887</v>
      </c>
      <c r="J818" s="972">
        <v>235543</v>
      </c>
      <c r="K818" s="971">
        <v>138544</v>
      </c>
      <c r="L818" s="970">
        <v>52920</v>
      </c>
      <c r="M818" s="970"/>
      <c r="N818" s="971">
        <v>27461</v>
      </c>
      <c r="O818" s="971">
        <v>0</v>
      </c>
      <c r="P818" s="971">
        <v>0</v>
      </c>
      <c r="Q818" s="970">
        <v>0</v>
      </c>
      <c r="R818" s="970"/>
      <c r="S818" s="971">
        <v>326926</v>
      </c>
      <c r="T818" s="973">
        <v>28997</v>
      </c>
      <c r="U818" s="973">
        <v>355923</v>
      </c>
    </row>
    <row r="819" spans="1:21" x14ac:dyDescent="0.25">
      <c r="A819" s="967">
        <v>99047</v>
      </c>
      <c r="B819" s="968" t="s">
        <v>3454</v>
      </c>
      <c r="C819" s="969">
        <v>1.42E-5</v>
      </c>
      <c r="D819" s="969">
        <v>9.2E-6</v>
      </c>
      <c r="E819" s="1008">
        <v>7761</v>
      </c>
      <c r="F819" s="1011">
        <v>19525</v>
      </c>
      <c r="G819" s="970">
        <v>21694</v>
      </c>
      <c r="H819" s="970"/>
      <c r="I819" s="971">
        <v>1250</v>
      </c>
      <c r="J819" s="972">
        <v>5267</v>
      </c>
      <c r="K819" s="971">
        <v>3098</v>
      </c>
      <c r="L819" s="970">
        <v>6410</v>
      </c>
      <c r="M819" s="970"/>
      <c r="N819" s="971">
        <v>614</v>
      </c>
      <c r="O819" s="971">
        <v>0</v>
      </c>
      <c r="P819" s="971">
        <v>0</v>
      </c>
      <c r="Q819" s="970">
        <v>0</v>
      </c>
      <c r="R819" s="970"/>
      <c r="S819" s="971">
        <v>7311</v>
      </c>
      <c r="T819" s="973">
        <v>2345</v>
      </c>
      <c r="U819" s="973">
        <f>9655+1</f>
        <v>9656</v>
      </c>
    </row>
    <row r="820" spans="1:21" x14ac:dyDescent="0.25">
      <c r="A820" s="967">
        <v>99051</v>
      </c>
      <c r="B820" s="968" t="s">
        <v>3455</v>
      </c>
      <c r="C820" s="969">
        <v>3.5359999999999998E-4</v>
      </c>
      <c r="D820" s="969">
        <v>3.3349999999999997E-4</v>
      </c>
      <c r="E820" s="1008">
        <v>142317</v>
      </c>
      <c r="F820" s="1011">
        <v>707799</v>
      </c>
      <c r="G820" s="970">
        <v>540203</v>
      </c>
      <c r="H820" s="970"/>
      <c r="I820" s="971">
        <v>31121</v>
      </c>
      <c r="J820" s="972">
        <v>131162</v>
      </c>
      <c r="K820" s="971">
        <v>77148</v>
      </c>
      <c r="L820" s="970">
        <v>11433</v>
      </c>
      <c r="M820" s="970"/>
      <c r="N820" s="971">
        <v>15291</v>
      </c>
      <c r="O820" s="971">
        <v>0</v>
      </c>
      <c r="P820" s="971">
        <v>0</v>
      </c>
      <c r="Q820" s="970">
        <v>2536</v>
      </c>
      <c r="R820" s="970"/>
      <c r="S820" s="971">
        <v>182049</v>
      </c>
      <c r="T820" s="973">
        <v>4776</v>
      </c>
      <c r="U820" s="973">
        <f>186824+1</f>
        <v>186825</v>
      </c>
    </row>
    <row r="821" spans="1:21" x14ac:dyDescent="0.25">
      <c r="A821" s="967">
        <v>99061</v>
      </c>
      <c r="B821" s="968" t="s">
        <v>3456</v>
      </c>
      <c r="C821" s="969">
        <v>8.1000000000000004E-6</v>
      </c>
      <c r="D821" s="969">
        <v>8.3999999999999992E-6</v>
      </c>
      <c r="E821" s="1008">
        <v>7897</v>
      </c>
      <c r="F821" s="1011">
        <v>17828</v>
      </c>
      <c r="G821" s="970">
        <v>12375</v>
      </c>
      <c r="H821" s="970"/>
      <c r="I821" s="971">
        <v>713</v>
      </c>
      <c r="J821" s="972">
        <v>3005</v>
      </c>
      <c r="K821" s="971">
        <v>1767</v>
      </c>
      <c r="L821" s="970">
        <v>7276</v>
      </c>
      <c r="M821" s="970"/>
      <c r="N821" s="971">
        <v>350</v>
      </c>
      <c r="O821" s="971">
        <v>0</v>
      </c>
      <c r="P821" s="971">
        <v>0</v>
      </c>
      <c r="Q821" s="970">
        <v>0</v>
      </c>
      <c r="R821" s="970"/>
      <c r="S821" s="971">
        <v>4170</v>
      </c>
      <c r="T821" s="973">
        <v>2674</v>
      </c>
      <c r="U821" s="973">
        <v>6844</v>
      </c>
    </row>
    <row r="822" spans="1:21" x14ac:dyDescent="0.25">
      <c r="A822" s="967">
        <v>99071</v>
      </c>
      <c r="B822" s="968" t="s">
        <v>3457</v>
      </c>
      <c r="C822" s="969">
        <v>3.04E-5</v>
      </c>
      <c r="D822" s="969">
        <v>3.0499999999999999E-5</v>
      </c>
      <c r="E822" s="1008">
        <v>15062</v>
      </c>
      <c r="F822" s="1011">
        <v>64731</v>
      </c>
      <c r="G822" s="970">
        <v>46443</v>
      </c>
      <c r="H822" s="970"/>
      <c r="I822" s="971">
        <v>2676</v>
      </c>
      <c r="J822" s="972">
        <v>11277</v>
      </c>
      <c r="K822" s="971">
        <v>6633</v>
      </c>
      <c r="L822" s="970">
        <v>818</v>
      </c>
      <c r="M822" s="970"/>
      <c r="N822" s="971">
        <v>1315</v>
      </c>
      <c r="O822" s="971">
        <v>0</v>
      </c>
      <c r="P822" s="971">
        <v>0</v>
      </c>
      <c r="Q822" s="970">
        <v>2093</v>
      </c>
      <c r="R822" s="970"/>
      <c r="S822" s="971">
        <v>15651</v>
      </c>
      <c r="T822" s="973">
        <v>-1107</v>
      </c>
      <c r="U822" s="973">
        <v>14544</v>
      </c>
    </row>
    <row r="823" spans="1:21" x14ac:dyDescent="0.25">
      <c r="A823" s="967">
        <v>99081</v>
      </c>
      <c r="B823" s="968" t="s">
        <v>3458</v>
      </c>
      <c r="C823" s="969">
        <v>1.1E-5</v>
      </c>
      <c r="D823" s="969">
        <v>2.9600000000000001E-5</v>
      </c>
      <c r="E823" s="1008">
        <v>10195</v>
      </c>
      <c r="F823" s="1011">
        <v>62821</v>
      </c>
      <c r="G823" s="970">
        <v>16805</v>
      </c>
      <c r="H823" s="970"/>
      <c r="I823" s="971">
        <v>968</v>
      </c>
      <c r="J823" s="972">
        <v>4081</v>
      </c>
      <c r="K823" s="971">
        <v>2400</v>
      </c>
      <c r="L823" s="970">
        <v>3587</v>
      </c>
      <c r="M823" s="970"/>
      <c r="N823" s="971">
        <v>476</v>
      </c>
      <c r="O823" s="971">
        <v>0</v>
      </c>
      <c r="P823" s="971">
        <v>0</v>
      </c>
      <c r="Q823" s="970">
        <v>13215</v>
      </c>
      <c r="R823" s="970"/>
      <c r="S823" s="971">
        <v>5663</v>
      </c>
      <c r="T823" s="973">
        <v>-2898</v>
      </c>
      <c r="U823" s="973">
        <f>2766-1</f>
        <v>2765</v>
      </c>
    </row>
    <row r="824" spans="1:21" x14ac:dyDescent="0.25">
      <c r="A824" s="967">
        <v>99091</v>
      </c>
      <c r="B824" s="968" t="s">
        <v>3459</v>
      </c>
      <c r="C824" s="969">
        <v>3.9999999999999998E-6</v>
      </c>
      <c r="D824" s="969">
        <v>4.1999999999999996E-6</v>
      </c>
      <c r="E824" s="1008">
        <v>4831</v>
      </c>
      <c r="F824" s="1011">
        <v>8914</v>
      </c>
      <c r="G824" s="970">
        <v>6111</v>
      </c>
      <c r="H824" s="970"/>
      <c r="I824" s="971">
        <v>352</v>
      </c>
      <c r="J824" s="972">
        <v>1484</v>
      </c>
      <c r="K824" s="971">
        <v>873</v>
      </c>
      <c r="L824" s="970">
        <v>4105</v>
      </c>
      <c r="M824" s="970"/>
      <c r="N824" s="971">
        <v>173</v>
      </c>
      <c r="O824" s="971">
        <v>0</v>
      </c>
      <c r="P824" s="971">
        <v>0</v>
      </c>
      <c r="Q824" s="970">
        <v>3232</v>
      </c>
      <c r="R824" s="970"/>
      <c r="S824" s="971">
        <v>2059</v>
      </c>
      <c r="T824" s="973">
        <v>-1926</v>
      </c>
      <c r="U824" s="973">
        <f>134-1</f>
        <v>133</v>
      </c>
    </row>
    <row r="825" spans="1:21" x14ac:dyDescent="0.25">
      <c r="A825" s="967">
        <v>99101</v>
      </c>
      <c r="B825" s="968" t="s">
        <v>3460</v>
      </c>
      <c r="C825" s="969">
        <v>2.1724000000000001E-3</v>
      </c>
      <c r="D825" s="969">
        <v>2.0087999999999998E-3</v>
      </c>
      <c r="E825" s="1008">
        <v>914274</v>
      </c>
      <c r="F825" s="1011">
        <v>4263347</v>
      </c>
      <c r="G825" s="970">
        <v>3318825</v>
      </c>
      <c r="H825" s="970"/>
      <c r="I825" s="971">
        <v>191195</v>
      </c>
      <c r="J825" s="972">
        <v>805815</v>
      </c>
      <c r="K825" s="971">
        <v>473974</v>
      </c>
      <c r="L825" s="970">
        <v>48335</v>
      </c>
      <c r="M825" s="970"/>
      <c r="N825" s="971">
        <v>93945</v>
      </c>
      <c r="O825" s="971">
        <v>0</v>
      </c>
      <c r="P825" s="971">
        <v>0</v>
      </c>
      <c r="Q825" s="970">
        <v>44900</v>
      </c>
      <c r="R825" s="970"/>
      <c r="S825" s="971">
        <v>1118447</v>
      </c>
      <c r="T825" s="973">
        <v>-14151</v>
      </c>
      <c r="U825" s="973">
        <v>1104296</v>
      </c>
    </row>
    <row r="826" spans="1:21" x14ac:dyDescent="0.25">
      <c r="A826" s="967">
        <v>99104</v>
      </c>
      <c r="B826" s="968" t="s">
        <v>3461</v>
      </c>
      <c r="C826" s="969">
        <v>3.3500000000000001E-5</v>
      </c>
      <c r="D826" s="969">
        <v>3.4799999999999999E-5</v>
      </c>
      <c r="E826" s="1008">
        <v>22874</v>
      </c>
      <c r="F826" s="1011">
        <v>73857</v>
      </c>
      <c r="G826" s="970">
        <v>51179</v>
      </c>
      <c r="H826" s="970"/>
      <c r="I826" s="971">
        <v>2948</v>
      </c>
      <c r="J826" s="972">
        <v>12426</v>
      </c>
      <c r="K826" s="971">
        <v>7309</v>
      </c>
      <c r="L826" s="970">
        <v>15217</v>
      </c>
      <c r="M826" s="970"/>
      <c r="N826" s="971">
        <v>1449</v>
      </c>
      <c r="O826" s="971">
        <v>0</v>
      </c>
      <c r="P826" s="971">
        <v>0</v>
      </c>
      <c r="Q826" s="970">
        <v>0</v>
      </c>
      <c r="R826" s="970"/>
      <c r="S826" s="971">
        <v>17247</v>
      </c>
      <c r="T826" s="973">
        <v>6167</v>
      </c>
      <c r="U826" s="973">
        <f>23415-1</f>
        <v>23414</v>
      </c>
    </row>
    <row r="827" spans="1:21" x14ac:dyDescent="0.25">
      <c r="A827" s="967">
        <v>99109</v>
      </c>
      <c r="B827" s="968" t="s">
        <v>3462</v>
      </c>
      <c r="C827" s="969">
        <v>1.2339999999999999E-4</v>
      </c>
      <c r="D827" s="969">
        <v>1.1849999999999999E-4</v>
      </c>
      <c r="E827" s="1008">
        <v>56338</v>
      </c>
      <c r="F827" s="1011">
        <v>251497</v>
      </c>
      <c r="G827" s="970">
        <v>188521</v>
      </c>
      <c r="H827" s="970"/>
      <c r="I827" s="971">
        <v>10861</v>
      </c>
      <c r="J827" s="972">
        <v>45773</v>
      </c>
      <c r="K827" s="971">
        <v>26923</v>
      </c>
      <c r="L827" s="970">
        <v>6454</v>
      </c>
      <c r="M827" s="970"/>
      <c r="N827" s="971">
        <v>5336</v>
      </c>
      <c r="O827" s="971">
        <v>0</v>
      </c>
      <c r="P827" s="971">
        <v>0</v>
      </c>
      <c r="Q827" s="970">
        <v>14208</v>
      </c>
      <c r="R827" s="970"/>
      <c r="S827" s="971">
        <v>63532</v>
      </c>
      <c r="T827" s="973">
        <v>-5391</v>
      </c>
      <c r="U827" s="973">
        <f>58140+1</f>
        <v>58141</v>
      </c>
    </row>
    <row r="828" spans="1:21" x14ac:dyDescent="0.25">
      <c r="A828" s="967">
        <v>99110</v>
      </c>
      <c r="B828" s="968" t="s">
        <v>3463</v>
      </c>
      <c r="C828" s="969">
        <v>1.7670000000000001E-4</v>
      </c>
      <c r="D828" s="969">
        <v>1.8369999999999999E-4</v>
      </c>
      <c r="E828" s="1008">
        <v>119963</v>
      </c>
      <c r="F828" s="1011">
        <v>389873</v>
      </c>
      <c r="G828" s="970">
        <v>269949</v>
      </c>
      <c r="H828" s="970"/>
      <c r="I828" s="971">
        <v>15552</v>
      </c>
      <c r="J828" s="972">
        <v>65544</v>
      </c>
      <c r="K828" s="971">
        <v>38552</v>
      </c>
      <c r="L828" s="970">
        <v>69046</v>
      </c>
      <c r="M828" s="970"/>
      <c r="N828" s="971">
        <v>7641</v>
      </c>
      <c r="O828" s="971">
        <v>0</v>
      </c>
      <c r="P828" s="971">
        <v>0</v>
      </c>
      <c r="Q828" s="970">
        <v>0</v>
      </c>
      <c r="R828" s="970"/>
      <c r="S828" s="971">
        <v>90973</v>
      </c>
      <c r="T828" s="973">
        <v>27602</v>
      </c>
      <c r="U828" s="973">
        <v>118575</v>
      </c>
    </row>
    <row r="829" spans="1:21" x14ac:dyDescent="0.25">
      <c r="A829" s="967">
        <v>99111</v>
      </c>
      <c r="B829" s="968" t="s">
        <v>3464</v>
      </c>
      <c r="C829" s="969">
        <v>1.2618E-3</v>
      </c>
      <c r="D829" s="969">
        <v>1.2757000000000001E-3</v>
      </c>
      <c r="E829" s="1008">
        <v>543583</v>
      </c>
      <c r="F829" s="1011">
        <v>2707463</v>
      </c>
      <c r="G829" s="970">
        <v>1927681</v>
      </c>
      <c r="H829" s="970"/>
      <c r="I829" s="971">
        <v>111052</v>
      </c>
      <c r="J829" s="972">
        <v>468043</v>
      </c>
      <c r="K829" s="971">
        <v>275300</v>
      </c>
      <c r="L829" s="970">
        <v>0</v>
      </c>
      <c r="M829" s="970"/>
      <c r="N829" s="971">
        <v>54567</v>
      </c>
      <c r="O829" s="971">
        <v>0</v>
      </c>
      <c r="P829" s="971">
        <v>0</v>
      </c>
      <c r="Q829" s="970">
        <v>143900</v>
      </c>
      <c r="R829" s="970"/>
      <c r="S829" s="971">
        <v>649630</v>
      </c>
      <c r="T829" s="973">
        <v>-68554</v>
      </c>
      <c r="U829" s="973">
        <v>581076</v>
      </c>
    </row>
    <row r="830" spans="1:21" x14ac:dyDescent="0.25">
      <c r="A830" s="967">
        <v>99201</v>
      </c>
      <c r="B830" s="968" t="s">
        <v>3465</v>
      </c>
      <c r="C830" s="969">
        <v>3.3297199999999999E-2</v>
      </c>
      <c r="D830" s="969">
        <v>3.22145E-2</v>
      </c>
      <c r="E830" s="1008">
        <v>15084487</v>
      </c>
      <c r="F830" s="1011">
        <v>68369961</v>
      </c>
      <c r="G830" s="970">
        <v>50868898</v>
      </c>
      <c r="H830" s="970"/>
      <c r="I830" s="971">
        <v>2930520</v>
      </c>
      <c r="J830" s="972">
        <v>12351030</v>
      </c>
      <c r="K830" s="971">
        <v>7264783</v>
      </c>
      <c r="L830" s="970">
        <v>1320745</v>
      </c>
      <c r="M830" s="970"/>
      <c r="N830" s="971">
        <v>1439937</v>
      </c>
      <c r="O830" s="971">
        <v>0</v>
      </c>
      <c r="P830" s="971">
        <v>0</v>
      </c>
      <c r="Q830" s="970">
        <v>241517</v>
      </c>
      <c r="R830" s="970"/>
      <c r="S830" s="971">
        <v>17142864</v>
      </c>
      <c r="T830" s="973">
        <v>242815</v>
      </c>
      <c r="U830" s="973">
        <v>17385679</v>
      </c>
    </row>
    <row r="831" spans="1:21" x14ac:dyDescent="0.25">
      <c r="A831" s="967">
        <v>99202</v>
      </c>
      <c r="B831" s="968" t="s">
        <v>3466</v>
      </c>
      <c r="C831" s="969">
        <v>2.5855000000000001E-3</v>
      </c>
      <c r="D831" s="969">
        <v>2.5138000000000001E-3</v>
      </c>
      <c r="E831" s="1008">
        <v>1072068</v>
      </c>
      <c r="F831" s="1011">
        <v>5335126</v>
      </c>
      <c r="G831" s="970">
        <v>3949928</v>
      </c>
      <c r="H831" s="970"/>
      <c r="I831" s="971">
        <v>227552</v>
      </c>
      <c r="J831" s="972">
        <v>959048</v>
      </c>
      <c r="K831" s="971">
        <v>564104</v>
      </c>
      <c r="L831" s="970">
        <v>0</v>
      </c>
      <c r="M831" s="970"/>
      <c r="N831" s="971">
        <v>111810</v>
      </c>
      <c r="O831" s="971">
        <v>0</v>
      </c>
      <c r="P831" s="971">
        <v>0</v>
      </c>
      <c r="Q831" s="970">
        <v>184130</v>
      </c>
      <c r="R831" s="970"/>
      <c r="S831" s="971">
        <v>1331129</v>
      </c>
      <c r="T831" s="973">
        <v>-73084</v>
      </c>
      <c r="U831" s="973">
        <v>1258045</v>
      </c>
    </row>
    <row r="832" spans="1:21" x14ac:dyDescent="0.25">
      <c r="A832" s="967">
        <v>99203</v>
      </c>
      <c r="B832" s="968" t="s">
        <v>3467</v>
      </c>
      <c r="C832" s="969">
        <v>3.0410000000000002E-4</v>
      </c>
      <c r="D832" s="969">
        <v>3.1990000000000002E-4</v>
      </c>
      <c r="E832" s="1008">
        <v>126936</v>
      </c>
      <c r="F832" s="1011">
        <v>678935</v>
      </c>
      <c r="G832" s="970">
        <v>464581</v>
      </c>
      <c r="H832" s="970"/>
      <c r="I832" s="971">
        <v>26764</v>
      </c>
      <c r="J832" s="972">
        <v>112801</v>
      </c>
      <c r="K832" s="971">
        <v>66349</v>
      </c>
      <c r="L832" s="970">
        <v>24433</v>
      </c>
      <c r="M832" s="970"/>
      <c r="N832" s="971">
        <v>13151</v>
      </c>
      <c r="O832" s="971">
        <v>0</v>
      </c>
      <c r="P832" s="971">
        <v>0</v>
      </c>
      <c r="Q832" s="970">
        <v>20730</v>
      </c>
      <c r="R832" s="970"/>
      <c r="S832" s="971">
        <v>156564</v>
      </c>
      <c r="T832" s="973">
        <v>11213</v>
      </c>
      <c r="U832" s="973">
        <v>167777</v>
      </c>
    </row>
    <row r="833" spans="1:21" x14ac:dyDescent="0.25">
      <c r="A833" s="967">
        <v>99204</v>
      </c>
      <c r="B833" s="968" t="s">
        <v>3468</v>
      </c>
      <c r="C833" s="969">
        <v>8.3549999999999998E-4</v>
      </c>
      <c r="D833" s="969">
        <v>7.4910000000000005E-4</v>
      </c>
      <c r="E833" s="1008">
        <v>375261</v>
      </c>
      <c r="F833" s="1011">
        <v>1589841</v>
      </c>
      <c r="G833" s="970">
        <v>1276413</v>
      </c>
      <c r="H833" s="970"/>
      <c r="I833" s="971">
        <v>73533</v>
      </c>
      <c r="J833" s="972">
        <v>309914</v>
      </c>
      <c r="K833" s="971">
        <v>182289</v>
      </c>
      <c r="L833" s="970">
        <v>108607</v>
      </c>
      <c r="M833" s="970"/>
      <c r="N833" s="971">
        <v>36131</v>
      </c>
      <c r="O833" s="971">
        <v>0</v>
      </c>
      <c r="P833" s="971">
        <v>0</v>
      </c>
      <c r="Q833" s="970">
        <v>0</v>
      </c>
      <c r="R833" s="970"/>
      <c r="S833" s="971">
        <v>430152</v>
      </c>
      <c r="T833" s="973">
        <v>37657</v>
      </c>
      <c r="U833" s="973">
        <v>467809</v>
      </c>
    </row>
    <row r="834" spans="1:21" x14ac:dyDescent="0.25">
      <c r="A834" s="967">
        <v>99206</v>
      </c>
      <c r="B834" s="968" t="s">
        <v>3469</v>
      </c>
      <c r="C834" s="969">
        <v>1.6957999999999999E-3</v>
      </c>
      <c r="D834" s="969">
        <v>1.6665E-3</v>
      </c>
      <c r="E834" s="1008">
        <v>1210225</v>
      </c>
      <c r="F834" s="1011">
        <v>3536871</v>
      </c>
      <c r="G834" s="970">
        <v>2590713</v>
      </c>
      <c r="H834" s="970"/>
      <c r="I834" s="971">
        <v>149249</v>
      </c>
      <c r="J834" s="972">
        <v>629028</v>
      </c>
      <c r="K834" s="971">
        <v>369990</v>
      </c>
      <c r="L834" s="970">
        <v>641271</v>
      </c>
      <c r="M834" s="970"/>
      <c r="N834" s="971">
        <v>73335</v>
      </c>
      <c r="O834" s="971">
        <v>0</v>
      </c>
      <c r="P834" s="971">
        <v>0</v>
      </c>
      <c r="Q834" s="970">
        <v>6741</v>
      </c>
      <c r="R834" s="970"/>
      <c r="S834" s="971">
        <v>873072</v>
      </c>
      <c r="T834" s="973">
        <v>209066</v>
      </c>
      <c r="U834" s="973">
        <f>1082139-1</f>
        <v>1082138</v>
      </c>
    </row>
    <row r="835" spans="1:21" x14ac:dyDescent="0.25">
      <c r="A835" s="967">
        <v>99207</v>
      </c>
      <c r="B835" s="968" t="s">
        <v>3695</v>
      </c>
      <c r="C835" s="969">
        <v>1.3329999999999999E-4</v>
      </c>
      <c r="D835" s="969">
        <v>1.3430000000000001E-4</v>
      </c>
      <c r="E835" s="1008">
        <v>175075</v>
      </c>
      <c r="F835" s="1011">
        <v>0</v>
      </c>
      <c r="G835" s="970">
        <v>203645</v>
      </c>
      <c r="H835" s="970"/>
      <c r="I835" s="971">
        <v>11732</v>
      </c>
      <c r="J835" s="972">
        <v>49445</v>
      </c>
      <c r="K835" s="971">
        <v>29083</v>
      </c>
      <c r="L835" s="970">
        <v>145724</v>
      </c>
      <c r="M835" s="970"/>
      <c r="N835" s="971">
        <v>5765</v>
      </c>
      <c r="O835" s="971">
        <v>0</v>
      </c>
      <c r="P835" s="971">
        <v>0</v>
      </c>
      <c r="Q835" s="970">
        <v>0</v>
      </c>
      <c r="R835" s="970"/>
      <c r="S835" s="971">
        <v>68629</v>
      </c>
      <c r="T835" s="973">
        <v>46901</v>
      </c>
      <c r="U835" s="973">
        <v>115530</v>
      </c>
    </row>
    <row r="836" spans="1:21" x14ac:dyDescent="0.25">
      <c r="A836" s="967">
        <v>99208</v>
      </c>
      <c r="B836" s="968" t="s">
        <v>3471</v>
      </c>
      <c r="C836" s="969">
        <v>1.4569999999999999E-4</v>
      </c>
      <c r="D836" s="969">
        <v>1.3669999999999999E-4</v>
      </c>
      <c r="E836" s="1008">
        <v>57804</v>
      </c>
      <c r="F836" s="1011">
        <v>290123</v>
      </c>
      <c r="G836" s="970">
        <v>222589</v>
      </c>
      <c r="H836" s="970"/>
      <c r="I836" s="971">
        <v>12823</v>
      </c>
      <c r="J836" s="972">
        <v>54045</v>
      </c>
      <c r="K836" s="971">
        <v>31789</v>
      </c>
      <c r="L836" s="970">
        <v>0</v>
      </c>
      <c r="M836" s="970"/>
      <c r="N836" s="971">
        <v>6301</v>
      </c>
      <c r="O836" s="971">
        <v>0</v>
      </c>
      <c r="P836" s="971">
        <v>0</v>
      </c>
      <c r="Q836" s="970">
        <v>38521</v>
      </c>
      <c r="R836" s="970"/>
      <c r="S836" s="971">
        <v>75013</v>
      </c>
      <c r="T836" s="973">
        <v>-20543</v>
      </c>
      <c r="U836" s="973">
        <v>54470</v>
      </c>
    </row>
    <row r="837" spans="1:21" x14ac:dyDescent="0.25">
      <c r="A837" s="967">
        <v>99210</v>
      </c>
      <c r="B837" s="968" t="s">
        <v>3472</v>
      </c>
      <c r="C837" s="969">
        <v>1.5943999999999999E-3</v>
      </c>
      <c r="D837" s="969">
        <v>1.5945E-3</v>
      </c>
      <c r="E837" s="1008">
        <v>789521</v>
      </c>
      <c r="F837" s="1011">
        <v>3384063</v>
      </c>
      <c r="G837" s="970">
        <v>2435802</v>
      </c>
      <c r="H837" s="970"/>
      <c r="I837" s="971">
        <v>140325</v>
      </c>
      <c r="J837" s="972">
        <v>591415</v>
      </c>
      <c r="K837" s="971">
        <v>347866</v>
      </c>
      <c r="L837" s="970">
        <v>99237</v>
      </c>
      <c r="M837" s="970"/>
      <c r="N837" s="971">
        <v>68950</v>
      </c>
      <c r="O837" s="971">
        <v>0</v>
      </c>
      <c r="P837" s="971">
        <v>0</v>
      </c>
      <c r="Q837" s="970">
        <v>0</v>
      </c>
      <c r="R837" s="970"/>
      <c r="S837" s="971">
        <v>820867</v>
      </c>
      <c r="T837" s="973">
        <v>39106</v>
      </c>
      <c r="U837" s="973">
        <f>859974-1</f>
        <v>859973</v>
      </c>
    </row>
    <row r="838" spans="1:21" x14ac:dyDescent="0.25">
      <c r="A838" s="967">
        <v>99211</v>
      </c>
      <c r="B838" s="968" t="s">
        <v>3473</v>
      </c>
      <c r="C838" s="969">
        <v>3.7100599999999997E-2</v>
      </c>
      <c r="D838" s="969">
        <v>3.8233999999999997E-2</v>
      </c>
      <c r="E838" s="1008">
        <v>16957539</v>
      </c>
      <c r="F838" s="1011">
        <v>81145356</v>
      </c>
      <c r="G838" s="970">
        <v>56679440</v>
      </c>
      <c r="H838" s="970"/>
      <c r="I838" s="971">
        <v>3265261</v>
      </c>
      <c r="J838" s="972">
        <v>13761837</v>
      </c>
      <c r="K838" s="971">
        <v>8094609</v>
      </c>
      <c r="L838" s="970">
        <v>0</v>
      </c>
      <c r="M838" s="970"/>
      <c r="N838" s="971">
        <v>1604415</v>
      </c>
      <c r="O838" s="971">
        <v>0</v>
      </c>
      <c r="P838" s="971">
        <v>0</v>
      </c>
      <c r="Q838" s="970">
        <v>1838947</v>
      </c>
      <c r="R838" s="970"/>
      <c r="S838" s="971">
        <v>19101021</v>
      </c>
      <c r="T838" s="973">
        <v>-724653</v>
      </c>
      <c r="U838" s="973">
        <f>18376369-1</f>
        <v>18376368</v>
      </c>
    </row>
    <row r="839" spans="1:21" x14ac:dyDescent="0.25">
      <c r="A839" s="967">
        <v>99212</v>
      </c>
      <c r="B839" s="968" t="s">
        <v>3474</v>
      </c>
      <c r="C839" s="969">
        <v>8.14E-5</v>
      </c>
      <c r="D839" s="969">
        <v>7.4400000000000006E-5</v>
      </c>
      <c r="E839" s="1008">
        <v>31805</v>
      </c>
      <c r="F839" s="1011">
        <v>157902</v>
      </c>
      <c r="G839" s="970">
        <v>124357</v>
      </c>
      <c r="H839" s="970"/>
      <c r="I839" s="971">
        <v>7164</v>
      </c>
      <c r="J839" s="972">
        <v>30194</v>
      </c>
      <c r="K839" s="971">
        <v>17760</v>
      </c>
      <c r="L839" s="970">
        <v>242</v>
      </c>
      <c r="M839" s="970"/>
      <c r="N839" s="971">
        <v>3520</v>
      </c>
      <c r="O839" s="971">
        <v>0</v>
      </c>
      <c r="P839" s="971">
        <v>0</v>
      </c>
      <c r="Q839" s="970">
        <v>34044</v>
      </c>
      <c r="R839" s="970"/>
      <c r="S839" s="971">
        <v>41908</v>
      </c>
      <c r="T839" s="973">
        <v>-15261</v>
      </c>
      <c r="U839" s="973">
        <v>26647</v>
      </c>
    </row>
    <row r="840" spans="1:21" x14ac:dyDescent="0.25">
      <c r="A840" s="967">
        <v>99213</v>
      </c>
      <c r="B840" s="968" t="s">
        <v>3475</v>
      </c>
      <c r="C840" s="969">
        <v>7.5159999999999995E-4</v>
      </c>
      <c r="D840" s="969">
        <v>8.0730000000000005E-4</v>
      </c>
      <c r="E840" s="1008">
        <v>353817</v>
      </c>
      <c r="F840" s="1011">
        <v>1713361</v>
      </c>
      <c r="G840" s="970">
        <v>1148237</v>
      </c>
      <c r="H840" s="970"/>
      <c r="I840" s="971">
        <v>66149</v>
      </c>
      <c r="J840" s="972">
        <v>278793</v>
      </c>
      <c r="K840" s="971">
        <v>163984</v>
      </c>
      <c r="L840" s="970">
        <v>6057</v>
      </c>
      <c r="M840" s="970"/>
      <c r="N840" s="971">
        <v>32503</v>
      </c>
      <c r="O840" s="971">
        <v>0</v>
      </c>
      <c r="P840" s="971">
        <v>0</v>
      </c>
      <c r="Q840" s="970">
        <v>45468</v>
      </c>
      <c r="R840" s="970"/>
      <c r="S840" s="971">
        <v>386957</v>
      </c>
      <c r="T840" s="973">
        <v>-10310</v>
      </c>
      <c r="U840" s="973">
        <f>376646+1</f>
        <v>376647</v>
      </c>
    </row>
    <row r="841" spans="1:21" x14ac:dyDescent="0.25">
      <c r="A841" s="967">
        <v>99218</v>
      </c>
      <c r="B841" s="968" t="s">
        <v>3476</v>
      </c>
      <c r="C841" s="969">
        <v>3.1162E-3</v>
      </c>
      <c r="D841" s="969">
        <v>3.1227999999999998E-3</v>
      </c>
      <c r="E841" s="1008">
        <v>1493014</v>
      </c>
      <c r="F841" s="1011">
        <v>6627628</v>
      </c>
      <c r="G841" s="970">
        <v>4760690</v>
      </c>
      <c r="H841" s="970"/>
      <c r="I841" s="971">
        <v>274260</v>
      </c>
      <c r="J841" s="972">
        <v>1155902</v>
      </c>
      <c r="K841" s="971">
        <v>679893</v>
      </c>
      <c r="L841" s="970">
        <v>179789</v>
      </c>
      <c r="M841" s="970"/>
      <c r="N841" s="971">
        <v>134760</v>
      </c>
      <c r="O841" s="971">
        <v>0</v>
      </c>
      <c r="P841" s="971">
        <v>0</v>
      </c>
      <c r="Q841" s="970">
        <v>0</v>
      </c>
      <c r="R841" s="970"/>
      <c r="S841" s="971">
        <v>1604357</v>
      </c>
      <c r="T841" s="973">
        <v>66860</v>
      </c>
      <c r="U841" s="973">
        <v>1671217</v>
      </c>
    </row>
    <row r="842" spans="1:21" x14ac:dyDescent="0.25">
      <c r="A842" s="967">
        <v>99221</v>
      </c>
      <c r="B842" s="968" t="s">
        <v>3477</v>
      </c>
      <c r="C842" s="969">
        <v>1.27709E-2</v>
      </c>
      <c r="D842" s="969">
        <v>1.3092700000000001E-2</v>
      </c>
      <c r="E842" s="1008">
        <v>5876509</v>
      </c>
      <c r="F842" s="1011">
        <v>27787095</v>
      </c>
      <c r="G842" s="970">
        <v>19510398</v>
      </c>
      <c r="H842" s="970"/>
      <c r="I842" s="971">
        <v>1123980</v>
      </c>
      <c r="J842" s="972">
        <v>4737148</v>
      </c>
      <c r="K842" s="971">
        <v>2786355</v>
      </c>
      <c r="L842" s="970">
        <v>0</v>
      </c>
      <c r="M842" s="970"/>
      <c r="N842" s="971">
        <v>552278</v>
      </c>
      <c r="O842" s="971">
        <v>0</v>
      </c>
      <c r="P842" s="971">
        <v>0</v>
      </c>
      <c r="Q842" s="970">
        <v>687802</v>
      </c>
      <c r="R842" s="970"/>
      <c r="S842" s="971">
        <v>6575021</v>
      </c>
      <c r="T842" s="973">
        <v>-271922</v>
      </c>
      <c r="U842" s="973">
        <v>6303099</v>
      </c>
    </row>
    <row r="843" spans="1:21" x14ac:dyDescent="0.25">
      <c r="A843" s="967">
        <v>99222</v>
      </c>
      <c r="B843" s="968" t="s">
        <v>3478</v>
      </c>
      <c r="C843" s="969">
        <v>3.9100000000000002E-5</v>
      </c>
      <c r="D843" s="969">
        <v>4.0099999999999999E-5</v>
      </c>
      <c r="E843" s="1008">
        <v>15446</v>
      </c>
      <c r="F843" s="1011">
        <v>85106</v>
      </c>
      <c r="G843" s="970">
        <v>59734</v>
      </c>
      <c r="H843" s="970"/>
      <c r="I843" s="971">
        <v>3441</v>
      </c>
      <c r="J843" s="972">
        <v>14504</v>
      </c>
      <c r="K843" s="971">
        <v>8531</v>
      </c>
      <c r="L843" s="970">
        <v>2307</v>
      </c>
      <c r="M843" s="970"/>
      <c r="N843" s="971">
        <v>1691</v>
      </c>
      <c r="O843" s="971">
        <v>0</v>
      </c>
      <c r="P843" s="971">
        <v>0</v>
      </c>
      <c r="Q843" s="970">
        <v>3585</v>
      </c>
      <c r="R843" s="970"/>
      <c r="S843" s="971">
        <v>20130</v>
      </c>
      <c r="T843" s="973">
        <v>281</v>
      </c>
      <c r="U843" s="973">
        <v>20411</v>
      </c>
    </row>
    <row r="844" spans="1:21" x14ac:dyDescent="0.25">
      <c r="A844" s="967">
        <v>99231</v>
      </c>
      <c r="B844" s="968" t="s">
        <v>3479</v>
      </c>
      <c r="C844" s="969">
        <v>3.7179999999999998E-4</v>
      </c>
      <c r="D844" s="969">
        <v>3.7869999999999999E-4</v>
      </c>
      <c r="E844" s="1008">
        <v>156904</v>
      </c>
      <c r="F844" s="1011">
        <v>803728</v>
      </c>
      <c r="G844" s="970">
        <v>568007</v>
      </c>
      <c r="H844" s="970"/>
      <c r="I844" s="971">
        <v>32722</v>
      </c>
      <c r="J844" s="972">
        <v>137913</v>
      </c>
      <c r="K844" s="971">
        <v>81119</v>
      </c>
      <c r="L844" s="970">
        <v>0</v>
      </c>
      <c r="M844" s="970"/>
      <c r="N844" s="971">
        <v>16078</v>
      </c>
      <c r="O844" s="971">
        <v>0</v>
      </c>
      <c r="P844" s="971">
        <v>0</v>
      </c>
      <c r="Q844" s="970">
        <v>31773</v>
      </c>
      <c r="R844" s="970"/>
      <c r="S844" s="971">
        <v>191419</v>
      </c>
      <c r="T844" s="973">
        <v>-14995</v>
      </c>
      <c r="U844" s="973">
        <v>176424</v>
      </c>
    </row>
    <row r="845" spans="1:21" x14ac:dyDescent="0.25">
      <c r="A845" s="967">
        <v>99241</v>
      </c>
      <c r="B845" s="968" t="s">
        <v>3480</v>
      </c>
      <c r="C845" s="969">
        <v>5.5329999999999995E-4</v>
      </c>
      <c r="D845" s="969">
        <v>5.6039999999999996E-4</v>
      </c>
      <c r="E845" s="1008">
        <v>226042</v>
      </c>
      <c r="F845" s="1011">
        <v>1189357</v>
      </c>
      <c r="G845" s="970">
        <v>845289</v>
      </c>
      <c r="H845" s="970"/>
      <c r="I845" s="971">
        <v>48696</v>
      </c>
      <c r="J845" s="972">
        <v>205238</v>
      </c>
      <c r="K845" s="971">
        <v>120719</v>
      </c>
      <c r="L845" s="970">
        <v>0</v>
      </c>
      <c r="M845" s="970"/>
      <c r="N845" s="971">
        <v>23927</v>
      </c>
      <c r="O845" s="971">
        <v>0</v>
      </c>
      <c r="P845" s="971">
        <v>0</v>
      </c>
      <c r="Q845" s="970">
        <v>103885</v>
      </c>
      <c r="R845" s="970"/>
      <c r="S845" s="971">
        <v>284863</v>
      </c>
      <c r="T845" s="973">
        <v>-52289</v>
      </c>
      <c r="U845" s="973">
        <f>232575-1</f>
        <v>232574</v>
      </c>
    </row>
    <row r="846" spans="1:21" x14ac:dyDescent="0.25">
      <c r="A846" s="967">
        <v>99251</v>
      </c>
      <c r="B846" s="968" t="s">
        <v>3481</v>
      </c>
      <c r="C846" s="969">
        <v>1.6069000000000001E-3</v>
      </c>
      <c r="D846" s="969">
        <v>1.6521000000000001E-3</v>
      </c>
      <c r="E846" s="1008">
        <v>745408</v>
      </c>
      <c r="F846" s="1011">
        <v>3506310</v>
      </c>
      <c r="G846" s="970">
        <v>2454898</v>
      </c>
      <c r="H846" s="970"/>
      <c r="I846" s="971">
        <v>141425</v>
      </c>
      <c r="J846" s="972">
        <v>596053</v>
      </c>
      <c r="K846" s="971">
        <v>350593</v>
      </c>
      <c r="L846" s="970">
        <v>2758</v>
      </c>
      <c r="M846" s="970"/>
      <c r="N846" s="971">
        <v>69490</v>
      </c>
      <c r="O846" s="971">
        <v>0</v>
      </c>
      <c r="P846" s="971">
        <v>0</v>
      </c>
      <c r="Q846" s="970">
        <v>31200</v>
      </c>
      <c r="R846" s="970"/>
      <c r="S846" s="971">
        <v>827303</v>
      </c>
      <c r="T846" s="973">
        <v>-11932</v>
      </c>
      <c r="U846" s="973">
        <v>815371</v>
      </c>
    </row>
    <row r="847" spans="1:21" x14ac:dyDescent="0.25">
      <c r="A847" s="967">
        <v>99252</v>
      </c>
      <c r="B847" s="968" t="s">
        <v>3482</v>
      </c>
      <c r="C847" s="969">
        <v>6.1269999999999999E-4</v>
      </c>
      <c r="D847" s="969">
        <v>5.8279999999999996E-4</v>
      </c>
      <c r="E847" s="1008">
        <v>212386</v>
      </c>
      <c r="F847" s="1011">
        <v>1236897</v>
      </c>
      <c r="G847" s="970">
        <v>936036</v>
      </c>
      <c r="H847" s="970"/>
      <c r="I847" s="971">
        <v>53924</v>
      </c>
      <c r="J847" s="972">
        <v>227271</v>
      </c>
      <c r="K847" s="971">
        <v>133679</v>
      </c>
      <c r="L847" s="970">
        <v>0</v>
      </c>
      <c r="M847" s="970"/>
      <c r="N847" s="971">
        <v>26496</v>
      </c>
      <c r="O847" s="971">
        <v>0</v>
      </c>
      <c r="P847" s="971">
        <v>0</v>
      </c>
      <c r="Q847" s="970">
        <v>202059</v>
      </c>
      <c r="R847" s="970"/>
      <c r="S847" s="971">
        <v>315445</v>
      </c>
      <c r="T847" s="973">
        <v>-85968</v>
      </c>
      <c r="U847" s="973">
        <v>229477</v>
      </c>
    </row>
    <row r="848" spans="1:21" x14ac:dyDescent="0.25">
      <c r="A848" s="967">
        <v>99261</v>
      </c>
      <c r="B848" s="968" t="s">
        <v>3483</v>
      </c>
      <c r="C848" s="969">
        <v>1.9938E-3</v>
      </c>
      <c r="D848" s="969">
        <v>1.9145E-3</v>
      </c>
      <c r="E848" s="1008">
        <v>808835</v>
      </c>
      <c r="F848" s="1011">
        <v>4063210</v>
      </c>
      <c r="G848" s="970">
        <v>3045974</v>
      </c>
      <c r="H848" s="970"/>
      <c r="I848" s="971">
        <v>175476</v>
      </c>
      <c r="J848" s="972">
        <v>739566</v>
      </c>
      <c r="K848" s="971">
        <v>435007</v>
      </c>
      <c r="L848" s="970">
        <v>0</v>
      </c>
      <c r="M848" s="970"/>
      <c r="N848" s="971">
        <v>86222</v>
      </c>
      <c r="O848" s="971">
        <v>0</v>
      </c>
      <c r="P848" s="971">
        <v>0</v>
      </c>
      <c r="Q848" s="970">
        <v>148472</v>
      </c>
      <c r="R848" s="970"/>
      <c r="S848" s="971">
        <v>1026496</v>
      </c>
      <c r="T848" s="973">
        <v>-69364</v>
      </c>
      <c r="U848" s="973">
        <v>957132</v>
      </c>
    </row>
    <row r="849" spans="1:21" x14ac:dyDescent="0.25">
      <c r="A849" s="967">
        <v>99271</v>
      </c>
      <c r="B849" s="968" t="s">
        <v>3484</v>
      </c>
      <c r="C849" s="969">
        <v>4.0137000000000003E-3</v>
      </c>
      <c r="D849" s="969">
        <v>3.9248E-3</v>
      </c>
      <c r="E849" s="1008">
        <v>1751675</v>
      </c>
      <c r="F849" s="1011">
        <v>8329740</v>
      </c>
      <c r="G849" s="970">
        <v>6131822</v>
      </c>
      <c r="H849" s="970"/>
      <c r="I849" s="971">
        <v>353250</v>
      </c>
      <c r="J849" s="972">
        <v>1488814</v>
      </c>
      <c r="K849" s="971">
        <v>875709</v>
      </c>
      <c r="L849" s="970">
        <v>0</v>
      </c>
      <c r="M849" s="970"/>
      <c r="N849" s="971">
        <v>173572</v>
      </c>
      <c r="O849" s="971">
        <v>0</v>
      </c>
      <c r="P849" s="971">
        <v>0</v>
      </c>
      <c r="Q849" s="970">
        <v>122792</v>
      </c>
      <c r="R849" s="970"/>
      <c r="S849" s="971">
        <v>2066429</v>
      </c>
      <c r="T849" s="973">
        <v>-45302</v>
      </c>
      <c r="U849" s="973">
        <v>2021127</v>
      </c>
    </row>
    <row r="850" spans="1:21" x14ac:dyDescent="0.25">
      <c r="A850" s="967">
        <v>99281</v>
      </c>
      <c r="B850" s="968" t="s">
        <v>3485</v>
      </c>
      <c r="C850" s="969">
        <v>2.2918999999999999E-3</v>
      </c>
      <c r="D850" s="969">
        <v>2.2824E-3</v>
      </c>
      <c r="E850" s="1008">
        <v>984780</v>
      </c>
      <c r="F850" s="1011">
        <v>4844017</v>
      </c>
      <c r="G850" s="970">
        <v>3501388</v>
      </c>
      <c r="H850" s="970"/>
      <c r="I850" s="971">
        <v>201712</v>
      </c>
      <c r="J850" s="972">
        <v>850141</v>
      </c>
      <c r="K850" s="971">
        <v>500047</v>
      </c>
      <c r="L850" s="970">
        <v>6743</v>
      </c>
      <c r="M850" s="970"/>
      <c r="N850" s="971">
        <v>99113</v>
      </c>
      <c r="O850" s="971">
        <v>0</v>
      </c>
      <c r="P850" s="971">
        <v>0</v>
      </c>
      <c r="Q850" s="970">
        <v>128585</v>
      </c>
      <c r="R850" s="970"/>
      <c r="S850" s="971">
        <v>1179971</v>
      </c>
      <c r="T850" s="973">
        <v>-37280</v>
      </c>
      <c r="U850" s="973">
        <v>1142691</v>
      </c>
    </row>
    <row r="851" spans="1:21" x14ac:dyDescent="0.25">
      <c r="A851" s="967">
        <v>99291</v>
      </c>
      <c r="B851" s="968" t="s">
        <v>3486</v>
      </c>
      <c r="C851" s="969">
        <v>7.3499999999999998E-4</v>
      </c>
      <c r="D851" s="969">
        <v>7.7260000000000002E-4</v>
      </c>
      <c r="E851" s="1008">
        <v>299576</v>
      </c>
      <c r="F851" s="1011">
        <v>1639716</v>
      </c>
      <c r="G851" s="970">
        <v>1122876</v>
      </c>
      <c r="H851" s="970"/>
      <c r="I851" s="971">
        <v>64688</v>
      </c>
      <c r="J851" s="972">
        <v>272636</v>
      </c>
      <c r="K851" s="971">
        <v>160362</v>
      </c>
      <c r="L851" s="970">
        <v>0</v>
      </c>
      <c r="M851" s="970"/>
      <c r="N851" s="971">
        <v>31785</v>
      </c>
      <c r="O851" s="971">
        <v>0</v>
      </c>
      <c r="P851" s="971">
        <v>0</v>
      </c>
      <c r="Q851" s="970">
        <v>137813</v>
      </c>
      <c r="R851" s="970"/>
      <c r="S851" s="971">
        <v>378410</v>
      </c>
      <c r="T851" s="973">
        <v>-55575</v>
      </c>
      <c r="U851" s="973">
        <v>322835</v>
      </c>
    </row>
    <row r="852" spans="1:21" x14ac:dyDescent="0.25">
      <c r="A852" s="967">
        <v>99301</v>
      </c>
      <c r="B852" s="968" t="s">
        <v>3487</v>
      </c>
      <c r="C852" s="969">
        <v>1.7879E-3</v>
      </c>
      <c r="D852" s="969">
        <v>1.8458000000000001E-3</v>
      </c>
      <c r="E852" s="1008">
        <v>788880</v>
      </c>
      <c r="F852" s="1011">
        <v>3917406</v>
      </c>
      <c r="G852" s="970">
        <v>2731416</v>
      </c>
      <c r="H852" s="970"/>
      <c r="I852" s="971">
        <v>157355</v>
      </c>
      <c r="J852" s="972">
        <v>663191</v>
      </c>
      <c r="K852" s="971">
        <v>390084</v>
      </c>
      <c r="L852" s="970">
        <v>67408</v>
      </c>
      <c r="M852" s="970"/>
      <c r="N852" s="971">
        <v>77318</v>
      </c>
      <c r="O852" s="971">
        <v>0</v>
      </c>
      <c r="P852" s="971">
        <v>0</v>
      </c>
      <c r="Q852" s="970">
        <v>65062</v>
      </c>
      <c r="R852" s="970"/>
      <c r="S852" s="971">
        <v>920490</v>
      </c>
      <c r="T852" s="973">
        <v>38686</v>
      </c>
      <c r="U852" s="973">
        <f>959175+1</f>
        <v>959176</v>
      </c>
    </row>
    <row r="853" spans="1:21" x14ac:dyDescent="0.25">
      <c r="A853" s="967">
        <v>99304</v>
      </c>
      <c r="B853" s="968" t="s">
        <v>3488</v>
      </c>
      <c r="C853" s="969">
        <v>9.2E-6</v>
      </c>
      <c r="D853" s="969">
        <v>9.9000000000000001E-6</v>
      </c>
      <c r="E853" s="1008">
        <v>7554</v>
      </c>
      <c r="F853" s="1011">
        <v>21011</v>
      </c>
      <c r="G853" s="970">
        <v>14055</v>
      </c>
      <c r="H853" s="970"/>
      <c r="I853" s="971">
        <v>810</v>
      </c>
      <c r="J853" s="972">
        <v>3412</v>
      </c>
      <c r="K853" s="971">
        <v>2007</v>
      </c>
      <c r="L853" s="970">
        <v>4659</v>
      </c>
      <c r="M853" s="970"/>
      <c r="N853" s="971">
        <v>398</v>
      </c>
      <c r="O853" s="971">
        <v>0</v>
      </c>
      <c r="P853" s="971">
        <v>0</v>
      </c>
      <c r="Q853" s="970">
        <v>248</v>
      </c>
      <c r="R853" s="970"/>
      <c r="S853" s="971">
        <v>4737</v>
      </c>
      <c r="T853" s="973">
        <v>1371</v>
      </c>
      <c r="U853" s="973">
        <f>6107+1</f>
        <v>6108</v>
      </c>
    </row>
    <row r="854" spans="1:21" x14ac:dyDescent="0.25">
      <c r="A854" s="967">
        <v>99311</v>
      </c>
      <c r="B854" s="968" t="s">
        <v>3489</v>
      </c>
      <c r="C854" s="969">
        <v>5.4299999999999998E-5</v>
      </c>
      <c r="D854" s="969">
        <v>5.7599999999999997E-5</v>
      </c>
      <c r="E854" s="1008">
        <v>25361</v>
      </c>
      <c r="F854" s="1011">
        <v>122246</v>
      </c>
      <c r="G854" s="970">
        <v>82955</v>
      </c>
      <c r="H854" s="970"/>
      <c r="I854" s="971">
        <v>4779</v>
      </c>
      <c r="J854" s="972">
        <v>20142</v>
      </c>
      <c r="K854" s="971">
        <v>11847</v>
      </c>
      <c r="L854" s="970">
        <v>0</v>
      </c>
      <c r="M854" s="970"/>
      <c r="N854" s="971">
        <v>2348</v>
      </c>
      <c r="O854" s="971">
        <v>0</v>
      </c>
      <c r="P854" s="971">
        <v>0</v>
      </c>
      <c r="Q854" s="970">
        <v>6758</v>
      </c>
      <c r="R854" s="970"/>
      <c r="S854" s="971">
        <v>27956</v>
      </c>
      <c r="T854" s="973">
        <v>-3216</v>
      </c>
      <c r="U854" s="973">
        <v>24740</v>
      </c>
    </row>
    <row r="855" spans="1:21" x14ac:dyDescent="0.25">
      <c r="A855" s="967">
        <v>99321</v>
      </c>
      <c r="B855" s="968" t="s">
        <v>3490</v>
      </c>
      <c r="C855" s="969">
        <v>1.1E-4</v>
      </c>
      <c r="D855" s="969">
        <v>1.1909999999999999E-4</v>
      </c>
      <c r="E855" s="1008">
        <v>98498</v>
      </c>
      <c r="F855" s="1011">
        <v>252770</v>
      </c>
      <c r="G855" s="970">
        <v>168050</v>
      </c>
      <c r="H855" s="970"/>
      <c r="I855" s="971">
        <v>9681</v>
      </c>
      <c r="J855" s="972">
        <v>40803</v>
      </c>
      <c r="K855" s="971">
        <v>24000</v>
      </c>
      <c r="L855" s="970">
        <v>96146</v>
      </c>
      <c r="M855" s="970"/>
      <c r="N855" s="971">
        <v>4757</v>
      </c>
      <c r="O855" s="971">
        <v>0</v>
      </c>
      <c r="P855" s="971">
        <v>0</v>
      </c>
      <c r="Q855" s="970">
        <v>0</v>
      </c>
      <c r="R855" s="970"/>
      <c r="S855" s="971">
        <v>56633</v>
      </c>
      <c r="T855" s="973">
        <v>41980</v>
      </c>
      <c r="U855" s="973">
        <v>98613</v>
      </c>
    </row>
    <row r="856" spans="1:21" x14ac:dyDescent="0.25">
      <c r="A856" s="967">
        <v>99401</v>
      </c>
      <c r="B856" s="968" t="s">
        <v>3491</v>
      </c>
      <c r="C856" s="969">
        <v>9.2389999999999996E-4</v>
      </c>
      <c r="D856" s="969">
        <v>9.3869999999999999E-4</v>
      </c>
      <c r="E856" s="1008">
        <v>414565</v>
      </c>
      <c r="F856" s="1011">
        <v>1992236</v>
      </c>
      <c r="G856" s="970">
        <v>1411463</v>
      </c>
      <c r="H856" s="970"/>
      <c r="I856" s="971">
        <v>81313</v>
      </c>
      <c r="J856" s="972">
        <v>342705</v>
      </c>
      <c r="K856" s="971">
        <v>201577</v>
      </c>
      <c r="L856" s="970">
        <v>34240</v>
      </c>
      <c r="M856" s="970"/>
      <c r="N856" s="971">
        <v>39954</v>
      </c>
      <c r="O856" s="971">
        <v>0</v>
      </c>
      <c r="P856" s="971">
        <v>0</v>
      </c>
      <c r="Q856" s="970">
        <v>17589</v>
      </c>
      <c r="R856" s="970"/>
      <c r="S856" s="971">
        <v>475664</v>
      </c>
      <c r="T856" s="973">
        <v>22297</v>
      </c>
      <c r="U856" s="973">
        <v>497961</v>
      </c>
    </row>
    <row r="857" spans="1:21" x14ac:dyDescent="0.25">
      <c r="A857" s="967">
        <v>99404</v>
      </c>
      <c r="B857" s="968" t="s">
        <v>3492</v>
      </c>
      <c r="C857" s="969">
        <v>9.3999999999999998E-6</v>
      </c>
      <c r="D857" s="969">
        <v>9.5999999999999996E-6</v>
      </c>
      <c r="E857" s="1008">
        <v>5393</v>
      </c>
      <c r="F857" s="1011">
        <v>20374</v>
      </c>
      <c r="G857" s="970">
        <v>14361</v>
      </c>
      <c r="H857" s="970"/>
      <c r="I857" s="971">
        <v>827</v>
      </c>
      <c r="J857" s="972">
        <v>3487</v>
      </c>
      <c r="K857" s="971">
        <v>2051</v>
      </c>
      <c r="L857" s="970">
        <v>1334</v>
      </c>
      <c r="M857" s="970"/>
      <c r="N857" s="971">
        <v>407</v>
      </c>
      <c r="O857" s="971">
        <v>0</v>
      </c>
      <c r="P857" s="971">
        <v>0</v>
      </c>
      <c r="Q857" s="970">
        <v>0</v>
      </c>
      <c r="R857" s="970"/>
      <c r="S857" s="971">
        <v>4840</v>
      </c>
      <c r="T857" s="973">
        <v>466</v>
      </c>
      <c r="U857" s="973">
        <v>5306</v>
      </c>
    </row>
    <row r="858" spans="1:21" x14ac:dyDescent="0.25">
      <c r="A858" s="967">
        <v>99405</v>
      </c>
      <c r="B858" s="968" t="s">
        <v>3493</v>
      </c>
      <c r="C858" s="969">
        <v>6.2700000000000006E-5</v>
      </c>
      <c r="D858" s="969">
        <v>5.8100000000000003E-5</v>
      </c>
      <c r="E858" s="1008">
        <v>37798</v>
      </c>
      <c r="F858" s="1011">
        <v>123308</v>
      </c>
      <c r="G858" s="970">
        <v>95788</v>
      </c>
      <c r="H858" s="970"/>
      <c r="I858" s="971">
        <v>5518</v>
      </c>
      <c r="J858" s="972">
        <v>23258</v>
      </c>
      <c r="K858" s="971">
        <v>13680</v>
      </c>
      <c r="L858" s="970">
        <v>18380</v>
      </c>
      <c r="M858" s="970"/>
      <c r="N858" s="971">
        <v>2711</v>
      </c>
      <c r="O858" s="971">
        <v>0</v>
      </c>
      <c r="P858" s="971">
        <v>0</v>
      </c>
      <c r="Q858" s="970">
        <v>336</v>
      </c>
      <c r="R858" s="970"/>
      <c r="S858" s="971">
        <v>32281</v>
      </c>
      <c r="T858" s="973">
        <v>6084</v>
      </c>
      <c r="U858" s="973">
        <f>38364+1</f>
        <v>38365</v>
      </c>
    </row>
    <row r="859" spans="1:21" x14ac:dyDescent="0.25">
      <c r="A859" s="967">
        <v>99411</v>
      </c>
      <c r="B859" s="968" t="s">
        <v>3494</v>
      </c>
      <c r="C859" s="969">
        <v>1.583E-4</v>
      </c>
      <c r="D859" s="969">
        <v>1.2510000000000001E-4</v>
      </c>
      <c r="E859" s="1008">
        <v>75833</v>
      </c>
      <c r="F859" s="1011">
        <v>265504</v>
      </c>
      <c r="G859" s="970">
        <v>241839</v>
      </c>
      <c r="H859" s="970"/>
      <c r="I859" s="971">
        <v>13932</v>
      </c>
      <c r="J859" s="972">
        <v>58719</v>
      </c>
      <c r="K859" s="971">
        <v>34538</v>
      </c>
      <c r="L859" s="970">
        <v>41924</v>
      </c>
      <c r="M859" s="970"/>
      <c r="N859" s="971">
        <v>6846</v>
      </c>
      <c r="O859" s="971">
        <v>0</v>
      </c>
      <c r="P859" s="971">
        <v>0</v>
      </c>
      <c r="Q859" s="970">
        <v>4400</v>
      </c>
      <c r="R859" s="970"/>
      <c r="S859" s="971">
        <v>81500</v>
      </c>
      <c r="T859" s="973">
        <v>8626</v>
      </c>
      <c r="U859" s="973">
        <v>90126</v>
      </c>
    </row>
    <row r="860" spans="1:21" x14ac:dyDescent="0.25">
      <c r="A860" s="967">
        <v>99413</v>
      </c>
      <c r="B860" s="968" t="s">
        <v>3495</v>
      </c>
      <c r="C860" s="969">
        <v>3.1099999999999997E-5</v>
      </c>
      <c r="D860" s="969">
        <v>2.76E-5</v>
      </c>
      <c r="E860" s="1008">
        <v>18530</v>
      </c>
      <c r="F860" s="1011">
        <v>58576</v>
      </c>
      <c r="G860" s="970">
        <v>47512</v>
      </c>
      <c r="H860" s="970"/>
      <c r="I860" s="971">
        <v>2737</v>
      </c>
      <c r="J860" s="972">
        <v>11536</v>
      </c>
      <c r="K860" s="971">
        <v>6785</v>
      </c>
      <c r="L860" s="970">
        <v>5754</v>
      </c>
      <c r="M860" s="970"/>
      <c r="N860" s="971">
        <v>1345</v>
      </c>
      <c r="O860" s="971">
        <v>0</v>
      </c>
      <c r="P860" s="971">
        <v>0</v>
      </c>
      <c r="Q860" s="970">
        <v>3024</v>
      </c>
      <c r="R860" s="970"/>
      <c r="S860" s="971">
        <v>16012</v>
      </c>
      <c r="T860" s="973">
        <v>202</v>
      </c>
      <c r="U860" s="973">
        <v>16214</v>
      </c>
    </row>
    <row r="861" spans="1:21" x14ac:dyDescent="0.25">
      <c r="A861" s="967">
        <v>99421</v>
      </c>
      <c r="B861" s="968" t="s">
        <v>3496</v>
      </c>
      <c r="C861" s="969">
        <v>1.04E-5</v>
      </c>
      <c r="D861" s="969">
        <v>1.5E-5</v>
      </c>
      <c r="E861" s="1008">
        <v>6211</v>
      </c>
      <c r="F861" s="1011">
        <v>31835</v>
      </c>
      <c r="G861" s="970">
        <v>15888</v>
      </c>
      <c r="H861" s="970"/>
      <c r="I861" s="971">
        <v>915</v>
      </c>
      <c r="J861" s="972">
        <v>3858</v>
      </c>
      <c r="K861" s="971">
        <v>2269</v>
      </c>
      <c r="L861" s="970">
        <v>764</v>
      </c>
      <c r="M861" s="970"/>
      <c r="N861" s="971">
        <v>450</v>
      </c>
      <c r="O861" s="971">
        <v>0</v>
      </c>
      <c r="P861" s="971">
        <v>0</v>
      </c>
      <c r="Q861" s="970">
        <v>5440</v>
      </c>
      <c r="R861" s="970"/>
      <c r="S861" s="971">
        <v>5354</v>
      </c>
      <c r="T861" s="973">
        <v>-1116</v>
      </c>
      <c r="U861" s="973">
        <v>4238</v>
      </c>
    </row>
    <row r="862" spans="1:21" x14ac:dyDescent="0.25">
      <c r="A862" s="967">
        <v>99431</v>
      </c>
      <c r="B862" s="968" t="s">
        <v>3497</v>
      </c>
      <c r="C862" s="969">
        <v>2.2200000000000001E-5</v>
      </c>
      <c r="D862" s="969">
        <v>2.16E-5</v>
      </c>
      <c r="E862" s="1008">
        <v>7581</v>
      </c>
      <c r="F862" s="1011">
        <v>45842</v>
      </c>
      <c r="G862" s="970">
        <v>33915</v>
      </c>
      <c r="H862" s="970"/>
      <c r="I862" s="971">
        <v>1954</v>
      </c>
      <c r="J862" s="972">
        <v>8235</v>
      </c>
      <c r="K862" s="971">
        <v>4844</v>
      </c>
      <c r="L862" s="970">
        <v>1071</v>
      </c>
      <c r="M862" s="970"/>
      <c r="N862" s="971">
        <v>960</v>
      </c>
      <c r="O862" s="971">
        <v>0</v>
      </c>
      <c r="P862" s="971">
        <v>0</v>
      </c>
      <c r="Q862" s="970">
        <v>3001</v>
      </c>
      <c r="R862" s="970"/>
      <c r="S862" s="971">
        <v>11430</v>
      </c>
      <c r="T862" s="973">
        <v>119</v>
      </c>
      <c r="U862" s="973">
        <v>11549</v>
      </c>
    </row>
    <row r="863" spans="1:21" x14ac:dyDescent="0.25">
      <c r="A863" s="967">
        <v>99501</v>
      </c>
      <c r="B863" s="968" t="s">
        <v>3498</v>
      </c>
      <c r="C863" s="969">
        <v>1.6785000000000001E-3</v>
      </c>
      <c r="D863" s="969">
        <v>1.7390000000000001E-3</v>
      </c>
      <c r="E863" s="1008">
        <v>794395</v>
      </c>
      <c r="F863" s="1011">
        <v>3690741</v>
      </c>
      <c r="G863" s="970">
        <v>2564283</v>
      </c>
      <c r="H863" s="970"/>
      <c r="I863" s="971">
        <v>147726</v>
      </c>
      <c r="J863" s="972">
        <v>622611</v>
      </c>
      <c r="K863" s="971">
        <v>366215</v>
      </c>
      <c r="L863" s="970">
        <v>3764</v>
      </c>
      <c r="M863" s="970"/>
      <c r="N863" s="971">
        <v>72587</v>
      </c>
      <c r="O863" s="971">
        <v>0</v>
      </c>
      <c r="P863" s="971">
        <v>0</v>
      </c>
      <c r="Q863" s="970">
        <v>21505</v>
      </c>
      <c r="R863" s="970"/>
      <c r="S863" s="971">
        <v>864166</v>
      </c>
      <c r="T863" s="973">
        <v>-3415</v>
      </c>
      <c r="U863" s="973">
        <f>860750+1</f>
        <v>860751</v>
      </c>
    </row>
    <row r="864" spans="1:21" x14ac:dyDescent="0.25">
      <c r="A864" s="967">
        <v>99502</v>
      </c>
      <c r="B864" s="968" t="s">
        <v>3499</v>
      </c>
      <c r="C864" s="969">
        <v>1.373E-4</v>
      </c>
      <c r="D864" s="969">
        <v>1.3779999999999999E-4</v>
      </c>
      <c r="E864" s="1008">
        <v>65831</v>
      </c>
      <c r="F864" s="1011">
        <v>292458</v>
      </c>
      <c r="G864" s="970">
        <v>209756</v>
      </c>
      <c r="H864" s="970"/>
      <c r="I864" s="971">
        <v>12084</v>
      </c>
      <c r="J864" s="972">
        <v>50929</v>
      </c>
      <c r="K864" s="971">
        <v>29956</v>
      </c>
      <c r="L864" s="970">
        <v>21393</v>
      </c>
      <c r="M864" s="970"/>
      <c r="N864" s="971">
        <v>5938</v>
      </c>
      <c r="O864" s="971">
        <v>0</v>
      </c>
      <c r="P864" s="971">
        <v>0</v>
      </c>
      <c r="Q864" s="970">
        <v>71</v>
      </c>
      <c r="R864" s="970"/>
      <c r="S864" s="971">
        <v>70688</v>
      </c>
      <c r="T864" s="973">
        <v>9456</v>
      </c>
      <c r="U864" s="973">
        <v>80144</v>
      </c>
    </row>
    <row r="865" spans="1:21" x14ac:dyDescent="0.25">
      <c r="A865" s="967">
        <v>99508</v>
      </c>
      <c r="B865" s="968" t="s">
        <v>3500</v>
      </c>
      <c r="C865" s="969">
        <v>2.2099999999999998E-5</v>
      </c>
      <c r="D865" s="969">
        <v>2.1699999999999999E-5</v>
      </c>
      <c r="E865" s="1008">
        <v>9857</v>
      </c>
      <c r="F865" s="1011">
        <v>46055</v>
      </c>
      <c r="G865" s="970">
        <v>33763</v>
      </c>
      <c r="H865" s="970"/>
      <c r="I865" s="971">
        <v>1945</v>
      </c>
      <c r="J865" s="972">
        <v>8198</v>
      </c>
      <c r="K865" s="971">
        <v>4822</v>
      </c>
      <c r="L865" s="970">
        <v>37</v>
      </c>
      <c r="M865" s="970"/>
      <c r="N865" s="971">
        <v>956</v>
      </c>
      <c r="O865" s="971">
        <v>0</v>
      </c>
      <c r="P865" s="971">
        <v>0</v>
      </c>
      <c r="Q865" s="970">
        <v>1571</v>
      </c>
      <c r="R865" s="970"/>
      <c r="S865" s="971">
        <v>11378</v>
      </c>
      <c r="T865" s="973">
        <v>-984</v>
      </c>
      <c r="U865" s="973">
        <v>10394</v>
      </c>
    </row>
    <row r="866" spans="1:21" x14ac:dyDescent="0.25">
      <c r="A866" s="967">
        <v>99509</v>
      </c>
      <c r="B866" s="968" t="s">
        <v>3501</v>
      </c>
      <c r="C866" s="969">
        <v>2.76E-5</v>
      </c>
      <c r="D866" s="969">
        <v>2.8900000000000001E-5</v>
      </c>
      <c r="E866" s="1008">
        <v>11410</v>
      </c>
      <c r="F866" s="1011">
        <v>61335</v>
      </c>
      <c r="G866" s="970">
        <v>42165</v>
      </c>
      <c r="H866" s="970"/>
      <c r="I866" s="971">
        <v>2429</v>
      </c>
      <c r="J866" s="972">
        <v>10238</v>
      </c>
      <c r="K866" s="971">
        <v>6022</v>
      </c>
      <c r="L866" s="970">
        <v>0</v>
      </c>
      <c r="M866" s="970"/>
      <c r="N866" s="971">
        <v>1194</v>
      </c>
      <c r="O866" s="971">
        <v>0</v>
      </c>
      <c r="P866" s="971">
        <v>0</v>
      </c>
      <c r="Q866" s="970">
        <v>6512</v>
      </c>
      <c r="R866" s="970"/>
      <c r="S866" s="971">
        <v>14210</v>
      </c>
      <c r="T866" s="973">
        <v>-4301</v>
      </c>
      <c r="U866" s="973">
        <v>9909</v>
      </c>
    </row>
    <row r="867" spans="1:21" x14ac:dyDescent="0.25">
      <c r="A867" s="967">
        <v>99511</v>
      </c>
      <c r="B867" s="968" t="s">
        <v>3502</v>
      </c>
      <c r="C867" s="969">
        <v>1.4048999999999999E-3</v>
      </c>
      <c r="D867" s="969">
        <v>1.3638000000000001E-3</v>
      </c>
      <c r="E867" s="1008">
        <v>579707</v>
      </c>
      <c r="F867" s="1011">
        <v>2894440</v>
      </c>
      <c r="G867" s="970">
        <v>2146298</v>
      </c>
      <c r="H867" s="970"/>
      <c r="I867" s="971">
        <v>123647</v>
      </c>
      <c r="J867" s="972">
        <v>521124</v>
      </c>
      <c r="K867" s="971">
        <v>306521</v>
      </c>
      <c r="L867" s="970">
        <v>4500</v>
      </c>
      <c r="M867" s="970"/>
      <c r="N867" s="971">
        <v>60755</v>
      </c>
      <c r="O867" s="971">
        <v>0</v>
      </c>
      <c r="P867" s="971">
        <v>0</v>
      </c>
      <c r="Q867" s="970">
        <v>85381</v>
      </c>
      <c r="R867" s="970"/>
      <c r="S867" s="971">
        <v>723304</v>
      </c>
      <c r="T867" s="973">
        <v>-30654</v>
      </c>
      <c r="U867" s="973">
        <v>692650</v>
      </c>
    </row>
    <row r="868" spans="1:21" x14ac:dyDescent="0.25">
      <c r="A868" s="967">
        <v>99521</v>
      </c>
      <c r="B868" s="968" t="s">
        <v>3503</v>
      </c>
      <c r="C868" s="969">
        <v>4.2700000000000002E-4</v>
      </c>
      <c r="D868" s="969">
        <v>4.0180000000000001E-4</v>
      </c>
      <c r="E868" s="1008">
        <v>176536</v>
      </c>
      <c r="F868" s="1011">
        <v>852754</v>
      </c>
      <c r="G868" s="970">
        <v>652338</v>
      </c>
      <c r="H868" s="970"/>
      <c r="I868" s="971">
        <v>37581</v>
      </c>
      <c r="J868" s="972">
        <v>158389</v>
      </c>
      <c r="K868" s="971">
        <v>93163</v>
      </c>
      <c r="L868" s="970">
        <v>2015</v>
      </c>
      <c r="M868" s="970"/>
      <c r="N868" s="971">
        <v>18466</v>
      </c>
      <c r="O868" s="971">
        <v>0</v>
      </c>
      <c r="P868" s="971">
        <v>0</v>
      </c>
      <c r="Q868" s="970">
        <v>15563</v>
      </c>
      <c r="R868" s="970"/>
      <c r="S868" s="971">
        <v>219838</v>
      </c>
      <c r="T868" s="973">
        <v>-5081</v>
      </c>
      <c r="U868" s="973">
        <v>214757</v>
      </c>
    </row>
    <row r="869" spans="1:21" x14ac:dyDescent="0.25">
      <c r="A869" s="967">
        <v>99527</v>
      </c>
      <c r="B869" s="968" t="s">
        <v>3504</v>
      </c>
      <c r="C869" s="969">
        <v>1.19E-5</v>
      </c>
      <c r="D869" s="969">
        <v>1.2099999999999999E-5</v>
      </c>
      <c r="E869" s="1008">
        <v>5941</v>
      </c>
      <c r="F869" s="1011">
        <v>25680</v>
      </c>
      <c r="G869" s="970">
        <v>18180</v>
      </c>
      <c r="H869" s="970"/>
      <c r="I869" s="971">
        <v>1047</v>
      </c>
      <c r="J869" s="972">
        <v>4414</v>
      </c>
      <c r="K869" s="971">
        <v>2596</v>
      </c>
      <c r="L869" s="970">
        <v>1124</v>
      </c>
      <c r="M869" s="970"/>
      <c r="N869" s="971">
        <v>515</v>
      </c>
      <c r="O869" s="971">
        <v>0</v>
      </c>
      <c r="P869" s="971">
        <v>0</v>
      </c>
      <c r="Q869" s="970">
        <v>0</v>
      </c>
      <c r="R869" s="970"/>
      <c r="S869" s="971">
        <v>6127</v>
      </c>
      <c r="T869" s="973">
        <v>591</v>
      </c>
      <c r="U869" s="973">
        <v>6718</v>
      </c>
    </row>
    <row r="870" spans="1:21" x14ac:dyDescent="0.25">
      <c r="A870" s="967">
        <v>99531</v>
      </c>
      <c r="B870" s="968" t="s">
        <v>3505</v>
      </c>
      <c r="C870" s="969">
        <v>9.3499999999999996E-5</v>
      </c>
      <c r="D870" s="969">
        <v>8.7600000000000002E-5</v>
      </c>
      <c r="E870" s="1008">
        <v>72390</v>
      </c>
      <c r="F870" s="1011">
        <v>185917</v>
      </c>
      <c r="G870" s="970">
        <v>142842</v>
      </c>
      <c r="H870" s="970"/>
      <c r="I870" s="971">
        <v>8229</v>
      </c>
      <c r="J870" s="972">
        <v>34683</v>
      </c>
      <c r="K870" s="971">
        <v>20400</v>
      </c>
      <c r="L870" s="970">
        <v>55453</v>
      </c>
      <c r="M870" s="970"/>
      <c r="N870" s="971">
        <v>4043</v>
      </c>
      <c r="O870" s="971">
        <v>0</v>
      </c>
      <c r="P870" s="971">
        <v>0</v>
      </c>
      <c r="Q870" s="970">
        <v>0</v>
      </c>
      <c r="R870" s="970"/>
      <c r="S870" s="971">
        <v>48138</v>
      </c>
      <c r="T870" s="973">
        <v>18721</v>
      </c>
      <c r="U870" s="973">
        <v>66859</v>
      </c>
    </row>
    <row r="871" spans="1:21" x14ac:dyDescent="0.25">
      <c r="A871" s="967">
        <v>99601</v>
      </c>
      <c r="B871" s="968" t="s">
        <v>3506</v>
      </c>
      <c r="C871" s="969">
        <v>5.7812000000000002E-3</v>
      </c>
      <c r="D871" s="969">
        <v>5.2824999999999999E-3</v>
      </c>
      <c r="E871" s="1008">
        <v>2548954</v>
      </c>
      <c r="F871" s="1011">
        <v>11211235</v>
      </c>
      <c r="G871" s="970">
        <v>8832072</v>
      </c>
      <c r="H871" s="970"/>
      <c r="I871" s="971">
        <v>508809</v>
      </c>
      <c r="J871" s="972">
        <v>2144438</v>
      </c>
      <c r="K871" s="971">
        <v>1261342</v>
      </c>
      <c r="L871" s="970">
        <v>289372</v>
      </c>
      <c r="M871" s="970"/>
      <c r="N871" s="971">
        <v>250008</v>
      </c>
      <c r="O871" s="971">
        <v>0</v>
      </c>
      <c r="P871" s="971">
        <v>0</v>
      </c>
      <c r="Q871" s="970">
        <v>73071</v>
      </c>
      <c r="R871" s="970"/>
      <c r="S871" s="971">
        <v>2976416</v>
      </c>
      <c r="T871" s="973">
        <v>55175</v>
      </c>
      <c r="U871" s="973">
        <f>3031592-1</f>
        <v>3031591</v>
      </c>
    </row>
    <row r="872" spans="1:21" x14ac:dyDescent="0.25">
      <c r="A872" s="967">
        <v>99602</v>
      </c>
      <c r="B872" s="968" t="s">
        <v>3507</v>
      </c>
      <c r="C872" s="969">
        <v>6.19E-5</v>
      </c>
      <c r="D872" s="969">
        <v>5.1700000000000003E-5</v>
      </c>
      <c r="E872" s="1008">
        <v>28151</v>
      </c>
      <c r="F872" s="1011">
        <v>109725</v>
      </c>
      <c r="G872" s="970">
        <v>94566</v>
      </c>
      <c r="H872" s="970"/>
      <c r="I872" s="971">
        <v>5448</v>
      </c>
      <c r="J872" s="972">
        <v>22961</v>
      </c>
      <c r="K872" s="971">
        <v>13505</v>
      </c>
      <c r="L872" s="970">
        <v>10306</v>
      </c>
      <c r="M872" s="970"/>
      <c r="N872" s="971">
        <v>2677</v>
      </c>
      <c r="O872" s="971">
        <v>0</v>
      </c>
      <c r="P872" s="971">
        <v>0</v>
      </c>
      <c r="Q872" s="970">
        <v>2067</v>
      </c>
      <c r="R872" s="970"/>
      <c r="S872" s="971">
        <v>31869</v>
      </c>
      <c r="T872" s="973">
        <v>1298</v>
      </c>
      <c r="U872" s="973">
        <v>33167</v>
      </c>
    </row>
    <row r="873" spans="1:21" x14ac:dyDescent="0.25">
      <c r="A873" s="967">
        <v>99603</v>
      </c>
      <c r="B873" s="968" t="s">
        <v>3508</v>
      </c>
      <c r="C873" s="969">
        <v>1.615E-4</v>
      </c>
      <c r="D873" s="969">
        <v>1.4219999999999999E-4</v>
      </c>
      <c r="E873" s="1008">
        <v>87237</v>
      </c>
      <c r="F873" s="1011">
        <v>301796</v>
      </c>
      <c r="G873" s="970">
        <v>246727</v>
      </c>
      <c r="H873" s="970"/>
      <c r="I873" s="971">
        <v>14214</v>
      </c>
      <c r="J873" s="972">
        <v>59905</v>
      </c>
      <c r="K873" s="971">
        <v>35236</v>
      </c>
      <c r="L873" s="970">
        <v>95435</v>
      </c>
      <c r="M873" s="970"/>
      <c r="N873" s="971">
        <v>6984</v>
      </c>
      <c r="O873" s="971">
        <v>0</v>
      </c>
      <c r="P873" s="971">
        <v>0</v>
      </c>
      <c r="Q873" s="970">
        <v>0</v>
      </c>
      <c r="R873" s="970"/>
      <c r="S873" s="971">
        <v>83147</v>
      </c>
      <c r="T873" s="973">
        <v>37380</v>
      </c>
      <c r="U873" s="973">
        <v>120527</v>
      </c>
    </row>
    <row r="874" spans="1:21" x14ac:dyDescent="0.25">
      <c r="A874" s="967">
        <v>99604</v>
      </c>
      <c r="B874" s="968" t="s">
        <v>3509</v>
      </c>
      <c r="C874" s="969">
        <v>1.009E-4</v>
      </c>
      <c r="D874" s="969">
        <v>9.6899999999999997E-5</v>
      </c>
      <c r="E874" s="1008">
        <v>52378</v>
      </c>
      <c r="F874" s="1011">
        <v>205654</v>
      </c>
      <c r="G874" s="970">
        <v>154147</v>
      </c>
      <c r="H874" s="970"/>
      <c r="I874" s="971">
        <v>8880</v>
      </c>
      <c r="J874" s="972">
        <v>37427</v>
      </c>
      <c r="K874" s="971">
        <v>22014</v>
      </c>
      <c r="L874" s="970">
        <v>20530</v>
      </c>
      <c r="M874" s="970"/>
      <c r="N874" s="971">
        <v>4363</v>
      </c>
      <c r="O874" s="971">
        <v>0</v>
      </c>
      <c r="P874" s="971">
        <v>0</v>
      </c>
      <c r="Q874" s="970">
        <v>0</v>
      </c>
      <c r="R874" s="970"/>
      <c r="S874" s="971">
        <v>51948</v>
      </c>
      <c r="T874" s="973">
        <v>9479</v>
      </c>
      <c r="U874" s="973">
        <v>61427</v>
      </c>
    </row>
    <row r="875" spans="1:21" x14ac:dyDescent="0.25">
      <c r="A875" s="967">
        <v>99609</v>
      </c>
      <c r="B875" s="968" t="s">
        <v>3510</v>
      </c>
      <c r="C875" s="969">
        <v>1.52E-5</v>
      </c>
      <c r="D875" s="969">
        <v>2.0999999999999999E-5</v>
      </c>
      <c r="E875" s="1008">
        <v>9935</v>
      </c>
      <c r="F875" s="1011">
        <v>44569</v>
      </c>
      <c r="G875" s="970">
        <v>23221</v>
      </c>
      <c r="H875" s="970"/>
      <c r="I875" s="971">
        <v>1338</v>
      </c>
      <c r="J875" s="972">
        <v>5638</v>
      </c>
      <c r="K875" s="971">
        <v>3316</v>
      </c>
      <c r="L875" s="970">
        <v>3555</v>
      </c>
      <c r="M875" s="970"/>
      <c r="N875" s="971">
        <v>657</v>
      </c>
      <c r="O875" s="971">
        <v>0</v>
      </c>
      <c r="P875" s="971">
        <v>0</v>
      </c>
      <c r="Q875" s="970">
        <v>1523</v>
      </c>
      <c r="R875" s="970"/>
      <c r="S875" s="971">
        <v>7826</v>
      </c>
      <c r="T875" s="973">
        <v>1693</v>
      </c>
      <c r="U875" s="973">
        <v>9519</v>
      </c>
    </row>
    <row r="876" spans="1:21" x14ac:dyDescent="0.25">
      <c r="A876" s="967">
        <v>99610</v>
      </c>
      <c r="B876" s="968" t="s">
        <v>3511</v>
      </c>
      <c r="C876" s="969">
        <v>1.9440000000000001E-4</v>
      </c>
      <c r="D876" s="969">
        <v>1.9440000000000001E-4</v>
      </c>
      <c r="E876" s="1008">
        <v>85100</v>
      </c>
      <c r="F876" s="1011">
        <v>412582</v>
      </c>
      <c r="G876" s="970">
        <v>296989</v>
      </c>
      <c r="H876" s="970"/>
      <c r="I876" s="971">
        <v>17109</v>
      </c>
      <c r="J876" s="972">
        <v>72109</v>
      </c>
      <c r="K876" s="971">
        <v>42414</v>
      </c>
      <c r="L876" s="970">
        <v>2712</v>
      </c>
      <c r="M876" s="970"/>
      <c r="N876" s="971">
        <v>8407</v>
      </c>
      <c r="O876" s="971">
        <v>0</v>
      </c>
      <c r="P876" s="971">
        <v>0</v>
      </c>
      <c r="Q876" s="970">
        <v>4164</v>
      </c>
      <c r="R876" s="970"/>
      <c r="S876" s="971">
        <v>100086</v>
      </c>
      <c r="T876" s="973">
        <v>576</v>
      </c>
      <c r="U876" s="973">
        <v>100662</v>
      </c>
    </row>
    <row r="877" spans="1:21" x14ac:dyDescent="0.25">
      <c r="A877" s="967">
        <v>99611</v>
      </c>
      <c r="B877" s="968" t="s">
        <v>3512</v>
      </c>
      <c r="C877" s="969">
        <v>3.1959000000000002E-3</v>
      </c>
      <c r="D877" s="969">
        <v>3.1495999999999998E-3</v>
      </c>
      <c r="E877" s="1008">
        <v>1474037</v>
      </c>
      <c r="F877" s="1011">
        <v>6684506</v>
      </c>
      <c r="G877" s="970">
        <v>4882450</v>
      </c>
      <c r="H877" s="970"/>
      <c r="I877" s="971">
        <v>281274</v>
      </c>
      <c r="J877" s="972">
        <v>1185465</v>
      </c>
      <c r="K877" s="971">
        <v>697281</v>
      </c>
      <c r="L877" s="970">
        <v>36523</v>
      </c>
      <c r="M877" s="970"/>
      <c r="N877" s="971">
        <v>138207</v>
      </c>
      <c r="O877" s="971">
        <v>0</v>
      </c>
      <c r="P877" s="971">
        <v>0</v>
      </c>
      <c r="Q877" s="970">
        <v>197702</v>
      </c>
      <c r="R877" s="970"/>
      <c r="S877" s="971">
        <v>1645390</v>
      </c>
      <c r="T877" s="973">
        <v>-88518</v>
      </c>
      <c r="U877" s="973">
        <v>1556872</v>
      </c>
    </row>
    <row r="878" spans="1:21" x14ac:dyDescent="0.25">
      <c r="A878" s="967">
        <v>99613</v>
      </c>
      <c r="B878" s="968" t="s">
        <v>3513</v>
      </c>
      <c r="C878" s="969">
        <v>3.2909999999999998E-4</v>
      </c>
      <c r="D878" s="969">
        <v>3.369E-4</v>
      </c>
      <c r="E878" s="1008">
        <v>310915</v>
      </c>
      <c r="F878" s="1011">
        <v>715015</v>
      </c>
      <c r="G878" s="970">
        <v>502774</v>
      </c>
      <c r="H878" s="970"/>
      <c r="I878" s="971">
        <v>28964</v>
      </c>
      <c r="J878" s="972">
        <v>122074</v>
      </c>
      <c r="K878" s="971">
        <v>71803</v>
      </c>
      <c r="L878" s="970">
        <v>283917</v>
      </c>
      <c r="M878" s="970"/>
      <c r="N878" s="971">
        <v>14232</v>
      </c>
      <c r="O878" s="971">
        <v>0</v>
      </c>
      <c r="P878" s="971">
        <v>0</v>
      </c>
      <c r="Q878" s="970">
        <v>0</v>
      </c>
      <c r="R878" s="970"/>
      <c r="S878" s="971">
        <v>169435</v>
      </c>
      <c r="T878" s="973">
        <v>96572</v>
      </c>
      <c r="U878" s="973">
        <v>266007</v>
      </c>
    </row>
    <row r="879" spans="1:21" x14ac:dyDescent="0.25">
      <c r="A879" s="967">
        <v>99621</v>
      </c>
      <c r="B879" s="968" t="s">
        <v>3514</v>
      </c>
      <c r="C879" s="969">
        <v>3.7060000000000001E-4</v>
      </c>
      <c r="D879" s="969">
        <v>3.2850000000000002E-4</v>
      </c>
      <c r="E879" s="1008">
        <v>166448</v>
      </c>
      <c r="F879" s="1011">
        <v>697187</v>
      </c>
      <c r="G879" s="970">
        <v>566174</v>
      </c>
      <c r="H879" s="970"/>
      <c r="I879" s="971">
        <v>32617</v>
      </c>
      <c r="J879" s="972">
        <v>137468</v>
      </c>
      <c r="K879" s="971">
        <v>80858</v>
      </c>
      <c r="L879" s="970">
        <v>42182</v>
      </c>
      <c r="M879" s="970"/>
      <c r="N879" s="971">
        <v>16027</v>
      </c>
      <c r="O879" s="971">
        <v>0</v>
      </c>
      <c r="P879" s="971">
        <v>0</v>
      </c>
      <c r="Q879" s="970">
        <v>4670</v>
      </c>
      <c r="R879" s="970"/>
      <c r="S879" s="971">
        <v>190801</v>
      </c>
      <c r="T879" s="973">
        <v>12829</v>
      </c>
      <c r="U879" s="973">
        <v>203630</v>
      </c>
    </row>
    <row r="880" spans="1:21" x14ac:dyDescent="0.25">
      <c r="A880" s="967">
        <v>99623</v>
      </c>
      <c r="B880" s="968" t="s">
        <v>3515</v>
      </c>
      <c r="C880" s="969">
        <v>2.6400000000000001E-5</v>
      </c>
      <c r="D880" s="969">
        <v>2.9200000000000002E-5</v>
      </c>
      <c r="E880" s="1008">
        <v>11103</v>
      </c>
      <c r="F880" s="1011">
        <v>61972</v>
      </c>
      <c r="G880" s="970">
        <v>40332</v>
      </c>
      <c r="H880" s="970"/>
      <c r="I880" s="971">
        <v>2323</v>
      </c>
      <c r="J880" s="972">
        <v>9793</v>
      </c>
      <c r="K880" s="971">
        <v>5760</v>
      </c>
      <c r="L880" s="970">
        <v>2450</v>
      </c>
      <c r="M880" s="970"/>
      <c r="N880" s="971">
        <v>1142</v>
      </c>
      <c r="O880" s="971">
        <v>0</v>
      </c>
      <c r="P880" s="971">
        <v>0</v>
      </c>
      <c r="Q880" s="970">
        <v>2848</v>
      </c>
      <c r="R880" s="970"/>
      <c r="S880" s="971">
        <v>13592</v>
      </c>
      <c r="T880" s="973">
        <v>317</v>
      </c>
      <c r="U880" s="973">
        <f>13908+1</f>
        <v>13909</v>
      </c>
    </row>
    <row r="881" spans="1:21" x14ac:dyDescent="0.25">
      <c r="A881" s="967">
        <v>99631</v>
      </c>
      <c r="B881" s="968" t="s">
        <v>3516</v>
      </c>
      <c r="C881" s="969">
        <v>1.102E-4</v>
      </c>
      <c r="D881" s="969">
        <v>1.0340000000000001E-4</v>
      </c>
      <c r="E881" s="1008">
        <v>46231</v>
      </c>
      <c r="F881" s="1011">
        <v>219449</v>
      </c>
      <c r="G881" s="970">
        <v>168355</v>
      </c>
      <c r="H881" s="970"/>
      <c r="I881" s="971">
        <v>9699</v>
      </c>
      <c r="J881" s="972">
        <v>40877</v>
      </c>
      <c r="K881" s="971">
        <v>24043</v>
      </c>
      <c r="L881" s="970">
        <v>1071</v>
      </c>
      <c r="M881" s="970"/>
      <c r="N881" s="971">
        <v>4766</v>
      </c>
      <c r="O881" s="971">
        <v>0</v>
      </c>
      <c r="P881" s="971">
        <v>0</v>
      </c>
      <c r="Q881" s="970">
        <v>5159</v>
      </c>
      <c r="R881" s="970"/>
      <c r="S881" s="971">
        <v>56736</v>
      </c>
      <c r="T881" s="973">
        <v>-3954</v>
      </c>
      <c r="U881" s="973">
        <f>52781+1</f>
        <v>52782</v>
      </c>
    </row>
    <row r="882" spans="1:21" x14ac:dyDescent="0.25">
      <c r="A882" s="967">
        <v>99651</v>
      </c>
      <c r="B882" s="968" t="s">
        <v>3517</v>
      </c>
      <c r="C882" s="969">
        <v>6.7199999999999994E-5</v>
      </c>
      <c r="D882" s="969">
        <v>6.7100000000000005E-5</v>
      </c>
      <c r="E882" s="1008">
        <v>30231</v>
      </c>
      <c r="F882" s="1011">
        <v>142409</v>
      </c>
      <c r="G882" s="970">
        <v>102663</v>
      </c>
      <c r="H882" s="970"/>
      <c r="I882" s="971">
        <v>5914</v>
      </c>
      <c r="J882" s="972">
        <v>24927</v>
      </c>
      <c r="K882" s="971">
        <v>14662</v>
      </c>
      <c r="L882" s="970">
        <v>5944</v>
      </c>
      <c r="M882" s="970"/>
      <c r="N882" s="971">
        <v>2906</v>
      </c>
      <c r="O882" s="971">
        <v>0</v>
      </c>
      <c r="P882" s="971">
        <v>0</v>
      </c>
      <c r="Q882" s="970">
        <v>1841</v>
      </c>
      <c r="R882" s="970"/>
      <c r="S882" s="971">
        <v>34598</v>
      </c>
      <c r="T882" s="973">
        <v>1312</v>
      </c>
      <c r="U882" s="973">
        <v>35910</v>
      </c>
    </row>
    <row r="883" spans="1:21" x14ac:dyDescent="0.25">
      <c r="A883" s="967">
        <v>99661</v>
      </c>
      <c r="B883" s="968" t="s">
        <v>3518</v>
      </c>
      <c r="C883" s="969">
        <v>3.26E-5</v>
      </c>
      <c r="D883" s="969">
        <v>3.5500000000000002E-5</v>
      </c>
      <c r="E883" s="1008">
        <v>34513</v>
      </c>
      <c r="F883" s="1011">
        <v>75343</v>
      </c>
      <c r="G883" s="970">
        <v>49804</v>
      </c>
      <c r="H883" s="970"/>
      <c r="I883" s="971">
        <v>2869</v>
      </c>
      <c r="J883" s="972">
        <v>12092</v>
      </c>
      <c r="K883" s="971">
        <v>7113</v>
      </c>
      <c r="L883" s="970">
        <v>34726</v>
      </c>
      <c r="M883" s="970"/>
      <c r="N883" s="971">
        <v>1410</v>
      </c>
      <c r="O883" s="971">
        <v>0</v>
      </c>
      <c r="P883" s="971">
        <v>0</v>
      </c>
      <c r="Q883" s="970">
        <v>0</v>
      </c>
      <c r="R883" s="970"/>
      <c r="S883" s="971">
        <v>16784</v>
      </c>
      <c r="T883" s="973">
        <v>12838</v>
      </c>
      <c r="U883" s="973">
        <v>29622</v>
      </c>
    </row>
    <row r="884" spans="1:21" x14ac:dyDescent="0.25">
      <c r="A884" s="967">
        <v>99701</v>
      </c>
      <c r="B884" s="968" t="s">
        <v>3519</v>
      </c>
      <c r="C884" s="969">
        <v>2.9190000000000002E-3</v>
      </c>
      <c r="D884" s="969">
        <v>2.8774E-3</v>
      </c>
      <c r="E884" s="1008">
        <v>1295371</v>
      </c>
      <c r="F884" s="1011">
        <v>6106807</v>
      </c>
      <c r="G884" s="970">
        <v>4459423</v>
      </c>
      <c r="H884" s="970"/>
      <c r="I884" s="971">
        <v>256904</v>
      </c>
      <c r="J884" s="972">
        <v>1082754</v>
      </c>
      <c r="K884" s="971">
        <v>636867</v>
      </c>
      <c r="L884" s="970">
        <v>21162</v>
      </c>
      <c r="M884" s="970"/>
      <c r="N884" s="971">
        <v>126232</v>
      </c>
      <c r="O884" s="971">
        <v>0</v>
      </c>
      <c r="P884" s="971">
        <v>0</v>
      </c>
      <c r="Q884" s="970">
        <v>17651</v>
      </c>
      <c r="R884" s="970"/>
      <c r="S884" s="971">
        <v>1502830</v>
      </c>
      <c r="T884" s="973">
        <v>-1976</v>
      </c>
      <c r="U884" s="973">
        <f>1500853+1</f>
        <v>1500854</v>
      </c>
    </row>
    <row r="885" spans="1:21" x14ac:dyDescent="0.25">
      <c r="A885" s="967">
        <v>99705</v>
      </c>
      <c r="B885" s="968" t="s">
        <v>3520</v>
      </c>
      <c r="C885" s="969">
        <v>1.7229999999999999E-4</v>
      </c>
      <c r="D885" s="969">
        <v>1.7259999999999999E-4</v>
      </c>
      <c r="E885" s="1008">
        <v>85451</v>
      </c>
      <c r="F885" s="1011">
        <v>366315</v>
      </c>
      <c r="G885" s="970">
        <v>263227</v>
      </c>
      <c r="H885" s="970"/>
      <c r="I885" s="971">
        <v>15164</v>
      </c>
      <c r="J885" s="972">
        <v>63911</v>
      </c>
      <c r="K885" s="971">
        <v>37592</v>
      </c>
      <c r="L885" s="970">
        <v>10978</v>
      </c>
      <c r="M885" s="970"/>
      <c r="N885" s="971">
        <v>7451</v>
      </c>
      <c r="O885" s="971">
        <v>0</v>
      </c>
      <c r="P885" s="971">
        <v>0</v>
      </c>
      <c r="Q885" s="970">
        <v>544</v>
      </c>
      <c r="R885" s="970"/>
      <c r="S885" s="971">
        <v>88708</v>
      </c>
      <c r="T885" s="973">
        <v>5913</v>
      </c>
      <c r="U885" s="973">
        <v>94621</v>
      </c>
    </row>
    <row r="886" spans="1:21" x14ac:dyDescent="0.25">
      <c r="A886" s="967">
        <v>99711</v>
      </c>
      <c r="B886" s="968" t="s">
        <v>3521</v>
      </c>
      <c r="C886" s="969">
        <v>4.5459999999999999E-4</v>
      </c>
      <c r="D886" s="969">
        <v>4.3540000000000001E-4</v>
      </c>
      <c r="E886" s="1008">
        <v>209494</v>
      </c>
      <c r="F886" s="1011">
        <v>924065</v>
      </c>
      <c r="G886" s="970">
        <v>694503</v>
      </c>
      <c r="H886" s="970"/>
      <c r="I886" s="971">
        <v>40010</v>
      </c>
      <c r="J886" s="972">
        <v>168626</v>
      </c>
      <c r="K886" s="971">
        <v>99185</v>
      </c>
      <c r="L886" s="970">
        <v>14449</v>
      </c>
      <c r="M886" s="970"/>
      <c r="N886" s="971">
        <v>19659</v>
      </c>
      <c r="O886" s="971">
        <v>0</v>
      </c>
      <c r="P886" s="971">
        <v>0</v>
      </c>
      <c r="Q886" s="970">
        <v>10625</v>
      </c>
      <c r="R886" s="970"/>
      <c r="S886" s="971">
        <v>234048</v>
      </c>
      <c r="T886" s="973">
        <v>-1042</v>
      </c>
      <c r="U886" s="973">
        <v>233006</v>
      </c>
    </row>
    <row r="887" spans="1:21" x14ac:dyDescent="0.25">
      <c r="A887" s="967">
        <v>99717</v>
      </c>
      <c r="B887" s="968" t="s">
        <v>3522</v>
      </c>
      <c r="C887" s="969">
        <v>2.19E-5</v>
      </c>
      <c r="D887" s="969">
        <v>2.3200000000000001E-5</v>
      </c>
      <c r="E887" s="1008">
        <v>8060</v>
      </c>
      <c r="F887" s="1011">
        <v>49238</v>
      </c>
      <c r="G887" s="970">
        <v>33457</v>
      </c>
      <c r="H887" s="970"/>
      <c r="I887" s="971">
        <v>1927</v>
      </c>
      <c r="J887" s="972">
        <v>8123</v>
      </c>
      <c r="K887" s="971">
        <v>4778</v>
      </c>
      <c r="L887" s="970">
        <v>0</v>
      </c>
      <c r="M887" s="970"/>
      <c r="N887" s="971">
        <v>947</v>
      </c>
      <c r="O887" s="971">
        <v>0</v>
      </c>
      <c r="P887" s="971">
        <v>0</v>
      </c>
      <c r="Q887" s="970">
        <v>3936</v>
      </c>
      <c r="R887" s="970"/>
      <c r="S887" s="971">
        <v>11275</v>
      </c>
      <c r="T887" s="973">
        <v>-1270</v>
      </c>
      <c r="U887" s="973">
        <v>10005</v>
      </c>
    </row>
    <row r="888" spans="1:21" x14ac:dyDescent="0.25">
      <c r="A888" s="967">
        <v>99721</v>
      </c>
      <c r="B888" s="968" t="s">
        <v>3523</v>
      </c>
      <c r="C888" s="969">
        <v>5.7779999999999995E-4</v>
      </c>
      <c r="D888" s="969">
        <v>6.2449999999999995E-4</v>
      </c>
      <c r="E888" s="1008">
        <v>252725</v>
      </c>
      <c r="F888" s="1011">
        <v>1325398</v>
      </c>
      <c r="G888" s="970">
        <v>882718</v>
      </c>
      <c r="H888" s="970"/>
      <c r="I888" s="971">
        <v>50853</v>
      </c>
      <c r="J888" s="972">
        <v>214325</v>
      </c>
      <c r="K888" s="971">
        <v>126064</v>
      </c>
      <c r="L888" s="970">
        <v>0</v>
      </c>
      <c r="M888" s="970"/>
      <c r="N888" s="971">
        <v>24987</v>
      </c>
      <c r="O888" s="971">
        <v>0</v>
      </c>
      <c r="P888" s="971">
        <v>0</v>
      </c>
      <c r="Q888" s="970">
        <v>48789</v>
      </c>
      <c r="R888" s="970"/>
      <c r="S888" s="971">
        <v>297477</v>
      </c>
      <c r="T888" s="973">
        <v>-14223</v>
      </c>
      <c r="U888" s="973">
        <v>283254</v>
      </c>
    </row>
    <row r="889" spans="1:21" x14ac:dyDescent="0.25">
      <c r="A889" s="967">
        <v>99727</v>
      </c>
      <c r="B889" s="968" t="s">
        <v>3524</v>
      </c>
      <c r="C889" s="969">
        <v>2.3900000000000002E-5</v>
      </c>
      <c r="D889" s="969">
        <v>2.5299999999999998E-5</v>
      </c>
      <c r="E889" s="1008">
        <v>46315</v>
      </c>
      <c r="F889" s="1011">
        <v>53695</v>
      </c>
      <c r="G889" s="970">
        <v>36513</v>
      </c>
      <c r="H889" s="970"/>
      <c r="I889" s="971">
        <v>2103</v>
      </c>
      <c r="J889" s="972">
        <v>8865</v>
      </c>
      <c r="K889" s="971">
        <v>5215</v>
      </c>
      <c r="L889" s="970">
        <v>59484</v>
      </c>
      <c r="M889" s="970"/>
      <c r="N889" s="971">
        <v>1034</v>
      </c>
      <c r="O889" s="971">
        <v>0</v>
      </c>
      <c r="P889" s="971">
        <v>0</v>
      </c>
      <c r="Q889" s="970">
        <v>0</v>
      </c>
      <c r="R889" s="970"/>
      <c r="S889" s="971">
        <v>12305</v>
      </c>
      <c r="T889" s="973">
        <v>20983</v>
      </c>
      <c r="U889" s="973">
        <v>33288</v>
      </c>
    </row>
    <row r="890" spans="1:21" x14ac:dyDescent="0.25">
      <c r="A890" s="967">
        <v>99801</v>
      </c>
      <c r="B890" s="968" t="s">
        <v>3525</v>
      </c>
      <c r="C890" s="969">
        <v>5.1866000000000004E-3</v>
      </c>
      <c r="D890" s="969">
        <v>5.1954999999999996E-3</v>
      </c>
      <c r="E890" s="1008">
        <v>2259452</v>
      </c>
      <c r="F890" s="1011">
        <v>11026591</v>
      </c>
      <c r="G890" s="970">
        <v>7923688</v>
      </c>
      <c r="H890" s="970"/>
      <c r="I890" s="971">
        <v>456478</v>
      </c>
      <c r="J890" s="972">
        <v>1923881</v>
      </c>
      <c r="K890" s="971">
        <v>1131612</v>
      </c>
      <c r="L890" s="970">
        <v>17042</v>
      </c>
      <c r="M890" s="970"/>
      <c r="N890" s="971">
        <v>224295</v>
      </c>
      <c r="O890" s="971">
        <v>0</v>
      </c>
      <c r="P890" s="971">
        <v>0</v>
      </c>
      <c r="Q890" s="970">
        <v>150042</v>
      </c>
      <c r="R890" s="970"/>
      <c r="S890" s="971">
        <v>2670290</v>
      </c>
      <c r="T890" s="973">
        <v>-29556</v>
      </c>
      <c r="U890" s="973">
        <f>2640733+1</f>
        <v>2640734</v>
      </c>
    </row>
    <row r="891" spans="1:21" x14ac:dyDescent="0.25">
      <c r="A891" s="967">
        <v>99802</v>
      </c>
      <c r="B891" s="968" t="s">
        <v>3526</v>
      </c>
      <c r="C891" s="969">
        <v>6.0000000000000002E-6</v>
      </c>
      <c r="D891" s="969">
        <v>6.4999999999999996E-6</v>
      </c>
      <c r="E891" s="1008">
        <v>4581</v>
      </c>
      <c r="F891" s="1011">
        <v>13795</v>
      </c>
      <c r="G891" s="970">
        <v>9166</v>
      </c>
      <c r="H891" s="970"/>
      <c r="I891" s="971">
        <v>528</v>
      </c>
      <c r="J891" s="972">
        <v>2226</v>
      </c>
      <c r="K891" s="971">
        <v>1309</v>
      </c>
      <c r="L891" s="970">
        <v>1378</v>
      </c>
      <c r="M891" s="970"/>
      <c r="N891" s="971">
        <v>259</v>
      </c>
      <c r="O891" s="971">
        <v>0</v>
      </c>
      <c r="P891" s="971">
        <v>0</v>
      </c>
      <c r="Q891" s="970">
        <v>53</v>
      </c>
      <c r="R891" s="970"/>
      <c r="S891" s="971">
        <v>3089</v>
      </c>
      <c r="T891" s="973">
        <v>334</v>
      </c>
      <c r="U891" s="973">
        <v>3423</v>
      </c>
    </row>
    <row r="892" spans="1:21" x14ac:dyDescent="0.25">
      <c r="A892" s="967">
        <v>99804</v>
      </c>
      <c r="B892" s="968" t="s">
        <v>3527</v>
      </c>
      <c r="C892" s="969">
        <v>9.0500000000000004E-5</v>
      </c>
      <c r="D892" s="969">
        <v>8.6600000000000004E-5</v>
      </c>
      <c r="E892" s="1008">
        <v>46756</v>
      </c>
      <c r="F892" s="1011">
        <v>183794</v>
      </c>
      <c r="G892" s="970">
        <v>138259</v>
      </c>
      <c r="H892" s="970"/>
      <c r="I892" s="971">
        <v>7965</v>
      </c>
      <c r="J892" s="972">
        <v>33569</v>
      </c>
      <c r="K892" s="971">
        <v>19745</v>
      </c>
      <c r="L892" s="970">
        <v>13689</v>
      </c>
      <c r="M892" s="970"/>
      <c r="N892" s="971">
        <v>3914</v>
      </c>
      <c r="O892" s="971">
        <v>0</v>
      </c>
      <c r="P892" s="971">
        <v>0</v>
      </c>
      <c r="Q892" s="970">
        <v>0</v>
      </c>
      <c r="R892" s="970"/>
      <c r="S892" s="971">
        <v>46593</v>
      </c>
      <c r="T892" s="973">
        <v>4917</v>
      </c>
      <c r="U892" s="973">
        <v>51510</v>
      </c>
    </row>
    <row r="893" spans="1:21" x14ac:dyDescent="0.25">
      <c r="A893" s="967">
        <v>99811</v>
      </c>
      <c r="B893" s="968" t="s">
        <v>3528</v>
      </c>
      <c r="C893" s="969">
        <v>6.7026999999999998E-3</v>
      </c>
      <c r="D893" s="969">
        <v>6.8415000000000004E-3</v>
      </c>
      <c r="E893" s="1008">
        <v>2884356</v>
      </c>
      <c r="F893" s="1011">
        <v>14519955</v>
      </c>
      <c r="G893" s="970">
        <v>10239869</v>
      </c>
      <c r="H893" s="970"/>
      <c r="I893" s="971">
        <v>589911</v>
      </c>
      <c r="J893" s="972">
        <v>2486253</v>
      </c>
      <c r="K893" s="971">
        <v>1462395</v>
      </c>
      <c r="L893" s="970">
        <v>0</v>
      </c>
      <c r="M893" s="970"/>
      <c r="N893" s="971">
        <v>289858</v>
      </c>
      <c r="O893" s="971">
        <v>0</v>
      </c>
      <c r="P893" s="971">
        <v>0</v>
      </c>
      <c r="Q893" s="970">
        <v>598680</v>
      </c>
      <c r="R893" s="970"/>
      <c r="S893" s="971">
        <v>3450845</v>
      </c>
      <c r="T893" s="973">
        <v>-236953</v>
      </c>
      <c r="U893" s="973">
        <f>3213891+1</f>
        <v>3213892</v>
      </c>
    </row>
    <row r="894" spans="1:21" x14ac:dyDescent="0.25">
      <c r="A894" s="967">
        <v>99812</v>
      </c>
      <c r="B894" s="968" t="s">
        <v>3529</v>
      </c>
      <c r="C894" s="969">
        <v>2.2099999999999998E-5</v>
      </c>
      <c r="D894" s="969">
        <v>2.5599999999999999E-5</v>
      </c>
      <c r="E894" s="1008">
        <v>20069</v>
      </c>
      <c r="F894" s="1011">
        <v>54332</v>
      </c>
      <c r="G894" s="970">
        <v>33763</v>
      </c>
      <c r="H894" s="970"/>
      <c r="I894" s="971">
        <v>1945</v>
      </c>
      <c r="J894" s="972">
        <v>8198</v>
      </c>
      <c r="K894" s="971">
        <v>4822</v>
      </c>
      <c r="L894" s="970">
        <v>11652</v>
      </c>
      <c r="M894" s="970"/>
      <c r="N894" s="971">
        <v>956</v>
      </c>
      <c r="O894" s="971">
        <v>0</v>
      </c>
      <c r="P894" s="971">
        <v>0</v>
      </c>
      <c r="Q894" s="970">
        <v>0</v>
      </c>
      <c r="R894" s="970"/>
      <c r="S894" s="971">
        <v>11378</v>
      </c>
      <c r="T894" s="973">
        <v>4237</v>
      </c>
      <c r="U894" s="973">
        <v>15615</v>
      </c>
    </row>
    <row r="895" spans="1:21" x14ac:dyDescent="0.25">
      <c r="A895" s="967">
        <v>99818</v>
      </c>
      <c r="B895" s="968" t="s">
        <v>3530</v>
      </c>
      <c r="C895" s="969">
        <v>3.1600000000000002E-5</v>
      </c>
      <c r="D895" s="969">
        <v>3.7700000000000002E-5</v>
      </c>
      <c r="E895" s="1008">
        <v>14370</v>
      </c>
      <c r="F895" s="1011">
        <v>80012</v>
      </c>
      <c r="G895" s="970">
        <v>48276</v>
      </c>
      <c r="H895" s="970"/>
      <c r="I895" s="971">
        <v>2781</v>
      </c>
      <c r="J895" s="972">
        <v>11722</v>
      </c>
      <c r="K895" s="971">
        <v>6894</v>
      </c>
      <c r="L895" s="970">
        <v>3054</v>
      </c>
      <c r="M895" s="970"/>
      <c r="N895" s="971">
        <v>1367</v>
      </c>
      <c r="O895" s="971">
        <v>0</v>
      </c>
      <c r="P895" s="971">
        <v>0</v>
      </c>
      <c r="Q895" s="970">
        <v>6414</v>
      </c>
      <c r="R895" s="970"/>
      <c r="S895" s="971">
        <v>16269</v>
      </c>
      <c r="T895" s="973">
        <v>695</v>
      </c>
      <c r="U895" s="973">
        <v>16964</v>
      </c>
    </row>
    <row r="896" spans="1:21" x14ac:dyDescent="0.25">
      <c r="A896" s="967">
        <v>99821</v>
      </c>
      <c r="B896" s="968" t="s">
        <v>3531</v>
      </c>
      <c r="C896" s="969">
        <v>9.1100000000000005E-5</v>
      </c>
      <c r="D896" s="969">
        <v>8.2899999999999996E-5</v>
      </c>
      <c r="E896" s="1008">
        <v>48801</v>
      </c>
      <c r="F896" s="1011">
        <v>175942</v>
      </c>
      <c r="G896" s="970">
        <v>139176</v>
      </c>
      <c r="H896" s="970"/>
      <c r="I896" s="971">
        <v>8018</v>
      </c>
      <c r="J896" s="972">
        <v>33792</v>
      </c>
      <c r="K896" s="971">
        <v>19876</v>
      </c>
      <c r="L896" s="970">
        <v>21459</v>
      </c>
      <c r="M896" s="970"/>
      <c r="N896" s="971">
        <v>3940</v>
      </c>
      <c r="O896" s="971">
        <v>0</v>
      </c>
      <c r="P896" s="971">
        <v>0</v>
      </c>
      <c r="Q896" s="970">
        <v>555</v>
      </c>
      <c r="R896" s="970"/>
      <c r="S896" s="971">
        <v>46902</v>
      </c>
      <c r="T896" s="973">
        <v>9955</v>
      </c>
      <c r="U896" s="973">
        <v>56857</v>
      </c>
    </row>
    <row r="897" spans="1:21" x14ac:dyDescent="0.25">
      <c r="A897" s="967">
        <v>99831</v>
      </c>
      <c r="B897" s="968" t="s">
        <v>3532</v>
      </c>
      <c r="C897" s="969">
        <v>6.3299999999999994E-5</v>
      </c>
      <c r="D897" s="969">
        <v>5.5899999999999997E-5</v>
      </c>
      <c r="E897" s="1008">
        <v>28274</v>
      </c>
      <c r="F897" s="1011">
        <v>118639</v>
      </c>
      <c r="G897" s="970">
        <v>96705</v>
      </c>
      <c r="H897" s="970"/>
      <c r="I897" s="971">
        <v>5571</v>
      </c>
      <c r="J897" s="972">
        <v>23480</v>
      </c>
      <c r="K897" s="971">
        <v>13811</v>
      </c>
      <c r="L897" s="970">
        <v>7030</v>
      </c>
      <c r="M897" s="970"/>
      <c r="N897" s="971">
        <v>2737</v>
      </c>
      <c r="O897" s="971">
        <v>0</v>
      </c>
      <c r="P897" s="971">
        <v>0</v>
      </c>
      <c r="Q897" s="970">
        <v>564</v>
      </c>
      <c r="R897" s="970"/>
      <c r="S897" s="971">
        <v>32590</v>
      </c>
      <c r="T897" s="973">
        <v>1906</v>
      </c>
      <c r="U897" s="973">
        <f>34495+1</f>
        <v>34496</v>
      </c>
    </row>
    <row r="898" spans="1:21" x14ac:dyDescent="0.25">
      <c r="A898" s="967">
        <v>99841</v>
      </c>
      <c r="B898" s="968" t="s">
        <v>3533</v>
      </c>
      <c r="C898" s="969">
        <v>4.3399999999999998E-5</v>
      </c>
      <c r="D898" s="969">
        <v>4.6E-5</v>
      </c>
      <c r="E898" s="1008">
        <v>19338</v>
      </c>
      <c r="F898" s="1011">
        <v>97627</v>
      </c>
      <c r="G898" s="970">
        <v>66303</v>
      </c>
      <c r="H898" s="970"/>
      <c r="I898" s="971">
        <v>3820</v>
      </c>
      <c r="J898" s="972">
        <v>16098</v>
      </c>
      <c r="K898" s="971">
        <v>9469</v>
      </c>
      <c r="L898" s="970">
        <v>1271</v>
      </c>
      <c r="M898" s="970"/>
      <c r="N898" s="971">
        <v>1877</v>
      </c>
      <c r="O898" s="971">
        <v>0</v>
      </c>
      <c r="P898" s="971">
        <v>0</v>
      </c>
      <c r="Q898" s="970">
        <v>4060</v>
      </c>
      <c r="R898" s="970"/>
      <c r="S898" s="971">
        <v>22344</v>
      </c>
      <c r="T898" s="973">
        <v>-1214</v>
      </c>
      <c r="U898" s="973">
        <v>21130</v>
      </c>
    </row>
    <row r="899" spans="1:21" x14ac:dyDescent="0.25">
      <c r="A899" s="967">
        <v>99851</v>
      </c>
      <c r="B899" s="968" t="s">
        <v>3534</v>
      </c>
      <c r="C899" s="969">
        <v>2.23E-5</v>
      </c>
      <c r="D899" s="969">
        <v>2.1999999999999999E-5</v>
      </c>
      <c r="E899" s="1008">
        <v>7302</v>
      </c>
      <c r="F899" s="1011">
        <v>46691</v>
      </c>
      <c r="G899" s="970">
        <v>34068</v>
      </c>
      <c r="H899" s="970"/>
      <c r="I899" s="971">
        <v>1963</v>
      </c>
      <c r="J899" s="972">
        <v>8272</v>
      </c>
      <c r="K899" s="971">
        <v>4865</v>
      </c>
      <c r="L899" s="970">
        <v>142</v>
      </c>
      <c r="M899" s="970"/>
      <c r="N899" s="971">
        <v>964</v>
      </c>
      <c r="O899" s="971">
        <v>0</v>
      </c>
      <c r="P899" s="971">
        <v>0</v>
      </c>
      <c r="Q899" s="970">
        <v>3191</v>
      </c>
      <c r="R899" s="970"/>
      <c r="S899" s="971">
        <v>11481</v>
      </c>
      <c r="T899" s="973">
        <v>-847</v>
      </c>
      <c r="U899" s="973">
        <v>10634</v>
      </c>
    </row>
    <row r="900" spans="1:21" x14ac:dyDescent="0.25">
      <c r="A900" s="967">
        <v>99901</v>
      </c>
      <c r="B900" s="968" t="s">
        <v>3535</v>
      </c>
      <c r="C900" s="969">
        <v>1.6707E-3</v>
      </c>
      <c r="D900" s="969">
        <v>1.6371999999999999E-3</v>
      </c>
      <c r="E900" s="1008">
        <v>760400</v>
      </c>
      <c r="F900" s="1011">
        <v>3474687</v>
      </c>
      <c r="G900" s="970">
        <v>2552367</v>
      </c>
      <c r="H900" s="970"/>
      <c r="I900" s="971">
        <v>147040</v>
      </c>
      <c r="J900" s="972">
        <v>619718</v>
      </c>
      <c r="K900" s="971">
        <v>364513</v>
      </c>
      <c r="L900" s="970">
        <v>63407</v>
      </c>
      <c r="M900" s="970"/>
      <c r="N900" s="971">
        <v>72249</v>
      </c>
      <c r="O900" s="971">
        <v>0</v>
      </c>
      <c r="P900" s="971">
        <v>0</v>
      </c>
      <c r="Q900" s="970">
        <v>12021</v>
      </c>
      <c r="R900" s="970"/>
      <c r="S900" s="971">
        <v>860150</v>
      </c>
      <c r="T900" s="973">
        <v>13114</v>
      </c>
      <c r="U900" s="973">
        <v>873264</v>
      </c>
    </row>
    <row r="901" spans="1:21" x14ac:dyDescent="0.25">
      <c r="A901" s="967">
        <v>99911</v>
      </c>
      <c r="B901" s="968" t="s">
        <v>3536</v>
      </c>
      <c r="C901" s="969">
        <v>2.5980000000000003E-4</v>
      </c>
      <c r="D901" s="969">
        <v>2.5520000000000002E-4</v>
      </c>
      <c r="E901" s="1008">
        <v>122066</v>
      </c>
      <c r="F901" s="1011">
        <v>541620</v>
      </c>
      <c r="G901" s="970">
        <v>396902</v>
      </c>
      <c r="H901" s="970"/>
      <c r="I901" s="971">
        <v>22865</v>
      </c>
      <c r="J901" s="972">
        <v>96368</v>
      </c>
      <c r="K901" s="971">
        <v>56683</v>
      </c>
      <c r="L901" s="970">
        <v>7168</v>
      </c>
      <c r="M901" s="970"/>
      <c r="N901" s="971">
        <v>11235</v>
      </c>
      <c r="O901" s="971">
        <v>0</v>
      </c>
      <c r="P901" s="971">
        <v>0</v>
      </c>
      <c r="Q901" s="970">
        <v>12661</v>
      </c>
      <c r="R901" s="970"/>
      <c r="S901" s="971">
        <v>133756</v>
      </c>
      <c r="T901" s="973">
        <v>-5521</v>
      </c>
      <c r="U901" s="973">
        <v>128235</v>
      </c>
    </row>
    <row r="902" spans="1:21" x14ac:dyDescent="0.25">
      <c r="A902" s="967">
        <v>99921</v>
      </c>
      <c r="B902" s="968" t="s">
        <v>3537</v>
      </c>
      <c r="C902" s="969">
        <v>1.506E-4</v>
      </c>
      <c r="D902" s="969">
        <v>1.5129999999999999E-4</v>
      </c>
      <c r="E902" s="1008">
        <v>65165</v>
      </c>
      <c r="F902" s="1011">
        <v>321109</v>
      </c>
      <c r="G902" s="970">
        <v>230075</v>
      </c>
      <c r="H902" s="970"/>
      <c r="I902" s="971">
        <v>13254</v>
      </c>
      <c r="J902" s="972">
        <v>55863</v>
      </c>
      <c r="K902" s="971">
        <v>32858</v>
      </c>
      <c r="L902" s="970">
        <v>3258</v>
      </c>
      <c r="M902" s="970"/>
      <c r="N902" s="971">
        <v>6513</v>
      </c>
      <c r="O902" s="971">
        <v>0</v>
      </c>
      <c r="P902" s="971">
        <v>0</v>
      </c>
      <c r="Q902" s="970">
        <v>7306</v>
      </c>
      <c r="R902" s="970"/>
      <c r="S902" s="971">
        <v>77536</v>
      </c>
      <c r="T902" s="973">
        <v>-3057</v>
      </c>
      <c r="U902" s="973">
        <v>74479</v>
      </c>
    </row>
    <row r="903" spans="1:21" x14ac:dyDescent="0.25">
      <c r="A903" s="967">
        <v>99931</v>
      </c>
      <c r="B903" s="968" t="s">
        <v>3538</v>
      </c>
      <c r="C903" s="969">
        <v>1.5800000000000001E-5</v>
      </c>
      <c r="D903" s="969">
        <v>2.51E-5</v>
      </c>
      <c r="E903" s="1008">
        <v>8881</v>
      </c>
      <c r="F903" s="1011">
        <v>53271</v>
      </c>
      <c r="G903" s="970">
        <v>24138</v>
      </c>
      <c r="H903" s="970"/>
      <c r="I903" s="971">
        <v>1391</v>
      </c>
      <c r="J903" s="972">
        <v>5860</v>
      </c>
      <c r="K903" s="971">
        <v>3447</v>
      </c>
      <c r="L903" s="970">
        <v>0</v>
      </c>
      <c r="M903" s="970"/>
      <c r="N903" s="971">
        <v>683</v>
      </c>
      <c r="O903" s="971">
        <v>0</v>
      </c>
      <c r="P903" s="971">
        <v>0</v>
      </c>
      <c r="Q903" s="970">
        <v>8477</v>
      </c>
      <c r="R903" s="970"/>
      <c r="S903" s="971">
        <v>8135</v>
      </c>
      <c r="T903" s="973">
        <v>-3271</v>
      </c>
      <c r="U903" s="973">
        <v>4864</v>
      </c>
    </row>
    <row r="904" spans="1:21" x14ac:dyDescent="0.25">
      <c r="A904" s="967">
        <v>99941</v>
      </c>
      <c r="B904" s="968" t="s">
        <v>3539</v>
      </c>
      <c r="C904" s="969">
        <v>7.5400000000000003E-5</v>
      </c>
      <c r="D904" s="969">
        <v>7.8200000000000003E-5</v>
      </c>
      <c r="E904" s="1008">
        <v>32663</v>
      </c>
      <c r="F904" s="1011">
        <v>165967</v>
      </c>
      <c r="G904" s="970">
        <v>115190</v>
      </c>
      <c r="H904" s="970"/>
      <c r="I904" s="971">
        <v>6636</v>
      </c>
      <c r="J904" s="972">
        <v>27969</v>
      </c>
      <c r="K904" s="971">
        <v>16451</v>
      </c>
      <c r="L904" s="970">
        <v>0</v>
      </c>
      <c r="M904" s="970"/>
      <c r="N904" s="971">
        <v>3261</v>
      </c>
      <c r="O904" s="971">
        <v>0</v>
      </c>
      <c r="P904" s="971">
        <v>0</v>
      </c>
      <c r="Q904" s="970">
        <v>11647</v>
      </c>
      <c r="R904" s="970"/>
      <c r="S904" s="971">
        <v>38819</v>
      </c>
      <c r="T904" s="973">
        <v>-4535</v>
      </c>
      <c r="U904" s="973">
        <f>34285-1</f>
        <v>34284</v>
      </c>
    </row>
    <row r="905" spans="1:21" x14ac:dyDescent="0.25">
      <c r="A905" s="967">
        <v>99991</v>
      </c>
      <c r="B905" s="968" t="s">
        <v>3540</v>
      </c>
      <c r="C905" s="969">
        <v>5.3450000000000004E-4</v>
      </c>
      <c r="D905" s="969">
        <v>5.6990000000000003E-4</v>
      </c>
      <c r="E905" s="1008">
        <v>239781</v>
      </c>
      <c r="F905" s="1011">
        <v>1209519</v>
      </c>
      <c r="G905" s="970">
        <v>816568</v>
      </c>
      <c r="H905" s="970"/>
      <c r="I905" s="971">
        <v>47042</v>
      </c>
      <c r="J905" s="972">
        <v>198264</v>
      </c>
      <c r="K905" s="971">
        <v>116617</v>
      </c>
      <c r="L905" s="970">
        <v>28891</v>
      </c>
      <c r="M905" s="970"/>
      <c r="N905" s="971">
        <v>23114</v>
      </c>
      <c r="O905" s="971">
        <v>0</v>
      </c>
      <c r="P905" s="971">
        <v>0</v>
      </c>
      <c r="Q905" s="970">
        <v>28214</v>
      </c>
      <c r="R905" s="970"/>
      <c r="S905" s="971">
        <v>275184</v>
      </c>
      <c r="T905" s="973">
        <v>12361</v>
      </c>
      <c r="U905" s="973">
        <v>287545</v>
      </c>
    </row>
    <row r="906" spans="1:21" x14ac:dyDescent="0.25">
      <c r="A906" s="967">
        <v>99999</v>
      </c>
      <c r="B906" s="968" t="s">
        <v>3541</v>
      </c>
      <c r="C906" s="969">
        <v>8.7509999999999997E-4</v>
      </c>
      <c r="D906" s="969">
        <v>1.0101000000000001E-3</v>
      </c>
      <c r="E906" s="1008">
        <v>509176</v>
      </c>
      <c r="F906" s="1011">
        <v>2143771</v>
      </c>
      <c r="G906" s="970">
        <v>1336910</v>
      </c>
      <c r="H906" s="970"/>
      <c r="I906" s="971">
        <v>77018</v>
      </c>
      <c r="J906" s="972">
        <v>324603</v>
      </c>
      <c r="K906" s="971">
        <v>190929</v>
      </c>
      <c r="L906" s="970">
        <v>77711</v>
      </c>
      <c r="M906" s="970"/>
      <c r="N906" s="971">
        <v>37844</v>
      </c>
      <c r="O906" s="971">
        <v>0</v>
      </c>
      <c r="P906" s="971">
        <v>0</v>
      </c>
      <c r="Q906" s="970">
        <v>26259</v>
      </c>
      <c r="R906" s="970"/>
      <c r="S906" s="971">
        <v>450540</v>
      </c>
      <c r="T906" s="973">
        <v>10651</v>
      </c>
      <c r="U906" s="973">
        <v>461191</v>
      </c>
    </row>
    <row r="907" spans="1:21" x14ac:dyDescent="0.25">
      <c r="A907" s="967"/>
      <c r="B907" s="968"/>
      <c r="C907" s="969"/>
      <c r="D907" s="969"/>
      <c r="E907" s="1008"/>
      <c r="F907" s="1011"/>
      <c r="G907" s="970"/>
      <c r="H907" s="970"/>
      <c r="I907" s="971"/>
      <c r="J907" s="972"/>
      <c r="K907" s="971"/>
      <c r="L907" s="970"/>
      <c r="M907" s="970"/>
      <c r="N907" s="971"/>
      <c r="O907" s="971"/>
      <c r="P907" s="971"/>
      <c r="Q907" s="970"/>
      <c r="R907" s="970"/>
      <c r="S907" s="971"/>
      <c r="T907" s="973"/>
      <c r="U907" s="973"/>
    </row>
    <row r="908" spans="1:21" x14ac:dyDescent="0.25">
      <c r="A908" s="988" t="s">
        <v>2647</v>
      </c>
      <c r="B908" s="989" t="s">
        <v>2646</v>
      </c>
      <c r="C908" s="990">
        <v>2.6581E-3</v>
      </c>
      <c r="D908" s="990">
        <v>2.3587E-3</v>
      </c>
      <c r="E908" s="1009">
        <v>1110621</v>
      </c>
      <c r="F908" s="1011">
        <v>5005952</v>
      </c>
      <c r="G908" s="992">
        <v>4060841</v>
      </c>
      <c r="H908" s="992"/>
      <c r="I908" s="993">
        <v>233942</v>
      </c>
      <c r="J908" s="994">
        <v>985977</v>
      </c>
      <c r="K908" s="993">
        <v>579944</v>
      </c>
      <c r="L908" s="992">
        <v>130818</v>
      </c>
      <c r="M908" s="992"/>
      <c r="N908" s="993">
        <v>114950</v>
      </c>
      <c r="O908" s="993"/>
      <c r="P908" s="993">
        <v>0</v>
      </c>
      <c r="Q908" s="992">
        <v>31847</v>
      </c>
      <c r="R908" s="992"/>
      <c r="S908" s="993">
        <v>1368507</v>
      </c>
      <c r="T908" s="992">
        <v>33872</v>
      </c>
      <c r="U908" s="992">
        <v>1402379</v>
      </c>
    </row>
    <row r="909" spans="1:21" s="982" customFormat="1" x14ac:dyDescent="0.25">
      <c r="A909" s="976"/>
      <c r="B909" s="977"/>
      <c r="C909" s="978">
        <v>1</v>
      </c>
      <c r="D909" s="978">
        <v>1</v>
      </c>
      <c r="E909" s="1010">
        <f>SUM(E6:E906)</f>
        <v>459076658</v>
      </c>
      <c r="F909" s="1010">
        <f>SUM(F6:F906)</f>
        <v>2063974821</v>
      </c>
      <c r="G909" s="979">
        <f>SUM(G7:G906)</f>
        <v>1527723006</v>
      </c>
      <c r="H909" s="979"/>
      <c r="I909" s="980">
        <f>SUM(I7:I906)</f>
        <v>88010998</v>
      </c>
      <c r="J909" s="981">
        <v>370932998</v>
      </c>
      <c r="K909" s="980">
        <f>SUM(K7:K906)</f>
        <v>218179990</v>
      </c>
      <c r="L909" s="980">
        <f>SUM(L7:L906)</f>
        <v>44399345</v>
      </c>
      <c r="M909" s="980"/>
      <c r="N909" s="980">
        <f>SUM(N7:N906)</f>
        <v>43245007</v>
      </c>
      <c r="O909" s="980">
        <f>SUM(O7:O906)</f>
        <v>0</v>
      </c>
      <c r="P909" s="980">
        <f>SUM(P7:P906)</f>
        <v>0</v>
      </c>
      <c r="Q909" s="980">
        <f>SUM(Q7:Q906)</f>
        <v>44399369</v>
      </c>
      <c r="R909" s="980"/>
      <c r="S909" s="980">
        <f>SUM(S7:S906)</f>
        <v>514844016</v>
      </c>
      <c r="T909" s="980">
        <f>SUM(T7:T906)</f>
        <v>36</v>
      </c>
      <c r="U909" s="980">
        <f>SUM(U7:U906)</f>
        <v>514844052</v>
      </c>
    </row>
    <row r="910" spans="1:21" s="982" customFormat="1" x14ac:dyDescent="0.25">
      <c r="A910" s="976"/>
      <c r="B910" s="977"/>
      <c r="C910" s="978"/>
      <c r="D910" s="978"/>
      <c r="E910" s="1010"/>
      <c r="F910" s="987"/>
      <c r="G910" s="979"/>
      <c r="H910" s="979"/>
      <c r="I910" s="980"/>
      <c r="J910" s="981"/>
      <c r="K910" s="980"/>
      <c r="L910" s="980"/>
      <c r="M910" s="980"/>
      <c r="N910" s="980"/>
      <c r="O910" s="980"/>
      <c r="P910" s="980"/>
      <c r="Q910" s="980"/>
      <c r="R910" s="980"/>
      <c r="S910" s="980"/>
      <c r="T910" s="980"/>
      <c r="U910" s="980"/>
    </row>
    <row r="911" spans="1:21" s="982" customFormat="1" x14ac:dyDescent="0.25">
      <c r="A911" s="976"/>
      <c r="B911" s="977"/>
      <c r="C911" s="978"/>
      <c r="D911" s="978"/>
      <c r="E911" s="1010"/>
      <c r="F911" s="987"/>
      <c r="G911" s="979"/>
      <c r="H911" s="979"/>
      <c r="I911" s="980"/>
      <c r="J911" s="981"/>
      <c r="K911" s="980"/>
      <c r="L911" s="980"/>
      <c r="M911" s="980"/>
      <c r="N911" s="980"/>
      <c r="O911" s="980"/>
      <c r="P911" s="980"/>
      <c r="Q911" s="980"/>
      <c r="R911" s="980"/>
      <c r="S911" s="980"/>
      <c r="T911" s="980"/>
      <c r="U911" s="980"/>
    </row>
    <row r="912" spans="1:21" x14ac:dyDescent="0.25">
      <c r="B912" s="983" t="s">
        <v>2112</v>
      </c>
      <c r="C912" s="965" t="s">
        <v>837</v>
      </c>
    </row>
    <row r="913" spans="2:3" x14ac:dyDescent="0.25">
      <c r="B913" s="984" t="s">
        <v>2127</v>
      </c>
      <c r="C913" s="967">
        <v>96331</v>
      </c>
    </row>
    <row r="914" spans="2:3" x14ac:dyDescent="0.25">
      <c r="B914" s="984" t="s">
        <v>2128</v>
      </c>
      <c r="C914" s="967">
        <v>94611</v>
      </c>
    </row>
    <row r="915" spans="2:3" x14ac:dyDescent="0.25">
      <c r="B915" s="984" t="s">
        <v>1489</v>
      </c>
      <c r="C915" s="967">
        <v>93402</v>
      </c>
    </row>
    <row r="916" spans="2:3" x14ac:dyDescent="0.25">
      <c r="B916" s="984" t="s">
        <v>2129</v>
      </c>
      <c r="C916" s="967">
        <v>90151</v>
      </c>
    </row>
    <row r="917" spans="2:3" x14ac:dyDescent="0.25">
      <c r="B917" s="984" t="s">
        <v>3696</v>
      </c>
      <c r="C917" s="967">
        <v>94109</v>
      </c>
    </row>
    <row r="918" spans="2:3" x14ac:dyDescent="0.25">
      <c r="B918" s="984" t="s">
        <v>1194</v>
      </c>
      <c r="C918" s="967">
        <v>90101</v>
      </c>
    </row>
    <row r="919" spans="2:3" x14ac:dyDescent="0.25">
      <c r="B919" s="984" t="s">
        <v>3542</v>
      </c>
      <c r="C919" s="967">
        <v>90117</v>
      </c>
    </row>
    <row r="920" spans="2:3" x14ac:dyDescent="0.25">
      <c r="B920" s="984" t="s">
        <v>2130</v>
      </c>
      <c r="C920" s="967">
        <v>98411</v>
      </c>
    </row>
    <row r="921" spans="2:3" x14ac:dyDescent="0.25">
      <c r="B921" s="984" t="s">
        <v>3697</v>
      </c>
      <c r="C921" s="967">
        <v>98417</v>
      </c>
    </row>
    <row r="922" spans="2:3" x14ac:dyDescent="0.25">
      <c r="B922" s="984" t="s">
        <v>1790</v>
      </c>
      <c r="C922" s="967">
        <v>97008</v>
      </c>
    </row>
    <row r="923" spans="2:3" x14ac:dyDescent="0.25">
      <c r="B923" s="984" t="s">
        <v>1791</v>
      </c>
      <c r="C923" s="967">
        <v>97010</v>
      </c>
    </row>
    <row r="924" spans="2:3" x14ac:dyDescent="0.25">
      <c r="B924" s="984" t="s">
        <v>3543</v>
      </c>
      <c r="C924" s="967">
        <v>90096</v>
      </c>
    </row>
    <row r="925" spans="2:3" x14ac:dyDescent="0.25">
      <c r="B925" s="984" t="s">
        <v>1241</v>
      </c>
      <c r="C925" s="967">
        <v>90805</v>
      </c>
    </row>
    <row r="926" spans="2:3" x14ac:dyDescent="0.25">
      <c r="B926" s="984" t="s">
        <v>3698</v>
      </c>
      <c r="C926" s="967">
        <v>92109</v>
      </c>
    </row>
    <row r="927" spans="2:3" x14ac:dyDescent="0.25">
      <c r="B927" s="984" t="s">
        <v>1202</v>
      </c>
      <c r="C927" s="967">
        <v>90201</v>
      </c>
    </row>
    <row r="928" spans="2:3" x14ac:dyDescent="0.25">
      <c r="B928" s="984" t="s">
        <v>3699</v>
      </c>
      <c r="C928" s="967">
        <v>90206</v>
      </c>
    </row>
    <row r="929" spans="2:3" x14ac:dyDescent="0.25">
      <c r="B929" s="984" t="s">
        <v>3700</v>
      </c>
      <c r="C929" s="967">
        <v>90203</v>
      </c>
    </row>
    <row r="930" spans="2:3" x14ac:dyDescent="0.25">
      <c r="B930" s="984" t="s">
        <v>3701</v>
      </c>
      <c r="C930" s="967">
        <v>90205</v>
      </c>
    </row>
    <row r="931" spans="2:3" x14ac:dyDescent="0.25">
      <c r="B931" s="984" t="s">
        <v>1207</v>
      </c>
      <c r="C931" s="967">
        <v>90301</v>
      </c>
    </row>
    <row r="932" spans="2:3" x14ac:dyDescent="0.25">
      <c r="B932" s="984" t="s">
        <v>3702</v>
      </c>
      <c r="C932" s="967">
        <v>93209</v>
      </c>
    </row>
    <row r="933" spans="2:3" x14ac:dyDescent="0.25">
      <c r="B933" s="984" t="s">
        <v>2131</v>
      </c>
      <c r="C933" s="967">
        <v>92021</v>
      </c>
    </row>
    <row r="934" spans="2:3" x14ac:dyDescent="0.25">
      <c r="B934" s="984" t="s">
        <v>2132</v>
      </c>
      <c r="C934" s="967">
        <v>94351</v>
      </c>
    </row>
    <row r="935" spans="2:3" x14ac:dyDescent="0.25">
      <c r="B935" s="984" t="s">
        <v>3703</v>
      </c>
      <c r="C935" s="967">
        <v>94347</v>
      </c>
    </row>
    <row r="936" spans="2:3" x14ac:dyDescent="0.25">
      <c r="B936" s="984" t="s">
        <v>1210</v>
      </c>
      <c r="C936" s="967">
        <v>90401</v>
      </c>
    </row>
    <row r="937" spans="2:3" x14ac:dyDescent="0.25">
      <c r="B937" s="984" t="s">
        <v>2133</v>
      </c>
      <c r="C937" s="967">
        <v>90451</v>
      </c>
    </row>
    <row r="938" spans="2:3" x14ac:dyDescent="0.25">
      <c r="B938" s="984" t="s">
        <v>2134</v>
      </c>
      <c r="C938" s="967">
        <v>99271</v>
      </c>
    </row>
    <row r="939" spans="2:3" x14ac:dyDescent="0.25">
      <c r="B939" s="984" t="s">
        <v>3704</v>
      </c>
      <c r="C939" s="967">
        <v>90099</v>
      </c>
    </row>
    <row r="940" spans="2:3" x14ac:dyDescent="0.25">
      <c r="B940" s="984" t="s">
        <v>2030</v>
      </c>
      <c r="C940" s="967">
        <v>99705</v>
      </c>
    </row>
    <row r="941" spans="2:3" x14ac:dyDescent="0.25">
      <c r="B941" s="984" t="s">
        <v>2135</v>
      </c>
      <c r="C941" s="967">
        <v>97651</v>
      </c>
    </row>
    <row r="942" spans="2:3" x14ac:dyDescent="0.25">
      <c r="B942" s="984" t="s">
        <v>2136</v>
      </c>
      <c r="C942" s="967">
        <v>95106</v>
      </c>
    </row>
    <row r="943" spans="2:3" x14ac:dyDescent="0.25">
      <c r="B943" s="984" t="s">
        <v>1219</v>
      </c>
      <c r="C943" s="967">
        <v>90501</v>
      </c>
    </row>
    <row r="944" spans="2:3" x14ac:dyDescent="0.25">
      <c r="B944" s="984" t="s">
        <v>2137</v>
      </c>
      <c r="C944" s="967">
        <v>97611</v>
      </c>
    </row>
    <row r="945" spans="2:3" x14ac:dyDescent="0.25">
      <c r="B945" s="984" t="s">
        <v>3705</v>
      </c>
      <c r="C945" s="967">
        <v>97607</v>
      </c>
    </row>
    <row r="946" spans="2:3" x14ac:dyDescent="0.25">
      <c r="B946" s="984" t="s">
        <v>3706</v>
      </c>
      <c r="C946" s="967">
        <v>97613</v>
      </c>
    </row>
    <row r="947" spans="2:3" x14ac:dyDescent="0.25">
      <c r="B947" s="984" t="s">
        <v>2138</v>
      </c>
      <c r="C947" s="967">
        <v>91121</v>
      </c>
    </row>
    <row r="948" spans="2:3" x14ac:dyDescent="0.25">
      <c r="B948" s="984" t="s">
        <v>3707</v>
      </c>
      <c r="C948" s="967">
        <v>91127</v>
      </c>
    </row>
    <row r="949" spans="2:3" x14ac:dyDescent="0.25">
      <c r="B949" s="984" t="s">
        <v>1293</v>
      </c>
      <c r="C949" s="967">
        <v>91128</v>
      </c>
    </row>
    <row r="950" spans="2:3" x14ac:dyDescent="0.25">
      <c r="B950" s="984" t="s">
        <v>2139</v>
      </c>
      <c r="C950" s="967">
        <v>91681</v>
      </c>
    </row>
    <row r="951" spans="2:3" x14ac:dyDescent="0.25">
      <c r="B951" s="984" t="s">
        <v>2140</v>
      </c>
      <c r="C951" s="967">
        <v>90811</v>
      </c>
    </row>
    <row r="952" spans="2:3" x14ac:dyDescent="0.25">
      <c r="B952" s="984" t="s">
        <v>2141</v>
      </c>
      <c r="C952" s="967">
        <v>90721</v>
      </c>
    </row>
    <row r="953" spans="2:3" x14ac:dyDescent="0.25">
      <c r="B953" s="984" t="s">
        <v>2142</v>
      </c>
      <c r="C953" s="967">
        <v>98271</v>
      </c>
    </row>
    <row r="954" spans="2:3" x14ac:dyDescent="0.25">
      <c r="B954" s="984" t="s">
        <v>1223</v>
      </c>
      <c r="C954" s="967">
        <v>90601</v>
      </c>
    </row>
    <row r="955" spans="2:3" x14ac:dyDescent="0.25">
      <c r="B955" s="984" t="s">
        <v>3708</v>
      </c>
      <c r="C955" s="967">
        <v>90602</v>
      </c>
    </row>
    <row r="956" spans="2:3" x14ac:dyDescent="0.25">
      <c r="B956" s="984" t="s">
        <v>3709</v>
      </c>
      <c r="C956" s="967">
        <v>90605</v>
      </c>
    </row>
    <row r="957" spans="2:3" x14ac:dyDescent="0.25">
      <c r="B957" s="984" t="s">
        <v>2143</v>
      </c>
      <c r="C957" s="967">
        <v>97461</v>
      </c>
    </row>
    <row r="958" spans="2:3" x14ac:dyDescent="0.25">
      <c r="B958" s="984" t="s">
        <v>1823</v>
      </c>
      <c r="C958" s="967">
        <v>97463</v>
      </c>
    </row>
    <row r="959" spans="2:3" x14ac:dyDescent="0.25">
      <c r="B959" s="984" t="s">
        <v>3710</v>
      </c>
      <c r="C959" s="967">
        <v>90705</v>
      </c>
    </row>
    <row r="960" spans="2:3" x14ac:dyDescent="0.25">
      <c r="B960" s="984" t="s">
        <v>2144</v>
      </c>
      <c r="C960" s="967">
        <v>98451</v>
      </c>
    </row>
    <row r="961" spans="2:3" x14ac:dyDescent="0.25">
      <c r="B961" s="984" t="s">
        <v>2145</v>
      </c>
      <c r="C961" s="967">
        <v>96451</v>
      </c>
    </row>
    <row r="962" spans="2:3" x14ac:dyDescent="0.25">
      <c r="B962" s="984" t="s">
        <v>2146</v>
      </c>
      <c r="C962" s="967">
        <v>96121</v>
      </c>
    </row>
    <row r="963" spans="2:3" x14ac:dyDescent="0.25">
      <c r="B963" s="984" t="s">
        <v>2147</v>
      </c>
      <c r="C963" s="967">
        <v>91091</v>
      </c>
    </row>
    <row r="964" spans="2:3" x14ac:dyDescent="0.25">
      <c r="B964" s="984" t="s">
        <v>2148</v>
      </c>
      <c r="C964" s="967">
        <v>90611</v>
      </c>
    </row>
    <row r="965" spans="2:3" x14ac:dyDescent="0.25">
      <c r="B965" s="984" t="s">
        <v>1785</v>
      </c>
      <c r="C965" s="967">
        <v>96918</v>
      </c>
    </row>
    <row r="966" spans="2:3" x14ac:dyDescent="0.25">
      <c r="B966" s="984" t="s">
        <v>2149</v>
      </c>
      <c r="C966" s="967">
        <v>96911</v>
      </c>
    </row>
    <row r="967" spans="2:3" x14ac:dyDescent="0.25">
      <c r="B967" s="984" t="s">
        <v>1982</v>
      </c>
      <c r="C967" s="967">
        <v>99208</v>
      </c>
    </row>
    <row r="968" spans="2:3" x14ac:dyDescent="0.25">
      <c r="B968" s="984" t="s">
        <v>2150</v>
      </c>
      <c r="C968" s="967">
        <v>91631</v>
      </c>
    </row>
    <row r="969" spans="2:3" x14ac:dyDescent="0.25">
      <c r="B969" s="984" t="s">
        <v>1231</v>
      </c>
      <c r="C969" s="967">
        <v>90701</v>
      </c>
    </row>
    <row r="970" spans="2:3" x14ac:dyDescent="0.25">
      <c r="B970" s="984" t="s">
        <v>3711</v>
      </c>
      <c r="C970" s="967">
        <v>90704</v>
      </c>
    </row>
    <row r="971" spans="2:3" x14ac:dyDescent="0.25">
      <c r="B971" s="984" t="s">
        <v>3712</v>
      </c>
      <c r="C971" s="967">
        <v>91633</v>
      </c>
    </row>
    <row r="972" spans="2:3" x14ac:dyDescent="0.25">
      <c r="B972" s="984" t="s">
        <v>2151</v>
      </c>
      <c r="C972" s="967">
        <v>90631</v>
      </c>
    </row>
    <row r="973" spans="2:3" x14ac:dyDescent="0.25">
      <c r="B973" s="984" t="s">
        <v>2152</v>
      </c>
      <c r="C973" s="967">
        <v>90731</v>
      </c>
    </row>
    <row r="974" spans="2:3" x14ac:dyDescent="0.25">
      <c r="B974" s="984" t="s">
        <v>2153</v>
      </c>
      <c r="C974" s="967">
        <v>93621</v>
      </c>
    </row>
    <row r="975" spans="2:3" x14ac:dyDescent="0.25">
      <c r="B975" s="984" t="s">
        <v>1515</v>
      </c>
      <c r="C975" s="967">
        <v>93623</v>
      </c>
    </row>
    <row r="976" spans="2:3" x14ac:dyDescent="0.25">
      <c r="B976" s="984" t="s">
        <v>2154</v>
      </c>
      <c r="C976" s="967">
        <v>91020</v>
      </c>
    </row>
    <row r="977" spans="2:3" x14ac:dyDescent="0.25">
      <c r="B977" s="984" t="s">
        <v>2155</v>
      </c>
      <c r="C977" s="967">
        <v>95141</v>
      </c>
    </row>
    <row r="978" spans="2:3" x14ac:dyDescent="0.25">
      <c r="B978" s="984" t="s">
        <v>1633</v>
      </c>
      <c r="C978" s="967">
        <v>95103</v>
      </c>
    </row>
    <row r="979" spans="2:3" x14ac:dyDescent="0.25">
      <c r="B979" s="984" t="s">
        <v>2156</v>
      </c>
      <c r="C979" s="967">
        <v>93021</v>
      </c>
    </row>
    <row r="980" spans="2:3" x14ac:dyDescent="0.25">
      <c r="B980" s="984" t="s">
        <v>1239</v>
      </c>
      <c r="C980" s="967">
        <v>90801</v>
      </c>
    </row>
    <row r="981" spans="2:3" x14ac:dyDescent="0.25">
      <c r="B981" s="984" t="s">
        <v>3713</v>
      </c>
      <c r="C981" s="967">
        <v>90804</v>
      </c>
    </row>
    <row r="982" spans="2:3" x14ac:dyDescent="0.25">
      <c r="B982" s="984" t="s">
        <v>1242</v>
      </c>
      <c r="C982" s="967">
        <v>90808</v>
      </c>
    </row>
    <row r="983" spans="2:3" x14ac:dyDescent="0.25">
      <c r="B983" s="984" t="s">
        <v>2157</v>
      </c>
      <c r="C983" s="967">
        <v>93671</v>
      </c>
    </row>
    <row r="984" spans="2:3" x14ac:dyDescent="0.25">
      <c r="B984" s="984" t="s">
        <v>2158</v>
      </c>
      <c r="C984" s="967">
        <v>93677</v>
      </c>
    </row>
    <row r="985" spans="2:3" x14ac:dyDescent="0.25">
      <c r="B985" s="984" t="s">
        <v>2159</v>
      </c>
      <c r="C985" s="967">
        <v>97441</v>
      </c>
    </row>
    <row r="986" spans="2:3" x14ac:dyDescent="0.25">
      <c r="B986" s="984" t="s">
        <v>2160</v>
      </c>
      <c r="C986" s="967">
        <v>93111</v>
      </c>
    </row>
    <row r="987" spans="2:3" x14ac:dyDescent="0.25">
      <c r="B987" s="984" t="s">
        <v>2161</v>
      </c>
      <c r="C987" s="967">
        <v>91111</v>
      </c>
    </row>
    <row r="988" spans="2:3" x14ac:dyDescent="0.25">
      <c r="B988" s="984" t="s">
        <v>2162</v>
      </c>
      <c r="C988" s="967">
        <v>96231</v>
      </c>
    </row>
    <row r="989" spans="2:3" x14ac:dyDescent="0.25">
      <c r="B989" s="984" t="s">
        <v>2163</v>
      </c>
      <c r="C989" s="967">
        <v>99831</v>
      </c>
    </row>
    <row r="990" spans="2:3" x14ac:dyDescent="0.25">
      <c r="B990" s="984" t="s">
        <v>2164</v>
      </c>
      <c r="C990" s="967">
        <v>91151</v>
      </c>
    </row>
    <row r="991" spans="2:3" x14ac:dyDescent="0.25">
      <c r="B991" s="984" t="s">
        <v>3714</v>
      </c>
      <c r="C991" s="967">
        <v>91154</v>
      </c>
    </row>
    <row r="992" spans="2:3" x14ac:dyDescent="0.25">
      <c r="B992" s="984" t="s">
        <v>1247</v>
      </c>
      <c r="C992" s="967">
        <v>90901</v>
      </c>
    </row>
    <row r="993" spans="2:3" x14ac:dyDescent="0.25">
      <c r="B993" s="984" t="s">
        <v>2165</v>
      </c>
      <c r="C993" s="967">
        <v>90941</v>
      </c>
    </row>
    <row r="994" spans="2:3" x14ac:dyDescent="0.25">
      <c r="B994" s="984" t="s">
        <v>2166</v>
      </c>
      <c r="C994" s="967">
        <v>99521</v>
      </c>
    </row>
    <row r="995" spans="2:3" x14ac:dyDescent="0.25">
      <c r="B995" s="984" t="s">
        <v>3715</v>
      </c>
      <c r="C995" s="967">
        <v>99527</v>
      </c>
    </row>
    <row r="996" spans="2:3" x14ac:dyDescent="0.25">
      <c r="B996" s="984" t="s">
        <v>2011</v>
      </c>
      <c r="C996" s="967">
        <v>99508</v>
      </c>
    </row>
    <row r="997" spans="2:3" x14ac:dyDescent="0.25">
      <c r="B997" s="984" t="s">
        <v>1600</v>
      </c>
      <c r="C997" s="967">
        <v>94532</v>
      </c>
    </row>
    <row r="998" spans="2:3" x14ac:dyDescent="0.25">
      <c r="B998" s="984" t="s">
        <v>3716</v>
      </c>
      <c r="C998" s="967">
        <v>91071</v>
      </c>
    </row>
    <row r="999" spans="2:3" x14ac:dyDescent="0.25">
      <c r="B999" s="984" t="s">
        <v>3717</v>
      </c>
      <c r="C999" s="967">
        <v>91077</v>
      </c>
    </row>
    <row r="1000" spans="2:3" x14ac:dyDescent="0.25">
      <c r="B1000" s="984" t="s">
        <v>2167</v>
      </c>
      <c r="C1000" s="967">
        <v>92331</v>
      </c>
    </row>
    <row r="1001" spans="2:3" x14ac:dyDescent="0.25">
      <c r="B1001" s="984" t="s">
        <v>2168</v>
      </c>
      <c r="C1001" s="967">
        <v>92414</v>
      </c>
    </row>
    <row r="1002" spans="2:3" x14ac:dyDescent="0.25">
      <c r="B1002" s="984" t="s">
        <v>2169</v>
      </c>
      <c r="C1002" s="967">
        <v>99511</v>
      </c>
    </row>
    <row r="1003" spans="2:3" x14ac:dyDescent="0.25">
      <c r="B1003" s="984" t="s">
        <v>2170</v>
      </c>
      <c r="C1003" s="967">
        <v>99941</v>
      </c>
    </row>
    <row r="1004" spans="2:3" x14ac:dyDescent="0.25">
      <c r="B1004" s="984" t="s">
        <v>1737</v>
      </c>
      <c r="C1004" s="967">
        <v>96405</v>
      </c>
    </row>
    <row r="1005" spans="2:3" x14ac:dyDescent="0.25">
      <c r="B1005" s="984" t="s">
        <v>2171</v>
      </c>
      <c r="C1005" s="967">
        <v>98811</v>
      </c>
    </row>
    <row r="1006" spans="2:3" x14ac:dyDescent="0.25">
      <c r="B1006" s="984" t="s">
        <v>3718</v>
      </c>
      <c r="C1006" s="967">
        <v>98817</v>
      </c>
    </row>
    <row r="1007" spans="2:3" x14ac:dyDescent="0.25">
      <c r="B1007" s="984" t="s">
        <v>2172</v>
      </c>
      <c r="C1007" s="967">
        <v>92561</v>
      </c>
    </row>
    <row r="1008" spans="2:3" x14ac:dyDescent="0.25">
      <c r="B1008" s="984" t="s">
        <v>1896</v>
      </c>
      <c r="C1008" s="967">
        <v>98102</v>
      </c>
    </row>
    <row r="1009" spans="2:3" x14ac:dyDescent="0.25">
      <c r="B1009" s="984" t="s">
        <v>2173</v>
      </c>
      <c r="C1009" s="967">
        <v>95321</v>
      </c>
    </row>
    <row r="1010" spans="2:3" x14ac:dyDescent="0.25">
      <c r="B1010" s="984" t="s">
        <v>2174</v>
      </c>
      <c r="C1010" s="967">
        <v>91861</v>
      </c>
    </row>
    <row r="1011" spans="2:3" x14ac:dyDescent="0.25">
      <c r="B1011" s="984" t="s">
        <v>2175</v>
      </c>
      <c r="C1011" s="967">
        <v>92421</v>
      </c>
    </row>
    <row r="1012" spans="2:3" x14ac:dyDescent="0.25">
      <c r="B1012" s="984" t="s">
        <v>3719</v>
      </c>
      <c r="C1012" s="967">
        <v>91006</v>
      </c>
    </row>
    <row r="1013" spans="2:3" x14ac:dyDescent="0.25">
      <c r="B1013" s="984" t="s">
        <v>3720</v>
      </c>
      <c r="C1013" s="967">
        <v>91003</v>
      </c>
    </row>
    <row r="1014" spans="2:3" x14ac:dyDescent="0.25">
      <c r="B1014" s="984" t="s">
        <v>1254</v>
      </c>
      <c r="C1014" s="967">
        <v>91001</v>
      </c>
    </row>
    <row r="1015" spans="2:3" x14ac:dyDescent="0.25">
      <c r="B1015" s="984" t="s">
        <v>3721</v>
      </c>
      <c r="C1015" s="967">
        <v>91004</v>
      </c>
    </row>
    <row r="1016" spans="2:3" x14ac:dyDescent="0.25">
      <c r="B1016" s="984" t="s">
        <v>3722</v>
      </c>
      <c r="C1016" s="967">
        <v>91009</v>
      </c>
    </row>
    <row r="1017" spans="2:3" x14ac:dyDescent="0.25">
      <c r="B1017" s="984" t="s">
        <v>3723</v>
      </c>
      <c r="C1017" s="967">
        <v>91042</v>
      </c>
    </row>
    <row r="1018" spans="2:3" x14ac:dyDescent="0.25">
      <c r="B1018" s="984" t="s">
        <v>2176</v>
      </c>
      <c r="C1018" s="967">
        <v>98711</v>
      </c>
    </row>
    <row r="1019" spans="2:3" x14ac:dyDescent="0.25">
      <c r="B1019" s="984" t="s">
        <v>3724</v>
      </c>
      <c r="C1019" s="967">
        <v>98717</v>
      </c>
    </row>
    <row r="1020" spans="2:3" x14ac:dyDescent="0.25">
      <c r="B1020" s="984" t="s">
        <v>1282</v>
      </c>
      <c r="C1020" s="967">
        <v>91101</v>
      </c>
    </row>
    <row r="1021" spans="2:3" x14ac:dyDescent="0.25">
      <c r="B1021" s="984" t="s">
        <v>2177</v>
      </c>
      <c r="C1021" s="967">
        <v>93531</v>
      </c>
    </row>
    <row r="1022" spans="2:3" x14ac:dyDescent="0.25">
      <c r="B1022" s="984" t="s">
        <v>3725</v>
      </c>
      <c r="C1022" s="967">
        <v>93537</v>
      </c>
    </row>
    <row r="1023" spans="2:3" x14ac:dyDescent="0.25">
      <c r="B1023" s="984" t="s">
        <v>2178</v>
      </c>
      <c r="C1023" s="967">
        <v>97111</v>
      </c>
    </row>
    <row r="1024" spans="2:3" x14ac:dyDescent="0.25">
      <c r="B1024" s="984" t="s">
        <v>3726</v>
      </c>
      <c r="C1024" s="967">
        <v>91206</v>
      </c>
    </row>
    <row r="1025" spans="2:3" x14ac:dyDescent="0.25">
      <c r="B1025" s="984" t="s">
        <v>3727</v>
      </c>
      <c r="C1025" s="967">
        <v>91203</v>
      </c>
    </row>
    <row r="1026" spans="2:3" x14ac:dyDescent="0.25">
      <c r="B1026" s="984" t="s">
        <v>1301</v>
      </c>
      <c r="C1026" s="967">
        <v>91201</v>
      </c>
    </row>
    <row r="1027" spans="2:3" x14ac:dyDescent="0.25">
      <c r="B1027" s="984" t="s">
        <v>3728</v>
      </c>
      <c r="C1027" s="967">
        <v>91208</v>
      </c>
    </row>
    <row r="1028" spans="2:3" x14ac:dyDescent="0.25">
      <c r="B1028" s="984" t="s">
        <v>3729</v>
      </c>
      <c r="C1028" s="967">
        <v>91202</v>
      </c>
    </row>
    <row r="1029" spans="2:3" x14ac:dyDescent="0.25">
      <c r="B1029" s="984" t="s">
        <v>2179</v>
      </c>
      <c r="C1029" s="967">
        <v>90111</v>
      </c>
    </row>
    <row r="1030" spans="2:3" x14ac:dyDescent="0.25">
      <c r="B1030" s="984" t="s">
        <v>2180</v>
      </c>
      <c r="C1030" s="967">
        <v>90011</v>
      </c>
    </row>
    <row r="1031" spans="2:3" x14ac:dyDescent="0.25">
      <c r="B1031" s="984" t="s">
        <v>2181</v>
      </c>
      <c r="C1031" s="967">
        <v>93931</v>
      </c>
    </row>
    <row r="1032" spans="2:3" x14ac:dyDescent="0.25">
      <c r="B1032" s="984" t="s">
        <v>3730</v>
      </c>
      <c r="C1032" s="974">
        <v>91306</v>
      </c>
    </row>
    <row r="1033" spans="2:3" x14ac:dyDescent="0.25">
      <c r="B1033" s="984" t="s">
        <v>1315</v>
      </c>
      <c r="C1033" s="967">
        <v>91301</v>
      </c>
    </row>
    <row r="1034" spans="2:3" x14ac:dyDescent="0.25">
      <c r="B1034" s="984" t="s">
        <v>3731</v>
      </c>
      <c r="C1034" s="974">
        <v>91308</v>
      </c>
    </row>
    <row r="1035" spans="2:3" x14ac:dyDescent="0.25">
      <c r="B1035" s="984" t="s">
        <v>3732</v>
      </c>
      <c r="C1035" s="967">
        <v>91461</v>
      </c>
    </row>
    <row r="1036" spans="2:3" x14ac:dyDescent="0.25">
      <c r="B1036" s="984" t="s">
        <v>2182</v>
      </c>
      <c r="C1036" s="967">
        <v>91010</v>
      </c>
    </row>
    <row r="1037" spans="2:3" x14ac:dyDescent="0.25">
      <c r="B1037" s="984" t="s">
        <v>3733</v>
      </c>
      <c r="C1037" s="967">
        <v>91007</v>
      </c>
    </row>
    <row r="1038" spans="2:3" x14ac:dyDescent="0.25">
      <c r="B1038" s="984" t="s">
        <v>1325</v>
      </c>
      <c r="C1038" s="967">
        <v>91401</v>
      </c>
    </row>
    <row r="1039" spans="2:3" x14ac:dyDescent="0.25">
      <c r="B1039" s="984" t="s">
        <v>2183</v>
      </c>
      <c r="C1039" s="967">
        <v>93171</v>
      </c>
    </row>
    <row r="1040" spans="2:3" x14ac:dyDescent="0.25">
      <c r="B1040" s="984" t="s">
        <v>1335</v>
      </c>
      <c r="C1040" s="967">
        <v>91501</v>
      </c>
    </row>
    <row r="1041" spans="2:3" x14ac:dyDescent="0.25">
      <c r="B1041" s="984" t="s">
        <v>3734</v>
      </c>
      <c r="C1041" s="967">
        <v>91504</v>
      </c>
    </row>
    <row r="1042" spans="2:3" x14ac:dyDescent="0.25">
      <c r="B1042" s="984" t="s">
        <v>2184</v>
      </c>
      <c r="C1042" s="967">
        <v>96312</v>
      </c>
    </row>
    <row r="1043" spans="2:3" x14ac:dyDescent="0.25">
      <c r="B1043" s="984" t="s">
        <v>2185</v>
      </c>
      <c r="C1043" s="967">
        <v>96241</v>
      </c>
    </row>
    <row r="1044" spans="2:3" x14ac:dyDescent="0.25">
      <c r="B1044" s="984" t="s">
        <v>2186</v>
      </c>
      <c r="C1044" s="967">
        <v>94431</v>
      </c>
    </row>
    <row r="1045" spans="2:3" x14ac:dyDescent="0.25">
      <c r="B1045" s="984" t="s">
        <v>3735</v>
      </c>
      <c r="C1045" s="967">
        <v>94437</v>
      </c>
    </row>
    <row r="1046" spans="2:3" x14ac:dyDescent="0.25">
      <c r="B1046" s="984" t="s">
        <v>2187</v>
      </c>
      <c r="C1046" s="967">
        <v>91671</v>
      </c>
    </row>
    <row r="1047" spans="2:3" x14ac:dyDescent="0.25">
      <c r="B1047" s="984" t="s">
        <v>1259</v>
      </c>
      <c r="C1047" s="967">
        <v>91008</v>
      </c>
    </row>
    <row r="1048" spans="2:3" x14ac:dyDescent="0.25">
      <c r="B1048" s="984" t="s">
        <v>1751</v>
      </c>
      <c r="C1048" s="967">
        <v>96512</v>
      </c>
    </row>
    <row r="1049" spans="2:3" x14ac:dyDescent="0.25">
      <c r="B1049" s="984" t="s">
        <v>1748</v>
      </c>
      <c r="C1049" s="967">
        <v>96507</v>
      </c>
    </row>
    <row r="1050" spans="2:3" x14ac:dyDescent="0.25">
      <c r="B1050" s="984" t="s">
        <v>2188</v>
      </c>
      <c r="C1050" s="967">
        <v>96521</v>
      </c>
    </row>
    <row r="1051" spans="2:3" x14ac:dyDescent="0.25">
      <c r="B1051" s="984" t="s">
        <v>2189</v>
      </c>
      <c r="C1051" s="967">
        <v>91024</v>
      </c>
    </row>
    <row r="1052" spans="2:3" x14ac:dyDescent="0.25">
      <c r="B1052" s="984" t="s">
        <v>2190</v>
      </c>
      <c r="C1052" s="967">
        <v>96821</v>
      </c>
    </row>
    <row r="1053" spans="2:3" x14ac:dyDescent="0.25">
      <c r="B1053" s="984" t="s">
        <v>1337</v>
      </c>
      <c r="C1053" s="967">
        <v>91601</v>
      </c>
    </row>
    <row r="1054" spans="2:3" x14ac:dyDescent="0.25">
      <c r="B1054" s="984" t="s">
        <v>3736</v>
      </c>
      <c r="C1054" s="967">
        <v>91604</v>
      </c>
    </row>
    <row r="1055" spans="2:3" x14ac:dyDescent="0.25">
      <c r="B1055" s="984" t="s">
        <v>2191</v>
      </c>
      <c r="C1055" s="967">
        <v>96391</v>
      </c>
    </row>
    <row r="1056" spans="2:3" x14ac:dyDescent="0.25">
      <c r="B1056" s="984" t="s">
        <v>2192</v>
      </c>
      <c r="C1056" s="967">
        <v>99221</v>
      </c>
    </row>
    <row r="1057" spans="2:3" x14ac:dyDescent="0.25">
      <c r="B1057" s="984" t="s">
        <v>2193</v>
      </c>
      <c r="C1057" s="967">
        <v>91051</v>
      </c>
    </row>
    <row r="1058" spans="2:3" x14ac:dyDescent="0.25">
      <c r="B1058" s="984" t="s">
        <v>3737</v>
      </c>
      <c r="C1058" s="967">
        <v>91706</v>
      </c>
    </row>
    <row r="1059" spans="2:3" x14ac:dyDescent="0.25">
      <c r="B1059" s="984" t="s">
        <v>1350</v>
      </c>
      <c r="C1059" s="967">
        <v>91701</v>
      </c>
    </row>
    <row r="1060" spans="2:3" x14ac:dyDescent="0.25">
      <c r="B1060" s="984" t="s">
        <v>3738</v>
      </c>
      <c r="C1060" s="967">
        <v>91704</v>
      </c>
    </row>
    <row r="1061" spans="2:3" x14ac:dyDescent="0.25">
      <c r="B1061" s="984" t="s">
        <v>2194</v>
      </c>
      <c r="C1061" s="967">
        <v>91881</v>
      </c>
    </row>
    <row r="1062" spans="2:3" x14ac:dyDescent="0.25">
      <c r="B1062" s="984" t="s">
        <v>1353</v>
      </c>
      <c r="C1062" s="967">
        <v>91801</v>
      </c>
    </row>
    <row r="1063" spans="2:3" x14ac:dyDescent="0.25">
      <c r="B1063" s="984" t="s">
        <v>3739</v>
      </c>
      <c r="C1063" s="967">
        <v>91804</v>
      </c>
    </row>
    <row r="1064" spans="2:3" x14ac:dyDescent="0.25">
      <c r="B1064" s="984" t="s">
        <v>2195</v>
      </c>
      <c r="C1064" s="967">
        <v>91691</v>
      </c>
    </row>
    <row r="1065" spans="2:3" x14ac:dyDescent="0.25">
      <c r="B1065" s="984" t="s">
        <v>3740</v>
      </c>
      <c r="C1065" s="967">
        <v>99222</v>
      </c>
    </row>
    <row r="1066" spans="2:3" x14ac:dyDescent="0.25">
      <c r="B1066" s="984" t="s">
        <v>3548</v>
      </c>
      <c r="C1066" s="967">
        <v>93408</v>
      </c>
    </row>
    <row r="1067" spans="2:3" x14ac:dyDescent="0.25">
      <c r="B1067" s="984" t="s">
        <v>1699</v>
      </c>
      <c r="C1067" s="967">
        <v>96009</v>
      </c>
    </row>
    <row r="1068" spans="2:3" x14ac:dyDescent="0.25">
      <c r="B1068" s="984" t="s">
        <v>2196</v>
      </c>
      <c r="C1068" s="967">
        <v>92441</v>
      </c>
    </row>
    <row r="1069" spans="2:3" x14ac:dyDescent="0.25">
      <c r="B1069" s="984" t="s">
        <v>2197</v>
      </c>
      <c r="C1069" s="967">
        <v>96811</v>
      </c>
    </row>
    <row r="1070" spans="2:3" x14ac:dyDescent="0.25">
      <c r="B1070" s="984" t="s">
        <v>2198</v>
      </c>
      <c r="C1070" s="967">
        <v>96011</v>
      </c>
    </row>
    <row r="1071" spans="2:3" x14ac:dyDescent="0.25">
      <c r="B1071" s="984" t="s">
        <v>3741</v>
      </c>
      <c r="C1071" s="967">
        <v>96018</v>
      </c>
    </row>
    <row r="1072" spans="2:3" x14ac:dyDescent="0.25">
      <c r="B1072" s="984" t="s">
        <v>3742</v>
      </c>
      <c r="C1072" s="967">
        <v>96003</v>
      </c>
    </row>
    <row r="1073" spans="2:3" x14ac:dyDescent="0.25">
      <c r="B1073" s="984" t="s">
        <v>3743</v>
      </c>
      <c r="C1073" s="967">
        <v>96005</v>
      </c>
    </row>
    <row r="1074" spans="2:3" x14ac:dyDescent="0.25">
      <c r="B1074" s="984" t="s">
        <v>3549</v>
      </c>
      <c r="C1074" s="967">
        <v>96012</v>
      </c>
    </row>
    <row r="1075" spans="2:3" x14ac:dyDescent="0.25">
      <c r="B1075" s="984" t="s">
        <v>3744</v>
      </c>
      <c r="C1075" s="967">
        <v>91903</v>
      </c>
    </row>
    <row r="1076" spans="2:3" x14ac:dyDescent="0.25">
      <c r="B1076" s="984" t="s">
        <v>1367</v>
      </c>
      <c r="C1076" s="967">
        <v>91901</v>
      </c>
    </row>
    <row r="1077" spans="2:3" x14ac:dyDescent="0.25">
      <c r="B1077" s="984" t="s">
        <v>3745</v>
      </c>
      <c r="C1077" s="967">
        <v>91904</v>
      </c>
    </row>
    <row r="1078" spans="2:3" x14ac:dyDescent="0.25">
      <c r="B1078" s="984" t="s">
        <v>1374</v>
      </c>
      <c r="C1078" s="967">
        <v>92001</v>
      </c>
    </row>
    <row r="1079" spans="2:3" x14ac:dyDescent="0.25">
      <c r="B1079" s="984" t="s">
        <v>2199</v>
      </c>
      <c r="C1079" s="967">
        <v>93641</v>
      </c>
    </row>
    <row r="1080" spans="2:3" x14ac:dyDescent="0.25">
      <c r="B1080" s="984" t="s">
        <v>3746</v>
      </c>
      <c r="C1080" s="967">
        <v>93647</v>
      </c>
    </row>
    <row r="1081" spans="2:3" x14ac:dyDescent="0.25">
      <c r="B1081" s="984" t="s">
        <v>2200</v>
      </c>
      <c r="C1081" s="967">
        <v>98041</v>
      </c>
    </row>
    <row r="1082" spans="2:3" x14ac:dyDescent="0.25">
      <c r="B1082" s="984" t="s">
        <v>3747</v>
      </c>
      <c r="C1082" s="967">
        <v>96612</v>
      </c>
    </row>
    <row r="1083" spans="2:3" x14ac:dyDescent="0.25">
      <c r="B1083" s="984" t="s">
        <v>2201</v>
      </c>
      <c r="C1083" s="967">
        <v>90751</v>
      </c>
    </row>
    <row r="1084" spans="2:3" x14ac:dyDescent="0.25">
      <c r="B1084" s="984" t="s">
        <v>1379</v>
      </c>
      <c r="C1084" s="967">
        <v>92101</v>
      </c>
    </row>
    <row r="1085" spans="2:3" x14ac:dyDescent="0.25">
      <c r="B1085" s="984" t="s">
        <v>3748</v>
      </c>
      <c r="C1085" s="967">
        <v>92104</v>
      </c>
    </row>
    <row r="1086" spans="2:3" x14ac:dyDescent="0.25">
      <c r="B1086" s="984" t="s">
        <v>2202</v>
      </c>
      <c r="C1086" s="967">
        <v>91821</v>
      </c>
    </row>
    <row r="1087" spans="2:3" x14ac:dyDescent="0.25">
      <c r="B1087" s="984" t="s">
        <v>2203</v>
      </c>
      <c r="C1087" s="967">
        <v>90931</v>
      </c>
    </row>
    <row r="1088" spans="2:3" x14ac:dyDescent="0.25">
      <c r="B1088" s="984" t="s">
        <v>1384</v>
      </c>
      <c r="C1088" s="967">
        <v>92201</v>
      </c>
    </row>
    <row r="1089" spans="2:3" x14ac:dyDescent="0.25">
      <c r="B1089" s="984" t="s">
        <v>2204</v>
      </c>
      <c r="C1089" s="967">
        <v>95131</v>
      </c>
    </row>
    <row r="1090" spans="2:3" x14ac:dyDescent="0.25">
      <c r="B1090" s="984" t="s">
        <v>2205</v>
      </c>
      <c r="C1090" s="967">
        <v>93441</v>
      </c>
    </row>
    <row r="1091" spans="2:3" x14ac:dyDescent="0.25">
      <c r="B1091" s="984" t="s">
        <v>1496</v>
      </c>
      <c r="C1091" s="967">
        <v>93442</v>
      </c>
    </row>
    <row r="1092" spans="2:3" x14ac:dyDescent="0.25">
      <c r="B1092" s="984" t="s">
        <v>2206</v>
      </c>
      <c r="C1092" s="967">
        <v>98091</v>
      </c>
    </row>
    <row r="1093" spans="2:3" x14ac:dyDescent="0.25">
      <c r="B1093" s="984" t="s">
        <v>1385</v>
      </c>
      <c r="C1093" s="967">
        <v>92301</v>
      </c>
    </row>
    <row r="1094" spans="2:3" x14ac:dyDescent="0.25">
      <c r="B1094" s="984" t="s">
        <v>3749</v>
      </c>
      <c r="C1094" s="967">
        <v>92302</v>
      </c>
    </row>
    <row r="1095" spans="2:3" x14ac:dyDescent="0.25">
      <c r="B1095" s="984" t="s">
        <v>2207</v>
      </c>
      <c r="C1095" s="967">
        <v>98211</v>
      </c>
    </row>
    <row r="1096" spans="2:3" x14ac:dyDescent="0.25">
      <c r="B1096" s="984" t="s">
        <v>3750</v>
      </c>
      <c r="C1096" s="967">
        <v>98218</v>
      </c>
    </row>
    <row r="1097" spans="2:3" x14ac:dyDescent="0.25">
      <c r="B1097" s="984" t="s">
        <v>3751</v>
      </c>
      <c r="C1097" s="967">
        <v>92506</v>
      </c>
    </row>
    <row r="1098" spans="2:3" x14ac:dyDescent="0.25">
      <c r="B1098" s="984" t="s">
        <v>3752</v>
      </c>
      <c r="C1098" s="967">
        <v>92508</v>
      </c>
    </row>
    <row r="1099" spans="2:3" x14ac:dyDescent="0.25">
      <c r="B1099" s="984" t="s">
        <v>2208</v>
      </c>
      <c r="C1099" s="967">
        <v>94341</v>
      </c>
    </row>
    <row r="1100" spans="2:3" x14ac:dyDescent="0.25">
      <c r="B1100" s="984" t="s">
        <v>2209</v>
      </c>
      <c r="C1100" s="967">
        <v>94641</v>
      </c>
    </row>
    <row r="1101" spans="2:3" x14ac:dyDescent="0.25">
      <c r="B1101" s="984" t="s">
        <v>2210</v>
      </c>
      <c r="C1101" s="967">
        <v>90813</v>
      </c>
    </row>
    <row r="1102" spans="2:3" x14ac:dyDescent="0.25">
      <c r="B1102" s="984" t="s">
        <v>1561</v>
      </c>
      <c r="C1102" s="967">
        <v>94168</v>
      </c>
    </row>
    <row r="1103" spans="2:3" x14ac:dyDescent="0.25">
      <c r="B1103" s="984" t="s">
        <v>2211</v>
      </c>
      <c r="C1103" s="967">
        <v>98911</v>
      </c>
    </row>
    <row r="1104" spans="2:3" x14ac:dyDescent="0.25">
      <c r="B1104" s="984" t="s">
        <v>2212</v>
      </c>
      <c r="C1104" s="967">
        <v>97521</v>
      </c>
    </row>
    <row r="1105" spans="2:3" x14ac:dyDescent="0.25">
      <c r="B1105" s="984" t="s">
        <v>1394</v>
      </c>
      <c r="C1105" s="967">
        <v>92401</v>
      </c>
    </row>
    <row r="1106" spans="2:3" x14ac:dyDescent="0.25">
      <c r="B1106" s="984" t="s">
        <v>2213</v>
      </c>
      <c r="C1106" s="967">
        <v>91311</v>
      </c>
    </row>
    <row r="1107" spans="2:3" x14ac:dyDescent="0.25">
      <c r="B1107" s="984" t="s">
        <v>3753</v>
      </c>
      <c r="C1107" s="967">
        <v>91317</v>
      </c>
    </row>
    <row r="1108" spans="2:3" x14ac:dyDescent="0.25">
      <c r="B1108" s="984" t="s">
        <v>2214</v>
      </c>
      <c r="C1108" s="967">
        <v>91261</v>
      </c>
    </row>
    <row r="1109" spans="2:3" x14ac:dyDescent="0.25">
      <c r="B1109" s="984" t="s">
        <v>2215</v>
      </c>
      <c r="C1109" s="967">
        <v>91851</v>
      </c>
    </row>
    <row r="1110" spans="2:3" x14ac:dyDescent="0.25">
      <c r="B1110" s="984" t="s">
        <v>3754</v>
      </c>
      <c r="C1110" s="967">
        <v>97408</v>
      </c>
    </row>
    <row r="1111" spans="2:3" x14ac:dyDescent="0.25">
      <c r="B1111" s="984" t="s">
        <v>2216</v>
      </c>
      <c r="C1111" s="967">
        <v>96641</v>
      </c>
    </row>
    <row r="1112" spans="2:3" x14ac:dyDescent="0.25">
      <c r="B1112" s="984" t="s">
        <v>2217</v>
      </c>
      <c r="C1112" s="967">
        <v>93031</v>
      </c>
    </row>
    <row r="1113" spans="2:3" x14ac:dyDescent="0.25">
      <c r="B1113" s="984" t="s">
        <v>3755</v>
      </c>
      <c r="C1113" s="967">
        <v>93027</v>
      </c>
    </row>
    <row r="1114" spans="2:3" x14ac:dyDescent="0.25">
      <c r="B1114" s="984" t="s">
        <v>2218</v>
      </c>
      <c r="C1114" s="967">
        <v>96051</v>
      </c>
    </row>
    <row r="1115" spans="2:3" x14ac:dyDescent="0.25">
      <c r="B1115" s="984" t="s">
        <v>3756</v>
      </c>
      <c r="C1115" s="967">
        <v>94501</v>
      </c>
    </row>
    <row r="1116" spans="2:3" x14ac:dyDescent="0.25">
      <c r="B1116" s="984" t="s">
        <v>2219</v>
      </c>
      <c r="C1116" s="967">
        <v>92571</v>
      </c>
    </row>
    <row r="1117" spans="2:3" x14ac:dyDescent="0.25">
      <c r="B1117" s="984" t="s">
        <v>2220</v>
      </c>
      <c r="C1117" s="967">
        <v>93631</v>
      </c>
    </row>
    <row r="1118" spans="2:3" x14ac:dyDescent="0.25">
      <c r="B1118" s="984" t="s">
        <v>3757</v>
      </c>
      <c r="C1118" s="967">
        <v>92504</v>
      </c>
    </row>
    <row r="1119" spans="2:3" x14ac:dyDescent="0.25">
      <c r="B1119" s="984" t="s">
        <v>1405</v>
      </c>
      <c r="C1119" s="967">
        <v>92501</v>
      </c>
    </row>
    <row r="1120" spans="2:3" x14ac:dyDescent="0.25">
      <c r="B1120" s="984" t="s">
        <v>1408</v>
      </c>
      <c r="C1120" s="967">
        <v>92505</v>
      </c>
    </row>
    <row r="1121" spans="2:3" x14ac:dyDescent="0.25">
      <c r="B1121" s="984" t="s">
        <v>2221</v>
      </c>
      <c r="C1121" s="967">
        <v>93921</v>
      </c>
    </row>
    <row r="1122" spans="2:3" x14ac:dyDescent="0.25">
      <c r="B1122" s="984" t="s">
        <v>2222</v>
      </c>
      <c r="C1122" s="967">
        <v>99431</v>
      </c>
    </row>
    <row r="1123" spans="2:3" x14ac:dyDescent="0.25">
      <c r="B1123" s="984" t="s">
        <v>3758</v>
      </c>
      <c r="C1123" s="967">
        <v>92604</v>
      </c>
    </row>
    <row r="1124" spans="2:3" x14ac:dyDescent="0.25">
      <c r="B1124" s="984" t="s">
        <v>1419</v>
      </c>
      <c r="C1124" s="967">
        <v>92601</v>
      </c>
    </row>
    <row r="1125" spans="2:3" x14ac:dyDescent="0.25">
      <c r="B1125" s="984" t="s">
        <v>1422</v>
      </c>
      <c r="C1125" s="967">
        <v>92608</v>
      </c>
    </row>
    <row r="1126" spans="2:3" x14ac:dyDescent="0.25">
      <c r="B1126" s="984" t="s">
        <v>3759</v>
      </c>
      <c r="C1126" s="967">
        <v>92704</v>
      </c>
    </row>
    <row r="1127" spans="2:3" x14ac:dyDescent="0.25">
      <c r="B1127" s="984" t="s">
        <v>1433</v>
      </c>
      <c r="C1127" s="967">
        <v>92701</v>
      </c>
    </row>
    <row r="1128" spans="2:3" x14ac:dyDescent="0.25">
      <c r="B1128" s="984" t="s">
        <v>2223</v>
      </c>
      <c r="C1128" s="967">
        <v>93651</v>
      </c>
    </row>
    <row r="1129" spans="2:3" x14ac:dyDescent="0.25">
      <c r="B1129" s="984" t="s">
        <v>1435</v>
      </c>
      <c r="C1129" s="967">
        <v>92801</v>
      </c>
    </row>
    <row r="1130" spans="2:3" x14ac:dyDescent="0.25">
      <c r="B1130" s="984" t="s">
        <v>3760</v>
      </c>
      <c r="C1130" s="967">
        <v>92804</v>
      </c>
    </row>
    <row r="1131" spans="2:3" x14ac:dyDescent="0.25">
      <c r="B1131" s="984" t="s">
        <v>1436</v>
      </c>
      <c r="C1131" s="967">
        <v>92802</v>
      </c>
    </row>
    <row r="1132" spans="2:3" x14ac:dyDescent="0.25">
      <c r="B1132" s="984" t="s">
        <v>2224</v>
      </c>
      <c r="C1132" s="967">
        <v>96081</v>
      </c>
    </row>
    <row r="1133" spans="2:3" x14ac:dyDescent="0.25">
      <c r="B1133" s="984" t="s">
        <v>1444</v>
      </c>
      <c r="C1133" s="967">
        <v>92901</v>
      </c>
    </row>
    <row r="1134" spans="2:3" x14ac:dyDescent="0.25">
      <c r="B1134" s="984" t="s">
        <v>1451</v>
      </c>
      <c r="C1134" s="967">
        <v>93001</v>
      </c>
    </row>
    <row r="1135" spans="2:3" x14ac:dyDescent="0.25">
      <c r="B1135" s="984" t="s">
        <v>3761</v>
      </c>
      <c r="C1135" s="967">
        <v>93009</v>
      </c>
    </row>
    <row r="1136" spans="2:3" x14ac:dyDescent="0.25">
      <c r="B1136" s="984" t="s">
        <v>2225</v>
      </c>
      <c r="C1136" s="967">
        <v>92921</v>
      </c>
    </row>
    <row r="1137" spans="2:3" x14ac:dyDescent="0.25">
      <c r="B1137" s="984" t="s">
        <v>2226</v>
      </c>
      <c r="C1137" s="967">
        <v>98621</v>
      </c>
    </row>
    <row r="1138" spans="2:3" x14ac:dyDescent="0.25">
      <c r="B1138" s="984" t="s">
        <v>3762</v>
      </c>
      <c r="C1138" s="967">
        <v>98627</v>
      </c>
    </row>
    <row r="1139" spans="2:3" x14ac:dyDescent="0.25">
      <c r="B1139" s="984" t="s">
        <v>2227</v>
      </c>
      <c r="C1139" s="967">
        <v>91221</v>
      </c>
    </row>
    <row r="1140" spans="2:3" x14ac:dyDescent="0.25">
      <c r="B1140" s="984" t="s">
        <v>2228</v>
      </c>
      <c r="C1140" s="967">
        <v>92861</v>
      </c>
    </row>
    <row r="1141" spans="2:3" x14ac:dyDescent="0.25">
      <c r="B1141" s="984" t="s">
        <v>2229</v>
      </c>
      <c r="C1141" s="967">
        <v>94311</v>
      </c>
    </row>
    <row r="1142" spans="2:3" x14ac:dyDescent="0.25">
      <c r="B1142" s="984" t="s">
        <v>3763</v>
      </c>
      <c r="C1142" s="967">
        <v>94317</v>
      </c>
    </row>
    <row r="1143" spans="2:3" x14ac:dyDescent="0.25">
      <c r="B1143" s="984" t="s">
        <v>1576</v>
      </c>
      <c r="C1143" s="967">
        <v>94313</v>
      </c>
    </row>
    <row r="1144" spans="2:3" x14ac:dyDescent="0.25">
      <c r="B1144" s="984" t="s">
        <v>1457</v>
      </c>
      <c r="C1144" s="967">
        <v>93101</v>
      </c>
    </row>
    <row r="1145" spans="2:3" x14ac:dyDescent="0.25">
      <c r="B1145" s="984" t="s">
        <v>2230</v>
      </c>
      <c r="C1145" s="967">
        <v>93103</v>
      </c>
    </row>
    <row r="1146" spans="2:3" x14ac:dyDescent="0.25">
      <c r="B1146" s="984" t="s">
        <v>2231</v>
      </c>
      <c r="C1146" s="967">
        <v>93211</v>
      </c>
    </row>
    <row r="1147" spans="2:3" x14ac:dyDescent="0.25">
      <c r="B1147" s="984" t="s">
        <v>3764</v>
      </c>
      <c r="C1147" s="967">
        <v>93212</v>
      </c>
    </row>
    <row r="1148" spans="2:3" x14ac:dyDescent="0.25">
      <c r="B1148" s="984" t="s">
        <v>1470</v>
      </c>
      <c r="C1148" s="967">
        <v>93201</v>
      </c>
    </row>
    <row r="1149" spans="2:3" x14ac:dyDescent="0.25">
      <c r="B1149" s="984" t="s">
        <v>3765</v>
      </c>
      <c r="C1149" s="967">
        <v>93204</v>
      </c>
    </row>
    <row r="1150" spans="2:3" x14ac:dyDescent="0.25">
      <c r="B1150" s="984" t="s">
        <v>3766</v>
      </c>
      <c r="C1150" s="967">
        <v>99212</v>
      </c>
    </row>
    <row r="1151" spans="2:3" x14ac:dyDescent="0.25">
      <c r="B1151" s="984" t="s">
        <v>1789</v>
      </c>
      <c r="C1151" s="967">
        <v>97005</v>
      </c>
    </row>
    <row r="1152" spans="2:3" x14ac:dyDescent="0.25">
      <c r="B1152" s="984" t="s">
        <v>2232</v>
      </c>
      <c r="C1152" s="967">
        <v>99931</v>
      </c>
    </row>
    <row r="1153" spans="2:3" x14ac:dyDescent="0.25">
      <c r="B1153" s="984" t="s">
        <v>2233</v>
      </c>
      <c r="C1153" s="967">
        <v>98021</v>
      </c>
    </row>
    <row r="1154" spans="2:3" x14ac:dyDescent="0.25">
      <c r="B1154" s="984" t="s">
        <v>1887</v>
      </c>
      <c r="C1154" s="967">
        <v>98023</v>
      </c>
    </row>
    <row r="1155" spans="2:3" x14ac:dyDescent="0.25">
      <c r="B1155" s="984" t="s">
        <v>1184</v>
      </c>
      <c r="C1155" s="967">
        <v>70505</v>
      </c>
    </row>
    <row r="1156" spans="2:3" x14ac:dyDescent="0.25">
      <c r="B1156" s="984" t="s">
        <v>3767</v>
      </c>
      <c r="C1156" s="967">
        <v>99603</v>
      </c>
    </row>
    <row r="1157" spans="2:3" x14ac:dyDescent="0.25">
      <c r="B1157" s="984" t="s">
        <v>3768</v>
      </c>
      <c r="C1157" s="967">
        <v>99610</v>
      </c>
    </row>
    <row r="1158" spans="2:3" x14ac:dyDescent="0.25">
      <c r="B1158" s="984" t="s">
        <v>2234</v>
      </c>
      <c r="C1158" s="967">
        <v>92681</v>
      </c>
    </row>
    <row r="1159" spans="2:3" x14ac:dyDescent="0.25">
      <c r="B1159" s="984" t="s">
        <v>3552</v>
      </c>
      <c r="C1159" s="967">
        <v>93108</v>
      </c>
    </row>
    <row r="1160" spans="2:3" x14ac:dyDescent="0.25">
      <c r="B1160" s="984" t="s">
        <v>2235</v>
      </c>
      <c r="C1160" s="967">
        <v>97951</v>
      </c>
    </row>
    <row r="1161" spans="2:3" x14ac:dyDescent="0.25">
      <c r="B1161" s="984" t="s">
        <v>3769</v>
      </c>
      <c r="C1161" s="967">
        <v>97957</v>
      </c>
    </row>
    <row r="1162" spans="2:3" x14ac:dyDescent="0.25">
      <c r="B1162" s="984" t="s">
        <v>2236</v>
      </c>
      <c r="C1162" s="967">
        <v>92111</v>
      </c>
    </row>
    <row r="1163" spans="2:3" x14ac:dyDescent="0.25">
      <c r="B1163" s="984" t="s">
        <v>1477</v>
      </c>
      <c r="C1163" s="967">
        <v>93301</v>
      </c>
    </row>
    <row r="1164" spans="2:3" x14ac:dyDescent="0.25">
      <c r="B1164" s="984" t="s">
        <v>3770</v>
      </c>
      <c r="C1164" s="967">
        <v>93304</v>
      </c>
    </row>
    <row r="1165" spans="2:3" x14ac:dyDescent="0.25">
      <c r="B1165" s="984" t="s">
        <v>3771</v>
      </c>
      <c r="C1165" s="967">
        <v>93305</v>
      </c>
    </row>
    <row r="1166" spans="2:3" x14ac:dyDescent="0.25">
      <c r="B1166" s="984" t="s">
        <v>3772</v>
      </c>
      <c r="C1166" s="967">
        <v>99210</v>
      </c>
    </row>
    <row r="1167" spans="2:3" x14ac:dyDescent="0.25">
      <c r="B1167" s="984" t="s">
        <v>1792</v>
      </c>
      <c r="C1167" s="967">
        <v>97011</v>
      </c>
    </row>
    <row r="1168" spans="2:3" x14ac:dyDescent="0.25">
      <c r="B1168" s="984" t="s">
        <v>3773</v>
      </c>
      <c r="C1168" s="967">
        <v>97013</v>
      </c>
    </row>
    <row r="1169" spans="2:3" x14ac:dyDescent="0.25">
      <c r="B1169" s="984" t="s">
        <v>3774</v>
      </c>
      <c r="C1169" s="967">
        <v>97012</v>
      </c>
    </row>
    <row r="1170" spans="2:3" x14ac:dyDescent="0.25">
      <c r="B1170" s="984" t="s">
        <v>3775</v>
      </c>
      <c r="C1170" s="967">
        <v>97018</v>
      </c>
    </row>
    <row r="1171" spans="2:3" x14ac:dyDescent="0.25">
      <c r="B1171" s="984" t="s">
        <v>2237</v>
      </c>
      <c r="C1171" s="967">
        <v>90911</v>
      </c>
    </row>
    <row r="1172" spans="2:3" x14ac:dyDescent="0.25">
      <c r="B1172" s="984" t="s">
        <v>3776</v>
      </c>
      <c r="C1172" s="967">
        <v>90917</v>
      </c>
    </row>
    <row r="1173" spans="2:3" x14ac:dyDescent="0.25">
      <c r="B1173" s="984" t="s">
        <v>2238</v>
      </c>
      <c r="C1173" s="967">
        <v>90641</v>
      </c>
    </row>
    <row r="1174" spans="2:3" x14ac:dyDescent="0.25">
      <c r="B1174" s="984" t="s">
        <v>2239</v>
      </c>
      <c r="C1174" s="967">
        <v>98641</v>
      </c>
    </row>
    <row r="1175" spans="2:3" x14ac:dyDescent="0.25">
      <c r="B1175" s="984" t="s">
        <v>2240</v>
      </c>
      <c r="C1175" s="967">
        <v>98161</v>
      </c>
    </row>
    <row r="1176" spans="2:3" x14ac:dyDescent="0.25">
      <c r="B1176" s="984" t="s">
        <v>2241</v>
      </c>
      <c r="C1176" s="967">
        <v>97731</v>
      </c>
    </row>
    <row r="1177" spans="2:3" x14ac:dyDescent="0.25">
      <c r="B1177" s="984" t="s">
        <v>2242</v>
      </c>
      <c r="C1177" s="967">
        <v>99851</v>
      </c>
    </row>
    <row r="1178" spans="2:3" x14ac:dyDescent="0.25">
      <c r="B1178" s="984" t="s">
        <v>3777</v>
      </c>
      <c r="C1178" s="967">
        <v>90131</v>
      </c>
    </row>
    <row r="1179" spans="2:3" x14ac:dyDescent="0.25">
      <c r="B1179" s="984" t="s">
        <v>2243</v>
      </c>
      <c r="C1179" s="967">
        <v>91651</v>
      </c>
    </row>
    <row r="1180" spans="2:3" x14ac:dyDescent="0.25">
      <c r="B1180" s="984" t="s">
        <v>2244</v>
      </c>
      <c r="C1180" s="967">
        <v>94211</v>
      </c>
    </row>
    <row r="1181" spans="2:3" x14ac:dyDescent="0.25">
      <c r="B1181" s="984" t="s">
        <v>2245</v>
      </c>
      <c r="C1181" s="967">
        <v>94331</v>
      </c>
    </row>
    <row r="1182" spans="2:3" x14ac:dyDescent="0.25">
      <c r="B1182" s="984" t="s">
        <v>2246</v>
      </c>
      <c r="C1182" s="967">
        <v>92431</v>
      </c>
    </row>
    <row r="1183" spans="2:3" x14ac:dyDescent="0.25">
      <c r="B1183" s="984" t="s">
        <v>2247</v>
      </c>
      <c r="C1183" s="967">
        <v>97821</v>
      </c>
    </row>
    <row r="1184" spans="2:3" x14ac:dyDescent="0.25">
      <c r="B1184" s="984" t="s">
        <v>1859</v>
      </c>
      <c r="C1184" s="967">
        <v>97823</v>
      </c>
    </row>
    <row r="1185" spans="2:3" x14ac:dyDescent="0.25">
      <c r="B1185" s="984" t="s">
        <v>2248</v>
      </c>
      <c r="C1185" s="967">
        <v>93141</v>
      </c>
    </row>
    <row r="1186" spans="2:3" x14ac:dyDescent="0.25">
      <c r="B1186" s="984" t="s">
        <v>2249</v>
      </c>
      <c r="C1186" s="967">
        <v>98081</v>
      </c>
    </row>
    <row r="1187" spans="2:3" x14ac:dyDescent="0.25">
      <c r="B1187" s="984" t="s">
        <v>2250</v>
      </c>
      <c r="C1187" s="967">
        <v>92671</v>
      </c>
    </row>
    <row r="1188" spans="2:3" x14ac:dyDescent="0.25">
      <c r="B1188" s="984" t="s">
        <v>2251</v>
      </c>
      <c r="C1188" s="967">
        <v>97421</v>
      </c>
    </row>
    <row r="1189" spans="2:3" x14ac:dyDescent="0.25">
      <c r="B1189" s="984" t="s">
        <v>1818</v>
      </c>
      <c r="C1189" s="967">
        <v>97423</v>
      </c>
    </row>
    <row r="1190" spans="2:3" x14ac:dyDescent="0.25">
      <c r="B1190" s="984" t="s">
        <v>2252</v>
      </c>
      <c r="C1190" s="967">
        <v>92611</v>
      </c>
    </row>
    <row r="1191" spans="2:3" x14ac:dyDescent="0.25">
      <c r="B1191" s="984" t="s">
        <v>3778</v>
      </c>
      <c r="C1191" s="967">
        <v>92613</v>
      </c>
    </row>
    <row r="1192" spans="2:3" x14ac:dyDescent="0.25">
      <c r="B1192" s="984" t="s">
        <v>3779</v>
      </c>
      <c r="C1192" s="967">
        <v>92502</v>
      </c>
    </row>
    <row r="1193" spans="2:3" x14ac:dyDescent="0.25">
      <c r="B1193" s="984" t="s">
        <v>2253</v>
      </c>
      <c r="C1193" s="967">
        <v>94531</v>
      </c>
    </row>
    <row r="1194" spans="2:3" x14ac:dyDescent="0.25">
      <c r="B1194" s="984" t="s">
        <v>2254</v>
      </c>
      <c r="C1194" s="967">
        <v>94541</v>
      </c>
    </row>
    <row r="1195" spans="2:3" x14ac:dyDescent="0.25">
      <c r="B1195" s="984" t="s">
        <v>3780</v>
      </c>
      <c r="C1195" s="967">
        <v>94547</v>
      </c>
    </row>
    <row r="1196" spans="2:3" x14ac:dyDescent="0.25">
      <c r="B1196" s="984" t="s">
        <v>1628</v>
      </c>
      <c r="C1196" s="967">
        <v>95005</v>
      </c>
    </row>
    <row r="1197" spans="2:3" x14ac:dyDescent="0.25">
      <c r="B1197" s="984" t="s">
        <v>1900</v>
      </c>
      <c r="C1197" s="967">
        <v>98111</v>
      </c>
    </row>
    <row r="1198" spans="2:3" x14ac:dyDescent="0.25">
      <c r="B1198" s="984" t="s">
        <v>3781</v>
      </c>
      <c r="C1198" s="967">
        <v>98107</v>
      </c>
    </row>
    <row r="1199" spans="2:3" x14ac:dyDescent="0.25">
      <c r="B1199" s="984" t="s">
        <v>1901</v>
      </c>
      <c r="C1199" s="967">
        <v>98113</v>
      </c>
    </row>
    <row r="1200" spans="2:3" x14ac:dyDescent="0.25">
      <c r="B1200" s="984" t="s">
        <v>3782</v>
      </c>
      <c r="C1200" s="967">
        <v>99602</v>
      </c>
    </row>
    <row r="1201" spans="2:3" x14ac:dyDescent="0.25">
      <c r="B1201" s="984" t="s">
        <v>1488</v>
      </c>
      <c r="C1201" s="967">
        <v>93401</v>
      </c>
    </row>
    <row r="1202" spans="2:3" x14ac:dyDescent="0.25">
      <c r="B1202" s="984" t="s">
        <v>3783</v>
      </c>
      <c r="C1202" s="967">
        <v>97491</v>
      </c>
    </row>
    <row r="1203" spans="2:3" x14ac:dyDescent="0.25">
      <c r="B1203" s="984" t="s">
        <v>2255</v>
      </c>
      <c r="C1203" s="967">
        <v>95151</v>
      </c>
    </row>
    <row r="1204" spans="2:3" x14ac:dyDescent="0.25">
      <c r="B1204" s="984" t="s">
        <v>1733</v>
      </c>
      <c r="C1204" s="967">
        <v>96381</v>
      </c>
    </row>
    <row r="1205" spans="2:3" x14ac:dyDescent="0.25">
      <c r="B1205" s="984" t="s">
        <v>2256</v>
      </c>
      <c r="C1205" s="967">
        <v>95611</v>
      </c>
    </row>
    <row r="1206" spans="2:3" x14ac:dyDescent="0.25">
      <c r="B1206" s="984" t="s">
        <v>1500</v>
      </c>
      <c r="C1206" s="967">
        <v>93501</v>
      </c>
    </row>
    <row r="1207" spans="2:3" x14ac:dyDescent="0.25">
      <c r="B1207" s="984" t="s">
        <v>2257</v>
      </c>
      <c r="C1207" s="967">
        <v>93511</v>
      </c>
    </row>
    <row r="1208" spans="2:3" x14ac:dyDescent="0.25">
      <c r="B1208" s="984" t="s">
        <v>3784</v>
      </c>
      <c r="C1208" s="967">
        <v>93517</v>
      </c>
    </row>
    <row r="1209" spans="2:3" x14ac:dyDescent="0.25">
      <c r="B1209" s="984" t="s">
        <v>2258</v>
      </c>
      <c r="C1209" s="967">
        <v>99631</v>
      </c>
    </row>
    <row r="1210" spans="2:3" x14ac:dyDescent="0.25">
      <c r="B1210" s="984" t="s">
        <v>2259</v>
      </c>
      <c r="C1210" s="967">
        <v>99261</v>
      </c>
    </row>
    <row r="1211" spans="2:3" x14ac:dyDescent="0.25">
      <c r="B1211" s="984" t="s">
        <v>2260</v>
      </c>
      <c r="C1211" s="967">
        <v>98241</v>
      </c>
    </row>
    <row r="1212" spans="2:3" x14ac:dyDescent="0.25">
      <c r="B1212" s="984" t="s">
        <v>2261</v>
      </c>
      <c r="C1212" s="967">
        <v>99251</v>
      </c>
    </row>
    <row r="1213" spans="2:3" x14ac:dyDescent="0.25">
      <c r="B1213" s="984" t="s">
        <v>3785</v>
      </c>
      <c r="C1213" s="967">
        <v>99252</v>
      </c>
    </row>
    <row r="1214" spans="2:3" x14ac:dyDescent="0.25">
      <c r="B1214" s="984" t="s">
        <v>2262</v>
      </c>
      <c r="C1214" s="967">
        <v>96631</v>
      </c>
    </row>
    <row r="1215" spans="2:3" x14ac:dyDescent="0.25">
      <c r="B1215" s="984" t="s">
        <v>2263</v>
      </c>
      <c r="C1215" s="967">
        <v>96651</v>
      </c>
    </row>
    <row r="1216" spans="2:3" x14ac:dyDescent="0.25">
      <c r="B1216" s="984" t="s">
        <v>1508</v>
      </c>
      <c r="C1216" s="967">
        <v>93601</v>
      </c>
    </row>
    <row r="1217" spans="2:3" x14ac:dyDescent="0.25">
      <c r="B1217" s="984" t="s">
        <v>3786</v>
      </c>
      <c r="C1217" s="967">
        <v>93618</v>
      </c>
    </row>
    <row r="1218" spans="2:3" x14ac:dyDescent="0.25">
      <c r="B1218" s="984" t="s">
        <v>2264</v>
      </c>
      <c r="C1218" s="967">
        <v>93611</v>
      </c>
    </row>
    <row r="1219" spans="2:3" x14ac:dyDescent="0.25">
      <c r="B1219" s="984" t="s">
        <v>3787</v>
      </c>
      <c r="C1219" s="967">
        <v>93617</v>
      </c>
    </row>
    <row r="1220" spans="2:3" x14ac:dyDescent="0.25">
      <c r="B1220" s="984" t="s">
        <v>1525</v>
      </c>
      <c r="C1220" s="967">
        <v>93701</v>
      </c>
    </row>
    <row r="1221" spans="2:3" x14ac:dyDescent="0.25">
      <c r="B1221" s="984" t="s">
        <v>3788</v>
      </c>
      <c r="C1221" s="967">
        <v>93704</v>
      </c>
    </row>
    <row r="1222" spans="2:3" x14ac:dyDescent="0.25">
      <c r="B1222" s="984" t="s">
        <v>2265</v>
      </c>
      <c r="C1222" s="967">
        <v>98331</v>
      </c>
    </row>
    <row r="1223" spans="2:3" x14ac:dyDescent="0.25">
      <c r="B1223" s="984" t="s">
        <v>2266</v>
      </c>
      <c r="C1223" s="967">
        <v>94151</v>
      </c>
    </row>
    <row r="1224" spans="2:3" x14ac:dyDescent="0.25">
      <c r="B1224" s="984" t="s">
        <v>3789</v>
      </c>
      <c r="C1224" s="967">
        <v>94157</v>
      </c>
    </row>
    <row r="1225" spans="2:3" x14ac:dyDescent="0.25">
      <c r="B1225" s="984" t="s">
        <v>2267</v>
      </c>
      <c r="C1225" s="967">
        <v>91241</v>
      </c>
    </row>
    <row r="1226" spans="2:3" x14ac:dyDescent="0.25">
      <c r="B1226" s="984" t="s">
        <v>1662</v>
      </c>
      <c r="C1226" s="967">
        <v>95412</v>
      </c>
    </row>
    <row r="1227" spans="2:3" x14ac:dyDescent="0.25">
      <c r="B1227" s="984" t="s">
        <v>2268</v>
      </c>
      <c r="C1227" s="967">
        <v>99611</v>
      </c>
    </row>
    <row r="1228" spans="2:3" x14ac:dyDescent="0.25">
      <c r="B1228" s="984" t="s">
        <v>1370</v>
      </c>
      <c r="C1228" s="967">
        <v>91908</v>
      </c>
    </row>
    <row r="1229" spans="2:3" x14ac:dyDescent="0.25">
      <c r="B1229" s="984" t="s">
        <v>2269</v>
      </c>
      <c r="C1229" s="967">
        <v>90121</v>
      </c>
    </row>
    <row r="1230" spans="2:3" x14ac:dyDescent="0.25">
      <c r="B1230" s="984" t="s">
        <v>3790</v>
      </c>
      <c r="C1230" s="967">
        <v>93803</v>
      </c>
    </row>
    <row r="1231" spans="2:3" x14ac:dyDescent="0.25">
      <c r="B1231" s="984" t="s">
        <v>1527</v>
      </c>
      <c r="C1231" s="967">
        <v>93801</v>
      </c>
    </row>
    <row r="1232" spans="2:3" x14ac:dyDescent="0.25">
      <c r="B1232" s="984" t="s">
        <v>3791</v>
      </c>
      <c r="C1232" s="967">
        <v>93806</v>
      </c>
    </row>
    <row r="1233" spans="2:3" x14ac:dyDescent="0.25">
      <c r="B1233" s="984" t="s">
        <v>2270</v>
      </c>
      <c r="C1233" s="967">
        <v>91411</v>
      </c>
    </row>
    <row r="1234" spans="2:3" x14ac:dyDescent="0.25">
      <c r="B1234" s="984" t="s">
        <v>3792</v>
      </c>
      <c r="C1234" s="967">
        <v>91417</v>
      </c>
    </row>
    <row r="1235" spans="2:3" x14ac:dyDescent="0.25">
      <c r="B1235" s="984" t="s">
        <v>2271</v>
      </c>
      <c r="C1235" s="967">
        <v>98061</v>
      </c>
    </row>
    <row r="1236" spans="2:3" x14ac:dyDescent="0.25">
      <c r="B1236" s="984" t="s">
        <v>3793</v>
      </c>
      <c r="C1236" s="967">
        <v>93904</v>
      </c>
    </row>
    <row r="1237" spans="2:3" x14ac:dyDescent="0.25">
      <c r="B1237" s="984" t="s">
        <v>1530</v>
      </c>
      <c r="C1237" s="967">
        <v>93901</v>
      </c>
    </row>
    <row r="1238" spans="2:3" x14ac:dyDescent="0.25">
      <c r="B1238" s="984" t="s">
        <v>1532</v>
      </c>
      <c r="C1238" s="967">
        <v>93906</v>
      </c>
    </row>
    <row r="1239" spans="2:3" x14ac:dyDescent="0.25">
      <c r="B1239" s="984" t="s">
        <v>3794</v>
      </c>
      <c r="C1239" s="967">
        <v>93908</v>
      </c>
    </row>
    <row r="1240" spans="2:3" x14ac:dyDescent="0.25">
      <c r="B1240" s="984" t="s">
        <v>3795</v>
      </c>
      <c r="C1240" s="967">
        <v>94908</v>
      </c>
    </row>
    <row r="1241" spans="2:3" x14ac:dyDescent="0.25">
      <c r="B1241" s="984" t="s">
        <v>2272</v>
      </c>
      <c r="C1241" s="967">
        <v>90161</v>
      </c>
    </row>
    <row r="1242" spans="2:3" x14ac:dyDescent="0.25">
      <c r="B1242" s="984" t="s">
        <v>1540</v>
      </c>
      <c r="C1242" s="967">
        <v>94001</v>
      </c>
    </row>
    <row r="1243" spans="2:3" x14ac:dyDescent="0.25">
      <c r="B1243" s="984" t="s">
        <v>3796</v>
      </c>
      <c r="C1243" s="967">
        <v>94004</v>
      </c>
    </row>
    <row r="1244" spans="2:3" x14ac:dyDescent="0.25">
      <c r="B1244" s="984" t="s">
        <v>2273</v>
      </c>
      <c r="C1244" s="967">
        <v>94111</v>
      </c>
    </row>
    <row r="1245" spans="2:3" x14ac:dyDescent="0.25">
      <c r="B1245" s="984" t="s">
        <v>3797</v>
      </c>
      <c r="C1245" s="967">
        <v>94117</v>
      </c>
    </row>
    <row r="1246" spans="2:3" x14ac:dyDescent="0.25">
      <c r="B1246" s="984" t="s">
        <v>2274</v>
      </c>
      <c r="C1246" s="967">
        <v>97411</v>
      </c>
    </row>
    <row r="1247" spans="2:3" x14ac:dyDescent="0.25">
      <c r="B1247" s="984" t="s">
        <v>1816</v>
      </c>
      <c r="C1247" s="967">
        <v>97413</v>
      </c>
    </row>
    <row r="1248" spans="2:3" x14ac:dyDescent="0.25">
      <c r="B1248" s="984" t="s">
        <v>1815</v>
      </c>
      <c r="C1248" s="967">
        <v>97412</v>
      </c>
    </row>
    <row r="1249" spans="2:3" x14ac:dyDescent="0.25">
      <c r="B1249" s="984" t="s">
        <v>2275</v>
      </c>
      <c r="C1249" s="967">
        <v>97431</v>
      </c>
    </row>
    <row r="1250" spans="2:3" x14ac:dyDescent="0.25">
      <c r="B1250" s="984" t="s">
        <v>2276</v>
      </c>
      <c r="C1250" s="967">
        <v>97471</v>
      </c>
    </row>
    <row r="1251" spans="2:3" x14ac:dyDescent="0.25">
      <c r="B1251" s="984" t="s">
        <v>2277</v>
      </c>
      <c r="C1251" s="967">
        <v>92351</v>
      </c>
    </row>
    <row r="1252" spans="2:3" x14ac:dyDescent="0.25">
      <c r="B1252" s="984" t="s">
        <v>2278</v>
      </c>
      <c r="C1252" s="967">
        <v>94101</v>
      </c>
    </row>
    <row r="1253" spans="2:3" x14ac:dyDescent="0.25">
      <c r="B1253" s="984" t="s">
        <v>3798</v>
      </c>
      <c r="C1253" s="967">
        <v>94118</v>
      </c>
    </row>
    <row r="1254" spans="2:3" x14ac:dyDescent="0.25">
      <c r="B1254" s="984" t="s">
        <v>1548</v>
      </c>
      <c r="C1254" s="967">
        <v>94102</v>
      </c>
    </row>
    <row r="1255" spans="2:3" x14ac:dyDescent="0.25">
      <c r="B1255" s="984" t="s">
        <v>1564</v>
      </c>
      <c r="C1255" s="967">
        <v>94201</v>
      </c>
    </row>
    <row r="1256" spans="2:3" x14ac:dyDescent="0.25">
      <c r="B1256" s="984" t="s">
        <v>3799</v>
      </c>
      <c r="C1256" s="967">
        <v>94204</v>
      </c>
    </row>
    <row r="1257" spans="2:3" x14ac:dyDescent="0.25">
      <c r="B1257" s="984" t="s">
        <v>1566</v>
      </c>
      <c r="C1257" s="967">
        <v>94205</v>
      </c>
    </row>
    <row r="1258" spans="2:3" x14ac:dyDescent="0.25">
      <c r="B1258" s="984" t="s">
        <v>2279</v>
      </c>
      <c r="C1258" s="967">
        <v>95831</v>
      </c>
    </row>
    <row r="1259" spans="2:3" x14ac:dyDescent="0.25">
      <c r="B1259" s="984" t="s">
        <v>2280</v>
      </c>
      <c r="C1259" s="967">
        <v>97721</v>
      </c>
    </row>
    <row r="1260" spans="2:3" x14ac:dyDescent="0.25">
      <c r="B1260" s="984" t="s">
        <v>3800</v>
      </c>
      <c r="C1260" s="967">
        <v>97717</v>
      </c>
    </row>
    <row r="1261" spans="2:3" x14ac:dyDescent="0.25">
      <c r="B1261" s="984" t="s">
        <v>1574</v>
      </c>
      <c r="C1261" s="967">
        <v>94301</v>
      </c>
    </row>
    <row r="1262" spans="2:3" x14ac:dyDescent="0.25">
      <c r="B1262" s="984" t="s">
        <v>2281</v>
      </c>
      <c r="C1262" s="967">
        <v>91441</v>
      </c>
    </row>
    <row r="1263" spans="2:3" x14ac:dyDescent="0.25">
      <c r="B1263" s="984" t="s">
        <v>2282</v>
      </c>
      <c r="C1263" s="967">
        <v>92531</v>
      </c>
    </row>
    <row r="1264" spans="2:3" x14ac:dyDescent="0.25">
      <c r="B1264" s="984" t="s">
        <v>2283</v>
      </c>
      <c r="C1264" s="967">
        <v>90141</v>
      </c>
    </row>
    <row r="1265" spans="2:3" x14ac:dyDescent="0.25">
      <c r="B1265" s="984" t="s">
        <v>1583</v>
      </c>
      <c r="C1265" s="967">
        <v>94401</v>
      </c>
    </row>
    <row r="1266" spans="2:3" x14ac:dyDescent="0.25">
      <c r="B1266" s="984" t="s">
        <v>3801</v>
      </c>
      <c r="C1266" s="967">
        <v>94403</v>
      </c>
    </row>
    <row r="1267" spans="2:3" x14ac:dyDescent="0.25">
      <c r="B1267" s="984" t="s">
        <v>1584</v>
      </c>
      <c r="C1267" s="967">
        <v>94402</v>
      </c>
    </row>
    <row r="1268" spans="2:3" x14ac:dyDescent="0.25">
      <c r="B1268" s="984" t="s">
        <v>2284</v>
      </c>
      <c r="C1268" s="967">
        <v>99111</v>
      </c>
    </row>
    <row r="1269" spans="2:3" x14ac:dyDescent="0.25">
      <c r="B1269" s="984" t="s">
        <v>2285</v>
      </c>
      <c r="C1269" s="967">
        <v>94511</v>
      </c>
    </row>
    <row r="1270" spans="2:3" x14ac:dyDescent="0.25">
      <c r="B1270" s="984" t="s">
        <v>3802</v>
      </c>
      <c r="C1270" s="967">
        <v>94517</v>
      </c>
    </row>
    <row r="1271" spans="2:3" x14ac:dyDescent="0.25">
      <c r="B1271" s="984" t="s">
        <v>1595</v>
      </c>
      <c r="C1271" s="967">
        <v>94512</v>
      </c>
    </row>
    <row r="1272" spans="2:3" x14ac:dyDescent="0.25">
      <c r="B1272" s="984" t="s">
        <v>2286</v>
      </c>
      <c r="C1272" s="967">
        <v>97211</v>
      </c>
    </row>
    <row r="1273" spans="2:3" x14ac:dyDescent="0.25">
      <c r="B1273" s="984" t="s">
        <v>3803</v>
      </c>
      <c r="C1273" s="967">
        <v>97217</v>
      </c>
    </row>
    <row r="1274" spans="2:3" x14ac:dyDescent="0.25">
      <c r="B1274" s="984" t="s">
        <v>1604</v>
      </c>
      <c r="C1274" s="967">
        <v>94601</v>
      </c>
    </row>
    <row r="1275" spans="2:3" x14ac:dyDescent="0.25">
      <c r="B1275" s="984" t="s">
        <v>3804</v>
      </c>
      <c r="C1275" s="967">
        <v>94604</v>
      </c>
    </row>
    <row r="1276" spans="2:3" x14ac:dyDescent="0.25">
      <c r="B1276" s="984" t="s">
        <v>1606</v>
      </c>
      <c r="C1276" s="967">
        <v>94606</v>
      </c>
    </row>
    <row r="1277" spans="2:3" x14ac:dyDescent="0.25">
      <c r="B1277" s="984" t="s">
        <v>3805</v>
      </c>
      <c r="C1277" s="967">
        <v>97213</v>
      </c>
    </row>
    <row r="1278" spans="2:3" x14ac:dyDescent="0.25">
      <c r="B1278" s="984" t="s">
        <v>2287</v>
      </c>
      <c r="C1278" s="967">
        <v>91811</v>
      </c>
    </row>
    <row r="1279" spans="2:3" x14ac:dyDescent="0.25">
      <c r="B1279" s="984" t="s">
        <v>3806</v>
      </c>
      <c r="C1279" s="967">
        <v>91812</v>
      </c>
    </row>
    <row r="1280" spans="2:3" x14ac:dyDescent="0.25">
      <c r="B1280" s="984" t="s">
        <v>3807</v>
      </c>
      <c r="C1280" s="967">
        <v>91813</v>
      </c>
    </row>
    <row r="1281" spans="2:3" x14ac:dyDescent="0.25">
      <c r="B1281" s="984" t="s">
        <v>3808</v>
      </c>
      <c r="C1281" s="967">
        <v>90617</v>
      </c>
    </row>
    <row r="1282" spans="2:3" x14ac:dyDescent="0.25">
      <c r="B1282" s="984" t="s">
        <v>3809</v>
      </c>
      <c r="C1282" s="967">
        <v>94127</v>
      </c>
    </row>
    <row r="1283" spans="2:3" x14ac:dyDescent="0.25">
      <c r="B1283" s="984" t="s">
        <v>2288</v>
      </c>
      <c r="C1283" s="967">
        <v>95621</v>
      </c>
    </row>
    <row r="1284" spans="2:3" x14ac:dyDescent="0.25">
      <c r="B1284" s="984" t="s">
        <v>3810</v>
      </c>
      <c r="C1284" s="967">
        <v>95617</v>
      </c>
    </row>
    <row r="1285" spans="2:3" x14ac:dyDescent="0.25">
      <c r="B1285" s="984" t="s">
        <v>3811</v>
      </c>
      <c r="C1285" s="967">
        <v>94121</v>
      </c>
    </row>
    <row r="1286" spans="2:3" x14ac:dyDescent="0.25">
      <c r="B1286" s="984" t="s">
        <v>3812</v>
      </c>
      <c r="C1286" s="967">
        <v>91251</v>
      </c>
    </row>
    <row r="1287" spans="2:3" x14ac:dyDescent="0.25">
      <c r="B1287" s="984" t="s">
        <v>2289</v>
      </c>
      <c r="C1287" s="967">
        <v>96831</v>
      </c>
    </row>
    <row r="1288" spans="2:3" x14ac:dyDescent="0.25">
      <c r="B1288" s="984" t="s">
        <v>2290</v>
      </c>
      <c r="C1288" s="967">
        <v>94251</v>
      </c>
    </row>
    <row r="1289" spans="2:3" x14ac:dyDescent="0.25">
      <c r="B1289" s="984" t="s">
        <v>1611</v>
      </c>
      <c r="C1289" s="967">
        <v>94701</v>
      </c>
    </row>
    <row r="1290" spans="2:3" x14ac:dyDescent="0.25">
      <c r="B1290" s="984" t="s">
        <v>3813</v>
      </c>
      <c r="C1290" s="967">
        <v>94704</v>
      </c>
    </row>
    <row r="1291" spans="2:3" x14ac:dyDescent="0.25">
      <c r="B1291" s="984" t="s">
        <v>2291</v>
      </c>
      <c r="C1291" s="967">
        <v>91014</v>
      </c>
    </row>
    <row r="1292" spans="2:3" x14ac:dyDescent="0.25">
      <c r="B1292" s="984" t="s">
        <v>2292</v>
      </c>
      <c r="C1292" s="967">
        <v>96731</v>
      </c>
    </row>
    <row r="1293" spans="2:3" x14ac:dyDescent="0.25">
      <c r="B1293" s="984" t="s">
        <v>1773</v>
      </c>
      <c r="C1293" s="967">
        <v>96733</v>
      </c>
    </row>
    <row r="1294" spans="2:3" x14ac:dyDescent="0.25">
      <c r="B1294" s="984" t="s">
        <v>2293</v>
      </c>
      <c r="C1294" s="967">
        <v>99202</v>
      </c>
    </row>
    <row r="1295" spans="2:3" x14ac:dyDescent="0.25">
      <c r="B1295" s="984" t="s">
        <v>2294</v>
      </c>
      <c r="C1295" s="967">
        <v>94011</v>
      </c>
    </row>
    <row r="1296" spans="2:3" x14ac:dyDescent="0.25">
      <c r="B1296" s="984" t="s">
        <v>2295</v>
      </c>
      <c r="C1296" s="967">
        <v>92631</v>
      </c>
    </row>
    <row r="1297" spans="2:3" x14ac:dyDescent="0.25">
      <c r="B1297" s="984" t="s">
        <v>1679</v>
      </c>
      <c r="C1297" s="967">
        <v>95733</v>
      </c>
    </row>
    <row r="1298" spans="2:3" x14ac:dyDescent="0.25">
      <c r="B1298" s="984" t="s">
        <v>3814</v>
      </c>
      <c r="C1298" s="967">
        <v>95413</v>
      </c>
    </row>
    <row r="1299" spans="2:3" x14ac:dyDescent="0.25">
      <c r="B1299" s="984" t="s">
        <v>3815</v>
      </c>
      <c r="C1299" s="967">
        <v>98013</v>
      </c>
    </row>
    <row r="1300" spans="2:3" x14ac:dyDescent="0.25">
      <c r="B1300" s="984" t="s">
        <v>3816</v>
      </c>
      <c r="C1300" s="967">
        <v>99613</v>
      </c>
    </row>
    <row r="1301" spans="2:3" x14ac:dyDescent="0.25">
      <c r="B1301" s="984" t="s">
        <v>2296</v>
      </c>
      <c r="C1301" s="967">
        <v>91431</v>
      </c>
    </row>
    <row r="1302" spans="2:3" x14ac:dyDescent="0.25">
      <c r="B1302" s="984" t="s">
        <v>2297</v>
      </c>
      <c r="C1302" s="967">
        <v>96041</v>
      </c>
    </row>
    <row r="1303" spans="2:3" x14ac:dyDescent="0.25">
      <c r="B1303" s="984" t="s">
        <v>1614</v>
      </c>
      <c r="C1303" s="967">
        <v>94801</v>
      </c>
    </row>
    <row r="1304" spans="2:3" x14ac:dyDescent="0.25">
      <c r="B1304" s="984" t="s">
        <v>3817</v>
      </c>
      <c r="C1304" s="967">
        <v>94804</v>
      </c>
    </row>
    <row r="1305" spans="2:3" x14ac:dyDescent="0.25">
      <c r="B1305" s="984" t="s">
        <v>2298</v>
      </c>
      <c r="C1305" s="967">
        <v>91661</v>
      </c>
    </row>
    <row r="1306" spans="2:3" x14ac:dyDescent="0.25">
      <c r="B1306" s="984" t="s">
        <v>2299</v>
      </c>
      <c r="C1306" s="967">
        <v>99051</v>
      </c>
    </row>
    <row r="1307" spans="2:3" x14ac:dyDescent="0.25">
      <c r="B1307" s="984" t="s">
        <v>3555</v>
      </c>
      <c r="C1307" s="967">
        <v>99014</v>
      </c>
    </row>
    <row r="1308" spans="2:3" x14ac:dyDescent="0.25">
      <c r="B1308" s="984" t="s">
        <v>1617</v>
      </c>
      <c r="C1308" s="967">
        <v>94901</v>
      </c>
    </row>
    <row r="1309" spans="2:3" x14ac:dyDescent="0.25">
      <c r="B1309" s="984" t="s">
        <v>3818</v>
      </c>
      <c r="C1309" s="967">
        <v>98109</v>
      </c>
    </row>
    <row r="1310" spans="2:3" x14ac:dyDescent="0.25">
      <c r="B1310" s="984" t="s">
        <v>3819</v>
      </c>
      <c r="C1310" s="967">
        <v>98205</v>
      </c>
    </row>
    <row r="1311" spans="2:3" x14ac:dyDescent="0.25">
      <c r="B1311" s="984" t="s">
        <v>2300</v>
      </c>
      <c r="C1311" s="967">
        <v>96661</v>
      </c>
    </row>
    <row r="1312" spans="2:3" x14ac:dyDescent="0.25">
      <c r="B1312" s="984" t="s">
        <v>1626</v>
      </c>
      <c r="C1312" s="967">
        <v>95001</v>
      </c>
    </row>
    <row r="1313" spans="2:3" x14ac:dyDescent="0.25">
      <c r="B1313" s="984" t="s">
        <v>3556</v>
      </c>
      <c r="C1313" s="967">
        <v>95017</v>
      </c>
    </row>
    <row r="1314" spans="2:3" x14ac:dyDescent="0.25">
      <c r="B1314" s="984" t="s">
        <v>2301</v>
      </c>
      <c r="C1314" s="967">
        <v>96711</v>
      </c>
    </row>
    <row r="1315" spans="2:3" x14ac:dyDescent="0.25">
      <c r="B1315" s="984" t="s">
        <v>2302</v>
      </c>
      <c r="C1315" s="967">
        <v>94131</v>
      </c>
    </row>
    <row r="1316" spans="2:3" x14ac:dyDescent="0.25">
      <c r="B1316" s="984" t="s">
        <v>2303</v>
      </c>
      <c r="C1316" s="967">
        <v>95841</v>
      </c>
    </row>
    <row r="1317" spans="2:3" x14ac:dyDescent="0.25">
      <c r="B1317" s="984" t="s">
        <v>2304</v>
      </c>
      <c r="C1317" s="967">
        <v>90511</v>
      </c>
    </row>
    <row r="1318" spans="2:3" x14ac:dyDescent="0.25">
      <c r="B1318" s="984" t="s">
        <v>1632</v>
      </c>
      <c r="C1318" s="967">
        <v>95101</v>
      </c>
    </row>
    <row r="1319" spans="2:3" x14ac:dyDescent="0.25">
      <c r="B1319" s="984" t="s">
        <v>3820</v>
      </c>
      <c r="C1319" s="967">
        <v>95104</v>
      </c>
    </row>
    <row r="1320" spans="2:3" x14ac:dyDescent="0.25">
      <c r="B1320" s="984" t="s">
        <v>3557</v>
      </c>
      <c r="C1320" s="967">
        <v>95110</v>
      </c>
    </row>
    <row r="1321" spans="2:3" x14ac:dyDescent="0.25">
      <c r="B1321" s="984" t="s">
        <v>1649</v>
      </c>
      <c r="C1321" s="967">
        <v>95201</v>
      </c>
    </row>
    <row r="1322" spans="2:3" x14ac:dyDescent="0.25">
      <c r="B1322" s="984" t="s">
        <v>3821</v>
      </c>
      <c r="C1322" s="967">
        <v>95204</v>
      </c>
    </row>
    <row r="1323" spans="2:3" x14ac:dyDescent="0.25">
      <c r="B1323" s="984" t="s">
        <v>2305</v>
      </c>
      <c r="C1323" s="967">
        <v>99921</v>
      </c>
    </row>
    <row r="1324" spans="2:3" x14ac:dyDescent="0.25">
      <c r="B1324" s="984" t="s">
        <v>1585</v>
      </c>
      <c r="C1324" s="967">
        <v>94408</v>
      </c>
    </row>
    <row r="1325" spans="2:3" x14ac:dyDescent="0.25">
      <c r="B1325" s="984" t="s">
        <v>2306</v>
      </c>
      <c r="C1325" s="967">
        <v>91331</v>
      </c>
    </row>
    <row r="1326" spans="2:3" x14ac:dyDescent="0.25">
      <c r="B1326" s="984" t="s">
        <v>2307</v>
      </c>
      <c r="C1326" s="967">
        <v>93121</v>
      </c>
    </row>
    <row r="1327" spans="2:3" x14ac:dyDescent="0.25">
      <c r="B1327" s="984" t="s">
        <v>3822</v>
      </c>
      <c r="C1327" s="967">
        <v>93127</v>
      </c>
    </row>
    <row r="1328" spans="2:3" x14ac:dyDescent="0.25">
      <c r="B1328" s="984" t="s">
        <v>2308</v>
      </c>
      <c r="C1328" s="967">
        <v>95171</v>
      </c>
    </row>
    <row r="1329" spans="2:3" x14ac:dyDescent="0.25">
      <c r="B1329" s="984" t="s">
        <v>2309</v>
      </c>
      <c r="C1329" s="967">
        <v>93421</v>
      </c>
    </row>
    <row r="1330" spans="2:3" x14ac:dyDescent="0.25">
      <c r="B1330" s="984" t="s">
        <v>3823</v>
      </c>
      <c r="C1330" s="967">
        <v>99110</v>
      </c>
    </row>
    <row r="1331" spans="2:3" x14ac:dyDescent="0.25">
      <c r="B1331" s="984" t="s">
        <v>3824</v>
      </c>
      <c r="C1331" s="967">
        <v>99109</v>
      </c>
    </row>
    <row r="1332" spans="2:3" x14ac:dyDescent="0.25">
      <c r="B1332" s="984" t="s">
        <v>2310</v>
      </c>
      <c r="C1332" s="967">
        <v>92821</v>
      </c>
    </row>
    <row r="1333" spans="2:3" x14ac:dyDescent="0.25">
      <c r="B1333" s="984" t="s">
        <v>2311</v>
      </c>
      <c r="C1333" s="967">
        <v>98521</v>
      </c>
    </row>
    <row r="1334" spans="2:3" x14ac:dyDescent="0.25">
      <c r="B1334" s="984" t="s">
        <v>3825</v>
      </c>
      <c r="C1334" s="967">
        <v>92327</v>
      </c>
    </row>
    <row r="1335" spans="2:3" x14ac:dyDescent="0.25">
      <c r="B1335" s="984" t="s">
        <v>3826</v>
      </c>
      <c r="C1335" s="967">
        <v>92321</v>
      </c>
    </row>
    <row r="1336" spans="2:3" x14ac:dyDescent="0.25">
      <c r="B1336" s="984" t="s">
        <v>2312</v>
      </c>
      <c r="C1336" s="967">
        <v>95411</v>
      </c>
    </row>
    <row r="1337" spans="2:3" x14ac:dyDescent="0.25">
      <c r="B1337" s="984" t="s">
        <v>3827</v>
      </c>
      <c r="C1337" s="967">
        <v>95415</v>
      </c>
    </row>
    <row r="1338" spans="2:3" x14ac:dyDescent="0.25">
      <c r="B1338" s="984" t="s">
        <v>2313</v>
      </c>
      <c r="C1338" s="967">
        <v>92851</v>
      </c>
    </row>
    <row r="1339" spans="2:3" x14ac:dyDescent="0.25">
      <c r="B1339" s="984" t="s">
        <v>2314</v>
      </c>
      <c r="C1339" s="967">
        <v>99291</v>
      </c>
    </row>
    <row r="1340" spans="2:3" x14ac:dyDescent="0.25">
      <c r="B1340" s="984" t="s">
        <v>2315</v>
      </c>
      <c r="C1340" s="967">
        <v>96541</v>
      </c>
    </row>
    <row r="1341" spans="2:3" x14ac:dyDescent="0.25">
      <c r="B1341" s="984" t="s">
        <v>2316</v>
      </c>
      <c r="C1341" s="967">
        <v>95431</v>
      </c>
    </row>
    <row r="1342" spans="2:3" x14ac:dyDescent="0.25">
      <c r="B1342" s="984" t="s">
        <v>2317</v>
      </c>
      <c r="C1342" s="967">
        <v>98131</v>
      </c>
    </row>
    <row r="1343" spans="2:3" x14ac:dyDescent="0.25">
      <c r="B1343" s="984" t="s">
        <v>3828</v>
      </c>
      <c r="C1343" s="967">
        <v>92461</v>
      </c>
    </row>
    <row r="1344" spans="2:3" x14ac:dyDescent="0.25">
      <c r="B1344" s="984" t="s">
        <v>3829</v>
      </c>
      <c r="C1344" s="967">
        <v>92427</v>
      </c>
    </row>
    <row r="1345" spans="2:3" x14ac:dyDescent="0.25">
      <c r="B1345" s="984" t="s">
        <v>2318</v>
      </c>
      <c r="C1345" s="967">
        <v>98051</v>
      </c>
    </row>
    <row r="1346" spans="2:3" x14ac:dyDescent="0.25">
      <c r="B1346" s="984" t="s">
        <v>1283</v>
      </c>
      <c r="C1346" s="967">
        <v>91102</v>
      </c>
    </row>
    <row r="1347" spans="2:3" x14ac:dyDescent="0.25">
      <c r="B1347" s="984" t="s">
        <v>2319</v>
      </c>
      <c r="C1347" s="967">
        <v>94521</v>
      </c>
    </row>
    <row r="1348" spans="2:3" x14ac:dyDescent="0.25">
      <c r="B1348" s="984" t="s">
        <v>3830</v>
      </c>
      <c r="C1348" s="967">
        <v>94527</v>
      </c>
    </row>
    <row r="1349" spans="2:3" x14ac:dyDescent="0.25">
      <c r="B1349" s="984" t="s">
        <v>2320</v>
      </c>
      <c r="C1349" s="967">
        <v>98311</v>
      </c>
    </row>
    <row r="1350" spans="2:3" x14ac:dyDescent="0.25">
      <c r="B1350" s="984" t="s">
        <v>3831</v>
      </c>
      <c r="C1350" s="967">
        <v>98313</v>
      </c>
    </row>
    <row r="1351" spans="2:3" x14ac:dyDescent="0.25">
      <c r="B1351" s="984" t="s">
        <v>1920</v>
      </c>
      <c r="C1351" s="967">
        <v>98308</v>
      </c>
    </row>
    <row r="1352" spans="2:3" x14ac:dyDescent="0.25">
      <c r="B1352" s="984" t="s">
        <v>2321</v>
      </c>
      <c r="C1352" s="967">
        <v>92341</v>
      </c>
    </row>
    <row r="1353" spans="2:3" x14ac:dyDescent="0.25">
      <c r="B1353" s="984" t="s">
        <v>1654</v>
      </c>
      <c r="C1353" s="967">
        <v>95301</v>
      </c>
    </row>
    <row r="1354" spans="2:3" x14ac:dyDescent="0.25">
      <c r="B1354" s="984" t="s">
        <v>2322</v>
      </c>
      <c r="C1354" s="967">
        <v>91002</v>
      </c>
    </row>
    <row r="1355" spans="2:3" x14ac:dyDescent="0.25">
      <c r="B1355" s="984" t="s">
        <v>2323</v>
      </c>
      <c r="C1355" s="967">
        <v>91451</v>
      </c>
    </row>
    <row r="1356" spans="2:3" x14ac:dyDescent="0.25">
      <c r="B1356" s="984" t="s">
        <v>1658</v>
      </c>
      <c r="C1356" s="967">
        <v>95401</v>
      </c>
    </row>
    <row r="1357" spans="2:3" x14ac:dyDescent="0.25">
      <c r="B1357" s="984" t="s">
        <v>3832</v>
      </c>
      <c r="C1357" s="967">
        <v>95404</v>
      </c>
    </row>
    <row r="1358" spans="2:3" x14ac:dyDescent="0.25">
      <c r="B1358" s="984" t="s">
        <v>1329</v>
      </c>
      <c r="C1358" s="967">
        <v>91423</v>
      </c>
    </row>
    <row r="1359" spans="2:3" x14ac:dyDescent="0.25">
      <c r="B1359" s="984" t="s">
        <v>3833</v>
      </c>
      <c r="C1359" s="967">
        <v>91457</v>
      </c>
    </row>
    <row r="1360" spans="2:3" x14ac:dyDescent="0.25">
      <c r="B1360" s="984" t="s">
        <v>3834</v>
      </c>
      <c r="C1360" s="967">
        <v>90861</v>
      </c>
    </row>
    <row r="1361" spans="2:3" x14ac:dyDescent="0.25">
      <c r="B1361" s="984" t="s">
        <v>2324</v>
      </c>
      <c r="C1361" s="967">
        <v>93451</v>
      </c>
    </row>
    <row r="1362" spans="2:3" x14ac:dyDescent="0.25">
      <c r="B1362" s="984" t="s">
        <v>2325</v>
      </c>
      <c r="C1362" s="967">
        <v>92931</v>
      </c>
    </row>
    <row r="1363" spans="2:3" x14ac:dyDescent="0.25">
      <c r="B1363" s="984" t="s">
        <v>3835</v>
      </c>
      <c r="C1363" s="967">
        <v>92917</v>
      </c>
    </row>
    <row r="1364" spans="2:3" x14ac:dyDescent="0.25">
      <c r="B1364" s="984" t="s">
        <v>2326</v>
      </c>
      <c r="C1364" s="967">
        <v>97631</v>
      </c>
    </row>
    <row r="1365" spans="2:3" x14ac:dyDescent="0.25">
      <c r="B1365" s="984" t="s">
        <v>3836</v>
      </c>
      <c r="C1365" s="967">
        <v>97637</v>
      </c>
    </row>
    <row r="1366" spans="2:3" x14ac:dyDescent="0.25">
      <c r="B1366" s="984" t="s">
        <v>2327</v>
      </c>
      <c r="C1366" s="967">
        <v>90421</v>
      </c>
    </row>
    <row r="1367" spans="2:3" x14ac:dyDescent="0.25">
      <c r="B1367" s="984" t="s">
        <v>2328</v>
      </c>
      <c r="C1367" s="967">
        <v>94321</v>
      </c>
    </row>
    <row r="1368" spans="2:3" x14ac:dyDescent="0.25">
      <c r="B1368" s="984" t="s">
        <v>1667</v>
      </c>
      <c r="C1368" s="967">
        <v>95501</v>
      </c>
    </row>
    <row r="1369" spans="2:3" x14ac:dyDescent="0.25">
      <c r="B1369" s="984" t="s">
        <v>3837</v>
      </c>
      <c r="C1369" s="967">
        <v>95504</v>
      </c>
    </row>
    <row r="1370" spans="2:3" x14ac:dyDescent="0.25">
      <c r="B1370" s="984" t="s">
        <v>2329</v>
      </c>
      <c r="C1370" s="967">
        <v>95511</v>
      </c>
    </row>
    <row r="1371" spans="2:3" x14ac:dyDescent="0.25">
      <c r="B1371" s="984" t="s">
        <v>3838</v>
      </c>
      <c r="C1371" s="967">
        <v>95517</v>
      </c>
    </row>
    <row r="1372" spans="2:3" x14ac:dyDescent="0.25">
      <c r="B1372" s="984" t="s">
        <v>1670</v>
      </c>
      <c r="C1372" s="967">
        <v>95513</v>
      </c>
    </row>
    <row r="1373" spans="2:3" x14ac:dyDescent="0.25">
      <c r="B1373" s="984" t="s">
        <v>2330</v>
      </c>
      <c r="C1373" s="967">
        <v>92651</v>
      </c>
    </row>
    <row r="1374" spans="2:3" x14ac:dyDescent="0.25">
      <c r="B1374" s="984" t="s">
        <v>2331</v>
      </c>
      <c r="C1374" s="967">
        <v>94261</v>
      </c>
    </row>
    <row r="1375" spans="2:3" x14ac:dyDescent="0.25">
      <c r="B1375" s="984" t="s">
        <v>2332</v>
      </c>
      <c r="C1375" s="967">
        <v>98431</v>
      </c>
    </row>
    <row r="1376" spans="2:3" x14ac:dyDescent="0.25">
      <c r="B1376" s="984" t="s">
        <v>3839</v>
      </c>
      <c r="C1376" s="967">
        <v>98404</v>
      </c>
    </row>
    <row r="1377" spans="2:3" x14ac:dyDescent="0.25">
      <c r="B1377" s="984" t="s">
        <v>3840</v>
      </c>
      <c r="C1377" s="967">
        <v>91841</v>
      </c>
    </row>
    <row r="1378" spans="2:3" x14ac:dyDescent="0.25">
      <c r="B1378" s="984" t="s">
        <v>2333</v>
      </c>
      <c r="C1378" s="967">
        <v>93521</v>
      </c>
    </row>
    <row r="1379" spans="2:3" x14ac:dyDescent="0.25">
      <c r="B1379" s="984" t="s">
        <v>3841</v>
      </c>
      <c r="C1379" s="967">
        <v>93527</v>
      </c>
    </row>
    <row r="1380" spans="2:3" x14ac:dyDescent="0.25">
      <c r="B1380" s="984" t="s">
        <v>2334</v>
      </c>
      <c r="C1380" s="967">
        <v>93661</v>
      </c>
    </row>
    <row r="1381" spans="2:3" x14ac:dyDescent="0.25">
      <c r="B1381" s="984" t="s">
        <v>1749</v>
      </c>
      <c r="C1381" s="967">
        <v>96508</v>
      </c>
    </row>
    <row r="1382" spans="2:3" x14ac:dyDescent="0.25">
      <c r="B1382" s="984" t="s">
        <v>2335</v>
      </c>
      <c r="C1382" s="967">
        <v>99841</v>
      </c>
    </row>
    <row r="1383" spans="2:3" x14ac:dyDescent="0.25">
      <c r="B1383" s="984" t="s">
        <v>1852</v>
      </c>
      <c r="C1383" s="967">
        <v>97802</v>
      </c>
    </row>
    <row r="1384" spans="2:3" x14ac:dyDescent="0.25">
      <c r="B1384" s="984" t="s">
        <v>2336</v>
      </c>
      <c r="C1384" s="967">
        <v>97811</v>
      </c>
    </row>
    <row r="1385" spans="2:3" x14ac:dyDescent="0.25">
      <c r="B1385" s="984" t="s">
        <v>3842</v>
      </c>
      <c r="C1385" s="967">
        <v>97817</v>
      </c>
    </row>
    <row r="1386" spans="2:3" x14ac:dyDescent="0.25">
      <c r="B1386" s="984" t="s">
        <v>3843</v>
      </c>
      <c r="C1386" s="967">
        <v>97818</v>
      </c>
    </row>
    <row r="1387" spans="2:3" x14ac:dyDescent="0.25">
      <c r="B1387" s="984" t="s">
        <v>2337</v>
      </c>
      <c r="C1387" s="967">
        <v>93341</v>
      </c>
    </row>
    <row r="1388" spans="2:3" x14ac:dyDescent="0.25">
      <c r="B1388" s="984" t="s">
        <v>1672</v>
      </c>
      <c r="C1388" s="967">
        <v>95601</v>
      </c>
    </row>
    <row r="1389" spans="2:3" x14ac:dyDescent="0.25">
      <c r="B1389" s="984" t="s">
        <v>2338</v>
      </c>
      <c r="C1389" s="967">
        <v>97941</v>
      </c>
    </row>
    <row r="1390" spans="2:3" x14ac:dyDescent="0.25">
      <c r="B1390" s="984" t="s">
        <v>3844</v>
      </c>
      <c r="C1390" s="967">
        <v>97947</v>
      </c>
    </row>
    <row r="1391" spans="2:3" x14ac:dyDescent="0.25">
      <c r="B1391" s="984" t="s">
        <v>1676</v>
      </c>
      <c r="C1391" s="967">
        <v>95701</v>
      </c>
    </row>
    <row r="1392" spans="2:3" x14ac:dyDescent="0.25">
      <c r="B1392" s="984" t="s">
        <v>1877</v>
      </c>
      <c r="C1392" s="967">
        <v>97948</v>
      </c>
    </row>
    <row r="1393" spans="2:3" x14ac:dyDescent="0.25">
      <c r="B1393" s="984" t="s">
        <v>2339</v>
      </c>
      <c r="C1393" s="967">
        <v>94421</v>
      </c>
    </row>
    <row r="1394" spans="2:3" x14ac:dyDescent="0.25">
      <c r="B1394" s="984" t="s">
        <v>3845</v>
      </c>
      <c r="C1394" s="967">
        <v>94427</v>
      </c>
    </row>
    <row r="1395" spans="2:3" x14ac:dyDescent="0.25">
      <c r="B1395" s="984" t="s">
        <v>3846</v>
      </c>
      <c r="C1395" s="967">
        <v>94428</v>
      </c>
    </row>
    <row r="1396" spans="2:3" x14ac:dyDescent="0.25">
      <c r="B1396" s="984" t="s">
        <v>2340</v>
      </c>
      <c r="C1396" s="967">
        <v>93191</v>
      </c>
    </row>
    <row r="1397" spans="2:3" x14ac:dyDescent="0.25">
      <c r="B1397" s="984" t="s">
        <v>2341</v>
      </c>
      <c r="C1397" s="967">
        <v>91831</v>
      </c>
    </row>
    <row r="1398" spans="2:3" x14ac:dyDescent="0.25">
      <c r="B1398" s="984" t="s">
        <v>2342</v>
      </c>
      <c r="C1398" s="967">
        <v>92831</v>
      </c>
    </row>
    <row r="1399" spans="2:3" x14ac:dyDescent="0.25">
      <c r="B1399" s="984" t="s">
        <v>2343</v>
      </c>
      <c r="C1399" s="967">
        <v>95911</v>
      </c>
    </row>
    <row r="1400" spans="2:3" x14ac:dyDescent="0.25">
      <c r="B1400" s="984" t="s">
        <v>3847</v>
      </c>
      <c r="C1400" s="967">
        <v>95917</v>
      </c>
    </row>
    <row r="1401" spans="2:3" x14ac:dyDescent="0.25">
      <c r="B1401" s="984" t="s">
        <v>2344</v>
      </c>
      <c r="C1401" s="967">
        <v>95711</v>
      </c>
    </row>
    <row r="1402" spans="2:3" x14ac:dyDescent="0.25">
      <c r="B1402" s="984" t="s">
        <v>2345</v>
      </c>
      <c r="C1402" s="967">
        <v>95721</v>
      </c>
    </row>
    <row r="1403" spans="2:3" x14ac:dyDescent="0.25">
      <c r="B1403" s="984" t="s">
        <v>2346</v>
      </c>
      <c r="C1403" s="967">
        <v>99021</v>
      </c>
    </row>
    <row r="1404" spans="2:3" x14ac:dyDescent="0.25">
      <c r="B1404" s="984" t="s">
        <v>3848</v>
      </c>
      <c r="C1404" s="967">
        <v>95802</v>
      </c>
    </row>
    <row r="1405" spans="2:3" x14ac:dyDescent="0.25">
      <c r="B1405" s="984" t="s">
        <v>1680</v>
      </c>
      <c r="C1405" s="967">
        <v>95801</v>
      </c>
    </row>
    <row r="1406" spans="2:3" x14ac:dyDescent="0.25">
      <c r="B1406" s="984" t="s">
        <v>3849</v>
      </c>
      <c r="C1406" s="967">
        <v>95804</v>
      </c>
    </row>
    <row r="1407" spans="2:3" x14ac:dyDescent="0.25">
      <c r="B1407" s="984" t="s">
        <v>3850</v>
      </c>
      <c r="C1407" s="967">
        <v>90092</v>
      </c>
    </row>
    <row r="1408" spans="2:3" x14ac:dyDescent="0.25">
      <c r="B1408" s="984" t="s">
        <v>2347</v>
      </c>
      <c r="C1408" s="967">
        <v>99081</v>
      </c>
    </row>
    <row r="1409" spans="2:3" x14ac:dyDescent="0.25">
      <c r="B1409" s="984" t="s">
        <v>2348</v>
      </c>
      <c r="C1409" s="967">
        <v>96071</v>
      </c>
    </row>
    <row r="1410" spans="2:3" x14ac:dyDescent="0.25">
      <c r="B1410" s="984" t="s">
        <v>1541</v>
      </c>
      <c r="C1410" s="967">
        <v>94002</v>
      </c>
    </row>
    <row r="1411" spans="2:3" x14ac:dyDescent="0.25">
      <c r="B1411" s="984" t="s">
        <v>2349</v>
      </c>
      <c r="C1411" s="967">
        <v>97840</v>
      </c>
    </row>
    <row r="1412" spans="2:3" x14ac:dyDescent="0.25">
      <c r="B1412" s="984" t="s">
        <v>3851</v>
      </c>
      <c r="C1412" s="967">
        <v>97847</v>
      </c>
    </row>
    <row r="1413" spans="2:3" x14ac:dyDescent="0.25">
      <c r="B1413" s="984" t="s">
        <v>2350</v>
      </c>
      <c r="C1413" s="967">
        <v>97921</v>
      </c>
    </row>
    <row r="1414" spans="2:3" x14ac:dyDescent="0.25">
      <c r="B1414" s="984" t="s">
        <v>2351</v>
      </c>
      <c r="C1414" s="967">
        <v>95221</v>
      </c>
    </row>
    <row r="1415" spans="2:3" x14ac:dyDescent="0.25">
      <c r="B1415" s="984" t="s">
        <v>2352</v>
      </c>
      <c r="C1415" s="967">
        <v>93610</v>
      </c>
    </row>
    <row r="1416" spans="2:3" x14ac:dyDescent="0.25">
      <c r="B1416" s="984" t="s">
        <v>3852</v>
      </c>
      <c r="C1416" s="967">
        <v>95901</v>
      </c>
    </row>
    <row r="1417" spans="2:3" x14ac:dyDescent="0.25">
      <c r="B1417" s="984" t="s">
        <v>2110</v>
      </c>
      <c r="C1417" s="967">
        <v>90114</v>
      </c>
    </row>
    <row r="1418" spans="2:3" x14ac:dyDescent="0.25">
      <c r="B1418" s="984" t="s">
        <v>1694</v>
      </c>
      <c r="C1418" s="967">
        <v>96001</v>
      </c>
    </row>
    <row r="1419" spans="2:3" x14ac:dyDescent="0.25">
      <c r="B1419" s="984" t="s">
        <v>3853</v>
      </c>
      <c r="C1419" s="967">
        <v>96004</v>
      </c>
    </row>
    <row r="1420" spans="2:3" x14ac:dyDescent="0.25">
      <c r="B1420" s="984" t="s">
        <v>3854</v>
      </c>
      <c r="C1420" s="967">
        <v>96008</v>
      </c>
    </row>
    <row r="1421" spans="2:3" x14ac:dyDescent="0.25">
      <c r="B1421" s="984" t="s">
        <v>1286</v>
      </c>
      <c r="C1421" s="967">
        <v>91108</v>
      </c>
    </row>
    <row r="1422" spans="2:3" x14ac:dyDescent="0.25">
      <c r="B1422" s="984" t="s">
        <v>3855</v>
      </c>
      <c r="C1422" s="967">
        <v>94941</v>
      </c>
    </row>
    <row r="1423" spans="2:3" x14ac:dyDescent="0.25">
      <c r="B1423" s="984" t="s">
        <v>2353</v>
      </c>
      <c r="C1423" s="967">
        <v>95122</v>
      </c>
    </row>
    <row r="1424" spans="2:3" x14ac:dyDescent="0.25">
      <c r="B1424" s="984" t="s">
        <v>3856</v>
      </c>
      <c r="C1424" s="967">
        <v>92607</v>
      </c>
    </row>
    <row r="1425" spans="2:3" x14ac:dyDescent="0.25">
      <c r="B1425" s="984" t="s">
        <v>2354</v>
      </c>
      <c r="C1425" s="967">
        <v>96431</v>
      </c>
    </row>
    <row r="1426" spans="2:3" x14ac:dyDescent="0.25">
      <c r="B1426" s="984" t="s">
        <v>3560</v>
      </c>
      <c r="C1426" s="967">
        <v>90709</v>
      </c>
    </row>
    <row r="1427" spans="2:3" x14ac:dyDescent="0.25">
      <c r="B1427" s="984" t="s">
        <v>2355</v>
      </c>
      <c r="C1427" s="967">
        <v>91341</v>
      </c>
    </row>
    <row r="1428" spans="2:3" x14ac:dyDescent="0.25">
      <c r="B1428" s="984" t="s">
        <v>2356</v>
      </c>
      <c r="C1428" s="967">
        <v>92941</v>
      </c>
    </row>
    <row r="1429" spans="2:3" x14ac:dyDescent="0.25">
      <c r="B1429" s="984" t="s">
        <v>2357</v>
      </c>
      <c r="C1429" s="967">
        <v>94551</v>
      </c>
    </row>
    <row r="1430" spans="2:3" x14ac:dyDescent="0.25">
      <c r="B1430" s="984" t="s">
        <v>2358</v>
      </c>
      <c r="C1430" s="967">
        <v>99022</v>
      </c>
    </row>
    <row r="1431" spans="2:3" x14ac:dyDescent="0.25">
      <c r="B1431" s="984" t="s">
        <v>2359</v>
      </c>
      <c r="C1431" s="967">
        <v>96031</v>
      </c>
    </row>
    <row r="1432" spans="2:3" x14ac:dyDescent="0.25">
      <c r="B1432" s="984" t="s">
        <v>2360</v>
      </c>
      <c r="C1432" s="967">
        <v>98414</v>
      </c>
    </row>
    <row r="1433" spans="2:3" x14ac:dyDescent="0.25">
      <c r="B1433" s="984" t="s">
        <v>1709</v>
      </c>
      <c r="C1433" s="967">
        <v>96101</v>
      </c>
    </row>
    <row r="1434" spans="2:3" x14ac:dyDescent="0.25">
      <c r="B1434" s="984" t="s">
        <v>3857</v>
      </c>
      <c r="C1434" s="967">
        <v>96102</v>
      </c>
    </row>
    <row r="1435" spans="2:3" x14ac:dyDescent="0.25">
      <c r="B1435" s="984" t="s">
        <v>2361</v>
      </c>
      <c r="C1435" s="967">
        <v>93011</v>
      </c>
    </row>
    <row r="1436" spans="2:3" x14ac:dyDescent="0.25">
      <c r="B1436" s="984" t="s">
        <v>2362</v>
      </c>
      <c r="C1436" s="967">
        <v>99011</v>
      </c>
    </row>
    <row r="1437" spans="2:3" x14ac:dyDescent="0.25">
      <c r="B1437" s="984" t="s">
        <v>3858</v>
      </c>
      <c r="C1437" s="967">
        <v>99017</v>
      </c>
    </row>
    <row r="1438" spans="2:3" x14ac:dyDescent="0.25">
      <c r="B1438" s="984" t="s">
        <v>3859</v>
      </c>
      <c r="C1438" s="967">
        <v>99013</v>
      </c>
    </row>
    <row r="1439" spans="2:3" x14ac:dyDescent="0.25">
      <c r="B1439" s="984" t="s">
        <v>1713</v>
      </c>
      <c r="C1439" s="967">
        <v>96201</v>
      </c>
    </row>
    <row r="1440" spans="2:3" x14ac:dyDescent="0.25">
      <c r="B1440" s="984" t="s">
        <v>3860</v>
      </c>
      <c r="C1440" s="967">
        <v>96204</v>
      </c>
    </row>
    <row r="1441" spans="2:3" x14ac:dyDescent="0.25">
      <c r="B1441" s="984" t="s">
        <v>2363</v>
      </c>
      <c r="C1441" s="967">
        <v>91161</v>
      </c>
    </row>
    <row r="1442" spans="2:3" x14ac:dyDescent="0.25">
      <c r="B1442" s="984" t="s">
        <v>1720</v>
      </c>
      <c r="C1442" s="967">
        <v>96301</v>
      </c>
    </row>
    <row r="1443" spans="2:3" x14ac:dyDescent="0.25">
      <c r="B1443" s="984" t="s">
        <v>3861</v>
      </c>
      <c r="C1443" s="967">
        <v>96304</v>
      </c>
    </row>
    <row r="1444" spans="2:3" x14ac:dyDescent="0.25">
      <c r="B1444" s="984" t="s">
        <v>1724</v>
      </c>
      <c r="C1444" s="967">
        <v>96310</v>
      </c>
    </row>
    <row r="1445" spans="2:3" x14ac:dyDescent="0.25">
      <c r="B1445" s="984" t="s">
        <v>3862</v>
      </c>
      <c r="C1445" s="967">
        <v>96305</v>
      </c>
    </row>
    <row r="1446" spans="2:3" x14ac:dyDescent="0.25">
      <c r="B1446" s="984" t="s">
        <v>2364</v>
      </c>
      <c r="C1446" s="967">
        <v>94921</v>
      </c>
    </row>
    <row r="1447" spans="2:3" x14ac:dyDescent="0.25">
      <c r="B1447" s="984" t="s">
        <v>3863</v>
      </c>
      <c r="C1447" s="967">
        <v>94927</v>
      </c>
    </row>
    <row r="1448" spans="2:3" x14ac:dyDescent="0.25">
      <c r="B1448" s="984" t="s">
        <v>1622</v>
      </c>
      <c r="C1448" s="967">
        <v>94923</v>
      </c>
    </row>
    <row r="1449" spans="2:3" x14ac:dyDescent="0.25">
      <c r="B1449" s="984" t="s">
        <v>2365</v>
      </c>
      <c r="C1449" s="967">
        <v>91611</v>
      </c>
    </row>
    <row r="1450" spans="2:3" x14ac:dyDescent="0.25">
      <c r="B1450" s="984" t="s">
        <v>2366</v>
      </c>
      <c r="C1450" s="967">
        <v>91231</v>
      </c>
    </row>
    <row r="1451" spans="2:3" x14ac:dyDescent="0.25">
      <c r="B1451" s="984" t="s">
        <v>3864</v>
      </c>
      <c r="C1451" s="967">
        <v>91217</v>
      </c>
    </row>
    <row r="1452" spans="2:3" x14ac:dyDescent="0.25">
      <c r="B1452" s="984" t="s">
        <v>1311</v>
      </c>
      <c r="C1452" s="967">
        <v>91233</v>
      </c>
    </row>
    <row r="1453" spans="2:3" x14ac:dyDescent="0.25">
      <c r="B1453" s="984" t="s">
        <v>2367</v>
      </c>
      <c r="C1453" s="967">
        <v>99206</v>
      </c>
    </row>
    <row r="1454" spans="2:3" x14ac:dyDescent="0.25">
      <c r="B1454" s="984" t="s">
        <v>2368</v>
      </c>
      <c r="C1454" s="967">
        <v>90461</v>
      </c>
    </row>
    <row r="1455" spans="2:3" x14ac:dyDescent="0.25">
      <c r="B1455" s="984" t="s">
        <v>3865</v>
      </c>
      <c r="C1455" s="967">
        <v>98637</v>
      </c>
    </row>
    <row r="1456" spans="2:3" x14ac:dyDescent="0.25">
      <c r="B1456" s="984" t="s">
        <v>2369</v>
      </c>
      <c r="C1456" s="967">
        <v>96251</v>
      </c>
    </row>
    <row r="1457" spans="2:3" x14ac:dyDescent="0.25">
      <c r="B1457" s="984" t="s">
        <v>2370</v>
      </c>
      <c r="C1457" s="967">
        <v>99621</v>
      </c>
    </row>
    <row r="1458" spans="2:3" x14ac:dyDescent="0.25">
      <c r="B1458" s="984" t="s">
        <v>2371</v>
      </c>
      <c r="C1458" s="967">
        <v>91321</v>
      </c>
    </row>
    <row r="1459" spans="2:3" x14ac:dyDescent="0.25">
      <c r="B1459" s="984" t="s">
        <v>3866</v>
      </c>
      <c r="C1459" s="967">
        <v>98631</v>
      </c>
    </row>
    <row r="1460" spans="2:3" x14ac:dyDescent="0.25">
      <c r="B1460" s="984" t="s">
        <v>3867</v>
      </c>
      <c r="C1460" s="967">
        <v>93691</v>
      </c>
    </row>
    <row r="1461" spans="2:3" x14ac:dyDescent="0.25">
      <c r="B1461" s="984" t="s">
        <v>3868</v>
      </c>
      <c r="C1461" s="967">
        <v>99623</v>
      </c>
    </row>
    <row r="1462" spans="2:3" x14ac:dyDescent="0.25">
      <c r="B1462" s="984" t="s">
        <v>3869</v>
      </c>
      <c r="C1462" s="967">
        <v>91327</v>
      </c>
    </row>
    <row r="1463" spans="2:3" x14ac:dyDescent="0.25">
      <c r="B1463" s="984" t="s">
        <v>2372</v>
      </c>
      <c r="C1463" s="967">
        <v>94621</v>
      </c>
    </row>
    <row r="1464" spans="2:3" x14ac:dyDescent="0.25">
      <c r="B1464" s="984" t="s">
        <v>2373</v>
      </c>
      <c r="C1464" s="967">
        <v>92011</v>
      </c>
    </row>
    <row r="1465" spans="2:3" x14ac:dyDescent="0.25">
      <c r="B1465" s="984" t="s">
        <v>3870</v>
      </c>
      <c r="C1465" s="967">
        <v>92017</v>
      </c>
    </row>
    <row r="1466" spans="2:3" x14ac:dyDescent="0.25">
      <c r="B1466" s="984" t="s">
        <v>3871</v>
      </c>
      <c r="C1466" s="967">
        <v>99991</v>
      </c>
    </row>
    <row r="1467" spans="2:3" x14ac:dyDescent="0.25">
      <c r="B1467" s="984" t="s">
        <v>3872</v>
      </c>
      <c r="C1467" s="967">
        <v>99999</v>
      </c>
    </row>
    <row r="1468" spans="2:3" x14ac:dyDescent="0.25">
      <c r="B1468" s="984" t="s">
        <v>2374</v>
      </c>
      <c r="C1468" s="967">
        <v>92811</v>
      </c>
    </row>
    <row r="1469" spans="2:3" x14ac:dyDescent="0.25">
      <c r="B1469" s="984" t="s">
        <v>1375</v>
      </c>
      <c r="C1469" s="967">
        <v>92005</v>
      </c>
    </row>
    <row r="1470" spans="2:3" x14ac:dyDescent="0.25">
      <c r="B1470" s="984" t="s">
        <v>1735</v>
      </c>
      <c r="C1470" s="967">
        <v>96401</v>
      </c>
    </row>
    <row r="1471" spans="2:3" x14ac:dyDescent="0.25">
      <c r="B1471" s="984" t="s">
        <v>3873</v>
      </c>
      <c r="C1471" s="967">
        <v>96404</v>
      </c>
    </row>
    <row r="1472" spans="2:3" x14ac:dyDescent="0.25">
      <c r="B1472" s="984" t="s">
        <v>2375</v>
      </c>
      <c r="C1472" s="967">
        <v>96421</v>
      </c>
    </row>
    <row r="1473" spans="2:3" x14ac:dyDescent="0.25">
      <c r="B1473" s="984" t="s">
        <v>2376</v>
      </c>
      <c r="C1473" s="967">
        <v>91026</v>
      </c>
    </row>
    <row r="1474" spans="2:3" x14ac:dyDescent="0.25">
      <c r="B1474" s="984" t="s">
        <v>1660</v>
      </c>
      <c r="C1474" s="967">
        <v>95405</v>
      </c>
    </row>
    <row r="1475" spans="2:3" x14ac:dyDescent="0.25">
      <c r="B1475" s="984" t="s">
        <v>3874</v>
      </c>
      <c r="C1475" s="967">
        <v>94005</v>
      </c>
    </row>
    <row r="1476" spans="2:3" x14ac:dyDescent="0.25">
      <c r="B1476" s="984" t="s">
        <v>3875</v>
      </c>
      <c r="C1476" s="967">
        <v>95205</v>
      </c>
    </row>
    <row r="1477" spans="2:3" x14ac:dyDescent="0.25">
      <c r="B1477" s="984" t="s">
        <v>1410</v>
      </c>
      <c r="C1477" s="967">
        <v>92507</v>
      </c>
    </row>
    <row r="1478" spans="2:3" x14ac:dyDescent="0.25">
      <c r="B1478" s="984" t="s">
        <v>3876</v>
      </c>
      <c r="C1478" s="967">
        <v>92113</v>
      </c>
    </row>
    <row r="1479" spans="2:3" x14ac:dyDescent="0.25">
      <c r="B1479" s="984" t="s">
        <v>3877</v>
      </c>
      <c r="C1479" s="967">
        <v>96502</v>
      </c>
    </row>
    <row r="1480" spans="2:3" x14ac:dyDescent="0.25">
      <c r="B1480" s="984" t="s">
        <v>1744</v>
      </c>
      <c r="C1480" s="967">
        <v>96501</v>
      </c>
    </row>
    <row r="1481" spans="2:3" x14ac:dyDescent="0.25">
      <c r="B1481" s="984" t="s">
        <v>3878</v>
      </c>
      <c r="C1481" s="967">
        <v>96504</v>
      </c>
    </row>
    <row r="1482" spans="2:3" x14ac:dyDescent="0.25">
      <c r="B1482" s="984" t="s">
        <v>3879</v>
      </c>
      <c r="C1482" s="967">
        <v>97913</v>
      </c>
    </row>
    <row r="1483" spans="2:3" x14ac:dyDescent="0.25">
      <c r="B1483" s="984" t="s">
        <v>3880</v>
      </c>
      <c r="C1483" s="967">
        <v>92511</v>
      </c>
    </row>
    <row r="1484" spans="2:3" x14ac:dyDescent="0.25">
      <c r="B1484" s="984" t="s">
        <v>2377</v>
      </c>
      <c r="C1484" s="967">
        <v>90621</v>
      </c>
    </row>
    <row r="1485" spans="2:3" x14ac:dyDescent="0.25">
      <c r="B1485" s="984" t="s">
        <v>2378</v>
      </c>
      <c r="C1485" s="967">
        <v>91621</v>
      </c>
    </row>
    <row r="1486" spans="2:3" x14ac:dyDescent="0.25">
      <c r="B1486" s="984" t="s">
        <v>2379</v>
      </c>
      <c r="C1486" s="967">
        <v>91871</v>
      </c>
    </row>
    <row r="1487" spans="2:3" x14ac:dyDescent="0.25">
      <c r="B1487" s="984" t="s">
        <v>2380</v>
      </c>
      <c r="C1487" s="967">
        <v>98231</v>
      </c>
    </row>
    <row r="1488" spans="2:3" x14ac:dyDescent="0.25">
      <c r="B1488" s="984" t="s">
        <v>2381</v>
      </c>
      <c r="C1488" s="967">
        <v>99311</v>
      </c>
    </row>
    <row r="1489" spans="2:3" x14ac:dyDescent="0.25">
      <c r="B1489" s="984" t="s">
        <v>2382</v>
      </c>
      <c r="C1489" s="967">
        <v>96751</v>
      </c>
    </row>
    <row r="1490" spans="2:3" x14ac:dyDescent="0.25">
      <c r="B1490" s="984" t="s">
        <v>2383</v>
      </c>
      <c r="C1490" s="967">
        <v>99711</v>
      </c>
    </row>
    <row r="1491" spans="2:3" x14ac:dyDescent="0.25">
      <c r="B1491" s="984" t="s">
        <v>3881</v>
      </c>
      <c r="C1491" s="967">
        <v>99717</v>
      </c>
    </row>
    <row r="1492" spans="2:3" x14ac:dyDescent="0.25">
      <c r="B1492" s="984" t="s">
        <v>1756</v>
      </c>
      <c r="C1492" s="967">
        <v>96601</v>
      </c>
    </row>
    <row r="1493" spans="2:3" x14ac:dyDescent="0.25">
      <c r="B1493" s="984" t="s">
        <v>3882</v>
      </c>
      <c r="C1493" s="967">
        <v>96604</v>
      </c>
    </row>
    <row r="1494" spans="2:3" x14ac:dyDescent="0.25">
      <c r="B1494" s="984" t="s">
        <v>2384</v>
      </c>
      <c r="C1494" s="967">
        <v>91012</v>
      </c>
    </row>
    <row r="1495" spans="2:3" x14ac:dyDescent="0.25">
      <c r="B1495" s="984" t="s">
        <v>1208</v>
      </c>
      <c r="C1495" s="967">
        <v>90305</v>
      </c>
    </row>
    <row r="1496" spans="2:3" x14ac:dyDescent="0.25">
      <c r="B1496" s="984" t="s">
        <v>2385</v>
      </c>
      <c r="C1496" s="967">
        <v>98421</v>
      </c>
    </row>
    <row r="1497" spans="2:3" x14ac:dyDescent="0.25">
      <c r="B1497" s="984" t="s">
        <v>3883</v>
      </c>
      <c r="C1497" s="967">
        <v>98427</v>
      </c>
    </row>
    <row r="1498" spans="2:3" x14ac:dyDescent="0.25">
      <c r="B1498" s="984" t="s">
        <v>2386</v>
      </c>
      <c r="C1498" s="967">
        <v>95821</v>
      </c>
    </row>
    <row r="1499" spans="2:3" x14ac:dyDescent="0.25">
      <c r="B1499" s="984" t="s">
        <v>2387</v>
      </c>
      <c r="C1499" s="967">
        <v>91021</v>
      </c>
    </row>
    <row r="1500" spans="2:3" x14ac:dyDescent="0.25">
      <c r="B1500" s="984" t="s">
        <v>3884</v>
      </c>
      <c r="C1500" s="967">
        <v>91027</v>
      </c>
    </row>
    <row r="1501" spans="2:3" x14ac:dyDescent="0.25">
      <c r="B1501" s="984" t="s">
        <v>2388</v>
      </c>
      <c r="C1501" s="967">
        <v>94161</v>
      </c>
    </row>
    <row r="1502" spans="2:3" x14ac:dyDescent="0.25">
      <c r="B1502" s="984" t="s">
        <v>2389</v>
      </c>
      <c r="C1502" s="967">
        <v>98441</v>
      </c>
    </row>
    <row r="1503" spans="2:3" x14ac:dyDescent="0.25">
      <c r="B1503" s="984" t="s">
        <v>2390</v>
      </c>
      <c r="C1503" s="967">
        <v>91061</v>
      </c>
    </row>
    <row r="1504" spans="2:3" x14ac:dyDescent="0.25">
      <c r="B1504" s="984" t="s">
        <v>3885</v>
      </c>
      <c r="C1504" s="967">
        <v>91067</v>
      </c>
    </row>
    <row r="1505" spans="2:3" x14ac:dyDescent="0.25">
      <c r="B1505" s="984" t="s">
        <v>3886</v>
      </c>
      <c r="C1505" s="967">
        <v>94812</v>
      </c>
    </row>
    <row r="1506" spans="2:3" x14ac:dyDescent="0.25">
      <c r="B1506" s="984" t="s">
        <v>2391</v>
      </c>
      <c r="C1506" s="967">
        <v>95921</v>
      </c>
    </row>
    <row r="1507" spans="2:3" x14ac:dyDescent="0.25">
      <c r="B1507" s="984" t="s">
        <v>1767</v>
      </c>
      <c r="C1507" s="967">
        <v>96701</v>
      </c>
    </row>
    <row r="1508" spans="2:3" x14ac:dyDescent="0.25">
      <c r="B1508" s="984" t="s">
        <v>3887</v>
      </c>
      <c r="C1508" s="967">
        <v>96704</v>
      </c>
    </row>
    <row r="1509" spans="2:3" x14ac:dyDescent="0.25">
      <c r="B1509" s="984" t="s">
        <v>3888</v>
      </c>
      <c r="C1509" s="967">
        <v>96708</v>
      </c>
    </row>
    <row r="1510" spans="2:3" x14ac:dyDescent="0.25">
      <c r="B1510" s="984" t="s">
        <v>1776</v>
      </c>
      <c r="C1510" s="967">
        <v>96801</v>
      </c>
    </row>
    <row r="1511" spans="2:3" x14ac:dyDescent="0.25">
      <c r="B1511" s="984" t="s">
        <v>3889</v>
      </c>
      <c r="C1511" s="967">
        <v>96804</v>
      </c>
    </row>
    <row r="1512" spans="2:3" x14ac:dyDescent="0.25">
      <c r="B1512" s="984" t="s">
        <v>3890</v>
      </c>
      <c r="C1512" s="967">
        <v>96808</v>
      </c>
    </row>
    <row r="1513" spans="2:3" x14ac:dyDescent="0.25">
      <c r="B1513" s="984" t="s">
        <v>2392</v>
      </c>
      <c r="C1513" s="967">
        <v>96912</v>
      </c>
    </row>
    <row r="1514" spans="2:3" x14ac:dyDescent="0.25">
      <c r="B1514" s="984" t="s">
        <v>2393</v>
      </c>
      <c r="C1514" s="967">
        <v>93911</v>
      </c>
    </row>
    <row r="1515" spans="2:3" x14ac:dyDescent="0.25">
      <c r="B1515" s="984" t="s">
        <v>1536</v>
      </c>
      <c r="C1515" s="967">
        <v>93913</v>
      </c>
    </row>
    <row r="1516" spans="2:3" x14ac:dyDescent="0.25">
      <c r="B1516" s="984" t="s">
        <v>1782</v>
      </c>
      <c r="C1516" s="967">
        <v>96901</v>
      </c>
    </row>
    <row r="1517" spans="2:3" x14ac:dyDescent="0.25">
      <c r="B1517" s="984" t="s">
        <v>3891</v>
      </c>
      <c r="C1517" s="967">
        <v>97841</v>
      </c>
    </row>
    <row r="1518" spans="2:3" x14ac:dyDescent="0.25">
      <c r="B1518" s="984" t="s">
        <v>1471</v>
      </c>
      <c r="C1518" s="967">
        <v>93202</v>
      </c>
    </row>
    <row r="1519" spans="2:3" x14ac:dyDescent="0.25">
      <c r="B1519" s="984" t="s">
        <v>3563</v>
      </c>
      <c r="C1519" s="967">
        <v>93609</v>
      </c>
    </row>
    <row r="1520" spans="2:3" x14ac:dyDescent="0.25">
      <c r="B1520" s="984" t="s">
        <v>3892</v>
      </c>
      <c r="C1520" s="967">
        <v>97004</v>
      </c>
    </row>
    <row r="1521" spans="2:3" x14ac:dyDescent="0.25">
      <c r="B1521" s="984" t="s">
        <v>1786</v>
      </c>
      <c r="C1521" s="967">
        <v>97001</v>
      </c>
    </row>
    <row r="1522" spans="2:3" x14ac:dyDescent="0.25">
      <c r="B1522" s="984" t="s">
        <v>1787</v>
      </c>
      <c r="C1522" s="967">
        <v>97002</v>
      </c>
    </row>
    <row r="1523" spans="2:3" x14ac:dyDescent="0.25">
      <c r="B1523" s="984" t="s">
        <v>1795</v>
      </c>
      <c r="C1523" s="967">
        <v>97015</v>
      </c>
    </row>
    <row r="1524" spans="2:3" x14ac:dyDescent="0.25">
      <c r="B1524" s="984" t="s">
        <v>2394</v>
      </c>
      <c r="C1524" s="967">
        <v>90441</v>
      </c>
    </row>
    <row r="1525" spans="2:3" x14ac:dyDescent="0.25">
      <c r="B1525" s="984" t="s">
        <v>2395</v>
      </c>
      <c r="C1525" s="967">
        <v>97851</v>
      </c>
    </row>
    <row r="1526" spans="2:3" x14ac:dyDescent="0.25">
      <c r="B1526" s="984" t="s">
        <v>1865</v>
      </c>
      <c r="C1526" s="967">
        <v>97853</v>
      </c>
    </row>
    <row r="1527" spans="2:3" x14ac:dyDescent="0.25">
      <c r="B1527" s="984" t="s">
        <v>1797</v>
      </c>
      <c r="C1527" s="967">
        <v>97101</v>
      </c>
    </row>
    <row r="1528" spans="2:3" x14ac:dyDescent="0.25">
      <c r="B1528" s="984" t="s">
        <v>3893</v>
      </c>
      <c r="C1528" s="967">
        <v>97104</v>
      </c>
    </row>
    <row r="1529" spans="2:3" x14ac:dyDescent="0.25">
      <c r="B1529" s="984" t="s">
        <v>1802</v>
      </c>
      <c r="C1529" s="967">
        <v>97201</v>
      </c>
    </row>
    <row r="1530" spans="2:3" x14ac:dyDescent="0.25">
      <c r="B1530" s="984" t="s">
        <v>3894</v>
      </c>
      <c r="C1530" s="967">
        <v>97304</v>
      </c>
    </row>
    <row r="1531" spans="2:3" x14ac:dyDescent="0.25">
      <c r="B1531" s="984" t="s">
        <v>1807</v>
      </c>
      <c r="C1531" s="967">
        <v>97301</v>
      </c>
    </row>
    <row r="1532" spans="2:3" x14ac:dyDescent="0.25">
      <c r="B1532" s="984" t="s">
        <v>2004</v>
      </c>
      <c r="C1532" s="967">
        <v>99405</v>
      </c>
    </row>
    <row r="1533" spans="2:3" x14ac:dyDescent="0.25">
      <c r="B1533" s="984" t="s">
        <v>1186</v>
      </c>
      <c r="C1533" s="967">
        <v>72265</v>
      </c>
    </row>
    <row r="1534" spans="2:3" x14ac:dyDescent="0.25">
      <c r="B1534" s="984" t="s">
        <v>3895</v>
      </c>
      <c r="C1534" s="967">
        <v>94112</v>
      </c>
    </row>
    <row r="1535" spans="2:3" x14ac:dyDescent="0.25">
      <c r="B1535" s="984" t="s">
        <v>1490</v>
      </c>
      <c r="C1535" s="967">
        <v>93406</v>
      </c>
    </row>
    <row r="1536" spans="2:3" x14ac:dyDescent="0.25">
      <c r="B1536" s="984" t="s">
        <v>2396</v>
      </c>
      <c r="C1536" s="967">
        <v>99651</v>
      </c>
    </row>
    <row r="1537" spans="2:3" x14ac:dyDescent="0.25">
      <c r="B1537" s="984" t="s">
        <v>2397</v>
      </c>
      <c r="C1537" s="967">
        <v>98611</v>
      </c>
    </row>
    <row r="1538" spans="2:3" x14ac:dyDescent="0.25">
      <c r="B1538" s="984" t="s">
        <v>3896</v>
      </c>
      <c r="C1538" s="967">
        <v>98607</v>
      </c>
    </row>
    <row r="1539" spans="2:3" x14ac:dyDescent="0.25">
      <c r="B1539" s="984" t="s">
        <v>2398</v>
      </c>
      <c r="C1539" s="967">
        <v>91641</v>
      </c>
    </row>
    <row r="1540" spans="2:3" x14ac:dyDescent="0.25">
      <c r="B1540" s="984" t="s">
        <v>2399</v>
      </c>
      <c r="C1540" s="967">
        <v>95161</v>
      </c>
    </row>
    <row r="1541" spans="2:3" x14ac:dyDescent="0.25">
      <c r="B1541" s="984" t="s">
        <v>2400</v>
      </c>
      <c r="C1541" s="967">
        <v>96361</v>
      </c>
    </row>
    <row r="1542" spans="2:3" x14ac:dyDescent="0.25">
      <c r="B1542" s="984" t="s">
        <v>3897</v>
      </c>
      <c r="C1542" s="967">
        <v>94108</v>
      </c>
    </row>
    <row r="1543" spans="2:3" x14ac:dyDescent="0.25">
      <c r="B1543" s="984" t="s">
        <v>2401</v>
      </c>
      <c r="C1543" s="967">
        <v>96351</v>
      </c>
    </row>
    <row r="1544" spans="2:3" x14ac:dyDescent="0.25">
      <c r="B1544" s="984" t="s">
        <v>2402</v>
      </c>
      <c r="C1544" s="967">
        <v>93331</v>
      </c>
    </row>
    <row r="1545" spans="2:3" x14ac:dyDescent="0.25">
      <c r="B1545" s="984" t="s">
        <v>2403</v>
      </c>
      <c r="C1545" s="967">
        <v>96021</v>
      </c>
    </row>
    <row r="1546" spans="2:3" x14ac:dyDescent="0.25">
      <c r="B1546" s="984" t="s">
        <v>2404</v>
      </c>
      <c r="C1546" s="967">
        <v>95421</v>
      </c>
    </row>
    <row r="1547" spans="2:3" x14ac:dyDescent="0.25">
      <c r="B1547" s="984" t="s">
        <v>1810</v>
      </c>
      <c r="C1547" s="967">
        <v>97401</v>
      </c>
    </row>
    <row r="1548" spans="2:3" x14ac:dyDescent="0.25">
      <c r="B1548" s="984" t="s">
        <v>3898</v>
      </c>
      <c r="C1548" s="967">
        <v>97404</v>
      </c>
    </row>
    <row r="1549" spans="2:3" x14ac:dyDescent="0.25">
      <c r="B1549" s="984" t="s">
        <v>3899</v>
      </c>
      <c r="C1549" s="967">
        <v>97402</v>
      </c>
    </row>
    <row r="1550" spans="2:3" x14ac:dyDescent="0.25">
      <c r="B1550" s="984" t="s">
        <v>2405</v>
      </c>
      <c r="C1550" s="967">
        <v>91921</v>
      </c>
    </row>
    <row r="1551" spans="2:3" x14ac:dyDescent="0.25">
      <c r="B1551" s="984" t="s">
        <v>3900</v>
      </c>
      <c r="C1551" s="967">
        <v>95908</v>
      </c>
    </row>
    <row r="1552" spans="2:3" x14ac:dyDescent="0.25">
      <c r="B1552" s="984" t="s">
        <v>2406</v>
      </c>
      <c r="C1552" s="967">
        <v>99411</v>
      </c>
    </row>
    <row r="1553" spans="2:3" x14ac:dyDescent="0.25">
      <c r="B1553" s="984" t="s">
        <v>2006</v>
      </c>
      <c r="C1553" s="967">
        <v>99413</v>
      </c>
    </row>
    <row r="1554" spans="2:3" x14ac:dyDescent="0.25">
      <c r="B1554" s="984" t="s">
        <v>1827</v>
      </c>
      <c r="C1554" s="967">
        <v>97501</v>
      </c>
    </row>
    <row r="1555" spans="2:3" x14ac:dyDescent="0.25">
      <c r="B1555" s="984" t="s">
        <v>2407</v>
      </c>
      <c r="C1555" s="967">
        <v>90431</v>
      </c>
    </row>
    <row r="1556" spans="2:3" x14ac:dyDescent="0.25">
      <c r="B1556" s="984" t="s">
        <v>2408</v>
      </c>
      <c r="C1556" s="967">
        <v>95211</v>
      </c>
    </row>
    <row r="1557" spans="2:3" x14ac:dyDescent="0.25">
      <c r="B1557" s="984" t="s">
        <v>2409</v>
      </c>
      <c r="C1557" s="967">
        <v>95181</v>
      </c>
    </row>
    <row r="1558" spans="2:3" x14ac:dyDescent="0.25">
      <c r="B1558" s="984" t="s">
        <v>2410</v>
      </c>
      <c r="C1558" s="967">
        <v>93351</v>
      </c>
    </row>
    <row r="1559" spans="2:3" x14ac:dyDescent="0.25">
      <c r="B1559" s="984" t="s">
        <v>3901</v>
      </c>
      <c r="C1559" s="967">
        <v>95105</v>
      </c>
    </row>
    <row r="1560" spans="2:3" x14ac:dyDescent="0.25">
      <c r="B1560" s="984" t="s">
        <v>3902</v>
      </c>
      <c r="C1560" s="967">
        <v>92614</v>
      </c>
    </row>
    <row r="1561" spans="2:3" x14ac:dyDescent="0.25">
      <c r="B1561" s="984" t="s">
        <v>2411</v>
      </c>
      <c r="C1561" s="967">
        <v>94711</v>
      </c>
    </row>
    <row r="1562" spans="2:3" x14ac:dyDescent="0.25">
      <c r="B1562" s="984" t="s">
        <v>2412</v>
      </c>
      <c r="C1562" s="967">
        <v>99211</v>
      </c>
    </row>
    <row r="1563" spans="2:3" x14ac:dyDescent="0.25">
      <c r="B1563" s="984" t="s">
        <v>1987</v>
      </c>
      <c r="C1563" s="967">
        <v>99218</v>
      </c>
    </row>
    <row r="1564" spans="2:3" x14ac:dyDescent="0.25">
      <c r="B1564" s="984" t="s">
        <v>3903</v>
      </c>
      <c r="C1564" s="967">
        <v>99213</v>
      </c>
    </row>
    <row r="1565" spans="2:3" x14ac:dyDescent="0.25">
      <c r="B1565" s="984" t="s">
        <v>2413</v>
      </c>
      <c r="C1565" s="967">
        <v>97641</v>
      </c>
    </row>
    <row r="1566" spans="2:3" x14ac:dyDescent="0.25">
      <c r="B1566" s="984" t="s">
        <v>2414</v>
      </c>
      <c r="C1566" s="967">
        <v>97621</v>
      </c>
    </row>
    <row r="1567" spans="2:3" x14ac:dyDescent="0.25">
      <c r="B1567" s="984" t="s">
        <v>3904</v>
      </c>
      <c r="C1567" s="967">
        <v>97627</v>
      </c>
    </row>
    <row r="1568" spans="2:3" x14ac:dyDescent="0.25">
      <c r="B1568" s="984" t="s">
        <v>3905</v>
      </c>
      <c r="C1568" s="967">
        <v>97623</v>
      </c>
    </row>
    <row r="1569" spans="2:3" x14ac:dyDescent="0.25">
      <c r="B1569" s="984" t="s">
        <v>1831</v>
      </c>
      <c r="C1569" s="967">
        <v>97601</v>
      </c>
    </row>
    <row r="1570" spans="2:3" x14ac:dyDescent="0.25">
      <c r="B1570" s="984" t="s">
        <v>2415</v>
      </c>
      <c r="C1570" s="967">
        <v>93681</v>
      </c>
    </row>
    <row r="1571" spans="2:3" x14ac:dyDescent="0.25">
      <c r="B1571" s="984" t="s">
        <v>2416</v>
      </c>
      <c r="C1571" s="967">
        <v>97871</v>
      </c>
    </row>
    <row r="1572" spans="2:3" x14ac:dyDescent="0.25">
      <c r="B1572" s="984" t="s">
        <v>3906</v>
      </c>
      <c r="C1572" s="967">
        <v>97877</v>
      </c>
    </row>
    <row r="1573" spans="2:3" x14ac:dyDescent="0.25">
      <c r="B1573" s="984" t="s">
        <v>2010</v>
      </c>
      <c r="C1573" s="967">
        <v>99502</v>
      </c>
    </row>
    <row r="1574" spans="2:3" x14ac:dyDescent="0.25">
      <c r="B1574" s="984" t="s">
        <v>2417</v>
      </c>
      <c r="C1574" s="967">
        <v>97911</v>
      </c>
    </row>
    <row r="1575" spans="2:3" x14ac:dyDescent="0.25">
      <c r="B1575" s="984" t="s">
        <v>3907</v>
      </c>
      <c r="C1575" s="967">
        <v>97917</v>
      </c>
    </row>
    <row r="1576" spans="2:3" x14ac:dyDescent="0.25">
      <c r="B1576" s="984" t="s">
        <v>2418</v>
      </c>
      <c r="C1576" s="967">
        <v>96611</v>
      </c>
    </row>
    <row r="1577" spans="2:3" x14ac:dyDescent="0.25">
      <c r="B1577" s="984" t="s">
        <v>2419</v>
      </c>
      <c r="C1577" s="967">
        <v>96741</v>
      </c>
    </row>
    <row r="1578" spans="2:3" x14ac:dyDescent="0.25">
      <c r="B1578" s="984" t="s">
        <v>1843</v>
      </c>
      <c r="C1578" s="967">
        <v>97701</v>
      </c>
    </row>
    <row r="1579" spans="2:3" x14ac:dyDescent="0.25">
      <c r="B1579" s="984" t="s">
        <v>2420</v>
      </c>
      <c r="C1579" s="967">
        <v>92541</v>
      </c>
    </row>
    <row r="1580" spans="2:3" x14ac:dyDescent="0.25">
      <c r="B1580" s="984" t="s">
        <v>1567</v>
      </c>
      <c r="C1580" s="967">
        <v>94209</v>
      </c>
    </row>
    <row r="1581" spans="2:3" x14ac:dyDescent="0.25">
      <c r="B1581" s="984" t="s">
        <v>3908</v>
      </c>
      <c r="C1581" s="967">
        <v>94221</v>
      </c>
    </row>
    <row r="1582" spans="2:3" x14ac:dyDescent="0.25">
      <c r="B1582" s="984" t="s">
        <v>2421</v>
      </c>
      <c r="C1582" s="967">
        <v>96341</v>
      </c>
    </row>
    <row r="1583" spans="2:3" x14ac:dyDescent="0.25">
      <c r="B1583" s="984" t="s">
        <v>2422</v>
      </c>
      <c r="C1583" s="967">
        <v>93821</v>
      </c>
    </row>
    <row r="1584" spans="2:3" x14ac:dyDescent="0.25">
      <c r="B1584" s="984" t="s">
        <v>2423</v>
      </c>
      <c r="C1584" s="967">
        <v>95851</v>
      </c>
    </row>
    <row r="1585" spans="2:3" x14ac:dyDescent="0.25">
      <c r="B1585" s="984" t="s">
        <v>1689</v>
      </c>
      <c r="C1585" s="967">
        <v>95853</v>
      </c>
    </row>
    <row r="1586" spans="2:3" x14ac:dyDescent="0.25">
      <c r="B1586" s="984" t="s">
        <v>1851</v>
      </c>
      <c r="C1586" s="967">
        <v>97801</v>
      </c>
    </row>
    <row r="1587" spans="2:3" x14ac:dyDescent="0.25">
      <c r="B1587" s="984" t="s">
        <v>1853</v>
      </c>
      <c r="C1587" s="967">
        <v>97803</v>
      </c>
    </row>
    <row r="1588" spans="2:3" x14ac:dyDescent="0.25">
      <c r="B1588" s="984" t="s">
        <v>1854</v>
      </c>
      <c r="C1588" s="967">
        <v>97805</v>
      </c>
    </row>
    <row r="1589" spans="2:3" x14ac:dyDescent="0.25">
      <c r="B1589" s="984" t="s">
        <v>2424</v>
      </c>
      <c r="C1589" s="967">
        <v>97711</v>
      </c>
    </row>
    <row r="1590" spans="2:3" x14ac:dyDescent="0.25">
      <c r="B1590" s="984" t="s">
        <v>1869</v>
      </c>
      <c r="C1590" s="967">
        <v>97901</v>
      </c>
    </row>
    <row r="1591" spans="2:3" x14ac:dyDescent="0.25">
      <c r="B1591" s="984" t="s">
        <v>1846</v>
      </c>
      <c r="C1591" s="967">
        <v>97713</v>
      </c>
    </row>
    <row r="1592" spans="2:3" x14ac:dyDescent="0.25">
      <c r="B1592" s="984" t="s">
        <v>3909</v>
      </c>
      <c r="C1592" s="967">
        <v>97727</v>
      </c>
    </row>
    <row r="1593" spans="2:3" x14ac:dyDescent="0.25">
      <c r="B1593" s="984" t="s">
        <v>2425</v>
      </c>
      <c r="C1593" s="967">
        <v>98071</v>
      </c>
    </row>
    <row r="1594" spans="2:3" x14ac:dyDescent="0.25">
      <c r="B1594" s="984" t="s">
        <v>1483</v>
      </c>
      <c r="C1594" s="967">
        <v>93323</v>
      </c>
    </row>
    <row r="1595" spans="2:3" x14ac:dyDescent="0.25">
      <c r="B1595" s="984" t="s">
        <v>3910</v>
      </c>
      <c r="C1595" s="967">
        <v>93333</v>
      </c>
    </row>
    <row r="1596" spans="2:3" x14ac:dyDescent="0.25">
      <c r="B1596" s="984" t="s">
        <v>3911</v>
      </c>
      <c r="C1596" s="967">
        <v>93321</v>
      </c>
    </row>
    <row r="1597" spans="2:3" x14ac:dyDescent="0.25">
      <c r="B1597" s="984" t="s">
        <v>2426</v>
      </c>
      <c r="C1597" s="967">
        <v>99203</v>
      </c>
    </row>
    <row r="1598" spans="2:3" x14ac:dyDescent="0.25">
      <c r="B1598" s="984" t="s">
        <v>2427</v>
      </c>
      <c r="C1598" s="967">
        <v>99421</v>
      </c>
    </row>
    <row r="1599" spans="2:3" x14ac:dyDescent="0.25">
      <c r="B1599" s="984" t="s">
        <v>2428</v>
      </c>
      <c r="C1599" s="967">
        <v>93161</v>
      </c>
    </row>
    <row r="1600" spans="2:3" x14ac:dyDescent="0.25">
      <c r="B1600" s="984" t="s">
        <v>2429</v>
      </c>
      <c r="C1600" s="967">
        <v>98261</v>
      </c>
    </row>
    <row r="1601" spans="2:3" x14ac:dyDescent="0.25">
      <c r="B1601" s="984" t="s">
        <v>3912</v>
      </c>
      <c r="C1601" s="967">
        <v>98237</v>
      </c>
    </row>
    <row r="1602" spans="2:3" x14ac:dyDescent="0.25">
      <c r="B1602" s="984" t="s">
        <v>3913</v>
      </c>
      <c r="C1602" s="967">
        <v>98003</v>
      </c>
    </row>
    <row r="1603" spans="2:3" x14ac:dyDescent="0.25">
      <c r="B1603" s="984" t="s">
        <v>3914</v>
      </c>
      <c r="C1603" s="967">
        <v>98008</v>
      </c>
    </row>
    <row r="1604" spans="2:3" x14ac:dyDescent="0.25">
      <c r="B1604" s="984" t="s">
        <v>3915</v>
      </c>
      <c r="C1604" s="967">
        <v>98002</v>
      </c>
    </row>
    <row r="1605" spans="2:3" x14ac:dyDescent="0.25">
      <c r="B1605" s="984" t="s">
        <v>1880</v>
      </c>
      <c r="C1605" s="967">
        <v>98001</v>
      </c>
    </row>
    <row r="1606" spans="2:3" x14ac:dyDescent="0.25">
      <c r="B1606" s="984" t="s">
        <v>3916</v>
      </c>
      <c r="C1606" s="967">
        <v>98004</v>
      </c>
    </row>
    <row r="1607" spans="2:3" x14ac:dyDescent="0.25">
      <c r="B1607" s="984" t="s">
        <v>2430</v>
      </c>
      <c r="C1607" s="967">
        <v>97861</v>
      </c>
    </row>
    <row r="1608" spans="2:3" x14ac:dyDescent="0.25">
      <c r="B1608" s="984" t="s">
        <v>2431</v>
      </c>
      <c r="C1608" s="967">
        <v>97311</v>
      </c>
    </row>
    <row r="1609" spans="2:3" x14ac:dyDescent="0.25">
      <c r="B1609" s="984" t="s">
        <v>2432</v>
      </c>
      <c r="C1609" s="967">
        <v>93431</v>
      </c>
    </row>
    <row r="1610" spans="2:3" x14ac:dyDescent="0.25">
      <c r="B1610" s="984" t="s">
        <v>2433</v>
      </c>
      <c r="C1610" s="967">
        <v>91214</v>
      </c>
    </row>
    <row r="1611" spans="2:3" x14ac:dyDescent="0.25">
      <c r="B1611" s="984" t="s">
        <v>1895</v>
      </c>
      <c r="C1611" s="967">
        <v>98101</v>
      </c>
    </row>
    <row r="1612" spans="2:3" x14ac:dyDescent="0.25">
      <c r="B1612" s="984" t="s">
        <v>3917</v>
      </c>
      <c r="C1612" s="967">
        <v>98103</v>
      </c>
    </row>
    <row r="1613" spans="2:3" x14ac:dyDescent="0.25">
      <c r="B1613" s="984" t="s">
        <v>2434</v>
      </c>
      <c r="C1613" s="967">
        <v>98141</v>
      </c>
    </row>
    <row r="1614" spans="2:3" x14ac:dyDescent="0.25">
      <c r="B1614" s="984" t="s">
        <v>3918</v>
      </c>
      <c r="C1614" s="967">
        <v>98147</v>
      </c>
    </row>
    <row r="1615" spans="2:3" x14ac:dyDescent="0.25">
      <c r="B1615" s="984" t="s">
        <v>2435</v>
      </c>
      <c r="C1615" s="967">
        <v>98221</v>
      </c>
    </row>
    <row r="1616" spans="2:3" x14ac:dyDescent="0.25">
      <c r="B1616" s="984" t="s">
        <v>2436</v>
      </c>
      <c r="C1616" s="967">
        <v>98011</v>
      </c>
    </row>
    <row r="1617" spans="2:3" x14ac:dyDescent="0.25">
      <c r="B1617" s="984" t="s">
        <v>2437</v>
      </c>
      <c r="C1617" s="967">
        <v>97531</v>
      </c>
    </row>
    <row r="1618" spans="2:3" x14ac:dyDescent="0.25">
      <c r="B1618" s="984" t="s">
        <v>1907</v>
      </c>
      <c r="C1618" s="967">
        <v>98201</v>
      </c>
    </row>
    <row r="1619" spans="2:3" x14ac:dyDescent="0.25">
      <c r="B1619" s="984" t="s">
        <v>1844</v>
      </c>
      <c r="C1619" s="967">
        <v>97705</v>
      </c>
    </row>
    <row r="1620" spans="2:3" x14ac:dyDescent="0.25">
      <c r="B1620" s="984" t="s">
        <v>3565</v>
      </c>
      <c r="C1620" s="967">
        <v>96318</v>
      </c>
    </row>
    <row r="1621" spans="2:3" x14ac:dyDescent="0.25">
      <c r="B1621" s="984" t="s">
        <v>2438</v>
      </c>
      <c r="C1621" s="967">
        <v>95311</v>
      </c>
    </row>
    <row r="1622" spans="2:3" x14ac:dyDescent="0.25">
      <c r="B1622" s="984" t="s">
        <v>3919</v>
      </c>
      <c r="C1622" s="967">
        <v>95317</v>
      </c>
    </row>
    <row r="1623" spans="2:3" x14ac:dyDescent="0.25">
      <c r="B1623" s="984" t="s">
        <v>2439</v>
      </c>
      <c r="C1623" s="967">
        <v>91421</v>
      </c>
    </row>
    <row r="1624" spans="2:3" x14ac:dyDescent="0.25">
      <c r="B1624" s="984" t="s">
        <v>1918</v>
      </c>
      <c r="C1624" s="967">
        <v>98301</v>
      </c>
    </row>
    <row r="1625" spans="2:3" x14ac:dyDescent="0.25">
      <c r="B1625" s="984" t="s">
        <v>3920</v>
      </c>
      <c r="C1625" s="967">
        <v>98304</v>
      </c>
    </row>
    <row r="1626" spans="2:3" x14ac:dyDescent="0.25">
      <c r="B1626" s="984" t="s">
        <v>2440</v>
      </c>
      <c r="C1626" s="967">
        <v>94241</v>
      </c>
    </row>
    <row r="1627" spans="2:3" x14ac:dyDescent="0.25">
      <c r="B1627" s="984" t="s">
        <v>2441</v>
      </c>
      <c r="C1627" s="967">
        <v>96681</v>
      </c>
    </row>
    <row r="1628" spans="2:3" x14ac:dyDescent="0.25">
      <c r="B1628" s="984" t="s">
        <v>3921</v>
      </c>
      <c r="C1628" s="967">
        <v>72593</v>
      </c>
    </row>
    <row r="1629" spans="2:3" x14ac:dyDescent="0.25">
      <c r="B1629" s="984" t="s">
        <v>2442</v>
      </c>
      <c r="C1629" s="967">
        <v>95121</v>
      </c>
    </row>
    <row r="1630" spans="2:3" x14ac:dyDescent="0.25">
      <c r="B1630" s="984" t="s">
        <v>1641</v>
      </c>
      <c r="C1630" s="967">
        <v>95123</v>
      </c>
    </row>
    <row r="1631" spans="2:3" x14ac:dyDescent="0.25">
      <c r="B1631" s="984" t="s">
        <v>2443</v>
      </c>
      <c r="C1631" s="967">
        <v>99531</v>
      </c>
    </row>
    <row r="1632" spans="2:3" x14ac:dyDescent="0.25">
      <c r="B1632" s="984" t="s">
        <v>2444</v>
      </c>
      <c r="C1632" s="967">
        <v>96671</v>
      </c>
    </row>
    <row r="1633" spans="2:3" x14ac:dyDescent="0.25">
      <c r="B1633" s="984" t="s">
        <v>2445</v>
      </c>
      <c r="C1633" s="967">
        <v>91081</v>
      </c>
    </row>
    <row r="1634" spans="2:3" x14ac:dyDescent="0.25">
      <c r="B1634" s="984" t="s">
        <v>3922</v>
      </c>
      <c r="C1634" s="967">
        <v>91057</v>
      </c>
    </row>
    <row r="1635" spans="2:3" x14ac:dyDescent="0.25">
      <c r="B1635" s="984" t="s">
        <v>2446</v>
      </c>
      <c r="C1635" s="967">
        <v>96461</v>
      </c>
    </row>
    <row r="1636" spans="2:3" x14ac:dyDescent="0.25">
      <c r="B1636" s="984" t="s">
        <v>2447</v>
      </c>
      <c r="C1636" s="967">
        <v>92311</v>
      </c>
    </row>
    <row r="1637" spans="2:3" x14ac:dyDescent="0.25">
      <c r="B1637" s="984" t="s">
        <v>3923</v>
      </c>
      <c r="C1637" s="967">
        <v>92317</v>
      </c>
    </row>
    <row r="1638" spans="2:3" x14ac:dyDescent="0.25">
      <c r="B1638" s="984" t="s">
        <v>1813</v>
      </c>
      <c r="C1638" s="967">
        <v>97405</v>
      </c>
    </row>
    <row r="1639" spans="2:3" x14ac:dyDescent="0.25">
      <c r="B1639" s="984" t="s">
        <v>2448</v>
      </c>
      <c r="C1639" s="967">
        <v>91911</v>
      </c>
    </row>
    <row r="1640" spans="2:3" x14ac:dyDescent="0.25">
      <c r="B1640" s="984" t="s">
        <v>3924</v>
      </c>
      <c r="C1640" s="967">
        <v>91917</v>
      </c>
    </row>
    <row r="1641" spans="2:3" x14ac:dyDescent="0.25">
      <c r="B1641" s="984" t="s">
        <v>2449</v>
      </c>
      <c r="C1641" s="967">
        <v>97481</v>
      </c>
    </row>
    <row r="1642" spans="2:3" x14ac:dyDescent="0.25">
      <c r="B1642" s="984" t="s">
        <v>3925</v>
      </c>
      <c r="C1642" s="967">
        <v>91138</v>
      </c>
    </row>
    <row r="1643" spans="2:3" x14ac:dyDescent="0.25">
      <c r="B1643" s="984" t="s">
        <v>2450</v>
      </c>
      <c r="C1643" s="967">
        <v>95111</v>
      </c>
    </row>
    <row r="1644" spans="2:3" x14ac:dyDescent="0.25">
      <c r="B1644" s="984" t="s">
        <v>1638</v>
      </c>
      <c r="C1644" s="967">
        <v>95113</v>
      </c>
    </row>
    <row r="1645" spans="2:3" x14ac:dyDescent="0.25">
      <c r="B1645" s="984" t="s">
        <v>2451</v>
      </c>
      <c r="C1645" s="967">
        <v>94021</v>
      </c>
    </row>
    <row r="1646" spans="2:3" x14ac:dyDescent="0.25">
      <c r="B1646" s="984" t="s">
        <v>3926</v>
      </c>
      <c r="C1646" s="967">
        <v>90918</v>
      </c>
    </row>
    <row r="1647" spans="2:3" x14ac:dyDescent="0.25">
      <c r="B1647" s="984" t="s">
        <v>3927</v>
      </c>
      <c r="C1647" s="967">
        <v>93910</v>
      </c>
    </row>
    <row r="1648" spans="2:3" x14ac:dyDescent="0.25">
      <c r="B1648" s="984" t="s">
        <v>3566</v>
      </c>
      <c r="C1648" s="967">
        <v>91013</v>
      </c>
    </row>
    <row r="1649" spans="2:3" x14ac:dyDescent="0.25">
      <c r="B1649" s="984" t="s">
        <v>2452</v>
      </c>
      <c r="C1649" s="967">
        <v>96311</v>
      </c>
    </row>
    <row r="1650" spans="2:3" x14ac:dyDescent="0.25">
      <c r="B1650" s="984" t="s">
        <v>2453</v>
      </c>
      <c r="C1650" s="967">
        <v>92841</v>
      </c>
    </row>
    <row r="1651" spans="2:3" x14ac:dyDescent="0.25">
      <c r="B1651" s="984" t="s">
        <v>2021</v>
      </c>
      <c r="C1651" s="967">
        <v>99609</v>
      </c>
    </row>
    <row r="1652" spans="2:3" x14ac:dyDescent="0.25">
      <c r="B1652" s="984" t="s">
        <v>2454</v>
      </c>
      <c r="C1652" s="967">
        <v>91011</v>
      </c>
    </row>
    <row r="1653" spans="2:3" x14ac:dyDescent="0.25">
      <c r="B1653" s="984" t="s">
        <v>3928</v>
      </c>
      <c r="C1653" s="967">
        <v>91017</v>
      </c>
    </row>
    <row r="1654" spans="2:3" x14ac:dyDescent="0.25">
      <c r="B1654" s="984" t="s">
        <v>3929</v>
      </c>
      <c r="C1654" s="967">
        <v>95008</v>
      </c>
    </row>
    <row r="1655" spans="2:3" x14ac:dyDescent="0.25">
      <c r="B1655" s="984" t="s">
        <v>2455</v>
      </c>
      <c r="C1655" s="967">
        <v>72657</v>
      </c>
    </row>
    <row r="1656" spans="2:3" x14ac:dyDescent="0.25">
      <c r="B1656" s="984" t="s">
        <v>3930</v>
      </c>
      <c r="C1656" s="967">
        <v>90307</v>
      </c>
    </row>
    <row r="1657" spans="2:3" x14ac:dyDescent="0.25">
      <c r="B1657" s="984" t="s">
        <v>2456</v>
      </c>
      <c r="C1657" s="967">
        <v>98031</v>
      </c>
    </row>
    <row r="1658" spans="2:3" x14ac:dyDescent="0.25">
      <c r="B1658" s="984" t="s">
        <v>2457</v>
      </c>
      <c r="C1658" s="967">
        <v>98121</v>
      </c>
    </row>
    <row r="1659" spans="2:3" x14ac:dyDescent="0.25">
      <c r="B1659" s="984" t="s">
        <v>2458</v>
      </c>
      <c r="C1659" s="967">
        <v>96411</v>
      </c>
    </row>
    <row r="1660" spans="2:3" x14ac:dyDescent="0.25">
      <c r="B1660" s="984" t="s">
        <v>2459</v>
      </c>
      <c r="C1660" s="967">
        <v>92661</v>
      </c>
    </row>
    <row r="1661" spans="2:3" x14ac:dyDescent="0.25">
      <c r="B1661" s="984" t="s">
        <v>2460</v>
      </c>
      <c r="C1661" s="967">
        <v>96111</v>
      </c>
    </row>
    <row r="1662" spans="2:3" x14ac:dyDescent="0.25">
      <c r="B1662" s="984" t="s">
        <v>3931</v>
      </c>
      <c r="C1662" s="967">
        <v>91032</v>
      </c>
    </row>
    <row r="1663" spans="2:3" x14ac:dyDescent="0.25">
      <c r="B1663" s="984" t="s">
        <v>3932</v>
      </c>
      <c r="C1663" s="967">
        <v>97831</v>
      </c>
    </row>
    <row r="1664" spans="2:3" x14ac:dyDescent="0.25">
      <c r="B1664" s="984" t="s">
        <v>3933</v>
      </c>
      <c r="C1664" s="967">
        <v>97837</v>
      </c>
    </row>
    <row r="1665" spans="2:3" x14ac:dyDescent="0.25">
      <c r="B1665" s="984" t="s">
        <v>2461</v>
      </c>
      <c r="C1665" s="967">
        <v>96061</v>
      </c>
    </row>
    <row r="1666" spans="2:3" x14ac:dyDescent="0.25">
      <c r="B1666" s="984" t="s">
        <v>2462</v>
      </c>
      <c r="C1666" s="967">
        <v>98481</v>
      </c>
    </row>
    <row r="1667" spans="2:3" x14ac:dyDescent="0.25">
      <c r="B1667" s="984" t="s">
        <v>2463</v>
      </c>
      <c r="C1667" s="967">
        <v>93602</v>
      </c>
    </row>
    <row r="1668" spans="2:3" x14ac:dyDescent="0.25">
      <c r="B1668" s="984" t="s">
        <v>1925</v>
      </c>
      <c r="C1668" s="967">
        <v>98401</v>
      </c>
    </row>
    <row r="1669" spans="2:3" x14ac:dyDescent="0.25">
      <c r="B1669" s="984" t="s">
        <v>2464</v>
      </c>
      <c r="C1669" s="967">
        <v>99821</v>
      </c>
    </row>
    <row r="1670" spans="2:3" x14ac:dyDescent="0.25">
      <c r="B1670" s="984" t="s">
        <v>2465</v>
      </c>
      <c r="C1670" s="967">
        <v>96211</v>
      </c>
    </row>
    <row r="1671" spans="2:3" x14ac:dyDescent="0.25">
      <c r="B1671" s="984" t="s">
        <v>2466</v>
      </c>
      <c r="C1671" s="967">
        <v>94911</v>
      </c>
    </row>
    <row r="1672" spans="2:3" x14ac:dyDescent="0.25">
      <c r="B1672" s="984" t="s">
        <v>3934</v>
      </c>
      <c r="C1672" s="967">
        <v>94917</v>
      </c>
    </row>
    <row r="1673" spans="2:3" x14ac:dyDescent="0.25">
      <c r="B1673" s="984" t="s">
        <v>2467</v>
      </c>
      <c r="C1673" s="967">
        <v>92621</v>
      </c>
    </row>
    <row r="1674" spans="2:3" x14ac:dyDescent="0.25">
      <c r="B1674" s="984" t="s">
        <v>1934</v>
      </c>
      <c r="C1674" s="967">
        <v>98501</v>
      </c>
    </row>
    <row r="1675" spans="2:3" x14ac:dyDescent="0.25">
      <c r="B1675" s="984" t="s">
        <v>2468</v>
      </c>
      <c r="C1675" s="967">
        <v>97931</v>
      </c>
    </row>
    <row r="1676" spans="2:3" x14ac:dyDescent="0.25">
      <c r="B1676" s="984" t="s">
        <v>2469</v>
      </c>
      <c r="C1676" s="967">
        <v>93914</v>
      </c>
    </row>
    <row r="1677" spans="2:3" x14ac:dyDescent="0.25">
      <c r="B1677" s="984" t="s">
        <v>2470</v>
      </c>
      <c r="C1677" s="967">
        <v>90651</v>
      </c>
    </row>
    <row r="1678" spans="2:3" x14ac:dyDescent="0.25">
      <c r="B1678" s="984" t="s">
        <v>2471</v>
      </c>
      <c r="C1678" s="967">
        <v>94171</v>
      </c>
    </row>
    <row r="1679" spans="2:3" x14ac:dyDescent="0.25">
      <c r="B1679" s="984" t="s">
        <v>1563</v>
      </c>
      <c r="C1679" s="967">
        <v>94172</v>
      </c>
    </row>
    <row r="1680" spans="2:3" x14ac:dyDescent="0.25">
      <c r="B1680" s="984" t="s">
        <v>2472</v>
      </c>
      <c r="C1680" s="967">
        <v>91041</v>
      </c>
    </row>
    <row r="1681" spans="2:3" x14ac:dyDescent="0.25">
      <c r="B1681" s="984" t="s">
        <v>3935</v>
      </c>
      <c r="C1681" s="967">
        <v>91047</v>
      </c>
    </row>
    <row r="1682" spans="2:3" x14ac:dyDescent="0.25">
      <c r="B1682" s="984" t="s">
        <v>1801</v>
      </c>
      <c r="C1682" s="967">
        <v>97131</v>
      </c>
    </row>
    <row r="1683" spans="2:3" x14ac:dyDescent="0.25">
      <c r="B1683" s="984" t="s">
        <v>1938</v>
      </c>
      <c r="C1683" s="967">
        <v>98601</v>
      </c>
    </row>
    <row r="1684" spans="2:3" x14ac:dyDescent="0.25">
      <c r="B1684" s="984" t="s">
        <v>1948</v>
      </c>
      <c r="C1684" s="967">
        <v>98701</v>
      </c>
    </row>
    <row r="1685" spans="2:3" x14ac:dyDescent="0.25">
      <c r="B1685" s="984" t="s">
        <v>2473</v>
      </c>
      <c r="C1685" s="967">
        <v>96721</v>
      </c>
    </row>
    <row r="1686" spans="2:3" x14ac:dyDescent="0.25">
      <c r="B1686" s="984" t="s">
        <v>2474</v>
      </c>
      <c r="C1686" s="967">
        <v>95011</v>
      </c>
    </row>
    <row r="1687" spans="2:3" x14ac:dyDescent="0.25">
      <c r="B1687" s="984" t="s">
        <v>2475</v>
      </c>
      <c r="C1687" s="967">
        <v>92451</v>
      </c>
    </row>
    <row r="1688" spans="2:3" x14ac:dyDescent="0.25">
      <c r="B1688" s="984" t="s">
        <v>2476</v>
      </c>
      <c r="C1688" s="967">
        <v>93311</v>
      </c>
    </row>
    <row r="1689" spans="2:3" x14ac:dyDescent="0.25">
      <c r="B1689" s="984" t="s">
        <v>1481</v>
      </c>
      <c r="C1689" s="967">
        <v>93317</v>
      </c>
    </row>
    <row r="1690" spans="2:3" x14ac:dyDescent="0.25">
      <c r="B1690" s="984" t="s">
        <v>2477</v>
      </c>
      <c r="C1690" s="967">
        <v>90211</v>
      </c>
    </row>
    <row r="1691" spans="2:3" x14ac:dyDescent="0.25">
      <c r="B1691" s="984" t="s">
        <v>2478</v>
      </c>
      <c r="C1691" s="967">
        <v>96302</v>
      </c>
    </row>
    <row r="1692" spans="2:3" x14ac:dyDescent="0.25">
      <c r="B1692" s="984" t="s">
        <v>2479</v>
      </c>
      <c r="C1692" s="967">
        <v>93181</v>
      </c>
    </row>
    <row r="1693" spans="2:3" x14ac:dyDescent="0.25">
      <c r="B1693" s="984" t="s">
        <v>2480</v>
      </c>
      <c r="C1693" s="967">
        <v>92911</v>
      </c>
    </row>
    <row r="1694" spans="2:3" x14ac:dyDescent="0.25">
      <c r="B1694" s="984" t="s">
        <v>3936</v>
      </c>
      <c r="C1694" s="967">
        <v>92914</v>
      </c>
    </row>
    <row r="1695" spans="2:3" x14ac:dyDescent="0.25">
      <c r="B1695" s="984" t="s">
        <v>1446</v>
      </c>
      <c r="C1695" s="967">
        <v>92913</v>
      </c>
    </row>
    <row r="1696" spans="2:3" x14ac:dyDescent="0.25">
      <c r="B1696" s="984" t="s">
        <v>2481</v>
      </c>
      <c r="C1696" s="967">
        <v>93471</v>
      </c>
    </row>
    <row r="1697" spans="2:3" x14ac:dyDescent="0.25">
      <c r="B1697" s="984" t="s">
        <v>3937</v>
      </c>
      <c r="C1697" s="967">
        <v>90098</v>
      </c>
    </row>
    <row r="1698" spans="2:3" x14ac:dyDescent="0.25">
      <c r="B1698" s="984" t="s">
        <v>2482</v>
      </c>
      <c r="C1698" s="967">
        <v>97121</v>
      </c>
    </row>
    <row r="1699" spans="2:3" x14ac:dyDescent="0.25">
      <c r="B1699" s="984" t="s">
        <v>1951</v>
      </c>
      <c r="C1699" s="967">
        <v>98801</v>
      </c>
    </row>
    <row r="1700" spans="2:3" x14ac:dyDescent="0.25">
      <c r="B1700" s="984" t="s">
        <v>2483</v>
      </c>
      <c r="C1700" s="967">
        <v>92521</v>
      </c>
    </row>
    <row r="1701" spans="2:3" x14ac:dyDescent="0.25">
      <c r="B1701" s="984" t="s">
        <v>3567</v>
      </c>
      <c r="C1701" s="967">
        <v>93417</v>
      </c>
    </row>
    <row r="1702" spans="2:3" x14ac:dyDescent="0.25">
      <c r="B1702" s="984" t="s">
        <v>1476</v>
      </c>
      <c r="C1702" s="967">
        <v>93219</v>
      </c>
    </row>
    <row r="1703" spans="2:3" x14ac:dyDescent="0.25">
      <c r="B1703" s="984" t="s">
        <v>3568</v>
      </c>
      <c r="C1703" s="967">
        <v>92513</v>
      </c>
    </row>
    <row r="1704" spans="2:3" x14ac:dyDescent="0.25">
      <c r="B1704" s="984" t="s">
        <v>2484</v>
      </c>
      <c r="C1704" s="967">
        <v>97661</v>
      </c>
    </row>
    <row r="1705" spans="2:3" x14ac:dyDescent="0.25">
      <c r="B1705" s="984" t="s">
        <v>2485</v>
      </c>
      <c r="C1705" s="967">
        <v>94931</v>
      </c>
    </row>
    <row r="1706" spans="2:3" x14ac:dyDescent="0.25">
      <c r="B1706" s="984" t="s">
        <v>2486</v>
      </c>
      <c r="C1706" s="967">
        <v>96221</v>
      </c>
    </row>
    <row r="1707" spans="2:3" x14ac:dyDescent="0.25">
      <c r="B1707" s="984" t="s">
        <v>2487</v>
      </c>
      <c r="C1707" s="967">
        <v>97511</v>
      </c>
    </row>
    <row r="1708" spans="2:3" x14ac:dyDescent="0.25">
      <c r="B1708" s="984" t="s">
        <v>3938</v>
      </c>
      <c r="C1708" s="967">
        <v>95002</v>
      </c>
    </row>
    <row r="1709" spans="2:3" x14ac:dyDescent="0.25">
      <c r="B1709" s="984" t="s">
        <v>2488</v>
      </c>
      <c r="C1709" s="967">
        <v>98251</v>
      </c>
    </row>
    <row r="1710" spans="2:3" x14ac:dyDescent="0.25">
      <c r="B1710" s="984" t="s">
        <v>3939</v>
      </c>
      <c r="C1710" s="967">
        <v>98904</v>
      </c>
    </row>
    <row r="1711" spans="2:3" x14ac:dyDescent="0.25">
      <c r="B1711" s="984" t="s">
        <v>1954</v>
      </c>
      <c r="C1711" s="967">
        <v>98901</v>
      </c>
    </row>
    <row r="1712" spans="2:3" x14ac:dyDescent="0.25">
      <c r="B1712" s="984" t="s">
        <v>1957</v>
      </c>
      <c r="C1712" s="967">
        <v>99001</v>
      </c>
    </row>
    <row r="1713" spans="2:3" x14ac:dyDescent="0.25">
      <c r="B1713" s="984" t="s">
        <v>2489</v>
      </c>
      <c r="C1713" s="967">
        <v>99061</v>
      </c>
    </row>
    <row r="1714" spans="2:3" x14ac:dyDescent="0.25">
      <c r="B1714" s="984" t="s">
        <v>3940</v>
      </c>
      <c r="C1714" s="967">
        <v>93309</v>
      </c>
    </row>
    <row r="1715" spans="2:3" x14ac:dyDescent="0.25">
      <c r="B1715" s="984" t="s">
        <v>2490</v>
      </c>
      <c r="C1715" s="967">
        <v>91211</v>
      </c>
    </row>
    <row r="1716" spans="2:3" x14ac:dyDescent="0.25">
      <c r="B1716" s="984" t="s">
        <v>1306</v>
      </c>
      <c r="C1716" s="967">
        <v>91213</v>
      </c>
    </row>
    <row r="1717" spans="2:3" x14ac:dyDescent="0.25">
      <c r="B1717" s="984" t="s">
        <v>1971</v>
      </c>
      <c r="C1717" s="967">
        <v>99101</v>
      </c>
    </row>
    <row r="1718" spans="2:3" x14ac:dyDescent="0.25">
      <c r="B1718" s="984" t="s">
        <v>3941</v>
      </c>
      <c r="C1718" s="967">
        <v>99104</v>
      </c>
    </row>
    <row r="1719" spans="2:3" x14ac:dyDescent="0.25">
      <c r="B1719" s="984" t="s">
        <v>2491</v>
      </c>
      <c r="C1719" s="967">
        <v>92551</v>
      </c>
    </row>
    <row r="1720" spans="2:3" x14ac:dyDescent="0.25">
      <c r="B1720" s="984" t="s">
        <v>2492</v>
      </c>
      <c r="C1720" s="967">
        <v>96321</v>
      </c>
    </row>
    <row r="1721" spans="2:3" x14ac:dyDescent="0.25">
      <c r="B1721" s="984" t="s">
        <v>3942</v>
      </c>
      <c r="C1721" s="967">
        <v>95009</v>
      </c>
    </row>
    <row r="1722" spans="2:3" x14ac:dyDescent="0.25">
      <c r="B1722" s="984" t="s">
        <v>2493</v>
      </c>
      <c r="C1722" s="967">
        <v>92641</v>
      </c>
    </row>
    <row r="1723" spans="2:3" x14ac:dyDescent="0.25">
      <c r="B1723" s="984" t="s">
        <v>2494</v>
      </c>
      <c r="C1723" s="967">
        <v>90411</v>
      </c>
    </row>
    <row r="1724" spans="2:3" x14ac:dyDescent="0.25">
      <c r="B1724" s="984" t="s">
        <v>3943</v>
      </c>
      <c r="C1724" s="967">
        <v>90417</v>
      </c>
    </row>
    <row r="1725" spans="2:3" x14ac:dyDescent="0.25">
      <c r="B1725" s="984" t="s">
        <v>1212</v>
      </c>
      <c r="C1725" s="967">
        <v>90413</v>
      </c>
    </row>
    <row r="1726" spans="2:3" x14ac:dyDescent="0.25">
      <c r="B1726" s="984" t="s">
        <v>2495</v>
      </c>
      <c r="C1726" s="967">
        <v>98321</v>
      </c>
    </row>
    <row r="1727" spans="2:3" x14ac:dyDescent="0.25">
      <c r="B1727" s="984" t="s">
        <v>1976</v>
      </c>
      <c r="C1727" s="967">
        <v>99201</v>
      </c>
    </row>
    <row r="1728" spans="2:3" x14ac:dyDescent="0.25">
      <c r="B1728" s="984" t="s">
        <v>3944</v>
      </c>
      <c r="C1728" s="967">
        <v>99204</v>
      </c>
    </row>
    <row r="1729" spans="2:3" x14ac:dyDescent="0.25">
      <c r="B1729" s="984" t="s">
        <v>1981</v>
      </c>
      <c r="C1729" s="967">
        <v>99207</v>
      </c>
    </row>
    <row r="1730" spans="2:3" x14ac:dyDescent="0.25">
      <c r="B1730" s="984" t="s">
        <v>2496</v>
      </c>
      <c r="C1730" s="967">
        <v>99281</v>
      </c>
    </row>
    <row r="1731" spans="2:3" x14ac:dyDescent="0.25">
      <c r="B1731" s="984" t="s">
        <v>2497</v>
      </c>
      <c r="C1731" s="967">
        <v>93461</v>
      </c>
    </row>
    <row r="1732" spans="2:3" x14ac:dyDescent="0.25">
      <c r="B1732" s="984" t="s">
        <v>2498</v>
      </c>
      <c r="C1732" s="967">
        <v>93151</v>
      </c>
    </row>
    <row r="1733" spans="2:3" x14ac:dyDescent="0.25">
      <c r="B1733" s="984" t="s">
        <v>3945</v>
      </c>
      <c r="C1733" s="967">
        <v>93157</v>
      </c>
    </row>
    <row r="1734" spans="2:3" x14ac:dyDescent="0.25">
      <c r="B1734" s="984" t="s">
        <v>2499</v>
      </c>
      <c r="C1734" s="967">
        <v>98511</v>
      </c>
    </row>
    <row r="1735" spans="2:3" x14ac:dyDescent="0.25">
      <c r="B1735" s="984" t="s">
        <v>3946</v>
      </c>
      <c r="C1735" s="967">
        <v>98517</v>
      </c>
    </row>
    <row r="1736" spans="2:3" x14ac:dyDescent="0.25">
      <c r="B1736" s="984" t="s">
        <v>2500</v>
      </c>
      <c r="C1736" s="967">
        <v>99661</v>
      </c>
    </row>
    <row r="1737" spans="2:3" x14ac:dyDescent="0.25">
      <c r="B1737" s="984" t="s">
        <v>2501</v>
      </c>
      <c r="C1737" s="967">
        <v>94031</v>
      </c>
    </row>
    <row r="1738" spans="2:3" x14ac:dyDescent="0.25">
      <c r="B1738" s="984" t="s">
        <v>1998</v>
      </c>
      <c r="C1738" s="967">
        <v>99301</v>
      </c>
    </row>
    <row r="1739" spans="2:3" x14ac:dyDescent="0.25">
      <c r="B1739" s="984" t="s">
        <v>3947</v>
      </c>
      <c r="C1739" s="967">
        <v>99304</v>
      </c>
    </row>
    <row r="1740" spans="2:3" x14ac:dyDescent="0.25">
      <c r="B1740" s="984" t="s">
        <v>2502</v>
      </c>
      <c r="C1740" s="967">
        <v>99321</v>
      </c>
    </row>
    <row r="1741" spans="2:3" x14ac:dyDescent="0.25">
      <c r="B1741" s="984" t="s">
        <v>2503</v>
      </c>
      <c r="C1741" s="967">
        <v>93131</v>
      </c>
    </row>
    <row r="1742" spans="2:3" x14ac:dyDescent="0.25">
      <c r="B1742" s="984" t="s">
        <v>3948</v>
      </c>
      <c r="C1742" s="967">
        <v>93137</v>
      </c>
    </row>
    <row r="1743" spans="2:3" x14ac:dyDescent="0.25">
      <c r="B1743" s="984" t="s">
        <v>2504</v>
      </c>
      <c r="C1743" s="967">
        <v>90711</v>
      </c>
    </row>
    <row r="1744" spans="2:3" x14ac:dyDescent="0.25">
      <c r="B1744" s="984" t="s">
        <v>2002</v>
      </c>
      <c r="C1744" s="967">
        <v>99401</v>
      </c>
    </row>
    <row r="1745" spans="2:3" x14ac:dyDescent="0.25">
      <c r="B1745" s="984" t="s">
        <v>3949</v>
      </c>
      <c r="C1745" s="967">
        <v>99404</v>
      </c>
    </row>
    <row r="1746" spans="2:3" x14ac:dyDescent="0.25">
      <c r="B1746" s="984" t="s">
        <v>2505</v>
      </c>
      <c r="C1746" s="967">
        <v>90741</v>
      </c>
    </row>
    <row r="1747" spans="2:3" x14ac:dyDescent="0.25">
      <c r="B1747" s="984" t="s">
        <v>2009</v>
      </c>
      <c r="C1747" s="967">
        <v>99501</v>
      </c>
    </row>
    <row r="1748" spans="2:3" x14ac:dyDescent="0.25">
      <c r="B1748" s="984" t="s">
        <v>3950</v>
      </c>
      <c r="C1748" s="967">
        <v>99509</v>
      </c>
    </row>
    <row r="1749" spans="2:3" x14ac:dyDescent="0.25">
      <c r="B1749" s="984" t="s">
        <v>3951</v>
      </c>
      <c r="C1749" s="974">
        <v>91302</v>
      </c>
    </row>
    <row r="1750" spans="2:3" x14ac:dyDescent="0.25">
      <c r="B1750" s="984" t="s">
        <v>2506</v>
      </c>
      <c r="C1750" s="967">
        <v>99041</v>
      </c>
    </row>
    <row r="1751" spans="2:3" x14ac:dyDescent="0.25">
      <c r="B1751" s="984" t="s">
        <v>3952</v>
      </c>
      <c r="C1751" s="967">
        <v>99047</v>
      </c>
    </row>
    <row r="1752" spans="2:3" x14ac:dyDescent="0.25">
      <c r="B1752" s="984" t="s">
        <v>2017</v>
      </c>
      <c r="C1752" s="967">
        <v>99601</v>
      </c>
    </row>
    <row r="1753" spans="2:3" x14ac:dyDescent="0.25">
      <c r="B1753" s="984" t="s">
        <v>3953</v>
      </c>
      <c r="C1753" s="967">
        <v>99604</v>
      </c>
    </row>
    <row r="1754" spans="2:3" x14ac:dyDescent="0.25">
      <c r="B1754" s="984" t="s">
        <v>2507</v>
      </c>
      <c r="C1754" s="967">
        <v>94411</v>
      </c>
    </row>
    <row r="1755" spans="2:3" x14ac:dyDescent="0.25">
      <c r="B1755" s="984" t="s">
        <v>3954</v>
      </c>
      <c r="C1755" s="967">
        <v>94412</v>
      </c>
    </row>
    <row r="1756" spans="2:3" x14ac:dyDescent="0.25">
      <c r="B1756" s="984" t="s">
        <v>2508</v>
      </c>
      <c r="C1756" s="967">
        <v>91141</v>
      </c>
    </row>
    <row r="1757" spans="2:3" x14ac:dyDescent="0.25">
      <c r="B1757" s="984" t="s">
        <v>3955</v>
      </c>
      <c r="C1757" s="967">
        <v>91147</v>
      </c>
    </row>
    <row r="1758" spans="2:3" x14ac:dyDescent="0.25">
      <c r="B1758" s="984" t="s">
        <v>2509</v>
      </c>
      <c r="C1758" s="967">
        <v>99071</v>
      </c>
    </row>
    <row r="1759" spans="2:3" x14ac:dyDescent="0.25">
      <c r="B1759" s="984" t="s">
        <v>2510</v>
      </c>
      <c r="C1759" s="967">
        <v>94231</v>
      </c>
    </row>
    <row r="1760" spans="2:3" x14ac:dyDescent="0.25">
      <c r="B1760" s="984" t="s">
        <v>2511</v>
      </c>
      <c r="C1760" s="967">
        <v>99231</v>
      </c>
    </row>
    <row r="1761" spans="2:3" x14ac:dyDescent="0.25">
      <c r="B1761" s="984" t="s">
        <v>2512</v>
      </c>
      <c r="C1761" s="967">
        <v>99091</v>
      </c>
    </row>
    <row r="1762" spans="2:3" x14ac:dyDescent="0.25">
      <c r="B1762" s="984" t="s">
        <v>3956</v>
      </c>
      <c r="C1762" s="967">
        <v>91120</v>
      </c>
    </row>
    <row r="1763" spans="2:3" x14ac:dyDescent="0.25">
      <c r="B1763" s="984" t="s">
        <v>3570</v>
      </c>
      <c r="C1763" s="967">
        <v>92444</v>
      </c>
    </row>
    <row r="1764" spans="2:3" x14ac:dyDescent="0.25">
      <c r="B1764" s="984" t="s">
        <v>2513</v>
      </c>
      <c r="C1764" s="967">
        <v>90521</v>
      </c>
    </row>
    <row r="1765" spans="2:3" x14ac:dyDescent="0.25">
      <c r="B1765" s="984" t="s">
        <v>3957</v>
      </c>
      <c r="C1765" s="967">
        <v>90507</v>
      </c>
    </row>
    <row r="1766" spans="2:3" x14ac:dyDescent="0.25">
      <c r="B1766" s="984" t="s">
        <v>3958</v>
      </c>
      <c r="C1766" s="967">
        <v>92602</v>
      </c>
    </row>
    <row r="1767" spans="2:3" x14ac:dyDescent="0.25">
      <c r="B1767" s="984" t="s">
        <v>3959</v>
      </c>
      <c r="C1767" s="967">
        <v>91608</v>
      </c>
    </row>
    <row r="1768" spans="2:3" x14ac:dyDescent="0.25">
      <c r="B1768" s="984" t="s">
        <v>2514</v>
      </c>
      <c r="C1768" s="967">
        <v>91119</v>
      </c>
    </row>
    <row r="1769" spans="2:3" x14ac:dyDescent="0.25">
      <c r="B1769" s="984" t="s">
        <v>3960</v>
      </c>
      <c r="C1769" s="967">
        <v>91107</v>
      </c>
    </row>
    <row r="1770" spans="2:3" x14ac:dyDescent="0.25">
      <c r="B1770" s="984" t="s">
        <v>3961</v>
      </c>
      <c r="C1770" s="967">
        <v>91818</v>
      </c>
    </row>
    <row r="1771" spans="2:3" x14ac:dyDescent="0.25">
      <c r="B1771" s="984" t="s">
        <v>1359</v>
      </c>
      <c r="C1771" s="967">
        <v>91819</v>
      </c>
    </row>
    <row r="1772" spans="2:3" x14ac:dyDescent="0.25">
      <c r="B1772" s="984" t="s">
        <v>2515</v>
      </c>
      <c r="C1772" s="967">
        <v>96371</v>
      </c>
    </row>
    <row r="1773" spans="2:3" x14ac:dyDescent="0.25">
      <c r="B1773" s="984" t="s">
        <v>2516</v>
      </c>
      <c r="C1773" s="967">
        <v>96441</v>
      </c>
    </row>
    <row r="1774" spans="2:3" x14ac:dyDescent="0.25">
      <c r="B1774" s="984" t="s">
        <v>2517</v>
      </c>
      <c r="C1774" s="967">
        <v>90921</v>
      </c>
    </row>
    <row r="1775" spans="2:3" x14ac:dyDescent="0.25">
      <c r="B1775" s="984" t="s">
        <v>2518</v>
      </c>
      <c r="C1775" s="967">
        <v>92411</v>
      </c>
    </row>
    <row r="1776" spans="2:3" x14ac:dyDescent="0.25">
      <c r="B1776" s="984" t="s">
        <v>3962</v>
      </c>
      <c r="C1776" s="967">
        <v>92417</v>
      </c>
    </row>
    <row r="1777" spans="2:3" x14ac:dyDescent="0.25">
      <c r="B1777" s="984" t="s">
        <v>1395</v>
      </c>
      <c r="C1777" s="967">
        <v>92403</v>
      </c>
    </row>
    <row r="1778" spans="2:3" x14ac:dyDescent="0.25">
      <c r="B1778" s="984" t="s">
        <v>2029</v>
      </c>
      <c r="C1778" s="967">
        <v>99701</v>
      </c>
    </row>
    <row r="1779" spans="2:3" x14ac:dyDescent="0.25">
      <c r="B1779" s="984" t="s">
        <v>2519</v>
      </c>
      <c r="C1779" s="967">
        <v>99721</v>
      </c>
    </row>
    <row r="1780" spans="2:3" x14ac:dyDescent="0.25">
      <c r="B1780" s="984" t="s">
        <v>3963</v>
      </c>
      <c r="C1780" s="967">
        <v>99727</v>
      </c>
    </row>
    <row r="1781" spans="2:3" x14ac:dyDescent="0.25">
      <c r="B1781" s="984" t="s">
        <v>2520</v>
      </c>
      <c r="C1781" s="967">
        <v>95811</v>
      </c>
    </row>
    <row r="1782" spans="2:3" x14ac:dyDescent="0.25">
      <c r="B1782" s="984" t="s">
        <v>1684</v>
      </c>
      <c r="C1782" s="967">
        <v>95813</v>
      </c>
    </row>
    <row r="1783" spans="2:3" x14ac:dyDescent="0.25">
      <c r="B1783" s="984" t="s">
        <v>2521</v>
      </c>
      <c r="C1783" s="967">
        <v>96531</v>
      </c>
    </row>
    <row r="1784" spans="2:3" x14ac:dyDescent="0.25">
      <c r="B1784" s="984" t="s">
        <v>1746</v>
      </c>
      <c r="C1784" s="967">
        <v>96503</v>
      </c>
    </row>
    <row r="1785" spans="2:3" x14ac:dyDescent="0.25">
      <c r="B1785" s="984" t="s">
        <v>2522</v>
      </c>
      <c r="C1785" s="967">
        <v>99811</v>
      </c>
    </row>
    <row r="1786" spans="2:3" x14ac:dyDescent="0.25">
      <c r="B1786" s="984" t="s">
        <v>3964</v>
      </c>
      <c r="C1786" s="967">
        <v>99818</v>
      </c>
    </row>
    <row r="1787" spans="2:3" x14ac:dyDescent="0.25">
      <c r="B1787" s="984" t="s">
        <v>2035</v>
      </c>
      <c r="C1787" s="967">
        <v>99801</v>
      </c>
    </row>
    <row r="1788" spans="2:3" x14ac:dyDescent="0.25">
      <c r="B1788" s="984" t="s">
        <v>3965</v>
      </c>
      <c r="C1788" s="967">
        <v>99804</v>
      </c>
    </row>
    <row r="1789" spans="2:3" x14ac:dyDescent="0.25">
      <c r="B1789" s="984" t="s">
        <v>3966</v>
      </c>
      <c r="C1789" s="967">
        <v>99802</v>
      </c>
    </row>
    <row r="1790" spans="2:3" x14ac:dyDescent="0.25">
      <c r="B1790" s="984" t="s">
        <v>3967</v>
      </c>
      <c r="C1790" s="967">
        <v>99812</v>
      </c>
    </row>
    <row r="1791" spans="2:3" x14ac:dyDescent="0.25">
      <c r="B1791" s="984" t="s">
        <v>3968</v>
      </c>
      <c r="C1791" s="967">
        <v>95191</v>
      </c>
    </row>
    <row r="1792" spans="2:3" x14ac:dyDescent="0.25">
      <c r="B1792" s="984" t="s">
        <v>2523</v>
      </c>
      <c r="C1792" s="967">
        <v>90812</v>
      </c>
    </row>
    <row r="1793" spans="2:3" x14ac:dyDescent="0.25">
      <c r="B1793" s="984" t="s">
        <v>2524</v>
      </c>
      <c r="C1793" s="967">
        <v>97221</v>
      </c>
    </row>
    <row r="1794" spans="2:3" x14ac:dyDescent="0.25">
      <c r="B1794" s="984" t="s">
        <v>2525</v>
      </c>
      <c r="C1794" s="967">
        <v>99031</v>
      </c>
    </row>
    <row r="1795" spans="2:3" x14ac:dyDescent="0.25">
      <c r="B1795" s="984" t="s">
        <v>2526</v>
      </c>
      <c r="C1795" s="967">
        <v>93411</v>
      </c>
    </row>
    <row r="1796" spans="2:3" x14ac:dyDescent="0.25">
      <c r="B1796" s="984" t="s">
        <v>1492</v>
      </c>
      <c r="C1796" s="967">
        <v>93413</v>
      </c>
    </row>
    <row r="1797" spans="2:3" x14ac:dyDescent="0.25">
      <c r="B1797" s="984" t="s">
        <v>2527</v>
      </c>
      <c r="C1797" s="967">
        <v>97451</v>
      </c>
    </row>
    <row r="1798" spans="2:3" x14ac:dyDescent="0.25">
      <c r="B1798" s="984" t="s">
        <v>2528</v>
      </c>
      <c r="C1798" s="967">
        <v>94631</v>
      </c>
    </row>
    <row r="1799" spans="2:3" x14ac:dyDescent="0.25">
      <c r="B1799" s="984" t="s">
        <v>2529</v>
      </c>
      <c r="C1799" s="967">
        <v>91171</v>
      </c>
    </row>
    <row r="1800" spans="2:3" x14ac:dyDescent="0.25">
      <c r="B1800" s="984" t="s">
        <v>1284</v>
      </c>
      <c r="C1800" s="967">
        <v>91104</v>
      </c>
    </row>
    <row r="1801" spans="2:3" x14ac:dyDescent="0.25">
      <c r="B1801" s="984" t="s">
        <v>3969</v>
      </c>
      <c r="C1801" s="967">
        <v>91109</v>
      </c>
    </row>
    <row r="1802" spans="2:3" x14ac:dyDescent="0.25">
      <c r="B1802" s="984" t="s">
        <v>2530</v>
      </c>
      <c r="C1802" s="967">
        <v>96621</v>
      </c>
    </row>
    <row r="1803" spans="2:3" x14ac:dyDescent="0.25">
      <c r="B1803" s="984" t="s">
        <v>2531</v>
      </c>
      <c r="C1803" s="967">
        <v>96511</v>
      </c>
    </row>
    <row r="1804" spans="2:3" x14ac:dyDescent="0.25">
      <c r="B1804" s="984" t="s">
        <v>2045</v>
      </c>
      <c r="C1804" s="967">
        <v>99901</v>
      </c>
    </row>
    <row r="1805" spans="2:3" x14ac:dyDescent="0.25">
      <c r="B1805" s="984" t="s">
        <v>3571</v>
      </c>
      <c r="C1805" s="967">
        <v>98604</v>
      </c>
    </row>
    <row r="1806" spans="2:3" x14ac:dyDescent="0.25">
      <c r="B1806" s="984" t="s">
        <v>1940</v>
      </c>
      <c r="C1806" s="967">
        <v>98608</v>
      </c>
    </row>
    <row r="1807" spans="2:3" x14ac:dyDescent="0.25">
      <c r="B1807" s="984" t="s">
        <v>2532</v>
      </c>
      <c r="C1807" s="967">
        <v>99911</v>
      </c>
    </row>
    <row r="1808" spans="2:3" x14ac:dyDescent="0.25">
      <c r="B1808" s="984" t="s">
        <v>1188</v>
      </c>
      <c r="C1808" s="967">
        <v>90001</v>
      </c>
    </row>
    <row r="1809" spans="2:3" x14ac:dyDescent="0.25">
      <c r="B1809" s="984" t="s">
        <v>3970</v>
      </c>
      <c r="C1809" s="967">
        <v>90002</v>
      </c>
    </row>
    <row r="1810" spans="2:3" x14ac:dyDescent="0.25">
      <c r="B1810" s="984" t="s">
        <v>2533</v>
      </c>
      <c r="C1810" s="967">
        <v>91719</v>
      </c>
    </row>
    <row r="1811" spans="2:3" x14ac:dyDescent="0.25">
      <c r="B1811" s="984" t="s">
        <v>2534</v>
      </c>
      <c r="C1811" s="967">
        <v>93541</v>
      </c>
    </row>
    <row r="1812" spans="2:3" x14ac:dyDescent="0.25">
      <c r="B1812" s="984" t="s">
        <v>2535</v>
      </c>
      <c r="C1812" s="967">
        <v>99241</v>
      </c>
    </row>
    <row r="1813" spans="2:3" x14ac:dyDescent="0.25">
      <c r="B1813" s="796" t="s">
        <v>2646</v>
      </c>
      <c r="C1813" s="823" t="s">
        <v>2647</v>
      </c>
    </row>
  </sheetData>
  <pageMargins left="0" right="0" top="0.75" bottom="0.75" header="0.3" footer="0.3"/>
  <pageSetup scale="46"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4:U1810"/>
  <sheetViews>
    <sheetView topLeftCell="A891" zoomScale="90" zoomScaleNormal="90" workbookViewId="0">
      <selection activeCell="O7" sqref="O7"/>
    </sheetView>
  </sheetViews>
  <sheetFormatPr defaultColWidth="9.140625" defaultRowHeight="15" x14ac:dyDescent="0.25"/>
  <cols>
    <col min="1" max="1" width="15.28515625" style="796" customWidth="1"/>
    <col min="2" max="2" width="39.5703125" style="796" customWidth="1"/>
    <col min="3" max="5" width="13.85546875" style="796" customWidth="1"/>
    <col min="6" max="6" width="13.42578125" style="796" customWidth="1"/>
    <col min="7" max="7" width="18.28515625" style="796" customWidth="1"/>
    <col min="8" max="8" width="4.140625" style="796" customWidth="1"/>
    <col min="9" max="9" width="18.28515625" style="796" customWidth="1"/>
    <col min="10" max="10" width="20" style="796" customWidth="1"/>
    <col min="11" max="11" width="14.42578125" style="796" customWidth="1"/>
    <col min="12" max="12" width="19.42578125" style="796" customWidth="1"/>
    <col min="13" max="13" width="3" style="796" customWidth="1"/>
    <col min="14" max="14" width="18.28515625" style="796" customWidth="1"/>
    <col min="15" max="15" width="20" style="796" customWidth="1"/>
    <col min="16" max="16" width="9.140625" style="796" customWidth="1"/>
    <col min="17" max="17" width="19.42578125" style="796" customWidth="1"/>
    <col min="18" max="18" width="2.42578125" style="796" customWidth="1"/>
    <col min="19" max="19" width="13.85546875" style="796" customWidth="1"/>
    <col min="20" max="20" width="22.42578125" style="796" customWidth="1"/>
    <col min="21" max="21" width="14.28515625" style="796" customWidth="1"/>
    <col min="22" max="16384" width="9.140625" style="796"/>
  </cols>
  <sheetData>
    <row r="4" spans="1:21" x14ac:dyDescent="0.25">
      <c r="A4" s="795" t="s">
        <v>2650</v>
      </c>
      <c r="I4" s="797" t="s">
        <v>1171</v>
      </c>
      <c r="J4" s="797"/>
      <c r="K4" s="797"/>
      <c r="L4" s="797"/>
      <c r="N4" s="797" t="s">
        <v>1172</v>
      </c>
      <c r="O4" s="797"/>
      <c r="P4" s="797"/>
      <c r="Q4" s="797"/>
      <c r="S4" s="797" t="s">
        <v>1173</v>
      </c>
      <c r="T4" s="797"/>
      <c r="U4" s="797"/>
    </row>
    <row r="5" spans="1:21" ht="120" x14ac:dyDescent="0.25">
      <c r="A5" s="963" t="s">
        <v>1174</v>
      </c>
      <c r="B5" s="798" t="s">
        <v>1175</v>
      </c>
      <c r="C5" s="798" t="s">
        <v>2113</v>
      </c>
      <c r="D5" s="798" t="s">
        <v>2114</v>
      </c>
      <c r="E5" s="798" t="s">
        <v>2651</v>
      </c>
      <c r="F5" s="798" t="s">
        <v>2652</v>
      </c>
      <c r="G5" s="798" t="s">
        <v>1176</v>
      </c>
      <c r="H5" s="798"/>
      <c r="I5" s="798" t="s">
        <v>1177</v>
      </c>
      <c r="J5" s="798" t="s">
        <v>1178</v>
      </c>
      <c r="K5" s="798" t="s">
        <v>1179</v>
      </c>
      <c r="L5" s="798" t="s">
        <v>1180</v>
      </c>
      <c r="M5" s="798"/>
      <c r="N5" s="798" t="s">
        <v>1177</v>
      </c>
      <c r="O5" s="798" t="s">
        <v>1178</v>
      </c>
      <c r="P5" s="798" t="s">
        <v>1179</v>
      </c>
      <c r="Q5" s="798" t="s">
        <v>1180</v>
      </c>
      <c r="R5" s="798"/>
      <c r="S5" s="798" t="s">
        <v>1181</v>
      </c>
      <c r="T5" s="798" t="s">
        <v>1182</v>
      </c>
      <c r="U5" s="798" t="s">
        <v>1183</v>
      </c>
    </row>
    <row r="6" spans="1:21" x14ac:dyDescent="0.25">
      <c r="A6" s="798" t="s">
        <v>837</v>
      </c>
      <c r="B6" s="799" t="s">
        <v>2112</v>
      </c>
      <c r="C6" s="798"/>
      <c r="D6" s="798"/>
      <c r="E6" s="798"/>
      <c r="F6" s="798"/>
      <c r="G6" s="798"/>
      <c r="H6" s="798"/>
      <c r="I6" s="798"/>
      <c r="J6" s="798"/>
      <c r="K6" s="798"/>
      <c r="L6" s="798"/>
      <c r="M6" s="798"/>
      <c r="N6" s="798"/>
      <c r="O6" s="798"/>
      <c r="P6" s="798"/>
      <c r="Q6" s="798"/>
      <c r="R6" s="798"/>
      <c r="S6" s="798"/>
      <c r="T6" s="798"/>
      <c r="U6" s="798"/>
    </row>
    <row r="7" spans="1:21" x14ac:dyDescent="0.25">
      <c r="A7" s="800">
        <v>70505</v>
      </c>
      <c r="B7" s="801" t="s">
        <v>2653</v>
      </c>
      <c r="C7" s="802">
        <v>4.6880000000000001E-4</v>
      </c>
      <c r="D7" s="802">
        <v>5.0319999999999998E-4</v>
      </c>
      <c r="E7" s="803">
        <v>186822</v>
      </c>
      <c r="F7" s="803">
        <v>225833</v>
      </c>
      <c r="G7" s="803">
        <v>994951</v>
      </c>
      <c r="H7" s="803"/>
      <c r="I7" s="804">
        <v>18693</v>
      </c>
      <c r="J7" s="804">
        <v>871894</v>
      </c>
      <c r="K7" s="804">
        <v>68145</v>
      </c>
      <c r="L7" s="803">
        <v>0</v>
      </c>
      <c r="M7" s="803"/>
      <c r="N7" s="804">
        <v>34864</v>
      </c>
      <c r="O7" s="804">
        <v>321812</v>
      </c>
      <c r="P7" s="804">
        <v>0</v>
      </c>
      <c r="Q7" s="803">
        <v>31773</v>
      </c>
      <c r="R7" s="803"/>
      <c r="S7" s="804">
        <v>265936</v>
      </c>
      <c r="T7" s="805">
        <v>-10267</v>
      </c>
      <c r="U7" s="805">
        <v>255668</v>
      </c>
    </row>
    <row r="8" spans="1:21" x14ac:dyDescent="0.25">
      <c r="A8" s="800">
        <v>71786</v>
      </c>
      <c r="B8" s="801" t="s">
        <v>2654</v>
      </c>
      <c r="C8" s="802">
        <v>4.3600000000000003E-5</v>
      </c>
      <c r="D8" s="802">
        <v>4.3699999999999998E-5</v>
      </c>
      <c r="E8" s="803">
        <v>14646.29</v>
      </c>
      <c r="F8" s="803">
        <v>19612</v>
      </c>
      <c r="G8" s="803">
        <v>92534</v>
      </c>
      <c r="H8" s="803"/>
      <c r="I8" s="804">
        <v>1739</v>
      </c>
      <c r="J8" s="804">
        <v>81089</v>
      </c>
      <c r="K8" s="804">
        <v>6338</v>
      </c>
      <c r="L8" s="803">
        <v>0</v>
      </c>
      <c r="M8" s="803"/>
      <c r="N8" s="804">
        <v>3242</v>
      </c>
      <c r="O8" s="804">
        <v>29930</v>
      </c>
      <c r="P8" s="804">
        <v>0</v>
      </c>
      <c r="Q8" s="803">
        <v>6350</v>
      </c>
      <c r="R8" s="803"/>
      <c r="S8" s="804">
        <v>24733</v>
      </c>
      <c r="T8" s="805">
        <v>-2337</v>
      </c>
      <c r="U8" s="805">
        <v>22396</v>
      </c>
    </row>
    <row r="9" spans="1:21" x14ac:dyDescent="0.25">
      <c r="A9" s="800">
        <v>72265</v>
      </c>
      <c r="B9" s="801" t="s">
        <v>2655</v>
      </c>
      <c r="C9" s="802">
        <v>1.327E-4</v>
      </c>
      <c r="D9" s="802">
        <v>1.3329999999999999E-4</v>
      </c>
      <c r="E9" s="803">
        <v>48905</v>
      </c>
      <c r="F9" s="803">
        <v>59824</v>
      </c>
      <c r="G9" s="803">
        <v>281634</v>
      </c>
      <c r="H9" s="803"/>
      <c r="I9" s="804">
        <v>5291</v>
      </c>
      <c r="J9" s="804">
        <v>246801</v>
      </c>
      <c r="K9" s="804">
        <v>19289</v>
      </c>
      <c r="L9" s="803">
        <v>7214</v>
      </c>
      <c r="M9" s="803"/>
      <c r="N9" s="804">
        <v>9869</v>
      </c>
      <c r="O9" s="804">
        <v>91093</v>
      </c>
      <c r="P9" s="804">
        <v>0</v>
      </c>
      <c r="Q9" s="803">
        <v>5063</v>
      </c>
      <c r="R9" s="803"/>
      <c r="S9" s="804">
        <v>75277</v>
      </c>
      <c r="T9" s="805">
        <v>2291</v>
      </c>
      <c r="U9" s="805">
        <v>77567</v>
      </c>
    </row>
    <row r="10" spans="1:21" x14ac:dyDescent="0.25">
      <c r="A10" s="800">
        <v>72657</v>
      </c>
      <c r="B10" s="801" t="s">
        <v>2656</v>
      </c>
      <c r="C10" s="802">
        <v>4.2799999999999997E-5</v>
      </c>
      <c r="D10" s="802">
        <v>4.0800000000000002E-5</v>
      </c>
      <c r="E10" s="803">
        <v>15356.17</v>
      </c>
      <c r="F10" s="803">
        <v>18311</v>
      </c>
      <c r="G10" s="803">
        <v>90836</v>
      </c>
      <c r="H10" s="803"/>
      <c r="I10" s="804">
        <v>1707</v>
      </c>
      <c r="J10" s="804">
        <v>79601</v>
      </c>
      <c r="K10" s="804">
        <v>6221</v>
      </c>
      <c r="L10" s="803">
        <v>6577</v>
      </c>
      <c r="M10" s="803"/>
      <c r="N10" s="804">
        <v>3183</v>
      </c>
      <c r="O10" s="804">
        <v>29380</v>
      </c>
      <c r="P10" s="804">
        <v>0</v>
      </c>
      <c r="Q10" s="803">
        <v>4643</v>
      </c>
      <c r="R10" s="803"/>
      <c r="S10" s="804">
        <v>24279</v>
      </c>
      <c r="T10" s="805">
        <v>1725</v>
      </c>
      <c r="U10" s="805">
        <v>26005</v>
      </c>
    </row>
    <row r="11" spans="1:21" x14ac:dyDescent="0.25">
      <c r="A11" s="800">
        <v>90001</v>
      </c>
      <c r="B11" s="801" t="s">
        <v>2657</v>
      </c>
      <c r="C11" s="802">
        <v>8.6910000000000004E-4</v>
      </c>
      <c r="D11" s="802">
        <v>8.2339999999999996E-4</v>
      </c>
      <c r="E11" s="803">
        <v>342848</v>
      </c>
      <c r="F11" s="803">
        <v>369537</v>
      </c>
      <c r="G11" s="803">
        <v>1844521</v>
      </c>
      <c r="H11" s="803"/>
      <c r="I11" s="804">
        <v>34655</v>
      </c>
      <c r="J11" s="804">
        <v>1616389</v>
      </c>
      <c r="K11" s="804">
        <v>126333</v>
      </c>
      <c r="L11" s="803">
        <v>17611</v>
      </c>
      <c r="M11" s="803"/>
      <c r="N11" s="804">
        <v>64634</v>
      </c>
      <c r="O11" s="804">
        <v>596601</v>
      </c>
      <c r="P11" s="804">
        <v>0</v>
      </c>
      <c r="Q11" s="803">
        <v>4549</v>
      </c>
      <c r="R11" s="803"/>
      <c r="S11" s="804">
        <v>493013</v>
      </c>
      <c r="T11" s="805">
        <v>4026</v>
      </c>
      <c r="U11" s="805">
        <v>497039</v>
      </c>
    </row>
    <row r="12" spans="1:21" x14ac:dyDescent="0.25">
      <c r="A12" s="800">
        <v>90002</v>
      </c>
      <c r="B12" s="801" t="s">
        <v>2658</v>
      </c>
      <c r="C12" s="802">
        <v>1.15E-5</v>
      </c>
      <c r="D12" s="802">
        <v>1.15E-5</v>
      </c>
      <c r="E12" s="803">
        <v>5945</v>
      </c>
      <c r="F12" s="803">
        <v>5161</v>
      </c>
      <c r="G12" s="803">
        <v>24407</v>
      </c>
      <c r="H12" s="803"/>
      <c r="I12" s="804">
        <v>458.5625</v>
      </c>
      <c r="J12" s="804">
        <v>21388</v>
      </c>
      <c r="K12" s="804">
        <v>1672</v>
      </c>
      <c r="L12" s="803">
        <v>1428</v>
      </c>
      <c r="M12" s="803"/>
      <c r="N12" s="804">
        <v>855</v>
      </c>
      <c r="O12" s="804">
        <v>7894</v>
      </c>
      <c r="P12" s="804">
        <v>0</v>
      </c>
      <c r="Q12" s="803">
        <v>0</v>
      </c>
      <c r="R12" s="803"/>
      <c r="S12" s="804">
        <v>6524</v>
      </c>
      <c r="T12" s="805">
        <v>436</v>
      </c>
      <c r="U12" s="805">
        <v>6960</v>
      </c>
    </row>
    <row r="13" spans="1:21" x14ac:dyDescent="0.25">
      <c r="A13" s="800">
        <v>90011</v>
      </c>
      <c r="B13" s="801" t="s">
        <v>2659</v>
      </c>
      <c r="C13" s="802">
        <v>2.0819999999999999E-4</v>
      </c>
      <c r="D13" s="802">
        <v>2.2800000000000001E-4</v>
      </c>
      <c r="E13" s="803">
        <v>74534</v>
      </c>
      <c r="F13" s="803">
        <v>102325</v>
      </c>
      <c r="G13" s="803">
        <v>441870</v>
      </c>
      <c r="H13" s="803"/>
      <c r="I13" s="804">
        <v>8302</v>
      </c>
      <c r="J13" s="804">
        <v>387219</v>
      </c>
      <c r="K13" s="804">
        <v>30264</v>
      </c>
      <c r="L13" s="803">
        <v>4623</v>
      </c>
      <c r="M13" s="803"/>
      <c r="N13" s="804">
        <v>15484</v>
      </c>
      <c r="O13" s="804">
        <v>142921</v>
      </c>
      <c r="P13" s="804">
        <v>0</v>
      </c>
      <c r="Q13" s="803">
        <v>24562</v>
      </c>
      <c r="R13" s="803"/>
      <c r="S13" s="804">
        <v>118105</v>
      </c>
      <c r="T13" s="805">
        <v>-4521</v>
      </c>
      <c r="U13" s="805">
        <v>113585</v>
      </c>
    </row>
    <row r="14" spans="1:21" x14ac:dyDescent="0.25">
      <c r="A14" s="800">
        <v>90092</v>
      </c>
      <c r="B14" s="801" t="s">
        <v>2660</v>
      </c>
      <c r="C14" s="802">
        <v>3.946E-4</v>
      </c>
      <c r="D14" s="802">
        <v>4.8670000000000001E-4</v>
      </c>
      <c r="E14" s="803">
        <v>169426.22</v>
      </c>
      <c r="F14" s="803">
        <v>218428</v>
      </c>
      <c r="G14" s="803">
        <v>837473</v>
      </c>
      <c r="H14" s="803"/>
      <c r="I14" s="804">
        <v>15735</v>
      </c>
      <c r="J14" s="804">
        <v>733894</v>
      </c>
      <c r="K14" s="804">
        <v>57359</v>
      </c>
      <c r="L14" s="803">
        <v>0</v>
      </c>
      <c r="M14" s="803"/>
      <c r="N14" s="804">
        <v>29346</v>
      </c>
      <c r="O14" s="804">
        <v>270876</v>
      </c>
      <c r="P14" s="804">
        <v>0</v>
      </c>
      <c r="Q14" s="803">
        <v>115870</v>
      </c>
      <c r="R14" s="803"/>
      <c r="S14" s="804">
        <v>223844</v>
      </c>
      <c r="T14" s="805">
        <v>-40775</v>
      </c>
      <c r="U14" s="805">
        <v>183070</v>
      </c>
    </row>
    <row r="15" spans="1:21" x14ac:dyDescent="0.25">
      <c r="A15" s="800">
        <v>90096</v>
      </c>
      <c r="B15" s="801" t="s">
        <v>2661</v>
      </c>
      <c r="C15" s="802">
        <v>1.3860999999999999E-3</v>
      </c>
      <c r="D15" s="802">
        <v>1.4866E-3</v>
      </c>
      <c r="E15" s="803">
        <v>582268</v>
      </c>
      <c r="F15" s="803">
        <v>667177</v>
      </c>
      <c r="G15" s="803">
        <v>2941769</v>
      </c>
      <c r="H15" s="803"/>
      <c r="I15" s="804">
        <v>55271</v>
      </c>
      <c r="J15" s="804">
        <v>2577927</v>
      </c>
      <c r="K15" s="804">
        <v>201485</v>
      </c>
      <c r="L15" s="803">
        <v>79002</v>
      </c>
      <c r="M15" s="803"/>
      <c r="N15" s="804">
        <v>103083</v>
      </c>
      <c r="O15" s="804">
        <v>951499</v>
      </c>
      <c r="P15" s="804">
        <v>0</v>
      </c>
      <c r="Q15" s="803">
        <v>44718</v>
      </c>
      <c r="R15" s="803"/>
      <c r="S15" s="804">
        <v>786292</v>
      </c>
      <c r="T15" s="805">
        <v>23820</v>
      </c>
      <c r="U15" s="805">
        <v>810111</v>
      </c>
    </row>
    <row r="16" spans="1:21" x14ac:dyDescent="0.25">
      <c r="A16" s="800">
        <v>90098</v>
      </c>
      <c r="B16" s="801" t="s">
        <v>2662</v>
      </c>
      <c r="C16" s="802">
        <v>2.9280000000000002E-4</v>
      </c>
      <c r="D16" s="802">
        <v>5.0869999999999995E-4</v>
      </c>
      <c r="E16" s="803">
        <v>129330</v>
      </c>
      <c r="F16" s="803">
        <v>228302</v>
      </c>
      <c r="G16" s="803">
        <v>621420</v>
      </c>
      <c r="H16" s="803"/>
      <c r="I16" s="804">
        <v>11675</v>
      </c>
      <c r="J16" s="804">
        <v>544562</v>
      </c>
      <c r="K16" s="804">
        <v>42562</v>
      </c>
      <c r="L16" s="803">
        <v>0</v>
      </c>
      <c r="M16" s="803"/>
      <c r="N16" s="804">
        <v>21775</v>
      </c>
      <c r="O16" s="804">
        <v>200995</v>
      </c>
      <c r="P16" s="804">
        <v>0</v>
      </c>
      <c r="Q16" s="803">
        <v>163662</v>
      </c>
      <c r="R16" s="803"/>
      <c r="S16" s="804">
        <v>166096</v>
      </c>
      <c r="T16" s="805">
        <v>-52769</v>
      </c>
      <c r="U16" s="805">
        <v>113327</v>
      </c>
    </row>
    <row r="17" spans="1:21" x14ac:dyDescent="0.25">
      <c r="A17" s="800">
        <v>90099</v>
      </c>
      <c r="B17" s="801" t="s">
        <v>2663</v>
      </c>
      <c r="C17" s="802">
        <v>4.9330000000000001E-4</v>
      </c>
      <c r="D17" s="802">
        <v>5.9599999999999996E-4</v>
      </c>
      <c r="E17" s="803">
        <v>207476.25</v>
      </c>
      <c r="F17" s="803">
        <v>267481</v>
      </c>
      <c r="G17" s="803">
        <v>1046948</v>
      </c>
      <c r="H17" s="803"/>
      <c r="I17" s="804">
        <v>19670</v>
      </c>
      <c r="J17" s="804">
        <v>917460</v>
      </c>
      <c r="K17" s="804">
        <v>71707</v>
      </c>
      <c r="L17" s="803">
        <v>4838</v>
      </c>
      <c r="M17" s="803"/>
      <c r="N17" s="804">
        <v>36686</v>
      </c>
      <c r="O17" s="804">
        <v>338630</v>
      </c>
      <c r="P17" s="804">
        <v>0</v>
      </c>
      <c r="Q17" s="803">
        <v>60491</v>
      </c>
      <c r="R17" s="803"/>
      <c r="S17" s="804">
        <v>279834</v>
      </c>
      <c r="T17" s="805">
        <v>-14054</v>
      </c>
      <c r="U17" s="805">
        <v>265780</v>
      </c>
    </row>
    <row r="18" spans="1:21" x14ac:dyDescent="0.25">
      <c r="A18" s="800">
        <v>90101</v>
      </c>
      <c r="B18" s="801" t="s">
        <v>2664</v>
      </c>
      <c r="C18" s="802">
        <v>6.3996000000000001E-3</v>
      </c>
      <c r="D18" s="802">
        <v>6.1599000000000003E-3</v>
      </c>
      <c r="E18" s="803">
        <v>2594375.06</v>
      </c>
      <c r="F18" s="803">
        <v>2764526</v>
      </c>
      <c r="G18" s="803">
        <v>13582095</v>
      </c>
      <c r="H18" s="803"/>
      <c r="I18" s="804">
        <v>255184</v>
      </c>
      <c r="J18" s="804">
        <v>11902245</v>
      </c>
      <c r="K18" s="804">
        <v>930252</v>
      </c>
      <c r="L18" s="803">
        <v>229062</v>
      </c>
      <c r="M18" s="803"/>
      <c r="N18" s="804">
        <v>475932</v>
      </c>
      <c r="O18" s="804">
        <v>4393057</v>
      </c>
      <c r="P18" s="804">
        <v>0</v>
      </c>
      <c r="Q18" s="803">
        <v>51491</v>
      </c>
      <c r="R18" s="803"/>
      <c r="S18" s="804">
        <v>3630295</v>
      </c>
      <c r="T18" s="805">
        <v>45786</v>
      </c>
      <c r="U18" s="805">
        <v>3676081</v>
      </c>
    </row>
    <row r="19" spans="1:21" x14ac:dyDescent="0.25">
      <c r="A19" s="800">
        <v>90111</v>
      </c>
      <c r="B19" s="801" t="s">
        <v>2665</v>
      </c>
      <c r="C19" s="802">
        <v>4.8874000000000001E-3</v>
      </c>
      <c r="D19" s="802">
        <v>4.9893000000000003E-3</v>
      </c>
      <c r="E19" s="803">
        <v>1973481.4</v>
      </c>
      <c r="F19" s="803">
        <v>2239168</v>
      </c>
      <c r="G19" s="803">
        <v>10372700</v>
      </c>
      <c r="H19" s="803"/>
      <c r="I19" s="804">
        <v>194885</v>
      </c>
      <c r="J19" s="804">
        <v>9089792</v>
      </c>
      <c r="K19" s="804">
        <v>710437</v>
      </c>
      <c r="L19" s="803">
        <v>0</v>
      </c>
      <c r="M19" s="803"/>
      <c r="N19" s="804">
        <v>363471</v>
      </c>
      <c r="O19" s="804">
        <v>3354995</v>
      </c>
      <c r="P19" s="804">
        <v>0</v>
      </c>
      <c r="Q19" s="803">
        <v>163983</v>
      </c>
      <c r="R19" s="803"/>
      <c r="S19" s="804">
        <v>2772471</v>
      </c>
      <c r="T19" s="805">
        <v>-57381</v>
      </c>
      <c r="U19" s="805">
        <v>2715090</v>
      </c>
    </row>
    <row r="20" spans="1:21" x14ac:dyDescent="0.25">
      <c r="A20" s="800">
        <v>90114</v>
      </c>
      <c r="B20" s="801" t="s">
        <v>2666</v>
      </c>
      <c r="C20" s="802">
        <v>1.0681E-3</v>
      </c>
      <c r="D20" s="802">
        <v>1.0043000000000001E-3</v>
      </c>
      <c r="E20" s="803">
        <v>1022992</v>
      </c>
      <c r="F20" s="803">
        <v>450724</v>
      </c>
      <c r="G20" s="803">
        <v>2266866</v>
      </c>
      <c r="H20" s="803"/>
      <c r="I20" s="804">
        <v>42590</v>
      </c>
      <c r="J20" s="804">
        <v>1986497</v>
      </c>
      <c r="K20" s="804">
        <v>155260</v>
      </c>
      <c r="L20" s="803">
        <v>821100</v>
      </c>
      <c r="M20" s="803"/>
      <c r="N20" s="804">
        <v>79434</v>
      </c>
      <c r="O20" s="804">
        <v>733206</v>
      </c>
      <c r="P20" s="804">
        <v>0</v>
      </c>
      <c r="Q20" s="803">
        <v>0</v>
      </c>
      <c r="R20" s="803"/>
      <c r="S20" s="804">
        <v>605900</v>
      </c>
      <c r="T20" s="805">
        <v>245765</v>
      </c>
      <c r="U20" s="805">
        <v>851665</v>
      </c>
    </row>
    <row r="21" spans="1:21" x14ac:dyDescent="0.25">
      <c r="A21" s="800">
        <v>90117</v>
      </c>
      <c r="B21" s="801" t="s">
        <v>2667</v>
      </c>
      <c r="C21" s="802">
        <v>1.35E-4</v>
      </c>
      <c r="D21" s="802">
        <v>1.3019999999999999E-4</v>
      </c>
      <c r="E21" s="803">
        <v>78954</v>
      </c>
      <c r="F21" s="803">
        <v>58433</v>
      </c>
      <c r="G21" s="803">
        <v>286515</v>
      </c>
      <c r="H21" s="803"/>
      <c r="I21" s="804">
        <v>5383.125</v>
      </c>
      <c r="J21" s="804">
        <v>251078.67</v>
      </c>
      <c r="K21" s="804">
        <v>19624</v>
      </c>
      <c r="L21" s="803">
        <v>42554</v>
      </c>
      <c r="M21" s="803"/>
      <c r="N21" s="804">
        <v>10040</v>
      </c>
      <c r="O21" s="804">
        <v>92671.83</v>
      </c>
      <c r="P21" s="804">
        <v>0</v>
      </c>
      <c r="Q21" s="803">
        <v>0</v>
      </c>
      <c r="R21" s="803"/>
      <c r="S21" s="804">
        <v>76581</v>
      </c>
      <c r="T21" s="805">
        <v>14293</v>
      </c>
      <c r="U21" s="805">
        <v>90874</v>
      </c>
    </row>
    <row r="22" spans="1:21" x14ac:dyDescent="0.25">
      <c r="A22" s="800">
        <v>90121</v>
      </c>
      <c r="B22" s="801" t="s">
        <v>2668</v>
      </c>
      <c r="C22" s="802">
        <v>1.0789E-3</v>
      </c>
      <c r="D22" s="802">
        <v>1.1057E-3</v>
      </c>
      <c r="E22" s="803">
        <v>394126</v>
      </c>
      <c r="F22" s="803">
        <v>496232</v>
      </c>
      <c r="G22" s="803">
        <v>2289787</v>
      </c>
      <c r="H22" s="803"/>
      <c r="I22" s="804">
        <v>43021</v>
      </c>
      <c r="J22" s="804">
        <v>2006584</v>
      </c>
      <c r="K22" s="804">
        <v>156830</v>
      </c>
      <c r="L22" s="803">
        <v>6521</v>
      </c>
      <c r="M22" s="803"/>
      <c r="N22" s="804">
        <v>80237</v>
      </c>
      <c r="O22" s="804">
        <v>740620</v>
      </c>
      <c r="P22" s="804">
        <v>0</v>
      </c>
      <c r="Q22" s="803">
        <v>74370</v>
      </c>
      <c r="R22" s="803"/>
      <c r="S22" s="804">
        <v>612027</v>
      </c>
      <c r="T22" s="805">
        <v>-17947</v>
      </c>
      <c r="U22" s="805">
        <v>594079</v>
      </c>
    </row>
    <row r="23" spans="1:21" x14ac:dyDescent="0.25">
      <c r="A23" s="800">
        <v>90131</v>
      </c>
      <c r="B23" s="801" t="s">
        <v>2669</v>
      </c>
      <c r="C23" s="802">
        <v>5.0440000000000001E-4</v>
      </c>
      <c r="D23" s="802">
        <v>4.727E-4</v>
      </c>
      <c r="E23" s="803">
        <v>173703</v>
      </c>
      <c r="F23" s="803">
        <v>212145</v>
      </c>
      <c r="G23" s="803">
        <v>1070506</v>
      </c>
      <c r="H23" s="803"/>
      <c r="I23" s="804">
        <v>20112.95</v>
      </c>
      <c r="J23" s="804">
        <v>938104</v>
      </c>
      <c r="K23" s="804">
        <v>73320</v>
      </c>
      <c r="L23" s="803">
        <v>0</v>
      </c>
      <c r="M23" s="803"/>
      <c r="N23" s="804">
        <v>37512</v>
      </c>
      <c r="O23" s="804">
        <v>346249</v>
      </c>
      <c r="P23" s="804">
        <v>0</v>
      </c>
      <c r="Q23" s="803">
        <v>23072</v>
      </c>
      <c r="R23" s="803"/>
      <c r="S23" s="804">
        <v>286130</v>
      </c>
      <c r="T23" s="805">
        <v>-8951</v>
      </c>
      <c r="U23" s="805">
        <v>277180</v>
      </c>
    </row>
    <row r="24" spans="1:21" x14ac:dyDescent="0.25">
      <c r="A24" s="800">
        <v>90141</v>
      </c>
      <c r="B24" s="801" t="s">
        <v>2670</v>
      </c>
      <c r="C24" s="802">
        <v>1.306E-4</v>
      </c>
      <c r="D24" s="802">
        <v>1.5919999999999999E-4</v>
      </c>
      <c r="E24" s="803">
        <v>55925.87</v>
      </c>
      <c r="F24" s="803">
        <v>71448</v>
      </c>
      <c r="G24" s="803">
        <v>277177</v>
      </c>
      <c r="H24" s="803"/>
      <c r="I24" s="804">
        <v>5208</v>
      </c>
      <c r="J24" s="804">
        <v>242895</v>
      </c>
      <c r="K24" s="804">
        <v>18984</v>
      </c>
      <c r="L24" s="803">
        <v>2143</v>
      </c>
      <c r="M24" s="803"/>
      <c r="N24" s="804">
        <v>9713</v>
      </c>
      <c r="O24" s="804">
        <v>89651</v>
      </c>
      <c r="P24" s="804">
        <v>0</v>
      </c>
      <c r="Q24" s="803">
        <v>13732</v>
      </c>
      <c r="R24" s="803"/>
      <c r="S24" s="804">
        <v>74085</v>
      </c>
      <c r="T24" s="805">
        <v>-2701</v>
      </c>
      <c r="U24" s="805">
        <v>71385</v>
      </c>
    </row>
    <row r="25" spans="1:21" x14ac:dyDescent="0.25">
      <c r="A25" s="800">
        <v>90151</v>
      </c>
      <c r="B25" s="801" t="s">
        <v>2671</v>
      </c>
      <c r="C25" s="802">
        <v>1.0000000000000001E-5</v>
      </c>
      <c r="D25" s="802">
        <v>9.7999999999999993E-6</v>
      </c>
      <c r="E25" s="803">
        <v>2703</v>
      </c>
      <c r="F25" s="803">
        <v>4398</v>
      </c>
      <c r="G25" s="803">
        <v>21223</v>
      </c>
      <c r="H25" s="803"/>
      <c r="I25" s="804">
        <v>399</v>
      </c>
      <c r="J25" s="804">
        <v>18598</v>
      </c>
      <c r="K25" s="804">
        <v>1454</v>
      </c>
      <c r="L25" s="803">
        <v>0</v>
      </c>
      <c r="M25" s="803"/>
      <c r="N25" s="804">
        <v>743.69</v>
      </c>
      <c r="O25" s="804">
        <v>6865</v>
      </c>
      <c r="P25" s="804">
        <v>0</v>
      </c>
      <c r="Q25" s="803">
        <v>2266</v>
      </c>
      <c r="R25" s="803"/>
      <c r="S25" s="804">
        <v>5673</v>
      </c>
      <c r="T25" s="805">
        <v>-782</v>
      </c>
      <c r="U25" s="805">
        <v>4891</v>
      </c>
    </row>
    <row r="26" spans="1:21" x14ac:dyDescent="0.25">
      <c r="A26" s="800">
        <v>90161</v>
      </c>
      <c r="B26" s="801" t="s">
        <v>2672</v>
      </c>
      <c r="C26" s="802">
        <v>3.4799999999999999E-5</v>
      </c>
      <c r="D26" s="802">
        <v>2.6299999999999999E-5</v>
      </c>
      <c r="E26" s="803">
        <v>13115.62</v>
      </c>
      <c r="F26" s="803">
        <v>11803</v>
      </c>
      <c r="G26" s="803">
        <v>73857</v>
      </c>
      <c r="H26" s="803"/>
      <c r="I26" s="804">
        <v>1388</v>
      </c>
      <c r="J26" s="804">
        <v>64723</v>
      </c>
      <c r="K26" s="804">
        <v>5059</v>
      </c>
      <c r="L26" s="803">
        <v>5728</v>
      </c>
      <c r="M26" s="803"/>
      <c r="N26" s="804">
        <v>2588</v>
      </c>
      <c r="O26" s="804">
        <v>23889</v>
      </c>
      <c r="P26" s="804">
        <v>0</v>
      </c>
      <c r="Q26" s="803">
        <v>0</v>
      </c>
      <c r="R26" s="803"/>
      <c r="S26" s="804">
        <v>19741</v>
      </c>
      <c r="T26" s="805">
        <v>1706</v>
      </c>
      <c r="U26" s="805">
        <v>21447</v>
      </c>
    </row>
    <row r="27" spans="1:21" x14ac:dyDescent="0.25">
      <c r="A27" s="800">
        <v>90201</v>
      </c>
      <c r="B27" s="801" t="s">
        <v>2673</v>
      </c>
      <c r="C27" s="802">
        <v>1.2419E-3</v>
      </c>
      <c r="D27" s="802">
        <v>1.1842999999999999E-3</v>
      </c>
      <c r="E27" s="803">
        <v>470870</v>
      </c>
      <c r="F27" s="803">
        <v>531507</v>
      </c>
      <c r="G27" s="803">
        <v>2635728</v>
      </c>
      <c r="H27" s="803"/>
      <c r="I27" s="804">
        <v>49521</v>
      </c>
      <c r="J27" s="804">
        <v>2309738</v>
      </c>
      <c r="K27" s="804">
        <v>180524</v>
      </c>
      <c r="L27" s="803">
        <v>70694</v>
      </c>
      <c r="M27" s="803"/>
      <c r="N27" s="804">
        <v>92359</v>
      </c>
      <c r="O27" s="804">
        <v>852512</v>
      </c>
      <c r="P27" s="804">
        <v>0</v>
      </c>
      <c r="Q27" s="803">
        <v>450</v>
      </c>
      <c r="R27" s="803"/>
      <c r="S27" s="804">
        <v>704491</v>
      </c>
      <c r="T27" s="805">
        <v>33957</v>
      </c>
      <c r="U27" s="805">
        <v>738448</v>
      </c>
    </row>
    <row r="28" spans="1:21" x14ac:dyDescent="0.25">
      <c r="A28" s="800">
        <v>90203</v>
      </c>
      <c r="B28" s="801" t="s">
        <v>2674</v>
      </c>
      <c r="C28" s="802">
        <v>2.3680000000000001E-4</v>
      </c>
      <c r="D28" s="802">
        <v>2.7530000000000002E-4</v>
      </c>
      <c r="E28" s="803">
        <v>95318</v>
      </c>
      <c r="F28" s="803">
        <v>123553</v>
      </c>
      <c r="G28" s="803">
        <v>502569</v>
      </c>
      <c r="H28" s="803"/>
      <c r="I28" s="804">
        <v>9442.4</v>
      </c>
      <c r="J28" s="804">
        <v>440411</v>
      </c>
      <c r="K28" s="804">
        <v>34421</v>
      </c>
      <c r="L28" s="803">
        <v>3338</v>
      </c>
      <c r="M28" s="803"/>
      <c r="N28" s="804">
        <v>17611</v>
      </c>
      <c r="O28" s="804">
        <v>162553</v>
      </c>
      <c r="P28" s="804">
        <v>0</v>
      </c>
      <c r="Q28" s="803">
        <v>36458</v>
      </c>
      <c r="R28" s="803"/>
      <c r="S28" s="804">
        <v>134329</v>
      </c>
      <c r="T28" s="805">
        <v>-11660</v>
      </c>
      <c r="U28" s="805">
        <v>122669</v>
      </c>
    </row>
    <row r="29" spans="1:21" x14ac:dyDescent="0.25">
      <c r="A29" s="800">
        <v>90205</v>
      </c>
      <c r="B29" s="801" t="s">
        <v>2675</v>
      </c>
      <c r="C29" s="802">
        <v>3.3599999999999997E-5</v>
      </c>
      <c r="D29" s="802">
        <v>3.5299999999999997E-5</v>
      </c>
      <c r="E29" s="803">
        <v>13992.72</v>
      </c>
      <c r="F29" s="803">
        <v>15842</v>
      </c>
      <c r="G29" s="803">
        <v>71310</v>
      </c>
      <c r="H29" s="803"/>
      <c r="I29" s="804">
        <v>1339.8</v>
      </c>
      <c r="J29" s="804">
        <v>62491</v>
      </c>
      <c r="K29" s="804">
        <v>4884</v>
      </c>
      <c r="L29" s="803">
        <v>1378</v>
      </c>
      <c r="M29" s="803"/>
      <c r="N29" s="804">
        <v>2499</v>
      </c>
      <c r="O29" s="804">
        <v>23065</v>
      </c>
      <c r="P29" s="804">
        <v>0</v>
      </c>
      <c r="Q29" s="803">
        <v>782</v>
      </c>
      <c r="R29" s="803"/>
      <c r="S29" s="804">
        <v>19060</v>
      </c>
      <c r="T29" s="805">
        <v>406</v>
      </c>
      <c r="U29" s="805">
        <v>19467</v>
      </c>
    </row>
    <row r="30" spans="1:21" x14ac:dyDescent="0.25">
      <c r="A30" s="800">
        <v>90206</v>
      </c>
      <c r="B30" s="801" t="s">
        <v>2676</v>
      </c>
      <c r="C30" s="802">
        <v>4.347E-4</v>
      </c>
      <c r="D30" s="802">
        <v>4.3810000000000002E-4</v>
      </c>
      <c r="E30" s="803">
        <v>170440.57</v>
      </c>
      <c r="F30" s="803">
        <v>196617</v>
      </c>
      <c r="G30" s="803">
        <v>922579</v>
      </c>
      <c r="H30" s="803"/>
      <c r="I30" s="804">
        <v>17334</v>
      </c>
      <c r="J30" s="804">
        <v>808473</v>
      </c>
      <c r="K30" s="804">
        <v>63188</v>
      </c>
      <c r="L30" s="803">
        <v>18047</v>
      </c>
      <c r="M30" s="803"/>
      <c r="N30" s="804">
        <v>32328</v>
      </c>
      <c r="O30" s="804">
        <v>298403</v>
      </c>
      <c r="P30" s="804">
        <v>0</v>
      </c>
      <c r="Q30" s="803">
        <v>12515</v>
      </c>
      <c r="R30" s="803"/>
      <c r="S30" s="804">
        <v>246592</v>
      </c>
      <c r="T30" s="805">
        <v>5439</v>
      </c>
      <c r="U30" s="805">
        <v>252031</v>
      </c>
    </row>
    <row r="31" spans="1:21" x14ac:dyDescent="0.25">
      <c r="A31" s="800">
        <v>90211</v>
      </c>
      <c r="B31" s="801" t="s">
        <v>2677</v>
      </c>
      <c r="C31" s="802">
        <v>1.5689999999999999E-4</v>
      </c>
      <c r="D31" s="802">
        <v>1.708E-4</v>
      </c>
      <c r="E31" s="803">
        <v>58970</v>
      </c>
      <c r="F31" s="803">
        <v>76654</v>
      </c>
      <c r="G31" s="803">
        <v>332994</v>
      </c>
      <c r="H31" s="803"/>
      <c r="I31" s="804">
        <v>6256</v>
      </c>
      <c r="J31" s="804">
        <v>291809</v>
      </c>
      <c r="K31" s="804">
        <v>22807</v>
      </c>
      <c r="L31" s="803">
        <v>0</v>
      </c>
      <c r="M31" s="803"/>
      <c r="N31" s="804">
        <v>11668</v>
      </c>
      <c r="O31" s="804">
        <v>107705</v>
      </c>
      <c r="P31" s="804">
        <v>0</v>
      </c>
      <c r="Q31" s="803">
        <v>17335</v>
      </c>
      <c r="R31" s="803"/>
      <c r="S31" s="804">
        <v>89005</v>
      </c>
      <c r="T31" s="805">
        <v>-5305</v>
      </c>
      <c r="U31" s="805">
        <v>83699</v>
      </c>
    </row>
    <row r="32" spans="1:21" x14ac:dyDescent="0.25">
      <c r="A32" s="800">
        <v>90301</v>
      </c>
      <c r="B32" s="801" t="s">
        <v>2678</v>
      </c>
      <c r="C32" s="802">
        <v>6.4000000000000005E-4</v>
      </c>
      <c r="D32" s="802">
        <v>6.2489999999999996E-4</v>
      </c>
      <c r="E32" s="803">
        <v>241334.31</v>
      </c>
      <c r="F32" s="803">
        <v>280451</v>
      </c>
      <c r="G32" s="803">
        <v>1358294</v>
      </c>
      <c r="H32" s="803"/>
      <c r="I32" s="804">
        <v>25520</v>
      </c>
      <c r="J32" s="804">
        <v>1190299</v>
      </c>
      <c r="K32" s="804">
        <v>93031</v>
      </c>
      <c r="L32" s="803">
        <v>6684</v>
      </c>
      <c r="M32" s="803"/>
      <c r="N32" s="804">
        <v>47596.160000000003</v>
      </c>
      <c r="O32" s="804">
        <v>439333</v>
      </c>
      <c r="P32" s="804">
        <v>0</v>
      </c>
      <c r="Q32" s="803">
        <v>19561</v>
      </c>
      <c r="R32" s="803"/>
      <c r="S32" s="804">
        <v>363052</v>
      </c>
      <c r="T32" s="805">
        <v>-5224</v>
      </c>
      <c r="U32" s="805">
        <v>357828</v>
      </c>
    </row>
    <row r="33" spans="1:21" x14ac:dyDescent="0.25">
      <c r="A33" s="800">
        <v>90305</v>
      </c>
      <c r="B33" s="801" t="s">
        <v>2679</v>
      </c>
      <c r="C33" s="802">
        <v>1.7009999999999999E-4</v>
      </c>
      <c r="D33" s="802">
        <v>1.773E-4</v>
      </c>
      <c r="E33" s="803">
        <v>84901.17</v>
      </c>
      <c r="F33" s="803">
        <v>79571</v>
      </c>
      <c r="G33" s="803">
        <v>361009</v>
      </c>
      <c r="H33" s="803"/>
      <c r="I33" s="804">
        <v>6783</v>
      </c>
      <c r="J33" s="804">
        <v>316359</v>
      </c>
      <c r="K33" s="804">
        <v>24726</v>
      </c>
      <c r="L33" s="803">
        <v>26122</v>
      </c>
      <c r="M33" s="803"/>
      <c r="N33" s="804">
        <v>12650</v>
      </c>
      <c r="O33" s="804">
        <v>116767</v>
      </c>
      <c r="P33" s="804">
        <v>0</v>
      </c>
      <c r="Q33" s="803">
        <v>0</v>
      </c>
      <c r="R33" s="803"/>
      <c r="S33" s="804">
        <v>96492</v>
      </c>
      <c r="T33" s="805">
        <v>9101</v>
      </c>
      <c r="U33" s="805">
        <v>105594</v>
      </c>
    </row>
    <row r="34" spans="1:21" x14ac:dyDescent="0.25">
      <c r="A34" s="800">
        <v>90307</v>
      </c>
      <c r="B34" s="801" t="s">
        <v>2680</v>
      </c>
      <c r="C34" s="802">
        <v>7.7000000000000008E-6</v>
      </c>
      <c r="D34" s="802">
        <v>8.4999999999999999E-6</v>
      </c>
      <c r="E34" s="803">
        <v>3744</v>
      </c>
      <c r="F34" s="803">
        <v>3815</v>
      </c>
      <c r="G34" s="803">
        <v>16342</v>
      </c>
      <c r="H34" s="803"/>
      <c r="I34" s="804">
        <v>307</v>
      </c>
      <c r="J34" s="804">
        <v>14321</v>
      </c>
      <c r="K34" s="804">
        <v>1119</v>
      </c>
      <c r="L34" s="803">
        <v>213</v>
      </c>
      <c r="M34" s="803"/>
      <c r="N34" s="804">
        <v>573</v>
      </c>
      <c r="O34" s="804">
        <v>5286</v>
      </c>
      <c r="P34" s="804">
        <v>0</v>
      </c>
      <c r="Q34" s="803">
        <v>80</v>
      </c>
      <c r="R34" s="803"/>
      <c r="S34" s="804">
        <v>4368</v>
      </c>
      <c r="T34" s="805">
        <v>33</v>
      </c>
      <c r="U34" s="805">
        <v>4401</v>
      </c>
    </row>
    <row r="35" spans="1:21" x14ac:dyDescent="0.25">
      <c r="A35" s="800">
        <v>90401</v>
      </c>
      <c r="B35" s="801" t="s">
        <v>2681</v>
      </c>
      <c r="C35" s="802">
        <v>1.3626999999999999E-3</v>
      </c>
      <c r="D35" s="802">
        <v>1.359E-3</v>
      </c>
      <c r="E35" s="803">
        <v>569788.09</v>
      </c>
      <c r="F35" s="803">
        <v>609911</v>
      </c>
      <c r="G35" s="803">
        <v>2892106</v>
      </c>
      <c r="H35" s="803"/>
      <c r="I35" s="804">
        <v>54338</v>
      </c>
      <c r="J35" s="804">
        <v>2534407</v>
      </c>
      <c r="K35" s="804">
        <v>198083</v>
      </c>
      <c r="L35" s="803">
        <v>70826</v>
      </c>
      <c r="M35" s="803"/>
      <c r="N35" s="804">
        <v>101343</v>
      </c>
      <c r="O35" s="804">
        <v>935436</v>
      </c>
      <c r="P35" s="804">
        <v>0</v>
      </c>
      <c r="Q35" s="803">
        <v>0</v>
      </c>
      <c r="R35" s="803"/>
      <c r="S35" s="804">
        <v>773017</v>
      </c>
      <c r="T35" s="805">
        <v>26807</v>
      </c>
      <c r="U35" s="805">
        <v>799824</v>
      </c>
    </row>
    <row r="36" spans="1:21" x14ac:dyDescent="0.25">
      <c r="A36" s="800">
        <v>90411</v>
      </c>
      <c r="B36" s="801" t="s">
        <v>2682</v>
      </c>
      <c r="C36" s="802">
        <v>3.5490000000000001E-4</v>
      </c>
      <c r="D36" s="802">
        <v>4.0069999999999998E-4</v>
      </c>
      <c r="E36" s="803">
        <v>139271.16</v>
      </c>
      <c r="F36" s="803">
        <v>179832</v>
      </c>
      <c r="G36" s="803">
        <v>753217</v>
      </c>
      <c r="H36" s="803"/>
      <c r="I36" s="804">
        <v>14152</v>
      </c>
      <c r="J36" s="804">
        <v>660058</v>
      </c>
      <c r="K36" s="804">
        <v>51589</v>
      </c>
      <c r="L36" s="803">
        <v>0</v>
      </c>
      <c r="M36" s="803"/>
      <c r="N36" s="804">
        <v>26394</v>
      </c>
      <c r="O36" s="804">
        <v>243624</v>
      </c>
      <c r="P36" s="804">
        <v>0</v>
      </c>
      <c r="Q36" s="803">
        <v>45866</v>
      </c>
      <c r="R36" s="803"/>
      <c r="S36" s="804">
        <v>201324</v>
      </c>
      <c r="T36" s="805">
        <v>-13553</v>
      </c>
      <c r="U36" s="805">
        <v>187770</v>
      </c>
    </row>
    <row r="37" spans="1:21" x14ac:dyDescent="0.25">
      <c r="A37" s="800">
        <v>90413</v>
      </c>
      <c r="B37" s="801" t="s">
        <v>2683</v>
      </c>
      <c r="C37" s="802">
        <v>3.7299999999999999E-5</v>
      </c>
      <c r="D37" s="802">
        <v>3.6399999999999997E-5</v>
      </c>
      <c r="E37" s="803">
        <v>16560</v>
      </c>
      <c r="F37" s="803">
        <v>16336</v>
      </c>
      <c r="G37" s="803">
        <v>79163</v>
      </c>
      <c r="H37" s="803"/>
      <c r="I37" s="804">
        <v>1487</v>
      </c>
      <c r="J37" s="804">
        <v>69372</v>
      </c>
      <c r="K37" s="804">
        <v>5422</v>
      </c>
      <c r="L37" s="803">
        <v>9568</v>
      </c>
      <c r="M37" s="803"/>
      <c r="N37" s="804">
        <v>2774</v>
      </c>
      <c r="O37" s="804">
        <v>25605</v>
      </c>
      <c r="P37" s="804">
        <v>0</v>
      </c>
      <c r="Q37" s="803">
        <v>0</v>
      </c>
      <c r="R37" s="803"/>
      <c r="S37" s="804">
        <v>21159</v>
      </c>
      <c r="T37" s="805">
        <v>3645</v>
      </c>
      <c r="U37" s="805">
        <v>24804</v>
      </c>
    </row>
    <row r="38" spans="1:21" x14ac:dyDescent="0.25">
      <c r="A38" s="800">
        <v>90417</v>
      </c>
      <c r="B38" s="801" t="s">
        <v>2684</v>
      </c>
      <c r="C38" s="802">
        <v>1.2099999999999999E-5</v>
      </c>
      <c r="D38" s="802">
        <v>1.38E-5</v>
      </c>
      <c r="E38" s="803">
        <v>7492</v>
      </c>
      <c r="F38" s="803">
        <v>6193</v>
      </c>
      <c r="G38" s="803">
        <v>25680</v>
      </c>
      <c r="H38" s="803"/>
      <c r="I38" s="804">
        <v>482</v>
      </c>
      <c r="J38" s="804">
        <v>22504</v>
      </c>
      <c r="K38" s="804">
        <v>1759</v>
      </c>
      <c r="L38" s="803">
        <v>2032</v>
      </c>
      <c r="M38" s="803"/>
      <c r="N38" s="804">
        <v>900</v>
      </c>
      <c r="O38" s="804">
        <v>8306</v>
      </c>
      <c r="P38" s="804">
        <v>0</v>
      </c>
      <c r="Q38" s="803">
        <v>0</v>
      </c>
      <c r="R38" s="803"/>
      <c r="S38" s="804">
        <v>6864</v>
      </c>
      <c r="T38" s="805">
        <v>687</v>
      </c>
      <c r="U38" s="805">
        <v>7551</v>
      </c>
    </row>
    <row r="39" spans="1:21" x14ac:dyDescent="0.25">
      <c r="A39" s="800">
        <v>90421</v>
      </c>
      <c r="B39" s="801" t="s">
        <v>2685</v>
      </c>
      <c r="C39" s="802">
        <v>2.3600000000000001E-5</v>
      </c>
      <c r="D39" s="802">
        <v>2.4700000000000001E-5</v>
      </c>
      <c r="E39" s="803">
        <v>7745.31</v>
      </c>
      <c r="F39" s="803">
        <v>11085</v>
      </c>
      <c r="G39" s="803">
        <v>50087</v>
      </c>
      <c r="H39" s="803"/>
      <c r="I39" s="804">
        <v>941</v>
      </c>
      <c r="J39" s="804">
        <v>43892</v>
      </c>
      <c r="K39" s="804">
        <v>3431</v>
      </c>
      <c r="L39" s="803">
        <v>0</v>
      </c>
      <c r="M39" s="803"/>
      <c r="N39" s="804">
        <v>1755</v>
      </c>
      <c r="O39" s="804">
        <v>16200</v>
      </c>
      <c r="P39" s="804">
        <v>0</v>
      </c>
      <c r="Q39" s="803">
        <v>3590</v>
      </c>
      <c r="R39" s="803"/>
      <c r="S39" s="804">
        <v>13388</v>
      </c>
      <c r="T39" s="805">
        <v>-1226</v>
      </c>
      <c r="U39" s="805">
        <v>12162</v>
      </c>
    </row>
    <row r="40" spans="1:21" x14ac:dyDescent="0.25">
      <c r="A40" s="800">
        <v>90431</v>
      </c>
      <c r="B40" s="801" t="s">
        <v>2686</v>
      </c>
      <c r="C40" s="802">
        <v>4.2799999999999997E-5</v>
      </c>
      <c r="D40" s="802">
        <v>4.7599999999999998E-5</v>
      </c>
      <c r="E40" s="803">
        <v>18711.07</v>
      </c>
      <c r="F40" s="803">
        <v>21363</v>
      </c>
      <c r="G40" s="803">
        <v>90836</v>
      </c>
      <c r="H40" s="803"/>
      <c r="I40" s="804">
        <v>1707</v>
      </c>
      <c r="J40" s="804">
        <v>79601</v>
      </c>
      <c r="K40" s="804">
        <v>6221</v>
      </c>
      <c r="L40" s="803">
        <v>8478</v>
      </c>
      <c r="M40" s="803"/>
      <c r="N40" s="804">
        <v>3183</v>
      </c>
      <c r="O40" s="804">
        <v>29380</v>
      </c>
      <c r="P40" s="804">
        <v>0</v>
      </c>
      <c r="Q40" s="803">
        <v>1719</v>
      </c>
      <c r="R40" s="803"/>
      <c r="S40" s="804">
        <v>24279</v>
      </c>
      <c r="T40" s="805">
        <v>2793</v>
      </c>
      <c r="U40" s="805">
        <v>27072</v>
      </c>
    </row>
    <row r="41" spans="1:21" x14ac:dyDescent="0.25">
      <c r="A41" s="800">
        <v>90441</v>
      </c>
      <c r="B41" s="801" t="s">
        <v>2687</v>
      </c>
      <c r="C41" s="802">
        <v>9.3999999999999998E-6</v>
      </c>
      <c r="D41" s="802">
        <v>1.03E-5</v>
      </c>
      <c r="E41" s="803">
        <v>4675</v>
      </c>
      <c r="F41" s="803">
        <v>4623</v>
      </c>
      <c r="G41" s="803">
        <v>19950</v>
      </c>
      <c r="H41" s="803"/>
      <c r="I41" s="804">
        <v>374.82499999999999</v>
      </c>
      <c r="J41" s="804">
        <v>17483</v>
      </c>
      <c r="K41" s="804">
        <v>1366</v>
      </c>
      <c r="L41" s="803">
        <v>1367</v>
      </c>
      <c r="M41" s="803"/>
      <c r="N41" s="804">
        <v>699</v>
      </c>
      <c r="O41" s="804">
        <v>6453</v>
      </c>
      <c r="P41" s="804">
        <v>0</v>
      </c>
      <c r="Q41" s="803">
        <v>200</v>
      </c>
      <c r="R41" s="803"/>
      <c r="S41" s="804">
        <v>5332</v>
      </c>
      <c r="T41" s="805">
        <v>578</v>
      </c>
      <c r="U41" s="805">
        <v>5911</v>
      </c>
    </row>
    <row r="42" spans="1:21" x14ac:dyDescent="0.25">
      <c r="A42" s="800">
        <v>90451</v>
      </c>
      <c r="B42" s="801" t="s">
        <v>2688</v>
      </c>
      <c r="C42" s="802">
        <v>1.7900000000000001E-5</v>
      </c>
      <c r="D42" s="802">
        <v>1.2099999999999999E-5</v>
      </c>
      <c r="E42" s="803">
        <v>6772.25</v>
      </c>
      <c r="F42" s="803">
        <v>5430</v>
      </c>
      <c r="G42" s="803">
        <v>37990</v>
      </c>
      <c r="H42" s="803"/>
      <c r="I42" s="804">
        <v>713.76250000000005</v>
      </c>
      <c r="J42" s="804">
        <v>33291</v>
      </c>
      <c r="K42" s="804">
        <v>2602</v>
      </c>
      <c r="L42" s="803">
        <v>3118</v>
      </c>
      <c r="M42" s="803"/>
      <c r="N42" s="804">
        <v>1331</v>
      </c>
      <c r="O42" s="804">
        <v>12288</v>
      </c>
      <c r="P42" s="804">
        <v>0</v>
      </c>
      <c r="Q42" s="803">
        <v>288</v>
      </c>
      <c r="R42" s="803"/>
      <c r="S42" s="804">
        <v>10154</v>
      </c>
      <c r="T42" s="805">
        <v>814</v>
      </c>
      <c r="U42" s="805">
        <v>10968</v>
      </c>
    </row>
    <row r="43" spans="1:21" x14ac:dyDescent="0.25">
      <c r="A43" s="800">
        <v>90461</v>
      </c>
      <c r="B43" s="801" t="s">
        <v>2689</v>
      </c>
      <c r="C43" s="802">
        <v>1.7200000000000001E-5</v>
      </c>
      <c r="D43" s="802">
        <v>1.7200000000000001E-5</v>
      </c>
      <c r="E43" s="803">
        <v>6466.34</v>
      </c>
      <c r="F43" s="803">
        <v>7719</v>
      </c>
      <c r="G43" s="803">
        <v>36504</v>
      </c>
      <c r="H43" s="803"/>
      <c r="I43" s="804">
        <v>685.85</v>
      </c>
      <c r="J43" s="804">
        <v>31989</v>
      </c>
      <c r="K43" s="804">
        <v>2500</v>
      </c>
      <c r="L43" s="803">
        <v>4750</v>
      </c>
      <c r="M43" s="803"/>
      <c r="N43" s="804">
        <v>1279</v>
      </c>
      <c r="O43" s="804">
        <v>11807</v>
      </c>
      <c r="P43" s="804">
        <v>0</v>
      </c>
      <c r="Q43" s="803">
        <v>2426</v>
      </c>
      <c r="R43" s="803"/>
      <c r="S43" s="804">
        <v>9757</v>
      </c>
      <c r="T43" s="805">
        <v>583</v>
      </c>
      <c r="U43" s="805">
        <v>10340</v>
      </c>
    </row>
    <row r="44" spans="1:21" x14ac:dyDescent="0.25">
      <c r="A44" s="800">
        <v>90501</v>
      </c>
      <c r="B44" s="801" t="s">
        <v>2690</v>
      </c>
      <c r="C44" s="802">
        <v>1.4001E-3</v>
      </c>
      <c r="D44" s="802">
        <v>1.4352E-3</v>
      </c>
      <c r="E44" s="803">
        <v>603983</v>
      </c>
      <c r="F44" s="803">
        <v>644109</v>
      </c>
      <c r="G44" s="803">
        <v>2971481</v>
      </c>
      <c r="H44" s="803"/>
      <c r="I44" s="804">
        <v>55829</v>
      </c>
      <c r="J44" s="804">
        <v>2603965</v>
      </c>
      <c r="K44" s="804">
        <v>203520</v>
      </c>
      <c r="L44" s="803">
        <v>46994</v>
      </c>
      <c r="M44" s="803"/>
      <c r="N44" s="804">
        <v>104124</v>
      </c>
      <c r="O44" s="804">
        <v>961110</v>
      </c>
      <c r="P44" s="804">
        <v>0</v>
      </c>
      <c r="Q44" s="803">
        <v>0</v>
      </c>
      <c r="R44" s="803"/>
      <c r="S44" s="804">
        <v>794233</v>
      </c>
      <c r="T44" s="805">
        <v>20332</v>
      </c>
      <c r="U44" s="805">
        <v>814566</v>
      </c>
    </row>
    <row r="45" spans="1:21" x14ac:dyDescent="0.25">
      <c r="A45" s="800">
        <v>90507</v>
      </c>
      <c r="B45" s="801" t="s">
        <v>1220</v>
      </c>
      <c r="C45" s="802">
        <v>7.3000000000000004E-6</v>
      </c>
      <c r="D45" s="802">
        <v>7.7000000000000008E-6</v>
      </c>
      <c r="E45" s="803">
        <v>9534.18</v>
      </c>
      <c r="F45" s="803">
        <v>3456</v>
      </c>
      <c r="G45" s="803">
        <v>15493</v>
      </c>
      <c r="H45" s="803"/>
      <c r="I45" s="804">
        <v>291</v>
      </c>
      <c r="J45" s="804">
        <v>13577</v>
      </c>
      <c r="K45" s="804">
        <v>1061</v>
      </c>
      <c r="L45" s="803">
        <v>8871</v>
      </c>
      <c r="M45" s="803"/>
      <c r="N45" s="804">
        <v>543</v>
      </c>
      <c r="O45" s="804">
        <v>5011</v>
      </c>
      <c r="P45" s="804">
        <v>0</v>
      </c>
      <c r="Q45" s="803">
        <v>0</v>
      </c>
      <c r="R45" s="803"/>
      <c r="S45" s="804">
        <v>4141</v>
      </c>
      <c r="T45" s="805">
        <v>2759</v>
      </c>
      <c r="U45" s="805">
        <v>6900</v>
      </c>
    </row>
    <row r="46" spans="1:21" x14ac:dyDescent="0.25">
      <c r="A46" s="800">
        <v>90511</v>
      </c>
      <c r="B46" s="801" t="s">
        <v>2691</v>
      </c>
      <c r="C46" s="802">
        <v>9.5500000000000004E-5</v>
      </c>
      <c r="D46" s="802">
        <v>9.0699999999999996E-5</v>
      </c>
      <c r="E46" s="803">
        <v>45634.76</v>
      </c>
      <c r="F46" s="803">
        <v>40706</v>
      </c>
      <c r="G46" s="803">
        <v>202683</v>
      </c>
      <c r="H46" s="803"/>
      <c r="I46" s="804">
        <v>3808.0625</v>
      </c>
      <c r="J46" s="804">
        <v>177615</v>
      </c>
      <c r="K46" s="804">
        <v>13882</v>
      </c>
      <c r="L46" s="803">
        <v>15579</v>
      </c>
      <c r="M46" s="803"/>
      <c r="N46" s="804">
        <v>7102</v>
      </c>
      <c r="O46" s="804">
        <v>65557</v>
      </c>
      <c r="P46" s="804">
        <v>0</v>
      </c>
      <c r="Q46" s="803">
        <v>0</v>
      </c>
      <c r="R46" s="803"/>
      <c r="S46" s="804">
        <v>54174</v>
      </c>
      <c r="T46" s="805">
        <v>5418</v>
      </c>
      <c r="U46" s="805">
        <v>59592</v>
      </c>
    </row>
    <row r="47" spans="1:21" x14ac:dyDescent="0.25">
      <c r="A47" s="800">
        <v>90521</v>
      </c>
      <c r="B47" s="801" t="s">
        <v>2692</v>
      </c>
      <c r="C47" s="802">
        <v>1.395E-4</v>
      </c>
      <c r="D47" s="802">
        <v>1.451E-4</v>
      </c>
      <c r="E47" s="803">
        <v>47723.41</v>
      </c>
      <c r="F47" s="803">
        <v>65120</v>
      </c>
      <c r="G47" s="803">
        <v>296066</v>
      </c>
      <c r="H47" s="803"/>
      <c r="I47" s="804">
        <v>5562.5625</v>
      </c>
      <c r="J47" s="804">
        <v>259448</v>
      </c>
      <c r="K47" s="804">
        <v>20278</v>
      </c>
      <c r="L47" s="803">
        <v>0</v>
      </c>
      <c r="M47" s="803"/>
      <c r="N47" s="804">
        <v>10374</v>
      </c>
      <c r="O47" s="804">
        <v>95761</v>
      </c>
      <c r="P47" s="804">
        <v>0</v>
      </c>
      <c r="Q47" s="803">
        <v>17468</v>
      </c>
      <c r="R47" s="803"/>
      <c r="S47" s="804">
        <v>79134</v>
      </c>
      <c r="T47" s="805">
        <v>-5509</v>
      </c>
      <c r="U47" s="805">
        <v>73625</v>
      </c>
    </row>
    <row r="48" spans="1:21" x14ac:dyDescent="0.25">
      <c r="A48" s="800">
        <v>90601</v>
      </c>
      <c r="B48" s="801" t="s">
        <v>2693</v>
      </c>
      <c r="C48" s="802">
        <v>1.1785999999999999E-3</v>
      </c>
      <c r="D48" s="802">
        <v>1.2051E-3</v>
      </c>
      <c r="E48" s="803">
        <v>469146.06</v>
      </c>
      <c r="F48" s="803">
        <v>540842</v>
      </c>
      <c r="G48" s="803">
        <v>2501384</v>
      </c>
      <c r="H48" s="803"/>
      <c r="I48" s="804">
        <v>46997</v>
      </c>
      <c r="J48" s="804">
        <v>2192010</v>
      </c>
      <c r="K48" s="804">
        <v>171322</v>
      </c>
      <c r="L48" s="803">
        <v>32298</v>
      </c>
      <c r="M48" s="803"/>
      <c r="N48" s="804">
        <v>87651</v>
      </c>
      <c r="O48" s="804">
        <v>809059</v>
      </c>
      <c r="P48" s="804">
        <v>0</v>
      </c>
      <c r="Q48" s="803">
        <v>26702</v>
      </c>
      <c r="R48" s="803"/>
      <c r="S48" s="804">
        <v>668583</v>
      </c>
      <c r="T48" s="805">
        <v>7604</v>
      </c>
      <c r="U48" s="805">
        <v>676188</v>
      </c>
    </row>
    <row r="49" spans="1:21" x14ac:dyDescent="0.25">
      <c r="A49" s="800">
        <v>90602</v>
      </c>
      <c r="B49" s="801" t="s">
        <v>2125</v>
      </c>
      <c r="C49" s="802">
        <v>6.3299999999999994E-5</v>
      </c>
      <c r="D49" s="802">
        <v>0</v>
      </c>
      <c r="E49" s="803">
        <v>31566.720000000001</v>
      </c>
      <c r="F49" s="803">
        <v>0</v>
      </c>
      <c r="G49" s="803">
        <v>134344</v>
      </c>
      <c r="H49" s="803"/>
      <c r="I49" s="804">
        <v>2524</v>
      </c>
      <c r="J49" s="804">
        <v>117728</v>
      </c>
      <c r="K49" s="804">
        <v>9201</v>
      </c>
      <c r="L49" s="803">
        <v>46975</v>
      </c>
      <c r="M49" s="803"/>
      <c r="N49" s="804">
        <v>4708</v>
      </c>
      <c r="O49" s="804">
        <v>43453</v>
      </c>
      <c r="P49" s="804">
        <v>0</v>
      </c>
      <c r="Q49" s="803">
        <v>0</v>
      </c>
      <c r="R49" s="803"/>
      <c r="S49" s="804">
        <v>35908</v>
      </c>
      <c r="T49" s="805">
        <v>12962</v>
      </c>
      <c r="U49" s="805">
        <v>48870</v>
      </c>
    </row>
    <row r="50" spans="1:21" x14ac:dyDescent="0.25">
      <c r="A50" s="800">
        <v>90605</v>
      </c>
      <c r="B50" s="801" t="s">
        <v>2694</v>
      </c>
      <c r="C50" s="802">
        <v>3.8399999999999998E-5</v>
      </c>
      <c r="D50" s="802">
        <v>3.6399999999999997E-5</v>
      </c>
      <c r="E50" s="803">
        <v>22332.880000000001</v>
      </c>
      <c r="F50" s="803">
        <v>16336</v>
      </c>
      <c r="G50" s="803">
        <v>81498</v>
      </c>
      <c r="H50" s="803"/>
      <c r="I50" s="804">
        <v>1531</v>
      </c>
      <c r="J50" s="804">
        <v>71418</v>
      </c>
      <c r="K50" s="804">
        <v>5582</v>
      </c>
      <c r="L50" s="803">
        <v>11852</v>
      </c>
      <c r="M50" s="803"/>
      <c r="N50" s="804">
        <v>2856</v>
      </c>
      <c r="O50" s="804">
        <v>26360</v>
      </c>
      <c r="P50" s="804">
        <v>0</v>
      </c>
      <c r="Q50" s="803">
        <v>0</v>
      </c>
      <c r="R50" s="803"/>
      <c r="S50" s="804">
        <v>21783</v>
      </c>
      <c r="T50" s="805">
        <v>3784</v>
      </c>
      <c r="U50" s="805">
        <v>25567</v>
      </c>
    </row>
    <row r="51" spans="1:21" x14ac:dyDescent="0.25">
      <c r="A51" s="800">
        <v>90611</v>
      </c>
      <c r="B51" s="801" t="s">
        <v>2695</v>
      </c>
      <c r="C51" s="802">
        <v>1.5669999999999999E-4</v>
      </c>
      <c r="D51" s="802">
        <v>1.663E-4</v>
      </c>
      <c r="E51" s="803">
        <v>56254</v>
      </c>
      <c r="F51" s="803">
        <v>74634</v>
      </c>
      <c r="G51" s="803">
        <v>332570</v>
      </c>
      <c r="H51" s="803"/>
      <c r="I51" s="804">
        <v>6248</v>
      </c>
      <c r="J51" s="804">
        <v>291437</v>
      </c>
      <c r="K51" s="804">
        <v>22778</v>
      </c>
      <c r="L51" s="803">
        <v>5072.51</v>
      </c>
      <c r="M51" s="803"/>
      <c r="N51" s="804">
        <v>11654</v>
      </c>
      <c r="O51" s="804">
        <v>107568</v>
      </c>
      <c r="P51" s="804">
        <v>0</v>
      </c>
      <c r="Q51" s="803">
        <v>13074</v>
      </c>
      <c r="R51" s="803"/>
      <c r="S51" s="804">
        <v>88891</v>
      </c>
      <c r="T51" s="805">
        <v>-969</v>
      </c>
      <c r="U51" s="805">
        <v>87922</v>
      </c>
    </row>
    <row r="52" spans="1:21" x14ac:dyDescent="0.25">
      <c r="A52" s="800">
        <v>90617</v>
      </c>
      <c r="B52" s="801" t="s">
        <v>2696</v>
      </c>
      <c r="C52" s="802">
        <v>2.6800000000000001E-5</v>
      </c>
      <c r="D52" s="802">
        <v>2.6599999999999999E-5</v>
      </c>
      <c r="E52" s="803">
        <v>14103</v>
      </c>
      <c r="F52" s="803">
        <v>11938</v>
      </c>
      <c r="G52" s="803">
        <v>56879</v>
      </c>
      <c r="H52" s="803"/>
      <c r="I52" s="804">
        <v>1069</v>
      </c>
      <c r="J52" s="804">
        <v>49844</v>
      </c>
      <c r="K52" s="804">
        <v>3896</v>
      </c>
      <c r="L52" s="803">
        <v>8505</v>
      </c>
      <c r="M52" s="803"/>
      <c r="N52" s="804">
        <v>1993</v>
      </c>
      <c r="O52" s="804">
        <v>18397</v>
      </c>
      <c r="P52" s="804">
        <v>0</v>
      </c>
      <c r="Q52" s="803">
        <v>0</v>
      </c>
      <c r="R52" s="803"/>
      <c r="S52" s="804">
        <v>15203</v>
      </c>
      <c r="T52" s="805">
        <v>3445</v>
      </c>
      <c r="U52" s="805">
        <v>18647</v>
      </c>
    </row>
    <row r="53" spans="1:21" x14ac:dyDescent="0.25">
      <c r="A53" s="800">
        <v>90621</v>
      </c>
      <c r="B53" s="801" t="s">
        <v>2697</v>
      </c>
      <c r="C53" s="802">
        <v>8.2100000000000003E-5</v>
      </c>
      <c r="D53" s="802">
        <v>7.9400000000000006E-5</v>
      </c>
      <c r="E53" s="803">
        <v>28252</v>
      </c>
      <c r="F53" s="803">
        <v>35634</v>
      </c>
      <c r="G53" s="803">
        <v>174244</v>
      </c>
      <c r="H53" s="803"/>
      <c r="I53" s="804">
        <v>3274</v>
      </c>
      <c r="J53" s="804">
        <v>152693</v>
      </c>
      <c r="K53" s="804">
        <v>11934</v>
      </c>
      <c r="L53" s="803">
        <v>1182</v>
      </c>
      <c r="M53" s="803"/>
      <c r="N53" s="804">
        <v>6106</v>
      </c>
      <c r="O53" s="804">
        <v>56358</v>
      </c>
      <c r="P53" s="804">
        <v>0</v>
      </c>
      <c r="Q53" s="803">
        <v>7913</v>
      </c>
      <c r="R53" s="803"/>
      <c r="S53" s="804">
        <v>46573</v>
      </c>
      <c r="T53" s="805">
        <v>-1933</v>
      </c>
      <c r="U53" s="805">
        <v>44639</v>
      </c>
    </row>
    <row r="54" spans="1:21" x14ac:dyDescent="0.25">
      <c r="A54" s="800">
        <v>90631</v>
      </c>
      <c r="B54" s="801" t="s">
        <v>2698</v>
      </c>
      <c r="C54" s="802">
        <v>3.8000000000000002E-4</v>
      </c>
      <c r="D54" s="802">
        <v>3.4539999999999999E-4</v>
      </c>
      <c r="E54" s="803">
        <v>153531.72</v>
      </c>
      <c r="F54" s="803">
        <v>155013</v>
      </c>
      <c r="G54" s="803">
        <v>806487.3</v>
      </c>
      <c r="H54" s="803"/>
      <c r="I54" s="804">
        <v>15152.5</v>
      </c>
      <c r="J54" s="804">
        <v>706740</v>
      </c>
      <c r="K54" s="804">
        <v>55237.18</v>
      </c>
      <c r="L54" s="803">
        <v>16567</v>
      </c>
      <c r="M54" s="803"/>
      <c r="N54" s="804">
        <v>28260.22</v>
      </c>
      <c r="O54" s="804">
        <v>260854.04</v>
      </c>
      <c r="P54" s="804">
        <v>0</v>
      </c>
      <c r="Q54" s="803">
        <v>14381</v>
      </c>
      <c r="R54" s="803"/>
      <c r="S54" s="804">
        <v>215562.22</v>
      </c>
      <c r="T54" s="805">
        <v>-1856</v>
      </c>
      <c r="U54" s="805">
        <v>213706</v>
      </c>
    </row>
    <row r="55" spans="1:21" x14ac:dyDescent="0.25">
      <c r="A55" s="800">
        <v>90641</v>
      </c>
      <c r="B55" s="801" t="s">
        <v>2699</v>
      </c>
      <c r="C55" s="802">
        <v>1.4399999999999999E-5</v>
      </c>
      <c r="D55" s="802">
        <v>1.5400000000000002E-5</v>
      </c>
      <c r="E55" s="803">
        <v>5940.04</v>
      </c>
      <c r="F55" s="803">
        <v>6911</v>
      </c>
      <c r="G55" s="803">
        <v>30562</v>
      </c>
      <c r="H55" s="803"/>
      <c r="I55" s="804">
        <v>574</v>
      </c>
      <c r="J55" s="804">
        <v>26782</v>
      </c>
      <c r="K55" s="804">
        <v>2093</v>
      </c>
      <c r="L55" s="803">
        <v>340</v>
      </c>
      <c r="M55" s="803"/>
      <c r="N55" s="804">
        <v>1071</v>
      </c>
      <c r="O55" s="804">
        <v>9885</v>
      </c>
      <c r="P55" s="804">
        <v>0</v>
      </c>
      <c r="Q55" s="803">
        <v>782</v>
      </c>
      <c r="R55" s="803"/>
      <c r="S55" s="804">
        <v>8169</v>
      </c>
      <c r="T55" s="805">
        <v>-144</v>
      </c>
      <c r="U55" s="805">
        <v>8025</v>
      </c>
    </row>
    <row r="56" spans="1:21" x14ac:dyDescent="0.25">
      <c r="A56" s="800">
        <v>90651</v>
      </c>
      <c r="B56" s="801" t="s">
        <v>2700</v>
      </c>
      <c r="C56" s="802">
        <v>1.108E-4</v>
      </c>
      <c r="D56" s="802">
        <v>1.042E-4</v>
      </c>
      <c r="E56" s="803">
        <v>96248</v>
      </c>
      <c r="F56" s="803">
        <v>46764</v>
      </c>
      <c r="G56" s="803">
        <v>235155</v>
      </c>
      <c r="H56" s="803"/>
      <c r="I56" s="804">
        <v>4418</v>
      </c>
      <c r="J56" s="804">
        <v>206070</v>
      </c>
      <c r="K56" s="804">
        <v>16106</v>
      </c>
      <c r="L56" s="803">
        <v>73167</v>
      </c>
      <c r="M56" s="803"/>
      <c r="N56" s="804">
        <v>8240</v>
      </c>
      <c r="O56" s="804">
        <v>76060</v>
      </c>
      <c r="P56" s="804">
        <v>0</v>
      </c>
      <c r="Q56" s="803">
        <v>9364.94</v>
      </c>
      <c r="R56" s="803"/>
      <c r="S56" s="804">
        <v>62853</v>
      </c>
      <c r="T56" s="805">
        <v>17052</v>
      </c>
      <c r="U56" s="805">
        <v>79906</v>
      </c>
    </row>
    <row r="57" spans="1:21" x14ac:dyDescent="0.25">
      <c r="A57" s="800">
        <v>90701</v>
      </c>
      <c r="B57" s="801" t="s">
        <v>2701</v>
      </c>
      <c r="C57" s="802">
        <v>2.3587E-3</v>
      </c>
      <c r="D57" s="802">
        <v>2.3326000000000002E-3</v>
      </c>
      <c r="E57" s="803">
        <v>908617.53</v>
      </c>
      <c r="F57" s="803">
        <v>1046857</v>
      </c>
      <c r="G57" s="803">
        <v>5005952</v>
      </c>
      <c r="H57" s="803"/>
      <c r="I57" s="804">
        <v>94053</v>
      </c>
      <c r="J57" s="804">
        <v>4386809</v>
      </c>
      <c r="K57" s="804">
        <v>342863</v>
      </c>
      <c r="L57" s="803">
        <v>35812.04</v>
      </c>
      <c r="M57" s="803"/>
      <c r="N57" s="804">
        <v>175414</v>
      </c>
      <c r="O57" s="804">
        <v>1619148</v>
      </c>
      <c r="P57" s="804">
        <v>0</v>
      </c>
      <c r="Q57" s="803">
        <v>44222</v>
      </c>
      <c r="R57" s="803"/>
      <c r="S57" s="804">
        <v>1338017</v>
      </c>
      <c r="T57" s="805">
        <v>5621</v>
      </c>
      <c r="U57" s="805">
        <v>1343639</v>
      </c>
    </row>
    <row r="58" spans="1:21" x14ac:dyDescent="0.25">
      <c r="A58" s="800">
        <v>90704</v>
      </c>
      <c r="B58" s="801" t="s">
        <v>2702</v>
      </c>
      <c r="C58" s="802">
        <v>3.4900000000000001E-5</v>
      </c>
      <c r="D58" s="802">
        <v>3.3300000000000003E-5</v>
      </c>
      <c r="E58" s="803">
        <v>22788</v>
      </c>
      <c r="F58" s="803">
        <v>14945</v>
      </c>
      <c r="G58" s="803">
        <v>74069</v>
      </c>
      <c r="H58" s="803"/>
      <c r="I58" s="804">
        <v>1392</v>
      </c>
      <c r="J58" s="804">
        <v>64908</v>
      </c>
      <c r="K58" s="804">
        <v>5073</v>
      </c>
      <c r="L58" s="803">
        <v>13042</v>
      </c>
      <c r="M58" s="803"/>
      <c r="N58" s="804">
        <v>2595</v>
      </c>
      <c r="O58" s="804">
        <v>23957</v>
      </c>
      <c r="P58" s="804">
        <v>0</v>
      </c>
      <c r="Q58" s="803">
        <v>0</v>
      </c>
      <c r="R58" s="803"/>
      <c r="S58" s="804">
        <v>19798</v>
      </c>
      <c r="T58" s="805">
        <v>4197</v>
      </c>
      <c r="U58" s="805">
        <v>23995</v>
      </c>
    </row>
    <row r="59" spans="1:21" x14ac:dyDescent="0.25">
      <c r="A59" s="800">
        <v>90705</v>
      </c>
      <c r="B59" s="801" t="s">
        <v>2703</v>
      </c>
      <c r="C59" s="802">
        <v>3.3899999999999997E-5</v>
      </c>
      <c r="D59" s="802">
        <v>3.0599999999999998E-5</v>
      </c>
      <c r="E59" s="803">
        <v>17670</v>
      </c>
      <c r="F59" s="803">
        <v>13733</v>
      </c>
      <c r="G59" s="803">
        <v>71947</v>
      </c>
      <c r="H59" s="803"/>
      <c r="I59" s="804">
        <v>1352</v>
      </c>
      <c r="J59" s="804">
        <v>63049</v>
      </c>
      <c r="K59" s="804">
        <v>4928</v>
      </c>
      <c r="L59" s="803">
        <v>9785</v>
      </c>
      <c r="M59" s="803"/>
      <c r="N59" s="804">
        <v>2521</v>
      </c>
      <c r="O59" s="804">
        <v>23271</v>
      </c>
      <c r="P59" s="804">
        <v>0</v>
      </c>
      <c r="Q59" s="803">
        <v>0</v>
      </c>
      <c r="R59" s="803"/>
      <c r="S59" s="804">
        <v>19230</v>
      </c>
      <c r="T59" s="805">
        <v>3239</v>
      </c>
      <c r="U59" s="805">
        <v>22470</v>
      </c>
    </row>
    <row r="60" spans="1:21" x14ac:dyDescent="0.25">
      <c r="A60" s="800">
        <v>90709</v>
      </c>
      <c r="B60" s="801" t="s">
        <v>2704</v>
      </c>
      <c r="C60" s="802">
        <v>1.4569999999999999E-4</v>
      </c>
      <c r="D60" s="802">
        <v>2.1790000000000001E-4</v>
      </c>
      <c r="E60" s="803">
        <v>59289.13</v>
      </c>
      <c r="F60" s="803">
        <v>97792</v>
      </c>
      <c r="G60" s="803">
        <v>309224</v>
      </c>
      <c r="H60" s="803"/>
      <c r="I60" s="804">
        <v>5810</v>
      </c>
      <c r="J60" s="804">
        <v>270979</v>
      </c>
      <c r="K60" s="804">
        <v>21179</v>
      </c>
      <c r="L60" s="803">
        <v>10221</v>
      </c>
      <c r="M60" s="803"/>
      <c r="N60" s="804">
        <v>10836</v>
      </c>
      <c r="O60" s="804">
        <v>100017</v>
      </c>
      <c r="P60" s="804">
        <v>0</v>
      </c>
      <c r="Q60" s="803">
        <v>44565</v>
      </c>
      <c r="R60" s="803"/>
      <c r="S60" s="804">
        <v>82651</v>
      </c>
      <c r="T60" s="805">
        <v>-6883</v>
      </c>
      <c r="U60" s="805">
        <v>75769</v>
      </c>
    </row>
    <row r="61" spans="1:21" x14ac:dyDescent="0.25">
      <c r="A61" s="800">
        <v>90711</v>
      </c>
      <c r="B61" s="801" t="s">
        <v>2705</v>
      </c>
      <c r="C61" s="802">
        <v>1.7302000000000001E-3</v>
      </c>
      <c r="D61" s="802">
        <v>1.8802000000000001E-3</v>
      </c>
      <c r="E61" s="803">
        <v>667293.38</v>
      </c>
      <c r="F61" s="803">
        <v>843822</v>
      </c>
      <c r="G61" s="803">
        <v>3672064</v>
      </c>
      <c r="H61" s="803"/>
      <c r="I61" s="804">
        <v>68992</v>
      </c>
      <c r="J61" s="804">
        <v>3217899</v>
      </c>
      <c r="K61" s="804">
        <v>251504</v>
      </c>
      <c r="L61" s="803">
        <v>0</v>
      </c>
      <c r="M61" s="803"/>
      <c r="N61" s="804">
        <v>128673</v>
      </c>
      <c r="O61" s="804">
        <v>1187710</v>
      </c>
      <c r="P61" s="804">
        <v>0</v>
      </c>
      <c r="Q61" s="803">
        <v>193488</v>
      </c>
      <c r="R61" s="803"/>
      <c r="S61" s="804">
        <v>981489</v>
      </c>
      <c r="T61" s="805">
        <v>-61566</v>
      </c>
      <c r="U61" s="805">
        <v>919922</v>
      </c>
    </row>
    <row r="62" spans="1:21" x14ac:dyDescent="0.25">
      <c r="A62" s="800">
        <v>90721</v>
      </c>
      <c r="B62" s="801" t="s">
        <v>2706</v>
      </c>
      <c r="C62" s="802">
        <v>3.7299999999999999E-5</v>
      </c>
      <c r="D62" s="802">
        <v>3.82E-5</v>
      </c>
      <c r="E62" s="803">
        <v>14531.46</v>
      </c>
      <c r="F62" s="803">
        <v>17144</v>
      </c>
      <c r="G62" s="803">
        <v>79163</v>
      </c>
      <c r="H62" s="803"/>
      <c r="I62" s="804">
        <v>1487</v>
      </c>
      <c r="J62" s="804">
        <v>69372</v>
      </c>
      <c r="K62" s="804">
        <v>5422</v>
      </c>
      <c r="L62" s="803">
        <v>5347</v>
      </c>
      <c r="M62" s="803"/>
      <c r="N62" s="804">
        <v>2774</v>
      </c>
      <c r="O62" s="804">
        <v>25605</v>
      </c>
      <c r="P62" s="804">
        <v>0</v>
      </c>
      <c r="Q62" s="803">
        <v>1129</v>
      </c>
      <c r="R62" s="803"/>
      <c r="S62" s="804">
        <v>21159</v>
      </c>
      <c r="T62" s="805">
        <v>2098</v>
      </c>
      <c r="U62" s="805">
        <v>23258</v>
      </c>
    </row>
    <row r="63" spans="1:21" x14ac:dyDescent="0.25">
      <c r="A63" s="800">
        <v>90731</v>
      </c>
      <c r="B63" s="801" t="s">
        <v>2707</v>
      </c>
      <c r="C63" s="802">
        <v>1.917E-4</v>
      </c>
      <c r="D63" s="802">
        <v>1.9459999999999999E-4</v>
      </c>
      <c r="E63" s="803">
        <v>77066</v>
      </c>
      <c r="F63" s="803">
        <v>87335</v>
      </c>
      <c r="G63" s="803">
        <v>406852</v>
      </c>
      <c r="H63" s="803"/>
      <c r="I63" s="804">
        <v>7644</v>
      </c>
      <c r="J63" s="804">
        <v>356532</v>
      </c>
      <c r="K63" s="804">
        <v>27866</v>
      </c>
      <c r="L63" s="803">
        <v>0</v>
      </c>
      <c r="M63" s="803"/>
      <c r="N63" s="804">
        <v>14257</v>
      </c>
      <c r="O63" s="804">
        <v>131594</v>
      </c>
      <c r="P63" s="804">
        <v>0</v>
      </c>
      <c r="Q63" s="803">
        <v>10037</v>
      </c>
      <c r="R63" s="803"/>
      <c r="S63" s="804">
        <v>108745</v>
      </c>
      <c r="T63" s="805">
        <v>-3998</v>
      </c>
      <c r="U63" s="805">
        <v>104747</v>
      </c>
    </row>
    <row r="64" spans="1:21" x14ac:dyDescent="0.25">
      <c r="A64" s="800">
        <v>90741</v>
      </c>
      <c r="B64" s="801" t="s">
        <v>2708</v>
      </c>
      <c r="C64" s="802">
        <v>1.2099999999999999E-5</v>
      </c>
      <c r="D64" s="802">
        <v>1.2799999999999999E-5</v>
      </c>
      <c r="E64" s="803">
        <v>6754</v>
      </c>
      <c r="F64" s="803">
        <v>5745</v>
      </c>
      <c r="G64" s="803">
        <v>25680</v>
      </c>
      <c r="H64" s="803"/>
      <c r="I64" s="804">
        <v>482</v>
      </c>
      <c r="J64" s="804">
        <v>22504</v>
      </c>
      <c r="K64" s="804">
        <v>1759</v>
      </c>
      <c r="L64" s="803">
        <v>3208</v>
      </c>
      <c r="M64" s="803"/>
      <c r="N64" s="804">
        <v>900</v>
      </c>
      <c r="O64" s="804">
        <v>8306</v>
      </c>
      <c r="P64" s="804">
        <v>0</v>
      </c>
      <c r="Q64" s="803">
        <v>1496</v>
      </c>
      <c r="R64" s="803"/>
      <c r="S64" s="804">
        <v>6864</v>
      </c>
      <c r="T64" s="805">
        <v>287</v>
      </c>
      <c r="U64" s="805">
        <v>7151</v>
      </c>
    </row>
    <row r="65" spans="1:21" x14ac:dyDescent="0.25">
      <c r="A65" s="800">
        <v>90751</v>
      </c>
      <c r="B65" s="801" t="s">
        <v>2709</v>
      </c>
      <c r="C65" s="802">
        <v>6.5599999999999995E-5</v>
      </c>
      <c r="D65" s="802">
        <v>6.2000000000000003E-5</v>
      </c>
      <c r="E65" s="803">
        <v>24796.57</v>
      </c>
      <c r="F65" s="803">
        <v>27825</v>
      </c>
      <c r="G65" s="803">
        <v>139225</v>
      </c>
      <c r="H65" s="803"/>
      <c r="I65" s="804">
        <v>2616</v>
      </c>
      <c r="J65" s="804">
        <v>122006</v>
      </c>
      <c r="K65" s="804">
        <v>9536</v>
      </c>
      <c r="L65" s="803">
        <v>8610</v>
      </c>
      <c r="M65" s="803"/>
      <c r="N65" s="804">
        <v>4879</v>
      </c>
      <c r="O65" s="804">
        <v>45032</v>
      </c>
      <c r="P65" s="804">
        <v>0</v>
      </c>
      <c r="Q65" s="803">
        <v>0</v>
      </c>
      <c r="R65" s="803"/>
      <c r="S65" s="804">
        <v>37213</v>
      </c>
      <c r="T65" s="805">
        <v>3670</v>
      </c>
      <c r="U65" s="805">
        <v>40883</v>
      </c>
    </row>
    <row r="66" spans="1:21" x14ac:dyDescent="0.25">
      <c r="A66" s="800">
        <v>90801</v>
      </c>
      <c r="B66" s="801" t="s">
        <v>2710</v>
      </c>
      <c r="C66" s="802">
        <v>1.1404E-3</v>
      </c>
      <c r="D66" s="802">
        <v>1.0472000000000001E-3</v>
      </c>
      <c r="E66" s="803">
        <v>442982.95</v>
      </c>
      <c r="F66" s="803">
        <v>469977</v>
      </c>
      <c r="G66" s="803">
        <v>2420311</v>
      </c>
      <c r="H66" s="803"/>
      <c r="I66" s="804">
        <v>45473.45</v>
      </c>
      <c r="J66" s="804">
        <v>2120964</v>
      </c>
      <c r="K66" s="804">
        <v>165770</v>
      </c>
      <c r="L66" s="803">
        <v>156481</v>
      </c>
      <c r="M66" s="803"/>
      <c r="N66" s="804">
        <v>84810</v>
      </c>
      <c r="O66" s="804">
        <v>782837</v>
      </c>
      <c r="P66" s="804">
        <v>0</v>
      </c>
      <c r="Q66" s="803">
        <v>0</v>
      </c>
      <c r="R66" s="803"/>
      <c r="S66" s="804">
        <v>646914</v>
      </c>
      <c r="T66" s="805">
        <v>53264</v>
      </c>
      <c r="U66" s="805">
        <v>700177</v>
      </c>
    </row>
    <row r="67" spans="1:21" x14ac:dyDescent="0.25">
      <c r="A67" s="800">
        <v>90804</v>
      </c>
      <c r="B67" s="801" t="s">
        <v>2711</v>
      </c>
      <c r="C67" s="802">
        <v>6.0000000000000002E-6</v>
      </c>
      <c r="D67" s="802">
        <v>4.6999999999999999E-6</v>
      </c>
      <c r="E67" s="803">
        <v>2490.12</v>
      </c>
      <c r="F67" s="803">
        <v>2109</v>
      </c>
      <c r="G67" s="803">
        <v>12734.01</v>
      </c>
      <c r="H67" s="803"/>
      <c r="I67" s="804">
        <v>239.25</v>
      </c>
      <c r="J67" s="804">
        <v>11159</v>
      </c>
      <c r="K67" s="804">
        <v>872</v>
      </c>
      <c r="L67" s="803">
        <v>2282</v>
      </c>
      <c r="M67" s="803"/>
      <c r="N67" s="804">
        <v>446</v>
      </c>
      <c r="O67" s="804">
        <v>4119</v>
      </c>
      <c r="P67" s="804">
        <v>0</v>
      </c>
      <c r="Q67" s="803">
        <v>0</v>
      </c>
      <c r="R67" s="803"/>
      <c r="S67" s="804">
        <v>3404</v>
      </c>
      <c r="T67" s="805">
        <v>878</v>
      </c>
      <c r="U67" s="805">
        <v>4282</v>
      </c>
    </row>
    <row r="68" spans="1:21" x14ac:dyDescent="0.25">
      <c r="A68" s="800">
        <v>90805</v>
      </c>
      <c r="B68" s="801" t="s">
        <v>2712</v>
      </c>
      <c r="C68" s="802">
        <v>5.5099999999999998E-5</v>
      </c>
      <c r="D68" s="802">
        <v>5.2800000000000003E-5</v>
      </c>
      <c r="E68" s="803">
        <v>34303</v>
      </c>
      <c r="F68" s="803">
        <v>23696</v>
      </c>
      <c r="G68" s="803">
        <v>116941</v>
      </c>
      <c r="H68" s="803"/>
      <c r="I68" s="804">
        <v>2197</v>
      </c>
      <c r="J68" s="804">
        <v>102477</v>
      </c>
      <c r="K68" s="804">
        <v>8009</v>
      </c>
      <c r="L68" s="803">
        <v>22372</v>
      </c>
      <c r="M68" s="803"/>
      <c r="N68" s="804">
        <v>4098</v>
      </c>
      <c r="O68" s="804">
        <v>37824</v>
      </c>
      <c r="P68" s="804">
        <v>0</v>
      </c>
      <c r="Q68" s="803">
        <v>0</v>
      </c>
      <c r="R68" s="803"/>
      <c r="S68" s="804">
        <v>31257</v>
      </c>
      <c r="T68" s="805">
        <v>7625</v>
      </c>
      <c r="U68" s="805">
        <v>38881</v>
      </c>
    </row>
    <row r="69" spans="1:21" x14ac:dyDescent="0.25">
      <c r="A69" s="800">
        <v>90808</v>
      </c>
      <c r="B69" s="801" t="s">
        <v>2713</v>
      </c>
      <c r="C69" s="802">
        <v>1.109E-4</v>
      </c>
      <c r="D69" s="802">
        <v>1.176E-4</v>
      </c>
      <c r="E69" s="803">
        <v>47437.34</v>
      </c>
      <c r="F69" s="803">
        <v>52778</v>
      </c>
      <c r="G69" s="803">
        <v>235367</v>
      </c>
      <c r="H69" s="803"/>
      <c r="I69" s="804">
        <v>4422</v>
      </c>
      <c r="J69" s="804">
        <v>206256</v>
      </c>
      <c r="K69" s="804">
        <v>16121</v>
      </c>
      <c r="L69" s="803">
        <v>1422</v>
      </c>
      <c r="M69" s="803"/>
      <c r="N69" s="804">
        <v>8248</v>
      </c>
      <c r="O69" s="804">
        <v>76128</v>
      </c>
      <c r="P69" s="804">
        <v>0</v>
      </c>
      <c r="Q69" s="803">
        <v>2972</v>
      </c>
      <c r="R69" s="803"/>
      <c r="S69" s="804">
        <v>62910</v>
      </c>
      <c r="T69" s="805">
        <v>-460</v>
      </c>
      <c r="U69" s="805">
        <v>62451</v>
      </c>
    </row>
    <row r="70" spans="1:21" x14ac:dyDescent="0.25">
      <c r="A70" s="800">
        <v>90811</v>
      </c>
      <c r="B70" s="801" t="s">
        <v>2714</v>
      </c>
      <c r="C70" s="802">
        <v>4.0000000000000003E-5</v>
      </c>
      <c r="D70" s="802">
        <v>3.6199999999999999E-5</v>
      </c>
      <c r="E70" s="803">
        <v>12069.34</v>
      </c>
      <c r="F70" s="803">
        <v>16246</v>
      </c>
      <c r="G70" s="803">
        <v>84893</v>
      </c>
      <c r="H70" s="803"/>
      <c r="I70" s="804">
        <v>1595</v>
      </c>
      <c r="J70" s="804">
        <v>74394</v>
      </c>
      <c r="K70" s="804">
        <v>5814</v>
      </c>
      <c r="L70" s="803">
        <v>947</v>
      </c>
      <c r="M70" s="803"/>
      <c r="N70" s="804">
        <v>2974.76</v>
      </c>
      <c r="O70" s="804">
        <v>27458</v>
      </c>
      <c r="P70" s="804">
        <v>0</v>
      </c>
      <c r="Q70" s="803">
        <v>2175</v>
      </c>
      <c r="R70" s="803"/>
      <c r="S70" s="804">
        <v>22691</v>
      </c>
      <c r="T70" s="805">
        <v>-159</v>
      </c>
      <c r="U70" s="805">
        <v>22531</v>
      </c>
    </row>
    <row r="71" spans="1:21" x14ac:dyDescent="0.25">
      <c r="A71" s="800">
        <v>90812</v>
      </c>
      <c r="B71" s="801" t="s">
        <v>2715</v>
      </c>
      <c r="C71" s="802">
        <v>2.13E-4</v>
      </c>
      <c r="D71" s="802">
        <v>2.409E-4</v>
      </c>
      <c r="E71" s="803">
        <v>88699.09</v>
      </c>
      <c r="F71" s="803">
        <v>108114</v>
      </c>
      <c r="G71" s="803">
        <v>452057</v>
      </c>
      <c r="H71" s="803"/>
      <c r="I71" s="804">
        <v>8493.375</v>
      </c>
      <c r="J71" s="804">
        <v>396146</v>
      </c>
      <c r="K71" s="804">
        <v>30962</v>
      </c>
      <c r="L71" s="803">
        <v>8573</v>
      </c>
      <c r="M71" s="803"/>
      <c r="N71" s="804">
        <v>15841</v>
      </c>
      <c r="O71" s="804">
        <v>146216</v>
      </c>
      <c r="P71" s="804">
        <v>0</v>
      </c>
      <c r="Q71" s="803">
        <v>14237</v>
      </c>
      <c r="R71" s="803"/>
      <c r="S71" s="804">
        <v>120828</v>
      </c>
      <c r="T71" s="805">
        <v>453</v>
      </c>
      <c r="U71" s="805">
        <v>121281</v>
      </c>
    </row>
    <row r="72" spans="1:21" x14ac:dyDescent="0.25">
      <c r="A72" s="800">
        <v>90813</v>
      </c>
      <c r="B72" s="801" t="s">
        <v>2716</v>
      </c>
      <c r="C72" s="802">
        <v>5.4999999999999999E-6</v>
      </c>
      <c r="D72" s="802">
        <v>5.4E-6</v>
      </c>
      <c r="E72" s="803">
        <v>1841</v>
      </c>
      <c r="F72" s="803">
        <v>2423</v>
      </c>
      <c r="G72" s="803">
        <v>11673</v>
      </c>
      <c r="H72" s="803"/>
      <c r="I72" s="804">
        <v>219.3125</v>
      </c>
      <c r="J72" s="804">
        <v>10229</v>
      </c>
      <c r="K72" s="804">
        <v>799</v>
      </c>
      <c r="L72" s="803">
        <v>0</v>
      </c>
      <c r="M72" s="803"/>
      <c r="N72" s="804">
        <v>409</v>
      </c>
      <c r="O72" s="804">
        <v>3776</v>
      </c>
      <c r="P72" s="804">
        <v>0</v>
      </c>
      <c r="Q72" s="803">
        <v>1089</v>
      </c>
      <c r="R72" s="803"/>
      <c r="S72" s="804">
        <v>3120</v>
      </c>
      <c r="T72" s="805">
        <v>-397</v>
      </c>
      <c r="U72" s="805">
        <v>2723</v>
      </c>
    </row>
    <row r="73" spans="1:21" x14ac:dyDescent="0.25">
      <c r="A73" s="800">
        <v>90861</v>
      </c>
      <c r="B73" s="801" t="s">
        <v>2717</v>
      </c>
      <c r="C73" s="802">
        <v>4.7999999999999998E-6</v>
      </c>
      <c r="D73" s="802">
        <v>5.3000000000000001E-6</v>
      </c>
      <c r="E73" s="803">
        <v>3510</v>
      </c>
      <c r="F73" s="803">
        <v>2379</v>
      </c>
      <c r="G73" s="803">
        <v>10187</v>
      </c>
      <c r="H73" s="803"/>
      <c r="I73" s="804">
        <v>191</v>
      </c>
      <c r="J73" s="804">
        <v>8927</v>
      </c>
      <c r="K73" s="804">
        <v>698</v>
      </c>
      <c r="L73" s="803">
        <v>3258</v>
      </c>
      <c r="M73" s="803"/>
      <c r="N73" s="804">
        <v>357</v>
      </c>
      <c r="O73" s="804">
        <v>3295</v>
      </c>
      <c r="P73" s="804">
        <v>0</v>
      </c>
      <c r="Q73" s="803">
        <v>2245</v>
      </c>
      <c r="R73" s="803"/>
      <c r="S73" s="804">
        <v>2723</v>
      </c>
      <c r="T73" s="805">
        <v>-63</v>
      </c>
      <c r="U73" s="805">
        <v>2659</v>
      </c>
    </row>
    <row r="74" spans="1:21" x14ac:dyDescent="0.25">
      <c r="A74" s="800">
        <v>90901</v>
      </c>
      <c r="B74" s="801" t="s">
        <v>2718</v>
      </c>
      <c r="C74" s="802">
        <v>2.1302999999999999E-3</v>
      </c>
      <c r="D74" s="802">
        <v>2.2187000000000001E-3</v>
      </c>
      <c r="E74" s="803">
        <v>886463</v>
      </c>
      <c r="F74" s="803">
        <v>995739</v>
      </c>
      <c r="G74" s="803">
        <v>4521210</v>
      </c>
      <c r="H74" s="803"/>
      <c r="I74" s="804">
        <v>84946</v>
      </c>
      <c r="J74" s="804">
        <v>3962021</v>
      </c>
      <c r="K74" s="804">
        <v>309663</v>
      </c>
      <c r="L74" s="803">
        <v>9118.18</v>
      </c>
      <c r="M74" s="803"/>
      <c r="N74" s="804">
        <v>158428</v>
      </c>
      <c r="O74" s="804">
        <v>1462361</v>
      </c>
      <c r="P74" s="804">
        <v>0</v>
      </c>
      <c r="Q74" s="803">
        <v>53019</v>
      </c>
      <c r="R74" s="803"/>
      <c r="S74" s="804">
        <v>1208453</v>
      </c>
      <c r="T74" s="805">
        <v>-10432</v>
      </c>
      <c r="U74" s="805">
        <v>1198021</v>
      </c>
    </row>
    <row r="75" spans="1:21" x14ac:dyDescent="0.25">
      <c r="A75" s="800">
        <v>90911</v>
      </c>
      <c r="B75" s="801" t="s">
        <v>2719</v>
      </c>
      <c r="C75" s="802">
        <v>3.6010000000000003E-4</v>
      </c>
      <c r="D75" s="802">
        <v>3.6860000000000001E-4</v>
      </c>
      <c r="E75" s="803">
        <v>130625.3</v>
      </c>
      <c r="F75" s="803">
        <v>165425</v>
      </c>
      <c r="G75" s="803">
        <v>764253</v>
      </c>
      <c r="H75" s="803"/>
      <c r="I75" s="804">
        <v>14359</v>
      </c>
      <c r="J75" s="804">
        <v>669729</v>
      </c>
      <c r="K75" s="804">
        <v>52344</v>
      </c>
      <c r="L75" s="803">
        <v>0</v>
      </c>
      <c r="M75" s="803"/>
      <c r="N75" s="804">
        <v>26780</v>
      </c>
      <c r="O75" s="804">
        <v>247194</v>
      </c>
      <c r="P75" s="804">
        <v>0</v>
      </c>
      <c r="Q75" s="803">
        <v>51509</v>
      </c>
      <c r="R75" s="803"/>
      <c r="S75" s="804">
        <v>204274</v>
      </c>
      <c r="T75" s="805">
        <v>-20027</v>
      </c>
      <c r="U75" s="805">
        <v>184246</v>
      </c>
    </row>
    <row r="76" spans="1:21" x14ac:dyDescent="0.25">
      <c r="A76" s="800">
        <v>90917</v>
      </c>
      <c r="B76" s="801" t="s">
        <v>2720</v>
      </c>
      <c r="C76" s="802">
        <v>1.42E-5</v>
      </c>
      <c r="D76" s="802">
        <v>1.01E-5</v>
      </c>
      <c r="E76" s="803">
        <v>5169</v>
      </c>
      <c r="F76" s="803">
        <v>4533</v>
      </c>
      <c r="G76" s="803">
        <v>30137</v>
      </c>
      <c r="H76" s="803"/>
      <c r="I76" s="804">
        <v>566.22500000000002</v>
      </c>
      <c r="J76" s="804">
        <v>26410</v>
      </c>
      <c r="K76" s="804">
        <v>2064</v>
      </c>
      <c r="L76" s="803">
        <v>2014</v>
      </c>
      <c r="M76" s="803"/>
      <c r="N76" s="804">
        <v>1056</v>
      </c>
      <c r="O76" s="804">
        <v>9748</v>
      </c>
      <c r="P76" s="804">
        <v>0</v>
      </c>
      <c r="Q76" s="803">
        <v>881.57</v>
      </c>
      <c r="R76" s="803"/>
      <c r="S76" s="804">
        <v>8055</v>
      </c>
      <c r="T76" s="805">
        <v>110</v>
      </c>
      <c r="U76" s="805">
        <v>8165</v>
      </c>
    </row>
    <row r="77" spans="1:21" x14ac:dyDescent="0.25">
      <c r="A77" s="800">
        <v>90918</v>
      </c>
      <c r="B77" s="801" t="s">
        <v>2721</v>
      </c>
      <c r="C77" s="802">
        <v>1.24E-5</v>
      </c>
      <c r="D77" s="802">
        <v>1.3499999999999999E-5</v>
      </c>
      <c r="E77" s="803">
        <v>4291.66</v>
      </c>
      <c r="F77" s="803">
        <v>6059</v>
      </c>
      <c r="G77" s="803">
        <v>26317</v>
      </c>
      <c r="H77" s="803"/>
      <c r="I77" s="804">
        <v>494.45</v>
      </c>
      <c r="J77" s="804">
        <v>23062</v>
      </c>
      <c r="K77" s="804">
        <v>1802</v>
      </c>
      <c r="L77" s="803">
        <v>0</v>
      </c>
      <c r="M77" s="803"/>
      <c r="N77" s="804">
        <v>922</v>
      </c>
      <c r="O77" s="804">
        <v>8512</v>
      </c>
      <c r="P77" s="804">
        <v>0</v>
      </c>
      <c r="Q77" s="803">
        <v>2531</v>
      </c>
      <c r="R77" s="803"/>
      <c r="S77" s="804">
        <v>7034</v>
      </c>
      <c r="T77" s="805">
        <v>-865</v>
      </c>
      <c r="U77" s="805">
        <v>6169</v>
      </c>
    </row>
    <row r="78" spans="1:21" x14ac:dyDescent="0.25">
      <c r="A78" s="800">
        <v>90921</v>
      </c>
      <c r="B78" s="801" t="s">
        <v>2722</v>
      </c>
      <c r="C78" s="802">
        <v>8.7399999999999997E-5</v>
      </c>
      <c r="D78" s="802">
        <v>1.149E-4</v>
      </c>
      <c r="E78" s="803">
        <v>45670.59</v>
      </c>
      <c r="F78" s="803">
        <v>51566</v>
      </c>
      <c r="G78" s="803">
        <v>185492</v>
      </c>
      <c r="H78" s="803"/>
      <c r="I78" s="804">
        <v>3485</v>
      </c>
      <c r="J78" s="804">
        <v>162550</v>
      </c>
      <c r="K78" s="804">
        <v>12705</v>
      </c>
      <c r="L78" s="803">
        <v>4488</v>
      </c>
      <c r="M78" s="803"/>
      <c r="N78" s="804">
        <v>6500</v>
      </c>
      <c r="O78" s="804">
        <v>59996</v>
      </c>
      <c r="P78" s="804">
        <v>0</v>
      </c>
      <c r="Q78" s="803">
        <v>10576</v>
      </c>
      <c r="R78" s="803"/>
      <c r="S78" s="804">
        <v>49579</v>
      </c>
      <c r="T78" s="805">
        <v>-1977</v>
      </c>
      <c r="U78" s="805">
        <v>47602</v>
      </c>
    </row>
    <row r="79" spans="1:21" x14ac:dyDescent="0.25">
      <c r="A79" s="800">
        <v>90931</v>
      </c>
      <c r="B79" s="801" t="s">
        <v>2723</v>
      </c>
      <c r="C79" s="802">
        <v>5.1900000000000001E-5</v>
      </c>
      <c r="D79" s="802">
        <v>6.2700000000000006E-5</v>
      </c>
      <c r="E79" s="803">
        <v>20869.29</v>
      </c>
      <c r="F79" s="803">
        <v>28139</v>
      </c>
      <c r="G79" s="803">
        <v>110149</v>
      </c>
      <c r="H79" s="803"/>
      <c r="I79" s="804">
        <v>2070</v>
      </c>
      <c r="J79" s="804">
        <v>96526</v>
      </c>
      <c r="K79" s="804">
        <v>7544</v>
      </c>
      <c r="L79" s="803">
        <v>6439</v>
      </c>
      <c r="M79" s="803"/>
      <c r="N79" s="804">
        <v>3860</v>
      </c>
      <c r="O79" s="804">
        <v>35627</v>
      </c>
      <c r="P79" s="804">
        <v>0</v>
      </c>
      <c r="Q79" s="803">
        <v>6227</v>
      </c>
      <c r="R79" s="803"/>
      <c r="S79" s="804">
        <v>29441</v>
      </c>
      <c r="T79" s="805">
        <v>1082</v>
      </c>
      <c r="U79" s="805">
        <v>30524</v>
      </c>
    </row>
    <row r="80" spans="1:21" x14ac:dyDescent="0.25">
      <c r="A80" s="800">
        <v>90941</v>
      </c>
      <c r="B80" s="801" t="s">
        <v>2724</v>
      </c>
      <c r="C80" s="802">
        <v>9.0799999999999998E-5</v>
      </c>
      <c r="D80" s="802">
        <v>8.1199999999999995E-5</v>
      </c>
      <c r="E80" s="803">
        <v>33657.32</v>
      </c>
      <c r="F80" s="803">
        <v>36442</v>
      </c>
      <c r="G80" s="803">
        <v>192708</v>
      </c>
      <c r="H80" s="803"/>
      <c r="I80" s="804">
        <v>3620.65</v>
      </c>
      <c r="J80" s="804">
        <v>168874</v>
      </c>
      <c r="K80" s="804">
        <v>13199</v>
      </c>
      <c r="L80" s="803">
        <v>2275</v>
      </c>
      <c r="M80" s="803"/>
      <c r="N80" s="804">
        <v>6753</v>
      </c>
      <c r="O80" s="804">
        <v>62330</v>
      </c>
      <c r="P80" s="804">
        <v>0</v>
      </c>
      <c r="Q80" s="803">
        <v>7609</v>
      </c>
      <c r="R80" s="803"/>
      <c r="S80" s="804">
        <v>51508</v>
      </c>
      <c r="T80" s="805">
        <v>-2188</v>
      </c>
      <c r="U80" s="805">
        <v>49320</v>
      </c>
    </row>
    <row r="81" spans="1:21" x14ac:dyDescent="0.25">
      <c r="A81" s="800">
        <v>91001</v>
      </c>
      <c r="B81" s="801" t="s">
        <v>2725</v>
      </c>
      <c r="C81" s="802">
        <v>6.6189999999999999E-3</v>
      </c>
      <c r="D81" s="802">
        <v>6.5719999999999997E-3</v>
      </c>
      <c r="E81" s="803">
        <v>2476167.31</v>
      </c>
      <c r="F81" s="803">
        <v>2949474</v>
      </c>
      <c r="G81" s="803">
        <v>14047735</v>
      </c>
      <c r="H81" s="803"/>
      <c r="I81" s="804">
        <v>263933</v>
      </c>
      <c r="J81" s="804">
        <v>12310294</v>
      </c>
      <c r="K81" s="804">
        <v>962144</v>
      </c>
      <c r="L81" s="803">
        <v>72024</v>
      </c>
      <c r="M81" s="803"/>
      <c r="N81" s="804">
        <v>492248</v>
      </c>
      <c r="O81" s="804">
        <v>4543666</v>
      </c>
      <c r="P81" s="804">
        <v>0</v>
      </c>
      <c r="Q81" s="803">
        <v>203248</v>
      </c>
      <c r="R81" s="803"/>
      <c r="S81" s="804">
        <v>3754754</v>
      </c>
      <c r="T81" s="805">
        <v>-19657</v>
      </c>
      <c r="U81" s="805">
        <v>3735096</v>
      </c>
    </row>
    <row r="82" spans="1:21" x14ac:dyDescent="0.25">
      <c r="A82" s="800">
        <v>91002</v>
      </c>
      <c r="B82" s="801" t="s">
        <v>2726</v>
      </c>
      <c r="C82" s="802">
        <v>5.6360000000000004E-4</v>
      </c>
      <c r="D82" s="802">
        <v>5.8929999999999996E-4</v>
      </c>
      <c r="E82" s="803">
        <v>198213.95</v>
      </c>
      <c r="F82" s="803">
        <v>264474</v>
      </c>
      <c r="G82" s="803">
        <v>1196148</v>
      </c>
      <c r="H82" s="803"/>
      <c r="I82" s="804">
        <v>22474</v>
      </c>
      <c r="J82" s="804">
        <v>1048207</v>
      </c>
      <c r="K82" s="804">
        <v>81925</v>
      </c>
      <c r="L82" s="803">
        <v>5287.43</v>
      </c>
      <c r="M82" s="803"/>
      <c r="N82" s="804">
        <v>41914</v>
      </c>
      <c r="O82" s="804">
        <v>386888</v>
      </c>
      <c r="P82" s="804">
        <v>0</v>
      </c>
      <c r="Q82" s="803">
        <v>69296</v>
      </c>
      <c r="R82" s="803"/>
      <c r="S82" s="804">
        <v>319713</v>
      </c>
      <c r="T82" s="805">
        <v>-18039</v>
      </c>
      <c r="U82" s="805">
        <v>301674</v>
      </c>
    </row>
    <row r="83" spans="1:21" x14ac:dyDescent="0.25">
      <c r="A83" s="800">
        <v>91003</v>
      </c>
      <c r="B83" s="801" t="s">
        <v>2727</v>
      </c>
      <c r="C83" s="802">
        <v>5.6550000000000003E-4</v>
      </c>
      <c r="D83" s="802">
        <v>6.4320000000000002E-4</v>
      </c>
      <c r="E83" s="803">
        <v>237083</v>
      </c>
      <c r="F83" s="803">
        <v>288664</v>
      </c>
      <c r="G83" s="803">
        <v>1200180</v>
      </c>
      <c r="H83" s="803"/>
      <c r="I83" s="804">
        <v>22549.3125</v>
      </c>
      <c r="J83" s="804">
        <v>1051741</v>
      </c>
      <c r="K83" s="804">
        <v>82202</v>
      </c>
      <c r="L83" s="803">
        <v>33107</v>
      </c>
      <c r="M83" s="803"/>
      <c r="N83" s="804">
        <v>42056</v>
      </c>
      <c r="O83" s="804">
        <v>388192</v>
      </c>
      <c r="P83" s="804">
        <v>0</v>
      </c>
      <c r="Q83" s="803">
        <v>38498</v>
      </c>
      <c r="R83" s="803"/>
      <c r="S83" s="804">
        <v>320791</v>
      </c>
      <c r="T83" s="805">
        <v>4893</v>
      </c>
      <c r="U83" s="805">
        <v>325683</v>
      </c>
    </row>
    <row r="84" spans="1:21" x14ac:dyDescent="0.25">
      <c r="A84" s="800">
        <v>91004</v>
      </c>
      <c r="B84" s="801" t="s">
        <v>2728</v>
      </c>
      <c r="C84" s="802">
        <v>1.7499999999999998E-5</v>
      </c>
      <c r="D84" s="802">
        <v>1.8199999999999999E-5</v>
      </c>
      <c r="E84" s="803">
        <v>9480</v>
      </c>
      <c r="F84" s="803">
        <v>8168</v>
      </c>
      <c r="G84" s="803">
        <v>37141</v>
      </c>
      <c r="H84" s="803"/>
      <c r="I84" s="804">
        <v>698</v>
      </c>
      <c r="J84" s="804">
        <v>32547</v>
      </c>
      <c r="K84" s="804">
        <v>2544</v>
      </c>
      <c r="L84" s="803">
        <v>7859</v>
      </c>
      <c r="M84" s="803"/>
      <c r="N84" s="804">
        <v>1301.4575</v>
      </c>
      <c r="O84" s="804">
        <v>12013</v>
      </c>
      <c r="P84" s="804">
        <v>0</v>
      </c>
      <c r="Q84" s="803">
        <v>217</v>
      </c>
      <c r="R84" s="803"/>
      <c r="S84" s="804">
        <v>9927</v>
      </c>
      <c r="T84" s="805">
        <v>2541</v>
      </c>
      <c r="U84" s="805">
        <v>12468</v>
      </c>
    </row>
    <row r="85" spans="1:21" x14ac:dyDescent="0.25">
      <c r="A85" s="800">
        <v>91006</v>
      </c>
      <c r="B85" s="801" t="s">
        <v>2729</v>
      </c>
      <c r="C85" s="802">
        <v>1.0096E-3</v>
      </c>
      <c r="D85" s="802">
        <v>1.0097000000000001E-3</v>
      </c>
      <c r="E85" s="803">
        <v>387783</v>
      </c>
      <c r="F85" s="803">
        <v>453147</v>
      </c>
      <c r="G85" s="803">
        <v>2142709</v>
      </c>
      <c r="H85" s="803"/>
      <c r="I85" s="804">
        <v>40258</v>
      </c>
      <c r="J85" s="804">
        <v>1877696</v>
      </c>
      <c r="K85" s="804">
        <v>146756</v>
      </c>
      <c r="L85" s="803">
        <v>28780</v>
      </c>
      <c r="M85" s="803"/>
      <c r="N85" s="804">
        <v>75083</v>
      </c>
      <c r="O85" s="804">
        <v>693048</v>
      </c>
      <c r="P85" s="804">
        <v>0</v>
      </c>
      <c r="Q85" s="803">
        <v>21822</v>
      </c>
      <c r="R85" s="803"/>
      <c r="S85" s="804">
        <v>572715</v>
      </c>
      <c r="T85" s="805">
        <v>4927</v>
      </c>
      <c r="U85" s="805">
        <v>577642</v>
      </c>
    </row>
    <row r="86" spans="1:21" x14ac:dyDescent="0.25">
      <c r="A86" s="800">
        <v>91007</v>
      </c>
      <c r="B86" s="801" t="s">
        <v>2730</v>
      </c>
      <c r="C86" s="802">
        <v>1.2500000000000001E-5</v>
      </c>
      <c r="D86" s="802">
        <v>9.5999999999999996E-6</v>
      </c>
      <c r="E86" s="803">
        <v>10106.58</v>
      </c>
      <c r="F86" s="803">
        <v>4308</v>
      </c>
      <c r="G86" s="803">
        <v>26529.1875</v>
      </c>
      <c r="H86" s="803"/>
      <c r="I86" s="804">
        <v>498.4375</v>
      </c>
      <c r="J86" s="804">
        <v>23248</v>
      </c>
      <c r="K86" s="804">
        <v>1817</v>
      </c>
      <c r="L86" s="803">
        <v>7512</v>
      </c>
      <c r="M86" s="803"/>
      <c r="N86" s="804">
        <v>930</v>
      </c>
      <c r="O86" s="804">
        <v>8581</v>
      </c>
      <c r="P86" s="804">
        <v>0</v>
      </c>
      <c r="Q86" s="803">
        <v>1019</v>
      </c>
      <c r="R86" s="803"/>
      <c r="S86" s="804">
        <v>7091</v>
      </c>
      <c r="T86" s="805">
        <v>1625</v>
      </c>
      <c r="U86" s="805">
        <v>8716</v>
      </c>
    </row>
    <row r="87" spans="1:21" x14ac:dyDescent="0.25">
      <c r="A87" s="800">
        <v>91008</v>
      </c>
      <c r="B87" s="801" t="s">
        <v>2731</v>
      </c>
      <c r="C87" s="802">
        <v>1.273E-4</v>
      </c>
      <c r="D87" s="802">
        <v>1.1629999999999999E-4</v>
      </c>
      <c r="E87" s="803">
        <v>64143</v>
      </c>
      <c r="F87" s="803">
        <v>52195</v>
      </c>
      <c r="G87" s="803">
        <v>270173</v>
      </c>
      <c r="H87" s="803"/>
      <c r="I87" s="804">
        <v>5076</v>
      </c>
      <c r="J87" s="804">
        <v>236758</v>
      </c>
      <c r="K87" s="804">
        <v>18504</v>
      </c>
      <c r="L87" s="803">
        <v>45460</v>
      </c>
      <c r="M87" s="803"/>
      <c r="N87" s="804">
        <v>9467</v>
      </c>
      <c r="O87" s="804">
        <v>87386</v>
      </c>
      <c r="P87" s="804">
        <v>0</v>
      </c>
      <c r="Q87" s="803">
        <v>0</v>
      </c>
      <c r="R87" s="803"/>
      <c r="S87" s="804">
        <v>72213</v>
      </c>
      <c r="T87" s="805">
        <v>15722</v>
      </c>
      <c r="U87" s="805">
        <v>87935</v>
      </c>
    </row>
    <row r="88" spans="1:21" x14ac:dyDescent="0.25">
      <c r="A88" s="800">
        <v>91009</v>
      </c>
      <c r="B88" s="801" t="s">
        <v>2732</v>
      </c>
      <c r="C88" s="802">
        <v>1.8700000000000001E-5</v>
      </c>
      <c r="D88" s="802">
        <v>1.5099999999999999E-5</v>
      </c>
      <c r="E88" s="803">
        <v>10450.36</v>
      </c>
      <c r="F88" s="803">
        <v>6777</v>
      </c>
      <c r="G88" s="803">
        <v>39688</v>
      </c>
      <c r="H88" s="803"/>
      <c r="I88" s="804">
        <v>745.66250000000002</v>
      </c>
      <c r="J88" s="804">
        <v>34779</v>
      </c>
      <c r="K88" s="804">
        <v>2718</v>
      </c>
      <c r="L88" s="803">
        <v>4142</v>
      </c>
      <c r="M88" s="803"/>
      <c r="N88" s="804">
        <v>1391</v>
      </c>
      <c r="O88" s="804">
        <v>12837</v>
      </c>
      <c r="P88" s="804">
        <v>0</v>
      </c>
      <c r="Q88" s="803">
        <v>3815</v>
      </c>
      <c r="R88" s="803"/>
      <c r="S88" s="804">
        <v>10608</v>
      </c>
      <c r="T88" s="805">
        <v>-284</v>
      </c>
      <c r="U88" s="805">
        <v>10324</v>
      </c>
    </row>
    <row r="89" spans="1:21" x14ac:dyDescent="0.25">
      <c r="A89" s="800">
        <v>91010</v>
      </c>
      <c r="B89" s="801" t="s">
        <v>2733</v>
      </c>
      <c r="C89" s="802">
        <v>6.8399999999999996E-5</v>
      </c>
      <c r="D89" s="802">
        <v>7.08E-5</v>
      </c>
      <c r="E89" s="803">
        <v>29262</v>
      </c>
      <c r="F89" s="803">
        <v>31775</v>
      </c>
      <c r="G89" s="803">
        <v>145168</v>
      </c>
      <c r="H89" s="803"/>
      <c r="I89" s="804">
        <v>2727.45</v>
      </c>
      <c r="J89" s="804">
        <v>127213</v>
      </c>
      <c r="K89" s="804">
        <v>9943</v>
      </c>
      <c r="L89" s="803">
        <v>10683</v>
      </c>
      <c r="M89" s="803"/>
      <c r="N89" s="804">
        <v>5087</v>
      </c>
      <c r="O89" s="804">
        <v>46954</v>
      </c>
      <c r="P89" s="804">
        <v>0</v>
      </c>
      <c r="Q89" s="803">
        <v>400</v>
      </c>
      <c r="R89" s="803"/>
      <c r="S89" s="804">
        <v>38801</v>
      </c>
      <c r="T89" s="805">
        <v>4384</v>
      </c>
      <c r="U89" s="805">
        <v>43185</v>
      </c>
    </row>
    <row r="90" spans="1:21" x14ac:dyDescent="0.25">
      <c r="A90" s="800">
        <v>91011</v>
      </c>
      <c r="B90" s="801" t="s">
        <v>2734</v>
      </c>
      <c r="C90" s="802">
        <v>3.1789999999999998E-4</v>
      </c>
      <c r="D90" s="802">
        <v>3.0249999999999998E-4</v>
      </c>
      <c r="E90" s="803">
        <v>134881.49</v>
      </c>
      <c r="F90" s="803">
        <v>135760</v>
      </c>
      <c r="G90" s="803">
        <v>674690</v>
      </c>
      <c r="H90" s="803"/>
      <c r="I90" s="804">
        <v>12676</v>
      </c>
      <c r="J90" s="804">
        <v>591244</v>
      </c>
      <c r="K90" s="804">
        <v>46210</v>
      </c>
      <c r="L90" s="803">
        <v>30818</v>
      </c>
      <c r="M90" s="803"/>
      <c r="N90" s="804">
        <v>23642</v>
      </c>
      <c r="O90" s="804">
        <v>218225</v>
      </c>
      <c r="P90" s="804">
        <v>0</v>
      </c>
      <c r="Q90" s="803">
        <v>0</v>
      </c>
      <c r="R90" s="803"/>
      <c r="S90" s="804">
        <v>180335</v>
      </c>
      <c r="T90" s="805">
        <v>10335</v>
      </c>
      <c r="U90" s="805">
        <v>190670</v>
      </c>
    </row>
    <row r="91" spans="1:21" x14ac:dyDescent="0.25">
      <c r="A91" s="800">
        <v>91012</v>
      </c>
      <c r="B91" s="801" t="s">
        <v>2735</v>
      </c>
      <c r="C91" s="802">
        <v>1.49E-5</v>
      </c>
      <c r="D91" s="802">
        <v>1.08E-5</v>
      </c>
      <c r="E91" s="803">
        <v>7817.43</v>
      </c>
      <c r="F91" s="803">
        <v>4847</v>
      </c>
      <c r="G91" s="803">
        <v>31623</v>
      </c>
      <c r="H91" s="803"/>
      <c r="I91" s="804">
        <v>594</v>
      </c>
      <c r="J91" s="804">
        <v>27712</v>
      </c>
      <c r="K91" s="804">
        <v>2166</v>
      </c>
      <c r="L91" s="803">
        <v>3563</v>
      </c>
      <c r="M91" s="803"/>
      <c r="N91" s="804">
        <v>1108</v>
      </c>
      <c r="O91" s="804">
        <v>10228</v>
      </c>
      <c r="P91" s="804">
        <v>0</v>
      </c>
      <c r="Q91" s="803">
        <v>4733</v>
      </c>
      <c r="R91" s="803"/>
      <c r="S91" s="804">
        <v>8452</v>
      </c>
      <c r="T91" s="805">
        <v>-1352</v>
      </c>
      <c r="U91" s="805">
        <v>7100</v>
      </c>
    </row>
    <row r="92" spans="1:21" x14ac:dyDescent="0.25">
      <c r="A92" s="800">
        <v>91013</v>
      </c>
      <c r="B92" s="801" t="s">
        <v>2736</v>
      </c>
      <c r="C92" s="802">
        <v>2.1800000000000001E-5</v>
      </c>
      <c r="D92" s="802">
        <v>0</v>
      </c>
      <c r="E92" s="803">
        <v>20992.21</v>
      </c>
      <c r="F92" s="803">
        <v>0</v>
      </c>
      <c r="G92" s="803">
        <v>46267</v>
      </c>
      <c r="H92" s="803"/>
      <c r="I92" s="804">
        <v>869</v>
      </c>
      <c r="J92" s="804">
        <v>40545</v>
      </c>
      <c r="K92" s="804">
        <v>3169</v>
      </c>
      <c r="L92" s="803">
        <v>21362</v>
      </c>
      <c r="M92" s="803"/>
      <c r="N92" s="804">
        <v>1621</v>
      </c>
      <c r="O92" s="804">
        <v>14965</v>
      </c>
      <c r="P92" s="804">
        <v>0</v>
      </c>
      <c r="Q92" s="803">
        <v>0</v>
      </c>
      <c r="R92" s="803"/>
      <c r="S92" s="804">
        <v>12366</v>
      </c>
      <c r="T92" s="805">
        <v>5534</v>
      </c>
      <c r="U92" s="805">
        <v>17901</v>
      </c>
    </row>
    <row r="93" spans="1:21" x14ac:dyDescent="0.25">
      <c r="A93" s="800">
        <v>91014</v>
      </c>
      <c r="B93" s="801" t="s">
        <v>2737</v>
      </c>
      <c r="C93" s="802">
        <v>2.1499999999999999E-4</v>
      </c>
      <c r="D93" s="802">
        <v>2.241E-4</v>
      </c>
      <c r="E93" s="803">
        <v>84391.47</v>
      </c>
      <c r="F93" s="803">
        <v>100575</v>
      </c>
      <c r="G93" s="803">
        <v>456302</v>
      </c>
      <c r="H93" s="803"/>
      <c r="I93" s="804">
        <v>8573.125</v>
      </c>
      <c r="J93" s="804">
        <v>399866</v>
      </c>
      <c r="K93" s="804">
        <v>31253</v>
      </c>
      <c r="L93" s="803">
        <v>0</v>
      </c>
      <c r="M93" s="803"/>
      <c r="N93" s="804">
        <v>15989</v>
      </c>
      <c r="O93" s="804">
        <v>147588.47</v>
      </c>
      <c r="P93" s="804">
        <v>0</v>
      </c>
      <c r="Q93" s="803">
        <v>17744</v>
      </c>
      <c r="R93" s="803"/>
      <c r="S93" s="804">
        <v>121963</v>
      </c>
      <c r="T93" s="805">
        <v>-6457</v>
      </c>
      <c r="U93" s="805">
        <v>115506</v>
      </c>
    </row>
    <row r="94" spans="1:21" x14ac:dyDescent="0.25">
      <c r="A94" s="800">
        <v>91017</v>
      </c>
      <c r="B94" s="801" t="s">
        <v>2738</v>
      </c>
      <c r="C94" s="802">
        <v>2.3E-5</v>
      </c>
      <c r="D94" s="802">
        <v>1.01E-5</v>
      </c>
      <c r="E94" s="803">
        <v>10837.78</v>
      </c>
      <c r="F94" s="803">
        <v>4533</v>
      </c>
      <c r="G94" s="803">
        <v>48814</v>
      </c>
      <c r="H94" s="803"/>
      <c r="I94" s="804">
        <v>917.125</v>
      </c>
      <c r="J94" s="804">
        <v>42776</v>
      </c>
      <c r="K94" s="804">
        <v>3343</v>
      </c>
      <c r="L94" s="803">
        <v>11872</v>
      </c>
      <c r="M94" s="803"/>
      <c r="N94" s="804">
        <v>1710</v>
      </c>
      <c r="O94" s="804">
        <v>15789</v>
      </c>
      <c r="P94" s="804">
        <v>0</v>
      </c>
      <c r="Q94" s="803">
        <v>0</v>
      </c>
      <c r="R94" s="803"/>
      <c r="S94" s="804">
        <v>13047</v>
      </c>
      <c r="T94" s="805">
        <v>3546</v>
      </c>
      <c r="U94" s="805">
        <v>16593</v>
      </c>
    </row>
    <row r="95" spans="1:21" x14ac:dyDescent="0.25">
      <c r="A95" s="800">
        <v>91020</v>
      </c>
      <c r="B95" s="801" t="s">
        <v>2739</v>
      </c>
      <c r="C95" s="802">
        <v>1.9899999999999999E-5</v>
      </c>
      <c r="D95" s="802">
        <v>1.7E-5</v>
      </c>
      <c r="E95" s="803">
        <v>8500.07</v>
      </c>
      <c r="F95" s="803">
        <v>7629</v>
      </c>
      <c r="G95" s="803">
        <v>42234</v>
      </c>
      <c r="H95" s="803"/>
      <c r="I95" s="804">
        <v>794</v>
      </c>
      <c r="J95" s="804">
        <v>37011</v>
      </c>
      <c r="K95" s="804">
        <v>2893</v>
      </c>
      <c r="L95" s="803">
        <v>2656</v>
      </c>
      <c r="M95" s="803"/>
      <c r="N95" s="804">
        <v>1480</v>
      </c>
      <c r="O95" s="804">
        <v>13661</v>
      </c>
      <c r="P95" s="804">
        <v>0</v>
      </c>
      <c r="Q95" s="803">
        <v>582</v>
      </c>
      <c r="R95" s="803"/>
      <c r="S95" s="804">
        <v>11289</v>
      </c>
      <c r="T95" s="805">
        <v>685</v>
      </c>
      <c r="U95" s="805">
        <v>11973</v>
      </c>
    </row>
    <row r="96" spans="1:21" x14ac:dyDescent="0.25">
      <c r="A96" s="800">
        <v>91021</v>
      </c>
      <c r="B96" s="801" t="s">
        <v>2740</v>
      </c>
      <c r="C96" s="802">
        <v>8.6989999999999995E-4</v>
      </c>
      <c r="D96" s="802">
        <v>9.4979999999999999E-4</v>
      </c>
      <c r="E96" s="803">
        <v>366474.75</v>
      </c>
      <c r="F96" s="803">
        <v>426265</v>
      </c>
      <c r="G96" s="803">
        <v>1846219</v>
      </c>
      <c r="H96" s="803"/>
      <c r="I96" s="804">
        <v>34687</v>
      </c>
      <c r="J96" s="804">
        <v>1617877</v>
      </c>
      <c r="K96" s="804">
        <v>126450</v>
      </c>
      <c r="L96" s="803">
        <v>0</v>
      </c>
      <c r="M96" s="803"/>
      <c r="N96" s="804">
        <v>64694</v>
      </c>
      <c r="O96" s="804">
        <v>597150</v>
      </c>
      <c r="P96" s="804">
        <v>0</v>
      </c>
      <c r="Q96" s="803">
        <v>117733</v>
      </c>
      <c r="R96" s="803"/>
      <c r="S96" s="804">
        <v>493467</v>
      </c>
      <c r="T96" s="805">
        <v>-45954</v>
      </c>
      <c r="U96" s="805">
        <v>447513</v>
      </c>
    </row>
    <row r="97" spans="1:21" x14ac:dyDescent="0.25">
      <c r="A97" s="800">
        <v>91024</v>
      </c>
      <c r="B97" s="801" t="s">
        <v>2741</v>
      </c>
      <c r="C97" s="802">
        <v>6.6299999999999999E-5</v>
      </c>
      <c r="D97" s="802">
        <v>4.3800000000000001E-5</v>
      </c>
      <c r="E97" s="803">
        <v>26295.57</v>
      </c>
      <c r="F97" s="803">
        <v>19657</v>
      </c>
      <c r="G97" s="803">
        <v>140711</v>
      </c>
      <c r="H97" s="803"/>
      <c r="I97" s="804">
        <v>2644</v>
      </c>
      <c r="J97" s="804">
        <v>123308</v>
      </c>
      <c r="K97" s="804">
        <v>9637</v>
      </c>
      <c r="L97" s="803">
        <v>28363</v>
      </c>
      <c r="M97" s="803"/>
      <c r="N97" s="804">
        <v>4931</v>
      </c>
      <c r="O97" s="804">
        <v>45512</v>
      </c>
      <c r="P97" s="804">
        <v>0</v>
      </c>
      <c r="Q97" s="803">
        <v>0</v>
      </c>
      <c r="R97" s="803"/>
      <c r="S97" s="804">
        <v>37610</v>
      </c>
      <c r="T97" s="805">
        <v>9531</v>
      </c>
      <c r="U97" s="805">
        <v>47141</v>
      </c>
    </row>
    <row r="98" spans="1:21" x14ac:dyDescent="0.25">
      <c r="A98" s="800">
        <v>91026</v>
      </c>
      <c r="B98" s="801" t="s">
        <v>1269</v>
      </c>
      <c r="C98" s="802">
        <v>6.0900000000000003E-5</v>
      </c>
      <c r="D98" s="802">
        <v>5.4700000000000001E-5</v>
      </c>
      <c r="E98" s="803">
        <v>45660</v>
      </c>
      <c r="F98" s="803">
        <v>24549</v>
      </c>
      <c r="G98" s="803">
        <v>129250</v>
      </c>
      <c r="H98" s="803"/>
      <c r="I98" s="804">
        <v>2428</v>
      </c>
      <c r="J98" s="804">
        <v>113264</v>
      </c>
      <c r="K98" s="804">
        <v>8852</v>
      </c>
      <c r="L98" s="803">
        <v>43564</v>
      </c>
      <c r="M98" s="803"/>
      <c r="N98" s="804">
        <v>4529</v>
      </c>
      <c r="O98" s="804">
        <v>41805</v>
      </c>
      <c r="P98" s="804">
        <v>0</v>
      </c>
      <c r="Q98" s="803">
        <v>6237</v>
      </c>
      <c r="R98" s="803"/>
      <c r="S98" s="804">
        <v>34547</v>
      </c>
      <c r="T98" s="805">
        <v>10429</v>
      </c>
      <c r="U98" s="805">
        <v>44976</v>
      </c>
    </row>
    <row r="99" spans="1:21" x14ac:dyDescent="0.25">
      <c r="A99" s="800">
        <v>91027</v>
      </c>
      <c r="B99" s="801" t="s">
        <v>2742</v>
      </c>
      <c r="C99" s="802">
        <v>1.6099999999999998E-5</v>
      </c>
      <c r="D99" s="802">
        <v>1.6099999999999998E-5</v>
      </c>
      <c r="E99" s="803">
        <v>15581</v>
      </c>
      <c r="F99" s="803">
        <v>7226</v>
      </c>
      <c r="G99" s="803">
        <v>34170</v>
      </c>
      <c r="H99" s="803"/>
      <c r="I99" s="804">
        <v>642</v>
      </c>
      <c r="J99" s="804">
        <v>29943</v>
      </c>
      <c r="K99" s="804">
        <v>2340</v>
      </c>
      <c r="L99" s="803">
        <v>15162</v>
      </c>
      <c r="M99" s="803"/>
      <c r="N99" s="804">
        <v>1197</v>
      </c>
      <c r="O99" s="804">
        <v>11052</v>
      </c>
      <c r="P99" s="804">
        <v>0</v>
      </c>
      <c r="Q99" s="803">
        <v>0</v>
      </c>
      <c r="R99" s="803"/>
      <c r="S99" s="804">
        <v>9133</v>
      </c>
      <c r="T99" s="805">
        <v>5044</v>
      </c>
      <c r="U99" s="805">
        <v>14177</v>
      </c>
    </row>
    <row r="100" spans="1:21" x14ac:dyDescent="0.25">
      <c r="A100" s="800">
        <v>91032</v>
      </c>
      <c r="B100" s="801" t="s">
        <v>2743</v>
      </c>
      <c r="C100" s="802">
        <v>1.8600000000000001E-5</v>
      </c>
      <c r="D100" s="802">
        <v>2.12E-5</v>
      </c>
      <c r="E100" s="803">
        <v>14204.55</v>
      </c>
      <c r="F100" s="803">
        <v>9514</v>
      </c>
      <c r="G100" s="803">
        <v>39475</v>
      </c>
      <c r="H100" s="803"/>
      <c r="I100" s="804">
        <v>742</v>
      </c>
      <c r="J100" s="804">
        <v>34593</v>
      </c>
      <c r="K100" s="804">
        <v>2704</v>
      </c>
      <c r="L100" s="803">
        <v>14052</v>
      </c>
      <c r="M100" s="803"/>
      <c r="N100" s="804">
        <v>1383</v>
      </c>
      <c r="O100" s="804">
        <v>12768</v>
      </c>
      <c r="P100" s="804">
        <v>0</v>
      </c>
      <c r="Q100" s="803">
        <v>0</v>
      </c>
      <c r="R100" s="803"/>
      <c r="S100" s="804">
        <v>10551</v>
      </c>
      <c r="T100" s="805">
        <v>4978</v>
      </c>
      <c r="U100" s="805">
        <v>15529</v>
      </c>
    </row>
    <row r="101" spans="1:21" x14ac:dyDescent="0.25">
      <c r="A101" s="800">
        <v>91041</v>
      </c>
      <c r="B101" s="801" t="s">
        <v>2744</v>
      </c>
      <c r="C101" s="802">
        <v>4.3609999999999998E-4</v>
      </c>
      <c r="D101" s="802">
        <v>4.8910000000000002E-4</v>
      </c>
      <c r="E101" s="803">
        <v>143841.5</v>
      </c>
      <c r="F101" s="803">
        <v>219505</v>
      </c>
      <c r="G101" s="803">
        <v>925550</v>
      </c>
      <c r="H101" s="803"/>
      <c r="I101" s="804">
        <v>17389</v>
      </c>
      <c r="J101" s="804">
        <v>811077</v>
      </c>
      <c r="K101" s="804">
        <v>63392</v>
      </c>
      <c r="L101" s="803">
        <v>0</v>
      </c>
      <c r="M101" s="803"/>
      <c r="N101" s="804">
        <v>32432</v>
      </c>
      <c r="O101" s="804">
        <v>299364</v>
      </c>
      <c r="P101" s="804">
        <v>0</v>
      </c>
      <c r="Q101" s="803">
        <v>93669</v>
      </c>
      <c r="R101" s="803"/>
      <c r="S101" s="804">
        <v>247386</v>
      </c>
      <c r="T101" s="805">
        <v>-28115</v>
      </c>
      <c r="U101" s="805">
        <v>219271</v>
      </c>
    </row>
    <row r="102" spans="1:21" x14ac:dyDescent="0.25">
      <c r="A102" s="800">
        <v>91042</v>
      </c>
      <c r="B102" s="801" t="s">
        <v>2745</v>
      </c>
      <c r="C102" s="802">
        <v>2.062E-4</v>
      </c>
      <c r="D102" s="802">
        <v>2.1579999999999999E-4</v>
      </c>
      <c r="E102" s="803">
        <v>79476</v>
      </c>
      <c r="F102" s="803">
        <v>96850</v>
      </c>
      <c r="G102" s="803">
        <v>437625</v>
      </c>
      <c r="H102" s="803"/>
      <c r="I102" s="804">
        <v>8222</v>
      </c>
      <c r="J102" s="804">
        <v>383499</v>
      </c>
      <c r="K102" s="804">
        <v>29973</v>
      </c>
      <c r="L102" s="803">
        <v>241</v>
      </c>
      <c r="M102" s="803"/>
      <c r="N102" s="804">
        <v>15335</v>
      </c>
      <c r="O102" s="804">
        <v>141548</v>
      </c>
      <c r="P102" s="804">
        <v>0</v>
      </c>
      <c r="Q102" s="803">
        <v>9427</v>
      </c>
      <c r="R102" s="803"/>
      <c r="S102" s="804">
        <v>116971</v>
      </c>
      <c r="T102" s="805">
        <v>-2338</v>
      </c>
      <c r="U102" s="805">
        <v>114633</v>
      </c>
    </row>
    <row r="103" spans="1:21" x14ac:dyDescent="0.25">
      <c r="A103" s="800">
        <v>91047</v>
      </c>
      <c r="B103" s="801" t="s">
        <v>2746</v>
      </c>
      <c r="C103" s="802">
        <v>1.3200000000000001E-5</v>
      </c>
      <c r="D103" s="802">
        <v>1.29E-5</v>
      </c>
      <c r="E103" s="803">
        <v>17711.78</v>
      </c>
      <c r="F103" s="803">
        <v>5789</v>
      </c>
      <c r="G103" s="803">
        <v>28015</v>
      </c>
      <c r="H103" s="803"/>
      <c r="I103" s="804">
        <v>526.35</v>
      </c>
      <c r="J103" s="804">
        <v>24550</v>
      </c>
      <c r="K103" s="804">
        <v>1919</v>
      </c>
      <c r="L103" s="803">
        <v>17767</v>
      </c>
      <c r="M103" s="803"/>
      <c r="N103" s="804">
        <v>982</v>
      </c>
      <c r="O103" s="804">
        <v>9061</v>
      </c>
      <c r="P103" s="804">
        <v>0</v>
      </c>
      <c r="Q103" s="803">
        <v>0</v>
      </c>
      <c r="R103" s="803"/>
      <c r="S103" s="804">
        <v>7488</v>
      </c>
      <c r="T103" s="805">
        <v>5499</v>
      </c>
      <c r="U103" s="805">
        <v>12987</v>
      </c>
    </row>
    <row r="104" spans="1:21" x14ac:dyDescent="0.25">
      <c r="A104" s="800">
        <v>91051</v>
      </c>
      <c r="B104" s="801" t="s">
        <v>2747</v>
      </c>
      <c r="C104" s="802">
        <v>7.6600000000000005E-5</v>
      </c>
      <c r="D104" s="802">
        <v>8.14E-5</v>
      </c>
      <c r="E104" s="803">
        <v>31833</v>
      </c>
      <c r="F104" s="803">
        <v>36532</v>
      </c>
      <c r="G104" s="803">
        <v>162571</v>
      </c>
      <c r="H104" s="803"/>
      <c r="I104" s="804">
        <v>3054</v>
      </c>
      <c r="J104" s="804">
        <v>142464</v>
      </c>
      <c r="K104" s="804">
        <v>11135</v>
      </c>
      <c r="L104" s="803">
        <v>2509</v>
      </c>
      <c r="M104" s="803"/>
      <c r="N104" s="804">
        <v>5697</v>
      </c>
      <c r="O104" s="804">
        <v>52583</v>
      </c>
      <c r="P104" s="804">
        <v>0</v>
      </c>
      <c r="Q104" s="803">
        <v>2829</v>
      </c>
      <c r="R104" s="803"/>
      <c r="S104" s="804">
        <v>43453</v>
      </c>
      <c r="T104" s="805">
        <v>37</v>
      </c>
      <c r="U104" s="805">
        <v>43490</v>
      </c>
    </row>
    <row r="105" spans="1:21" x14ac:dyDescent="0.25">
      <c r="A105" s="800">
        <v>91057</v>
      </c>
      <c r="B105" s="801" t="s">
        <v>2748</v>
      </c>
      <c r="C105" s="802">
        <v>1.5E-5</v>
      </c>
      <c r="D105" s="802">
        <v>1.49E-5</v>
      </c>
      <c r="E105" s="803">
        <v>9524.76</v>
      </c>
      <c r="F105" s="803">
        <v>6687</v>
      </c>
      <c r="G105" s="803">
        <v>31835</v>
      </c>
      <c r="H105" s="803"/>
      <c r="I105" s="804">
        <v>598.125</v>
      </c>
      <c r="J105" s="804">
        <v>27897.63</v>
      </c>
      <c r="K105" s="804">
        <v>2180.415</v>
      </c>
      <c r="L105" s="803">
        <v>5494</v>
      </c>
      <c r="M105" s="803"/>
      <c r="N105" s="804">
        <v>1116</v>
      </c>
      <c r="O105" s="804">
        <v>10297</v>
      </c>
      <c r="P105" s="804">
        <v>0</v>
      </c>
      <c r="Q105" s="803">
        <v>0</v>
      </c>
      <c r="R105" s="803"/>
      <c r="S105" s="804">
        <v>8509</v>
      </c>
      <c r="T105" s="805">
        <v>1691</v>
      </c>
      <c r="U105" s="805">
        <v>10200</v>
      </c>
    </row>
    <row r="106" spans="1:21" x14ac:dyDescent="0.25">
      <c r="A106" s="800">
        <v>91061</v>
      </c>
      <c r="B106" s="801" t="s">
        <v>2749</v>
      </c>
      <c r="C106" s="802">
        <v>3.7730000000000001E-4</v>
      </c>
      <c r="D106" s="802">
        <v>3.322E-4</v>
      </c>
      <c r="E106" s="803">
        <v>141049.84</v>
      </c>
      <c r="F106" s="803">
        <v>149089</v>
      </c>
      <c r="G106" s="803">
        <v>800757</v>
      </c>
      <c r="H106" s="803"/>
      <c r="I106" s="804">
        <v>15045</v>
      </c>
      <c r="J106" s="804">
        <v>701718</v>
      </c>
      <c r="K106" s="804">
        <v>54845</v>
      </c>
      <c r="L106" s="803">
        <v>13223</v>
      </c>
      <c r="M106" s="803"/>
      <c r="N106" s="804">
        <v>28059</v>
      </c>
      <c r="O106" s="804">
        <v>259001</v>
      </c>
      <c r="P106" s="804">
        <v>0</v>
      </c>
      <c r="Q106" s="803">
        <v>46977</v>
      </c>
      <c r="R106" s="803"/>
      <c r="S106" s="804">
        <v>214031</v>
      </c>
      <c r="T106" s="805">
        <v>-15751</v>
      </c>
      <c r="U106" s="805">
        <v>198279</v>
      </c>
    </row>
    <row r="107" spans="1:21" x14ac:dyDescent="0.25">
      <c r="A107" s="800">
        <v>91067</v>
      </c>
      <c r="B107" s="801" t="s">
        <v>2750</v>
      </c>
      <c r="C107" s="802">
        <v>1.8499999999999999E-5</v>
      </c>
      <c r="D107" s="802">
        <v>1.7099999999999999E-5</v>
      </c>
      <c r="E107" s="803">
        <v>8476</v>
      </c>
      <c r="F107" s="803">
        <v>7674</v>
      </c>
      <c r="G107" s="803">
        <v>39263</v>
      </c>
      <c r="H107" s="803"/>
      <c r="I107" s="804">
        <v>737.6875</v>
      </c>
      <c r="J107" s="804">
        <v>34407</v>
      </c>
      <c r="K107" s="804">
        <v>2689</v>
      </c>
      <c r="L107" s="803">
        <v>3670</v>
      </c>
      <c r="M107" s="803"/>
      <c r="N107" s="804">
        <v>1376</v>
      </c>
      <c r="O107" s="804">
        <v>12699</v>
      </c>
      <c r="P107" s="804">
        <v>0</v>
      </c>
      <c r="Q107" s="803">
        <v>0</v>
      </c>
      <c r="R107" s="803"/>
      <c r="S107" s="804">
        <v>10494</v>
      </c>
      <c r="T107" s="805">
        <v>1258</v>
      </c>
      <c r="U107" s="805">
        <v>11752</v>
      </c>
    </row>
    <row r="108" spans="1:21" x14ac:dyDescent="0.25">
      <c r="A108" s="800">
        <v>91071</v>
      </c>
      <c r="B108" s="801" t="s">
        <v>2751</v>
      </c>
      <c r="C108" s="802">
        <v>2.4379999999999999E-4</v>
      </c>
      <c r="D108" s="802">
        <v>2.321E-4</v>
      </c>
      <c r="E108" s="803">
        <v>89648</v>
      </c>
      <c r="F108" s="803">
        <v>104165</v>
      </c>
      <c r="G108" s="803">
        <v>517425</v>
      </c>
      <c r="H108" s="803"/>
      <c r="I108" s="804">
        <v>9722</v>
      </c>
      <c r="J108" s="804">
        <v>453429</v>
      </c>
      <c r="K108" s="804">
        <v>35439</v>
      </c>
      <c r="L108" s="803">
        <v>16829.43</v>
      </c>
      <c r="M108" s="803"/>
      <c r="N108" s="804">
        <v>18131</v>
      </c>
      <c r="O108" s="804">
        <v>167358</v>
      </c>
      <c r="P108" s="804">
        <v>0</v>
      </c>
      <c r="Q108" s="803">
        <v>3799</v>
      </c>
      <c r="R108" s="803"/>
      <c r="S108" s="804">
        <v>138300</v>
      </c>
      <c r="T108" s="805">
        <v>7310</v>
      </c>
      <c r="U108" s="805">
        <v>145610</v>
      </c>
    </row>
    <row r="109" spans="1:21" x14ac:dyDescent="0.25">
      <c r="A109" s="800">
        <v>91077</v>
      </c>
      <c r="B109" s="801" t="s">
        <v>2752</v>
      </c>
      <c r="C109" s="802">
        <v>3.9999999999999998E-6</v>
      </c>
      <c r="D109" s="802">
        <v>4.7999999999999998E-6</v>
      </c>
      <c r="E109" s="803">
        <v>2964.42</v>
      </c>
      <c r="F109" s="803">
        <v>2154</v>
      </c>
      <c r="G109" s="803">
        <v>8489.34</v>
      </c>
      <c r="H109" s="803"/>
      <c r="I109" s="804">
        <v>159.5</v>
      </c>
      <c r="J109" s="804">
        <v>7439</v>
      </c>
      <c r="K109" s="804">
        <v>581</v>
      </c>
      <c r="L109" s="803">
        <v>1140</v>
      </c>
      <c r="M109" s="803"/>
      <c r="N109" s="804">
        <v>297</v>
      </c>
      <c r="O109" s="804">
        <v>2746</v>
      </c>
      <c r="P109" s="804">
        <v>0</v>
      </c>
      <c r="Q109" s="803">
        <v>103</v>
      </c>
      <c r="R109" s="803"/>
      <c r="S109" s="804">
        <v>2269</v>
      </c>
      <c r="T109" s="805">
        <v>294</v>
      </c>
      <c r="U109" s="805">
        <v>2563</v>
      </c>
    </row>
    <row r="110" spans="1:21" x14ac:dyDescent="0.25">
      <c r="A110" s="800">
        <v>91081</v>
      </c>
      <c r="B110" s="801" t="s">
        <v>2753</v>
      </c>
      <c r="C110" s="802">
        <v>3.6499999999999998E-4</v>
      </c>
      <c r="D110" s="802">
        <v>3.5750000000000002E-4</v>
      </c>
      <c r="E110" s="803">
        <v>146436</v>
      </c>
      <c r="F110" s="803">
        <v>160444</v>
      </c>
      <c r="G110" s="803">
        <v>774652</v>
      </c>
      <c r="H110" s="803"/>
      <c r="I110" s="804">
        <v>14554.375</v>
      </c>
      <c r="J110" s="804">
        <v>678842.33</v>
      </c>
      <c r="K110" s="804">
        <v>53057</v>
      </c>
      <c r="L110" s="803">
        <v>1642</v>
      </c>
      <c r="M110" s="803"/>
      <c r="N110" s="804">
        <v>27145</v>
      </c>
      <c r="O110" s="804">
        <v>250557</v>
      </c>
      <c r="P110" s="804">
        <v>0</v>
      </c>
      <c r="Q110" s="803">
        <v>27235</v>
      </c>
      <c r="R110" s="803"/>
      <c r="S110" s="804">
        <v>207053</v>
      </c>
      <c r="T110" s="805">
        <v>-13214</v>
      </c>
      <c r="U110" s="805">
        <v>193840</v>
      </c>
    </row>
    <row r="111" spans="1:21" x14ac:dyDescent="0.25">
      <c r="A111" s="800">
        <v>91091</v>
      </c>
      <c r="B111" s="801" t="s">
        <v>2754</v>
      </c>
      <c r="C111" s="802">
        <v>5.6380000000000004E-4</v>
      </c>
      <c r="D111" s="802">
        <v>5.3359999999999996E-4</v>
      </c>
      <c r="E111" s="803">
        <v>203382.8</v>
      </c>
      <c r="F111" s="803">
        <v>239476</v>
      </c>
      <c r="G111" s="803">
        <v>1196572</v>
      </c>
      <c r="H111" s="803"/>
      <c r="I111" s="804">
        <v>22482</v>
      </c>
      <c r="J111" s="804">
        <v>1048579</v>
      </c>
      <c r="K111" s="804">
        <v>81955</v>
      </c>
      <c r="L111" s="803">
        <v>0</v>
      </c>
      <c r="M111" s="803"/>
      <c r="N111" s="804">
        <v>41929</v>
      </c>
      <c r="O111" s="804">
        <v>387025</v>
      </c>
      <c r="P111" s="804">
        <v>0</v>
      </c>
      <c r="Q111" s="803">
        <v>54149</v>
      </c>
      <c r="R111" s="803"/>
      <c r="S111" s="804">
        <v>319826</v>
      </c>
      <c r="T111" s="805">
        <v>-22256</v>
      </c>
      <c r="U111" s="805">
        <v>297571</v>
      </c>
    </row>
    <row r="112" spans="1:21" x14ac:dyDescent="0.25">
      <c r="A112" s="800">
        <v>91101</v>
      </c>
      <c r="B112" s="801" t="s">
        <v>2755</v>
      </c>
      <c r="C112" s="802">
        <v>1.36685E-2</v>
      </c>
      <c r="D112" s="802">
        <v>1.3700499999999999E-2</v>
      </c>
      <c r="E112" s="803">
        <v>5218349</v>
      </c>
      <c r="F112" s="803">
        <v>6148702</v>
      </c>
      <c r="G112" s="803">
        <v>29009136</v>
      </c>
      <c r="H112" s="803"/>
      <c r="I112" s="804">
        <v>545031</v>
      </c>
      <c r="J112" s="804">
        <v>25421250</v>
      </c>
      <c r="K112" s="804">
        <v>1986867</v>
      </c>
      <c r="L112" s="803">
        <v>791280</v>
      </c>
      <c r="M112" s="803"/>
      <c r="N112" s="804">
        <v>1016513</v>
      </c>
      <c r="O112" s="804">
        <v>9382851</v>
      </c>
      <c r="P112" s="804">
        <v>0</v>
      </c>
      <c r="Q112" s="803">
        <v>337196</v>
      </c>
      <c r="R112" s="803"/>
      <c r="S112" s="804">
        <v>7753716</v>
      </c>
      <c r="T112" s="805">
        <v>232315</v>
      </c>
      <c r="U112" s="805">
        <v>7986031</v>
      </c>
    </row>
    <row r="113" spans="1:21" x14ac:dyDescent="0.25">
      <c r="A113" s="800">
        <v>91102</v>
      </c>
      <c r="B113" s="801" t="s">
        <v>2756</v>
      </c>
      <c r="C113" s="802">
        <v>3.034E-4</v>
      </c>
      <c r="D113" s="802">
        <v>2.834E-4</v>
      </c>
      <c r="E113" s="803">
        <v>133771</v>
      </c>
      <c r="F113" s="803">
        <v>127188</v>
      </c>
      <c r="G113" s="803">
        <v>643916</v>
      </c>
      <c r="H113" s="803"/>
      <c r="I113" s="804">
        <v>12098</v>
      </c>
      <c r="J113" s="804">
        <v>564276</v>
      </c>
      <c r="K113" s="804">
        <v>44103</v>
      </c>
      <c r="L113" s="803">
        <v>18534</v>
      </c>
      <c r="M113" s="803"/>
      <c r="N113" s="804">
        <v>22564</v>
      </c>
      <c r="O113" s="804">
        <v>208271</v>
      </c>
      <c r="P113" s="804">
        <v>0</v>
      </c>
      <c r="Q113" s="803">
        <v>52648</v>
      </c>
      <c r="R113" s="803"/>
      <c r="S113" s="804">
        <v>172109</v>
      </c>
      <c r="T113" s="805">
        <v>-13734</v>
      </c>
      <c r="U113" s="805">
        <v>158376</v>
      </c>
    </row>
    <row r="114" spans="1:21" x14ac:dyDescent="0.25">
      <c r="A114" s="800">
        <v>91104</v>
      </c>
      <c r="B114" s="801" t="s">
        <v>2757</v>
      </c>
      <c r="C114" s="802">
        <v>8.1999999999999994E-6</v>
      </c>
      <c r="D114" s="802">
        <v>9.2E-6</v>
      </c>
      <c r="E114" s="803">
        <v>5034.29</v>
      </c>
      <c r="F114" s="803">
        <v>4129</v>
      </c>
      <c r="G114" s="803">
        <v>17403</v>
      </c>
      <c r="H114" s="803"/>
      <c r="I114" s="804">
        <v>327</v>
      </c>
      <c r="J114" s="804">
        <v>15251</v>
      </c>
      <c r="K114" s="804">
        <v>1192</v>
      </c>
      <c r="L114" s="803">
        <v>993</v>
      </c>
      <c r="M114" s="803"/>
      <c r="N114" s="804">
        <v>610</v>
      </c>
      <c r="O114" s="804">
        <v>5629</v>
      </c>
      <c r="P114" s="804">
        <v>0</v>
      </c>
      <c r="Q114" s="803">
        <v>78</v>
      </c>
      <c r="R114" s="803"/>
      <c r="S114" s="804">
        <v>4652</v>
      </c>
      <c r="T114" s="805">
        <v>239</v>
      </c>
      <c r="U114" s="805">
        <v>4890</v>
      </c>
    </row>
    <row r="115" spans="1:21" x14ac:dyDescent="0.25">
      <c r="A115" s="800">
        <v>91107</v>
      </c>
      <c r="B115" s="801" t="s">
        <v>2758</v>
      </c>
      <c r="C115" s="802">
        <v>6.7899999999999997E-5</v>
      </c>
      <c r="D115" s="802">
        <v>6.3999999999999997E-5</v>
      </c>
      <c r="E115" s="803">
        <v>34872.559999999998</v>
      </c>
      <c r="F115" s="803">
        <v>28723</v>
      </c>
      <c r="G115" s="803">
        <v>144107</v>
      </c>
      <c r="H115" s="803"/>
      <c r="I115" s="804">
        <v>2708</v>
      </c>
      <c r="J115" s="804">
        <v>126283</v>
      </c>
      <c r="K115" s="804">
        <v>9870</v>
      </c>
      <c r="L115" s="803">
        <v>11761</v>
      </c>
      <c r="M115" s="803"/>
      <c r="N115" s="804">
        <v>5050</v>
      </c>
      <c r="O115" s="804">
        <v>46610</v>
      </c>
      <c r="P115" s="804">
        <v>0</v>
      </c>
      <c r="Q115" s="803">
        <v>0</v>
      </c>
      <c r="R115" s="803"/>
      <c r="S115" s="804">
        <v>38518</v>
      </c>
      <c r="T115" s="805">
        <v>3853</v>
      </c>
      <c r="U115" s="805">
        <v>42371</v>
      </c>
    </row>
    <row r="116" spans="1:21" x14ac:dyDescent="0.25">
      <c r="A116" s="800">
        <v>91108</v>
      </c>
      <c r="B116" s="801" t="s">
        <v>2759</v>
      </c>
      <c r="C116" s="802">
        <v>1.2622E-3</v>
      </c>
      <c r="D116" s="802">
        <v>1.2565E-3</v>
      </c>
      <c r="E116" s="803">
        <v>552346.72</v>
      </c>
      <c r="F116" s="803">
        <v>563910</v>
      </c>
      <c r="G116" s="803">
        <v>2678811</v>
      </c>
      <c r="H116" s="803"/>
      <c r="I116" s="804">
        <v>50330</v>
      </c>
      <c r="J116" s="804">
        <v>2347493</v>
      </c>
      <c r="K116" s="804">
        <v>183475</v>
      </c>
      <c r="L116" s="803">
        <v>83626</v>
      </c>
      <c r="M116" s="803"/>
      <c r="N116" s="804">
        <v>93869</v>
      </c>
      <c r="O116" s="804">
        <v>866447</v>
      </c>
      <c r="P116" s="804">
        <v>0</v>
      </c>
      <c r="Q116" s="803">
        <v>0</v>
      </c>
      <c r="R116" s="803"/>
      <c r="S116" s="804">
        <v>716007</v>
      </c>
      <c r="T116" s="805">
        <v>29649</v>
      </c>
      <c r="U116" s="805">
        <v>745656</v>
      </c>
    </row>
    <row r="117" spans="1:21" x14ac:dyDescent="0.25">
      <c r="A117" s="800">
        <v>91109</v>
      </c>
      <c r="B117" s="801" t="s">
        <v>2760</v>
      </c>
      <c r="C117" s="802">
        <v>9.2100000000000003E-5</v>
      </c>
      <c r="D117" s="802">
        <v>9.6600000000000003E-5</v>
      </c>
      <c r="E117" s="803">
        <v>40330</v>
      </c>
      <c r="F117" s="803">
        <v>43354</v>
      </c>
      <c r="G117" s="803">
        <v>195467</v>
      </c>
      <c r="H117" s="803"/>
      <c r="I117" s="804">
        <v>3672</v>
      </c>
      <c r="J117" s="804">
        <v>171291</v>
      </c>
      <c r="K117" s="804">
        <v>13388</v>
      </c>
      <c r="L117" s="803">
        <v>2200</v>
      </c>
      <c r="M117" s="803"/>
      <c r="N117" s="804">
        <v>6849</v>
      </c>
      <c r="O117" s="804">
        <v>63223</v>
      </c>
      <c r="P117" s="804">
        <v>0</v>
      </c>
      <c r="Q117" s="803">
        <v>1611</v>
      </c>
      <c r="R117" s="803"/>
      <c r="S117" s="804">
        <v>52245</v>
      </c>
      <c r="T117" s="805">
        <v>89</v>
      </c>
      <c r="U117" s="805">
        <v>52335</v>
      </c>
    </row>
    <row r="118" spans="1:21" x14ac:dyDescent="0.25">
      <c r="A118" s="800">
        <v>91111</v>
      </c>
      <c r="B118" s="801" t="s">
        <v>2761</v>
      </c>
      <c r="C118" s="802">
        <v>2.2359999999999999E-4</v>
      </c>
      <c r="D118" s="802">
        <v>2.2049999999999999E-4</v>
      </c>
      <c r="E118" s="803">
        <v>98685</v>
      </c>
      <c r="F118" s="803">
        <v>98959</v>
      </c>
      <c r="G118" s="803">
        <v>474554</v>
      </c>
      <c r="H118" s="803"/>
      <c r="I118" s="804">
        <v>8916</v>
      </c>
      <c r="J118" s="804">
        <v>415861</v>
      </c>
      <c r="K118" s="804">
        <v>32503</v>
      </c>
      <c r="L118" s="803">
        <v>26669</v>
      </c>
      <c r="M118" s="803"/>
      <c r="N118" s="804">
        <v>16629</v>
      </c>
      <c r="O118" s="804">
        <v>153492</v>
      </c>
      <c r="P118" s="804">
        <v>0</v>
      </c>
      <c r="Q118" s="803">
        <v>0</v>
      </c>
      <c r="R118" s="803"/>
      <c r="S118" s="804">
        <v>126841</v>
      </c>
      <c r="T118" s="805">
        <v>8870</v>
      </c>
      <c r="U118" s="805">
        <v>135711</v>
      </c>
    </row>
    <row r="119" spans="1:21" x14ac:dyDescent="0.25">
      <c r="A119" s="800">
        <v>91119</v>
      </c>
      <c r="B119" s="801" t="s">
        <v>1289</v>
      </c>
      <c r="C119" s="802">
        <v>0</v>
      </c>
      <c r="D119" s="802">
        <v>0</v>
      </c>
      <c r="E119" s="803">
        <v>0</v>
      </c>
      <c r="F119" s="803">
        <v>0</v>
      </c>
      <c r="G119" s="803">
        <v>0</v>
      </c>
      <c r="H119" s="803"/>
      <c r="I119" s="804">
        <v>0</v>
      </c>
      <c r="J119" s="804">
        <v>0</v>
      </c>
      <c r="K119" s="804">
        <v>0</v>
      </c>
      <c r="L119" s="803">
        <v>0</v>
      </c>
      <c r="M119" s="803"/>
      <c r="N119" s="804">
        <v>0</v>
      </c>
      <c r="O119" s="804">
        <v>0</v>
      </c>
      <c r="P119" s="804">
        <v>0</v>
      </c>
      <c r="Q119" s="803">
        <v>645424.66</v>
      </c>
      <c r="R119" s="803"/>
      <c r="S119" s="804">
        <v>0</v>
      </c>
      <c r="T119" s="805">
        <v>-324334</v>
      </c>
      <c r="U119" s="805">
        <v>-324334</v>
      </c>
    </row>
    <row r="120" spans="1:21" x14ac:dyDescent="0.25">
      <c r="A120" s="800">
        <v>91120</v>
      </c>
      <c r="B120" s="801" t="s">
        <v>2762</v>
      </c>
      <c r="C120" s="802">
        <v>1.184E-4</v>
      </c>
      <c r="D120" s="802">
        <v>1.161E-4</v>
      </c>
      <c r="E120" s="803">
        <v>42592.1</v>
      </c>
      <c r="F120" s="803">
        <v>52105</v>
      </c>
      <c r="G120" s="803">
        <v>251284</v>
      </c>
      <c r="H120" s="803"/>
      <c r="I120" s="804">
        <v>4721.2</v>
      </c>
      <c r="J120" s="804">
        <v>220205</v>
      </c>
      <c r="K120" s="804">
        <v>17211</v>
      </c>
      <c r="L120" s="803">
        <v>0</v>
      </c>
      <c r="M120" s="803"/>
      <c r="N120" s="804">
        <v>8805</v>
      </c>
      <c r="O120" s="804">
        <v>81277</v>
      </c>
      <c r="P120" s="804">
        <v>0</v>
      </c>
      <c r="Q120" s="803">
        <v>29635</v>
      </c>
      <c r="R120" s="803"/>
      <c r="S120" s="804">
        <v>67165</v>
      </c>
      <c r="T120" s="805">
        <v>-11244</v>
      </c>
      <c r="U120" s="805">
        <v>55921</v>
      </c>
    </row>
    <row r="121" spans="1:21" x14ac:dyDescent="0.25">
      <c r="A121" s="800">
        <v>91121</v>
      </c>
      <c r="B121" s="801" t="s">
        <v>2763</v>
      </c>
      <c r="C121" s="802">
        <v>9.7842999999999992E-3</v>
      </c>
      <c r="D121" s="802">
        <v>1.0167600000000001E-2</v>
      </c>
      <c r="E121" s="803">
        <v>3705845</v>
      </c>
      <c r="F121" s="803">
        <v>4563158</v>
      </c>
      <c r="G121" s="803">
        <v>20765562</v>
      </c>
      <c r="H121" s="803"/>
      <c r="I121" s="804">
        <v>390149</v>
      </c>
      <c r="J121" s="804">
        <v>18197252</v>
      </c>
      <c r="K121" s="804">
        <v>1422256</v>
      </c>
      <c r="L121" s="803">
        <v>0</v>
      </c>
      <c r="M121" s="803"/>
      <c r="N121" s="804">
        <v>727649</v>
      </c>
      <c r="O121" s="804">
        <v>6716511</v>
      </c>
      <c r="P121" s="804">
        <v>0</v>
      </c>
      <c r="Q121" s="803">
        <v>834506</v>
      </c>
      <c r="R121" s="803"/>
      <c r="S121" s="804">
        <v>5550330</v>
      </c>
      <c r="T121" s="805">
        <v>-296106</v>
      </c>
      <c r="U121" s="805">
        <v>5254224</v>
      </c>
    </row>
    <row r="122" spans="1:21" x14ac:dyDescent="0.25">
      <c r="A122" s="800">
        <v>91127</v>
      </c>
      <c r="B122" s="801" t="s">
        <v>2764</v>
      </c>
      <c r="C122" s="802">
        <v>2.8229999999999998E-4</v>
      </c>
      <c r="D122" s="802">
        <v>2.7680000000000001E-4</v>
      </c>
      <c r="E122" s="803">
        <v>136473</v>
      </c>
      <c r="F122" s="803">
        <v>124226</v>
      </c>
      <c r="G122" s="803">
        <v>599135</v>
      </c>
      <c r="H122" s="803"/>
      <c r="I122" s="804">
        <v>11257</v>
      </c>
      <c r="J122" s="804">
        <v>525033</v>
      </c>
      <c r="K122" s="804">
        <v>41035</v>
      </c>
      <c r="L122" s="803">
        <v>59704</v>
      </c>
      <c r="M122" s="803"/>
      <c r="N122" s="804">
        <v>20994</v>
      </c>
      <c r="O122" s="804">
        <v>193787</v>
      </c>
      <c r="P122" s="804">
        <v>0</v>
      </c>
      <c r="Q122" s="803">
        <v>0</v>
      </c>
      <c r="R122" s="803"/>
      <c r="S122" s="804">
        <v>160140</v>
      </c>
      <c r="T122" s="805">
        <v>22617</v>
      </c>
      <c r="U122" s="805">
        <v>182757</v>
      </c>
    </row>
    <row r="123" spans="1:21" x14ac:dyDescent="0.25">
      <c r="A123" s="800">
        <v>91128</v>
      </c>
      <c r="B123" s="801" t="s">
        <v>2765</v>
      </c>
      <c r="C123" s="802">
        <v>5.0929999999999997E-4</v>
      </c>
      <c r="D123" s="802">
        <v>5.042E-4</v>
      </c>
      <c r="E123" s="803">
        <v>208474</v>
      </c>
      <c r="F123" s="803">
        <v>226282</v>
      </c>
      <c r="G123" s="803">
        <v>1080905</v>
      </c>
      <c r="H123" s="803"/>
      <c r="I123" s="804">
        <v>20308</v>
      </c>
      <c r="J123" s="804">
        <v>947218</v>
      </c>
      <c r="K123" s="804">
        <v>74032</v>
      </c>
      <c r="L123" s="803">
        <v>10827</v>
      </c>
      <c r="M123" s="803"/>
      <c r="N123" s="804">
        <v>37876</v>
      </c>
      <c r="O123" s="804">
        <v>349613</v>
      </c>
      <c r="P123" s="804">
        <v>0</v>
      </c>
      <c r="Q123" s="803">
        <v>12589</v>
      </c>
      <c r="R123" s="803"/>
      <c r="S123" s="804">
        <v>288910</v>
      </c>
      <c r="T123" s="805">
        <v>-2677</v>
      </c>
      <c r="U123" s="805">
        <v>286233</v>
      </c>
    </row>
    <row r="124" spans="1:21" x14ac:dyDescent="0.25">
      <c r="A124" s="800">
        <v>91138</v>
      </c>
      <c r="B124" s="801" t="s">
        <v>2766</v>
      </c>
      <c r="C124" s="802">
        <v>6.2350000000000003E-4</v>
      </c>
      <c r="D124" s="802">
        <v>6.6279999999999996E-4</v>
      </c>
      <c r="E124" s="803">
        <v>190650</v>
      </c>
      <c r="F124" s="803">
        <v>297461</v>
      </c>
      <c r="G124" s="803">
        <v>1323276</v>
      </c>
      <c r="H124" s="803"/>
      <c r="I124" s="804">
        <v>24862.0625</v>
      </c>
      <c r="J124" s="804">
        <v>1159611</v>
      </c>
      <c r="K124" s="804">
        <v>90633</v>
      </c>
      <c r="L124" s="803">
        <v>0</v>
      </c>
      <c r="M124" s="803"/>
      <c r="N124" s="804">
        <v>46369</v>
      </c>
      <c r="O124" s="804">
        <v>428007</v>
      </c>
      <c r="P124" s="804">
        <v>0</v>
      </c>
      <c r="Q124" s="803">
        <v>111983</v>
      </c>
      <c r="R124" s="803"/>
      <c r="S124" s="804">
        <v>353692</v>
      </c>
      <c r="T124" s="805">
        <v>-35624</v>
      </c>
      <c r="U124" s="805">
        <v>318068</v>
      </c>
    </row>
    <row r="125" spans="1:21" x14ac:dyDescent="0.25">
      <c r="A125" s="800">
        <v>91141</v>
      </c>
      <c r="B125" s="801" t="s">
        <v>2767</v>
      </c>
      <c r="C125" s="802">
        <v>5.5679999999999998E-4</v>
      </c>
      <c r="D125" s="802">
        <v>6.2560000000000003E-4</v>
      </c>
      <c r="E125" s="803">
        <v>214309.96</v>
      </c>
      <c r="F125" s="803">
        <v>280766</v>
      </c>
      <c r="G125" s="803">
        <v>1181716</v>
      </c>
      <c r="H125" s="803"/>
      <c r="I125" s="804">
        <v>22202</v>
      </c>
      <c r="J125" s="804">
        <v>1035560</v>
      </c>
      <c r="K125" s="804">
        <v>80937</v>
      </c>
      <c r="L125" s="803">
        <v>0</v>
      </c>
      <c r="M125" s="803"/>
      <c r="N125" s="804">
        <v>41409</v>
      </c>
      <c r="O125" s="804">
        <v>382220</v>
      </c>
      <c r="P125" s="804">
        <v>0</v>
      </c>
      <c r="Q125" s="803">
        <v>106380</v>
      </c>
      <c r="R125" s="803"/>
      <c r="S125" s="804">
        <v>315855</v>
      </c>
      <c r="T125" s="805">
        <v>-35698</v>
      </c>
      <c r="U125" s="805">
        <v>280157</v>
      </c>
    </row>
    <row r="126" spans="1:21" x14ac:dyDescent="0.25">
      <c r="A126" s="800">
        <v>91147</v>
      </c>
      <c r="B126" s="801" t="s">
        <v>2768</v>
      </c>
      <c r="C126" s="802">
        <v>2.4199999999999999E-5</v>
      </c>
      <c r="D126" s="802">
        <v>2.1399999999999998E-5</v>
      </c>
      <c r="E126" s="803">
        <v>10371</v>
      </c>
      <c r="F126" s="803">
        <v>9604</v>
      </c>
      <c r="G126" s="803">
        <v>51361</v>
      </c>
      <c r="H126" s="803"/>
      <c r="I126" s="804">
        <v>965</v>
      </c>
      <c r="J126" s="804">
        <v>45008</v>
      </c>
      <c r="K126" s="804">
        <v>3518</v>
      </c>
      <c r="L126" s="803">
        <v>10859</v>
      </c>
      <c r="M126" s="803"/>
      <c r="N126" s="804">
        <v>1800</v>
      </c>
      <c r="O126" s="804">
        <v>16612</v>
      </c>
      <c r="P126" s="804">
        <v>0</v>
      </c>
      <c r="Q126" s="803">
        <v>0</v>
      </c>
      <c r="R126" s="803"/>
      <c r="S126" s="804">
        <v>13728</v>
      </c>
      <c r="T126" s="805">
        <v>3941</v>
      </c>
      <c r="U126" s="805">
        <v>17669</v>
      </c>
    </row>
    <row r="127" spans="1:21" x14ac:dyDescent="0.25">
      <c r="A127" s="800">
        <v>91151</v>
      </c>
      <c r="B127" s="801" t="s">
        <v>2769</v>
      </c>
      <c r="C127" s="802">
        <v>6.1180000000000002E-4</v>
      </c>
      <c r="D127" s="802">
        <v>6.4479999999999995E-4</v>
      </c>
      <c r="E127" s="803">
        <v>222681.43</v>
      </c>
      <c r="F127" s="803">
        <v>289382</v>
      </c>
      <c r="G127" s="803">
        <v>1298445</v>
      </c>
      <c r="H127" s="803"/>
      <c r="I127" s="804">
        <v>24396</v>
      </c>
      <c r="J127" s="804">
        <v>1137851</v>
      </c>
      <c r="K127" s="804">
        <v>88932</v>
      </c>
      <c r="L127" s="803">
        <v>10702</v>
      </c>
      <c r="M127" s="803"/>
      <c r="N127" s="804">
        <v>45499</v>
      </c>
      <c r="O127" s="804">
        <v>419975</v>
      </c>
      <c r="P127" s="804">
        <v>0</v>
      </c>
      <c r="Q127" s="803">
        <v>50740</v>
      </c>
      <c r="R127" s="803"/>
      <c r="S127" s="804">
        <v>347055</v>
      </c>
      <c r="T127" s="805">
        <v>-11759</v>
      </c>
      <c r="U127" s="805">
        <v>335296</v>
      </c>
    </row>
    <row r="128" spans="1:21" x14ac:dyDescent="0.25">
      <c r="A128" s="800">
        <v>91154</v>
      </c>
      <c r="B128" s="801" t="s">
        <v>2770</v>
      </c>
      <c r="C128" s="802">
        <v>1.9599999999999999E-5</v>
      </c>
      <c r="D128" s="802">
        <v>1.59E-5</v>
      </c>
      <c r="E128" s="803">
        <v>8048.64</v>
      </c>
      <c r="F128" s="803">
        <v>7136</v>
      </c>
      <c r="G128" s="803">
        <v>41598</v>
      </c>
      <c r="H128" s="803"/>
      <c r="I128" s="804">
        <v>781.55</v>
      </c>
      <c r="J128" s="804">
        <v>36453</v>
      </c>
      <c r="K128" s="804">
        <v>2849</v>
      </c>
      <c r="L128" s="803">
        <v>5846</v>
      </c>
      <c r="M128" s="803"/>
      <c r="N128" s="804">
        <v>1458</v>
      </c>
      <c r="O128" s="804">
        <v>13455</v>
      </c>
      <c r="P128" s="804">
        <v>0</v>
      </c>
      <c r="Q128" s="803">
        <v>0</v>
      </c>
      <c r="R128" s="803"/>
      <c r="S128" s="804">
        <v>11118</v>
      </c>
      <c r="T128" s="805">
        <v>2074</v>
      </c>
      <c r="U128" s="805">
        <v>13192</v>
      </c>
    </row>
    <row r="129" spans="1:21" x14ac:dyDescent="0.25">
      <c r="A129" s="800">
        <v>91161</v>
      </c>
      <c r="B129" s="801" t="s">
        <v>2771</v>
      </c>
      <c r="C129" s="802">
        <v>9.4599999999999996E-5</v>
      </c>
      <c r="D129" s="802">
        <v>1.0670000000000001E-4</v>
      </c>
      <c r="E129" s="803">
        <v>44114</v>
      </c>
      <c r="F129" s="803">
        <v>47886</v>
      </c>
      <c r="G129" s="803">
        <v>200773</v>
      </c>
      <c r="H129" s="803"/>
      <c r="I129" s="804">
        <v>3772</v>
      </c>
      <c r="J129" s="804">
        <v>175941</v>
      </c>
      <c r="K129" s="804">
        <v>13751</v>
      </c>
      <c r="L129" s="803">
        <v>7920</v>
      </c>
      <c r="M129" s="803"/>
      <c r="N129" s="804">
        <v>7035</v>
      </c>
      <c r="O129" s="804">
        <v>64939</v>
      </c>
      <c r="P129" s="804">
        <v>0</v>
      </c>
      <c r="Q129" s="803">
        <v>5006</v>
      </c>
      <c r="R129" s="803"/>
      <c r="S129" s="804">
        <v>53664</v>
      </c>
      <c r="T129" s="805">
        <v>881</v>
      </c>
      <c r="U129" s="805">
        <v>54545</v>
      </c>
    </row>
    <row r="130" spans="1:21" x14ac:dyDescent="0.25">
      <c r="A130" s="800">
        <v>91171</v>
      </c>
      <c r="B130" s="801" t="s">
        <v>2772</v>
      </c>
      <c r="C130" s="802">
        <v>2.5589999999999999E-4</v>
      </c>
      <c r="D130" s="802">
        <v>2.5240000000000001E-4</v>
      </c>
      <c r="E130" s="803">
        <v>90093.88</v>
      </c>
      <c r="F130" s="803">
        <v>113276</v>
      </c>
      <c r="G130" s="803">
        <v>543106</v>
      </c>
      <c r="H130" s="803"/>
      <c r="I130" s="804">
        <v>10204</v>
      </c>
      <c r="J130" s="804">
        <v>475934</v>
      </c>
      <c r="K130" s="804">
        <v>37198</v>
      </c>
      <c r="L130" s="803">
        <v>0</v>
      </c>
      <c r="M130" s="803"/>
      <c r="N130" s="804">
        <v>19031</v>
      </c>
      <c r="O130" s="804">
        <v>175665</v>
      </c>
      <c r="P130" s="804">
        <v>0</v>
      </c>
      <c r="Q130" s="803">
        <v>32510</v>
      </c>
      <c r="R130" s="803"/>
      <c r="S130" s="804">
        <v>145164</v>
      </c>
      <c r="T130" s="805">
        <v>-12018</v>
      </c>
      <c r="U130" s="805">
        <v>133146</v>
      </c>
    </row>
    <row r="131" spans="1:21" x14ac:dyDescent="0.25">
      <c r="A131" s="800">
        <v>91201</v>
      </c>
      <c r="B131" s="801" t="s">
        <v>2773</v>
      </c>
      <c r="C131" s="802">
        <v>2.3127999999999998E-3</v>
      </c>
      <c r="D131" s="802">
        <v>2.2309000000000001E-3</v>
      </c>
      <c r="E131" s="803">
        <v>868644</v>
      </c>
      <c r="F131" s="803">
        <v>1001215</v>
      </c>
      <c r="G131" s="803">
        <v>4908536</v>
      </c>
      <c r="H131" s="803"/>
      <c r="I131" s="804">
        <v>92222.9</v>
      </c>
      <c r="J131" s="804">
        <v>4301443</v>
      </c>
      <c r="K131" s="804">
        <v>336191</v>
      </c>
      <c r="L131" s="803">
        <v>65448</v>
      </c>
      <c r="M131" s="803"/>
      <c r="N131" s="804">
        <v>172001</v>
      </c>
      <c r="O131" s="804">
        <v>1587640</v>
      </c>
      <c r="P131" s="804">
        <v>0</v>
      </c>
      <c r="Q131" s="803">
        <v>21142</v>
      </c>
      <c r="R131" s="803"/>
      <c r="S131" s="804">
        <v>1311980</v>
      </c>
      <c r="T131" s="805">
        <v>19623</v>
      </c>
      <c r="U131" s="805">
        <v>1331603</v>
      </c>
    </row>
    <row r="132" spans="1:21" x14ac:dyDescent="0.25">
      <c r="A132" s="800">
        <v>91202</v>
      </c>
      <c r="B132" s="801" t="s">
        <v>2774</v>
      </c>
      <c r="C132" s="802">
        <v>1.897E-4</v>
      </c>
      <c r="D132" s="802">
        <v>1.7560000000000001E-4</v>
      </c>
      <c r="E132" s="803">
        <v>85259.9</v>
      </c>
      <c r="F132" s="803">
        <v>78808</v>
      </c>
      <c r="G132" s="803">
        <v>402607</v>
      </c>
      <c r="H132" s="803"/>
      <c r="I132" s="804">
        <v>7564</v>
      </c>
      <c r="J132" s="804">
        <v>352812</v>
      </c>
      <c r="K132" s="804">
        <v>27575</v>
      </c>
      <c r="L132" s="803">
        <v>29505</v>
      </c>
      <c r="M132" s="803"/>
      <c r="N132" s="804">
        <v>14108</v>
      </c>
      <c r="O132" s="804">
        <v>130221</v>
      </c>
      <c r="P132" s="804">
        <v>0</v>
      </c>
      <c r="Q132" s="803">
        <v>0</v>
      </c>
      <c r="R132" s="803"/>
      <c r="S132" s="804">
        <v>107611</v>
      </c>
      <c r="T132" s="805">
        <v>10216</v>
      </c>
      <c r="U132" s="805">
        <v>117827</v>
      </c>
    </row>
    <row r="133" spans="1:21" x14ac:dyDescent="0.25">
      <c r="A133" s="800">
        <v>91203</v>
      </c>
      <c r="B133" s="801" t="s">
        <v>2775</v>
      </c>
      <c r="C133" s="802">
        <v>2.4479999999999999E-4</v>
      </c>
      <c r="D133" s="802">
        <v>2.4909999999999998E-4</v>
      </c>
      <c r="E133" s="803">
        <v>123805</v>
      </c>
      <c r="F133" s="803">
        <v>111795</v>
      </c>
      <c r="G133" s="803">
        <v>519548</v>
      </c>
      <c r="H133" s="803"/>
      <c r="I133" s="804">
        <v>9761.4</v>
      </c>
      <c r="J133" s="804">
        <v>455289</v>
      </c>
      <c r="K133" s="804">
        <v>35584</v>
      </c>
      <c r="L133" s="803">
        <v>32505</v>
      </c>
      <c r="M133" s="803"/>
      <c r="N133" s="804">
        <v>18206</v>
      </c>
      <c r="O133" s="804">
        <v>168045</v>
      </c>
      <c r="P133" s="804">
        <v>0</v>
      </c>
      <c r="Q133" s="803">
        <v>0</v>
      </c>
      <c r="R133" s="803"/>
      <c r="S133" s="804">
        <v>138867</v>
      </c>
      <c r="T133" s="805">
        <v>11460</v>
      </c>
      <c r="U133" s="805">
        <v>150327</v>
      </c>
    </row>
    <row r="134" spans="1:21" x14ac:dyDescent="0.25">
      <c r="A134" s="800">
        <v>91206</v>
      </c>
      <c r="B134" s="801" t="s">
        <v>2776</v>
      </c>
      <c r="C134" s="802">
        <v>8.2129999999999996E-4</v>
      </c>
      <c r="D134" s="802">
        <v>8.1959999999999997E-4</v>
      </c>
      <c r="E134" s="803">
        <v>334673.01</v>
      </c>
      <c r="F134" s="803">
        <v>367832</v>
      </c>
      <c r="G134" s="803">
        <v>1743074</v>
      </c>
      <c r="H134" s="803"/>
      <c r="I134" s="804">
        <v>32749</v>
      </c>
      <c r="J134" s="804">
        <v>1527488</v>
      </c>
      <c r="K134" s="804">
        <v>119385</v>
      </c>
      <c r="L134" s="803">
        <v>21519</v>
      </c>
      <c r="M134" s="803"/>
      <c r="N134" s="804">
        <v>61079</v>
      </c>
      <c r="O134" s="804">
        <v>563788</v>
      </c>
      <c r="P134" s="804">
        <v>0</v>
      </c>
      <c r="Q134" s="803">
        <v>1526</v>
      </c>
      <c r="R134" s="803"/>
      <c r="S134" s="804">
        <v>465898</v>
      </c>
      <c r="T134" s="805">
        <v>10203</v>
      </c>
      <c r="U134" s="805">
        <v>476101</v>
      </c>
    </row>
    <row r="135" spans="1:21" x14ac:dyDescent="0.25">
      <c r="A135" s="800">
        <v>91208</v>
      </c>
      <c r="B135" s="801" t="s">
        <v>2777</v>
      </c>
      <c r="C135" s="802">
        <v>1.3699999999999999E-5</v>
      </c>
      <c r="D135" s="802">
        <v>1.2999999999999999E-5</v>
      </c>
      <c r="E135" s="803">
        <v>5593</v>
      </c>
      <c r="F135" s="803">
        <v>5834</v>
      </c>
      <c r="G135" s="803">
        <v>29076</v>
      </c>
      <c r="H135" s="803"/>
      <c r="I135" s="804">
        <v>546.28750000000002</v>
      </c>
      <c r="J135" s="804">
        <v>25480</v>
      </c>
      <c r="K135" s="804">
        <v>1991</v>
      </c>
      <c r="L135" s="803">
        <v>7123</v>
      </c>
      <c r="M135" s="803"/>
      <c r="N135" s="804">
        <v>1019</v>
      </c>
      <c r="O135" s="804">
        <v>9404</v>
      </c>
      <c r="P135" s="804">
        <v>0</v>
      </c>
      <c r="Q135" s="803">
        <v>0</v>
      </c>
      <c r="R135" s="803"/>
      <c r="S135" s="804">
        <v>7772</v>
      </c>
      <c r="T135" s="805">
        <v>3401</v>
      </c>
      <c r="U135" s="805">
        <v>11172</v>
      </c>
    </row>
    <row r="136" spans="1:21" x14ac:dyDescent="0.25">
      <c r="A136" s="800">
        <v>91211</v>
      </c>
      <c r="B136" s="801" t="s">
        <v>2778</v>
      </c>
      <c r="C136" s="802">
        <v>4.6789999999999999E-4</v>
      </c>
      <c r="D136" s="802">
        <v>4.6260000000000002E-4</v>
      </c>
      <c r="E136" s="803">
        <v>192012</v>
      </c>
      <c r="F136" s="803">
        <v>207612</v>
      </c>
      <c r="G136" s="803">
        <v>993041</v>
      </c>
      <c r="H136" s="803"/>
      <c r="I136" s="804">
        <v>18658</v>
      </c>
      <c r="J136" s="804">
        <v>870220</v>
      </c>
      <c r="K136" s="804">
        <v>68014</v>
      </c>
      <c r="L136" s="803">
        <v>5989</v>
      </c>
      <c r="M136" s="803"/>
      <c r="N136" s="804">
        <v>34797</v>
      </c>
      <c r="O136" s="804">
        <v>321194</v>
      </c>
      <c r="P136" s="804">
        <v>0</v>
      </c>
      <c r="Q136" s="803">
        <v>5137</v>
      </c>
      <c r="R136" s="803"/>
      <c r="S136" s="804">
        <v>265425</v>
      </c>
      <c r="T136" s="805">
        <v>568</v>
      </c>
      <c r="U136" s="805">
        <v>265993</v>
      </c>
    </row>
    <row r="137" spans="1:21" x14ac:dyDescent="0.25">
      <c r="A137" s="800">
        <v>91213</v>
      </c>
      <c r="B137" s="801" t="s">
        <v>2779</v>
      </c>
      <c r="C137" s="802">
        <v>3.57E-5</v>
      </c>
      <c r="D137" s="802">
        <v>3.5500000000000002E-5</v>
      </c>
      <c r="E137" s="803">
        <v>11312</v>
      </c>
      <c r="F137" s="803">
        <v>15932</v>
      </c>
      <c r="G137" s="803">
        <v>75767</v>
      </c>
      <c r="H137" s="803"/>
      <c r="I137" s="804">
        <v>1424</v>
      </c>
      <c r="J137" s="804">
        <v>66396</v>
      </c>
      <c r="K137" s="804">
        <v>5189</v>
      </c>
      <c r="L137" s="803">
        <v>0</v>
      </c>
      <c r="M137" s="803"/>
      <c r="N137" s="804">
        <v>2655</v>
      </c>
      <c r="O137" s="804">
        <v>24507</v>
      </c>
      <c r="P137" s="804">
        <v>0</v>
      </c>
      <c r="Q137" s="803">
        <v>4828</v>
      </c>
      <c r="R137" s="803"/>
      <c r="S137" s="804">
        <v>20252</v>
      </c>
      <c r="T137" s="805">
        <v>-1558</v>
      </c>
      <c r="U137" s="805">
        <v>18694</v>
      </c>
    </row>
    <row r="138" spans="1:21" x14ac:dyDescent="0.25">
      <c r="A138" s="800">
        <v>91214</v>
      </c>
      <c r="B138" s="801" t="s">
        <v>2780</v>
      </c>
      <c r="C138" s="802">
        <v>2.8200000000000001E-5</v>
      </c>
      <c r="D138" s="802">
        <v>2.6800000000000001E-5</v>
      </c>
      <c r="E138" s="803">
        <v>8297</v>
      </c>
      <c r="F138" s="803">
        <v>12028</v>
      </c>
      <c r="G138" s="803">
        <v>59850</v>
      </c>
      <c r="H138" s="803"/>
      <c r="I138" s="804">
        <v>1124</v>
      </c>
      <c r="J138" s="804">
        <v>52448</v>
      </c>
      <c r="K138" s="804">
        <v>4099</v>
      </c>
      <c r="L138" s="803">
        <v>2071</v>
      </c>
      <c r="M138" s="803"/>
      <c r="N138" s="804">
        <v>2097</v>
      </c>
      <c r="O138" s="804">
        <v>19358</v>
      </c>
      <c r="P138" s="804">
        <v>0</v>
      </c>
      <c r="Q138" s="803">
        <v>1863</v>
      </c>
      <c r="R138" s="803"/>
      <c r="S138" s="804">
        <v>15997</v>
      </c>
      <c r="T138" s="805">
        <v>289</v>
      </c>
      <c r="U138" s="805">
        <v>16286</v>
      </c>
    </row>
    <row r="139" spans="1:21" x14ac:dyDescent="0.25">
      <c r="A139" s="800">
        <v>91217</v>
      </c>
      <c r="B139" s="801" t="s">
        <v>2781</v>
      </c>
      <c r="C139" s="802">
        <v>2.6699999999999998E-5</v>
      </c>
      <c r="D139" s="802">
        <v>1.8700000000000001E-5</v>
      </c>
      <c r="E139" s="803">
        <v>15053.92</v>
      </c>
      <c r="F139" s="803">
        <v>8392</v>
      </c>
      <c r="G139" s="803">
        <v>56666</v>
      </c>
      <c r="H139" s="803"/>
      <c r="I139" s="804">
        <v>1065</v>
      </c>
      <c r="J139" s="804">
        <v>49658</v>
      </c>
      <c r="K139" s="804">
        <v>3881</v>
      </c>
      <c r="L139" s="803">
        <v>11622</v>
      </c>
      <c r="M139" s="803"/>
      <c r="N139" s="804">
        <v>1986</v>
      </c>
      <c r="O139" s="804">
        <v>18328</v>
      </c>
      <c r="P139" s="804">
        <v>0</v>
      </c>
      <c r="Q139" s="803">
        <v>0</v>
      </c>
      <c r="R139" s="803"/>
      <c r="S139" s="804">
        <v>15146</v>
      </c>
      <c r="T139" s="805">
        <v>3617</v>
      </c>
      <c r="U139" s="805">
        <v>18763</v>
      </c>
    </row>
    <row r="140" spans="1:21" x14ac:dyDescent="0.25">
      <c r="A140" s="800">
        <v>91221</v>
      </c>
      <c r="B140" s="801" t="s">
        <v>2782</v>
      </c>
      <c r="C140" s="802">
        <v>1.294E-4</v>
      </c>
      <c r="D140" s="802">
        <v>1.404E-4</v>
      </c>
      <c r="E140" s="803">
        <v>50416</v>
      </c>
      <c r="F140" s="803">
        <v>63011</v>
      </c>
      <c r="G140" s="803">
        <v>274630</v>
      </c>
      <c r="H140" s="803"/>
      <c r="I140" s="804">
        <v>5160</v>
      </c>
      <c r="J140" s="804">
        <v>240664</v>
      </c>
      <c r="K140" s="804">
        <v>18810</v>
      </c>
      <c r="L140" s="803">
        <v>7496</v>
      </c>
      <c r="M140" s="803"/>
      <c r="N140" s="804">
        <v>9623</v>
      </c>
      <c r="O140" s="804">
        <v>88828</v>
      </c>
      <c r="P140" s="804">
        <v>0</v>
      </c>
      <c r="Q140" s="803">
        <v>9810</v>
      </c>
      <c r="R140" s="803"/>
      <c r="S140" s="804">
        <v>73405</v>
      </c>
      <c r="T140" s="805">
        <v>1070</v>
      </c>
      <c r="U140" s="805">
        <v>74475</v>
      </c>
    </row>
    <row r="141" spans="1:21" x14ac:dyDescent="0.25">
      <c r="A141" s="800">
        <v>91231</v>
      </c>
      <c r="B141" s="801" t="s">
        <v>2783</v>
      </c>
      <c r="C141" s="802">
        <v>1.9957E-3</v>
      </c>
      <c r="D141" s="802">
        <v>2.0203999999999999E-3</v>
      </c>
      <c r="E141" s="803">
        <v>763104.33</v>
      </c>
      <c r="F141" s="803">
        <v>906743</v>
      </c>
      <c r="G141" s="803">
        <v>4235544</v>
      </c>
      <c r="H141" s="803"/>
      <c r="I141" s="804">
        <v>79579</v>
      </c>
      <c r="J141" s="804">
        <v>3711687</v>
      </c>
      <c r="K141" s="804">
        <v>290097</v>
      </c>
      <c r="L141" s="803">
        <v>21281.06</v>
      </c>
      <c r="M141" s="803"/>
      <c r="N141" s="804">
        <v>148418</v>
      </c>
      <c r="O141" s="804">
        <v>1369964</v>
      </c>
      <c r="P141" s="804">
        <v>0</v>
      </c>
      <c r="Q141" s="803">
        <v>85796</v>
      </c>
      <c r="R141" s="803"/>
      <c r="S141" s="804">
        <v>1132099</v>
      </c>
      <c r="T141" s="805">
        <v>-14080</v>
      </c>
      <c r="U141" s="805">
        <v>1118019</v>
      </c>
    </row>
    <row r="142" spans="1:21" x14ac:dyDescent="0.25">
      <c r="A142" s="800">
        <v>91233</v>
      </c>
      <c r="B142" s="801" t="s">
        <v>2784</v>
      </c>
      <c r="C142" s="802">
        <v>4.5599999999999997E-5</v>
      </c>
      <c r="D142" s="802">
        <v>4.3399999999999998E-5</v>
      </c>
      <c r="E142" s="803">
        <v>17053</v>
      </c>
      <c r="F142" s="803">
        <v>19478</v>
      </c>
      <c r="G142" s="803">
        <v>96778</v>
      </c>
      <c r="H142" s="803"/>
      <c r="I142" s="804">
        <v>1818.3</v>
      </c>
      <c r="J142" s="804">
        <v>84809</v>
      </c>
      <c r="K142" s="804">
        <v>6628</v>
      </c>
      <c r="L142" s="803">
        <v>8243</v>
      </c>
      <c r="M142" s="803"/>
      <c r="N142" s="804">
        <v>3391</v>
      </c>
      <c r="O142" s="804">
        <v>31302</v>
      </c>
      <c r="P142" s="804">
        <v>0</v>
      </c>
      <c r="Q142" s="803">
        <v>159</v>
      </c>
      <c r="R142" s="803"/>
      <c r="S142" s="804">
        <v>25867</v>
      </c>
      <c r="T142" s="805">
        <v>3163</v>
      </c>
      <c r="U142" s="805">
        <v>29031</v>
      </c>
    </row>
    <row r="143" spans="1:21" x14ac:dyDescent="0.25">
      <c r="A143" s="800">
        <v>91241</v>
      </c>
      <c r="B143" s="801" t="s">
        <v>2785</v>
      </c>
      <c r="C143" s="802">
        <v>3.68E-5</v>
      </c>
      <c r="D143" s="802">
        <v>4.0800000000000002E-5</v>
      </c>
      <c r="E143" s="803">
        <v>13967</v>
      </c>
      <c r="F143" s="803">
        <v>18311</v>
      </c>
      <c r="G143" s="803">
        <v>78102</v>
      </c>
      <c r="H143" s="803"/>
      <c r="I143" s="804">
        <v>1467.4</v>
      </c>
      <c r="J143" s="804">
        <v>68442</v>
      </c>
      <c r="K143" s="804">
        <v>5349</v>
      </c>
      <c r="L143" s="803">
        <v>0</v>
      </c>
      <c r="M143" s="803"/>
      <c r="N143" s="804">
        <v>2737</v>
      </c>
      <c r="O143" s="804">
        <v>25262</v>
      </c>
      <c r="P143" s="804">
        <v>0</v>
      </c>
      <c r="Q143" s="803">
        <v>6784</v>
      </c>
      <c r="R143" s="803"/>
      <c r="S143" s="804">
        <v>20875</v>
      </c>
      <c r="T143" s="805">
        <v>-2529</v>
      </c>
      <c r="U143" s="805">
        <v>18346</v>
      </c>
    </row>
    <row r="144" spans="1:21" x14ac:dyDescent="0.25">
      <c r="A144" s="800">
        <v>91251</v>
      </c>
      <c r="B144" s="801" t="s">
        <v>2786</v>
      </c>
      <c r="C144" s="802">
        <v>2.65E-5</v>
      </c>
      <c r="D144" s="802">
        <v>2.6699999999999998E-5</v>
      </c>
      <c r="E144" s="803">
        <v>9989</v>
      </c>
      <c r="F144" s="803">
        <v>11983</v>
      </c>
      <c r="G144" s="803">
        <v>56242</v>
      </c>
      <c r="H144" s="803"/>
      <c r="I144" s="804">
        <v>1056.6875</v>
      </c>
      <c r="J144" s="804">
        <v>49286</v>
      </c>
      <c r="K144" s="804">
        <v>3852</v>
      </c>
      <c r="L144" s="803">
        <v>4706</v>
      </c>
      <c r="M144" s="803"/>
      <c r="N144" s="804">
        <v>1971</v>
      </c>
      <c r="O144" s="804">
        <v>18191</v>
      </c>
      <c r="P144" s="804">
        <v>0</v>
      </c>
      <c r="Q144" s="803">
        <v>1236</v>
      </c>
      <c r="R144" s="803"/>
      <c r="S144" s="804">
        <v>15033</v>
      </c>
      <c r="T144" s="805">
        <v>2006</v>
      </c>
      <c r="U144" s="805">
        <v>17039</v>
      </c>
    </row>
    <row r="145" spans="1:21" x14ac:dyDescent="0.25">
      <c r="A145" s="800">
        <v>91261</v>
      </c>
      <c r="B145" s="801" t="s">
        <v>2787</v>
      </c>
      <c r="C145" s="802">
        <v>9.5000000000000005E-6</v>
      </c>
      <c r="D145" s="802">
        <v>8.8000000000000004E-6</v>
      </c>
      <c r="E145" s="803">
        <v>4130</v>
      </c>
      <c r="F145" s="803">
        <v>3949</v>
      </c>
      <c r="G145" s="803">
        <v>20162</v>
      </c>
      <c r="H145" s="803"/>
      <c r="I145" s="804">
        <v>378.8125</v>
      </c>
      <c r="J145" s="804">
        <v>17668</v>
      </c>
      <c r="K145" s="804">
        <v>1381</v>
      </c>
      <c r="L145" s="803">
        <v>2027</v>
      </c>
      <c r="M145" s="803"/>
      <c r="N145" s="804">
        <v>707</v>
      </c>
      <c r="O145" s="804">
        <v>6521</v>
      </c>
      <c r="P145" s="804">
        <v>0</v>
      </c>
      <c r="Q145" s="803">
        <v>0</v>
      </c>
      <c r="R145" s="803"/>
      <c r="S145" s="804">
        <v>5389</v>
      </c>
      <c r="T145" s="805">
        <v>729</v>
      </c>
      <c r="U145" s="805">
        <v>6118</v>
      </c>
    </row>
    <row r="146" spans="1:21" x14ac:dyDescent="0.25">
      <c r="A146" s="806">
        <v>91301</v>
      </c>
      <c r="B146" s="801" t="s">
        <v>2788</v>
      </c>
      <c r="C146" s="802">
        <v>7.7765000000000004E-3</v>
      </c>
      <c r="D146" s="802">
        <v>7.2360999999999997E-3</v>
      </c>
      <c r="E146" s="803">
        <v>2863288</v>
      </c>
      <c r="F146" s="803">
        <v>3247518</v>
      </c>
      <c r="G146" s="803">
        <v>16504338</v>
      </c>
      <c r="H146" s="803"/>
      <c r="I146" s="804">
        <v>310088</v>
      </c>
      <c r="J146" s="804">
        <v>14463061</v>
      </c>
      <c r="K146" s="804">
        <v>1130400</v>
      </c>
      <c r="L146" s="803">
        <v>26878</v>
      </c>
      <c r="M146" s="803"/>
      <c r="N146" s="804">
        <v>578331</v>
      </c>
      <c r="O146" s="804">
        <v>5338241</v>
      </c>
      <c r="P146" s="804">
        <v>0</v>
      </c>
      <c r="Q146" s="803">
        <v>184573</v>
      </c>
      <c r="R146" s="803"/>
      <c r="S146" s="804">
        <v>4411367</v>
      </c>
      <c r="T146" s="805">
        <v>-64544</v>
      </c>
      <c r="U146" s="805">
        <v>4346824</v>
      </c>
    </row>
    <row r="147" spans="1:21" x14ac:dyDescent="0.25">
      <c r="A147" s="806">
        <v>91302</v>
      </c>
      <c r="B147" s="801" t="s">
        <v>2789</v>
      </c>
      <c r="C147" s="802">
        <v>5.9190000000000002E-4</v>
      </c>
      <c r="D147" s="802">
        <v>5.8169999999999999E-4</v>
      </c>
      <c r="E147" s="803">
        <v>242052.32</v>
      </c>
      <c r="F147" s="803">
        <v>261063</v>
      </c>
      <c r="G147" s="803">
        <v>1256210</v>
      </c>
      <c r="H147" s="803"/>
      <c r="I147" s="804">
        <v>23602</v>
      </c>
      <c r="J147" s="804">
        <v>1100840</v>
      </c>
      <c r="K147" s="804">
        <v>86039</v>
      </c>
      <c r="L147" s="803">
        <v>53000</v>
      </c>
      <c r="M147" s="803"/>
      <c r="N147" s="804">
        <v>44019</v>
      </c>
      <c r="O147" s="804">
        <v>406314</v>
      </c>
      <c r="P147" s="804">
        <v>0</v>
      </c>
      <c r="Q147" s="803">
        <v>0</v>
      </c>
      <c r="R147" s="803"/>
      <c r="S147" s="804">
        <v>335767</v>
      </c>
      <c r="T147" s="805">
        <v>20102</v>
      </c>
      <c r="U147" s="805">
        <v>355869</v>
      </c>
    </row>
    <row r="148" spans="1:21" x14ac:dyDescent="0.25">
      <c r="A148" s="806">
        <v>91306</v>
      </c>
      <c r="B148" s="801" t="s">
        <v>2790</v>
      </c>
      <c r="C148" s="802">
        <v>1.6676E-3</v>
      </c>
      <c r="D148" s="802">
        <v>1.5539E-3</v>
      </c>
      <c r="E148" s="803">
        <v>693271</v>
      </c>
      <c r="F148" s="803">
        <v>697381</v>
      </c>
      <c r="G148" s="803">
        <v>3539206</v>
      </c>
      <c r="H148" s="803"/>
      <c r="I148" s="804">
        <v>66495.55</v>
      </c>
      <c r="J148" s="804">
        <v>3101473</v>
      </c>
      <c r="K148" s="804">
        <v>242404</v>
      </c>
      <c r="L148" s="803">
        <v>174697</v>
      </c>
      <c r="M148" s="803"/>
      <c r="N148" s="804">
        <v>124018</v>
      </c>
      <c r="O148" s="804">
        <v>1144737</v>
      </c>
      <c r="P148" s="804">
        <v>0</v>
      </c>
      <c r="Q148" s="803">
        <v>0</v>
      </c>
      <c r="R148" s="803"/>
      <c r="S148" s="804">
        <v>945978</v>
      </c>
      <c r="T148" s="805">
        <v>60990</v>
      </c>
      <c r="U148" s="805">
        <v>1006968</v>
      </c>
    </row>
    <row r="149" spans="1:21" x14ac:dyDescent="0.25">
      <c r="A149" s="800">
        <v>91308</v>
      </c>
      <c r="B149" s="801" t="s">
        <v>2791</v>
      </c>
      <c r="C149" s="802">
        <v>2.05E-4</v>
      </c>
      <c r="D149" s="802">
        <v>1.8650000000000001E-4</v>
      </c>
      <c r="E149" s="803">
        <v>71992.33</v>
      </c>
      <c r="F149" s="803">
        <v>83700</v>
      </c>
      <c r="G149" s="803">
        <v>435079</v>
      </c>
      <c r="H149" s="803"/>
      <c r="I149" s="804">
        <v>8174.375</v>
      </c>
      <c r="J149" s="804">
        <v>381267.61</v>
      </c>
      <c r="K149" s="804">
        <v>29799</v>
      </c>
      <c r="L149" s="803">
        <v>4790</v>
      </c>
      <c r="M149" s="803"/>
      <c r="N149" s="804">
        <v>15246</v>
      </c>
      <c r="O149" s="804">
        <v>140724</v>
      </c>
      <c r="P149" s="804">
        <v>0</v>
      </c>
      <c r="Q149" s="803">
        <v>3858</v>
      </c>
      <c r="R149" s="803"/>
      <c r="S149" s="804">
        <v>116290</v>
      </c>
      <c r="T149" s="805">
        <v>980</v>
      </c>
      <c r="U149" s="805">
        <v>117270</v>
      </c>
    </row>
    <row r="150" spans="1:21" x14ac:dyDescent="0.25">
      <c r="A150" s="800">
        <v>91311</v>
      </c>
      <c r="B150" s="801" t="s">
        <v>2792</v>
      </c>
      <c r="C150" s="802">
        <v>7.6649999999999999E-3</v>
      </c>
      <c r="D150" s="802">
        <v>7.9313999999999999E-3</v>
      </c>
      <c r="E150" s="803">
        <v>2915494</v>
      </c>
      <c r="F150" s="803">
        <v>3559565</v>
      </c>
      <c r="G150" s="803">
        <v>16267698</v>
      </c>
      <c r="H150" s="803"/>
      <c r="I150" s="804">
        <v>305642</v>
      </c>
      <c r="J150" s="804">
        <v>14255689</v>
      </c>
      <c r="K150" s="804">
        <v>1114192</v>
      </c>
      <c r="L150" s="803">
        <v>121391</v>
      </c>
      <c r="M150" s="803"/>
      <c r="N150" s="804">
        <v>570038</v>
      </c>
      <c r="O150" s="804">
        <v>5261700.57</v>
      </c>
      <c r="P150" s="804">
        <v>0</v>
      </c>
      <c r="Q150" s="803">
        <v>535505</v>
      </c>
      <c r="R150" s="803"/>
      <c r="S150" s="804">
        <v>4348117</v>
      </c>
      <c r="T150" s="805">
        <v>-145156</v>
      </c>
      <c r="U150" s="805">
        <v>4202961</v>
      </c>
    </row>
    <row r="151" spans="1:21" x14ac:dyDescent="0.25">
      <c r="A151" s="800">
        <v>91317</v>
      </c>
      <c r="B151" s="801" t="s">
        <v>2793</v>
      </c>
      <c r="C151" s="802">
        <v>9.0500000000000004E-5</v>
      </c>
      <c r="D151" s="802">
        <v>9.59E-5</v>
      </c>
      <c r="E151" s="803">
        <v>39328.85</v>
      </c>
      <c r="F151" s="803">
        <v>43039</v>
      </c>
      <c r="G151" s="803">
        <v>192071</v>
      </c>
      <c r="H151" s="803"/>
      <c r="I151" s="804">
        <v>3608.6875</v>
      </c>
      <c r="J151" s="804">
        <v>168316</v>
      </c>
      <c r="K151" s="804">
        <v>13155</v>
      </c>
      <c r="L151" s="803">
        <v>3623</v>
      </c>
      <c r="M151" s="803"/>
      <c r="N151" s="804">
        <v>6730</v>
      </c>
      <c r="O151" s="804">
        <v>62124</v>
      </c>
      <c r="P151" s="804">
        <v>0</v>
      </c>
      <c r="Q151" s="803">
        <v>2926</v>
      </c>
      <c r="R151" s="803"/>
      <c r="S151" s="804">
        <v>51338</v>
      </c>
      <c r="T151" s="805">
        <v>118</v>
      </c>
      <c r="U151" s="805">
        <v>51456</v>
      </c>
    </row>
    <row r="152" spans="1:21" x14ac:dyDescent="0.25">
      <c r="A152" s="800">
        <v>91321</v>
      </c>
      <c r="B152" s="801" t="s">
        <v>2794</v>
      </c>
      <c r="C152" s="802">
        <v>4.1999999999999998E-5</v>
      </c>
      <c r="D152" s="802">
        <v>3.1999999999999999E-5</v>
      </c>
      <c r="E152" s="803">
        <v>17123</v>
      </c>
      <c r="F152" s="803">
        <v>14361</v>
      </c>
      <c r="G152" s="803">
        <v>89138</v>
      </c>
      <c r="H152" s="803"/>
      <c r="I152" s="804">
        <v>1674.75</v>
      </c>
      <c r="J152" s="804">
        <v>78113</v>
      </c>
      <c r="K152" s="804">
        <v>6105</v>
      </c>
      <c r="L152" s="803">
        <v>6260</v>
      </c>
      <c r="M152" s="803"/>
      <c r="N152" s="804">
        <v>3123</v>
      </c>
      <c r="O152" s="804">
        <v>28831</v>
      </c>
      <c r="P152" s="804">
        <v>0</v>
      </c>
      <c r="Q152" s="803">
        <v>5826</v>
      </c>
      <c r="R152" s="803"/>
      <c r="S152" s="804">
        <v>23825</v>
      </c>
      <c r="T152" s="805">
        <v>-210</v>
      </c>
      <c r="U152" s="805">
        <v>23615</v>
      </c>
    </row>
    <row r="153" spans="1:21" x14ac:dyDescent="0.25">
      <c r="A153" s="800">
        <v>91327</v>
      </c>
      <c r="B153" s="801" t="s">
        <v>2795</v>
      </c>
      <c r="C153" s="802">
        <v>1.03E-5</v>
      </c>
      <c r="D153" s="802">
        <v>1.13E-5</v>
      </c>
      <c r="E153" s="803">
        <v>4112</v>
      </c>
      <c r="F153" s="803">
        <v>5071</v>
      </c>
      <c r="G153" s="803">
        <v>21860</v>
      </c>
      <c r="H153" s="803"/>
      <c r="I153" s="804">
        <v>410.71249999999998</v>
      </c>
      <c r="J153" s="804">
        <v>19156</v>
      </c>
      <c r="K153" s="804">
        <v>1497</v>
      </c>
      <c r="L153" s="803">
        <v>72</v>
      </c>
      <c r="M153" s="803"/>
      <c r="N153" s="804">
        <v>766</v>
      </c>
      <c r="O153" s="804">
        <v>7071</v>
      </c>
      <c r="P153" s="804">
        <v>0</v>
      </c>
      <c r="Q153" s="803">
        <v>1050</v>
      </c>
      <c r="R153" s="803"/>
      <c r="S153" s="804">
        <v>5843</v>
      </c>
      <c r="T153" s="805">
        <v>-275</v>
      </c>
      <c r="U153" s="805">
        <v>5568</v>
      </c>
    </row>
    <row r="154" spans="1:21" x14ac:dyDescent="0.25">
      <c r="A154" s="800">
        <v>91331</v>
      </c>
      <c r="B154" s="801" t="s">
        <v>2796</v>
      </c>
      <c r="C154" s="802">
        <v>2.8509999999999998E-3</v>
      </c>
      <c r="D154" s="802">
        <v>3.0317E-3</v>
      </c>
      <c r="E154" s="803">
        <v>1040695.76</v>
      </c>
      <c r="F154" s="803">
        <v>1360609</v>
      </c>
      <c r="G154" s="803">
        <v>6050777</v>
      </c>
      <c r="H154" s="803"/>
      <c r="I154" s="804">
        <v>113684</v>
      </c>
      <c r="J154" s="804">
        <v>5302410</v>
      </c>
      <c r="K154" s="804">
        <v>414424</v>
      </c>
      <c r="L154" s="803">
        <v>0</v>
      </c>
      <c r="M154" s="803"/>
      <c r="N154" s="804">
        <v>212026</v>
      </c>
      <c r="O154" s="804">
        <v>1957092</v>
      </c>
      <c r="P154" s="804">
        <v>0</v>
      </c>
      <c r="Q154" s="803">
        <v>459221</v>
      </c>
      <c r="R154" s="803"/>
      <c r="S154" s="804">
        <v>1617284</v>
      </c>
      <c r="T154" s="805">
        <v>-164462</v>
      </c>
      <c r="U154" s="805">
        <v>1452822</v>
      </c>
    </row>
    <row r="155" spans="1:21" x14ac:dyDescent="0.25">
      <c r="A155" s="800">
        <v>91341</v>
      </c>
      <c r="B155" s="801" t="s">
        <v>2797</v>
      </c>
      <c r="C155" s="802">
        <v>1.4399999999999999E-5</v>
      </c>
      <c r="D155" s="802">
        <v>2.1299999999999999E-5</v>
      </c>
      <c r="E155" s="803">
        <v>7639.09</v>
      </c>
      <c r="F155" s="803">
        <v>9559</v>
      </c>
      <c r="G155" s="803">
        <v>30562</v>
      </c>
      <c r="H155" s="803"/>
      <c r="I155" s="804">
        <v>574</v>
      </c>
      <c r="J155" s="804">
        <v>26782</v>
      </c>
      <c r="K155" s="804">
        <v>2093</v>
      </c>
      <c r="L155" s="803">
        <v>514</v>
      </c>
      <c r="M155" s="803"/>
      <c r="N155" s="804">
        <v>1071</v>
      </c>
      <c r="O155" s="804">
        <v>9885</v>
      </c>
      <c r="P155" s="804">
        <v>0</v>
      </c>
      <c r="Q155" s="803">
        <v>2374</v>
      </c>
      <c r="R155" s="803"/>
      <c r="S155" s="804">
        <v>8169</v>
      </c>
      <c r="T155" s="805">
        <v>-382</v>
      </c>
      <c r="U155" s="805">
        <v>7786</v>
      </c>
    </row>
    <row r="156" spans="1:21" x14ac:dyDescent="0.25">
      <c r="A156" s="800">
        <v>91401</v>
      </c>
      <c r="B156" s="801" t="s">
        <v>2798</v>
      </c>
      <c r="C156" s="802">
        <v>3.6841E-3</v>
      </c>
      <c r="D156" s="802">
        <v>3.5414999999999999E-3</v>
      </c>
      <c r="E156" s="803">
        <v>1403464.74</v>
      </c>
      <c r="F156" s="803">
        <v>1589404</v>
      </c>
      <c r="G156" s="803">
        <v>7818894</v>
      </c>
      <c r="H156" s="803"/>
      <c r="I156" s="804">
        <v>146903</v>
      </c>
      <c r="J156" s="804">
        <v>6851844</v>
      </c>
      <c r="K156" s="804">
        <v>535524</v>
      </c>
      <c r="L156" s="803">
        <v>30858</v>
      </c>
      <c r="M156" s="803"/>
      <c r="N156" s="804">
        <v>273983</v>
      </c>
      <c r="O156" s="804">
        <v>2528980</v>
      </c>
      <c r="P156" s="804">
        <v>0</v>
      </c>
      <c r="Q156" s="803">
        <v>11385</v>
      </c>
      <c r="R156" s="803"/>
      <c r="S156" s="804">
        <v>2089876</v>
      </c>
      <c r="T156" s="805">
        <v>10463</v>
      </c>
      <c r="U156" s="805">
        <v>2100338</v>
      </c>
    </row>
    <row r="157" spans="1:21" x14ac:dyDescent="0.25">
      <c r="A157" s="800">
        <v>91411</v>
      </c>
      <c r="B157" s="801" t="s">
        <v>2799</v>
      </c>
      <c r="C157" s="802">
        <v>3.5379999999999998E-4</v>
      </c>
      <c r="D157" s="802">
        <v>3.1189999999999999E-4</v>
      </c>
      <c r="E157" s="803">
        <v>141435.49</v>
      </c>
      <c r="F157" s="803">
        <v>139979</v>
      </c>
      <c r="G157" s="803">
        <v>750882</v>
      </c>
      <c r="H157" s="803"/>
      <c r="I157" s="804">
        <v>14108</v>
      </c>
      <c r="J157" s="804">
        <v>658012</v>
      </c>
      <c r="K157" s="804">
        <v>51429</v>
      </c>
      <c r="L157" s="803">
        <v>22528</v>
      </c>
      <c r="M157" s="803"/>
      <c r="N157" s="804">
        <v>26312</v>
      </c>
      <c r="O157" s="804">
        <v>242869</v>
      </c>
      <c r="P157" s="804">
        <v>0</v>
      </c>
      <c r="Q157" s="803">
        <v>2801.92</v>
      </c>
      <c r="R157" s="803"/>
      <c r="S157" s="804">
        <v>200700</v>
      </c>
      <c r="T157" s="805">
        <v>4720</v>
      </c>
      <c r="U157" s="805">
        <v>205420</v>
      </c>
    </row>
    <row r="158" spans="1:21" x14ac:dyDescent="0.25">
      <c r="A158" s="800">
        <v>91417</v>
      </c>
      <c r="B158" s="801" t="s">
        <v>2800</v>
      </c>
      <c r="C158" s="802">
        <v>9.9000000000000001E-6</v>
      </c>
      <c r="D158" s="802">
        <v>1.04E-5</v>
      </c>
      <c r="E158" s="803">
        <v>4800</v>
      </c>
      <c r="F158" s="803">
        <v>4667</v>
      </c>
      <c r="G158" s="803">
        <v>21011</v>
      </c>
      <c r="H158" s="803"/>
      <c r="I158" s="804">
        <v>394.76249999999999</v>
      </c>
      <c r="J158" s="804">
        <v>18412</v>
      </c>
      <c r="K158" s="804">
        <v>1439</v>
      </c>
      <c r="L158" s="803">
        <v>3686</v>
      </c>
      <c r="M158" s="803"/>
      <c r="N158" s="804">
        <v>736</v>
      </c>
      <c r="O158" s="804">
        <v>6796</v>
      </c>
      <c r="P158" s="804">
        <v>0</v>
      </c>
      <c r="Q158" s="803">
        <v>0</v>
      </c>
      <c r="R158" s="803"/>
      <c r="S158" s="804">
        <v>5616</v>
      </c>
      <c r="T158" s="805">
        <v>1711</v>
      </c>
      <c r="U158" s="805">
        <v>7327</v>
      </c>
    </row>
    <row r="159" spans="1:21" x14ac:dyDescent="0.25">
      <c r="A159" s="800">
        <v>91421</v>
      </c>
      <c r="B159" s="801" t="s">
        <v>2801</v>
      </c>
      <c r="C159" s="802">
        <v>7.0400000000000004E-5</v>
      </c>
      <c r="D159" s="802">
        <v>7.3399999999999995E-5</v>
      </c>
      <c r="E159" s="803">
        <v>30683</v>
      </c>
      <c r="F159" s="803">
        <v>32941</v>
      </c>
      <c r="G159" s="803">
        <v>149412</v>
      </c>
      <c r="H159" s="803"/>
      <c r="I159" s="804">
        <v>2807</v>
      </c>
      <c r="J159" s="804">
        <v>130933</v>
      </c>
      <c r="K159" s="804">
        <v>10233</v>
      </c>
      <c r="L159" s="803">
        <v>2567</v>
      </c>
      <c r="M159" s="803"/>
      <c r="N159" s="804">
        <v>5236</v>
      </c>
      <c r="O159" s="804">
        <v>48327</v>
      </c>
      <c r="P159" s="804">
        <v>0</v>
      </c>
      <c r="Q159" s="803">
        <v>4833</v>
      </c>
      <c r="R159" s="803"/>
      <c r="S159" s="804">
        <v>39936</v>
      </c>
      <c r="T159" s="805">
        <v>-400</v>
      </c>
      <c r="U159" s="805">
        <v>39536</v>
      </c>
    </row>
    <row r="160" spans="1:21" x14ac:dyDescent="0.25">
      <c r="A160" s="800">
        <v>91423</v>
      </c>
      <c r="B160" s="801" t="s">
        <v>2802</v>
      </c>
      <c r="C160" s="802">
        <v>3.8699999999999999E-5</v>
      </c>
      <c r="D160" s="802">
        <v>3.9499999999999998E-5</v>
      </c>
      <c r="E160" s="803">
        <v>17177.96</v>
      </c>
      <c r="F160" s="803">
        <v>17727</v>
      </c>
      <c r="G160" s="803">
        <v>82134</v>
      </c>
      <c r="H160" s="803"/>
      <c r="I160" s="804">
        <v>1543</v>
      </c>
      <c r="J160" s="804">
        <v>71976</v>
      </c>
      <c r="K160" s="804">
        <v>5625</v>
      </c>
      <c r="L160" s="803">
        <v>10132</v>
      </c>
      <c r="M160" s="803"/>
      <c r="N160" s="804">
        <v>2878</v>
      </c>
      <c r="O160" s="804">
        <v>26566</v>
      </c>
      <c r="P160" s="804">
        <v>0</v>
      </c>
      <c r="Q160" s="803">
        <v>4072</v>
      </c>
      <c r="R160" s="803"/>
      <c r="S160" s="804">
        <v>21953</v>
      </c>
      <c r="T160" s="805">
        <v>1493</v>
      </c>
      <c r="U160" s="805">
        <v>23446</v>
      </c>
    </row>
    <row r="161" spans="1:21" x14ac:dyDescent="0.25">
      <c r="A161" s="800">
        <v>91431</v>
      </c>
      <c r="B161" s="801" t="s">
        <v>2803</v>
      </c>
      <c r="C161" s="802">
        <v>1.417E-4</v>
      </c>
      <c r="D161" s="802">
        <v>1.606E-4</v>
      </c>
      <c r="E161" s="803">
        <v>68459</v>
      </c>
      <c r="F161" s="803">
        <v>72076</v>
      </c>
      <c r="G161" s="803">
        <v>300735</v>
      </c>
      <c r="H161" s="803"/>
      <c r="I161" s="804">
        <v>5650</v>
      </c>
      <c r="J161" s="804">
        <v>263540</v>
      </c>
      <c r="K161" s="804">
        <v>20598</v>
      </c>
      <c r="L161" s="803">
        <v>1741</v>
      </c>
      <c r="M161" s="803"/>
      <c r="N161" s="804">
        <v>10538</v>
      </c>
      <c r="O161" s="804">
        <v>97271</v>
      </c>
      <c r="P161" s="804">
        <v>0</v>
      </c>
      <c r="Q161" s="803">
        <v>2500</v>
      </c>
      <c r="R161" s="803"/>
      <c r="S161" s="804">
        <v>80382</v>
      </c>
      <c r="T161" s="805">
        <v>-116</v>
      </c>
      <c r="U161" s="805">
        <v>80266</v>
      </c>
    </row>
    <row r="162" spans="1:21" x14ac:dyDescent="0.25">
      <c r="A162" s="800">
        <v>91441</v>
      </c>
      <c r="B162" s="801" t="s">
        <v>2804</v>
      </c>
      <c r="C162" s="802">
        <v>7.3800000000000005E-4</v>
      </c>
      <c r="D162" s="802">
        <v>8.0199999999999998E-4</v>
      </c>
      <c r="E162" s="803">
        <v>243177.92</v>
      </c>
      <c r="F162" s="803">
        <v>359933</v>
      </c>
      <c r="G162" s="803">
        <v>1566283</v>
      </c>
      <c r="H162" s="803"/>
      <c r="I162" s="804">
        <v>29428</v>
      </c>
      <c r="J162" s="804">
        <v>1372563</v>
      </c>
      <c r="K162" s="804">
        <v>107276</v>
      </c>
      <c r="L162" s="803">
        <v>0</v>
      </c>
      <c r="M162" s="803"/>
      <c r="N162" s="804">
        <v>54884</v>
      </c>
      <c r="O162" s="804">
        <v>506606</v>
      </c>
      <c r="P162" s="804">
        <v>0</v>
      </c>
      <c r="Q162" s="803">
        <v>154968</v>
      </c>
      <c r="R162" s="803"/>
      <c r="S162" s="804">
        <v>418645</v>
      </c>
      <c r="T162" s="805">
        <v>-51667</v>
      </c>
      <c r="U162" s="805">
        <v>366977</v>
      </c>
    </row>
    <row r="163" spans="1:21" x14ac:dyDescent="0.25">
      <c r="A163" s="800">
        <v>91451</v>
      </c>
      <c r="B163" s="801" t="s">
        <v>2805</v>
      </c>
      <c r="C163" s="802">
        <v>1.5629000000000001E-3</v>
      </c>
      <c r="D163" s="802">
        <v>1.7028E-3</v>
      </c>
      <c r="E163" s="803">
        <v>596685</v>
      </c>
      <c r="F163" s="803">
        <v>764206</v>
      </c>
      <c r="G163" s="803">
        <v>3316997</v>
      </c>
      <c r="H163" s="803"/>
      <c r="I163" s="804">
        <v>62321</v>
      </c>
      <c r="J163" s="804">
        <v>2906747</v>
      </c>
      <c r="K163" s="804">
        <v>227185</v>
      </c>
      <c r="L163" s="803">
        <v>0</v>
      </c>
      <c r="M163" s="803"/>
      <c r="N163" s="804">
        <v>116231</v>
      </c>
      <c r="O163" s="804">
        <v>1072865</v>
      </c>
      <c r="P163" s="804">
        <v>0</v>
      </c>
      <c r="Q163" s="803">
        <v>204791</v>
      </c>
      <c r="R163" s="803"/>
      <c r="S163" s="804">
        <v>886585</v>
      </c>
      <c r="T163" s="805">
        <v>-69029</v>
      </c>
      <c r="U163" s="805">
        <v>817556</v>
      </c>
    </row>
    <row r="164" spans="1:21" x14ac:dyDescent="0.25">
      <c r="A164" s="800">
        <v>91457</v>
      </c>
      <c r="B164" s="801" t="s">
        <v>2806</v>
      </c>
      <c r="C164" s="802">
        <v>2.58E-5</v>
      </c>
      <c r="D164" s="802">
        <v>2.7500000000000001E-5</v>
      </c>
      <c r="E164" s="803">
        <v>28421</v>
      </c>
      <c r="F164" s="803">
        <v>12342</v>
      </c>
      <c r="G164" s="803">
        <v>54756</v>
      </c>
      <c r="H164" s="803"/>
      <c r="I164" s="804">
        <v>1029</v>
      </c>
      <c r="J164" s="804">
        <v>47984</v>
      </c>
      <c r="K164" s="804">
        <v>3750</v>
      </c>
      <c r="L164" s="803">
        <v>24288</v>
      </c>
      <c r="M164" s="803"/>
      <c r="N164" s="804">
        <v>1919</v>
      </c>
      <c r="O164" s="804">
        <v>17711</v>
      </c>
      <c r="P164" s="804">
        <v>0</v>
      </c>
      <c r="Q164" s="803">
        <v>0</v>
      </c>
      <c r="R164" s="803"/>
      <c r="S164" s="804">
        <v>14636</v>
      </c>
      <c r="T164" s="805">
        <v>7429</v>
      </c>
      <c r="U164" s="805">
        <v>22065</v>
      </c>
    </row>
    <row r="165" spans="1:21" x14ac:dyDescent="0.25">
      <c r="A165" s="800">
        <v>91461</v>
      </c>
      <c r="B165" s="801" t="s">
        <v>2807</v>
      </c>
      <c r="C165" s="802">
        <v>8.6999999999999997E-6</v>
      </c>
      <c r="D165" s="802">
        <v>6.3999999999999997E-6</v>
      </c>
      <c r="E165" s="803">
        <v>2697</v>
      </c>
      <c r="F165" s="803">
        <v>2872</v>
      </c>
      <c r="G165" s="803">
        <v>18464</v>
      </c>
      <c r="H165" s="803"/>
      <c r="I165" s="804">
        <v>347</v>
      </c>
      <c r="J165" s="804">
        <v>16181</v>
      </c>
      <c r="K165" s="804">
        <v>1265</v>
      </c>
      <c r="L165" s="803">
        <v>3156</v>
      </c>
      <c r="M165" s="803"/>
      <c r="N165" s="804">
        <v>647</v>
      </c>
      <c r="O165" s="804">
        <v>5972</v>
      </c>
      <c r="P165" s="804">
        <v>0</v>
      </c>
      <c r="Q165" s="803">
        <v>0</v>
      </c>
      <c r="R165" s="803"/>
      <c r="S165" s="804">
        <v>4935</v>
      </c>
      <c r="T165" s="805">
        <v>1104</v>
      </c>
      <c r="U165" s="805">
        <v>6039</v>
      </c>
    </row>
    <row r="166" spans="1:21" x14ac:dyDescent="0.25">
      <c r="A166" s="800">
        <v>91501</v>
      </c>
      <c r="B166" s="801" t="s">
        <v>2808</v>
      </c>
      <c r="C166" s="802">
        <v>5.1099999999999995E-4</v>
      </c>
      <c r="D166" s="802">
        <v>4.8660000000000001E-4</v>
      </c>
      <c r="E166" s="803">
        <v>207396</v>
      </c>
      <c r="F166" s="803">
        <v>218383</v>
      </c>
      <c r="G166" s="803">
        <v>1084513</v>
      </c>
      <c r="H166" s="803"/>
      <c r="I166" s="804">
        <v>20376</v>
      </c>
      <c r="J166" s="804">
        <v>950379</v>
      </c>
      <c r="K166" s="804">
        <v>74279</v>
      </c>
      <c r="L166" s="803">
        <v>41752</v>
      </c>
      <c r="M166" s="803"/>
      <c r="N166" s="804">
        <v>38003</v>
      </c>
      <c r="O166" s="804">
        <v>350780</v>
      </c>
      <c r="P166" s="804">
        <v>0</v>
      </c>
      <c r="Q166" s="803">
        <v>0</v>
      </c>
      <c r="R166" s="803"/>
      <c r="S166" s="804">
        <v>289874</v>
      </c>
      <c r="T166" s="805">
        <v>17322</v>
      </c>
      <c r="U166" s="805">
        <v>307197</v>
      </c>
    </row>
    <row r="167" spans="1:21" x14ac:dyDescent="0.25">
      <c r="A167" s="800">
        <v>91504</v>
      </c>
      <c r="B167" s="801" t="s">
        <v>2809</v>
      </c>
      <c r="C167" s="802">
        <v>1.0200000000000001E-5</v>
      </c>
      <c r="D167" s="802">
        <v>9.7999999999999993E-6</v>
      </c>
      <c r="E167" s="803">
        <v>5951</v>
      </c>
      <c r="F167" s="803">
        <v>4398</v>
      </c>
      <c r="G167" s="803">
        <v>21648</v>
      </c>
      <c r="H167" s="803"/>
      <c r="I167" s="804">
        <v>406.72500000000002</v>
      </c>
      <c r="J167" s="804">
        <v>18970</v>
      </c>
      <c r="K167" s="804">
        <v>1483</v>
      </c>
      <c r="L167" s="803">
        <v>6563</v>
      </c>
      <c r="M167" s="803"/>
      <c r="N167" s="804">
        <v>759</v>
      </c>
      <c r="O167" s="804">
        <v>7002</v>
      </c>
      <c r="P167" s="804">
        <v>0</v>
      </c>
      <c r="Q167" s="803">
        <v>0</v>
      </c>
      <c r="R167" s="803"/>
      <c r="S167" s="804">
        <v>5786</v>
      </c>
      <c r="T167" s="805">
        <v>2270</v>
      </c>
      <c r="U167" s="805">
        <v>8056</v>
      </c>
    </row>
    <row r="168" spans="1:21" x14ac:dyDescent="0.25">
      <c r="A168" s="800">
        <v>91601</v>
      </c>
      <c r="B168" s="801" t="s">
        <v>2810</v>
      </c>
      <c r="C168" s="802">
        <v>2.9077999999999999E-3</v>
      </c>
      <c r="D168" s="802">
        <v>2.5893000000000001E-3</v>
      </c>
      <c r="E168" s="803">
        <v>1153048.76</v>
      </c>
      <c r="F168" s="803">
        <v>1162062</v>
      </c>
      <c r="G168" s="803">
        <v>6171326</v>
      </c>
      <c r="H168" s="803"/>
      <c r="I168" s="804">
        <v>115949</v>
      </c>
      <c r="J168" s="804">
        <v>5408049</v>
      </c>
      <c r="K168" s="804">
        <v>422681</v>
      </c>
      <c r="L168" s="803">
        <v>254754</v>
      </c>
      <c r="M168" s="803"/>
      <c r="N168" s="804">
        <v>216250</v>
      </c>
      <c r="O168" s="804">
        <v>1996083</v>
      </c>
      <c r="P168" s="804">
        <v>0</v>
      </c>
      <c r="Q168" s="803">
        <v>0</v>
      </c>
      <c r="R168" s="803"/>
      <c r="S168" s="804">
        <v>1649505</v>
      </c>
      <c r="T168" s="805">
        <v>86224</v>
      </c>
      <c r="U168" s="805">
        <v>1735729</v>
      </c>
    </row>
    <row r="169" spans="1:21" x14ac:dyDescent="0.25">
      <c r="A169" s="800">
        <v>91604</v>
      </c>
      <c r="B169" s="801" t="s">
        <v>2811</v>
      </c>
      <c r="C169" s="802">
        <v>8.6799999999999996E-5</v>
      </c>
      <c r="D169" s="802">
        <v>8.5000000000000006E-5</v>
      </c>
      <c r="E169" s="803">
        <v>47160</v>
      </c>
      <c r="F169" s="803">
        <v>38147</v>
      </c>
      <c r="G169" s="803">
        <v>184219</v>
      </c>
      <c r="H169" s="803"/>
      <c r="I169" s="804">
        <v>3461</v>
      </c>
      <c r="J169" s="804">
        <v>161434</v>
      </c>
      <c r="K169" s="804">
        <v>12617</v>
      </c>
      <c r="L169" s="803">
        <v>17354</v>
      </c>
      <c r="M169" s="803"/>
      <c r="N169" s="804">
        <v>6455</v>
      </c>
      <c r="O169" s="804">
        <v>59585</v>
      </c>
      <c r="P169" s="804">
        <v>0</v>
      </c>
      <c r="Q169" s="803">
        <v>0</v>
      </c>
      <c r="R169" s="803"/>
      <c r="S169" s="804">
        <v>49239</v>
      </c>
      <c r="T169" s="805">
        <v>5419</v>
      </c>
      <c r="U169" s="805">
        <v>54658</v>
      </c>
    </row>
    <row r="170" spans="1:21" x14ac:dyDescent="0.25">
      <c r="A170" s="800">
        <v>91608</v>
      </c>
      <c r="B170" s="801" t="s">
        <v>2812</v>
      </c>
      <c r="C170" s="802">
        <v>1.208E-4</v>
      </c>
      <c r="D170" s="802">
        <v>1.178E-4</v>
      </c>
      <c r="E170" s="803">
        <v>33634</v>
      </c>
      <c r="F170" s="803">
        <v>52868</v>
      </c>
      <c r="G170" s="803">
        <v>256378</v>
      </c>
      <c r="H170" s="803"/>
      <c r="I170" s="804">
        <v>4817</v>
      </c>
      <c r="J170" s="804">
        <v>224669</v>
      </c>
      <c r="K170" s="804">
        <v>17560</v>
      </c>
      <c r="L170" s="803">
        <v>1751</v>
      </c>
      <c r="M170" s="803"/>
      <c r="N170" s="804">
        <v>8984</v>
      </c>
      <c r="O170" s="804">
        <v>82924</v>
      </c>
      <c r="P170" s="804">
        <v>0</v>
      </c>
      <c r="Q170" s="803">
        <v>42921</v>
      </c>
      <c r="R170" s="803"/>
      <c r="S170" s="804">
        <v>68526</v>
      </c>
      <c r="T170" s="805">
        <v>-13278</v>
      </c>
      <c r="U170" s="805">
        <v>55248</v>
      </c>
    </row>
    <row r="171" spans="1:21" x14ac:dyDescent="0.25">
      <c r="A171" s="800">
        <v>91611</v>
      </c>
      <c r="B171" s="801" t="s">
        <v>2813</v>
      </c>
      <c r="C171" s="802">
        <v>1.4345E-3</v>
      </c>
      <c r="D171" s="802">
        <v>1.3361E-3</v>
      </c>
      <c r="E171" s="803">
        <v>495192</v>
      </c>
      <c r="F171" s="803">
        <v>599634</v>
      </c>
      <c r="G171" s="803">
        <v>3044490</v>
      </c>
      <c r="H171" s="803"/>
      <c r="I171" s="804">
        <v>57201</v>
      </c>
      <c r="J171" s="804">
        <v>2667943</v>
      </c>
      <c r="K171" s="804">
        <v>208520</v>
      </c>
      <c r="L171" s="803">
        <v>36769</v>
      </c>
      <c r="M171" s="803"/>
      <c r="N171" s="804">
        <v>106682</v>
      </c>
      <c r="O171" s="804">
        <v>984724</v>
      </c>
      <c r="P171" s="804">
        <v>0</v>
      </c>
      <c r="Q171" s="803">
        <v>21938</v>
      </c>
      <c r="R171" s="803"/>
      <c r="S171" s="804">
        <v>813747</v>
      </c>
      <c r="T171" s="805">
        <v>11752</v>
      </c>
      <c r="U171" s="805">
        <v>825500</v>
      </c>
    </row>
    <row r="172" spans="1:21" x14ac:dyDescent="0.25">
      <c r="A172" s="800">
        <v>91621</v>
      </c>
      <c r="B172" s="801" t="s">
        <v>2814</v>
      </c>
      <c r="C172" s="802">
        <v>2.5240000000000001E-4</v>
      </c>
      <c r="D172" s="802">
        <v>2.6200000000000003E-4</v>
      </c>
      <c r="E172" s="803">
        <v>102644</v>
      </c>
      <c r="F172" s="803">
        <v>117584</v>
      </c>
      <c r="G172" s="803">
        <v>535677</v>
      </c>
      <c r="H172" s="803"/>
      <c r="I172" s="804">
        <v>10064</v>
      </c>
      <c r="J172" s="804">
        <v>469424</v>
      </c>
      <c r="K172" s="804">
        <v>36689</v>
      </c>
      <c r="L172" s="803">
        <v>20545</v>
      </c>
      <c r="M172" s="803"/>
      <c r="N172" s="804">
        <v>18771</v>
      </c>
      <c r="O172" s="804">
        <v>173262</v>
      </c>
      <c r="P172" s="804">
        <v>0</v>
      </c>
      <c r="Q172" s="803">
        <v>25591</v>
      </c>
      <c r="R172" s="803"/>
      <c r="S172" s="804">
        <v>143179</v>
      </c>
      <c r="T172" s="805">
        <v>-4085</v>
      </c>
      <c r="U172" s="805">
        <v>139094</v>
      </c>
    </row>
    <row r="173" spans="1:21" x14ac:dyDescent="0.25">
      <c r="A173" s="800">
        <v>91631</v>
      </c>
      <c r="B173" s="801" t="s">
        <v>2815</v>
      </c>
      <c r="C173" s="802">
        <v>5.3870000000000003E-4</v>
      </c>
      <c r="D173" s="802">
        <v>5.4830000000000005E-4</v>
      </c>
      <c r="E173" s="803">
        <v>189554.94</v>
      </c>
      <c r="F173" s="803">
        <v>246074</v>
      </c>
      <c r="G173" s="803">
        <v>1143302</v>
      </c>
      <c r="H173" s="803"/>
      <c r="I173" s="804">
        <v>21481</v>
      </c>
      <c r="J173" s="804">
        <v>1001897</v>
      </c>
      <c r="K173" s="804">
        <v>78306</v>
      </c>
      <c r="L173" s="803">
        <v>0</v>
      </c>
      <c r="M173" s="803"/>
      <c r="N173" s="804">
        <v>40063</v>
      </c>
      <c r="O173" s="804">
        <v>369795</v>
      </c>
      <c r="P173" s="804">
        <v>0</v>
      </c>
      <c r="Q173" s="803">
        <v>35292</v>
      </c>
      <c r="R173" s="803"/>
      <c r="S173" s="804">
        <v>305588</v>
      </c>
      <c r="T173" s="805">
        <v>-10001</v>
      </c>
      <c r="U173" s="805">
        <v>295587</v>
      </c>
    </row>
    <row r="174" spans="1:21" x14ac:dyDescent="0.25">
      <c r="A174" s="800">
        <v>91633</v>
      </c>
      <c r="B174" s="801" t="s">
        <v>2816</v>
      </c>
      <c r="C174" s="802">
        <v>2.3799999999999999E-5</v>
      </c>
      <c r="D174" s="802">
        <v>2.3200000000000001E-5</v>
      </c>
      <c r="E174" s="803">
        <v>11149</v>
      </c>
      <c r="F174" s="803">
        <v>10412</v>
      </c>
      <c r="G174" s="803">
        <v>50512</v>
      </c>
      <c r="H174" s="803"/>
      <c r="I174" s="804">
        <v>949.02499999999998</v>
      </c>
      <c r="J174" s="804">
        <v>44264</v>
      </c>
      <c r="K174" s="804">
        <v>3460</v>
      </c>
      <c r="L174" s="803">
        <v>1407</v>
      </c>
      <c r="M174" s="803"/>
      <c r="N174" s="804">
        <v>1770</v>
      </c>
      <c r="O174" s="804">
        <v>16338</v>
      </c>
      <c r="P174" s="804">
        <v>0</v>
      </c>
      <c r="Q174" s="803">
        <v>5064</v>
      </c>
      <c r="R174" s="803"/>
      <c r="S174" s="804">
        <v>13501</v>
      </c>
      <c r="T174" s="805">
        <v>-1485</v>
      </c>
      <c r="U174" s="805">
        <v>12016</v>
      </c>
    </row>
    <row r="175" spans="1:21" x14ac:dyDescent="0.25">
      <c r="A175" s="800">
        <v>91641</v>
      </c>
      <c r="B175" s="801" t="s">
        <v>2817</v>
      </c>
      <c r="C175" s="802">
        <v>2.742E-4</v>
      </c>
      <c r="D175" s="802">
        <v>3.1080000000000002E-4</v>
      </c>
      <c r="E175" s="803">
        <v>90324.84</v>
      </c>
      <c r="F175" s="803">
        <v>139485</v>
      </c>
      <c r="G175" s="803">
        <v>581944</v>
      </c>
      <c r="H175" s="803"/>
      <c r="I175" s="804">
        <v>10934</v>
      </c>
      <c r="J175" s="804">
        <v>509969</v>
      </c>
      <c r="K175" s="804">
        <v>39858</v>
      </c>
      <c r="L175" s="803">
        <v>0</v>
      </c>
      <c r="M175" s="803"/>
      <c r="N175" s="804">
        <v>20392</v>
      </c>
      <c r="O175" s="804">
        <v>188227</v>
      </c>
      <c r="P175" s="804">
        <v>0</v>
      </c>
      <c r="Q175" s="803">
        <v>73613</v>
      </c>
      <c r="R175" s="803"/>
      <c r="S175" s="804">
        <v>155545</v>
      </c>
      <c r="T175" s="805">
        <v>-24397</v>
      </c>
      <c r="U175" s="805">
        <v>131148</v>
      </c>
    </row>
    <row r="176" spans="1:21" x14ac:dyDescent="0.25">
      <c r="A176" s="800">
        <v>91651</v>
      </c>
      <c r="B176" s="801" t="s">
        <v>2818</v>
      </c>
      <c r="C176" s="802">
        <v>4.6099999999999998E-4</v>
      </c>
      <c r="D176" s="802">
        <v>4.797E-4</v>
      </c>
      <c r="E176" s="803">
        <v>182169.7</v>
      </c>
      <c r="F176" s="803">
        <v>215286</v>
      </c>
      <c r="G176" s="803">
        <v>978396</v>
      </c>
      <c r="H176" s="803"/>
      <c r="I176" s="804">
        <v>18382.375</v>
      </c>
      <c r="J176" s="804">
        <v>857387</v>
      </c>
      <c r="K176" s="804">
        <v>67011</v>
      </c>
      <c r="L176" s="803">
        <v>0</v>
      </c>
      <c r="M176" s="803"/>
      <c r="N176" s="804">
        <v>34284</v>
      </c>
      <c r="O176" s="804">
        <v>316457</v>
      </c>
      <c r="P176" s="804">
        <v>0</v>
      </c>
      <c r="Q176" s="803">
        <v>30276</v>
      </c>
      <c r="R176" s="803"/>
      <c r="S176" s="804">
        <v>261511</v>
      </c>
      <c r="T176" s="805">
        <v>-9842</v>
      </c>
      <c r="U176" s="805">
        <v>251669</v>
      </c>
    </row>
    <row r="177" spans="1:21" x14ac:dyDescent="0.25">
      <c r="A177" s="800">
        <v>91661</v>
      </c>
      <c r="B177" s="801" t="s">
        <v>2819</v>
      </c>
      <c r="C177" s="802">
        <v>1.6750000000000001E-4</v>
      </c>
      <c r="D177" s="802">
        <v>1.9149999999999999E-4</v>
      </c>
      <c r="E177" s="803">
        <v>50933.13</v>
      </c>
      <c r="F177" s="803">
        <v>85944</v>
      </c>
      <c r="G177" s="803">
        <v>355491</v>
      </c>
      <c r="H177" s="803"/>
      <c r="I177" s="804">
        <v>6679.0625</v>
      </c>
      <c r="J177" s="804">
        <v>311524</v>
      </c>
      <c r="K177" s="804">
        <v>24348</v>
      </c>
      <c r="L177" s="803">
        <v>0</v>
      </c>
      <c r="M177" s="803"/>
      <c r="N177" s="804">
        <v>12457</v>
      </c>
      <c r="O177" s="804">
        <v>114982</v>
      </c>
      <c r="P177" s="804">
        <v>0</v>
      </c>
      <c r="Q177" s="803">
        <v>40976</v>
      </c>
      <c r="R177" s="803"/>
      <c r="S177" s="804">
        <v>95018</v>
      </c>
      <c r="T177" s="805">
        <v>-12042</v>
      </c>
      <c r="U177" s="805">
        <v>82975</v>
      </c>
    </row>
    <row r="178" spans="1:21" x14ac:dyDescent="0.25">
      <c r="A178" s="800">
        <v>91671</v>
      </c>
      <c r="B178" s="801" t="s">
        <v>2820</v>
      </c>
      <c r="C178" s="802">
        <v>9.7600000000000001E-5</v>
      </c>
      <c r="D178" s="802">
        <v>9.0000000000000006E-5</v>
      </c>
      <c r="E178" s="803">
        <v>40599.14</v>
      </c>
      <c r="F178" s="803">
        <v>40391.46</v>
      </c>
      <c r="G178" s="803">
        <v>207140</v>
      </c>
      <c r="H178" s="803"/>
      <c r="I178" s="804">
        <v>3891.8</v>
      </c>
      <c r="J178" s="804">
        <v>181521</v>
      </c>
      <c r="K178" s="804">
        <v>14187</v>
      </c>
      <c r="L178" s="803">
        <v>17521</v>
      </c>
      <c r="M178" s="803"/>
      <c r="N178" s="804">
        <v>7258</v>
      </c>
      <c r="O178" s="804">
        <v>66998</v>
      </c>
      <c r="P178" s="804">
        <v>0</v>
      </c>
      <c r="Q178" s="803">
        <v>0</v>
      </c>
      <c r="R178" s="803"/>
      <c r="S178" s="804">
        <v>55365</v>
      </c>
      <c r="T178" s="805">
        <v>6024</v>
      </c>
      <c r="U178" s="805">
        <v>61390</v>
      </c>
    </row>
    <row r="179" spans="1:21" x14ac:dyDescent="0.25">
      <c r="A179" s="800">
        <v>91681</v>
      </c>
      <c r="B179" s="801" t="s">
        <v>2821</v>
      </c>
      <c r="C179" s="802">
        <v>4.7130000000000002E-4</v>
      </c>
      <c r="D179" s="802">
        <v>5.2590000000000004E-4</v>
      </c>
      <c r="E179" s="803">
        <v>361073.65</v>
      </c>
      <c r="F179" s="803">
        <v>236021</v>
      </c>
      <c r="G179" s="803">
        <v>1000256</v>
      </c>
      <c r="H179" s="803"/>
      <c r="I179" s="804">
        <v>18793</v>
      </c>
      <c r="J179" s="804">
        <v>876544</v>
      </c>
      <c r="K179" s="804">
        <v>68509</v>
      </c>
      <c r="L179" s="803">
        <v>196447</v>
      </c>
      <c r="M179" s="803"/>
      <c r="N179" s="804">
        <v>35050</v>
      </c>
      <c r="O179" s="804">
        <v>323528</v>
      </c>
      <c r="P179" s="804">
        <v>0</v>
      </c>
      <c r="Q179" s="803">
        <v>9078</v>
      </c>
      <c r="R179" s="803"/>
      <c r="S179" s="804">
        <v>267354</v>
      </c>
      <c r="T179" s="805">
        <v>55234</v>
      </c>
      <c r="U179" s="805">
        <v>322588</v>
      </c>
    </row>
    <row r="180" spans="1:21" x14ac:dyDescent="0.25">
      <c r="A180" s="800">
        <v>91691</v>
      </c>
      <c r="B180" s="801" t="s">
        <v>2822</v>
      </c>
      <c r="C180" s="802">
        <v>2.4199999999999999E-5</v>
      </c>
      <c r="D180" s="802">
        <v>1.8700000000000001E-5</v>
      </c>
      <c r="E180" s="803">
        <v>9114</v>
      </c>
      <c r="F180" s="803">
        <v>8392</v>
      </c>
      <c r="G180" s="803">
        <v>51361</v>
      </c>
      <c r="H180" s="803"/>
      <c r="I180" s="804">
        <v>965</v>
      </c>
      <c r="J180" s="804">
        <v>45008</v>
      </c>
      <c r="K180" s="804">
        <v>3518</v>
      </c>
      <c r="L180" s="803">
        <v>2449</v>
      </c>
      <c r="M180" s="803"/>
      <c r="N180" s="804">
        <v>1800</v>
      </c>
      <c r="O180" s="804">
        <v>16612</v>
      </c>
      <c r="P180" s="804">
        <v>0</v>
      </c>
      <c r="Q180" s="803">
        <v>801</v>
      </c>
      <c r="R180" s="803"/>
      <c r="S180" s="804">
        <v>13728</v>
      </c>
      <c r="T180" s="805">
        <v>383</v>
      </c>
      <c r="U180" s="805">
        <v>14111</v>
      </c>
    </row>
    <row r="181" spans="1:21" x14ac:dyDescent="0.25">
      <c r="A181" s="800">
        <v>91701</v>
      </c>
      <c r="B181" s="801" t="s">
        <v>2823</v>
      </c>
      <c r="C181" s="802">
        <v>1.0897000000000001E-3</v>
      </c>
      <c r="D181" s="802">
        <v>1.0575999999999999E-3</v>
      </c>
      <c r="E181" s="803">
        <v>448773</v>
      </c>
      <c r="F181" s="803">
        <v>474645</v>
      </c>
      <c r="G181" s="803">
        <v>2312708</v>
      </c>
      <c r="H181" s="803"/>
      <c r="I181" s="804">
        <v>43452</v>
      </c>
      <c r="J181" s="804">
        <v>2026670</v>
      </c>
      <c r="K181" s="804">
        <v>158400</v>
      </c>
      <c r="L181" s="803">
        <v>20132</v>
      </c>
      <c r="M181" s="803"/>
      <c r="N181" s="804">
        <v>81040</v>
      </c>
      <c r="O181" s="804">
        <v>748033</v>
      </c>
      <c r="P181" s="804">
        <v>0</v>
      </c>
      <c r="Q181" s="803">
        <v>13968</v>
      </c>
      <c r="R181" s="803"/>
      <c r="S181" s="804">
        <v>618153</v>
      </c>
      <c r="T181" s="805">
        <v>-1590</v>
      </c>
      <c r="U181" s="805">
        <v>616563</v>
      </c>
    </row>
    <row r="182" spans="1:21" x14ac:dyDescent="0.25">
      <c r="A182" s="800">
        <v>91704</v>
      </c>
      <c r="B182" s="801" t="s">
        <v>2824</v>
      </c>
      <c r="C182" s="802">
        <v>1.6699999999999999E-5</v>
      </c>
      <c r="D182" s="802">
        <v>1.66E-5</v>
      </c>
      <c r="E182" s="803">
        <v>6924</v>
      </c>
      <c r="F182" s="803">
        <v>7450</v>
      </c>
      <c r="G182" s="803">
        <v>35443</v>
      </c>
      <c r="H182" s="803"/>
      <c r="I182" s="804">
        <v>665.91250000000002</v>
      </c>
      <c r="J182" s="804">
        <v>31059</v>
      </c>
      <c r="K182" s="804">
        <v>2428</v>
      </c>
      <c r="L182" s="803">
        <v>1658</v>
      </c>
      <c r="M182" s="803"/>
      <c r="N182" s="804">
        <v>1242</v>
      </c>
      <c r="O182" s="804">
        <v>11464</v>
      </c>
      <c r="P182" s="804">
        <v>0</v>
      </c>
      <c r="Q182" s="803">
        <v>0</v>
      </c>
      <c r="R182" s="803"/>
      <c r="S182" s="804">
        <v>9473</v>
      </c>
      <c r="T182" s="805">
        <v>628</v>
      </c>
      <c r="U182" s="805">
        <v>10101</v>
      </c>
    </row>
    <row r="183" spans="1:21" x14ac:dyDescent="0.25">
      <c r="A183" s="800">
        <v>91706</v>
      </c>
      <c r="B183" s="801" t="s">
        <v>2825</v>
      </c>
      <c r="C183" s="802">
        <v>2.4279999999999999E-4</v>
      </c>
      <c r="D183" s="802">
        <v>2.565E-4</v>
      </c>
      <c r="E183" s="803">
        <v>104554</v>
      </c>
      <c r="F183" s="803">
        <v>115116</v>
      </c>
      <c r="G183" s="803">
        <v>515303</v>
      </c>
      <c r="H183" s="803"/>
      <c r="I183" s="804">
        <v>9681.65</v>
      </c>
      <c r="J183" s="804">
        <v>451570</v>
      </c>
      <c r="K183" s="804">
        <v>35294</v>
      </c>
      <c r="L183" s="803">
        <v>807</v>
      </c>
      <c r="M183" s="803"/>
      <c r="N183" s="804">
        <v>18057</v>
      </c>
      <c r="O183" s="804">
        <v>166672</v>
      </c>
      <c r="P183" s="804">
        <v>0</v>
      </c>
      <c r="Q183" s="803">
        <v>14823</v>
      </c>
      <c r="R183" s="803"/>
      <c r="S183" s="804">
        <v>137733</v>
      </c>
      <c r="T183" s="805">
        <v>-6265</v>
      </c>
      <c r="U183" s="805">
        <v>131468</v>
      </c>
    </row>
    <row r="184" spans="1:21" x14ac:dyDescent="0.25">
      <c r="A184" s="800">
        <v>91719</v>
      </c>
      <c r="B184" s="801" t="s">
        <v>2826</v>
      </c>
      <c r="C184" s="802">
        <v>4.9299999999999999E-5</v>
      </c>
      <c r="D184" s="802">
        <v>4.4199999999999997E-5</v>
      </c>
      <c r="E184" s="803">
        <v>15848</v>
      </c>
      <c r="F184" s="803">
        <v>19837</v>
      </c>
      <c r="G184" s="803">
        <v>104631</v>
      </c>
      <c r="H184" s="803"/>
      <c r="I184" s="804">
        <v>1966</v>
      </c>
      <c r="J184" s="804">
        <v>91690</v>
      </c>
      <c r="K184" s="804">
        <v>7166</v>
      </c>
      <c r="L184" s="803">
        <v>6810</v>
      </c>
      <c r="M184" s="803"/>
      <c r="N184" s="804">
        <v>3666</v>
      </c>
      <c r="O184" s="804">
        <v>33842</v>
      </c>
      <c r="P184" s="804">
        <v>0</v>
      </c>
      <c r="Q184" s="803">
        <v>3972</v>
      </c>
      <c r="R184" s="803"/>
      <c r="S184" s="804">
        <v>27966</v>
      </c>
      <c r="T184" s="805">
        <v>602</v>
      </c>
      <c r="U184" s="805">
        <v>28568</v>
      </c>
    </row>
    <row r="185" spans="1:21" x14ac:dyDescent="0.25">
      <c r="A185" s="800">
        <v>91801</v>
      </c>
      <c r="B185" s="801" t="s">
        <v>2827</v>
      </c>
      <c r="C185" s="802">
        <v>8.3853999999999995E-3</v>
      </c>
      <c r="D185" s="802">
        <v>8.1784000000000006E-3</v>
      </c>
      <c r="E185" s="803">
        <v>3229080.93</v>
      </c>
      <c r="F185" s="803">
        <v>3670417</v>
      </c>
      <c r="G185" s="803">
        <v>17796628</v>
      </c>
      <c r="H185" s="803"/>
      <c r="I185" s="804">
        <v>334368</v>
      </c>
      <c r="J185" s="804">
        <v>15595519</v>
      </c>
      <c r="K185" s="804">
        <v>1218910</v>
      </c>
      <c r="L185" s="803">
        <v>0</v>
      </c>
      <c r="M185" s="803"/>
      <c r="N185" s="804">
        <v>623614</v>
      </c>
      <c r="O185" s="804">
        <v>5756225</v>
      </c>
      <c r="P185" s="804">
        <v>0</v>
      </c>
      <c r="Q185" s="803">
        <v>122778</v>
      </c>
      <c r="R185" s="803"/>
      <c r="S185" s="804">
        <v>4756777</v>
      </c>
      <c r="T185" s="805">
        <v>-45736</v>
      </c>
      <c r="U185" s="805">
        <v>4711042</v>
      </c>
    </row>
    <row r="186" spans="1:21" x14ac:dyDescent="0.25">
      <c r="A186" s="800">
        <v>91804</v>
      </c>
      <c r="B186" s="801" t="s">
        <v>2828</v>
      </c>
      <c r="C186" s="802">
        <v>1.462E-4</v>
      </c>
      <c r="D186" s="802">
        <v>1.4349999999999999E-4</v>
      </c>
      <c r="E186" s="803">
        <v>90420.56</v>
      </c>
      <c r="F186" s="803">
        <v>64402</v>
      </c>
      <c r="G186" s="803">
        <v>310285</v>
      </c>
      <c r="H186" s="803"/>
      <c r="I186" s="804">
        <v>5830</v>
      </c>
      <c r="J186" s="804">
        <v>271909</v>
      </c>
      <c r="K186" s="804">
        <v>21252</v>
      </c>
      <c r="L186" s="803">
        <v>55024</v>
      </c>
      <c r="M186" s="803"/>
      <c r="N186" s="804">
        <v>10873</v>
      </c>
      <c r="O186" s="804">
        <v>100360</v>
      </c>
      <c r="P186" s="804">
        <v>0</v>
      </c>
      <c r="Q186" s="803">
        <v>0</v>
      </c>
      <c r="R186" s="803"/>
      <c r="S186" s="804">
        <v>82935</v>
      </c>
      <c r="T186" s="805">
        <v>18762</v>
      </c>
      <c r="U186" s="805">
        <v>101697</v>
      </c>
    </row>
    <row r="187" spans="1:21" x14ac:dyDescent="0.25">
      <c r="A187" s="800">
        <v>91811</v>
      </c>
      <c r="B187" s="801" t="s">
        <v>2829</v>
      </c>
      <c r="C187" s="802">
        <v>4.6454000000000001E-3</v>
      </c>
      <c r="D187" s="802">
        <v>5.0266E-3</v>
      </c>
      <c r="E187" s="803">
        <v>1763088</v>
      </c>
      <c r="F187" s="803">
        <v>2255908</v>
      </c>
      <c r="G187" s="803">
        <v>9859095</v>
      </c>
      <c r="H187" s="803"/>
      <c r="I187" s="804">
        <v>185235</v>
      </c>
      <c r="J187" s="804">
        <v>8639710</v>
      </c>
      <c r="K187" s="804">
        <v>675260</v>
      </c>
      <c r="L187" s="803">
        <v>0</v>
      </c>
      <c r="M187" s="803"/>
      <c r="N187" s="804">
        <v>345474</v>
      </c>
      <c r="O187" s="804">
        <v>3188872</v>
      </c>
      <c r="P187" s="804">
        <v>0</v>
      </c>
      <c r="Q187" s="803">
        <v>514506</v>
      </c>
      <c r="R187" s="803"/>
      <c r="S187" s="804">
        <v>2635191</v>
      </c>
      <c r="T187" s="805">
        <v>-157089</v>
      </c>
      <c r="U187" s="805">
        <v>2478102</v>
      </c>
    </row>
    <row r="188" spans="1:21" x14ac:dyDescent="0.25">
      <c r="A188" s="800">
        <v>91812</v>
      </c>
      <c r="B188" s="801" t="s">
        <v>2830</v>
      </c>
      <c r="C188" s="802">
        <v>5.8199999999999998E-5</v>
      </c>
      <c r="D188" s="802">
        <v>4.1499999999999999E-5</v>
      </c>
      <c r="E188" s="803">
        <v>24707</v>
      </c>
      <c r="F188" s="803">
        <v>18625</v>
      </c>
      <c r="G188" s="803">
        <v>123520</v>
      </c>
      <c r="H188" s="803"/>
      <c r="I188" s="804">
        <v>2320.7249999999999</v>
      </c>
      <c r="J188" s="804">
        <v>108243</v>
      </c>
      <c r="K188" s="804">
        <v>8460</v>
      </c>
      <c r="L188" s="803">
        <v>16587</v>
      </c>
      <c r="M188" s="803"/>
      <c r="N188" s="804">
        <v>4328</v>
      </c>
      <c r="O188" s="804">
        <v>39952</v>
      </c>
      <c r="P188" s="804">
        <v>0</v>
      </c>
      <c r="Q188" s="803">
        <v>0</v>
      </c>
      <c r="R188" s="803"/>
      <c r="S188" s="804">
        <v>33015</v>
      </c>
      <c r="T188" s="805">
        <v>5261</v>
      </c>
      <c r="U188" s="805">
        <v>38276</v>
      </c>
    </row>
    <row r="189" spans="1:21" x14ac:dyDescent="0.25">
      <c r="A189" s="800">
        <v>91813</v>
      </c>
      <c r="B189" s="801" t="s">
        <v>2831</v>
      </c>
      <c r="C189" s="802">
        <v>1.083E-4</v>
      </c>
      <c r="D189" s="802">
        <v>9.6100000000000005E-5</v>
      </c>
      <c r="E189" s="803">
        <v>43088.72</v>
      </c>
      <c r="F189" s="803">
        <v>43129</v>
      </c>
      <c r="G189" s="803">
        <v>229849</v>
      </c>
      <c r="H189" s="803"/>
      <c r="I189" s="804">
        <v>4318</v>
      </c>
      <c r="J189" s="804">
        <v>201421</v>
      </c>
      <c r="K189" s="804">
        <v>15743</v>
      </c>
      <c r="L189" s="803">
        <v>16214</v>
      </c>
      <c r="M189" s="803"/>
      <c r="N189" s="804">
        <v>8054</v>
      </c>
      <c r="O189" s="804">
        <v>74343</v>
      </c>
      <c r="P189" s="804">
        <v>0</v>
      </c>
      <c r="Q189" s="803">
        <v>5268</v>
      </c>
      <c r="R189" s="803"/>
      <c r="S189" s="804">
        <v>61435</v>
      </c>
      <c r="T189" s="805">
        <v>2581</v>
      </c>
      <c r="U189" s="805">
        <v>64016</v>
      </c>
    </row>
    <row r="190" spans="1:21" x14ac:dyDescent="0.25">
      <c r="A190" s="800">
        <v>91818</v>
      </c>
      <c r="B190" s="801" t="s">
        <v>2832</v>
      </c>
      <c r="C190" s="802">
        <v>3.8559999999999999E-4</v>
      </c>
      <c r="D190" s="802">
        <v>3.8890000000000002E-4</v>
      </c>
      <c r="E190" s="803">
        <v>416376</v>
      </c>
      <c r="F190" s="803">
        <v>174536</v>
      </c>
      <c r="G190" s="803">
        <v>818372</v>
      </c>
      <c r="H190" s="803"/>
      <c r="I190" s="804">
        <v>15375.8</v>
      </c>
      <c r="J190" s="804">
        <v>717155</v>
      </c>
      <c r="K190" s="804">
        <v>56051</v>
      </c>
      <c r="L190" s="803">
        <v>347266</v>
      </c>
      <c r="M190" s="803"/>
      <c r="N190" s="804">
        <v>28677</v>
      </c>
      <c r="O190" s="804">
        <v>264698</v>
      </c>
      <c r="P190" s="804">
        <v>0</v>
      </c>
      <c r="Q190" s="803">
        <v>10099</v>
      </c>
      <c r="R190" s="803"/>
      <c r="S190" s="804">
        <v>218739</v>
      </c>
      <c r="T190" s="805">
        <v>98677</v>
      </c>
      <c r="U190" s="805">
        <v>317416</v>
      </c>
    </row>
    <row r="191" spans="1:21" x14ac:dyDescent="0.25">
      <c r="A191" s="800">
        <v>91819</v>
      </c>
      <c r="B191" s="801" t="s">
        <v>2833</v>
      </c>
      <c r="C191" s="802">
        <v>2.8200000000000002E-4</v>
      </c>
      <c r="D191" s="802">
        <v>2.9609999999999999E-4</v>
      </c>
      <c r="E191" s="803">
        <v>118267.02</v>
      </c>
      <c r="F191" s="803">
        <v>132888</v>
      </c>
      <c r="G191" s="803">
        <v>598498</v>
      </c>
      <c r="H191" s="803"/>
      <c r="I191" s="804">
        <v>11245</v>
      </c>
      <c r="J191" s="804">
        <v>524475</v>
      </c>
      <c r="K191" s="804">
        <v>40992</v>
      </c>
      <c r="L191" s="803">
        <v>13743</v>
      </c>
      <c r="M191" s="803"/>
      <c r="N191" s="804">
        <v>20972</v>
      </c>
      <c r="O191" s="804">
        <v>193581</v>
      </c>
      <c r="P191" s="804">
        <v>0</v>
      </c>
      <c r="Q191" s="803">
        <v>11963</v>
      </c>
      <c r="R191" s="803"/>
      <c r="S191" s="804">
        <v>159970</v>
      </c>
      <c r="T191" s="805">
        <v>3219</v>
      </c>
      <c r="U191" s="805">
        <v>163189</v>
      </c>
    </row>
    <row r="192" spans="1:21" x14ac:dyDescent="0.25">
      <c r="A192" s="800">
        <v>91821</v>
      </c>
      <c r="B192" s="801" t="s">
        <v>2834</v>
      </c>
      <c r="C192" s="802">
        <v>1.63E-4</v>
      </c>
      <c r="D192" s="802">
        <v>1.5799999999999999E-4</v>
      </c>
      <c r="E192" s="803">
        <v>61732.91</v>
      </c>
      <c r="F192" s="803">
        <v>70909</v>
      </c>
      <c r="G192" s="803">
        <v>345941</v>
      </c>
      <c r="H192" s="803"/>
      <c r="I192" s="804">
        <v>6499.625</v>
      </c>
      <c r="J192" s="804">
        <v>303154</v>
      </c>
      <c r="K192" s="804">
        <v>23694</v>
      </c>
      <c r="L192" s="803">
        <v>4196</v>
      </c>
      <c r="M192" s="803"/>
      <c r="N192" s="804">
        <v>12122</v>
      </c>
      <c r="O192" s="804">
        <v>111893</v>
      </c>
      <c r="P192" s="804">
        <v>0</v>
      </c>
      <c r="Q192" s="803">
        <v>1501</v>
      </c>
      <c r="R192" s="803"/>
      <c r="S192" s="804">
        <v>92465</v>
      </c>
      <c r="T192" s="805">
        <v>1532</v>
      </c>
      <c r="U192" s="805">
        <v>93997</v>
      </c>
    </row>
    <row r="193" spans="1:21" x14ac:dyDescent="0.25">
      <c r="A193" s="800">
        <v>91831</v>
      </c>
      <c r="B193" s="801" t="s">
        <v>2835</v>
      </c>
      <c r="C193" s="802">
        <v>3.414E-4</v>
      </c>
      <c r="D193" s="802">
        <v>3.344E-4</v>
      </c>
      <c r="E193" s="803">
        <v>124107.91</v>
      </c>
      <c r="F193" s="803">
        <v>150077</v>
      </c>
      <c r="G193" s="803">
        <v>724565</v>
      </c>
      <c r="H193" s="803"/>
      <c r="I193" s="804">
        <v>13613</v>
      </c>
      <c r="J193" s="804">
        <v>634950</v>
      </c>
      <c r="K193" s="804">
        <v>49626</v>
      </c>
      <c r="L193" s="803">
        <v>12411</v>
      </c>
      <c r="M193" s="803"/>
      <c r="N193" s="804">
        <v>25390</v>
      </c>
      <c r="O193" s="804">
        <v>234357</v>
      </c>
      <c r="P193" s="804">
        <v>0</v>
      </c>
      <c r="Q193" s="803">
        <v>9146</v>
      </c>
      <c r="R193" s="803"/>
      <c r="S193" s="804">
        <v>193666</v>
      </c>
      <c r="T193" s="805">
        <v>2194</v>
      </c>
      <c r="U193" s="805">
        <v>195860</v>
      </c>
    </row>
    <row r="194" spans="1:21" x14ac:dyDescent="0.25">
      <c r="A194" s="800">
        <v>91841</v>
      </c>
      <c r="B194" s="801" t="s">
        <v>2836</v>
      </c>
      <c r="C194" s="802">
        <v>2.63E-4</v>
      </c>
      <c r="D194" s="802">
        <v>2.7290000000000002E-4</v>
      </c>
      <c r="E194" s="803">
        <v>112188.05</v>
      </c>
      <c r="F194" s="803">
        <v>122476</v>
      </c>
      <c r="G194" s="803">
        <v>558174</v>
      </c>
      <c r="H194" s="803"/>
      <c r="I194" s="804">
        <v>10487.125</v>
      </c>
      <c r="J194" s="804">
        <v>489138</v>
      </c>
      <c r="K194" s="804">
        <v>38230</v>
      </c>
      <c r="L194" s="803">
        <v>0</v>
      </c>
      <c r="M194" s="803"/>
      <c r="N194" s="804">
        <v>19559</v>
      </c>
      <c r="O194" s="804">
        <v>180538</v>
      </c>
      <c r="P194" s="804">
        <v>0</v>
      </c>
      <c r="Q194" s="803">
        <v>24859</v>
      </c>
      <c r="R194" s="803"/>
      <c r="S194" s="804">
        <v>149192</v>
      </c>
      <c r="T194" s="805">
        <v>-10148</v>
      </c>
      <c r="U194" s="805">
        <v>139044</v>
      </c>
    </row>
    <row r="195" spans="1:21" x14ac:dyDescent="0.25">
      <c r="A195" s="800">
        <v>91851</v>
      </c>
      <c r="B195" s="801" t="s">
        <v>2837</v>
      </c>
      <c r="C195" s="802">
        <v>7.2059999999999995E-4</v>
      </c>
      <c r="D195" s="802">
        <v>7.8410000000000003E-4</v>
      </c>
      <c r="E195" s="803">
        <v>289167</v>
      </c>
      <c r="F195" s="803">
        <v>351899</v>
      </c>
      <c r="G195" s="803">
        <v>1529355</v>
      </c>
      <c r="H195" s="803"/>
      <c r="I195" s="804">
        <v>28734</v>
      </c>
      <c r="J195" s="804">
        <v>1340202</v>
      </c>
      <c r="K195" s="804">
        <v>104747</v>
      </c>
      <c r="L195" s="803">
        <v>7182</v>
      </c>
      <c r="M195" s="803"/>
      <c r="N195" s="804">
        <v>53590</v>
      </c>
      <c r="O195" s="804">
        <v>494662</v>
      </c>
      <c r="P195" s="804">
        <v>0</v>
      </c>
      <c r="Q195" s="803">
        <v>62684</v>
      </c>
      <c r="R195" s="803"/>
      <c r="S195" s="804">
        <v>408774</v>
      </c>
      <c r="T195" s="805">
        <v>-14788</v>
      </c>
      <c r="U195" s="805">
        <v>393986</v>
      </c>
    </row>
    <row r="196" spans="1:21" x14ac:dyDescent="0.25">
      <c r="A196" s="800">
        <v>91861</v>
      </c>
      <c r="B196" s="801" t="s">
        <v>2838</v>
      </c>
      <c r="C196" s="802">
        <v>1.9899999999999999E-5</v>
      </c>
      <c r="D196" s="802">
        <v>1.8499999999999999E-5</v>
      </c>
      <c r="E196" s="803">
        <v>7958</v>
      </c>
      <c r="F196" s="803">
        <v>8303</v>
      </c>
      <c r="G196" s="803">
        <v>42234</v>
      </c>
      <c r="H196" s="803"/>
      <c r="I196" s="804">
        <v>794</v>
      </c>
      <c r="J196" s="804">
        <v>37011</v>
      </c>
      <c r="K196" s="804">
        <v>2893</v>
      </c>
      <c r="L196" s="803">
        <v>3091</v>
      </c>
      <c r="M196" s="803"/>
      <c r="N196" s="804">
        <v>1480</v>
      </c>
      <c r="O196" s="804">
        <v>13661</v>
      </c>
      <c r="P196" s="804">
        <v>0</v>
      </c>
      <c r="Q196" s="803">
        <v>221</v>
      </c>
      <c r="R196" s="803"/>
      <c r="S196" s="804">
        <v>11289</v>
      </c>
      <c r="T196" s="805">
        <v>930</v>
      </c>
      <c r="U196" s="805">
        <v>12219</v>
      </c>
    </row>
    <row r="197" spans="1:21" x14ac:dyDescent="0.25">
      <c r="A197" s="800">
        <v>91871</v>
      </c>
      <c r="B197" s="801" t="s">
        <v>2839</v>
      </c>
      <c r="C197" s="802">
        <v>1.2712000000000001E-3</v>
      </c>
      <c r="D197" s="802">
        <v>1.3523000000000001E-3</v>
      </c>
      <c r="E197" s="803">
        <v>508749.63</v>
      </c>
      <c r="F197" s="803">
        <v>606904</v>
      </c>
      <c r="G197" s="803">
        <v>2697912</v>
      </c>
      <c r="H197" s="803"/>
      <c r="I197" s="804">
        <v>50689</v>
      </c>
      <c r="J197" s="804">
        <v>2364231</v>
      </c>
      <c r="K197" s="804">
        <v>184783</v>
      </c>
      <c r="L197" s="803">
        <v>0</v>
      </c>
      <c r="M197" s="803"/>
      <c r="N197" s="804">
        <v>94538</v>
      </c>
      <c r="O197" s="804">
        <v>872625</v>
      </c>
      <c r="P197" s="804">
        <v>0</v>
      </c>
      <c r="Q197" s="803">
        <v>108234</v>
      </c>
      <c r="R197" s="803"/>
      <c r="S197" s="804">
        <v>721112</v>
      </c>
      <c r="T197" s="805">
        <v>-34437</v>
      </c>
      <c r="U197" s="805">
        <v>686676</v>
      </c>
    </row>
    <row r="198" spans="1:21" x14ac:dyDescent="0.25">
      <c r="A198" s="800">
        <v>91881</v>
      </c>
      <c r="B198" s="801" t="s">
        <v>2840</v>
      </c>
      <c r="C198" s="802">
        <v>1.01E-5</v>
      </c>
      <c r="D198" s="802">
        <v>2.1399999999999998E-5</v>
      </c>
      <c r="E198" s="803">
        <v>5881.13</v>
      </c>
      <c r="F198" s="803">
        <v>9604</v>
      </c>
      <c r="G198" s="803">
        <v>21436</v>
      </c>
      <c r="H198" s="803"/>
      <c r="I198" s="804">
        <v>402.73750000000001</v>
      </c>
      <c r="J198" s="804">
        <v>18784</v>
      </c>
      <c r="K198" s="804">
        <v>1468</v>
      </c>
      <c r="L198" s="803">
        <v>0</v>
      </c>
      <c r="M198" s="803"/>
      <c r="N198" s="804">
        <v>751</v>
      </c>
      <c r="O198" s="804">
        <v>6933</v>
      </c>
      <c r="P198" s="804">
        <v>0</v>
      </c>
      <c r="Q198" s="803">
        <v>14714</v>
      </c>
      <c r="R198" s="803"/>
      <c r="S198" s="804">
        <v>5729</v>
      </c>
      <c r="T198" s="805">
        <v>-5904</v>
      </c>
      <c r="U198" s="805">
        <v>-175</v>
      </c>
    </row>
    <row r="199" spans="1:21" x14ac:dyDescent="0.25">
      <c r="A199" s="800">
        <v>91901</v>
      </c>
      <c r="B199" s="801" t="s">
        <v>2841</v>
      </c>
      <c r="C199" s="802">
        <v>3.6564000000000002E-3</v>
      </c>
      <c r="D199" s="802">
        <v>3.4198000000000002E-3</v>
      </c>
      <c r="E199" s="803">
        <v>1388384.1</v>
      </c>
      <c r="F199" s="803">
        <v>1534786</v>
      </c>
      <c r="G199" s="803">
        <v>7760106</v>
      </c>
      <c r="H199" s="803"/>
      <c r="I199" s="804">
        <v>145799</v>
      </c>
      <c r="J199" s="804">
        <v>6800326</v>
      </c>
      <c r="K199" s="804">
        <v>531498</v>
      </c>
      <c r="L199" s="803">
        <v>147570</v>
      </c>
      <c r="M199" s="803"/>
      <c r="N199" s="804">
        <v>271923</v>
      </c>
      <c r="O199" s="804">
        <v>2509965</v>
      </c>
      <c r="P199" s="804">
        <v>0</v>
      </c>
      <c r="Q199" s="803">
        <v>0</v>
      </c>
      <c r="R199" s="803"/>
      <c r="S199" s="804">
        <v>2074162</v>
      </c>
      <c r="T199" s="805">
        <v>57850</v>
      </c>
      <c r="U199" s="805">
        <v>2132013</v>
      </c>
    </row>
    <row r="200" spans="1:21" x14ac:dyDescent="0.25">
      <c r="A200" s="800">
        <v>91903</v>
      </c>
      <c r="B200" s="801" t="s">
        <v>2842</v>
      </c>
      <c r="C200" s="802">
        <v>8.3999999999999992E-6</v>
      </c>
      <c r="D200" s="802">
        <v>9.5000000000000005E-6</v>
      </c>
      <c r="E200" s="803">
        <v>4422</v>
      </c>
      <c r="F200" s="803">
        <v>4264</v>
      </c>
      <c r="G200" s="803">
        <v>17828</v>
      </c>
      <c r="H200" s="803"/>
      <c r="I200" s="804">
        <v>334.95</v>
      </c>
      <c r="J200" s="804">
        <v>15623</v>
      </c>
      <c r="K200" s="804">
        <v>1221</v>
      </c>
      <c r="L200" s="803">
        <v>656</v>
      </c>
      <c r="M200" s="803"/>
      <c r="N200" s="804">
        <v>625</v>
      </c>
      <c r="O200" s="804">
        <v>5766</v>
      </c>
      <c r="P200" s="804">
        <v>0</v>
      </c>
      <c r="Q200" s="803">
        <v>6052</v>
      </c>
      <c r="R200" s="803"/>
      <c r="S200" s="804">
        <v>4765</v>
      </c>
      <c r="T200" s="805">
        <v>-2825</v>
      </c>
      <c r="U200" s="805">
        <v>1940</v>
      </c>
    </row>
    <row r="201" spans="1:21" x14ac:dyDescent="0.25">
      <c r="A201" s="800">
        <v>91904</v>
      </c>
      <c r="B201" s="801" t="s">
        <v>2843</v>
      </c>
      <c r="C201" s="802">
        <v>2.3300000000000001E-5</v>
      </c>
      <c r="D201" s="802">
        <v>1.1600000000000001E-5</v>
      </c>
      <c r="E201" s="803">
        <v>9195</v>
      </c>
      <c r="F201" s="803">
        <v>5206</v>
      </c>
      <c r="G201" s="803">
        <v>49450</v>
      </c>
      <c r="H201" s="803"/>
      <c r="I201" s="804">
        <v>929.08749999999998</v>
      </c>
      <c r="J201" s="804">
        <v>43334</v>
      </c>
      <c r="K201" s="804">
        <v>3387</v>
      </c>
      <c r="L201" s="803">
        <v>9161</v>
      </c>
      <c r="M201" s="803"/>
      <c r="N201" s="804">
        <v>1733</v>
      </c>
      <c r="O201" s="804">
        <v>15994</v>
      </c>
      <c r="P201" s="804">
        <v>0</v>
      </c>
      <c r="Q201" s="803">
        <v>0</v>
      </c>
      <c r="R201" s="803"/>
      <c r="S201" s="804">
        <v>13217</v>
      </c>
      <c r="T201" s="805">
        <v>3062</v>
      </c>
      <c r="U201" s="805">
        <v>16279</v>
      </c>
    </row>
    <row r="202" spans="1:21" x14ac:dyDescent="0.25">
      <c r="A202" s="800">
        <v>91908</v>
      </c>
      <c r="B202" s="801" t="s">
        <v>2844</v>
      </c>
      <c r="C202" s="802">
        <v>1.3699999999999999E-5</v>
      </c>
      <c r="D202" s="802">
        <v>1.73E-5</v>
      </c>
      <c r="E202" s="803">
        <v>3751.2</v>
      </c>
      <c r="F202" s="803">
        <v>7764</v>
      </c>
      <c r="G202" s="803">
        <v>29076</v>
      </c>
      <c r="H202" s="803"/>
      <c r="I202" s="804">
        <v>546.28750000000002</v>
      </c>
      <c r="J202" s="804">
        <v>25480</v>
      </c>
      <c r="K202" s="804">
        <v>1991</v>
      </c>
      <c r="L202" s="803">
        <v>1638</v>
      </c>
      <c r="M202" s="803"/>
      <c r="N202" s="804">
        <v>1019</v>
      </c>
      <c r="O202" s="804">
        <v>9404</v>
      </c>
      <c r="P202" s="804">
        <v>0</v>
      </c>
      <c r="Q202" s="803">
        <v>3446</v>
      </c>
      <c r="R202" s="803"/>
      <c r="S202" s="804">
        <v>7772</v>
      </c>
      <c r="T202" s="805">
        <v>-83</v>
      </c>
      <c r="U202" s="805">
        <v>7689</v>
      </c>
    </row>
    <row r="203" spans="1:21" x14ac:dyDescent="0.25">
      <c r="A203" s="800">
        <v>91911</v>
      </c>
      <c r="B203" s="801" t="s">
        <v>2845</v>
      </c>
      <c r="C203" s="802">
        <v>4.639E-4</v>
      </c>
      <c r="D203" s="802">
        <v>4.4079999999999998E-4</v>
      </c>
      <c r="E203" s="803">
        <v>186806.7</v>
      </c>
      <c r="F203" s="803">
        <v>197828</v>
      </c>
      <c r="G203" s="803">
        <v>984551</v>
      </c>
      <c r="H203" s="803"/>
      <c r="I203" s="804">
        <v>18498</v>
      </c>
      <c r="J203" s="804">
        <v>862781</v>
      </c>
      <c r="K203" s="804">
        <v>67433</v>
      </c>
      <c r="L203" s="803">
        <v>9361</v>
      </c>
      <c r="M203" s="803"/>
      <c r="N203" s="804">
        <v>34500</v>
      </c>
      <c r="O203" s="804">
        <v>318448</v>
      </c>
      <c r="P203" s="804">
        <v>0</v>
      </c>
      <c r="Q203" s="803">
        <v>8482</v>
      </c>
      <c r="R203" s="803"/>
      <c r="S203" s="804">
        <v>263156</v>
      </c>
      <c r="T203" s="805">
        <v>-1046</v>
      </c>
      <c r="U203" s="805">
        <v>262110</v>
      </c>
    </row>
    <row r="204" spans="1:21" x14ac:dyDescent="0.25">
      <c r="A204" s="800">
        <v>91917</v>
      </c>
      <c r="B204" s="801" t="s">
        <v>2846</v>
      </c>
      <c r="C204" s="802">
        <v>1.36E-5</v>
      </c>
      <c r="D204" s="802">
        <v>1.42E-5</v>
      </c>
      <c r="E204" s="803">
        <v>6743.42</v>
      </c>
      <c r="F204" s="803">
        <v>6373</v>
      </c>
      <c r="G204" s="803">
        <v>28864</v>
      </c>
      <c r="H204" s="803"/>
      <c r="I204" s="804">
        <v>542</v>
      </c>
      <c r="J204" s="804">
        <v>25294</v>
      </c>
      <c r="K204" s="804">
        <v>1977</v>
      </c>
      <c r="L204" s="803">
        <v>731</v>
      </c>
      <c r="M204" s="803"/>
      <c r="N204" s="804">
        <v>1011</v>
      </c>
      <c r="O204" s="804">
        <v>9336</v>
      </c>
      <c r="P204" s="804">
        <v>0</v>
      </c>
      <c r="Q204" s="803">
        <v>0</v>
      </c>
      <c r="R204" s="803"/>
      <c r="S204" s="804">
        <v>7715</v>
      </c>
      <c r="T204" s="805">
        <v>203</v>
      </c>
      <c r="U204" s="805">
        <v>7918</v>
      </c>
    </row>
    <row r="205" spans="1:21" x14ac:dyDescent="0.25">
      <c r="A205" s="800">
        <v>91921</v>
      </c>
      <c r="B205" s="801" t="s">
        <v>2847</v>
      </c>
      <c r="C205" s="802">
        <v>3.6600000000000001E-4</v>
      </c>
      <c r="D205" s="802">
        <v>3.4840000000000001E-4</v>
      </c>
      <c r="E205" s="803">
        <v>136994.49</v>
      </c>
      <c r="F205" s="803">
        <v>156360</v>
      </c>
      <c r="G205" s="803">
        <v>776774.61</v>
      </c>
      <c r="H205" s="803"/>
      <c r="I205" s="804">
        <v>14594.25</v>
      </c>
      <c r="J205" s="804">
        <v>680702</v>
      </c>
      <c r="K205" s="804">
        <v>53202</v>
      </c>
      <c r="L205" s="803">
        <v>0</v>
      </c>
      <c r="M205" s="803"/>
      <c r="N205" s="804">
        <v>27219</v>
      </c>
      <c r="O205" s="804">
        <v>251244</v>
      </c>
      <c r="P205" s="804">
        <v>0</v>
      </c>
      <c r="Q205" s="803">
        <v>12578</v>
      </c>
      <c r="R205" s="803"/>
      <c r="S205" s="804">
        <v>207620</v>
      </c>
      <c r="T205" s="805">
        <v>-4638</v>
      </c>
      <c r="U205" s="805">
        <v>202982</v>
      </c>
    </row>
    <row r="206" spans="1:21" x14ac:dyDescent="0.25">
      <c r="A206" s="800">
        <v>92001</v>
      </c>
      <c r="B206" s="801" t="s">
        <v>2848</v>
      </c>
      <c r="C206" s="802">
        <v>1.9604000000000002E-3</v>
      </c>
      <c r="D206" s="802">
        <v>1.7531000000000001E-3</v>
      </c>
      <c r="E206" s="803">
        <v>743048.49</v>
      </c>
      <c r="F206" s="803">
        <v>786781</v>
      </c>
      <c r="G206" s="803">
        <v>4160626</v>
      </c>
      <c r="H206" s="803"/>
      <c r="I206" s="804">
        <v>78171</v>
      </c>
      <c r="J206" s="804">
        <v>3646034</v>
      </c>
      <c r="K206" s="804">
        <v>284966</v>
      </c>
      <c r="L206" s="803">
        <v>65513</v>
      </c>
      <c r="M206" s="803"/>
      <c r="N206" s="804">
        <v>145793</v>
      </c>
      <c r="O206" s="804">
        <v>1345732</v>
      </c>
      <c r="P206" s="804">
        <v>0</v>
      </c>
      <c r="Q206" s="803">
        <v>52440.480000000003</v>
      </c>
      <c r="R206" s="803"/>
      <c r="S206" s="804">
        <v>1112074</v>
      </c>
      <c r="T206" s="805">
        <v>-9057</v>
      </c>
      <c r="U206" s="805">
        <v>1103017</v>
      </c>
    </row>
    <row r="207" spans="1:21" x14ac:dyDescent="0.25">
      <c r="A207" s="800">
        <v>92005</v>
      </c>
      <c r="B207" s="801" t="s">
        <v>2849</v>
      </c>
      <c r="C207" s="802">
        <v>4.6499999999999999E-5</v>
      </c>
      <c r="D207" s="802">
        <v>4.5800000000000002E-5</v>
      </c>
      <c r="E207" s="803">
        <v>20891.13</v>
      </c>
      <c r="F207" s="803">
        <v>20555</v>
      </c>
      <c r="G207" s="803">
        <v>98689</v>
      </c>
      <c r="H207" s="803"/>
      <c r="I207" s="804">
        <v>1854.1875</v>
      </c>
      <c r="J207" s="804">
        <v>86483</v>
      </c>
      <c r="K207" s="804">
        <v>6759</v>
      </c>
      <c r="L207" s="803">
        <v>2627</v>
      </c>
      <c r="M207" s="803"/>
      <c r="N207" s="804">
        <v>3458</v>
      </c>
      <c r="O207" s="804">
        <v>31920</v>
      </c>
      <c r="P207" s="804">
        <v>0</v>
      </c>
      <c r="Q207" s="803">
        <v>597</v>
      </c>
      <c r="R207" s="803"/>
      <c r="S207" s="804">
        <v>26378</v>
      </c>
      <c r="T207" s="805">
        <v>674</v>
      </c>
      <c r="U207" s="805">
        <v>27053</v>
      </c>
    </row>
    <row r="208" spans="1:21" x14ac:dyDescent="0.25">
      <c r="A208" s="800">
        <v>92011</v>
      </c>
      <c r="B208" s="801" t="s">
        <v>2850</v>
      </c>
      <c r="C208" s="802">
        <v>1.8660000000000001E-4</v>
      </c>
      <c r="D208" s="802">
        <v>1.8230000000000001E-4</v>
      </c>
      <c r="E208" s="803">
        <v>77716</v>
      </c>
      <c r="F208" s="803">
        <v>81815</v>
      </c>
      <c r="G208" s="803">
        <v>396028</v>
      </c>
      <c r="H208" s="803"/>
      <c r="I208" s="804">
        <v>7441</v>
      </c>
      <c r="J208" s="804">
        <v>347047</v>
      </c>
      <c r="K208" s="804">
        <v>27124</v>
      </c>
      <c r="L208" s="803">
        <v>17408</v>
      </c>
      <c r="M208" s="803"/>
      <c r="N208" s="804">
        <v>13877</v>
      </c>
      <c r="O208" s="804">
        <v>128093</v>
      </c>
      <c r="P208" s="804">
        <v>0</v>
      </c>
      <c r="Q208" s="803">
        <v>0</v>
      </c>
      <c r="R208" s="803"/>
      <c r="S208" s="804">
        <v>105852</v>
      </c>
      <c r="T208" s="805">
        <v>7783</v>
      </c>
      <c r="U208" s="805">
        <v>113635</v>
      </c>
    </row>
    <row r="209" spans="1:21" x14ac:dyDescent="0.25">
      <c r="A209" s="800">
        <v>92017</v>
      </c>
      <c r="B209" s="801" t="s">
        <v>2851</v>
      </c>
      <c r="C209" s="802">
        <v>3.5099999999999999E-5</v>
      </c>
      <c r="D209" s="802">
        <v>3.7100000000000001E-5</v>
      </c>
      <c r="E209" s="803">
        <v>14855.15</v>
      </c>
      <c r="F209" s="803">
        <v>16650</v>
      </c>
      <c r="G209" s="803">
        <v>74494</v>
      </c>
      <c r="H209" s="803"/>
      <c r="I209" s="804">
        <v>1400</v>
      </c>
      <c r="J209" s="804">
        <v>65280</v>
      </c>
      <c r="K209" s="804">
        <v>5102</v>
      </c>
      <c r="L209" s="803">
        <v>388</v>
      </c>
      <c r="M209" s="803"/>
      <c r="N209" s="804">
        <v>2610</v>
      </c>
      <c r="O209" s="804">
        <v>24095</v>
      </c>
      <c r="P209" s="804">
        <v>0</v>
      </c>
      <c r="Q209" s="803">
        <v>2160</v>
      </c>
      <c r="R209" s="803"/>
      <c r="S209" s="804">
        <v>19911</v>
      </c>
      <c r="T209" s="805">
        <v>-766</v>
      </c>
      <c r="U209" s="805">
        <v>19146</v>
      </c>
    </row>
    <row r="210" spans="1:21" x14ac:dyDescent="0.25">
      <c r="A210" s="800">
        <v>92021</v>
      </c>
      <c r="B210" s="801" t="s">
        <v>2852</v>
      </c>
      <c r="C210" s="802">
        <v>1.4249999999999999E-4</v>
      </c>
      <c r="D210" s="802">
        <v>9.8999999999999994E-5</v>
      </c>
      <c r="E210" s="803">
        <v>63077</v>
      </c>
      <c r="F210" s="803">
        <v>44431</v>
      </c>
      <c r="G210" s="803">
        <v>302433</v>
      </c>
      <c r="H210" s="803"/>
      <c r="I210" s="804">
        <v>5682.1875</v>
      </c>
      <c r="J210" s="804">
        <v>265027</v>
      </c>
      <c r="K210" s="804">
        <v>20714</v>
      </c>
      <c r="L210" s="803">
        <v>27119</v>
      </c>
      <c r="M210" s="803"/>
      <c r="N210" s="804">
        <v>10598</v>
      </c>
      <c r="O210" s="804">
        <v>97820</v>
      </c>
      <c r="P210" s="804">
        <v>0</v>
      </c>
      <c r="Q210" s="803">
        <v>18999</v>
      </c>
      <c r="R210" s="803"/>
      <c r="S210" s="804">
        <v>80836</v>
      </c>
      <c r="T210" s="805">
        <v>-831</v>
      </c>
      <c r="U210" s="805">
        <v>80004</v>
      </c>
    </row>
    <row r="211" spans="1:21" x14ac:dyDescent="0.25">
      <c r="A211" s="800">
        <v>92101</v>
      </c>
      <c r="B211" s="801" t="s">
        <v>2853</v>
      </c>
      <c r="C211" s="802">
        <v>8.6870000000000003E-4</v>
      </c>
      <c r="D211" s="802">
        <v>9.1750000000000002E-4</v>
      </c>
      <c r="E211" s="803">
        <v>332881</v>
      </c>
      <c r="F211" s="803">
        <v>411768</v>
      </c>
      <c r="G211" s="803">
        <v>1843672</v>
      </c>
      <c r="H211" s="803"/>
      <c r="I211" s="804">
        <v>34639</v>
      </c>
      <c r="J211" s="804">
        <v>1615645</v>
      </c>
      <c r="K211" s="804">
        <v>126275</v>
      </c>
      <c r="L211" s="803">
        <v>18519</v>
      </c>
      <c r="M211" s="803"/>
      <c r="N211" s="804">
        <v>64604</v>
      </c>
      <c r="O211" s="804">
        <v>596326</v>
      </c>
      <c r="P211" s="804">
        <v>0</v>
      </c>
      <c r="Q211" s="803">
        <v>45788</v>
      </c>
      <c r="R211" s="803"/>
      <c r="S211" s="804">
        <v>492787</v>
      </c>
      <c r="T211" s="805">
        <v>-2848</v>
      </c>
      <c r="U211" s="805">
        <v>489939</v>
      </c>
    </row>
    <row r="212" spans="1:21" x14ac:dyDescent="0.25">
      <c r="A212" s="800">
        <v>92104</v>
      </c>
      <c r="B212" s="801" t="s">
        <v>2854</v>
      </c>
      <c r="C212" s="802">
        <v>8.8000000000000004E-6</v>
      </c>
      <c r="D212" s="802">
        <v>8.1000000000000004E-6</v>
      </c>
      <c r="E212" s="803">
        <v>4596</v>
      </c>
      <c r="F212" s="803">
        <v>3635</v>
      </c>
      <c r="G212" s="803">
        <v>18677</v>
      </c>
      <c r="H212" s="803"/>
      <c r="I212" s="804">
        <v>351</v>
      </c>
      <c r="J212" s="804">
        <v>16367</v>
      </c>
      <c r="K212" s="804">
        <v>1279</v>
      </c>
      <c r="L212" s="803">
        <v>4163</v>
      </c>
      <c r="M212" s="803"/>
      <c r="N212" s="804">
        <v>654</v>
      </c>
      <c r="O212" s="804">
        <v>6041</v>
      </c>
      <c r="P212" s="804">
        <v>0</v>
      </c>
      <c r="Q212" s="803">
        <v>0</v>
      </c>
      <c r="R212" s="803"/>
      <c r="S212" s="804">
        <v>4992</v>
      </c>
      <c r="T212" s="805">
        <v>1637</v>
      </c>
      <c r="U212" s="805">
        <v>6629</v>
      </c>
    </row>
    <row r="213" spans="1:21" x14ac:dyDescent="0.25">
      <c r="A213" s="800">
        <v>92109</v>
      </c>
      <c r="B213" s="801" t="s">
        <v>2855</v>
      </c>
      <c r="C213" s="802">
        <v>1.7909999999999999E-4</v>
      </c>
      <c r="D213" s="802">
        <v>1.7310000000000001E-4</v>
      </c>
      <c r="E213" s="803">
        <v>70342</v>
      </c>
      <c r="F213" s="803">
        <v>77686</v>
      </c>
      <c r="G213" s="803">
        <v>380110</v>
      </c>
      <c r="H213" s="803"/>
      <c r="I213" s="804">
        <v>7142</v>
      </c>
      <c r="J213" s="804">
        <v>333098</v>
      </c>
      <c r="K213" s="804">
        <v>26034</v>
      </c>
      <c r="L213" s="803">
        <v>3189</v>
      </c>
      <c r="M213" s="803"/>
      <c r="N213" s="804">
        <v>13319</v>
      </c>
      <c r="O213" s="804">
        <v>122945</v>
      </c>
      <c r="P213" s="804">
        <v>0</v>
      </c>
      <c r="Q213" s="803">
        <v>19542</v>
      </c>
      <c r="R213" s="803"/>
      <c r="S213" s="804">
        <v>101598</v>
      </c>
      <c r="T213" s="805">
        <v>-5478</v>
      </c>
      <c r="U213" s="805">
        <v>96120</v>
      </c>
    </row>
    <row r="214" spans="1:21" x14ac:dyDescent="0.25">
      <c r="A214" s="800">
        <v>92111</v>
      </c>
      <c r="B214" s="801" t="s">
        <v>2856</v>
      </c>
      <c r="C214" s="802">
        <v>5.0009999999999996E-4</v>
      </c>
      <c r="D214" s="802">
        <v>5.3319999999999995E-4</v>
      </c>
      <c r="E214" s="803">
        <v>205690.42</v>
      </c>
      <c r="F214" s="803">
        <v>239297</v>
      </c>
      <c r="G214" s="803">
        <v>1061380</v>
      </c>
      <c r="H214" s="803"/>
      <c r="I214" s="804">
        <v>19941</v>
      </c>
      <c r="J214" s="804">
        <v>930107</v>
      </c>
      <c r="K214" s="804">
        <v>72695</v>
      </c>
      <c r="L214" s="803">
        <v>14524</v>
      </c>
      <c r="M214" s="803"/>
      <c r="N214" s="804">
        <v>37192</v>
      </c>
      <c r="O214" s="804">
        <v>343298</v>
      </c>
      <c r="P214" s="804">
        <v>0</v>
      </c>
      <c r="Q214" s="803">
        <v>17909</v>
      </c>
      <c r="R214" s="803"/>
      <c r="S214" s="804">
        <v>283691</v>
      </c>
      <c r="T214" s="805">
        <v>1816</v>
      </c>
      <c r="U214" s="805">
        <v>285507</v>
      </c>
    </row>
    <row r="215" spans="1:21" x14ac:dyDescent="0.25">
      <c r="A215" s="800">
        <v>92113</v>
      </c>
      <c r="B215" s="801" t="s">
        <v>2857</v>
      </c>
      <c r="C215" s="802">
        <v>2.2099999999999998E-5</v>
      </c>
      <c r="D215" s="802">
        <v>2.2900000000000001E-5</v>
      </c>
      <c r="E215" s="803">
        <v>27800</v>
      </c>
      <c r="F215" s="803">
        <v>10277</v>
      </c>
      <c r="G215" s="803">
        <v>46904</v>
      </c>
      <c r="H215" s="803"/>
      <c r="I215" s="804">
        <v>881.23749999999995</v>
      </c>
      <c r="J215" s="804">
        <v>41103</v>
      </c>
      <c r="K215" s="804">
        <v>3212</v>
      </c>
      <c r="L215" s="803">
        <v>25322</v>
      </c>
      <c r="M215" s="803"/>
      <c r="N215" s="804">
        <v>1644</v>
      </c>
      <c r="O215" s="804">
        <v>15171</v>
      </c>
      <c r="P215" s="804">
        <v>0</v>
      </c>
      <c r="Q215" s="803">
        <v>0</v>
      </c>
      <c r="R215" s="803"/>
      <c r="S215" s="804">
        <v>12537</v>
      </c>
      <c r="T215" s="805">
        <v>7718</v>
      </c>
      <c r="U215" s="805">
        <v>20255</v>
      </c>
    </row>
    <row r="216" spans="1:21" x14ac:dyDescent="0.25">
      <c r="A216" s="800">
        <v>92201</v>
      </c>
      <c r="B216" s="801" t="s">
        <v>2858</v>
      </c>
      <c r="C216" s="802">
        <v>1.0267E-3</v>
      </c>
      <c r="D216" s="802">
        <v>9.8930000000000003E-4</v>
      </c>
      <c r="E216" s="803">
        <v>411545</v>
      </c>
      <c r="F216" s="803">
        <v>443992</v>
      </c>
      <c r="G216" s="803">
        <v>2179001</v>
      </c>
      <c r="H216" s="803"/>
      <c r="I216" s="804">
        <v>40940</v>
      </c>
      <c r="J216" s="804">
        <v>1909500</v>
      </c>
      <c r="K216" s="804">
        <v>149242</v>
      </c>
      <c r="L216" s="803">
        <v>60698</v>
      </c>
      <c r="M216" s="803"/>
      <c r="N216" s="804">
        <v>76355</v>
      </c>
      <c r="O216" s="804">
        <v>704786</v>
      </c>
      <c r="P216" s="804">
        <v>0</v>
      </c>
      <c r="Q216" s="803">
        <v>0</v>
      </c>
      <c r="R216" s="803"/>
      <c r="S216" s="804">
        <v>582415</v>
      </c>
      <c r="T216" s="805">
        <v>23895</v>
      </c>
      <c r="U216" s="805">
        <v>606310</v>
      </c>
    </row>
    <row r="217" spans="1:21" x14ac:dyDescent="0.25">
      <c r="A217" s="800">
        <v>92301</v>
      </c>
      <c r="B217" s="801" t="s">
        <v>2859</v>
      </c>
      <c r="C217" s="802">
        <v>5.2411000000000003E-3</v>
      </c>
      <c r="D217" s="802">
        <v>5.0804999999999999E-3</v>
      </c>
      <c r="E217" s="803">
        <v>2094643.33</v>
      </c>
      <c r="F217" s="803">
        <v>2280098</v>
      </c>
      <c r="G217" s="803">
        <v>11123370</v>
      </c>
      <c r="H217" s="803"/>
      <c r="I217" s="804">
        <v>208989</v>
      </c>
      <c r="J217" s="804">
        <v>9747618</v>
      </c>
      <c r="K217" s="804">
        <v>761852</v>
      </c>
      <c r="L217" s="803">
        <v>77417</v>
      </c>
      <c r="M217" s="803"/>
      <c r="N217" s="804">
        <v>389775</v>
      </c>
      <c r="O217" s="804">
        <v>3597795</v>
      </c>
      <c r="P217" s="804">
        <v>0</v>
      </c>
      <c r="Q217" s="803">
        <v>16658.29</v>
      </c>
      <c r="R217" s="803"/>
      <c r="S217" s="804">
        <v>2973114</v>
      </c>
      <c r="T217" s="805">
        <v>15378</v>
      </c>
      <c r="U217" s="805">
        <v>2988491</v>
      </c>
    </row>
    <row r="218" spans="1:21" x14ac:dyDescent="0.25">
      <c r="A218" s="800">
        <v>92302</v>
      </c>
      <c r="B218" s="801" t="s">
        <v>2860</v>
      </c>
      <c r="C218" s="802">
        <v>3.168E-4</v>
      </c>
      <c r="D218" s="802">
        <v>2.9910000000000001E-4</v>
      </c>
      <c r="E218" s="803">
        <v>116637</v>
      </c>
      <c r="F218" s="803">
        <v>134234</v>
      </c>
      <c r="G218" s="803">
        <v>672356</v>
      </c>
      <c r="H218" s="803"/>
      <c r="I218" s="804">
        <v>12632.4</v>
      </c>
      <c r="J218" s="804">
        <v>589198</v>
      </c>
      <c r="K218" s="804">
        <v>46050</v>
      </c>
      <c r="L218" s="803">
        <v>0</v>
      </c>
      <c r="M218" s="803"/>
      <c r="N218" s="804">
        <v>23560</v>
      </c>
      <c r="O218" s="804">
        <v>217470</v>
      </c>
      <c r="P218" s="804">
        <v>0</v>
      </c>
      <c r="Q218" s="803">
        <v>9658</v>
      </c>
      <c r="R218" s="803"/>
      <c r="S218" s="804">
        <v>179711</v>
      </c>
      <c r="T218" s="805">
        <v>-3995</v>
      </c>
      <c r="U218" s="805">
        <v>175716</v>
      </c>
    </row>
    <row r="219" spans="1:21" x14ac:dyDescent="0.25">
      <c r="A219" s="800">
        <v>92311</v>
      </c>
      <c r="B219" s="801" t="s">
        <v>2861</v>
      </c>
      <c r="C219" s="802">
        <v>2.1857000000000001E-3</v>
      </c>
      <c r="D219" s="802">
        <v>2.1316E-3</v>
      </c>
      <c r="E219" s="803">
        <v>841005.71</v>
      </c>
      <c r="F219" s="803">
        <v>956649</v>
      </c>
      <c r="G219" s="803">
        <v>4638788</v>
      </c>
      <c r="H219" s="803"/>
      <c r="I219" s="804">
        <v>87155</v>
      </c>
      <c r="J219" s="804">
        <v>4065057</v>
      </c>
      <c r="K219" s="804">
        <v>317716</v>
      </c>
      <c r="L219" s="803">
        <v>0</v>
      </c>
      <c r="M219" s="803"/>
      <c r="N219" s="804">
        <v>162548</v>
      </c>
      <c r="O219" s="804">
        <v>1500391</v>
      </c>
      <c r="P219" s="804">
        <v>0</v>
      </c>
      <c r="Q219" s="803">
        <v>92864</v>
      </c>
      <c r="R219" s="803"/>
      <c r="S219" s="804">
        <v>1239880</v>
      </c>
      <c r="T219" s="805">
        <v>-38618</v>
      </c>
      <c r="U219" s="805">
        <v>1201261</v>
      </c>
    </row>
    <row r="220" spans="1:21" x14ac:dyDescent="0.25">
      <c r="A220" s="800">
        <v>92317</v>
      </c>
      <c r="B220" s="801" t="s">
        <v>2862</v>
      </c>
      <c r="C220" s="802">
        <v>2.9600000000000001E-5</v>
      </c>
      <c r="D220" s="802">
        <v>3.3300000000000003E-5</v>
      </c>
      <c r="E220" s="803">
        <v>20482</v>
      </c>
      <c r="F220" s="803">
        <v>14945</v>
      </c>
      <c r="G220" s="803">
        <v>62821</v>
      </c>
      <c r="H220" s="803"/>
      <c r="I220" s="804">
        <v>1180.3</v>
      </c>
      <c r="J220" s="804">
        <v>55051</v>
      </c>
      <c r="K220" s="804">
        <v>4303</v>
      </c>
      <c r="L220" s="803">
        <v>12749</v>
      </c>
      <c r="M220" s="803"/>
      <c r="N220" s="804">
        <v>2201</v>
      </c>
      <c r="O220" s="804">
        <v>20319</v>
      </c>
      <c r="P220" s="804">
        <v>0</v>
      </c>
      <c r="Q220" s="803">
        <v>0</v>
      </c>
      <c r="R220" s="803"/>
      <c r="S220" s="804">
        <v>16791</v>
      </c>
      <c r="T220" s="805">
        <v>4401</v>
      </c>
      <c r="U220" s="805">
        <v>21192</v>
      </c>
    </row>
    <row r="221" spans="1:21" x14ac:dyDescent="0.25">
      <c r="A221" s="800">
        <v>92321</v>
      </c>
      <c r="B221" s="801" t="s">
        <v>2863</v>
      </c>
      <c r="C221" s="802">
        <v>1.2218999999999999E-3</v>
      </c>
      <c r="D221" s="802">
        <v>1.1936E-3</v>
      </c>
      <c r="E221" s="803">
        <v>481504.52</v>
      </c>
      <c r="F221" s="803">
        <v>535681</v>
      </c>
      <c r="G221" s="803">
        <v>2593281</v>
      </c>
      <c r="H221" s="803"/>
      <c r="I221" s="804">
        <v>48723</v>
      </c>
      <c r="J221" s="804">
        <v>2272541</v>
      </c>
      <c r="K221" s="804">
        <v>177617</v>
      </c>
      <c r="L221" s="803">
        <v>61228</v>
      </c>
      <c r="M221" s="803"/>
      <c r="N221" s="804">
        <v>90871</v>
      </c>
      <c r="O221" s="804">
        <v>838783</v>
      </c>
      <c r="P221" s="804">
        <v>0</v>
      </c>
      <c r="Q221" s="803">
        <v>1343</v>
      </c>
      <c r="R221" s="803"/>
      <c r="S221" s="804">
        <v>693146</v>
      </c>
      <c r="T221" s="805">
        <v>25416</v>
      </c>
      <c r="U221" s="805">
        <v>718562</v>
      </c>
    </row>
    <row r="222" spans="1:21" x14ac:dyDescent="0.25">
      <c r="A222" s="800">
        <v>92327</v>
      </c>
      <c r="B222" s="801" t="s">
        <v>2864</v>
      </c>
      <c r="C222" s="802">
        <v>7.6000000000000001E-6</v>
      </c>
      <c r="D222" s="802">
        <v>7.7999999999999999E-6</v>
      </c>
      <c r="E222" s="803">
        <v>5004.42</v>
      </c>
      <c r="F222" s="803">
        <v>3501</v>
      </c>
      <c r="G222" s="803">
        <v>16130</v>
      </c>
      <c r="H222" s="803"/>
      <c r="I222" s="804">
        <v>303.05</v>
      </c>
      <c r="J222" s="804">
        <v>14135</v>
      </c>
      <c r="K222" s="804">
        <v>1105</v>
      </c>
      <c r="L222" s="803">
        <v>2630</v>
      </c>
      <c r="M222" s="803"/>
      <c r="N222" s="804">
        <v>565</v>
      </c>
      <c r="O222" s="804">
        <v>5217</v>
      </c>
      <c r="P222" s="804">
        <v>0</v>
      </c>
      <c r="Q222" s="803">
        <v>0</v>
      </c>
      <c r="R222" s="803"/>
      <c r="S222" s="804">
        <v>4311</v>
      </c>
      <c r="T222" s="805">
        <v>853</v>
      </c>
      <c r="U222" s="805">
        <v>5165</v>
      </c>
    </row>
    <row r="223" spans="1:21" x14ac:dyDescent="0.25">
      <c r="A223" s="800">
        <v>92331</v>
      </c>
      <c r="B223" s="801" t="s">
        <v>2865</v>
      </c>
      <c r="C223" s="802">
        <v>1.393E-4</v>
      </c>
      <c r="D223" s="802">
        <v>1.4789999999999999E-4</v>
      </c>
      <c r="E223" s="803">
        <v>54278.720000000001</v>
      </c>
      <c r="F223" s="803">
        <v>66377</v>
      </c>
      <c r="G223" s="803">
        <v>295641</v>
      </c>
      <c r="H223" s="803"/>
      <c r="I223" s="804">
        <v>5555</v>
      </c>
      <c r="J223" s="804">
        <v>259076</v>
      </c>
      <c r="K223" s="804">
        <v>20249</v>
      </c>
      <c r="L223" s="803">
        <v>3725</v>
      </c>
      <c r="M223" s="803"/>
      <c r="N223" s="804">
        <v>10360</v>
      </c>
      <c r="O223" s="804">
        <v>95624</v>
      </c>
      <c r="P223" s="804">
        <v>0</v>
      </c>
      <c r="Q223" s="803">
        <v>7047</v>
      </c>
      <c r="R223" s="803"/>
      <c r="S223" s="804">
        <v>79021</v>
      </c>
      <c r="T223" s="805">
        <v>-171</v>
      </c>
      <c r="U223" s="805">
        <v>78850</v>
      </c>
    </row>
    <row r="224" spans="1:21" x14ac:dyDescent="0.25">
      <c r="A224" s="800">
        <v>92341</v>
      </c>
      <c r="B224" s="801" t="s">
        <v>2866</v>
      </c>
      <c r="C224" s="802">
        <v>7.9000000000000006E-6</v>
      </c>
      <c r="D224" s="802">
        <v>6.3999999999999997E-6</v>
      </c>
      <c r="E224" s="803">
        <v>2572</v>
      </c>
      <c r="F224" s="803">
        <v>2872</v>
      </c>
      <c r="G224" s="803">
        <v>16766</v>
      </c>
      <c r="H224" s="803"/>
      <c r="I224" s="804">
        <v>315</v>
      </c>
      <c r="J224" s="804">
        <v>14693</v>
      </c>
      <c r="K224" s="804">
        <v>1148</v>
      </c>
      <c r="L224" s="803">
        <v>478</v>
      </c>
      <c r="M224" s="803"/>
      <c r="N224" s="804">
        <v>588</v>
      </c>
      <c r="O224" s="804">
        <v>5423</v>
      </c>
      <c r="P224" s="804">
        <v>0</v>
      </c>
      <c r="Q224" s="803">
        <v>3063</v>
      </c>
      <c r="R224" s="803"/>
      <c r="S224" s="804">
        <v>4481</v>
      </c>
      <c r="T224" s="805">
        <v>-913</v>
      </c>
      <c r="U224" s="805">
        <v>3568</v>
      </c>
    </row>
    <row r="225" spans="1:21" x14ac:dyDescent="0.25">
      <c r="A225" s="800">
        <v>92351</v>
      </c>
      <c r="B225" s="801" t="s">
        <v>2867</v>
      </c>
      <c r="C225" s="802">
        <v>1.95E-5</v>
      </c>
      <c r="D225" s="802">
        <v>2.8399999999999999E-5</v>
      </c>
      <c r="E225" s="803">
        <v>8512</v>
      </c>
      <c r="F225" s="803">
        <v>12746</v>
      </c>
      <c r="G225" s="803">
        <v>41386</v>
      </c>
      <c r="H225" s="803"/>
      <c r="I225" s="804">
        <v>777.5625</v>
      </c>
      <c r="J225" s="804">
        <v>36267</v>
      </c>
      <c r="K225" s="804">
        <v>2835</v>
      </c>
      <c r="L225" s="803">
        <v>1156.19</v>
      </c>
      <c r="M225" s="803"/>
      <c r="N225" s="804">
        <v>1450</v>
      </c>
      <c r="O225" s="804">
        <v>13386</v>
      </c>
      <c r="P225" s="804">
        <v>0</v>
      </c>
      <c r="Q225" s="803">
        <v>5799</v>
      </c>
      <c r="R225" s="803"/>
      <c r="S225" s="804">
        <v>11062</v>
      </c>
      <c r="T225" s="805">
        <v>-1052</v>
      </c>
      <c r="U225" s="805">
        <v>10010</v>
      </c>
    </row>
    <row r="226" spans="1:21" x14ac:dyDescent="0.25">
      <c r="A226" s="800">
        <v>92401</v>
      </c>
      <c r="B226" s="801" t="s">
        <v>2868</v>
      </c>
      <c r="C226" s="802">
        <v>2.7449000000000002E-3</v>
      </c>
      <c r="D226" s="802">
        <v>2.7921999999999999E-3</v>
      </c>
      <c r="E226" s="803">
        <v>1162719</v>
      </c>
      <c r="F226" s="803">
        <v>1253123</v>
      </c>
      <c r="G226" s="803">
        <v>5825597</v>
      </c>
      <c r="H226" s="803"/>
      <c r="I226" s="804">
        <v>109453</v>
      </c>
      <c r="J226" s="804">
        <v>5105080</v>
      </c>
      <c r="K226" s="804">
        <v>399001</v>
      </c>
      <c r="L226" s="803">
        <v>33227</v>
      </c>
      <c r="M226" s="803"/>
      <c r="N226" s="804">
        <v>204135</v>
      </c>
      <c r="O226" s="804">
        <v>1884259</v>
      </c>
      <c r="P226" s="804">
        <v>0</v>
      </c>
      <c r="Q226" s="803">
        <v>5343</v>
      </c>
      <c r="R226" s="803"/>
      <c r="S226" s="804">
        <v>1557097</v>
      </c>
      <c r="T226" s="805">
        <v>14486</v>
      </c>
      <c r="U226" s="805">
        <v>1571583</v>
      </c>
    </row>
    <row r="227" spans="1:21" x14ac:dyDescent="0.25">
      <c r="A227" s="800">
        <v>92403</v>
      </c>
      <c r="B227" s="801" t="s">
        <v>2869</v>
      </c>
      <c r="C227" s="802">
        <v>9.7999999999999993E-6</v>
      </c>
      <c r="D227" s="802">
        <v>1.59E-5</v>
      </c>
      <c r="E227" s="803">
        <v>5969</v>
      </c>
      <c r="F227" s="803">
        <v>7136</v>
      </c>
      <c r="G227" s="803">
        <v>20799</v>
      </c>
      <c r="H227" s="803"/>
      <c r="I227" s="804">
        <v>390.77499999999998</v>
      </c>
      <c r="J227" s="804">
        <v>18226</v>
      </c>
      <c r="K227" s="804">
        <v>1425</v>
      </c>
      <c r="L227" s="803">
        <v>564</v>
      </c>
      <c r="M227" s="803"/>
      <c r="N227" s="804">
        <v>729</v>
      </c>
      <c r="O227" s="804">
        <v>6727</v>
      </c>
      <c r="P227" s="804">
        <v>0</v>
      </c>
      <c r="Q227" s="803">
        <v>1764</v>
      </c>
      <c r="R227" s="803"/>
      <c r="S227" s="804">
        <v>5559</v>
      </c>
      <c r="T227" s="805">
        <v>-243</v>
      </c>
      <c r="U227" s="805">
        <v>5317</v>
      </c>
    </row>
    <row r="228" spans="1:21" x14ac:dyDescent="0.25">
      <c r="A228" s="800">
        <v>92411</v>
      </c>
      <c r="B228" s="801" t="s">
        <v>2870</v>
      </c>
      <c r="C228" s="802">
        <v>4.8030000000000002E-4</v>
      </c>
      <c r="D228" s="802">
        <v>5.2820000000000005E-4</v>
      </c>
      <c r="E228" s="803">
        <v>173749.71</v>
      </c>
      <c r="F228" s="803">
        <v>237053</v>
      </c>
      <c r="G228" s="803">
        <v>1019358</v>
      </c>
      <c r="H228" s="803"/>
      <c r="I228" s="804">
        <v>19152</v>
      </c>
      <c r="J228" s="804">
        <v>893282</v>
      </c>
      <c r="K228" s="804">
        <v>69817</v>
      </c>
      <c r="L228" s="803">
        <v>572</v>
      </c>
      <c r="M228" s="803"/>
      <c r="N228" s="804">
        <v>35719</v>
      </c>
      <c r="O228" s="804">
        <v>329706</v>
      </c>
      <c r="P228" s="804">
        <v>0</v>
      </c>
      <c r="Q228" s="803">
        <v>54750</v>
      </c>
      <c r="R228" s="803"/>
      <c r="S228" s="804">
        <v>272459</v>
      </c>
      <c r="T228" s="805">
        <v>-16396</v>
      </c>
      <c r="U228" s="805">
        <v>256063</v>
      </c>
    </row>
    <row r="229" spans="1:21" x14ac:dyDescent="0.25">
      <c r="A229" s="800">
        <v>92414</v>
      </c>
      <c r="B229" s="801" t="s">
        <v>1397</v>
      </c>
      <c r="C229" s="802">
        <v>0</v>
      </c>
      <c r="D229" s="802">
        <v>9.7999999999999993E-6</v>
      </c>
      <c r="E229" s="803">
        <v>0</v>
      </c>
      <c r="F229" s="803">
        <v>4398</v>
      </c>
      <c r="G229" s="803">
        <v>0</v>
      </c>
      <c r="H229" s="803"/>
      <c r="I229" s="804">
        <v>0</v>
      </c>
      <c r="J229" s="804">
        <v>0</v>
      </c>
      <c r="K229" s="804">
        <v>0</v>
      </c>
      <c r="L229" s="803">
        <v>0</v>
      </c>
      <c r="M229" s="803"/>
      <c r="N229" s="804">
        <v>0</v>
      </c>
      <c r="O229" s="804">
        <v>0</v>
      </c>
      <c r="P229" s="804">
        <v>0</v>
      </c>
      <c r="Q229" s="803">
        <v>8157</v>
      </c>
      <c r="R229" s="803"/>
      <c r="S229" s="804">
        <v>0</v>
      </c>
      <c r="T229" s="805">
        <v>-2445</v>
      </c>
      <c r="U229" s="805">
        <v>-2445</v>
      </c>
    </row>
    <row r="230" spans="1:21" x14ac:dyDescent="0.25">
      <c r="A230" s="800">
        <v>92417</v>
      </c>
      <c r="B230" s="801" t="s">
        <v>2871</v>
      </c>
      <c r="C230" s="802">
        <v>1.77E-5</v>
      </c>
      <c r="D230" s="802">
        <v>1.6699999999999999E-5</v>
      </c>
      <c r="E230" s="803">
        <v>5354.85</v>
      </c>
      <c r="F230" s="803">
        <v>7495</v>
      </c>
      <c r="G230" s="803">
        <v>37565</v>
      </c>
      <c r="H230" s="803"/>
      <c r="I230" s="804">
        <v>705.78750000000002</v>
      </c>
      <c r="J230" s="804">
        <v>32919</v>
      </c>
      <c r="K230" s="804">
        <v>2573</v>
      </c>
      <c r="L230" s="803">
        <v>0</v>
      </c>
      <c r="M230" s="803"/>
      <c r="N230" s="804">
        <v>1316</v>
      </c>
      <c r="O230" s="804">
        <v>12150</v>
      </c>
      <c r="P230" s="804">
        <v>0</v>
      </c>
      <c r="Q230" s="803">
        <v>1694</v>
      </c>
      <c r="R230" s="803"/>
      <c r="S230" s="804">
        <v>10041</v>
      </c>
      <c r="T230" s="805">
        <v>-509</v>
      </c>
      <c r="U230" s="805">
        <v>9531</v>
      </c>
    </row>
    <row r="231" spans="1:21" x14ac:dyDescent="0.25">
      <c r="A231" s="800">
        <v>92421</v>
      </c>
      <c r="B231" s="801" t="s">
        <v>2872</v>
      </c>
      <c r="C231" s="802">
        <v>9.0000000000000002E-6</v>
      </c>
      <c r="D231" s="802">
        <v>1.98E-5</v>
      </c>
      <c r="E231" s="803">
        <v>9114.76</v>
      </c>
      <c r="F231" s="803">
        <v>8886</v>
      </c>
      <c r="G231" s="803">
        <v>19101</v>
      </c>
      <c r="H231" s="803"/>
      <c r="I231" s="804">
        <v>358.875</v>
      </c>
      <c r="J231" s="804">
        <v>16739</v>
      </c>
      <c r="K231" s="804">
        <v>1308</v>
      </c>
      <c r="L231" s="803">
        <v>1510</v>
      </c>
      <c r="M231" s="803"/>
      <c r="N231" s="804">
        <v>669</v>
      </c>
      <c r="O231" s="804">
        <v>6178</v>
      </c>
      <c r="P231" s="804">
        <v>0</v>
      </c>
      <c r="Q231" s="803">
        <v>1551</v>
      </c>
      <c r="R231" s="803"/>
      <c r="S231" s="804">
        <v>5105</v>
      </c>
      <c r="T231" s="805">
        <v>261</v>
      </c>
      <c r="U231" s="805">
        <v>5366</v>
      </c>
    </row>
    <row r="232" spans="1:21" x14ac:dyDescent="0.25">
      <c r="A232" s="800">
        <v>92427</v>
      </c>
      <c r="B232" s="801" t="s">
        <v>2873</v>
      </c>
      <c r="C232" s="802">
        <v>6.9999999999999997E-7</v>
      </c>
      <c r="D232" s="802">
        <v>8.9999999999999996E-7</v>
      </c>
      <c r="E232" s="803">
        <v>1425.53</v>
      </c>
      <c r="F232" s="803">
        <v>404</v>
      </c>
      <c r="G232" s="803">
        <v>1486</v>
      </c>
      <c r="H232" s="803"/>
      <c r="I232" s="804">
        <v>28</v>
      </c>
      <c r="J232" s="804">
        <v>1302</v>
      </c>
      <c r="K232" s="804">
        <v>102</v>
      </c>
      <c r="L232" s="803">
        <v>1812</v>
      </c>
      <c r="M232" s="803"/>
      <c r="N232" s="804">
        <v>52</v>
      </c>
      <c r="O232" s="804">
        <v>481</v>
      </c>
      <c r="P232" s="804">
        <v>0</v>
      </c>
      <c r="Q232" s="803">
        <v>0</v>
      </c>
      <c r="R232" s="803"/>
      <c r="S232" s="804">
        <v>397</v>
      </c>
      <c r="T232" s="805">
        <v>636</v>
      </c>
      <c r="U232" s="805">
        <v>1033</v>
      </c>
    </row>
    <row r="233" spans="1:21" x14ac:dyDescent="0.25">
      <c r="A233" s="800">
        <v>92431</v>
      </c>
      <c r="B233" s="801" t="s">
        <v>2874</v>
      </c>
      <c r="C233" s="802">
        <v>1.8499999999999999E-5</v>
      </c>
      <c r="D233" s="802">
        <v>4.0800000000000002E-5</v>
      </c>
      <c r="E233" s="803">
        <v>17502.95</v>
      </c>
      <c r="F233" s="803">
        <v>18311</v>
      </c>
      <c r="G233" s="803">
        <v>39263</v>
      </c>
      <c r="H233" s="803"/>
      <c r="I233" s="804">
        <v>737.6875</v>
      </c>
      <c r="J233" s="804">
        <v>34407</v>
      </c>
      <c r="K233" s="804">
        <v>2689</v>
      </c>
      <c r="L233" s="803">
        <v>6093</v>
      </c>
      <c r="M233" s="803"/>
      <c r="N233" s="804">
        <v>1376</v>
      </c>
      <c r="O233" s="804">
        <v>12699</v>
      </c>
      <c r="P233" s="804">
        <v>0</v>
      </c>
      <c r="Q233" s="803">
        <v>5505</v>
      </c>
      <c r="R233" s="803"/>
      <c r="S233" s="804">
        <v>10494</v>
      </c>
      <c r="T233" s="805">
        <v>422</v>
      </c>
      <c r="U233" s="805">
        <v>10917</v>
      </c>
    </row>
    <row r="234" spans="1:21" x14ac:dyDescent="0.25">
      <c r="A234" s="800">
        <v>92441</v>
      </c>
      <c r="B234" s="801" t="s">
        <v>2875</v>
      </c>
      <c r="C234" s="802">
        <v>9.2299999999999994E-5</v>
      </c>
      <c r="D234" s="802">
        <v>1.0170000000000001E-4</v>
      </c>
      <c r="E234" s="803">
        <v>38127.360000000001</v>
      </c>
      <c r="F234" s="803">
        <v>45642</v>
      </c>
      <c r="G234" s="803">
        <v>195892</v>
      </c>
      <c r="H234" s="803"/>
      <c r="I234" s="804">
        <v>3680</v>
      </c>
      <c r="J234" s="804">
        <v>171663</v>
      </c>
      <c r="K234" s="804">
        <v>13417</v>
      </c>
      <c r="L234" s="803">
        <v>0</v>
      </c>
      <c r="M234" s="803"/>
      <c r="N234" s="804">
        <v>6864</v>
      </c>
      <c r="O234" s="804">
        <v>63360</v>
      </c>
      <c r="P234" s="804">
        <v>0</v>
      </c>
      <c r="Q234" s="803">
        <v>12688</v>
      </c>
      <c r="R234" s="803"/>
      <c r="S234" s="804">
        <v>52359</v>
      </c>
      <c r="T234" s="805">
        <v>-5069</v>
      </c>
      <c r="U234" s="805">
        <v>47290</v>
      </c>
    </row>
    <row r="235" spans="1:21" x14ac:dyDescent="0.25">
      <c r="A235" s="800">
        <v>92444</v>
      </c>
      <c r="B235" s="801" t="s">
        <v>2876</v>
      </c>
      <c r="C235" s="802">
        <v>1.9999999999999999E-6</v>
      </c>
      <c r="D235" s="802">
        <v>1.7999999999999999E-6</v>
      </c>
      <c r="E235" s="803">
        <v>1966</v>
      </c>
      <c r="F235" s="803">
        <v>808</v>
      </c>
      <c r="G235" s="803">
        <v>4244.67</v>
      </c>
      <c r="H235" s="803"/>
      <c r="I235" s="804">
        <v>79.75</v>
      </c>
      <c r="J235" s="804">
        <v>3720</v>
      </c>
      <c r="K235" s="804">
        <v>291</v>
      </c>
      <c r="L235" s="803">
        <v>2653</v>
      </c>
      <c r="M235" s="803"/>
      <c r="N235" s="804">
        <v>149</v>
      </c>
      <c r="O235" s="804">
        <v>1373</v>
      </c>
      <c r="P235" s="804">
        <v>0</v>
      </c>
      <c r="Q235" s="803">
        <v>0</v>
      </c>
      <c r="R235" s="803"/>
      <c r="S235" s="804">
        <v>1135</v>
      </c>
      <c r="T235" s="805">
        <v>971</v>
      </c>
      <c r="U235" s="805">
        <v>2106</v>
      </c>
    </row>
    <row r="236" spans="1:21" x14ac:dyDescent="0.25">
      <c r="A236" s="800">
        <v>92451</v>
      </c>
      <c r="B236" s="801" t="s">
        <v>2877</v>
      </c>
      <c r="C236" s="802">
        <v>1.4559999999999999E-4</v>
      </c>
      <c r="D236" s="802">
        <v>1.132E-4</v>
      </c>
      <c r="E236" s="803">
        <v>67281</v>
      </c>
      <c r="F236" s="803">
        <v>50803</v>
      </c>
      <c r="G236" s="803">
        <v>309012</v>
      </c>
      <c r="H236" s="803"/>
      <c r="I236" s="804">
        <v>5806</v>
      </c>
      <c r="J236" s="804">
        <v>270793</v>
      </c>
      <c r="K236" s="804">
        <v>21165</v>
      </c>
      <c r="L236" s="803">
        <v>36170</v>
      </c>
      <c r="M236" s="803"/>
      <c r="N236" s="804">
        <v>10828</v>
      </c>
      <c r="O236" s="804">
        <v>99948</v>
      </c>
      <c r="P236" s="804">
        <v>0</v>
      </c>
      <c r="Q236" s="803">
        <v>0</v>
      </c>
      <c r="R236" s="803"/>
      <c r="S236" s="804">
        <v>82594</v>
      </c>
      <c r="T236" s="805">
        <v>11273</v>
      </c>
      <c r="U236" s="805">
        <v>93868</v>
      </c>
    </row>
    <row r="237" spans="1:21" x14ac:dyDescent="0.25">
      <c r="A237" s="800">
        <v>92461</v>
      </c>
      <c r="B237" s="801" t="s">
        <v>2878</v>
      </c>
      <c r="C237" s="802">
        <v>7.2999999999999999E-5</v>
      </c>
      <c r="D237" s="802">
        <v>6.3499999999999999E-5</v>
      </c>
      <c r="E237" s="803">
        <v>36576</v>
      </c>
      <c r="F237" s="803">
        <v>28498</v>
      </c>
      <c r="G237" s="803">
        <v>154930</v>
      </c>
      <c r="H237" s="803"/>
      <c r="I237" s="804">
        <v>2910.875</v>
      </c>
      <c r="J237" s="804">
        <v>135768</v>
      </c>
      <c r="K237" s="804">
        <v>10611</v>
      </c>
      <c r="L237" s="803">
        <v>10353</v>
      </c>
      <c r="M237" s="803"/>
      <c r="N237" s="804">
        <v>5429</v>
      </c>
      <c r="O237" s="804">
        <v>50111</v>
      </c>
      <c r="P237" s="804">
        <v>0</v>
      </c>
      <c r="Q237" s="803">
        <v>7817</v>
      </c>
      <c r="R237" s="803"/>
      <c r="S237" s="804">
        <v>41411</v>
      </c>
      <c r="T237" s="805">
        <v>-170</v>
      </c>
      <c r="U237" s="805">
        <v>41240</v>
      </c>
    </row>
    <row r="238" spans="1:21" x14ac:dyDescent="0.25">
      <c r="A238" s="800">
        <v>92501</v>
      </c>
      <c r="B238" s="801" t="s">
        <v>2879</v>
      </c>
      <c r="C238" s="802">
        <v>3.8141E-3</v>
      </c>
      <c r="D238" s="802">
        <v>3.8955999999999999E-3</v>
      </c>
      <c r="E238" s="803">
        <v>1660692.83</v>
      </c>
      <c r="F238" s="803">
        <v>1748322</v>
      </c>
      <c r="G238" s="803">
        <v>8094798</v>
      </c>
      <c r="H238" s="803"/>
      <c r="I238" s="804">
        <v>152087</v>
      </c>
      <c r="J238" s="804">
        <v>7093623</v>
      </c>
      <c r="K238" s="804">
        <v>554421</v>
      </c>
      <c r="L238" s="803">
        <v>65347</v>
      </c>
      <c r="M238" s="803"/>
      <c r="N238" s="804">
        <v>283651</v>
      </c>
      <c r="O238" s="804">
        <v>2618219</v>
      </c>
      <c r="P238" s="804">
        <v>0</v>
      </c>
      <c r="Q238" s="803">
        <v>13995</v>
      </c>
      <c r="R238" s="803"/>
      <c r="S238" s="804">
        <v>2163621</v>
      </c>
      <c r="T238" s="805">
        <v>20802</v>
      </c>
      <c r="U238" s="805">
        <v>2184422</v>
      </c>
    </row>
    <row r="239" spans="1:21" x14ac:dyDescent="0.25">
      <c r="A239" s="800">
        <v>92502</v>
      </c>
      <c r="B239" s="801" t="s">
        <v>2880</v>
      </c>
      <c r="C239" s="802">
        <v>2.8799999999999999E-5</v>
      </c>
      <c r="D239" s="802">
        <v>2.1399999999999998E-5</v>
      </c>
      <c r="E239" s="803">
        <v>12881</v>
      </c>
      <c r="F239" s="803">
        <v>9604</v>
      </c>
      <c r="G239" s="803">
        <v>61123</v>
      </c>
      <c r="H239" s="803"/>
      <c r="I239" s="804">
        <v>1148</v>
      </c>
      <c r="J239" s="804">
        <v>53563</v>
      </c>
      <c r="K239" s="804">
        <v>4186</v>
      </c>
      <c r="L239" s="803">
        <v>4833</v>
      </c>
      <c r="M239" s="803"/>
      <c r="N239" s="804">
        <v>2142</v>
      </c>
      <c r="O239" s="804">
        <v>19770</v>
      </c>
      <c r="P239" s="804">
        <v>0</v>
      </c>
      <c r="Q239" s="803">
        <v>3509</v>
      </c>
      <c r="R239" s="803"/>
      <c r="S239" s="804">
        <v>16337</v>
      </c>
      <c r="T239" s="805">
        <v>-103</v>
      </c>
      <c r="U239" s="805">
        <v>16234</v>
      </c>
    </row>
    <row r="240" spans="1:21" x14ac:dyDescent="0.25">
      <c r="A240" s="800">
        <v>92504</v>
      </c>
      <c r="B240" s="801" t="s">
        <v>2881</v>
      </c>
      <c r="C240" s="802">
        <v>7.2799999999999994E-5</v>
      </c>
      <c r="D240" s="802">
        <v>7.3499999999999998E-5</v>
      </c>
      <c r="E240" s="803">
        <v>38689</v>
      </c>
      <c r="F240" s="803">
        <v>32986</v>
      </c>
      <c r="G240" s="803">
        <v>154506</v>
      </c>
      <c r="H240" s="803"/>
      <c r="I240" s="804">
        <v>2903</v>
      </c>
      <c r="J240" s="804">
        <v>135396</v>
      </c>
      <c r="K240" s="804">
        <v>10582</v>
      </c>
      <c r="L240" s="803">
        <v>18501</v>
      </c>
      <c r="M240" s="803"/>
      <c r="N240" s="804">
        <v>5414</v>
      </c>
      <c r="O240" s="804">
        <v>49974</v>
      </c>
      <c r="P240" s="804">
        <v>0</v>
      </c>
      <c r="Q240" s="803">
        <v>54</v>
      </c>
      <c r="R240" s="803"/>
      <c r="S240" s="804">
        <v>41297</v>
      </c>
      <c r="T240" s="805">
        <v>5906</v>
      </c>
      <c r="U240" s="805">
        <v>47203</v>
      </c>
    </row>
    <row r="241" spans="1:21" x14ac:dyDescent="0.25">
      <c r="A241" s="800">
        <v>92505</v>
      </c>
      <c r="B241" s="801" t="s">
        <v>2882</v>
      </c>
      <c r="C241" s="802">
        <v>1.8709999999999999E-4</v>
      </c>
      <c r="D241" s="802">
        <v>1.9699999999999999E-4</v>
      </c>
      <c r="E241" s="803">
        <v>106739.73</v>
      </c>
      <c r="F241" s="803">
        <v>88412</v>
      </c>
      <c r="G241" s="803">
        <v>397089</v>
      </c>
      <c r="H241" s="803"/>
      <c r="I241" s="804">
        <v>7461</v>
      </c>
      <c r="J241" s="804">
        <v>347976</v>
      </c>
      <c r="K241" s="804">
        <v>27197</v>
      </c>
      <c r="L241" s="803">
        <v>47178</v>
      </c>
      <c r="M241" s="803"/>
      <c r="N241" s="804">
        <v>13914</v>
      </c>
      <c r="O241" s="804">
        <v>128436</v>
      </c>
      <c r="P241" s="804">
        <v>0</v>
      </c>
      <c r="Q241" s="803">
        <v>0</v>
      </c>
      <c r="R241" s="803"/>
      <c r="S241" s="804">
        <v>106136</v>
      </c>
      <c r="T241" s="805">
        <v>16270</v>
      </c>
      <c r="U241" s="805">
        <v>122406</v>
      </c>
    </row>
    <row r="242" spans="1:21" x14ac:dyDescent="0.25">
      <c r="A242" s="800">
        <v>92506</v>
      </c>
      <c r="B242" s="801" t="s">
        <v>2883</v>
      </c>
      <c r="C242" s="802">
        <v>4.3699999999999998E-5</v>
      </c>
      <c r="D242" s="802">
        <v>3.8999999999999999E-5</v>
      </c>
      <c r="E242" s="803">
        <v>23626</v>
      </c>
      <c r="F242" s="803">
        <v>17503</v>
      </c>
      <c r="G242" s="803">
        <v>92746</v>
      </c>
      <c r="H242" s="803"/>
      <c r="I242" s="804">
        <v>1743</v>
      </c>
      <c r="J242" s="804">
        <v>81275</v>
      </c>
      <c r="K242" s="804">
        <v>6352</v>
      </c>
      <c r="L242" s="803">
        <v>17344</v>
      </c>
      <c r="M242" s="803"/>
      <c r="N242" s="804">
        <v>3250</v>
      </c>
      <c r="O242" s="804">
        <v>29998</v>
      </c>
      <c r="P242" s="804">
        <v>0</v>
      </c>
      <c r="Q242" s="803">
        <v>0</v>
      </c>
      <c r="R242" s="803"/>
      <c r="S242" s="804">
        <v>24790</v>
      </c>
      <c r="T242" s="805">
        <v>5809</v>
      </c>
      <c r="U242" s="805">
        <v>30599</v>
      </c>
    </row>
    <row r="243" spans="1:21" x14ac:dyDescent="0.25">
      <c r="A243" s="800">
        <v>92507</v>
      </c>
      <c r="B243" s="801" t="s">
        <v>2884</v>
      </c>
      <c r="C243" s="802">
        <v>7.6799999999999997E-5</v>
      </c>
      <c r="D243" s="802">
        <v>1.032E-4</v>
      </c>
      <c r="E243" s="803">
        <v>33480.47</v>
      </c>
      <c r="F243" s="803">
        <v>46316</v>
      </c>
      <c r="G243" s="803">
        <v>162995</v>
      </c>
      <c r="H243" s="803"/>
      <c r="I243" s="804">
        <v>3062</v>
      </c>
      <c r="J243" s="804">
        <v>142836</v>
      </c>
      <c r="K243" s="804">
        <v>11164</v>
      </c>
      <c r="L243" s="803">
        <v>348</v>
      </c>
      <c r="M243" s="803"/>
      <c r="N243" s="804">
        <v>5712</v>
      </c>
      <c r="O243" s="804">
        <v>52720</v>
      </c>
      <c r="P243" s="804">
        <v>0</v>
      </c>
      <c r="Q243" s="803">
        <v>22450</v>
      </c>
      <c r="R243" s="803"/>
      <c r="S243" s="804">
        <v>43566</v>
      </c>
      <c r="T243" s="805">
        <v>-8043</v>
      </c>
      <c r="U243" s="805">
        <v>35523</v>
      </c>
    </row>
    <row r="244" spans="1:21" x14ac:dyDescent="0.25">
      <c r="A244" s="800">
        <v>92508</v>
      </c>
      <c r="B244" s="801" t="s">
        <v>2885</v>
      </c>
      <c r="C244" s="802">
        <v>3.1930000000000001E-4</v>
      </c>
      <c r="D244" s="802">
        <v>3.2959999999999999E-4</v>
      </c>
      <c r="E244" s="803">
        <v>135945</v>
      </c>
      <c r="F244" s="803">
        <v>147923</v>
      </c>
      <c r="G244" s="803">
        <v>677662</v>
      </c>
      <c r="H244" s="803"/>
      <c r="I244" s="804">
        <v>12732</v>
      </c>
      <c r="J244" s="804">
        <v>593848</v>
      </c>
      <c r="K244" s="804">
        <v>46414</v>
      </c>
      <c r="L244" s="803">
        <v>7876</v>
      </c>
      <c r="M244" s="803"/>
      <c r="N244" s="804">
        <v>23746</v>
      </c>
      <c r="O244" s="804">
        <v>219186</v>
      </c>
      <c r="P244" s="804">
        <v>0</v>
      </c>
      <c r="Q244" s="803">
        <v>1898</v>
      </c>
      <c r="R244" s="803"/>
      <c r="S244" s="804">
        <v>181129</v>
      </c>
      <c r="T244" s="805">
        <v>3029</v>
      </c>
      <c r="U244" s="805">
        <v>184158</v>
      </c>
    </row>
    <row r="245" spans="1:21" x14ac:dyDescent="0.25">
      <c r="A245" s="800">
        <v>92509</v>
      </c>
      <c r="B245" s="801" t="s">
        <v>2886</v>
      </c>
      <c r="C245" s="802">
        <v>0</v>
      </c>
      <c r="D245" s="802">
        <v>2.1614E-3</v>
      </c>
      <c r="E245" s="803">
        <v>0</v>
      </c>
      <c r="F245" s="803">
        <v>970023</v>
      </c>
      <c r="G245" s="803">
        <v>0</v>
      </c>
      <c r="H245" s="803"/>
      <c r="I245" s="804">
        <v>0</v>
      </c>
      <c r="J245" s="804">
        <v>0</v>
      </c>
      <c r="K245" s="804">
        <v>0</v>
      </c>
      <c r="L245" s="803">
        <v>166634</v>
      </c>
      <c r="M245" s="803"/>
      <c r="N245" s="804">
        <v>0</v>
      </c>
      <c r="O245" s="804">
        <v>0</v>
      </c>
      <c r="P245" s="804">
        <v>0</v>
      </c>
      <c r="Q245" s="803">
        <v>1170867</v>
      </c>
      <c r="R245" s="803"/>
      <c r="S245" s="804">
        <v>0</v>
      </c>
      <c r="T245" s="805">
        <v>-223763</v>
      </c>
      <c r="U245" s="805">
        <v>-223763</v>
      </c>
    </row>
    <row r="246" spans="1:21" x14ac:dyDescent="0.25">
      <c r="A246" s="800">
        <v>92511</v>
      </c>
      <c r="B246" s="801" t="s">
        <v>2887</v>
      </c>
      <c r="C246" s="802">
        <v>3.4164E-3</v>
      </c>
      <c r="D246" s="802">
        <v>3.6713000000000002E-3</v>
      </c>
      <c r="E246" s="803">
        <v>1353009</v>
      </c>
      <c r="F246" s="803">
        <v>1647657</v>
      </c>
      <c r="G246" s="803">
        <v>7250745</v>
      </c>
      <c r="H246" s="803"/>
      <c r="I246" s="804">
        <v>136229</v>
      </c>
      <c r="J246" s="804">
        <v>6353964</v>
      </c>
      <c r="K246" s="804">
        <v>496611</v>
      </c>
      <c r="L246" s="803">
        <v>24415.31</v>
      </c>
      <c r="M246" s="803"/>
      <c r="N246" s="804">
        <v>254074</v>
      </c>
      <c r="O246" s="804">
        <v>2345215</v>
      </c>
      <c r="P246" s="804">
        <v>0</v>
      </c>
      <c r="Q246" s="803">
        <v>243809</v>
      </c>
      <c r="R246" s="803"/>
      <c r="S246" s="804">
        <v>1938018</v>
      </c>
      <c r="T246" s="805">
        <v>-57052</v>
      </c>
      <c r="U246" s="805">
        <v>1880965</v>
      </c>
    </row>
    <row r="247" spans="1:21" x14ac:dyDescent="0.25">
      <c r="A247" s="800">
        <v>92513</v>
      </c>
      <c r="B247" s="801" t="s">
        <v>2888</v>
      </c>
      <c r="C247" s="802">
        <v>3.9753000000000002E-3</v>
      </c>
      <c r="D247" s="802">
        <v>0</v>
      </c>
      <c r="E247" s="803">
        <v>1441013</v>
      </c>
      <c r="F247" s="803">
        <v>0</v>
      </c>
      <c r="G247" s="803">
        <v>8436918</v>
      </c>
      <c r="H247" s="803"/>
      <c r="I247" s="804">
        <v>158515</v>
      </c>
      <c r="J247" s="804">
        <v>7393430</v>
      </c>
      <c r="K247" s="804">
        <v>577854</v>
      </c>
      <c r="L247" s="803">
        <v>1999562</v>
      </c>
      <c r="M247" s="803"/>
      <c r="N247" s="804">
        <v>295639</v>
      </c>
      <c r="O247" s="804">
        <v>2728876</v>
      </c>
      <c r="P247" s="804">
        <v>0</v>
      </c>
      <c r="Q247" s="803">
        <v>0</v>
      </c>
      <c r="R247" s="803"/>
      <c r="S247" s="804">
        <v>2255064</v>
      </c>
      <c r="T247" s="805">
        <v>518021</v>
      </c>
      <c r="U247" s="805">
        <v>2773086</v>
      </c>
    </row>
    <row r="248" spans="1:21" x14ac:dyDescent="0.25">
      <c r="A248" s="800">
        <v>92521</v>
      </c>
      <c r="B248" s="801" t="s">
        <v>2889</v>
      </c>
      <c r="C248" s="802">
        <v>8.9800000000000001E-5</v>
      </c>
      <c r="D248" s="802">
        <v>9.59E-5</v>
      </c>
      <c r="E248" s="803">
        <v>32294.23</v>
      </c>
      <c r="F248" s="803">
        <v>43039</v>
      </c>
      <c r="G248" s="803">
        <v>190586</v>
      </c>
      <c r="H248" s="803"/>
      <c r="I248" s="804">
        <v>3581</v>
      </c>
      <c r="J248" s="804">
        <v>167014</v>
      </c>
      <c r="K248" s="804">
        <v>13053</v>
      </c>
      <c r="L248" s="803">
        <v>4908</v>
      </c>
      <c r="M248" s="803"/>
      <c r="N248" s="804">
        <v>6678</v>
      </c>
      <c r="O248" s="804">
        <v>61644</v>
      </c>
      <c r="P248" s="804">
        <v>0</v>
      </c>
      <c r="Q248" s="803">
        <v>9965</v>
      </c>
      <c r="R248" s="803"/>
      <c r="S248" s="804">
        <v>50941</v>
      </c>
      <c r="T248" s="805">
        <v>-1566</v>
      </c>
      <c r="U248" s="805">
        <v>49374</v>
      </c>
    </row>
    <row r="249" spans="1:21" x14ac:dyDescent="0.25">
      <c r="A249" s="800">
        <v>92531</v>
      </c>
      <c r="B249" s="801" t="s">
        <v>2890</v>
      </c>
      <c r="C249" s="802">
        <v>8.3779999999999998E-4</v>
      </c>
      <c r="D249" s="802">
        <v>9.3610000000000004E-4</v>
      </c>
      <c r="E249" s="803">
        <v>310253</v>
      </c>
      <c r="F249" s="803">
        <v>420116</v>
      </c>
      <c r="G249" s="803">
        <v>1778092</v>
      </c>
      <c r="H249" s="803"/>
      <c r="I249" s="804">
        <v>33407</v>
      </c>
      <c r="J249" s="804">
        <v>1558176</v>
      </c>
      <c r="K249" s="804">
        <v>121783</v>
      </c>
      <c r="L249" s="803">
        <v>0</v>
      </c>
      <c r="M249" s="803"/>
      <c r="N249" s="804">
        <v>62306</v>
      </c>
      <c r="O249" s="804">
        <v>575115</v>
      </c>
      <c r="P249" s="804">
        <v>0</v>
      </c>
      <c r="Q249" s="803">
        <v>169554</v>
      </c>
      <c r="R249" s="803"/>
      <c r="S249" s="804">
        <v>475258</v>
      </c>
      <c r="T249" s="805">
        <v>-58220</v>
      </c>
      <c r="U249" s="805">
        <v>417038</v>
      </c>
    </row>
    <row r="250" spans="1:21" x14ac:dyDescent="0.25">
      <c r="A250" s="800">
        <v>92541</v>
      </c>
      <c r="B250" s="801" t="s">
        <v>2891</v>
      </c>
      <c r="C250" s="802">
        <v>1.4300000000000001E-4</v>
      </c>
      <c r="D250" s="802">
        <v>1.2679999999999999E-4</v>
      </c>
      <c r="E250" s="803">
        <v>54919</v>
      </c>
      <c r="F250" s="803">
        <v>56907</v>
      </c>
      <c r="G250" s="803">
        <v>303494</v>
      </c>
      <c r="H250" s="803"/>
      <c r="I250" s="804">
        <v>5702.125</v>
      </c>
      <c r="J250" s="804">
        <v>265957</v>
      </c>
      <c r="K250" s="804">
        <v>20787</v>
      </c>
      <c r="L250" s="803">
        <v>11874</v>
      </c>
      <c r="M250" s="803"/>
      <c r="N250" s="804">
        <v>10635</v>
      </c>
      <c r="O250" s="804">
        <v>98163</v>
      </c>
      <c r="P250" s="804">
        <v>0</v>
      </c>
      <c r="Q250" s="803">
        <v>3822</v>
      </c>
      <c r="R250" s="803"/>
      <c r="S250" s="804">
        <v>81119</v>
      </c>
      <c r="T250" s="805">
        <v>3227</v>
      </c>
      <c r="U250" s="805">
        <v>84346</v>
      </c>
    </row>
    <row r="251" spans="1:21" x14ac:dyDescent="0.25">
      <c r="A251" s="800">
        <v>92551</v>
      </c>
      <c r="B251" s="801" t="s">
        <v>2892</v>
      </c>
      <c r="C251" s="802">
        <v>4.18E-5</v>
      </c>
      <c r="D251" s="802">
        <v>5.4799999999999997E-5</v>
      </c>
      <c r="E251" s="803">
        <v>16805.93</v>
      </c>
      <c r="F251" s="803">
        <v>24594</v>
      </c>
      <c r="G251" s="803">
        <v>88714</v>
      </c>
      <c r="H251" s="803"/>
      <c r="I251" s="804">
        <v>1666.7750000000001</v>
      </c>
      <c r="J251" s="804">
        <v>77741</v>
      </c>
      <c r="K251" s="804">
        <v>6076</v>
      </c>
      <c r="L251" s="803">
        <v>6834</v>
      </c>
      <c r="M251" s="803"/>
      <c r="N251" s="804">
        <v>3109</v>
      </c>
      <c r="O251" s="804">
        <v>28694</v>
      </c>
      <c r="P251" s="804">
        <v>0</v>
      </c>
      <c r="Q251" s="803">
        <v>11864</v>
      </c>
      <c r="R251" s="803"/>
      <c r="S251" s="804">
        <v>23712</v>
      </c>
      <c r="T251" s="805">
        <v>-71</v>
      </c>
      <c r="U251" s="805">
        <v>23641</v>
      </c>
    </row>
    <row r="252" spans="1:21" x14ac:dyDescent="0.25">
      <c r="A252" s="800">
        <v>92561</v>
      </c>
      <c r="B252" s="801" t="s">
        <v>2893</v>
      </c>
      <c r="C252" s="802">
        <v>2.2900000000000001E-5</v>
      </c>
      <c r="D252" s="802">
        <v>2.1800000000000001E-5</v>
      </c>
      <c r="E252" s="803">
        <v>12865.05</v>
      </c>
      <c r="F252" s="803">
        <v>9784</v>
      </c>
      <c r="G252" s="803">
        <v>48601</v>
      </c>
      <c r="H252" s="803"/>
      <c r="I252" s="804">
        <v>913.13750000000005</v>
      </c>
      <c r="J252" s="804">
        <v>42590</v>
      </c>
      <c r="K252" s="804">
        <v>3329</v>
      </c>
      <c r="L252" s="803">
        <v>7071</v>
      </c>
      <c r="M252" s="803"/>
      <c r="N252" s="804">
        <v>1703</v>
      </c>
      <c r="O252" s="804">
        <v>15720</v>
      </c>
      <c r="P252" s="804">
        <v>0</v>
      </c>
      <c r="Q252" s="803">
        <v>0</v>
      </c>
      <c r="R252" s="803"/>
      <c r="S252" s="804">
        <v>12990</v>
      </c>
      <c r="T252" s="805">
        <v>2451</v>
      </c>
      <c r="U252" s="805">
        <v>15442</v>
      </c>
    </row>
    <row r="253" spans="1:21" x14ac:dyDescent="0.25">
      <c r="A253" s="800">
        <v>92571</v>
      </c>
      <c r="B253" s="801" t="s">
        <v>2894</v>
      </c>
      <c r="C253" s="802">
        <v>3.1E-6</v>
      </c>
      <c r="D253" s="802">
        <v>3.8E-6</v>
      </c>
      <c r="E253" s="803">
        <v>6093</v>
      </c>
      <c r="F253" s="803">
        <v>1705</v>
      </c>
      <c r="G253" s="803">
        <v>6579</v>
      </c>
      <c r="H253" s="803"/>
      <c r="I253" s="804">
        <v>123.6125</v>
      </c>
      <c r="J253" s="804">
        <v>5766</v>
      </c>
      <c r="K253" s="804">
        <v>451</v>
      </c>
      <c r="L253" s="803">
        <v>4439</v>
      </c>
      <c r="M253" s="803"/>
      <c r="N253" s="804">
        <v>231</v>
      </c>
      <c r="O253" s="804">
        <v>2128</v>
      </c>
      <c r="P253" s="804">
        <v>0</v>
      </c>
      <c r="Q253" s="803">
        <v>200.99</v>
      </c>
      <c r="R253" s="803"/>
      <c r="S253" s="804">
        <v>1759</v>
      </c>
      <c r="T253" s="805">
        <v>1144</v>
      </c>
      <c r="U253" s="805">
        <v>2902</v>
      </c>
    </row>
    <row r="254" spans="1:21" x14ac:dyDescent="0.25">
      <c r="A254" s="800">
        <v>92601</v>
      </c>
      <c r="B254" s="801" t="s">
        <v>2895</v>
      </c>
      <c r="C254" s="802">
        <v>1.54185E-2</v>
      </c>
      <c r="D254" s="802">
        <v>1.5052899999999999E-2</v>
      </c>
      <c r="E254" s="803">
        <v>6115436</v>
      </c>
      <c r="F254" s="803">
        <v>6755651</v>
      </c>
      <c r="G254" s="803">
        <v>32723222</v>
      </c>
      <c r="H254" s="803"/>
      <c r="I254" s="804">
        <v>614813</v>
      </c>
      <c r="J254" s="804">
        <v>28675974</v>
      </c>
      <c r="K254" s="804">
        <v>2241249</v>
      </c>
      <c r="L254" s="803">
        <v>258399</v>
      </c>
      <c r="M254" s="803"/>
      <c r="N254" s="804">
        <v>1146658</v>
      </c>
      <c r="O254" s="804">
        <v>10584153</v>
      </c>
      <c r="P254" s="804">
        <v>0</v>
      </c>
      <c r="Q254" s="803">
        <v>0</v>
      </c>
      <c r="R254" s="803"/>
      <c r="S254" s="804">
        <v>8746437</v>
      </c>
      <c r="T254" s="805">
        <v>123589</v>
      </c>
      <c r="U254" s="805">
        <v>8870026</v>
      </c>
    </row>
    <row r="255" spans="1:21" x14ac:dyDescent="0.25">
      <c r="A255" s="800">
        <v>92602</v>
      </c>
      <c r="B255" s="801" t="s">
        <v>2896</v>
      </c>
      <c r="C255" s="802">
        <v>8.1999999999999994E-6</v>
      </c>
      <c r="D255" s="802">
        <v>8.3999999999999992E-6</v>
      </c>
      <c r="E255" s="803">
        <v>3297.75</v>
      </c>
      <c r="F255" s="803">
        <v>3770</v>
      </c>
      <c r="G255" s="803">
        <v>17403</v>
      </c>
      <c r="H255" s="803"/>
      <c r="I255" s="804">
        <v>327</v>
      </c>
      <c r="J255" s="804">
        <v>15251</v>
      </c>
      <c r="K255" s="804">
        <v>1192</v>
      </c>
      <c r="L255" s="803">
        <v>708.44</v>
      </c>
      <c r="M255" s="803"/>
      <c r="N255" s="804">
        <v>610</v>
      </c>
      <c r="O255" s="804">
        <v>5629</v>
      </c>
      <c r="P255" s="804">
        <v>0</v>
      </c>
      <c r="Q255" s="803">
        <v>1260</v>
      </c>
      <c r="R255" s="803"/>
      <c r="S255" s="804">
        <v>4652</v>
      </c>
      <c r="T255" s="805">
        <v>-75</v>
      </c>
      <c r="U255" s="805">
        <v>4577</v>
      </c>
    </row>
    <row r="256" spans="1:21" x14ac:dyDescent="0.25">
      <c r="A256" s="800">
        <v>92604</v>
      </c>
      <c r="B256" s="801" t="s">
        <v>2897</v>
      </c>
      <c r="C256" s="802">
        <v>3.4380000000000001E-4</v>
      </c>
      <c r="D256" s="802">
        <v>3.2019999999999998E-4</v>
      </c>
      <c r="E256" s="803">
        <v>164086</v>
      </c>
      <c r="F256" s="803">
        <v>143704</v>
      </c>
      <c r="G256" s="803">
        <v>729659</v>
      </c>
      <c r="H256" s="803"/>
      <c r="I256" s="804">
        <v>13709</v>
      </c>
      <c r="J256" s="804">
        <v>639414</v>
      </c>
      <c r="K256" s="804">
        <v>49975</v>
      </c>
      <c r="L256" s="803">
        <v>56939</v>
      </c>
      <c r="M256" s="803"/>
      <c r="N256" s="804">
        <v>25568</v>
      </c>
      <c r="O256" s="804">
        <v>236004</v>
      </c>
      <c r="P256" s="804">
        <v>0</v>
      </c>
      <c r="Q256" s="803">
        <v>0</v>
      </c>
      <c r="R256" s="803"/>
      <c r="S256" s="804">
        <v>195027</v>
      </c>
      <c r="T256" s="805">
        <v>20016</v>
      </c>
      <c r="U256" s="805">
        <v>215043</v>
      </c>
    </row>
    <row r="257" spans="1:21" x14ac:dyDescent="0.25">
      <c r="A257" s="800">
        <v>92607</v>
      </c>
      <c r="B257" s="801" t="s">
        <v>2898</v>
      </c>
      <c r="C257" s="802">
        <v>7.0400000000000004E-5</v>
      </c>
      <c r="D257" s="802">
        <v>7.4099999999999999E-5</v>
      </c>
      <c r="E257" s="803">
        <v>34300</v>
      </c>
      <c r="F257" s="803">
        <v>33256</v>
      </c>
      <c r="G257" s="803">
        <v>149412</v>
      </c>
      <c r="H257" s="803"/>
      <c r="I257" s="804">
        <v>2807</v>
      </c>
      <c r="J257" s="804">
        <v>130933</v>
      </c>
      <c r="K257" s="804">
        <v>10233</v>
      </c>
      <c r="L257" s="803">
        <v>9606</v>
      </c>
      <c r="M257" s="803"/>
      <c r="N257" s="804">
        <v>5236</v>
      </c>
      <c r="O257" s="804">
        <v>48327</v>
      </c>
      <c r="P257" s="804">
        <v>0</v>
      </c>
      <c r="Q257" s="803">
        <v>0</v>
      </c>
      <c r="R257" s="803"/>
      <c r="S257" s="804">
        <v>39936</v>
      </c>
      <c r="T257" s="805">
        <v>3862</v>
      </c>
      <c r="U257" s="805">
        <v>43798</v>
      </c>
    </row>
    <row r="258" spans="1:21" x14ac:dyDescent="0.25">
      <c r="A258" s="800">
        <v>92608</v>
      </c>
      <c r="B258" s="801" t="s">
        <v>2899</v>
      </c>
      <c r="C258" s="802">
        <v>0</v>
      </c>
      <c r="D258" s="802">
        <v>0</v>
      </c>
      <c r="E258" s="803">
        <v>0</v>
      </c>
      <c r="F258" s="803">
        <v>0</v>
      </c>
      <c r="G258" s="803">
        <v>0</v>
      </c>
      <c r="H258" s="803"/>
      <c r="I258" s="804">
        <v>0</v>
      </c>
      <c r="J258" s="804">
        <v>0</v>
      </c>
      <c r="K258" s="804">
        <v>0</v>
      </c>
      <c r="L258" s="803">
        <v>0</v>
      </c>
      <c r="M258" s="803"/>
      <c r="N258" s="804">
        <v>0</v>
      </c>
      <c r="O258" s="804">
        <v>0</v>
      </c>
      <c r="P258" s="804">
        <v>0</v>
      </c>
      <c r="Q258" s="803">
        <v>139807</v>
      </c>
      <c r="R258" s="803"/>
      <c r="S258" s="804">
        <v>0</v>
      </c>
      <c r="T258" s="805">
        <v>-69872</v>
      </c>
      <c r="U258" s="805">
        <v>-69872</v>
      </c>
    </row>
    <row r="259" spans="1:21" x14ac:dyDescent="0.25">
      <c r="A259" s="800">
        <v>92611</v>
      </c>
      <c r="B259" s="801" t="s">
        <v>2900</v>
      </c>
      <c r="C259" s="802">
        <v>1.3650799999999999E-2</v>
      </c>
      <c r="D259" s="802">
        <v>1.3731999999999999E-2</v>
      </c>
      <c r="E259" s="803">
        <v>5062641</v>
      </c>
      <c r="F259" s="803">
        <v>6162839</v>
      </c>
      <c r="G259" s="803">
        <v>28971571</v>
      </c>
      <c r="H259" s="803"/>
      <c r="I259" s="804">
        <v>544325.65</v>
      </c>
      <c r="J259" s="804">
        <v>25388331</v>
      </c>
      <c r="K259" s="804">
        <v>1984294</v>
      </c>
      <c r="L259" s="803">
        <v>20320</v>
      </c>
      <c r="M259" s="803"/>
      <c r="N259" s="804">
        <v>1015196</v>
      </c>
      <c r="O259" s="804">
        <v>9370701</v>
      </c>
      <c r="P259" s="804">
        <v>0</v>
      </c>
      <c r="Q259" s="803">
        <v>707501</v>
      </c>
      <c r="R259" s="803"/>
      <c r="S259" s="804">
        <v>7743676</v>
      </c>
      <c r="T259" s="805">
        <v>-194650</v>
      </c>
      <c r="U259" s="805">
        <v>7549026</v>
      </c>
    </row>
    <row r="260" spans="1:21" x14ac:dyDescent="0.25">
      <c r="A260" s="800">
        <v>92613</v>
      </c>
      <c r="B260" s="801" t="s">
        <v>2901</v>
      </c>
      <c r="C260" s="802">
        <v>2.81E-4</v>
      </c>
      <c r="D260" s="802">
        <v>2.9250000000000001E-4</v>
      </c>
      <c r="E260" s="803">
        <v>141183</v>
      </c>
      <c r="F260" s="803">
        <v>131272</v>
      </c>
      <c r="G260" s="803">
        <v>596376</v>
      </c>
      <c r="H260" s="803"/>
      <c r="I260" s="804">
        <v>11204.875</v>
      </c>
      <c r="J260" s="804">
        <v>522616</v>
      </c>
      <c r="K260" s="804">
        <v>40846</v>
      </c>
      <c r="L260" s="803">
        <v>119119</v>
      </c>
      <c r="M260" s="803"/>
      <c r="N260" s="804">
        <v>20898</v>
      </c>
      <c r="O260" s="804">
        <v>192895</v>
      </c>
      <c r="P260" s="804">
        <v>0</v>
      </c>
      <c r="Q260" s="803">
        <v>1892</v>
      </c>
      <c r="R260" s="803"/>
      <c r="S260" s="804">
        <v>159403</v>
      </c>
      <c r="T260" s="805">
        <v>39940</v>
      </c>
      <c r="U260" s="805">
        <v>199343</v>
      </c>
    </row>
    <row r="261" spans="1:21" x14ac:dyDescent="0.25">
      <c r="A261" s="800">
        <v>92614</v>
      </c>
      <c r="B261" s="801" t="s">
        <v>2902</v>
      </c>
      <c r="C261" s="802">
        <v>5.6468000000000004E-3</v>
      </c>
      <c r="D261" s="802">
        <v>5.6173999999999998E-3</v>
      </c>
      <c r="E261" s="803">
        <v>4370417</v>
      </c>
      <c r="F261" s="803">
        <v>2521055</v>
      </c>
      <c r="G261" s="803">
        <v>11984401</v>
      </c>
      <c r="H261" s="803"/>
      <c r="I261" s="804">
        <v>225166</v>
      </c>
      <c r="J261" s="804">
        <v>10502156</v>
      </c>
      <c r="K261" s="804">
        <v>820824</v>
      </c>
      <c r="L261" s="803">
        <v>3097959</v>
      </c>
      <c r="M261" s="803"/>
      <c r="N261" s="804">
        <v>419947</v>
      </c>
      <c r="O261" s="804">
        <v>3876291</v>
      </c>
      <c r="P261" s="804">
        <v>0</v>
      </c>
      <c r="Q261" s="803">
        <v>0</v>
      </c>
      <c r="R261" s="803"/>
      <c r="S261" s="804">
        <v>3203255</v>
      </c>
      <c r="T261" s="805">
        <v>970834</v>
      </c>
      <c r="U261" s="805">
        <v>4174089</v>
      </c>
    </row>
    <row r="262" spans="1:21" x14ac:dyDescent="0.25">
      <c r="A262" s="800">
        <v>92621</v>
      </c>
      <c r="B262" s="801" t="s">
        <v>2903</v>
      </c>
      <c r="C262" s="802">
        <v>3.2799999999999998E-5</v>
      </c>
      <c r="D262" s="802">
        <v>3.3099999999999998E-5</v>
      </c>
      <c r="E262" s="803">
        <v>12384</v>
      </c>
      <c r="F262" s="803">
        <v>14855</v>
      </c>
      <c r="G262" s="803">
        <v>69613</v>
      </c>
      <c r="H262" s="803"/>
      <c r="I262" s="804">
        <v>1308</v>
      </c>
      <c r="J262" s="804">
        <v>61003</v>
      </c>
      <c r="K262" s="804">
        <v>4768</v>
      </c>
      <c r="L262" s="803">
        <v>1351</v>
      </c>
      <c r="M262" s="803"/>
      <c r="N262" s="804">
        <v>2439</v>
      </c>
      <c r="O262" s="804">
        <v>22516</v>
      </c>
      <c r="P262" s="804">
        <v>0</v>
      </c>
      <c r="Q262" s="803">
        <v>3050</v>
      </c>
      <c r="R262" s="803"/>
      <c r="S262" s="804">
        <v>18606</v>
      </c>
      <c r="T262" s="805">
        <v>-800</v>
      </c>
      <c r="U262" s="805">
        <v>17806</v>
      </c>
    </row>
    <row r="263" spans="1:21" x14ac:dyDescent="0.25">
      <c r="A263" s="800">
        <v>92631</v>
      </c>
      <c r="B263" s="801" t="s">
        <v>2904</v>
      </c>
      <c r="C263" s="802">
        <v>1.0068E-3</v>
      </c>
      <c r="D263" s="802">
        <v>1.0248E-3</v>
      </c>
      <c r="E263" s="803">
        <v>343817.77</v>
      </c>
      <c r="F263" s="803">
        <v>459924</v>
      </c>
      <c r="G263" s="803">
        <v>2136767</v>
      </c>
      <c r="H263" s="803"/>
      <c r="I263" s="804">
        <v>40146.15</v>
      </c>
      <c r="J263" s="804">
        <v>1872489</v>
      </c>
      <c r="K263" s="804">
        <v>146349</v>
      </c>
      <c r="L263" s="803">
        <v>0</v>
      </c>
      <c r="M263" s="803"/>
      <c r="N263" s="804">
        <v>74875</v>
      </c>
      <c r="O263" s="804">
        <v>691126</v>
      </c>
      <c r="P263" s="804">
        <v>0</v>
      </c>
      <c r="Q263" s="803">
        <v>101284</v>
      </c>
      <c r="R263" s="803"/>
      <c r="S263" s="804">
        <v>571126</v>
      </c>
      <c r="T263" s="805">
        <v>-30677</v>
      </c>
      <c r="U263" s="805">
        <v>540449</v>
      </c>
    </row>
    <row r="264" spans="1:21" x14ac:dyDescent="0.25">
      <c r="A264" s="800">
        <v>92641</v>
      </c>
      <c r="B264" s="801" t="s">
        <v>2905</v>
      </c>
      <c r="C264" s="802">
        <v>1.03E-5</v>
      </c>
      <c r="D264" s="802">
        <v>1.0699999999999999E-5</v>
      </c>
      <c r="E264" s="803">
        <v>4921.7</v>
      </c>
      <c r="F264" s="803">
        <v>4802</v>
      </c>
      <c r="G264" s="803">
        <v>21860</v>
      </c>
      <c r="H264" s="803"/>
      <c r="I264" s="804">
        <v>410.71249999999998</v>
      </c>
      <c r="J264" s="804">
        <v>19156</v>
      </c>
      <c r="K264" s="804">
        <v>1497</v>
      </c>
      <c r="L264" s="803">
        <v>2730</v>
      </c>
      <c r="M264" s="803"/>
      <c r="N264" s="804">
        <v>766</v>
      </c>
      <c r="O264" s="804">
        <v>7071</v>
      </c>
      <c r="P264" s="804">
        <v>0</v>
      </c>
      <c r="Q264" s="803">
        <v>1900</v>
      </c>
      <c r="R264" s="803"/>
      <c r="S264" s="804">
        <v>5843</v>
      </c>
      <c r="T264" s="805">
        <v>-18</v>
      </c>
      <c r="U264" s="805">
        <v>5825</v>
      </c>
    </row>
    <row r="265" spans="1:21" x14ac:dyDescent="0.25">
      <c r="A265" s="800">
        <v>92651</v>
      </c>
      <c r="B265" s="801" t="s">
        <v>2906</v>
      </c>
      <c r="C265" s="802">
        <v>2.6000000000000001E-6</v>
      </c>
      <c r="D265" s="802">
        <v>2.3999999999999999E-6</v>
      </c>
      <c r="E265" s="803">
        <v>2706.64</v>
      </c>
      <c r="F265" s="803">
        <v>1077</v>
      </c>
      <c r="G265" s="803">
        <v>5518</v>
      </c>
      <c r="H265" s="803"/>
      <c r="I265" s="804">
        <v>103.675</v>
      </c>
      <c r="J265" s="804">
        <v>4836</v>
      </c>
      <c r="K265" s="804">
        <v>378</v>
      </c>
      <c r="L265" s="803">
        <v>2819</v>
      </c>
      <c r="M265" s="803"/>
      <c r="N265" s="804">
        <v>193</v>
      </c>
      <c r="O265" s="804">
        <v>1785</v>
      </c>
      <c r="P265" s="804">
        <v>0</v>
      </c>
      <c r="Q265" s="803">
        <v>0</v>
      </c>
      <c r="R265" s="803"/>
      <c r="S265" s="804">
        <v>1475</v>
      </c>
      <c r="T265" s="805">
        <v>953</v>
      </c>
      <c r="U265" s="805">
        <v>2428</v>
      </c>
    </row>
    <row r="266" spans="1:21" x14ac:dyDescent="0.25">
      <c r="A266" s="800">
        <v>92661</v>
      </c>
      <c r="B266" s="801" t="s">
        <v>2907</v>
      </c>
      <c r="C266" s="802">
        <v>6.6299999999999996E-4</v>
      </c>
      <c r="D266" s="802">
        <v>6.7860000000000001E-4</v>
      </c>
      <c r="E266" s="803">
        <v>505438</v>
      </c>
      <c r="F266" s="803">
        <v>304552</v>
      </c>
      <c r="G266" s="803">
        <v>1407108</v>
      </c>
      <c r="H266" s="803"/>
      <c r="I266" s="804">
        <v>26437.125</v>
      </c>
      <c r="J266" s="804">
        <v>1233075</v>
      </c>
      <c r="K266" s="804">
        <v>96374</v>
      </c>
      <c r="L266" s="803">
        <v>293360</v>
      </c>
      <c r="M266" s="803"/>
      <c r="N266" s="804">
        <v>49307</v>
      </c>
      <c r="O266" s="804">
        <v>455122</v>
      </c>
      <c r="P266" s="804">
        <v>0</v>
      </c>
      <c r="Q266" s="803">
        <v>33924</v>
      </c>
      <c r="R266" s="803"/>
      <c r="S266" s="804">
        <v>376099</v>
      </c>
      <c r="T266" s="805">
        <v>70124</v>
      </c>
      <c r="U266" s="805">
        <v>446224</v>
      </c>
    </row>
    <row r="267" spans="1:21" x14ac:dyDescent="0.25">
      <c r="A267" s="800">
        <v>92671</v>
      </c>
      <c r="B267" s="801" t="s">
        <v>2908</v>
      </c>
      <c r="C267" s="802">
        <v>2.9000000000000002E-6</v>
      </c>
      <c r="D267" s="802">
        <v>3.4999999999999999E-6</v>
      </c>
      <c r="E267" s="803">
        <v>4773.75</v>
      </c>
      <c r="F267" s="803">
        <v>1571</v>
      </c>
      <c r="G267" s="803">
        <v>6155</v>
      </c>
      <c r="H267" s="803"/>
      <c r="I267" s="804">
        <v>115.6375</v>
      </c>
      <c r="J267" s="804">
        <v>5394</v>
      </c>
      <c r="K267" s="804">
        <v>422</v>
      </c>
      <c r="L267" s="803">
        <v>4608</v>
      </c>
      <c r="M267" s="803"/>
      <c r="N267" s="804">
        <v>216</v>
      </c>
      <c r="O267" s="804">
        <v>1991</v>
      </c>
      <c r="P267" s="804">
        <v>0</v>
      </c>
      <c r="Q267" s="803">
        <v>0</v>
      </c>
      <c r="R267" s="803"/>
      <c r="S267" s="804">
        <v>1645</v>
      </c>
      <c r="T267" s="805">
        <v>1438</v>
      </c>
      <c r="U267" s="805">
        <v>3083</v>
      </c>
    </row>
    <row r="268" spans="1:21" x14ac:dyDescent="0.25">
      <c r="A268" s="800">
        <v>92681</v>
      </c>
      <c r="B268" s="801" t="s">
        <v>2909</v>
      </c>
      <c r="C268" s="802">
        <v>1.01E-5</v>
      </c>
      <c r="D268" s="802">
        <v>5.4E-6</v>
      </c>
      <c r="E268" s="803">
        <v>9614</v>
      </c>
      <c r="F268" s="803">
        <v>2423</v>
      </c>
      <c r="G268" s="803">
        <v>21436</v>
      </c>
      <c r="H268" s="803"/>
      <c r="I268" s="804">
        <v>402.73750000000001</v>
      </c>
      <c r="J268" s="804">
        <v>18784</v>
      </c>
      <c r="K268" s="804">
        <v>1468</v>
      </c>
      <c r="L268" s="803">
        <v>11040</v>
      </c>
      <c r="M268" s="803"/>
      <c r="N268" s="804">
        <v>751</v>
      </c>
      <c r="O268" s="804">
        <v>6933</v>
      </c>
      <c r="P268" s="804">
        <v>0</v>
      </c>
      <c r="Q268" s="803">
        <v>0</v>
      </c>
      <c r="R268" s="803"/>
      <c r="S268" s="804">
        <v>5729</v>
      </c>
      <c r="T268" s="805">
        <v>3452</v>
      </c>
      <c r="U268" s="805">
        <v>9181</v>
      </c>
    </row>
    <row r="269" spans="1:21" x14ac:dyDescent="0.25">
      <c r="A269" s="800">
        <v>92701</v>
      </c>
      <c r="B269" s="801" t="s">
        <v>2910</v>
      </c>
      <c r="C269" s="802">
        <v>2.9588000000000001E-3</v>
      </c>
      <c r="D269" s="802">
        <v>2.8249999999999998E-3</v>
      </c>
      <c r="E269" s="803">
        <v>1147170.26</v>
      </c>
      <c r="F269" s="803">
        <v>1267843</v>
      </c>
      <c r="G269" s="803">
        <v>6279565</v>
      </c>
      <c r="H269" s="803"/>
      <c r="I269" s="804">
        <v>117982</v>
      </c>
      <c r="J269" s="804">
        <v>5502901</v>
      </c>
      <c r="K269" s="804">
        <v>430094</v>
      </c>
      <c r="L269" s="803">
        <v>17190</v>
      </c>
      <c r="M269" s="803"/>
      <c r="N269" s="804">
        <v>220043</v>
      </c>
      <c r="O269" s="804">
        <v>2031092</v>
      </c>
      <c r="P269" s="804">
        <v>0</v>
      </c>
      <c r="Q269" s="803">
        <v>81579</v>
      </c>
      <c r="R269" s="803"/>
      <c r="S269" s="804">
        <v>1678436</v>
      </c>
      <c r="T269" s="805">
        <v>-34202</v>
      </c>
      <c r="U269" s="805">
        <v>1644234</v>
      </c>
    </row>
    <row r="270" spans="1:21" x14ac:dyDescent="0.25">
      <c r="A270" s="800">
        <v>92704</v>
      </c>
      <c r="B270" s="801" t="s">
        <v>2911</v>
      </c>
      <c r="C270" s="802">
        <v>4.7700000000000001E-5</v>
      </c>
      <c r="D270" s="802">
        <v>4.8000000000000001E-5</v>
      </c>
      <c r="E270" s="803">
        <v>17416.48</v>
      </c>
      <c r="F270" s="803">
        <v>21542</v>
      </c>
      <c r="G270" s="803">
        <v>101235</v>
      </c>
      <c r="H270" s="803"/>
      <c r="I270" s="804">
        <v>1902</v>
      </c>
      <c r="J270" s="804">
        <v>88714</v>
      </c>
      <c r="K270" s="804">
        <v>6934</v>
      </c>
      <c r="L270" s="803">
        <v>2418</v>
      </c>
      <c r="M270" s="803"/>
      <c r="N270" s="804">
        <v>3547</v>
      </c>
      <c r="O270" s="804">
        <v>32744</v>
      </c>
      <c r="P270" s="804">
        <v>0</v>
      </c>
      <c r="Q270" s="803">
        <v>1922</v>
      </c>
      <c r="R270" s="803"/>
      <c r="S270" s="804">
        <v>27059</v>
      </c>
      <c r="T270" s="805">
        <v>357</v>
      </c>
      <c r="U270" s="805">
        <v>27415</v>
      </c>
    </row>
    <row r="271" spans="1:21" x14ac:dyDescent="0.25">
      <c r="A271" s="800">
        <v>92801</v>
      </c>
      <c r="B271" s="801" t="s">
        <v>2912</v>
      </c>
      <c r="C271" s="802">
        <v>5.1701000000000004E-3</v>
      </c>
      <c r="D271" s="802">
        <v>5.1633E-3</v>
      </c>
      <c r="E271" s="803">
        <v>2172949.21</v>
      </c>
      <c r="F271" s="803">
        <v>2317258</v>
      </c>
      <c r="G271" s="803">
        <v>10972684</v>
      </c>
      <c r="H271" s="803"/>
      <c r="I271" s="804">
        <v>206158</v>
      </c>
      <c r="J271" s="804">
        <v>9615569</v>
      </c>
      <c r="K271" s="804">
        <v>751531</v>
      </c>
      <c r="L271" s="803">
        <v>219271</v>
      </c>
      <c r="M271" s="803"/>
      <c r="N271" s="804">
        <v>384495</v>
      </c>
      <c r="O271" s="804">
        <v>3549057</v>
      </c>
      <c r="P271" s="804">
        <v>0</v>
      </c>
      <c r="Q271" s="803">
        <v>0</v>
      </c>
      <c r="R271" s="803"/>
      <c r="S271" s="804">
        <v>2932837</v>
      </c>
      <c r="T271" s="805">
        <v>78433</v>
      </c>
      <c r="U271" s="805">
        <v>3011270</v>
      </c>
    </row>
    <row r="272" spans="1:21" x14ac:dyDescent="0.25">
      <c r="A272" s="800">
        <v>92802</v>
      </c>
      <c r="B272" s="801" t="s">
        <v>2913</v>
      </c>
      <c r="C272" s="802">
        <v>1.3410000000000001E-4</v>
      </c>
      <c r="D272" s="802">
        <v>1.4359999999999999E-4</v>
      </c>
      <c r="E272" s="803">
        <v>49243.25</v>
      </c>
      <c r="F272" s="803">
        <v>64447</v>
      </c>
      <c r="G272" s="803">
        <v>284605</v>
      </c>
      <c r="H272" s="803"/>
      <c r="I272" s="804">
        <v>5347</v>
      </c>
      <c r="J272" s="804">
        <v>249405</v>
      </c>
      <c r="K272" s="804">
        <v>19493</v>
      </c>
      <c r="L272" s="803">
        <v>0</v>
      </c>
      <c r="M272" s="803"/>
      <c r="N272" s="804">
        <v>9973</v>
      </c>
      <c r="O272" s="804">
        <v>92054</v>
      </c>
      <c r="P272" s="804">
        <v>0</v>
      </c>
      <c r="Q272" s="803">
        <v>17052</v>
      </c>
      <c r="R272" s="803"/>
      <c r="S272" s="804">
        <v>76071</v>
      </c>
      <c r="T272" s="805">
        <v>-5458</v>
      </c>
      <c r="U272" s="805">
        <v>70613</v>
      </c>
    </row>
    <row r="273" spans="1:21" x14ac:dyDescent="0.25">
      <c r="A273" s="800">
        <v>92804</v>
      </c>
      <c r="B273" s="801" t="s">
        <v>2914</v>
      </c>
      <c r="C273" s="802">
        <v>1.47E-4</v>
      </c>
      <c r="D273" s="802">
        <v>1.217E-4</v>
      </c>
      <c r="E273" s="803">
        <v>50468.480000000003</v>
      </c>
      <c r="F273" s="803">
        <v>54618</v>
      </c>
      <c r="G273" s="803">
        <v>311983</v>
      </c>
      <c r="H273" s="803"/>
      <c r="I273" s="804">
        <v>5861.625</v>
      </c>
      <c r="J273" s="804">
        <v>273397</v>
      </c>
      <c r="K273" s="804">
        <v>21368</v>
      </c>
      <c r="L273" s="803">
        <v>12672</v>
      </c>
      <c r="M273" s="803"/>
      <c r="N273" s="804">
        <v>10932</v>
      </c>
      <c r="O273" s="804">
        <v>100909</v>
      </c>
      <c r="P273" s="804">
        <v>0</v>
      </c>
      <c r="Q273" s="803">
        <v>2663</v>
      </c>
      <c r="R273" s="803"/>
      <c r="S273" s="804">
        <v>83389</v>
      </c>
      <c r="T273" s="805">
        <v>2604</v>
      </c>
      <c r="U273" s="805">
        <v>85992</v>
      </c>
    </row>
    <row r="274" spans="1:21" x14ac:dyDescent="0.25">
      <c r="A274" s="800">
        <v>92811</v>
      </c>
      <c r="B274" s="801" t="s">
        <v>2915</v>
      </c>
      <c r="C274" s="802">
        <v>9.8569999999999994E-4</v>
      </c>
      <c r="D274" s="802">
        <v>1.1405E-3</v>
      </c>
      <c r="E274" s="803">
        <v>390969</v>
      </c>
      <c r="F274" s="803">
        <v>511850</v>
      </c>
      <c r="G274" s="803">
        <v>2091986</v>
      </c>
      <c r="H274" s="803"/>
      <c r="I274" s="804">
        <v>39305</v>
      </c>
      <c r="J274" s="804">
        <v>1833246</v>
      </c>
      <c r="K274" s="804">
        <v>143282</v>
      </c>
      <c r="L274" s="803">
        <v>0</v>
      </c>
      <c r="M274" s="803"/>
      <c r="N274" s="804">
        <v>73306</v>
      </c>
      <c r="O274" s="804">
        <v>676642</v>
      </c>
      <c r="P274" s="804">
        <v>0</v>
      </c>
      <c r="Q274" s="803">
        <v>118839</v>
      </c>
      <c r="R274" s="803"/>
      <c r="S274" s="804">
        <v>559157</v>
      </c>
      <c r="T274" s="805">
        <v>-36047</v>
      </c>
      <c r="U274" s="805">
        <v>523110</v>
      </c>
    </row>
    <row r="275" spans="1:21" x14ac:dyDescent="0.25">
      <c r="A275" s="800">
        <v>92821</v>
      </c>
      <c r="B275" s="801" t="s">
        <v>2916</v>
      </c>
      <c r="C275" s="802">
        <v>1.0139999999999999E-3</v>
      </c>
      <c r="D275" s="802">
        <v>9.8010000000000002E-4</v>
      </c>
      <c r="E275" s="803">
        <v>411903</v>
      </c>
      <c r="F275" s="803">
        <v>439863</v>
      </c>
      <c r="G275" s="803">
        <v>2152047.69</v>
      </c>
      <c r="H275" s="803"/>
      <c r="I275" s="804">
        <v>40433.25</v>
      </c>
      <c r="J275" s="804">
        <v>1885880</v>
      </c>
      <c r="K275" s="804">
        <v>147396</v>
      </c>
      <c r="L275" s="803">
        <v>27408</v>
      </c>
      <c r="M275" s="803"/>
      <c r="N275" s="804">
        <v>75410</v>
      </c>
      <c r="O275" s="804">
        <v>696068</v>
      </c>
      <c r="P275" s="804">
        <v>0</v>
      </c>
      <c r="Q275" s="803">
        <v>0</v>
      </c>
      <c r="R275" s="803"/>
      <c r="S275" s="804">
        <v>575211</v>
      </c>
      <c r="T275" s="805">
        <v>8904</v>
      </c>
      <c r="U275" s="805">
        <v>584115</v>
      </c>
    </row>
    <row r="276" spans="1:21" x14ac:dyDescent="0.25">
      <c r="A276" s="800">
        <v>92831</v>
      </c>
      <c r="B276" s="801" t="s">
        <v>2917</v>
      </c>
      <c r="C276" s="802">
        <v>2.476E-4</v>
      </c>
      <c r="D276" s="802">
        <v>2.4049999999999999E-4</v>
      </c>
      <c r="E276" s="803">
        <v>117070.46</v>
      </c>
      <c r="F276" s="803">
        <v>107935</v>
      </c>
      <c r="G276" s="803">
        <v>525490</v>
      </c>
      <c r="H276" s="803"/>
      <c r="I276" s="804">
        <v>9873</v>
      </c>
      <c r="J276" s="804">
        <v>460497</v>
      </c>
      <c r="K276" s="804">
        <v>35991</v>
      </c>
      <c r="L276" s="803">
        <v>29199</v>
      </c>
      <c r="M276" s="803"/>
      <c r="N276" s="804">
        <v>18414</v>
      </c>
      <c r="O276" s="804">
        <v>169967</v>
      </c>
      <c r="P276" s="804">
        <v>0</v>
      </c>
      <c r="Q276" s="803">
        <v>0</v>
      </c>
      <c r="R276" s="803"/>
      <c r="S276" s="804">
        <v>140456</v>
      </c>
      <c r="T276" s="805">
        <v>10043</v>
      </c>
      <c r="U276" s="805">
        <v>150499</v>
      </c>
    </row>
    <row r="277" spans="1:21" x14ac:dyDescent="0.25">
      <c r="A277" s="800">
        <v>92841</v>
      </c>
      <c r="B277" s="801" t="s">
        <v>2918</v>
      </c>
      <c r="C277" s="802">
        <v>2.8160000000000001E-4</v>
      </c>
      <c r="D277" s="802">
        <v>2.7070000000000002E-4</v>
      </c>
      <c r="E277" s="803">
        <v>105224</v>
      </c>
      <c r="F277" s="803">
        <v>121489</v>
      </c>
      <c r="G277" s="803">
        <v>597650</v>
      </c>
      <c r="H277" s="803"/>
      <c r="I277" s="804">
        <v>11229</v>
      </c>
      <c r="J277" s="804">
        <v>523732</v>
      </c>
      <c r="K277" s="804">
        <v>40934</v>
      </c>
      <c r="L277" s="803">
        <v>11701.2</v>
      </c>
      <c r="M277" s="803"/>
      <c r="N277" s="804">
        <v>20942</v>
      </c>
      <c r="O277" s="804">
        <v>193307</v>
      </c>
      <c r="P277" s="804">
        <v>0</v>
      </c>
      <c r="Q277" s="803">
        <v>3120</v>
      </c>
      <c r="R277" s="803"/>
      <c r="S277" s="804">
        <v>159743</v>
      </c>
      <c r="T277" s="805">
        <v>5013</v>
      </c>
      <c r="U277" s="805">
        <v>164756</v>
      </c>
    </row>
    <row r="278" spans="1:21" x14ac:dyDescent="0.25">
      <c r="A278" s="800">
        <v>92851</v>
      </c>
      <c r="B278" s="801" t="s">
        <v>2919</v>
      </c>
      <c r="C278" s="802">
        <v>4.3909999999999999E-4</v>
      </c>
      <c r="D278" s="802">
        <v>4.6690000000000002E-4</v>
      </c>
      <c r="E278" s="803">
        <v>157592</v>
      </c>
      <c r="F278" s="803">
        <v>209542</v>
      </c>
      <c r="G278" s="803">
        <v>931917</v>
      </c>
      <c r="H278" s="803"/>
      <c r="I278" s="804">
        <v>17509</v>
      </c>
      <c r="J278" s="804">
        <v>816657</v>
      </c>
      <c r="K278" s="804">
        <v>63828</v>
      </c>
      <c r="L278" s="803">
        <v>0</v>
      </c>
      <c r="M278" s="803"/>
      <c r="N278" s="804">
        <v>32655</v>
      </c>
      <c r="O278" s="804">
        <v>301424</v>
      </c>
      <c r="P278" s="804">
        <v>0</v>
      </c>
      <c r="Q278" s="803">
        <v>92000</v>
      </c>
      <c r="R278" s="803"/>
      <c r="S278" s="804">
        <v>249088</v>
      </c>
      <c r="T278" s="805">
        <v>-34292</v>
      </c>
      <c r="U278" s="805">
        <v>214796</v>
      </c>
    </row>
    <row r="279" spans="1:21" x14ac:dyDescent="0.25">
      <c r="A279" s="800">
        <v>92861</v>
      </c>
      <c r="B279" s="801" t="s">
        <v>2920</v>
      </c>
      <c r="C279" s="802">
        <v>3.3629999999999999E-4</v>
      </c>
      <c r="D279" s="802">
        <v>3.7750000000000001E-4</v>
      </c>
      <c r="E279" s="803">
        <v>101705</v>
      </c>
      <c r="F279" s="803">
        <v>169420</v>
      </c>
      <c r="G279" s="803">
        <v>713741</v>
      </c>
      <c r="H279" s="803"/>
      <c r="I279" s="804">
        <v>13410</v>
      </c>
      <c r="J279" s="804">
        <v>625465</v>
      </c>
      <c r="K279" s="804">
        <v>48885</v>
      </c>
      <c r="L279" s="803">
        <v>0</v>
      </c>
      <c r="M279" s="803"/>
      <c r="N279" s="804">
        <v>25010</v>
      </c>
      <c r="O279" s="804">
        <v>230856</v>
      </c>
      <c r="P279" s="804">
        <v>0</v>
      </c>
      <c r="Q279" s="803">
        <v>96581</v>
      </c>
      <c r="R279" s="803"/>
      <c r="S279" s="804">
        <v>190773</v>
      </c>
      <c r="T279" s="805">
        <v>-32224</v>
      </c>
      <c r="U279" s="805">
        <v>158549</v>
      </c>
    </row>
    <row r="280" spans="1:21" x14ac:dyDescent="0.25">
      <c r="A280" s="800">
        <v>92901</v>
      </c>
      <c r="B280" s="801" t="s">
        <v>2921</v>
      </c>
      <c r="C280" s="802">
        <v>5.7581000000000004E-3</v>
      </c>
      <c r="D280" s="802">
        <v>5.7428999999999996E-3</v>
      </c>
      <c r="E280" s="803">
        <v>2270581</v>
      </c>
      <c r="F280" s="803">
        <v>2577379</v>
      </c>
      <c r="G280" s="803">
        <v>12220617</v>
      </c>
      <c r="H280" s="803"/>
      <c r="I280" s="804">
        <v>229604</v>
      </c>
      <c r="J280" s="804">
        <v>10709156</v>
      </c>
      <c r="K280" s="804">
        <v>837003</v>
      </c>
      <c r="L280" s="803">
        <v>108561</v>
      </c>
      <c r="M280" s="803"/>
      <c r="N280" s="804">
        <v>428224</v>
      </c>
      <c r="O280" s="804">
        <v>3952694</v>
      </c>
      <c r="P280" s="804">
        <v>0</v>
      </c>
      <c r="Q280" s="803">
        <v>69123</v>
      </c>
      <c r="R280" s="803"/>
      <c r="S280" s="804">
        <v>3266392</v>
      </c>
      <c r="T280" s="805">
        <v>24956</v>
      </c>
      <c r="U280" s="805">
        <v>3291348</v>
      </c>
    </row>
    <row r="281" spans="1:21" x14ac:dyDescent="0.25">
      <c r="A281" s="800">
        <v>92911</v>
      </c>
      <c r="B281" s="801" t="s">
        <v>2922</v>
      </c>
      <c r="C281" s="802">
        <v>1.9442999999999999E-3</v>
      </c>
      <c r="D281" s="802">
        <v>2.0665000000000002E-3</v>
      </c>
      <c r="E281" s="803">
        <v>811710.22</v>
      </c>
      <c r="F281" s="803">
        <v>927433</v>
      </c>
      <c r="G281" s="803">
        <v>4126456</v>
      </c>
      <c r="H281" s="803"/>
      <c r="I281" s="804">
        <v>77529</v>
      </c>
      <c r="J281" s="804">
        <v>3616091</v>
      </c>
      <c r="K281" s="804">
        <v>282625</v>
      </c>
      <c r="L281" s="803">
        <v>0</v>
      </c>
      <c r="M281" s="803"/>
      <c r="N281" s="804">
        <v>144596</v>
      </c>
      <c r="O281" s="804">
        <v>1334680</v>
      </c>
      <c r="P281" s="804">
        <v>0</v>
      </c>
      <c r="Q281" s="803">
        <v>175676</v>
      </c>
      <c r="R281" s="803"/>
      <c r="S281" s="804">
        <v>1102941</v>
      </c>
      <c r="T281" s="805">
        <v>-62151</v>
      </c>
      <c r="U281" s="805">
        <v>1040790</v>
      </c>
    </row>
    <row r="282" spans="1:21" x14ac:dyDescent="0.25">
      <c r="A282" s="800">
        <v>92913</v>
      </c>
      <c r="B282" s="801" t="s">
        <v>2923</v>
      </c>
      <c r="C282" s="802">
        <v>2.37E-5</v>
      </c>
      <c r="D282" s="802">
        <v>2.97E-5</v>
      </c>
      <c r="E282" s="803">
        <v>56296.04</v>
      </c>
      <c r="F282" s="803">
        <v>13329</v>
      </c>
      <c r="G282" s="803">
        <v>50299</v>
      </c>
      <c r="H282" s="803"/>
      <c r="I282" s="804">
        <v>945.03750000000002</v>
      </c>
      <c r="J282" s="804">
        <v>44078</v>
      </c>
      <c r="K282" s="804">
        <v>3445</v>
      </c>
      <c r="L282" s="803">
        <v>60788</v>
      </c>
      <c r="M282" s="803"/>
      <c r="N282" s="804">
        <v>1763</v>
      </c>
      <c r="O282" s="804">
        <v>16269</v>
      </c>
      <c r="P282" s="804">
        <v>0</v>
      </c>
      <c r="Q282" s="803">
        <v>4115</v>
      </c>
      <c r="R282" s="803"/>
      <c r="S282" s="804">
        <v>13444</v>
      </c>
      <c r="T282" s="805">
        <v>16266</v>
      </c>
      <c r="U282" s="805">
        <v>29711</v>
      </c>
    </row>
    <row r="283" spans="1:21" x14ac:dyDescent="0.25">
      <c r="A283" s="800">
        <v>92917</v>
      </c>
      <c r="B283" s="801" t="s">
        <v>2924</v>
      </c>
      <c r="C283" s="802">
        <v>2.0000000000000002E-5</v>
      </c>
      <c r="D283" s="802">
        <v>1.9599999999999999E-5</v>
      </c>
      <c r="E283" s="803">
        <v>15742</v>
      </c>
      <c r="F283" s="803">
        <v>8796</v>
      </c>
      <c r="G283" s="803">
        <v>42447</v>
      </c>
      <c r="H283" s="803"/>
      <c r="I283" s="804">
        <v>798</v>
      </c>
      <c r="J283" s="804">
        <v>37197</v>
      </c>
      <c r="K283" s="804">
        <v>2907</v>
      </c>
      <c r="L283" s="803">
        <v>14645</v>
      </c>
      <c r="M283" s="803"/>
      <c r="N283" s="804">
        <v>1487.38</v>
      </c>
      <c r="O283" s="804">
        <v>13729</v>
      </c>
      <c r="P283" s="804">
        <v>0</v>
      </c>
      <c r="Q283" s="803">
        <v>0</v>
      </c>
      <c r="R283" s="803"/>
      <c r="S283" s="804">
        <v>11345</v>
      </c>
      <c r="T283" s="805">
        <v>5366</v>
      </c>
      <c r="U283" s="805">
        <v>16711</v>
      </c>
    </row>
    <row r="284" spans="1:21" x14ac:dyDescent="0.25">
      <c r="A284" s="800">
        <v>92921</v>
      </c>
      <c r="B284" s="801" t="s">
        <v>2925</v>
      </c>
      <c r="C284" s="802">
        <v>6.2899999999999997E-5</v>
      </c>
      <c r="D284" s="802">
        <v>8.1500000000000002E-5</v>
      </c>
      <c r="E284" s="803">
        <v>34231</v>
      </c>
      <c r="F284" s="803">
        <v>36577</v>
      </c>
      <c r="G284" s="803">
        <v>133495</v>
      </c>
      <c r="H284" s="803"/>
      <c r="I284" s="804">
        <v>2508</v>
      </c>
      <c r="J284" s="804">
        <v>116984</v>
      </c>
      <c r="K284" s="804">
        <v>9143</v>
      </c>
      <c r="L284" s="803">
        <v>0</v>
      </c>
      <c r="M284" s="803"/>
      <c r="N284" s="804">
        <v>4678</v>
      </c>
      <c r="O284" s="804">
        <v>43178</v>
      </c>
      <c r="P284" s="804">
        <v>0</v>
      </c>
      <c r="Q284" s="803">
        <v>14056</v>
      </c>
      <c r="R284" s="803"/>
      <c r="S284" s="804">
        <v>35681</v>
      </c>
      <c r="T284" s="805">
        <v>-6225</v>
      </c>
      <c r="U284" s="805">
        <v>29456</v>
      </c>
    </row>
    <row r="285" spans="1:21" x14ac:dyDescent="0.25">
      <c r="A285" s="800">
        <v>92931</v>
      </c>
      <c r="B285" s="801" t="s">
        <v>2926</v>
      </c>
      <c r="C285" s="802">
        <v>2.5048000000000002E-3</v>
      </c>
      <c r="D285" s="802">
        <v>2.5463E-3</v>
      </c>
      <c r="E285" s="803">
        <v>948741</v>
      </c>
      <c r="F285" s="803">
        <v>1142764</v>
      </c>
      <c r="G285" s="803">
        <v>5316025</v>
      </c>
      <c r="H285" s="803"/>
      <c r="I285" s="804">
        <v>99879</v>
      </c>
      <c r="J285" s="804">
        <v>4658532</v>
      </c>
      <c r="K285" s="804">
        <v>364100</v>
      </c>
      <c r="L285" s="803">
        <v>15520</v>
      </c>
      <c r="M285" s="803"/>
      <c r="N285" s="804">
        <v>186279</v>
      </c>
      <c r="O285" s="804">
        <v>1719440</v>
      </c>
      <c r="P285" s="804">
        <v>0</v>
      </c>
      <c r="Q285" s="803">
        <v>116480</v>
      </c>
      <c r="R285" s="803"/>
      <c r="S285" s="804">
        <v>1420895</v>
      </c>
      <c r="T285" s="805">
        <v>-25186</v>
      </c>
      <c r="U285" s="805">
        <v>1395710</v>
      </c>
    </row>
    <row r="286" spans="1:21" x14ac:dyDescent="0.25">
      <c r="A286" s="800">
        <v>92941</v>
      </c>
      <c r="B286" s="801" t="s">
        <v>1450</v>
      </c>
      <c r="C286" s="802">
        <v>1.84E-5</v>
      </c>
      <c r="D286" s="802">
        <v>1.5999999999999999E-5</v>
      </c>
      <c r="E286" s="803">
        <v>7190</v>
      </c>
      <c r="F286" s="803">
        <v>7181</v>
      </c>
      <c r="G286" s="803">
        <v>39051</v>
      </c>
      <c r="H286" s="803"/>
      <c r="I286" s="804">
        <v>733.7</v>
      </c>
      <c r="J286" s="804">
        <v>34221</v>
      </c>
      <c r="K286" s="804">
        <v>2675</v>
      </c>
      <c r="L286" s="803">
        <v>10216</v>
      </c>
      <c r="M286" s="803"/>
      <c r="N286" s="804">
        <v>1368</v>
      </c>
      <c r="O286" s="804">
        <v>12631</v>
      </c>
      <c r="P286" s="804">
        <v>0</v>
      </c>
      <c r="Q286" s="803">
        <v>0</v>
      </c>
      <c r="R286" s="803"/>
      <c r="S286" s="804">
        <v>10438</v>
      </c>
      <c r="T286" s="805">
        <v>3605</v>
      </c>
      <c r="U286" s="805">
        <v>14042</v>
      </c>
    </row>
    <row r="287" spans="1:21" x14ac:dyDescent="0.25">
      <c r="A287" s="800">
        <v>93001</v>
      </c>
      <c r="B287" s="801" t="s">
        <v>2927</v>
      </c>
      <c r="C287" s="802">
        <v>2.2739000000000001E-3</v>
      </c>
      <c r="D287" s="802">
        <v>2.2177999999999998E-3</v>
      </c>
      <c r="E287" s="803">
        <v>863907.18</v>
      </c>
      <c r="F287" s="803">
        <v>995335</v>
      </c>
      <c r="G287" s="803">
        <v>4825978</v>
      </c>
      <c r="H287" s="803"/>
      <c r="I287" s="804">
        <v>90672</v>
      </c>
      <c r="J287" s="804">
        <v>4229095</v>
      </c>
      <c r="K287" s="804">
        <v>330536</v>
      </c>
      <c r="L287" s="803">
        <v>13531</v>
      </c>
      <c r="M287" s="803"/>
      <c r="N287" s="804">
        <v>169108</v>
      </c>
      <c r="O287" s="804">
        <v>1560937</v>
      </c>
      <c r="P287" s="804">
        <v>0</v>
      </c>
      <c r="Q287" s="803">
        <v>103635</v>
      </c>
      <c r="R287" s="803"/>
      <c r="S287" s="804">
        <v>1289913</v>
      </c>
      <c r="T287" s="805">
        <v>-40908</v>
      </c>
      <c r="U287" s="805">
        <v>1249005</v>
      </c>
    </row>
    <row r="288" spans="1:21" x14ac:dyDescent="0.25">
      <c r="A288" s="800">
        <v>93009</v>
      </c>
      <c r="B288" s="801" t="s">
        <v>2928</v>
      </c>
      <c r="C288" s="802">
        <v>1.5400000000000002E-5</v>
      </c>
      <c r="D288" s="802">
        <v>1.6399999999999999E-5</v>
      </c>
      <c r="E288" s="803">
        <v>4865</v>
      </c>
      <c r="F288" s="803">
        <v>7360</v>
      </c>
      <c r="G288" s="803">
        <v>32684</v>
      </c>
      <c r="H288" s="803"/>
      <c r="I288" s="804">
        <v>614</v>
      </c>
      <c r="J288" s="804">
        <v>28642</v>
      </c>
      <c r="K288" s="804">
        <v>2239</v>
      </c>
      <c r="L288" s="803">
        <v>0</v>
      </c>
      <c r="M288" s="803"/>
      <c r="N288" s="804">
        <v>1145</v>
      </c>
      <c r="O288" s="804">
        <v>10571</v>
      </c>
      <c r="P288" s="804">
        <v>0</v>
      </c>
      <c r="Q288" s="803">
        <v>4210</v>
      </c>
      <c r="R288" s="803"/>
      <c r="S288" s="804">
        <v>8736</v>
      </c>
      <c r="T288" s="805">
        <v>-1521</v>
      </c>
      <c r="U288" s="805">
        <v>7215</v>
      </c>
    </row>
    <row r="289" spans="1:21" x14ac:dyDescent="0.25">
      <c r="A289" s="800">
        <v>93011</v>
      </c>
      <c r="B289" s="801" t="s">
        <v>2929</v>
      </c>
      <c r="C289" s="802">
        <v>2.6160000000000002E-4</v>
      </c>
      <c r="D289" s="802">
        <v>2.9179999999999999E-4</v>
      </c>
      <c r="E289" s="803">
        <v>124242</v>
      </c>
      <c r="F289" s="803">
        <v>130958</v>
      </c>
      <c r="G289" s="803">
        <v>555203</v>
      </c>
      <c r="H289" s="803"/>
      <c r="I289" s="804">
        <v>10431</v>
      </c>
      <c r="J289" s="804">
        <v>486535</v>
      </c>
      <c r="K289" s="804">
        <v>38026</v>
      </c>
      <c r="L289" s="803">
        <v>2390</v>
      </c>
      <c r="M289" s="803"/>
      <c r="N289" s="804">
        <v>19455</v>
      </c>
      <c r="O289" s="804">
        <v>179577</v>
      </c>
      <c r="P289" s="804">
        <v>0</v>
      </c>
      <c r="Q289" s="803">
        <v>5043</v>
      </c>
      <c r="R289" s="803"/>
      <c r="S289" s="804">
        <v>148398</v>
      </c>
      <c r="T289" s="805">
        <v>-926</v>
      </c>
      <c r="U289" s="805">
        <v>147472</v>
      </c>
    </row>
    <row r="290" spans="1:21" x14ac:dyDescent="0.25">
      <c r="A290" s="800">
        <v>93021</v>
      </c>
      <c r="B290" s="801" t="s">
        <v>2930</v>
      </c>
      <c r="C290" s="802">
        <v>2.8900000000000001E-5</v>
      </c>
      <c r="D290" s="802">
        <v>3.7200000000000003E-5</v>
      </c>
      <c r="E290" s="803">
        <v>9086</v>
      </c>
      <c r="F290" s="803">
        <v>16695</v>
      </c>
      <c r="G290" s="803">
        <v>61335</v>
      </c>
      <c r="H290" s="803"/>
      <c r="I290" s="804">
        <v>1152.3875</v>
      </c>
      <c r="J290" s="804">
        <v>53749</v>
      </c>
      <c r="K290" s="804">
        <v>4201</v>
      </c>
      <c r="L290" s="803">
        <v>4054</v>
      </c>
      <c r="M290" s="803"/>
      <c r="N290" s="804">
        <v>2149</v>
      </c>
      <c r="O290" s="804">
        <v>19839</v>
      </c>
      <c r="P290" s="804">
        <v>0</v>
      </c>
      <c r="Q290" s="803">
        <v>6719</v>
      </c>
      <c r="R290" s="803"/>
      <c r="S290" s="804">
        <v>16394</v>
      </c>
      <c r="T290" s="805">
        <v>-87</v>
      </c>
      <c r="U290" s="805">
        <v>16307</v>
      </c>
    </row>
    <row r="291" spans="1:21" x14ac:dyDescent="0.25">
      <c r="A291" s="800">
        <v>93027</v>
      </c>
      <c r="B291" s="801" t="s">
        <v>2931</v>
      </c>
      <c r="C291" s="802">
        <v>1.6699999999999999E-5</v>
      </c>
      <c r="D291" s="802">
        <v>1.49E-5</v>
      </c>
      <c r="E291" s="803">
        <v>6777</v>
      </c>
      <c r="F291" s="803">
        <v>6687</v>
      </c>
      <c r="G291" s="803">
        <v>35443</v>
      </c>
      <c r="H291" s="803"/>
      <c r="I291" s="804">
        <v>665.91250000000002</v>
      </c>
      <c r="J291" s="804">
        <v>31059</v>
      </c>
      <c r="K291" s="804">
        <v>2428</v>
      </c>
      <c r="L291" s="803">
        <v>903</v>
      </c>
      <c r="M291" s="803"/>
      <c r="N291" s="804">
        <v>1242</v>
      </c>
      <c r="O291" s="804">
        <v>11464</v>
      </c>
      <c r="P291" s="804">
        <v>0</v>
      </c>
      <c r="Q291" s="803">
        <v>1496</v>
      </c>
      <c r="R291" s="803"/>
      <c r="S291" s="804">
        <v>9473</v>
      </c>
      <c r="T291" s="805">
        <v>-429</v>
      </c>
      <c r="U291" s="805">
        <v>9045</v>
      </c>
    </row>
    <row r="292" spans="1:21" x14ac:dyDescent="0.25">
      <c r="A292" s="800">
        <v>93031</v>
      </c>
      <c r="B292" s="801" t="s">
        <v>2932</v>
      </c>
      <c r="C292" s="802">
        <v>2.2399999999999999E-5</v>
      </c>
      <c r="D292" s="802">
        <v>1.4399999999999999E-5</v>
      </c>
      <c r="E292" s="803">
        <v>20149</v>
      </c>
      <c r="F292" s="803">
        <v>6463</v>
      </c>
      <c r="G292" s="803">
        <v>47540</v>
      </c>
      <c r="H292" s="803"/>
      <c r="I292" s="804">
        <v>893</v>
      </c>
      <c r="J292" s="804">
        <v>41660</v>
      </c>
      <c r="K292" s="804">
        <v>3256</v>
      </c>
      <c r="L292" s="803">
        <v>15165</v>
      </c>
      <c r="M292" s="803"/>
      <c r="N292" s="804">
        <v>1666</v>
      </c>
      <c r="O292" s="804">
        <v>15377</v>
      </c>
      <c r="P292" s="804">
        <v>0</v>
      </c>
      <c r="Q292" s="803">
        <v>444</v>
      </c>
      <c r="R292" s="803"/>
      <c r="S292" s="804">
        <v>12707</v>
      </c>
      <c r="T292" s="805">
        <v>3911</v>
      </c>
      <c r="U292" s="805">
        <v>16617</v>
      </c>
    </row>
    <row r="293" spans="1:21" x14ac:dyDescent="0.25">
      <c r="A293" s="800">
        <v>93101</v>
      </c>
      <c r="B293" s="801" t="s">
        <v>2933</v>
      </c>
      <c r="C293" s="802">
        <v>3.5771000000000002E-3</v>
      </c>
      <c r="D293" s="802">
        <v>3.2972000000000001E-3</v>
      </c>
      <c r="E293" s="803">
        <v>1332692</v>
      </c>
      <c r="F293" s="803">
        <v>1479764</v>
      </c>
      <c r="G293" s="803">
        <v>7591805</v>
      </c>
      <c r="H293" s="803"/>
      <c r="I293" s="804">
        <v>142637</v>
      </c>
      <c r="J293" s="804">
        <v>6652841</v>
      </c>
      <c r="K293" s="804">
        <v>519971</v>
      </c>
      <c r="L293" s="803">
        <v>172542</v>
      </c>
      <c r="M293" s="803"/>
      <c r="N293" s="804">
        <v>266025</v>
      </c>
      <c r="O293" s="804">
        <v>2455529</v>
      </c>
      <c r="P293" s="804">
        <v>0</v>
      </c>
      <c r="Q293" s="803">
        <v>0</v>
      </c>
      <c r="R293" s="803"/>
      <c r="S293" s="804">
        <v>2029178</v>
      </c>
      <c r="T293" s="805">
        <v>68285</v>
      </c>
      <c r="U293" s="805">
        <v>2097463</v>
      </c>
    </row>
    <row r="294" spans="1:21" x14ac:dyDescent="0.25">
      <c r="A294" s="800">
        <v>93103</v>
      </c>
      <c r="B294" s="801" t="s">
        <v>2126</v>
      </c>
      <c r="C294" s="802">
        <v>1.7200000000000001E-5</v>
      </c>
      <c r="D294" s="802">
        <v>0</v>
      </c>
      <c r="E294" s="803">
        <v>5178.82</v>
      </c>
      <c r="F294" s="803">
        <v>0</v>
      </c>
      <c r="G294" s="803">
        <v>36504</v>
      </c>
      <c r="H294" s="803"/>
      <c r="I294" s="804">
        <v>685.85</v>
      </c>
      <c r="J294" s="804">
        <v>31989</v>
      </c>
      <c r="K294" s="804">
        <v>2500</v>
      </c>
      <c r="L294" s="803">
        <v>9253</v>
      </c>
      <c r="M294" s="803"/>
      <c r="N294" s="804">
        <v>1279</v>
      </c>
      <c r="O294" s="804">
        <v>11807</v>
      </c>
      <c r="P294" s="804">
        <v>0</v>
      </c>
      <c r="Q294" s="803">
        <v>0</v>
      </c>
      <c r="R294" s="803"/>
      <c r="S294" s="804">
        <v>9757</v>
      </c>
      <c r="T294" s="805">
        <v>2535</v>
      </c>
      <c r="U294" s="805">
        <v>12292</v>
      </c>
    </row>
    <row r="295" spans="1:21" x14ac:dyDescent="0.25">
      <c r="A295" s="800">
        <v>93108</v>
      </c>
      <c r="B295" s="801" t="s">
        <v>2934</v>
      </c>
      <c r="C295" s="802">
        <v>2.5661999999999998E-3</v>
      </c>
      <c r="D295" s="802">
        <v>2.4540999999999999E-3</v>
      </c>
      <c r="E295" s="803">
        <v>1060595</v>
      </c>
      <c r="F295" s="803">
        <v>1101385</v>
      </c>
      <c r="G295" s="803">
        <v>5446336</v>
      </c>
      <c r="H295" s="803"/>
      <c r="I295" s="804">
        <v>102327</v>
      </c>
      <c r="J295" s="804">
        <v>4772727</v>
      </c>
      <c r="K295" s="804">
        <v>373025</v>
      </c>
      <c r="L295" s="803">
        <v>417043</v>
      </c>
      <c r="M295" s="803"/>
      <c r="N295" s="804">
        <v>190846</v>
      </c>
      <c r="O295" s="804">
        <v>1761589</v>
      </c>
      <c r="P295" s="804">
        <v>0</v>
      </c>
      <c r="Q295" s="803">
        <v>0</v>
      </c>
      <c r="R295" s="803"/>
      <c r="S295" s="804">
        <v>1455726</v>
      </c>
      <c r="T295" s="805">
        <v>180256</v>
      </c>
      <c r="U295" s="805">
        <v>1635982</v>
      </c>
    </row>
    <row r="296" spans="1:21" x14ac:dyDescent="0.25">
      <c r="A296" s="800">
        <v>93111</v>
      </c>
      <c r="B296" s="801" t="s">
        <v>2935</v>
      </c>
      <c r="C296" s="802">
        <v>7.08E-5</v>
      </c>
      <c r="D296" s="802">
        <v>7.3700000000000002E-5</v>
      </c>
      <c r="E296" s="803">
        <v>24671.1</v>
      </c>
      <c r="F296" s="803">
        <v>33076</v>
      </c>
      <c r="G296" s="803">
        <v>150261</v>
      </c>
      <c r="H296" s="803"/>
      <c r="I296" s="804">
        <v>2823.15</v>
      </c>
      <c r="J296" s="804">
        <v>131677</v>
      </c>
      <c r="K296" s="804">
        <v>10292</v>
      </c>
      <c r="L296" s="803">
        <v>0</v>
      </c>
      <c r="M296" s="803"/>
      <c r="N296" s="804">
        <v>5265</v>
      </c>
      <c r="O296" s="804">
        <v>48601</v>
      </c>
      <c r="P296" s="804">
        <v>0</v>
      </c>
      <c r="Q296" s="803">
        <v>10981</v>
      </c>
      <c r="R296" s="803"/>
      <c r="S296" s="804">
        <v>40163</v>
      </c>
      <c r="T296" s="805">
        <v>-3536</v>
      </c>
      <c r="U296" s="805">
        <v>36626</v>
      </c>
    </row>
    <row r="297" spans="1:21" x14ac:dyDescent="0.25">
      <c r="A297" s="800">
        <v>93121</v>
      </c>
      <c r="B297" s="801" t="s">
        <v>2936</v>
      </c>
      <c r="C297" s="802">
        <v>5.8900000000000002E-5</v>
      </c>
      <c r="D297" s="802">
        <v>7.4900000000000005E-5</v>
      </c>
      <c r="E297" s="803">
        <v>22115</v>
      </c>
      <c r="F297" s="803">
        <v>33615</v>
      </c>
      <c r="G297" s="803">
        <v>125006</v>
      </c>
      <c r="H297" s="803"/>
      <c r="I297" s="804">
        <v>2349</v>
      </c>
      <c r="J297" s="804">
        <v>109545</v>
      </c>
      <c r="K297" s="804">
        <v>8562</v>
      </c>
      <c r="L297" s="803">
        <v>0</v>
      </c>
      <c r="M297" s="803"/>
      <c r="N297" s="804">
        <v>4380</v>
      </c>
      <c r="O297" s="804">
        <v>40432</v>
      </c>
      <c r="P297" s="804">
        <v>0</v>
      </c>
      <c r="Q297" s="803">
        <v>13122</v>
      </c>
      <c r="R297" s="803"/>
      <c r="S297" s="804">
        <v>33412</v>
      </c>
      <c r="T297" s="805">
        <v>-4063</v>
      </c>
      <c r="U297" s="805">
        <v>29349</v>
      </c>
    </row>
    <row r="298" spans="1:21" x14ac:dyDescent="0.25">
      <c r="A298" s="800">
        <v>93127</v>
      </c>
      <c r="B298" s="801" t="s">
        <v>2937</v>
      </c>
      <c r="C298" s="802">
        <v>6.8000000000000001E-6</v>
      </c>
      <c r="D298" s="802">
        <v>7.7999999999999999E-6</v>
      </c>
      <c r="E298" s="803">
        <v>2815</v>
      </c>
      <c r="F298" s="803">
        <v>3501</v>
      </c>
      <c r="G298" s="803">
        <v>14432</v>
      </c>
      <c r="H298" s="803"/>
      <c r="I298" s="804">
        <v>271</v>
      </c>
      <c r="J298" s="804">
        <v>12647</v>
      </c>
      <c r="K298" s="804">
        <v>988</v>
      </c>
      <c r="L298" s="803">
        <v>0</v>
      </c>
      <c r="M298" s="803"/>
      <c r="N298" s="804">
        <v>506</v>
      </c>
      <c r="O298" s="804">
        <v>4668</v>
      </c>
      <c r="P298" s="804">
        <v>0</v>
      </c>
      <c r="Q298" s="803">
        <v>1132</v>
      </c>
      <c r="R298" s="803"/>
      <c r="S298" s="804">
        <v>3857</v>
      </c>
      <c r="T298" s="805">
        <v>-400</v>
      </c>
      <c r="U298" s="805">
        <v>3457</v>
      </c>
    </row>
    <row r="299" spans="1:21" x14ac:dyDescent="0.25">
      <c r="A299" s="800">
        <v>93131</v>
      </c>
      <c r="B299" s="801" t="s">
        <v>2938</v>
      </c>
      <c r="C299" s="802">
        <v>2.3939999999999999E-4</v>
      </c>
      <c r="D299" s="802">
        <v>2.3680000000000001E-4</v>
      </c>
      <c r="E299" s="803">
        <v>88660</v>
      </c>
      <c r="F299" s="803">
        <v>106274</v>
      </c>
      <c r="G299" s="803">
        <v>508087</v>
      </c>
      <c r="H299" s="803"/>
      <c r="I299" s="804">
        <v>9546</v>
      </c>
      <c r="J299" s="804">
        <v>445246</v>
      </c>
      <c r="K299" s="804">
        <v>34799</v>
      </c>
      <c r="L299" s="803">
        <v>13305</v>
      </c>
      <c r="M299" s="803"/>
      <c r="N299" s="804">
        <v>17804</v>
      </c>
      <c r="O299" s="804">
        <v>164338</v>
      </c>
      <c r="P299" s="804">
        <v>0</v>
      </c>
      <c r="Q299" s="803">
        <v>6369</v>
      </c>
      <c r="R299" s="803"/>
      <c r="S299" s="804">
        <v>135804</v>
      </c>
      <c r="T299" s="805">
        <v>3767</v>
      </c>
      <c r="U299" s="805">
        <v>139571</v>
      </c>
    </row>
    <row r="300" spans="1:21" x14ac:dyDescent="0.25">
      <c r="A300" s="800">
        <v>93137</v>
      </c>
      <c r="B300" s="801" t="s">
        <v>2939</v>
      </c>
      <c r="C300" s="802">
        <v>1.9E-6</v>
      </c>
      <c r="D300" s="802">
        <v>2.0999999999999998E-6</v>
      </c>
      <c r="E300" s="803">
        <v>1987</v>
      </c>
      <c r="F300" s="803">
        <v>942</v>
      </c>
      <c r="G300" s="803">
        <v>4032</v>
      </c>
      <c r="H300" s="803"/>
      <c r="I300" s="804">
        <v>75.762500000000003</v>
      </c>
      <c r="J300" s="804">
        <v>3534</v>
      </c>
      <c r="K300" s="804">
        <v>276</v>
      </c>
      <c r="L300" s="803">
        <v>1359</v>
      </c>
      <c r="M300" s="803"/>
      <c r="N300" s="804">
        <v>141</v>
      </c>
      <c r="O300" s="804">
        <v>1304</v>
      </c>
      <c r="P300" s="804">
        <v>0</v>
      </c>
      <c r="Q300" s="803">
        <v>0</v>
      </c>
      <c r="R300" s="803"/>
      <c r="S300" s="804">
        <v>1078</v>
      </c>
      <c r="T300" s="805">
        <v>401</v>
      </c>
      <c r="U300" s="805">
        <v>1479</v>
      </c>
    </row>
    <row r="301" spans="1:21" x14ac:dyDescent="0.25">
      <c r="A301" s="800">
        <v>93141</v>
      </c>
      <c r="B301" s="801" t="s">
        <v>2940</v>
      </c>
      <c r="C301" s="802">
        <v>4.5500000000000001E-5</v>
      </c>
      <c r="D301" s="802">
        <v>4.3399999999999998E-5</v>
      </c>
      <c r="E301" s="803">
        <v>16495.23</v>
      </c>
      <c r="F301" s="803">
        <v>19478</v>
      </c>
      <c r="G301" s="803">
        <v>96566</v>
      </c>
      <c r="H301" s="803"/>
      <c r="I301" s="804">
        <v>1814.3125</v>
      </c>
      <c r="J301" s="804">
        <v>84623</v>
      </c>
      <c r="K301" s="804">
        <v>6614</v>
      </c>
      <c r="L301" s="803">
        <v>4186.96</v>
      </c>
      <c r="M301" s="803"/>
      <c r="N301" s="804">
        <v>3384</v>
      </c>
      <c r="O301" s="804">
        <v>31234</v>
      </c>
      <c r="P301" s="804">
        <v>0</v>
      </c>
      <c r="Q301" s="803">
        <v>3505</v>
      </c>
      <c r="R301" s="803"/>
      <c r="S301" s="804">
        <v>25811</v>
      </c>
      <c r="T301" s="805">
        <v>920</v>
      </c>
      <c r="U301" s="805">
        <v>26731</v>
      </c>
    </row>
    <row r="302" spans="1:21" x14ac:dyDescent="0.25">
      <c r="A302" s="800">
        <v>93151</v>
      </c>
      <c r="B302" s="801" t="s">
        <v>2941</v>
      </c>
      <c r="C302" s="802">
        <v>3.6539999999999999E-4</v>
      </c>
      <c r="D302" s="802">
        <v>3.524E-4</v>
      </c>
      <c r="E302" s="803">
        <v>137522.13</v>
      </c>
      <c r="F302" s="803">
        <v>158155</v>
      </c>
      <c r="G302" s="803">
        <v>775501</v>
      </c>
      <c r="H302" s="803"/>
      <c r="I302" s="804">
        <v>14570</v>
      </c>
      <c r="J302" s="804">
        <v>679586</v>
      </c>
      <c r="K302" s="804">
        <v>53115</v>
      </c>
      <c r="L302" s="803">
        <v>5881</v>
      </c>
      <c r="M302" s="803"/>
      <c r="N302" s="804">
        <v>27174</v>
      </c>
      <c r="O302" s="804">
        <v>250832</v>
      </c>
      <c r="P302" s="804">
        <v>0</v>
      </c>
      <c r="Q302" s="803">
        <v>6297</v>
      </c>
      <c r="R302" s="803"/>
      <c r="S302" s="804">
        <v>207280</v>
      </c>
      <c r="T302" s="805">
        <v>-329</v>
      </c>
      <c r="U302" s="805">
        <v>206951</v>
      </c>
    </row>
    <row r="303" spans="1:21" x14ac:dyDescent="0.25">
      <c r="A303" s="800">
        <v>93157</v>
      </c>
      <c r="B303" s="801" t="s">
        <v>2942</v>
      </c>
      <c r="C303" s="802">
        <v>3.8E-6</v>
      </c>
      <c r="D303" s="802">
        <v>2.3999999999999999E-6</v>
      </c>
      <c r="E303" s="803">
        <v>4368.87</v>
      </c>
      <c r="F303" s="803">
        <v>1077</v>
      </c>
      <c r="G303" s="803">
        <v>8065</v>
      </c>
      <c r="H303" s="803"/>
      <c r="I303" s="804">
        <v>151.52500000000001</v>
      </c>
      <c r="J303" s="804">
        <v>7067</v>
      </c>
      <c r="K303" s="804">
        <v>552</v>
      </c>
      <c r="L303" s="803">
        <v>5676</v>
      </c>
      <c r="M303" s="803"/>
      <c r="N303" s="804">
        <v>283</v>
      </c>
      <c r="O303" s="804">
        <v>2609</v>
      </c>
      <c r="P303" s="804">
        <v>0</v>
      </c>
      <c r="Q303" s="803">
        <v>526</v>
      </c>
      <c r="R303" s="803"/>
      <c r="S303" s="804">
        <v>2156</v>
      </c>
      <c r="T303" s="805">
        <v>1938</v>
      </c>
      <c r="U303" s="805">
        <v>4094</v>
      </c>
    </row>
    <row r="304" spans="1:21" x14ac:dyDescent="0.25">
      <c r="A304" s="800">
        <v>93161</v>
      </c>
      <c r="B304" s="801" t="s">
        <v>2943</v>
      </c>
      <c r="C304" s="802">
        <v>6.2500000000000001E-5</v>
      </c>
      <c r="D304" s="802">
        <v>7.4400000000000006E-5</v>
      </c>
      <c r="E304" s="803">
        <v>37835</v>
      </c>
      <c r="F304" s="803">
        <v>33390</v>
      </c>
      <c r="G304" s="803">
        <v>132646</v>
      </c>
      <c r="H304" s="803"/>
      <c r="I304" s="804">
        <v>2492.1875</v>
      </c>
      <c r="J304" s="804">
        <v>116240</v>
      </c>
      <c r="K304" s="804">
        <v>9085.0625</v>
      </c>
      <c r="L304" s="803">
        <v>14075</v>
      </c>
      <c r="M304" s="803"/>
      <c r="N304" s="804">
        <v>4648.0625</v>
      </c>
      <c r="O304" s="804">
        <v>42903.625</v>
      </c>
      <c r="P304" s="804">
        <v>0</v>
      </c>
      <c r="Q304" s="803">
        <v>0</v>
      </c>
      <c r="R304" s="803"/>
      <c r="S304" s="804">
        <v>35454</v>
      </c>
      <c r="T304" s="805">
        <v>6018</v>
      </c>
      <c r="U304" s="805">
        <v>41472</v>
      </c>
    </row>
    <row r="305" spans="1:21" x14ac:dyDescent="0.25">
      <c r="A305" s="800">
        <v>93171</v>
      </c>
      <c r="B305" s="801" t="s">
        <v>2944</v>
      </c>
      <c r="C305" s="802">
        <v>5.8000000000000004E-6</v>
      </c>
      <c r="D305" s="802">
        <v>6.1999999999999999E-6</v>
      </c>
      <c r="E305" s="803">
        <v>3824</v>
      </c>
      <c r="F305" s="803">
        <v>2783</v>
      </c>
      <c r="G305" s="803">
        <v>12310</v>
      </c>
      <c r="H305" s="803"/>
      <c r="I305" s="804">
        <v>231.27500000000001</v>
      </c>
      <c r="J305" s="804">
        <v>10787</v>
      </c>
      <c r="K305" s="804">
        <v>843</v>
      </c>
      <c r="L305" s="803">
        <v>1752</v>
      </c>
      <c r="M305" s="803"/>
      <c r="N305" s="804">
        <v>431</v>
      </c>
      <c r="O305" s="804">
        <v>3981</v>
      </c>
      <c r="P305" s="804">
        <v>0</v>
      </c>
      <c r="Q305" s="803">
        <v>0</v>
      </c>
      <c r="R305" s="803"/>
      <c r="S305" s="804">
        <v>3290</v>
      </c>
      <c r="T305" s="805">
        <v>591</v>
      </c>
      <c r="U305" s="805">
        <v>3881</v>
      </c>
    </row>
    <row r="306" spans="1:21" x14ac:dyDescent="0.25">
      <c r="A306" s="800">
        <v>93181</v>
      </c>
      <c r="B306" s="801" t="s">
        <v>2945</v>
      </c>
      <c r="C306" s="802">
        <v>1.1E-5</v>
      </c>
      <c r="D306" s="802">
        <v>1.0499999999999999E-5</v>
      </c>
      <c r="E306" s="803">
        <v>4374</v>
      </c>
      <c r="F306" s="803">
        <v>4712</v>
      </c>
      <c r="G306" s="803">
        <v>23346</v>
      </c>
      <c r="H306" s="803"/>
      <c r="I306" s="804">
        <v>438.625</v>
      </c>
      <c r="J306" s="804">
        <v>20458</v>
      </c>
      <c r="K306" s="804">
        <v>1599</v>
      </c>
      <c r="L306" s="803">
        <v>743</v>
      </c>
      <c r="M306" s="803"/>
      <c r="N306" s="804">
        <v>818</v>
      </c>
      <c r="O306" s="804">
        <v>7551</v>
      </c>
      <c r="P306" s="804">
        <v>0</v>
      </c>
      <c r="Q306" s="803">
        <v>44</v>
      </c>
      <c r="R306" s="803"/>
      <c r="S306" s="804">
        <v>6240</v>
      </c>
      <c r="T306" s="805">
        <v>321</v>
      </c>
      <c r="U306" s="805">
        <v>6561</v>
      </c>
    </row>
    <row r="307" spans="1:21" x14ac:dyDescent="0.25">
      <c r="A307" s="800">
        <v>93191</v>
      </c>
      <c r="B307" s="801" t="s">
        <v>2946</v>
      </c>
      <c r="C307" s="802">
        <v>3.3000000000000003E-5</v>
      </c>
      <c r="D307" s="802">
        <v>3.65E-5</v>
      </c>
      <c r="E307" s="803">
        <v>16020</v>
      </c>
      <c r="F307" s="803">
        <v>16381</v>
      </c>
      <c r="G307" s="803">
        <v>70037</v>
      </c>
      <c r="H307" s="803"/>
      <c r="I307" s="804">
        <v>1315.875</v>
      </c>
      <c r="J307" s="804">
        <v>61375</v>
      </c>
      <c r="K307" s="804">
        <v>4797</v>
      </c>
      <c r="L307" s="803">
        <v>2648</v>
      </c>
      <c r="M307" s="803"/>
      <c r="N307" s="804">
        <v>2454</v>
      </c>
      <c r="O307" s="804">
        <v>22653</v>
      </c>
      <c r="P307" s="804">
        <v>0</v>
      </c>
      <c r="Q307" s="803">
        <v>1301.46</v>
      </c>
      <c r="R307" s="803"/>
      <c r="S307" s="804">
        <v>18720</v>
      </c>
      <c r="T307" s="805">
        <v>280</v>
      </c>
      <c r="U307" s="805">
        <v>19000</v>
      </c>
    </row>
    <row r="308" spans="1:21" x14ac:dyDescent="0.25">
      <c r="A308" s="800">
        <v>93201</v>
      </c>
      <c r="B308" s="801" t="s">
        <v>2947</v>
      </c>
      <c r="C308" s="802">
        <v>1.5819699999999999E-2</v>
      </c>
      <c r="D308" s="802">
        <v>1.50364E-2</v>
      </c>
      <c r="E308" s="803">
        <v>6525567</v>
      </c>
      <c r="F308" s="803">
        <v>6748246</v>
      </c>
      <c r="G308" s="803">
        <v>33574703</v>
      </c>
      <c r="H308" s="803"/>
      <c r="I308" s="804">
        <v>630811</v>
      </c>
      <c r="J308" s="804">
        <v>29422142</v>
      </c>
      <c r="K308" s="804">
        <v>2299567</v>
      </c>
      <c r="L308" s="803">
        <v>1259115</v>
      </c>
      <c r="M308" s="803"/>
      <c r="N308" s="804">
        <v>1176495</v>
      </c>
      <c r="O308" s="804">
        <v>10859560</v>
      </c>
      <c r="P308" s="804">
        <v>0</v>
      </c>
      <c r="Q308" s="803">
        <v>0</v>
      </c>
      <c r="R308" s="803"/>
      <c r="S308" s="804">
        <v>8974025</v>
      </c>
      <c r="T308" s="805">
        <v>449569</v>
      </c>
      <c r="U308" s="805">
        <v>9423595</v>
      </c>
    </row>
    <row r="309" spans="1:21" x14ac:dyDescent="0.25">
      <c r="A309" s="800">
        <v>93202</v>
      </c>
      <c r="B309" s="801" t="s">
        <v>2948</v>
      </c>
      <c r="C309" s="802">
        <v>0</v>
      </c>
      <c r="D309" s="802">
        <v>2.076E-4</v>
      </c>
      <c r="E309" s="803">
        <v>0</v>
      </c>
      <c r="F309" s="803">
        <v>93170</v>
      </c>
      <c r="G309" s="803">
        <v>0</v>
      </c>
      <c r="H309" s="803"/>
      <c r="I309" s="804">
        <v>0</v>
      </c>
      <c r="J309" s="804">
        <v>0</v>
      </c>
      <c r="K309" s="804">
        <v>0</v>
      </c>
      <c r="L309" s="803">
        <v>0</v>
      </c>
      <c r="M309" s="803"/>
      <c r="N309" s="804">
        <v>0</v>
      </c>
      <c r="O309" s="804">
        <v>0</v>
      </c>
      <c r="P309" s="804">
        <v>0</v>
      </c>
      <c r="Q309" s="803">
        <v>322063</v>
      </c>
      <c r="R309" s="803"/>
      <c r="S309" s="804">
        <v>0</v>
      </c>
      <c r="T309" s="805">
        <v>-109544</v>
      </c>
      <c r="U309" s="805">
        <v>-109544</v>
      </c>
    </row>
    <row r="310" spans="1:21" x14ac:dyDescent="0.25">
      <c r="A310" s="800">
        <v>93204</v>
      </c>
      <c r="B310" s="801" t="s">
        <v>2949</v>
      </c>
      <c r="C310" s="802">
        <v>2.9480000000000001E-4</v>
      </c>
      <c r="D310" s="802">
        <v>3.168E-4</v>
      </c>
      <c r="E310" s="803">
        <v>128269</v>
      </c>
      <c r="F310" s="803">
        <v>142178</v>
      </c>
      <c r="G310" s="803">
        <v>625664</v>
      </c>
      <c r="H310" s="803"/>
      <c r="I310" s="804">
        <v>11755.15</v>
      </c>
      <c r="J310" s="804">
        <v>548281</v>
      </c>
      <c r="K310" s="804">
        <v>42852</v>
      </c>
      <c r="L310" s="803">
        <v>6159</v>
      </c>
      <c r="M310" s="803"/>
      <c r="N310" s="804">
        <v>21924</v>
      </c>
      <c r="O310" s="804">
        <v>202368</v>
      </c>
      <c r="P310" s="804">
        <v>0</v>
      </c>
      <c r="Q310" s="803">
        <v>15903</v>
      </c>
      <c r="R310" s="803"/>
      <c r="S310" s="804">
        <v>167231</v>
      </c>
      <c r="T310" s="805">
        <v>-4266</v>
      </c>
      <c r="U310" s="805">
        <v>162965</v>
      </c>
    </row>
    <row r="311" spans="1:21" x14ac:dyDescent="0.25">
      <c r="A311" s="800">
        <v>93209</v>
      </c>
      <c r="B311" s="801" t="s">
        <v>2950</v>
      </c>
      <c r="C311" s="802">
        <v>4.5113999999999996E-3</v>
      </c>
      <c r="D311" s="802">
        <v>3.4578999999999999E-3</v>
      </c>
      <c r="E311" s="803">
        <v>1625225.44</v>
      </c>
      <c r="F311" s="803">
        <v>1551885</v>
      </c>
      <c r="G311" s="803">
        <v>9574702</v>
      </c>
      <c r="H311" s="803"/>
      <c r="I311" s="804">
        <v>179892</v>
      </c>
      <c r="J311" s="804">
        <v>8390491</v>
      </c>
      <c r="K311" s="804">
        <v>655782</v>
      </c>
      <c r="L311" s="803">
        <v>1306118</v>
      </c>
      <c r="M311" s="803"/>
      <c r="N311" s="804">
        <v>335508</v>
      </c>
      <c r="O311" s="804">
        <v>3096887</v>
      </c>
      <c r="P311" s="804">
        <v>0</v>
      </c>
      <c r="Q311" s="803">
        <v>0</v>
      </c>
      <c r="R311" s="803"/>
      <c r="S311" s="804">
        <v>2559177</v>
      </c>
      <c r="T311" s="805">
        <v>534418</v>
      </c>
      <c r="U311" s="805">
        <v>3093596</v>
      </c>
    </row>
    <row r="312" spans="1:21" x14ac:dyDescent="0.25">
      <c r="A312" s="800">
        <v>93211</v>
      </c>
      <c r="B312" s="801" t="s">
        <v>2951</v>
      </c>
      <c r="C312" s="802">
        <v>2.0456800000000001E-2</v>
      </c>
      <c r="D312" s="802">
        <v>2.1372599999999999E-2</v>
      </c>
      <c r="E312" s="803">
        <v>8152807</v>
      </c>
      <c r="F312" s="803">
        <v>9591895</v>
      </c>
      <c r="G312" s="803">
        <v>43416183</v>
      </c>
      <c r="H312" s="803"/>
      <c r="I312" s="804">
        <v>815714.9</v>
      </c>
      <c r="J312" s="804">
        <v>38046416</v>
      </c>
      <c r="K312" s="804">
        <v>2973621</v>
      </c>
      <c r="L312" s="803">
        <v>0</v>
      </c>
      <c r="M312" s="803"/>
      <c r="N312" s="804">
        <v>1521352</v>
      </c>
      <c r="O312" s="804">
        <v>14042734</v>
      </c>
      <c r="P312" s="804">
        <v>0</v>
      </c>
      <c r="Q312" s="803">
        <v>1405603</v>
      </c>
      <c r="R312" s="803"/>
      <c r="S312" s="804">
        <v>11604508</v>
      </c>
      <c r="T312" s="805">
        <v>-488705</v>
      </c>
      <c r="U312" s="805">
        <v>11115804</v>
      </c>
    </row>
    <row r="313" spans="1:21" x14ac:dyDescent="0.25">
      <c r="A313" s="800">
        <v>93212</v>
      </c>
      <c r="B313" s="801" t="s">
        <v>2952</v>
      </c>
      <c r="C313" s="802">
        <v>2.052E-4</v>
      </c>
      <c r="D313" s="802">
        <v>2.129E-4</v>
      </c>
      <c r="E313" s="803">
        <v>169265.99</v>
      </c>
      <c r="F313" s="803">
        <v>95548</v>
      </c>
      <c r="G313" s="803">
        <v>435503</v>
      </c>
      <c r="H313" s="803"/>
      <c r="I313" s="804">
        <v>8182.35</v>
      </c>
      <c r="J313" s="804">
        <v>381640</v>
      </c>
      <c r="K313" s="804">
        <v>29828</v>
      </c>
      <c r="L313" s="803">
        <v>106395</v>
      </c>
      <c r="M313" s="803"/>
      <c r="N313" s="804">
        <v>15261</v>
      </c>
      <c r="O313" s="804">
        <v>140861</v>
      </c>
      <c r="P313" s="804">
        <v>0</v>
      </c>
      <c r="Q313" s="803">
        <v>0</v>
      </c>
      <c r="R313" s="803"/>
      <c r="S313" s="804">
        <v>116404</v>
      </c>
      <c r="T313" s="805">
        <v>32351</v>
      </c>
      <c r="U313" s="805">
        <v>148755</v>
      </c>
    </row>
    <row r="314" spans="1:21" x14ac:dyDescent="0.25">
      <c r="A314" s="800">
        <v>93219</v>
      </c>
      <c r="B314" s="801" t="s">
        <v>2953</v>
      </c>
      <c r="C314" s="802">
        <v>2.286E-4</v>
      </c>
      <c r="D314" s="802">
        <v>2.41E-4</v>
      </c>
      <c r="E314" s="803">
        <v>96646.59</v>
      </c>
      <c r="F314" s="803">
        <v>108159</v>
      </c>
      <c r="G314" s="803">
        <v>485166</v>
      </c>
      <c r="H314" s="803"/>
      <c r="I314" s="804">
        <v>9115</v>
      </c>
      <c r="J314" s="804">
        <v>425160</v>
      </c>
      <c r="K314" s="804">
        <v>33230</v>
      </c>
      <c r="L314" s="803">
        <v>243</v>
      </c>
      <c r="M314" s="803"/>
      <c r="N314" s="804">
        <v>17001</v>
      </c>
      <c r="O314" s="804">
        <v>156924</v>
      </c>
      <c r="P314" s="804">
        <v>0</v>
      </c>
      <c r="Q314" s="803">
        <v>13406</v>
      </c>
      <c r="R314" s="803"/>
      <c r="S314" s="804">
        <v>129678</v>
      </c>
      <c r="T314" s="805">
        <v>-4190</v>
      </c>
      <c r="U314" s="805">
        <v>125487</v>
      </c>
    </row>
    <row r="315" spans="1:21" x14ac:dyDescent="0.25">
      <c r="A315" s="800">
        <v>93301</v>
      </c>
      <c r="B315" s="801" t="s">
        <v>2954</v>
      </c>
      <c r="C315" s="802">
        <v>2.5330999999999999E-3</v>
      </c>
      <c r="D315" s="802">
        <v>2.4084000000000002E-3</v>
      </c>
      <c r="E315" s="803">
        <v>1037164.56</v>
      </c>
      <c r="F315" s="803">
        <v>1080875</v>
      </c>
      <c r="G315" s="803">
        <v>5376087</v>
      </c>
      <c r="H315" s="803"/>
      <c r="I315" s="804">
        <v>101007</v>
      </c>
      <c r="J315" s="804">
        <v>4711166</v>
      </c>
      <c r="K315" s="804">
        <v>368214</v>
      </c>
      <c r="L315" s="803">
        <v>63934</v>
      </c>
      <c r="M315" s="803"/>
      <c r="N315" s="804">
        <v>188384</v>
      </c>
      <c r="O315" s="804">
        <v>1738867</v>
      </c>
      <c r="P315" s="804">
        <v>0</v>
      </c>
      <c r="Q315" s="803">
        <v>85549</v>
      </c>
      <c r="R315" s="803"/>
      <c r="S315" s="804">
        <v>1436949</v>
      </c>
      <c r="T315" s="805">
        <v>-17290</v>
      </c>
      <c r="U315" s="805">
        <v>1419659</v>
      </c>
    </row>
    <row r="316" spans="1:21" x14ac:dyDescent="0.25">
      <c r="A316" s="800">
        <v>93304</v>
      </c>
      <c r="B316" s="801" t="s">
        <v>2955</v>
      </c>
      <c r="C316" s="802">
        <v>3.4400000000000003E-5</v>
      </c>
      <c r="D316" s="802">
        <v>3.3399999999999999E-5</v>
      </c>
      <c r="E316" s="803">
        <v>16339</v>
      </c>
      <c r="F316" s="803">
        <v>14990</v>
      </c>
      <c r="G316" s="803">
        <v>73008</v>
      </c>
      <c r="H316" s="803"/>
      <c r="I316" s="804">
        <v>1371.7</v>
      </c>
      <c r="J316" s="804">
        <v>63979</v>
      </c>
      <c r="K316" s="804">
        <v>5000</v>
      </c>
      <c r="L316" s="803">
        <v>13604</v>
      </c>
      <c r="M316" s="803"/>
      <c r="N316" s="804">
        <v>2558</v>
      </c>
      <c r="O316" s="804">
        <v>23614</v>
      </c>
      <c r="P316" s="804">
        <v>0</v>
      </c>
      <c r="Q316" s="803">
        <v>0</v>
      </c>
      <c r="R316" s="803"/>
      <c r="S316" s="804">
        <v>19514</v>
      </c>
      <c r="T316" s="805">
        <v>4940</v>
      </c>
      <c r="U316" s="805">
        <v>24454</v>
      </c>
    </row>
    <row r="317" spans="1:21" x14ac:dyDescent="0.25">
      <c r="A317" s="800">
        <v>93305</v>
      </c>
      <c r="B317" s="801" t="s">
        <v>2956</v>
      </c>
      <c r="C317" s="802">
        <v>4.9400000000000001E-5</v>
      </c>
      <c r="D317" s="802">
        <v>5.13E-5</v>
      </c>
      <c r="E317" s="803">
        <v>18489</v>
      </c>
      <c r="F317" s="803">
        <v>23023</v>
      </c>
      <c r="G317" s="803">
        <v>104843</v>
      </c>
      <c r="H317" s="803"/>
      <c r="I317" s="804">
        <v>1969.825</v>
      </c>
      <c r="J317" s="804">
        <v>91876</v>
      </c>
      <c r="K317" s="804">
        <v>7181</v>
      </c>
      <c r="L317" s="803">
        <v>0</v>
      </c>
      <c r="M317" s="803"/>
      <c r="N317" s="804">
        <v>3674</v>
      </c>
      <c r="O317" s="804">
        <v>33911</v>
      </c>
      <c r="P317" s="804">
        <v>0</v>
      </c>
      <c r="Q317" s="803">
        <v>3536</v>
      </c>
      <c r="R317" s="803"/>
      <c r="S317" s="804">
        <v>28023</v>
      </c>
      <c r="T317" s="805">
        <v>-1124</v>
      </c>
      <c r="U317" s="805">
        <v>26899</v>
      </c>
    </row>
    <row r="318" spans="1:21" x14ac:dyDescent="0.25">
      <c r="A318" s="800">
        <v>93309</v>
      </c>
      <c r="B318" s="801" t="s">
        <v>2957</v>
      </c>
      <c r="C318" s="802">
        <v>1.716E-4</v>
      </c>
      <c r="D318" s="802">
        <v>1.5359999999999999E-4</v>
      </c>
      <c r="E318" s="803">
        <v>79731.47</v>
      </c>
      <c r="F318" s="803">
        <v>68935</v>
      </c>
      <c r="G318" s="803">
        <v>364193</v>
      </c>
      <c r="H318" s="803"/>
      <c r="I318" s="804">
        <v>6842.55</v>
      </c>
      <c r="J318" s="804">
        <v>319149</v>
      </c>
      <c r="K318" s="804">
        <v>24944</v>
      </c>
      <c r="L318" s="803">
        <v>23583</v>
      </c>
      <c r="M318" s="803"/>
      <c r="N318" s="804">
        <v>12762</v>
      </c>
      <c r="O318" s="804">
        <v>117796</v>
      </c>
      <c r="P318" s="804">
        <v>0</v>
      </c>
      <c r="Q318" s="803">
        <v>1972</v>
      </c>
      <c r="R318" s="803"/>
      <c r="S318" s="804">
        <v>97343</v>
      </c>
      <c r="T318" s="805">
        <v>5745</v>
      </c>
      <c r="U318" s="805">
        <v>103088</v>
      </c>
    </row>
    <row r="319" spans="1:21" x14ac:dyDescent="0.25">
      <c r="A319" s="800">
        <v>93311</v>
      </c>
      <c r="B319" s="801" t="s">
        <v>2958</v>
      </c>
      <c r="C319" s="802">
        <v>1.1567000000000001E-3</v>
      </c>
      <c r="D319" s="802">
        <v>1.2727000000000001E-3</v>
      </c>
      <c r="E319" s="803">
        <v>452858.55</v>
      </c>
      <c r="F319" s="803">
        <v>571180</v>
      </c>
      <c r="G319" s="803">
        <v>2454905</v>
      </c>
      <c r="H319" s="803"/>
      <c r="I319" s="804">
        <v>46123</v>
      </c>
      <c r="J319" s="804">
        <v>2151279</v>
      </c>
      <c r="K319" s="804">
        <v>168139</v>
      </c>
      <c r="L319" s="803">
        <v>0</v>
      </c>
      <c r="M319" s="803"/>
      <c r="N319" s="804">
        <v>86023</v>
      </c>
      <c r="O319" s="804">
        <v>794026</v>
      </c>
      <c r="P319" s="804">
        <v>0</v>
      </c>
      <c r="Q319" s="803">
        <v>121847</v>
      </c>
      <c r="R319" s="803"/>
      <c r="S319" s="804">
        <v>656160</v>
      </c>
      <c r="T319" s="805">
        <v>-38102</v>
      </c>
      <c r="U319" s="805">
        <v>618058</v>
      </c>
    </row>
    <row r="320" spans="1:21" x14ac:dyDescent="0.25">
      <c r="A320" s="800">
        <v>93317</v>
      </c>
      <c r="B320" s="801" t="s">
        <v>2959</v>
      </c>
      <c r="C320" s="802">
        <v>4.8099999999999997E-5</v>
      </c>
      <c r="D320" s="802">
        <v>4.6600000000000001E-5</v>
      </c>
      <c r="E320" s="803">
        <v>19409</v>
      </c>
      <c r="F320" s="803">
        <v>20914</v>
      </c>
      <c r="G320" s="803">
        <v>102084</v>
      </c>
      <c r="H320" s="803"/>
      <c r="I320" s="804">
        <v>1918</v>
      </c>
      <c r="J320" s="804">
        <v>89458</v>
      </c>
      <c r="K320" s="804">
        <v>6992</v>
      </c>
      <c r="L320" s="803">
        <v>606</v>
      </c>
      <c r="M320" s="803"/>
      <c r="N320" s="804">
        <v>3577</v>
      </c>
      <c r="O320" s="804">
        <v>33019</v>
      </c>
      <c r="P320" s="804">
        <v>0</v>
      </c>
      <c r="Q320" s="803">
        <v>557</v>
      </c>
      <c r="R320" s="803"/>
      <c r="S320" s="804">
        <v>27286</v>
      </c>
      <c r="T320" s="805">
        <v>-115</v>
      </c>
      <c r="U320" s="805">
        <v>27171</v>
      </c>
    </row>
    <row r="321" spans="1:21" x14ac:dyDescent="0.25">
      <c r="A321" s="800">
        <v>93321</v>
      </c>
      <c r="B321" s="801" t="s">
        <v>2960</v>
      </c>
      <c r="C321" s="802">
        <v>7.4706E-3</v>
      </c>
      <c r="D321" s="802">
        <v>7.7070000000000003E-3</v>
      </c>
      <c r="E321" s="803">
        <v>2840093.51</v>
      </c>
      <c r="F321" s="803">
        <v>3458855</v>
      </c>
      <c r="G321" s="803">
        <v>15855116</v>
      </c>
      <c r="H321" s="803"/>
      <c r="I321" s="804">
        <v>297890</v>
      </c>
      <c r="J321" s="804">
        <v>13894136</v>
      </c>
      <c r="K321" s="804">
        <v>1085934</v>
      </c>
      <c r="L321" s="803">
        <v>0</v>
      </c>
      <c r="M321" s="803"/>
      <c r="N321" s="804">
        <v>555581</v>
      </c>
      <c r="O321" s="804">
        <v>5128253</v>
      </c>
      <c r="P321" s="804">
        <v>0</v>
      </c>
      <c r="Q321" s="803">
        <v>746070</v>
      </c>
      <c r="R321" s="803"/>
      <c r="S321" s="804">
        <v>4237840</v>
      </c>
      <c r="T321" s="805">
        <v>-276901</v>
      </c>
      <c r="U321" s="805">
        <v>3960939</v>
      </c>
    </row>
    <row r="322" spans="1:21" x14ac:dyDescent="0.25">
      <c r="A322" s="800">
        <v>93323</v>
      </c>
      <c r="B322" s="801" t="s">
        <v>2961</v>
      </c>
      <c r="C322" s="802">
        <v>1.0200000000000001E-5</v>
      </c>
      <c r="D322" s="802">
        <v>1.4600000000000001E-5</v>
      </c>
      <c r="E322" s="803">
        <v>5325.71</v>
      </c>
      <c r="F322" s="803">
        <v>6552</v>
      </c>
      <c r="G322" s="803">
        <v>21648</v>
      </c>
      <c r="H322" s="803"/>
      <c r="I322" s="804">
        <v>406.72500000000002</v>
      </c>
      <c r="J322" s="804">
        <v>18970</v>
      </c>
      <c r="K322" s="804">
        <v>1483</v>
      </c>
      <c r="L322" s="803">
        <v>2836</v>
      </c>
      <c r="M322" s="803"/>
      <c r="N322" s="804">
        <v>759</v>
      </c>
      <c r="O322" s="804">
        <v>7002</v>
      </c>
      <c r="P322" s="804">
        <v>0</v>
      </c>
      <c r="Q322" s="803">
        <v>1485</v>
      </c>
      <c r="R322" s="803"/>
      <c r="S322" s="804">
        <v>5786</v>
      </c>
      <c r="T322" s="805">
        <v>784</v>
      </c>
      <c r="U322" s="805">
        <v>6570</v>
      </c>
    </row>
    <row r="323" spans="1:21" x14ac:dyDescent="0.25">
      <c r="A323" s="800">
        <v>93331</v>
      </c>
      <c r="B323" s="801" t="s">
        <v>2962</v>
      </c>
      <c r="C323" s="802">
        <v>1.3090000000000001E-4</v>
      </c>
      <c r="D323" s="802">
        <v>1.1909999999999999E-4</v>
      </c>
      <c r="E323" s="803">
        <v>46762.55</v>
      </c>
      <c r="F323" s="803">
        <v>53451</v>
      </c>
      <c r="G323" s="803">
        <v>277814</v>
      </c>
      <c r="H323" s="803"/>
      <c r="I323" s="804">
        <v>5220</v>
      </c>
      <c r="J323" s="804">
        <v>243453</v>
      </c>
      <c r="K323" s="804">
        <v>19028</v>
      </c>
      <c r="L323" s="803">
        <v>4668</v>
      </c>
      <c r="M323" s="803"/>
      <c r="N323" s="804">
        <v>9735</v>
      </c>
      <c r="O323" s="804">
        <v>89857</v>
      </c>
      <c r="P323" s="804">
        <v>0</v>
      </c>
      <c r="Q323" s="803">
        <v>9208</v>
      </c>
      <c r="R323" s="803"/>
      <c r="S323" s="804">
        <v>74256</v>
      </c>
      <c r="T323" s="805">
        <v>-1109</v>
      </c>
      <c r="U323" s="805">
        <v>73147</v>
      </c>
    </row>
    <row r="324" spans="1:21" x14ac:dyDescent="0.25">
      <c r="A324" s="800">
        <v>93333</v>
      </c>
      <c r="B324" s="801" t="s">
        <v>2963</v>
      </c>
      <c r="C324" s="802">
        <v>1.9990000000000001E-4</v>
      </c>
      <c r="D324" s="802">
        <v>2.1479999999999999E-4</v>
      </c>
      <c r="E324" s="803">
        <v>201284.12</v>
      </c>
      <c r="F324" s="803">
        <v>96401</v>
      </c>
      <c r="G324" s="803">
        <v>424255</v>
      </c>
      <c r="H324" s="803"/>
      <c r="I324" s="804">
        <v>7971</v>
      </c>
      <c r="J324" s="804">
        <v>371782</v>
      </c>
      <c r="K324" s="804">
        <v>29058</v>
      </c>
      <c r="L324" s="803">
        <v>178353</v>
      </c>
      <c r="M324" s="803"/>
      <c r="N324" s="804">
        <v>14866</v>
      </c>
      <c r="O324" s="804">
        <v>137223</v>
      </c>
      <c r="P324" s="804">
        <v>0</v>
      </c>
      <c r="Q324" s="803">
        <v>0</v>
      </c>
      <c r="R324" s="803"/>
      <c r="S324" s="804">
        <v>113397</v>
      </c>
      <c r="T324" s="805">
        <v>56479</v>
      </c>
      <c r="U324" s="805">
        <v>169876</v>
      </c>
    </row>
    <row r="325" spans="1:21" x14ac:dyDescent="0.25">
      <c r="A325" s="800">
        <v>93341</v>
      </c>
      <c r="B325" s="801" t="s">
        <v>2964</v>
      </c>
      <c r="C325" s="802">
        <v>2.73E-5</v>
      </c>
      <c r="D325" s="802">
        <v>2.6699999999999998E-5</v>
      </c>
      <c r="E325" s="803">
        <v>12881</v>
      </c>
      <c r="F325" s="803">
        <v>11983</v>
      </c>
      <c r="G325" s="803">
        <v>57940</v>
      </c>
      <c r="H325" s="803"/>
      <c r="I325" s="804">
        <v>1089</v>
      </c>
      <c r="J325" s="804">
        <v>50774</v>
      </c>
      <c r="K325" s="804">
        <v>3968</v>
      </c>
      <c r="L325" s="803">
        <v>2789</v>
      </c>
      <c r="M325" s="803"/>
      <c r="N325" s="804">
        <v>2030</v>
      </c>
      <c r="O325" s="804">
        <v>18740</v>
      </c>
      <c r="P325" s="804">
        <v>0</v>
      </c>
      <c r="Q325" s="803">
        <v>0</v>
      </c>
      <c r="R325" s="803"/>
      <c r="S325" s="804">
        <v>15486</v>
      </c>
      <c r="T325" s="805">
        <v>923</v>
      </c>
      <c r="U325" s="805">
        <v>16410</v>
      </c>
    </row>
    <row r="326" spans="1:21" x14ac:dyDescent="0.25">
      <c r="A326" s="800">
        <v>93351</v>
      </c>
      <c r="B326" s="801" t="s">
        <v>2965</v>
      </c>
      <c r="C326" s="802">
        <v>1.5999999999999999E-5</v>
      </c>
      <c r="D326" s="802">
        <v>5.4999999999999999E-6</v>
      </c>
      <c r="E326" s="803">
        <v>10006.02</v>
      </c>
      <c r="F326" s="803">
        <v>2468</v>
      </c>
      <c r="G326" s="803">
        <v>33957.360000000001</v>
      </c>
      <c r="H326" s="803"/>
      <c r="I326" s="804">
        <v>638</v>
      </c>
      <c r="J326" s="804">
        <v>29757</v>
      </c>
      <c r="K326" s="804">
        <v>2326</v>
      </c>
      <c r="L326" s="803">
        <v>8409</v>
      </c>
      <c r="M326" s="803"/>
      <c r="N326" s="804">
        <v>1190</v>
      </c>
      <c r="O326" s="804">
        <v>10983</v>
      </c>
      <c r="P326" s="804">
        <v>0</v>
      </c>
      <c r="Q326" s="803">
        <v>6601</v>
      </c>
      <c r="R326" s="803"/>
      <c r="S326" s="804">
        <v>9076</v>
      </c>
      <c r="T326" s="805">
        <v>-253</v>
      </c>
      <c r="U326" s="805">
        <v>8823</v>
      </c>
    </row>
    <row r="327" spans="1:21" x14ac:dyDescent="0.25">
      <c r="A327" s="800">
        <v>93401</v>
      </c>
      <c r="B327" s="801" t="s">
        <v>2966</v>
      </c>
      <c r="C327" s="802">
        <v>1.37997E-2</v>
      </c>
      <c r="D327" s="802">
        <v>1.4001899999999999E-2</v>
      </c>
      <c r="E327" s="803">
        <v>5646375</v>
      </c>
      <c r="F327" s="803">
        <v>6283969</v>
      </c>
      <c r="G327" s="803">
        <v>29287586</v>
      </c>
      <c r="H327" s="803"/>
      <c r="I327" s="804">
        <v>550263</v>
      </c>
      <c r="J327" s="804">
        <v>25665262</v>
      </c>
      <c r="K327" s="804">
        <v>2005938</v>
      </c>
      <c r="L327" s="803">
        <v>111475</v>
      </c>
      <c r="M327" s="803"/>
      <c r="N327" s="804">
        <v>1026270</v>
      </c>
      <c r="O327" s="804">
        <v>9472914</v>
      </c>
      <c r="P327" s="804">
        <v>0</v>
      </c>
      <c r="Q327" s="803">
        <v>309143</v>
      </c>
      <c r="R327" s="803"/>
      <c r="S327" s="804">
        <v>7828142</v>
      </c>
      <c r="T327" s="805">
        <v>-83612</v>
      </c>
      <c r="U327" s="805">
        <v>7744530</v>
      </c>
    </row>
    <row r="328" spans="1:21" x14ac:dyDescent="0.25">
      <c r="A328" s="800">
        <v>93402</v>
      </c>
      <c r="B328" s="801" t="s">
        <v>2967</v>
      </c>
      <c r="C328" s="802">
        <v>9.2999999999999997E-5</v>
      </c>
      <c r="D328" s="802">
        <v>9.4400000000000004E-5</v>
      </c>
      <c r="E328" s="803">
        <v>35918</v>
      </c>
      <c r="F328" s="803">
        <v>42366</v>
      </c>
      <c r="G328" s="803">
        <v>197377</v>
      </c>
      <c r="H328" s="803"/>
      <c r="I328" s="804">
        <v>3708.375</v>
      </c>
      <c r="J328" s="804">
        <v>172965</v>
      </c>
      <c r="K328" s="804">
        <v>13519</v>
      </c>
      <c r="L328" s="803">
        <v>9628</v>
      </c>
      <c r="M328" s="803"/>
      <c r="N328" s="804">
        <v>6916</v>
      </c>
      <c r="O328" s="804">
        <v>63841</v>
      </c>
      <c r="P328" s="804">
        <v>0</v>
      </c>
      <c r="Q328" s="803">
        <v>2607</v>
      </c>
      <c r="R328" s="803"/>
      <c r="S328" s="804">
        <v>52756</v>
      </c>
      <c r="T328" s="805">
        <v>3407</v>
      </c>
      <c r="U328" s="805">
        <v>56163</v>
      </c>
    </row>
    <row r="329" spans="1:21" x14ac:dyDescent="0.25">
      <c r="A329" s="800">
        <v>93406</v>
      </c>
      <c r="B329" s="801" t="s">
        <v>2968</v>
      </c>
      <c r="C329" s="802">
        <v>7.1170000000000001E-4</v>
      </c>
      <c r="D329" s="802">
        <v>7.0850000000000004E-4</v>
      </c>
      <c r="E329" s="803">
        <v>298926.93</v>
      </c>
      <c r="F329" s="803">
        <v>317971</v>
      </c>
      <c r="G329" s="803">
        <v>1510466</v>
      </c>
      <c r="H329" s="803"/>
      <c r="I329" s="804">
        <v>28379</v>
      </c>
      <c r="J329" s="804">
        <v>1323650</v>
      </c>
      <c r="K329" s="804">
        <v>103453</v>
      </c>
      <c r="L329" s="803">
        <v>45100</v>
      </c>
      <c r="M329" s="803"/>
      <c r="N329" s="804">
        <v>52928</v>
      </c>
      <c r="O329" s="804">
        <v>488552</v>
      </c>
      <c r="P329" s="804">
        <v>0</v>
      </c>
      <c r="Q329" s="803">
        <v>0</v>
      </c>
      <c r="R329" s="803"/>
      <c r="S329" s="804">
        <v>403725</v>
      </c>
      <c r="T329" s="805">
        <v>19044</v>
      </c>
      <c r="U329" s="805">
        <v>422769</v>
      </c>
    </row>
    <row r="330" spans="1:21" x14ac:dyDescent="0.25">
      <c r="A330" s="800">
        <v>93408</v>
      </c>
      <c r="B330" s="801" t="s">
        <v>2969</v>
      </c>
      <c r="C330" s="802">
        <v>1.8967999999999999E-3</v>
      </c>
      <c r="D330" s="802">
        <v>1.7309000000000001E-3</v>
      </c>
      <c r="E330" s="803">
        <v>0</v>
      </c>
      <c r="F330" s="803">
        <v>776818</v>
      </c>
      <c r="G330" s="803">
        <v>4025645</v>
      </c>
      <c r="H330" s="803"/>
      <c r="I330" s="804">
        <v>75635</v>
      </c>
      <c r="J330" s="804">
        <v>3527748</v>
      </c>
      <c r="K330" s="804">
        <v>275721</v>
      </c>
      <c r="L330" s="803">
        <v>321789</v>
      </c>
      <c r="M330" s="803"/>
      <c r="N330" s="804">
        <v>141063</v>
      </c>
      <c r="O330" s="804">
        <v>1302074</v>
      </c>
      <c r="P330" s="804">
        <v>0</v>
      </c>
      <c r="Q330" s="803">
        <v>529672</v>
      </c>
      <c r="R330" s="803"/>
      <c r="S330" s="804">
        <v>1075996</v>
      </c>
      <c r="T330" s="805">
        <v>10994</v>
      </c>
      <c r="U330" s="805">
        <v>1086990</v>
      </c>
    </row>
    <row r="331" spans="1:21" x14ac:dyDescent="0.25">
      <c r="A331" s="800">
        <v>93411</v>
      </c>
      <c r="B331" s="801" t="s">
        <v>2970</v>
      </c>
      <c r="C331" s="802">
        <v>1.73309E-2</v>
      </c>
      <c r="D331" s="802">
        <v>1.8002500000000001E-2</v>
      </c>
      <c r="E331" s="803">
        <v>7066227</v>
      </c>
      <c r="F331" s="803">
        <v>8079414</v>
      </c>
      <c r="G331" s="803">
        <v>36781976</v>
      </c>
      <c r="H331" s="803"/>
      <c r="I331" s="804">
        <v>691070</v>
      </c>
      <c r="J331" s="804">
        <v>32232736</v>
      </c>
      <c r="K331" s="804">
        <v>2519237</v>
      </c>
      <c r="L331" s="803">
        <v>0</v>
      </c>
      <c r="M331" s="803"/>
      <c r="N331" s="804">
        <v>1288882</v>
      </c>
      <c r="O331" s="804">
        <v>11896935</v>
      </c>
      <c r="P331" s="804">
        <v>0</v>
      </c>
      <c r="Q331" s="803">
        <v>963900</v>
      </c>
      <c r="R331" s="803"/>
      <c r="S331" s="804">
        <v>9831282</v>
      </c>
      <c r="T331" s="805">
        <v>-369146</v>
      </c>
      <c r="U331" s="805">
        <v>9462137</v>
      </c>
    </row>
    <row r="332" spans="1:21" x14ac:dyDescent="0.25">
      <c r="A332" s="800">
        <v>93413</v>
      </c>
      <c r="B332" s="801" t="s">
        <v>2971</v>
      </c>
      <c r="C332" s="802">
        <v>8.0130000000000002E-4</v>
      </c>
      <c r="D332" s="802">
        <v>8.6039999999999999E-4</v>
      </c>
      <c r="E332" s="803">
        <v>344103.62</v>
      </c>
      <c r="F332" s="803">
        <v>386142</v>
      </c>
      <c r="G332" s="803">
        <v>1700627</v>
      </c>
      <c r="H332" s="803"/>
      <c r="I332" s="804">
        <v>31952</v>
      </c>
      <c r="J332" s="804">
        <v>1490291</v>
      </c>
      <c r="K332" s="804">
        <v>116478</v>
      </c>
      <c r="L332" s="803">
        <v>0</v>
      </c>
      <c r="M332" s="803"/>
      <c r="N332" s="804">
        <v>59592</v>
      </c>
      <c r="O332" s="804">
        <v>550059</v>
      </c>
      <c r="P332" s="804">
        <v>0</v>
      </c>
      <c r="Q332" s="803">
        <v>52213</v>
      </c>
      <c r="R332" s="803"/>
      <c r="S332" s="804">
        <v>454553</v>
      </c>
      <c r="T332" s="805">
        <v>-17374</v>
      </c>
      <c r="U332" s="805">
        <v>437179</v>
      </c>
    </row>
    <row r="333" spans="1:21" x14ac:dyDescent="0.25">
      <c r="A333" s="800">
        <v>93417</v>
      </c>
      <c r="B333" s="801" t="s">
        <v>2972</v>
      </c>
      <c r="C333" s="802">
        <v>4.1130000000000002E-4</v>
      </c>
      <c r="D333" s="802">
        <v>4.2470000000000002E-4</v>
      </c>
      <c r="E333" s="803">
        <v>180699</v>
      </c>
      <c r="F333" s="803">
        <v>190603</v>
      </c>
      <c r="G333" s="803">
        <v>872916</v>
      </c>
      <c r="H333" s="803"/>
      <c r="I333" s="804">
        <v>16401</v>
      </c>
      <c r="J333" s="804">
        <v>764953</v>
      </c>
      <c r="K333" s="804">
        <v>59787</v>
      </c>
      <c r="L333" s="803">
        <v>29582</v>
      </c>
      <c r="M333" s="803"/>
      <c r="N333" s="804">
        <v>30588</v>
      </c>
      <c r="O333" s="804">
        <v>282340</v>
      </c>
      <c r="P333" s="804">
        <v>0</v>
      </c>
      <c r="Q333" s="803">
        <v>0</v>
      </c>
      <c r="R333" s="803"/>
      <c r="S333" s="804">
        <v>233318</v>
      </c>
      <c r="T333" s="805">
        <v>14150</v>
      </c>
      <c r="U333" s="805">
        <v>247468</v>
      </c>
    </row>
    <row r="334" spans="1:21" x14ac:dyDescent="0.25">
      <c r="A334" s="800">
        <v>93421</v>
      </c>
      <c r="B334" s="801" t="s">
        <v>2973</v>
      </c>
      <c r="C334" s="802">
        <v>2.1646E-3</v>
      </c>
      <c r="D334" s="802">
        <v>2.2629E-3</v>
      </c>
      <c r="E334" s="803">
        <v>806586</v>
      </c>
      <c r="F334" s="803">
        <v>1015576</v>
      </c>
      <c r="G334" s="803">
        <v>4594006</v>
      </c>
      <c r="H334" s="803"/>
      <c r="I334" s="804">
        <v>86313</v>
      </c>
      <c r="J334" s="804">
        <v>4025814</v>
      </c>
      <c r="K334" s="804">
        <v>314648</v>
      </c>
      <c r="L334" s="803">
        <v>0</v>
      </c>
      <c r="M334" s="803"/>
      <c r="N334" s="804">
        <v>160979</v>
      </c>
      <c r="O334" s="804">
        <v>1485907</v>
      </c>
      <c r="P334" s="804">
        <v>0</v>
      </c>
      <c r="Q334" s="803">
        <v>286111</v>
      </c>
      <c r="R334" s="803"/>
      <c r="S334" s="804">
        <v>1227910</v>
      </c>
      <c r="T334" s="805">
        <v>-103829</v>
      </c>
      <c r="U334" s="805">
        <v>1124081</v>
      </c>
    </row>
    <row r="335" spans="1:21" x14ac:dyDescent="0.25">
      <c r="A335" s="800">
        <v>93431</v>
      </c>
      <c r="B335" s="801" t="s">
        <v>2974</v>
      </c>
      <c r="C335" s="802">
        <v>1.127E-4</v>
      </c>
      <c r="D335" s="802">
        <v>1.3469999999999999E-4</v>
      </c>
      <c r="E335" s="803">
        <v>53588</v>
      </c>
      <c r="F335" s="803">
        <v>60453</v>
      </c>
      <c r="G335" s="803">
        <v>239187</v>
      </c>
      <c r="H335" s="803"/>
      <c r="I335" s="804">
        <v>4494</v>
      </c>
      <c r="J335" s="804">
        <v>209604</v>
      </c>
      <c r="K335" s="804">
        <v>16382</v>
      </c>
      <c r="L335" s="803">
        <v>1676</v>
      </c>
      <c r="M335" s="803"/>
      <c r="N335" s="804">
        <v>8381</v>
      </c>
      <c r="O335" s="804">
        <v>77364</v>
      </c>
      <c r="P335" s="804">
        <v>0</v>
      </c>
      <c r="Q335" s="803">
        <v>7450</v>
      </c>
      <c r="R335" s="803"/>
      <c r="S335" s="804">
        <v>63931</v>
      </c>
      <c r="T335" s="805">
        <v>-1211</v>
      </c>
      <c r="U335" s="805">
        <v>62721</v>
      </c>
    </row>
    <row r="336" spans="1:21" x14ac:dyDescent="0.25">
      <c r="A336" s="800">
        <v>93441</v>
      </c>
      <c r="B336" s="801" t="s">
        <v>2975</v>
      </c>
      <c r="C336" s="802">
        <v>1.4970000000000001E-4</v>
      </c>
      <c r="D336" s="802">
        <v>1.3239999999999999E-4</v>
      </c>
      <c r="E336" s="803">
        <v>71653</v>
      </c>
      <c r="F336" s="803">
        <v>59420</v>
      </c>
      <c r="G336" s="803">
        <v>317714</v>
      </c>
      <c r="H336" s="803"/>
      <c r="I336" s="804">
        <v>5969</v>
      </c>
      <c r="J336" s="804">
        <v>278418</v>
      </c>
      <c r="K336" s="804">
        <v>21761</v>
      </c>
      <c r="L336" s="803">
        <v>34771</v>
      </c>
      <c r="M336" s="803"/>
      <c r="N336" s="804">
        <v>11133</v>
      </c>
      <c r="O336" s="804">
        <v>102763</v>
      </c>
      <c r="P336" s="804">
        <v>0</v>
      </c>
      <c r="Q336" s="803">
        <v>0</v>
      </c>
      <c r="R336" s="803"/>
      <c r="S336" s="804">
        <v>84920</v>
      </c>
      <c r="T336" s="805">
        <v>12654</v>
      </c>
      <c r="U336" s="805">
        <v>97574</v>
      </c>
    </row>
    <row r="337" spans="1:21" x14ac:dyDescent="0.25">
      <c r="A337" s="800">
        <v>93442</v>
      </c>
      <c r="B337" s="801" t="s">
        <v>2976</v>
      </c>
      <c r="C337" s="802">
        <v>1.3540000000000001E-4</v>
      </c>
      <c r="D337" s="802">
        <v>1.7799999999999999E-4</v>
      </c>
      <c r="E337" s="803">
        <v>53217.95</v>
      </c>
      <c r="F337" s="803">
        <v>79885</v>
      </c>
      <c r="G337" s="803">
        <v>287364</v>
      </c>
      <c r="H337" s="803"/>
      <c r="I337" s="804">
        <v>5399</v>
      </c>
      <c r="J337" s="804">
        <v>251823</v>
      </c>
      <c r="K337" s="804">
        <v>19682</v>
      </c>
      <c r="L337" s="803">
        <v>6718</v>
      </c>
      <c r="M337" s="803"/>
      <c r="N337" s="804">
        <v>10070</v>
      </c>
      <c r="O337" s="804">
        <v>92946</v>
      </c>
      <c r="P337" s="804">
        <v>0</v>
      </c>
      <c r="Q337" s="803">
        <v>29938</v>
      </c>
      <c r="R337" s="803"/>
      <c r="S337" s="804">
        <v>76808</v>
      </c>
      <c r="T337" s="805">
        <v>-6567</v>
      </c>
      <c r="U337" s="805">
        <v>70241</v>
      </c>
    </row>
    <row r="338" spans="1:21" x14ac:dyDescent="0.25">
      <c r="A338" s="800">
        <v>93451</v>
      </c>
      <c r="B338" s="801" t="s">
        <v>2977</v>
      </c>
      <c r="C338" s="802">
        <v>7.6899999999999999E-5</v>
      </c>
      <c r="D338" s="802">
        <v>7.6699999999999994E-5</v>
      </c>
      <c r="E338" s="803">
        <v>41952.18</v>
      </c>
      <c r="F338" s="803">
        <v>34422</v>
      </c>
      <c r="G338" s="803">
        <v>163208</v>
      </c>
      <c r="H338" s="803"/>
      <c r="I338" s="804">
        <v>3066</v>
      </c>
      <c r="J338" s="804">
        <v>143022</v>
      </c>
      <c r="K338" s="804">
        <v>11178</v>
      </c>
      <c r="L338" s="803">
        <v>18732</v>
      </c>
      <c r="M338" s="803"/>
      <c r="N338" s="804">
        <v>5719</v>
      </c>
      <c r="O338" s="804">
        <v>52789</v>
      </c>
      <c r="P338" s="804">
        <v>0</v>
      </c>
      <c r="Q338" s="803">
        <v>2999</v>
      </c>
      <c r="R338" s="803"/>
      <c r="S338" s="804">
        <v>43623</v>
      </c>
      <c r="T338" s="805">
        <v>4342</v>
      </c>
      <c r="U338" s="805">
        <v>47965</v>
      </c>
    </row>
    <row r="339" spans="1:21" x14ac:dyDescent="0.25">
      <c r="A339" s="800">
        <v>93461</v>
      </c>
      <c r="B339" s="801" t="s">
        <v>2978</v>
      </c>
      <c r="C339" s="802">
        <v>1.7200000000000001E-5</v>
      </c>
      <c r="D339" s="802">
        <v>1.7200000000000001E-5</v>
      </c>
      <c r="E339" s="803">
        <v>7471</v>
      </c>
      <c r="F339" s="803">
        <v>7719</v>
      </c>
      <c r="G339" s="803">
        <v>36504</v>
      </c>
      <c r="H339" s="803"/>
      <c r="I339" s="804">
        <v>685.85</v>
      </c>
      <c r="J339" s="804">
        <v>31989</v>
      </c>
      <c r="K339" s="804">
        <v>2500</v>
      </c>
      <c r="L339" s="803">
        <v>695</v>
      </c>
      <c r="M339" s="803"/>
      <c r="N339" s="804">
        <v>1279</v>
      </c>
      <c r="O339" s="804">
        <v>11807</v>
      </c>
      <c r="P339" s="804">
        <v>0</v>
      </c>
      <c r="Q339" s="803">
        <v>0</v>
      </c>
      <c r="R339" s="803"/>
      <c r="S339" s="804">
        <v>9757</v>
      </c>
      <c r="T339" s="805">
        <v>226</v>
      </c>
      <c r="U339" s="805">
        <v>9983</v>
      </c>
    </row>
    <row r="340" spans="1:21" x14ac:dyDescent="0.25">
      <c r="A340" s="800">
        <v>93471</v>
      </c>
      <c r="B340" s="801" t="s">
        <v>2979</v>
      </c>
      <c r="C340" s="802">
        <v>1.1800000000000001E-5</v>
      </c>
      <c r="D340" s="802">
        <v>1.34E-5</v>
      </c>
      <c r="E340" s="803">
        <v>7905</v>
      </c>
      <c r="F340" s="803">
        <v>6014</v>
      </c>
      <c r="G340" s="803">
        <v>25044</v>
      </c>
      <c r="H340" s="803"/>
      <c r="I340" s="804">
        <v>471</v>
      </c>
      <c r="J340" s="804">
        <v>21946</v>
      </c>
      <c r="K340" s="804">
        <v>1715</v>
      </c>
      <c r="L340" s="803">
        <v>2187</v>
      </c>
      <c r="M340" s="803"/>
      <c r="N340" s="804">
        <v>878</v>
      </c>
      <c r="O340" s="804">
        <v>8100</v>
      </c>
      <c r="P340" s="804">
        <v>0</v>
      </c>
      <c r="Q340" s="803">
        <v>127</v>
      </c>
      <c r="R340" s="803"/>
      <c r="S340" s="804">
        <v>6694</v>
      </c>
      <c r="T340" s="805">
        <v>563</v>
      </c>
      <c r="U340" s="805">
        <v>7256</v>
      </c>
    </row>
    <row r="341" spans="1:21" x14ac:dyDescent="0.25">
      <c r="A341" s="800">
        <v>93501</v>
      </c>
      <c r="B341" s="801" t="s">
        <v>2980</v>
      </c>
      <c r="C341" s="802">
        <v>3.4039000000000001E-3</v>
      </c>
      <c r="D341" s="802">
        <v>3.4708E-3</v>
      </c>
      <c r="E341" s="803">
        <v>1347598.72</v>
      </c>
      <c r="F341" s="803">
        <v>1557674</v>
      </c>
      <c r="G341" s="803">
        <v>7224216</v>
      </c>
      <c r="H341" s="803"/>
      <c r="I341" s="804">
        <v>135731</v>
      </c>
      <c r="J341" s="804">
        <v>6330716</v>
      </c>
      <c r="K341" s="804">
        <v>494794</v>
      </c>
      <c r="L341" s="803">
        <v>165283</v>
      </c>
      <c r="M341" s="803"/>
      <c r="N341" s="804">
        <v>253145</v>
      </c>
      <c r="O341" s="804">
        <v>2336634</v>
      </c>
      <c r="P341" s="804">
        <v>0</v>
      </c>
      <c r="Q341" s="803">
        <v>77725</v>
      </c>
      <c r="R341" s="803"/>
      <c r="S341" s="804">
        <v>1930927</v>
      </c>
      <c r="T341" s="805">
        <v>52932</v>
      </c>
      <c r="U341" s="805">
        <v>1983859</v>
      </c>
    </row>
    <row r="342" spans="1:21" x14ac:dyDescent="0.25">
      <c r="A342" s="800">
        <v>93511</v>
      </c>
      <c r="B342" s="801" t="s">
        <v>2981</v>
      </c>
      <c r="C342" s="802">
        <v>9.8999999999999994E-5</v>
      </c>
      <c r="D342" s="802">
        <v>1.142E-4</v>
      </c>
      <c r="E342" s="803">
        <v>40720.79</v>
      </c>
      <c r="F342" s="803">
        <v>51252</v>
      </c>
      <c r="G342" s="803">
        <v>210111</v>
      </c>
      <c r="H342" s="803"/>
      <c r="I342" s="804">
        <v>3948</v>
      </c>
      <c r="J342" s="804">
        <v>184124</v>
      </c>
      <c r="K342" s="804">
        <v>14391</v>
      </c>
      <c r="L342" s="803">
        <v>5204</v>
      </c>
      <c r="M342" s="803"/>
      <c r="N342" s="804">
        <v>7363</v>
      </c>
      <c r="O342" s="804">
        <v>67959</v>
      </c>
      <c r="P342" s="804">
        <v>0</v>
      </c>
      <c r="Q342" s="803">
        <v>14645</v>
      </c>
      <c r="R342" s="803"/>
      <c r="S342" s="804">
        <v>56160</v>
      </c>
      <c r="T342" s="805">
        <v>-1792</v>
      </c>
      <c r="U342" s="805">
        <v>54368</v>
      </c>
    </row>
    <row r="343" spans="1:21" x14ac:dyDescent="0.25">
      <c r="A343" s="800">
        <v>93517</v>
      </c>
      <c r="B343" s="801" t="s">
        <v>2982</v>
      </c>
      <c r="C343" s="802">
        <v>6.4999999999999996E-6</v>
      </c>
      <c r="D343" s="802">
        <v>6.6000000000000003E-6</v>
      </c>
      <c r="E343" s="803">
        <v>4035.72</v>
      </c>
      <c r="F343" s="803">
        <v>2962</v>
      </c>
      <c r="G343" s="803">
        <v>13795</v>
      </c>
      <c r="H343" s="803"/>
      <c r="I343" s="804">
        <v>259.1875</v>
      </c>
      <c r="J343" s="804">
        <v>12089</v>
      </c>
      <c r="K343" s="804">
        <v>945</v>
      </c>
      <c r="L343" s="803">
        <v>3198</v>
      </c>
      <c r="M343" s="803"/>
      <c r="N343" s="804">
        <v>483</v>
      </c>
      <c r="O343" s="804">
        <v>4462</v>
      </c>
      <c r="P343" s="804">
        <v>0</v>
      </c>
      <c r="Q343" s="803">
        <v>1011</v>
      </c>
      <c r="R343" s="803"/>
      <c r="S343" s="804">
        <v>3687</v>
      </c>
      <c r="T343" s="805">
        <v>528</v>
      </c>
      <c r="U343" s="805">
        <v>4215</v>
      </c>
    </row>
    <row r="344" spans="1:21" x14ac:dyDescent="0.25">
      <c r="A344" s="800">
        <v>93521</v>
      </c>
      <c r="B344" s="801" t="s">
        <v>2983</v>
      </c>
      <c r="C344" s="802">
        <v>5.6389999999999999E-4</v>
      </c>
      <c r="D344" s="802">
        <v>4.75E-4</v>
      </c>
      <c r="E344" s="803">
        <v>183431</v>
      </c>
      <c r="F344" s="803">
        <v>213177.15</v>
      </c>
      <c r="G344" s="803">
        <v>1196785</v>
      </c>
      <c r="H344" s="803"/>
      <c r="I344" s="804">
        <v>22486</v>
      </c>
      <c r="J344" s="804">
        <v>1048765</v>
      </c>
      <c r="K344" s="804">
        <v>81969</v>
      </c>
      <c r="L344" s="803">
        <v>9662</v>
      </c>
      <c r="M344" s="803"/>
      <c r="N344" s="804">
        <v>41937</v>
      </c>
      <c r="O344" s="804">
        <v>387094</v>
      </c>
      <c r="P344" s="804">
        <v>0</v>
      </c>
      <c r="Q344" s="803">
        <v>10656</v>
      </c>
      <c r="R344" s="803"/>
      <c r="S344" s="804">
        <v>319883</v>
      </c>
      <c r="T344" s="805">
        <v>-2591</v>
      </c>
      <c r="U344" s="805">
        <v>317292</v>
      </c>
    </row>
    <row r="345" spans="1:21" x14ac:dyDescent="0.25">
      <c r="A345" s="800">
        <v>93527</v>
      </c>
      <c r="B345" s="801" t="s">
        <v>2984</v>
      </c>
      <c r="C345" s="802">
        <v>5.4E-6</v>
      </c>
      <c r="D345" s="802">
        <v>5.4E-6</v>
      </c>
      <c r="E345" s="803">
        <v>8301</v>
      </c>
      <c r="F345" s="803">
        <v>2423</v>
      </c>
      <c r="G345" s="803">
        <v>11461</v>
      </c>
      <c r="H345" s="803"/>
      <c r="I345" s="804">
        <v>215.32499999999999</v>
      </c>
      <c r="J345" s="804">
        <v>10043</v>
      </c>
      <c r="K345" s="804">
        <v>785</v>
      </c>
      <c r="L345" s="803">
        <v>11237</v>
      </c>
      <c r="M345" s="803"/>
      <c r="N345" s="804">
        <v>402</v>
      </c>
      <c r="O345" s="804">
        <v>3707</v>
      </c>
      <c r="P345" s="804">
        <v>0</v>
      </c>
      <c r="Q345" s="803">
        <v>0</v>
      </c>
      <c r="R345" s="803"/>
      <c r="S345" s="804">
        <v>3063</v>
      </c>
      <c r="T345" s="805">
        <v>3941</v>
      </c>
      <c r="U345" s="805">
        <v>7005</v>
      </c>
    </row>
    <row r="346" spans="1:21" x14ac:dyDescent="0.25">
      <c r="A346" s="800">
        <v>93531</v>
      </c>
      <c r="B346" s="801" t="s">
        <v>2985</v>
      </c>
      <c r="C346" s="802">
        <v>2.4000000000000001E-5</v>
      </c>
      <c r="D346" s="802">
        <v>2.4700000000000001E-5</v>
      </c>
      <c r="E346" s="803">
        <v>11692.23</v>
      </c>
      <c r="F346" s="803">
        <v>11085</v>
      </c>
      <c r="G346" s="803">
        <v>50936.04</v>
      </c>
      <c r="H346" s="803"/>
      <c r="I346" s="804">
        <v>957</v>
      </c>
      <c r="J346" s="804">
        <v>44636</v>
      </c>
      <c r="K346" s="804">
        <v>3489</v>
      </c>
      <c r="L346" s="803">
        <v>1068</v>
      </c>
      <c r="M346" s="803"/>
      <c r="N346" s="804">
        <v>1785</v>
      </c>
      <c r="O346" s="804">
        <v>16475</v>
      </c>
      <c r="P346" s="804">
        <v>0</v>
      </c>
      <c r="Q346" s="803">
        <v>2182</v>
      </c>
      <c r="R346" s="803"/>
      <c r="S346" s="804">
        <v>13614</v>
      </c>
      <c r="T346" s="805">
        <v>-801</v>
      </c>
      <c r="U346" s="805">
        <v>12814</v>
      </c>
    </row>
    <row r="347" spans="1:21" x14ac:dyDescent="0.25">
      <c r="A347" s="800">
        <v>93537</v>
      </c>
      <c r="B347" s="801" t="s">
        <v>2986</v>
      </c>
      <c r="C347" s="802">
        <v>1.17E-5</v>
      </c>
      <c r="D347" s="802">
        <v>1.13E-5</v>
      </c>
      <c r="E347" s="803">
        <v>3539</v>
      </c>
      <c r="F347" s="803">
        <v>5071</v>
      </c>
      <c r="G347" s="803">
        <v>24831</v>
      </c>
      <c r="H347" s="803"/>
      <c r="I347" s="804">
        <v>467</v>
      </c>
      <c r="J347" s="804">
        <v>21760</v>
      </c>
      <c r="K347" s="804">
        <v>1701</v>
      </c>
      <c r="L347" s="803">
        <v>0</v>
      </c>
      <c r="M347" s="803"/>
      <c r="N347" s="804">
        <v>870</v>
      </c>
      <c r="O347" s="804">
        <v>8032</v>
      </c>
      <c r="P347" s="804">
        <v>0</v>
      </c>
      <c r="Q347" s="803">
        <v>976</v>
      </c>
      <c r="R347" s="803"/>
      <c r="S347" s="804">
        <v>6637</v>
      </c>
      <c r="T347" s="805">
        <v>-276</v>
      </c>
      <c r="U347" s="805">
        <v>6361</v>
      </c>
    </row>
    <row r="348" spans="1:21" x14ac:dyDescent="0.25">
      <c r="A348" s="800">
        <v>93541</v>
      </c>
      <c r="B348" s="801" t="s">
        <v>2987</v>
      </c>
      <c r="C348" s="802">
        <v>1.061E-4</v>
      </c>
      <c r="D348" s="802">
        <v>1.069E-4</v>
      </c>
      <c r="E348" s="803">
        <v>43706</v>
      </c>
      <c r="F348" s="803">
        <v>47976</v>
      </c>
      <c r="G348" s="803">
        <v>225180</v>
      </c>
      <c r="H348" s="803"/>
      <c r="I348" s="804">
        <v>4231</v>
      </c>
      <c r="J348" s="804">
        <v>197329</v>
      </c>
      <c r="K348" s="804">
        <v>15423</v>
      </c>
      <c r="L348" s="803">
        <v>8559</v>
      </c>
      <c r="M348" s="803"/>
      <c r="N348" s="804">
        <v>7891</v>
      </c>
      <c r="O348" s="804">
        <v>72833</v>
      </c>
      <c r="P348" s="804">
        <v>0</v>
      </c>
      <c r="Q348" s="803">
        <v>1155</v>
      </c>
      <c r="R348" s="803"/>
      <c r="S348" s="804">
        <v>60187</v>
      </c>
      <c r="T348" s="805">
        <v>3927</v>
      </c>
      <c r="U348" s="805">
        <v>64114</v>
      </c>
    </row>
    <row r="349" spans="1:21" x14ac:dyDescent="0.25">
      <c r="A349" s="800">
        <v>93601</v>
      </c>
      <c r="B349" s="801" t="s">
        <v>2988</v>
      </c>
      <c r="C349" s="802">
        <v>1.1139899999999999E-2</v>
      </c>
      <c r="D349" s="802">
        <v>1.09906E-2</v>
      </c>
      <c r="E349" s="803">
        <v>4591072.71</v>
      </c>
      <c r="F349" s="803">
        <v>4932515</v>
      </c>
      <c r="G349" s="803">
        <v>23642600</v>
      </c>
      <c r="H349" s="803"/>
      <c r="I349" s="804">
        <v>444204</v>
      </c>
      <c r="J349" s="804">
        <v>20718454</v>
      </c>
      <c r="K349" s="804">
        <v>1619307</v>
      </c>
      <c r="L349" s="803">
        <v>88715</v>
      </c>
      <c r="M349" s="803"/>
      <c r="N349" s="804">
        <v>828463</v>
      </c>
      <c r="O349" s="804">
        <v>7647073</v>
      </c>
      <c r="P349" s="804">
        <v>0</v>
      </c>
      <c r="Q349" s="803">
        <v>158818</v>
      </c>
      <c r="R349" s="803"/>
      <c r="S349" s="804">
        <v>6319320</v>
      </c>
      <c r="T349" s="805">
        <v>-40519</v>
      </c>
      <c r="U349" s="805">
        <v>6278801</v>
      </c>
    </row>
    <row r="350" spans="1:21" x14ac:dyDescent="0.25">
      <c r="A350" s="800">
        <v>93602</v>
      </c>
      <c r="B350" s="801" t="s">
        <v>2989</v>
      </c>
      <c r="C350" s="802">
        <v>1.7200000000000001E-4</v>
      </c>
      <c r="D350" s="802">
        <v>1.873E-4</v>
      </c>
      <c r="E350" s="803">
        <v>65294.78</v>
      </c>
      <c r="F350" s="803">
        <v>84059</v>
      </c>
      <c r="G350" s="803">
        <v>365041.62</v>
      </c>
      <c r="H350" s="803"/>
      <c r="I350" s="804">
        <v>6858.5</v>
      </c>
      <c r="J350" s="804">
        <v>319893</v>
      </c>
      <c r="K350" s="804">
        <v>25002</v>
      </c>
      <c r="L350" s="803">
        <v>1192</v>
      </c>
      <c r="M350" s="803"/>
      <c r="N350" s="804">
        <v>12791</v>
      </c>
      <c r="O350" s="804">
        <v>118071</v>
      </c>
      <c r="P350" s="804">
        <v>0</v>
      </c>
      <c r="Q350" s="803">
        <v>14459</v>
      </c>
      <c r="R350" s="803"/>
      <c r="S350" s="804">
        <v>97570</v>
      </c>
      <c r="T350" s="805">
        <v>-3774</v>
      </c>
      <c r="U350" s="805">
        <v>93797</v>
      </c>
    </row>
    <row r="351" spans="1:21" x14ac:dyDescent="0.25">
      <c r="A351" s="800">
        <v>93609</v>
      </c>
      <c r="B351" s="801" t="s">
        <v>2990</v>
      </c>
      <c r="C351" s="802">
        <v>3.0569E-3</v>
      </c>
      <c r="D351" s="802">
        <v>2.777E-3</v>
      </c>
      <c r="E351" s="803">
        <v>1250738</v>
      </c>
      <c r="F351" s="803">
        <v>1246301</v>
      </c>
      <c r="G351" s="803">
        <v>6487766</v>
      </c>
      <c r="H351" s="803"/>
      <c r="I351" s="804">
        <v>121894</v>
      </c>
      <c r="J351" s="804">
        <v>5685351</v>
      </c>
      <c r="K351" s="804">
        <v>444354</v>
      </c>
      <c r="L351" s="803">
        <v>575194</v>
      </c>
      <c r="M351" s="803"/>
      <c r="N351" s="804">
        <v>227339</v>
      </c>
      <c r="O351" s="804">
        <v>2098433</v>
      </c>
      <c r="P351" s="804">
        <v>0</v>
      </c>
      <c r="Q351" s="803">
        <v>0</v>
      </c>
      <c r="R351" s="803"/>
      <c r="S351" s="804">
        <v>1734085</v>
      </c>
      <c r="T351" s="805">
        <v>238417</v>
      </c>
      <c r="U351" s="805">
        <v>1972502</v>
      </c>
    </row>
    <row r="352" spans="1:21" x14ac:dyDescent="0.25">
      <c r="A352" s="800">
        <v>93610</v>
      </c>
      <c r="B352" s="801" t="s">
        <v>2991</v>
      </c>
      <c r="C352" s="802">
        <v>6.4999999999999996E-6</v>
      </c>
      <c r="D352" s="802">
        <v>1.84E-5</v>
      </c>
      <c r="E352" s="803">
        <v>5057</v>
      </c>
      <c r="F352" s="803">
        <v>8258</v>
      </c>
      <c r="G352" s="803">
        <v>13795</v>
      </c>
      <c r="H352" s="803"/>
      <c r="I352" s="804">
        <v>259.1875</v>
      </c>
      <c r="J352" s="804">
        <v>12089</v>
      </c>
      <c r="K352" s="804">
        <v>945</v>
      </c>
      <c r="L352" s="803">
        <v>3285</v>
      </c>
      <c r="M352" s="803"/>
      <c r="N352" s="804">
        <v>483</v>
      </c>
      <c r="O352" s="804">
        <v>4462</v>
      </c>
      <c r="P352" s="804">
        <v>0</v>
      </c>
      <c r="Q352" s="803">
        <v>4553</v>
      </c>
      <c r="R352" s="803"/>
      <c r="S352" s="804">
        <v>3687</v>
      </c>
      <c r="T352" s="805">
        <v>154</v>
      </c>
      <c r="U352" s="805">
        <v>3842</v>
      </c>
    </row>
    <row r="353" spans="1:21" x14ac:dyDescent="0.25">
      <c r="A353" s="800">
        <v>93611</v>
      </c>
      <c r="B353" s="801" t="s">
        <v>2992</v>
      </c>
      <c r="C353" s="802">
        <v>6.9325000000000003E-3</v>
      </c>
      <c r="D353" s="802">
        <v>6.9034999999999999E-3</v>
      </c>
      <c r="E353" s="803">
        <v>2795516.27</v>
      </c>
      <c r="F353" s="803">
        <v>3098249</v>
      </c>
      <c r="G353" s="803">
        <v>14713087</v>
      </c>
      <c r="H353" s="803"/>
      <c r="I353" s="804">
        <v>276433</v>
      </c>
      <c r="J353" s="804">
        <v>12893355</v>
      </c>
      <c r="K353" s="804">
        <v>1007715</v>
      </c>
      <c r="L353" s="803">
        <v>0</v>
      </c>
      <c r="M353" s="803"/>
      <c r="N353" s="804">
        <v>515563</v>
      </c>
      <c r="O353" s="804">
        <v>4758870</v>
      </c>
      <c r="P353" s="804">
        <v>0</v>
      </c>
      <c r="Q353" s="803">
        <v>266414</v>
      </c>
      <c r="R353" s="803"/>
      <c r="S353" s="804">
        <v>3932592</v>
      </c>
      <c r="T353" s="805">
        <v>-113352</v>
      </c>
      <c r="U353" s="805">
        <v>3819240</v>
      </c>
    </row>
    <row r="354" spans="1:21" x14ac:dyDescent="0.25">
      <c r="A354" s="800">
        <v>93617</v>
      </c>
      <c r="B354" s="801" t="s">
        <v>2993</v>
      </c>
      <c r="C354" s="802">
        <v>9.5000000000000005E-5</v>
      </c>
      <c r="D354" s="802">
        <v>7.9200000000000001E-5</v>
      </c>
      <c r="E354" s="803">
        <v>46064</v>
      </c>
      <c r="F354" s="803">
        <v>35544</v>
      </c>
      <c r="G354" s="803">
        <v>201622</v>
      </c>
      <c r="H354" s="803"/>
      <c r="I354" s="804">
        <v>3788.125</v>
      </c>
      <c r="J354" s="804">
        <v>176685</v>
      </c>
      <c r="K354" s="804">
        <v>13809</v>
      </c>
      <c r="L354" s="803">
        <v>28939</v>
      </c>
      <c r="M354" s="803"/>
      <c r="N354" s="804">
        <v>7065</v>
      </c>
      <c r="O354" s="804">
        <v>65213.51</v>
      </c>
      <c r="P354" s="804">
        <v>0</v>
      </c>
      <c r="Q354" s="803">
        <v>0</v>
      </c>
      <c r="R354" s="803"/>
      <c r="S354" s="804">
        <v>53891</v>
      </c>
      <c r="T354" s="805">
        <v>10007</v>
      </c>
      <c r="U354" s="805">
        <v>63898</v>
      </c>
    </row>
    <row r="355" spans="1:21" x14ac:dyDescent="0.25">
      <c r="A355" s="800">
        <v>93618</v>
      </c>
      <c r="B355" s="801" t="s">
        <v>2994</v>
      </c>
      <c r="C355" s="802">
        <v>1.17E-5</v>
      </c>
      <c r="D355" s="802">
        <v>1.0200000000000001E-5</v>
      </c>
      <c r="E355" s="803">
        <v>22629</v>
      </c>
      <c r="F355" s="803">
        <v>4578</v>
      </c>
      <c r="G355" s="803">
        <v>24831</v>
      </c>
      <c r="H355" s="803"/>
      <c r="I355" s="804">
        <v>467</v>
      </c>
      <c r="J355" s="804">
        <v>21760</v>
      </c>
      <c r="K355" s="804">
        <v>1701</v>
      </c>
      <c r="L355" s="803">
        <v>27424</v>
      </c>
      <c r="M355" s="803"/>
      <c r="N355" s="804">
        <v>870</v>
      </c>
      <c r="O355" s="804">
        <v>8032</v>
      </c>
      <c r="P355" s="804">
        <v>0</v>
      </c>
      <c r="Q355" s="803">
        <v>0</v>
      </c>
      <c r="R355" s="803"/>
      <c r="S355" s="804">
        <v>6637</v>
      </c>
      <c r="T355" s="805">
        <v>8505</v>
      </c>
      <c r="U355" s="805">
        <v>15142</v>
      </c>
    </row>
    <row r="356" spans="1:21" x14ac:dyDescent="0.25">
      <c r="A356" s="800">
        <v>93621</v>
      </c>
      <c r="B356" s="801" t="s">
        <v>2995</v>
      </c>
      <c r="C356" s="802">
        <v>8.5320000000000003E-4</v>
      </c>
      <c r="D356" s="802">
        <v>9.5949999999999996E-4</v>
      </c>
      <c r="E356" s="803">
        <v>330203.31</v>
      </c>
      <c r="F356" s="803">
        <v>430618</v>
      </c>
      <c r="G356" s="803">
        <v>1810776</v>
      </c>
      <c r="H356" s="803"/>
      <c r="I356" s="804">
        <v>34021.35</v>
      </c>
      <c r="J356" s="804">
        <v>1586817</v>
      </c>
      <c r="K356" s="804">
        <v>124022</v>
      </c>
      <c r="L356" s="803">
        <v>0</v>
      </c>
      <c r="M356" s="803"/>
      <c r="N356" s="804">
        <v>63452</v>
      </c>
      <c r="O356" s="804">
        <v>585686</v>
      </c>
      <c r="P356" s="804">
        <v>0</v>
      </c>
      <c r="Q356" s="803">
        <v>118410</v>
      </c>
      <c r="R356" s="803"/>
      <c r="S356" s="804">
        <v>483994</v>
      </c>
      <c r="T356" s="805">
        <v>-38643</v>
      </c>
      <c r="U356" s="805">
        <v>445351</v>
      </c>
    </row>
    <row r="357" spans="1:21" x14ac:dyDescent="0.25">
      <c r="A357" s="800">
        <v>93623</v>
      </c>
      <c r="B357" s="801" t="s">
        <v>2996</v>
      </c>
      <c r="C357" s="802">
        <v>1.2500000000000001E-5</v>
      </c>
      <c r="D357" s="802">
        <v>1.24E-5</v>
      </c>
      <c r="E357" s="803">
        <v>8241</v>
      </c>
      <c r="F357" s="803">
        <v>5565</v>
      </c>
      <c r="G357" s="803">
        <v>26529.1875</v>
      </c>
      <c r="H357" s="803"/>
      <c r="I357" s="804">
        <v>498.4375</v>
      </c>
      <c r="J357" s="804">
        <v>23248</v>
      </c>
      <c r="K357" s="804">
        <v>1817</v>
      </c>
      <c r="L357" s="803">
        <v>4315</v>
      </c>
      <c r="M357" s="803"/>
      <c r="N357" s="804">
        <v>930</v>
      </c>
      <c r="O357" s="804">
        <v>8581</v>
      </c>
      <c r="P357" s="804">
        <v>0</v>
      </c>
      <c r="Q357" s="803">
        <v>2</v>
      </c>
      <c r="R357" s="803"/>
      <c r="S357" s="804">
        <v>7091</v>
      </c>
      <c r="T357" s="805">
        <v>1289</v>
      </c>
      <c r="U357" s="805">
        <v>8380</v>
      </c>
    </row>
    <row r="358" spans="1:21" x14ac:dyDescent="0.25">
      <c r="A358" s="800">
        <v>93631</v>
      </c>
      <c r="B358" s="801" t="s">
        <v>2997</v>
      </c>
      <c r="C358" s="802">
        <v>2.3440000000000001E-4</v>
      </c>
      <c r="D358" s="802">
        <v>2.3680000000000001E-4</v>
      </c>
      <c r="E358" s="803">
        <v>87285</v>
      </c>
      <c r="F358" s="803">
        <v>106274</v>
      </c>
      <c r="G358" s="803">
        <v>497475</v>
      </c>
      <c r="H358" s="803"/>
      <c r="I358" s="804">
        <v>9347</v>
      </c>
      <c r="J358" s="804">
        <v>435947</v>
      </c>
      <c r="K358" s="804">
        <v>34073</v>
      </c>
      <c r="L358" s="803">
        <v>874</v>
      </c>
      <c r="M358" s="803"/>
      <c r="N358" s="804">
        <v>17432</v>
      </c>
      <c r="O358" s="804">
        <v>160906</v>
      </c>
      <c r="P358" s="804">
        <v>0</v>
      </c>
      <c r="Q358" s="803">
        <v>17303</v>
      </c>
      <c r="R358" s="803"/>
      <c r="S358" s="804">
        <v>132968</v>
      </c>
      <c r="T358" s="805">
        <v>-4881</v>
      </c>
      <c r="U358" s="805">
        <v>128086</v>
      </c>
    </row>
    <row r="359" spans="1:21" x14ac:dyDescent="0.25">
      <c r="A359" s="800">
        <v>93641</v>
      </c>
      <c r="B359" s="801" t="s">
        <v>2998</v>
      </c>
      <c r="C359" s="802">
        <v>4.3550000000000001E-4</v>
      </c>
      <c r="D359" s="802">
        <v>4.3100000000000001E-4</v>
      </c>
      <c r="E359" s="803">
        <v>182885.7</v>
      </c>
      <c r="F359" s="803">
        <v>193430</v>
      </c>
      <c r="G359" s="803">
        <v>924277</v>
      </c>
      <c r="H359" s="803"/>
      <c r="I359" s="804">
        <v>17365.5625</v>
      </c>
      <c r="J359" s="804">
        <v>809961</v>
      </c>
      <c r="K359" s="804">
        <v>63305</v>
      </c>
      <c r="L359" s="803">
        <v>21571</v>
      </c>
      <c r="M359" s="803"/>
      <c r="N359" s="804">
        <v>32388</v>
      </c>
      <c r="O359" s="804">
        <v>298952</v>
      </c>
      <c r="P359" s="804">
        <v>0</v>
      </c>
      <c r="Q359" s="803">
        <v>0</v>
      </c>
      <c r="R359" s="803"/>
      <c r="S359" s="804">
        <v>247046</v>
      </c>
      <c r="T359" s="805">
        <v>7537</v>
      </c>
      <c r="U359" s="805">
        <v>254583</v>
      </c>
    </row>
    <row r="360" spans="1:21" x14ac:dyDescent="0.25">
      <c r="A360" s="800">
        <v>93647</v>
      </c>
      <c r="B360" s="801" t="s">
        <v>2999</v>
      </c>
      <c r="C360" s="802">
        <v>6.1E-6</v>
      </c>
      <c r="D360" s="802">
        <v>6.0000000000000002E-6</v>
      </c>
      <c r="E360" s="803">
        <v>7779</v>
      </c>
      <c r="F360" s="803">
        <v>2693</v>
      </c>
      <c r="G360" s="803">
        <v>12946</v>
      </c>
      <c r="H360" s="803"/>
      <c r="I360" s="804">
        <v>243.23750000000001</v>
      </c>
      <c r="J360" s="804">
        <v>11345</v>
      </c>
      <c r="K360" s="804">
        <v>887</v>
      </c>
      <c r="L360" s="803">
        <v>10457</v>
      </c>
      <c r="M360" s="803"/>
      <c r="N360" s="804">
        <v>454</v>
      </c>
      <c r="O360" s="804">
        <v>4187</v>
      </c>
      <c r="P360" s="804">
        <v>0</v>
      </c>
      <c r="Q360" s="803">
        <v>0</v>
      </c>
      <c r="R360" s="803"/>
      <c r="S360" s="804">
        <v>3460</v>
      </c>
      <c r="T360" s="805">
        <v>3397</v>
      </c>
      <c r="U360" s="805">
        <v>6857</v>
      </c>
    </row>
    <row r="361" spans="1:21" x14ac:dyDescent="0.25">
      <c r="A361" s="800">
        <v>93651</v>
      </c>
      <c r="B361" s="801" t="s">
        <v>3000</v>
      </c>
      <c r="C361" s="802">
        <v>4.282E-4</v>
      </c>
      <c r="D361" s="802">
        <v>4.216E-4</v>
      </c>
      <c r="E361" s="803">
        <v>158412.88</v>
      </c>
      <c r="F361" s="803">
        <v>189212</v>
      </c>
      <c r="G361" s="803">
        <v>908784</v>
      </c>
      <c r="H361" s="803"/>
      <c r="I361" s="804">
        <v>17074</v>
      </c>
      <c r="J361" s="804">
        <v>796384</v>
      </c>
      <c r="K361" s="804">
        <v>62244</v>
      </c>
      <c r="L361" s="803">
        <v>9033</v>
      </c>
      <c r="M361" s="803"/>
      <c r="N361" s="804">
        <v>31845</v>
      </c>
      <c r="O361" s="804">
        <v>293941</v>
      </c>
      <c r="P361" s="804">
        <v>0</v>
      </c>
      <c r="Q361" s="803">
        <v>11722</v>
      </c>
      <c r="R361" s="803"/>
      <c r="S361" s="804">
        <v>242905</v>
      </c>
      <c r="T361" s="805">
        <v>-139</v>
      </c>
      <c r="U361" s="805">
        <v>242766</v>
      </c>
    </row>
    <row r="362" spans="1:21" x14ac:dyDescent="0.25">
      <c r="A362" s="800">
        <v>93661</v>
      </c>
      <c r="B362" s="801" t="s">
        <v>3001</v>
      </c>
      <c r="C362" s="802">
        <v>1.3420000000000001E-4</v>
      </c>
      <c r="D362" s="802">
        <v>1.2750000000000001E-4</v>
      </c>
      <c r="E362" s="803">
        <v>60285</v>
      </c>
      <c r="F362" s="803">
        <v>57221</v>
      </c>
      <c r="G362" s="803">
        <v>284817</v>
      </c>
      <c r="H362" s="803"/>
      <c r="I362" s="804">
        <v>5351</v>
      </c>
      <c r="J362" s="804">
        <v>249591</v>
      </c>
      <c r="K362" s="804">
        <v>19507</v>
      </c>
      <c r="L362" s="803">
        <v>12174</v>
      </c>
      <c r="M362" s="803"/>
      <c r="N362" s="804">
        <v>9980</v>
      </c>
      <c r="O362" s="804">
        <v>92123</v>
      </c>
      <c r="P362" s="804">
        <v>0</v>
      </c>
      <c r="Q362" s="803">
        <v>0</v>
      </c>
      <c r="R362" s="803"/>
      <c r="S362" s="804">
        <v>76127</v>
      </c>
      <c r="T362" s="805">
        <v>3955</v>
      </c>
      <c r="U362" s="805">
        <v>80082</v>
      </c>
    </row>
    <row r="363" spans="1:21" x14ac:dyDescent="0.25">
      <c r="A363" s="800">
        <v>93671</v>
      </c>
      <c r="B363" s="801" t="s">
        <v>3002</v>
      </c>
      <c r="C363" s="802">
        <v>3.6900000000000002E-4</v>
      </c>
      <c r="D363" s="802">
        <v>3.5710000000000001E-4</v>
      </c>
      <c r="E363" s="803">
        <v>141320.09</v>
      </c>
      <c r="F363" s="803">
        <v>160264</v>
      </c>
      <c r="G363" s="803">
        <v>783142</v>
      </c>
      <c r="H363" s="803"/>
      <c r="I363" s="804">
        <v>14714</v>
      </c>
      <c r="J363" s="804">
        <v>686282</v>
      </c>
      <c r="K363" s="804">
        <v>53638</v>
      </c>
      <c r="L363" s="803">
        <v>67993</v>
      </c>
      <c r="M363" s="803"/>
      <c r="N363" s="804">
        <v>27442</v>
      </c>
      <c r="O363" s="804">
        <v>253303</v>
      </c>
      <c r="P363" s="804">
        <v>0</v>
      </c>
      <c r="Q363" s="803">
        <v>1836</v>
      </c>
      <c r="R363" s="803"/>
      <c r="S363" s="804">
        <v>209322</v>
      </c>
      <c r="T363" s="805">
        <v>28852</v>
      </c>
      <c r="U363" s="805">
        <v>238174</v>
      </c>
    </row>
    <row r="364" spans="1:21" x14ac:dyDescent="0.25">
      <c r="A364" s="800">
        <v>93677</v>
      </c>
      <c r="B364" s="801" t="s">
        <v>1522</v>
      </c>
      <c r="C364" s="802">
        <v>0</v>
      </c>
      <c r="D364" s="802">
        <v>0</v>
      </c>
      <c r="E364" s="803">
        <v>0</v>
      </c>
      <c r="F364" s="803">
        <v>0</v>
      </c>
      <c r="G364" s="803">
        <v>0</v>
      </c>
      <c r="H364" s="803"/>
      <c r="I364" s="804">
        <v>0</v>
      </c>
      <c r="J364" s="804">
        <v>0</v>
      </c>
      <c r="K364" s="804">
        <v>0</v>
      </c>
      <c r="L364" s="803">
        <v>0</v>
      </c>
      <c r="M364" s="803"/>
      <c r="N364" s="804">
        <v>0</v>
      </c>
      <c r="O364" s="804">
        <v>0</v>
      </c>
      <c r="P364" s="804">
        <v>0</v>
      </c>
      <c r="Q364" s="803">
        <v>1443</v>
      </c>
      <c r="R364" s="803"/>
      <c r="S364" s="804">
        <v>0</v>
      </c>
      <c r="T364" s="805">
        <v>-725</v>
      </c>
      <c r="U364" s="805">
        <v>-725</v>
      </c>
    </row>
    <row r="365" spans="1:21" x14ac:dyDescent="0.25">
      <c r="A365" s="800">
        <v>93681</v>
      </c>
      <c r="B365" s="801" t="s">
        <v>3003</v>
      </c>
      <c r="C365" s="802">
        <v>1.1010000000000001E-4</v>
      </c>
      <c r="D365" s="802">
        <v>1.2769999999999999E-4</v>
      </c>
      <c r="E365" s="803">
        <v>44347.75</v>
      </c>
      <c r="F365" s="803">
        <v>57311</v>
      </c>
      <c r="G365" s="803">
        <v>233669</v>
      </c>
      <c r="H365" s="803"/>
      <c r="I365" s="804">
        <v>4390</v>
      </c>
      <c r="J365" s="804">
        <v>204769</v>
      </c>
      <c r="K365" s="804">
        <v>16004</v>
      </c>
      <c r="L365" s="803">
        <v>409</v>
      </c>
      <c r="M365" s="803"/>
      <c r="N365" s="804">
        <v>8188</v>
      </c>
      <c r="O365" s="804">
        <v>75579</v>
      </c>
      <c r="P365" s="804">
        <v>0</v>
      </c>
      <c r="Q365" s="803">
        <v>17487</v>
      </c>
      <c r="R365" s="803"/>
      <c r="S365" s="804">
        <v>62456</v>
      </c>
      <c r="T365" s="805">
        <v>-6141</v>
      </c>
      <c r="U365" s="805">
        <v>56315</v>
      </c>
    </row>
    <row r="366" spans="1:21" x14ac:dyDescent="0.25">
      <c r="A366" s="800">
        <v>93691</v>
      </c>
      <c r="B366" s="801" t="s">
        <v>3004</v>
      </c>
      <c r="C366" s="802">
        <v>1.1251E-3</v>
      </c>
      <c r="D366" s="802">
        <v>1.1314999999999999E-3</v>
      </c>
      <c r="E366" s="803">
        <v>407119.95</v>
      </c>
      <c r="F366" s="803">
        <v>507810</v>
      </c>
      <c r="G366" s="803">
        <v>2387839</v>
      </c>
      <c r="H366" s="803"/>
      <c r="I366" s="804">
        <v>44863</v>
      </c>
      <c r="J366" s="804">
        <v>2092508</v>
      </c>
      <c r="K366" s="804">
        <v>163546</v>
      </c>
      <c r="L366" s="803">
        <v>0</v>
      </c>
      <c r="M366" s="803"/>
      <c r="N366" s="804">
        <v>83673</v>
      </c>
      <c r="O366" s="804">
        <v>772334</v>
      </c>
      <c r="P366" s="804">
        <v>0</v>
      </c>
      <c r="Q366" s="803">
        <v>90621</v>
      </c>
      <c r="R366" s="803"/>
      <c r="S366" s="804">
        <v>638234</v>
      </c>
      <c r="T366" s="805">
        <v>-28965</v>
      </c>
      <c r="U366" s="805">
        <v>609269</v>
      </c>
    </row>
    <row r="367" spans="1:21" x14ac:dyDescent="0.25">
      <c r="A367" s="800">
        <v>93701</v>
      </c>
      <c r="B367" s="801" t="s">
        <v>3005</v>
      </c>
      <c r="C367" s="802">
        <v>4.6200000000000001E-4</v>
      </c>
      <c r="D367" s="802">
        <v>4.7169999999999997E-4</v>
      </c>
      <c r="E367" s="803">
        <v>182681.63</v>
      </c>
      <c r="F367" s="803">
        <v>211696</v>
      </c>
      <c r="G367" s="803">
        <v>980518.77</v>
      </c>
      <c r="H367" s="803"/>
      <c r="I367" s="804">
        <v>18422.25</v>
      </c>
      <c r="J367" s="804">
        <v>859247</v>
      </c>
      <c r="K367" s="804">
        <v>67157</v>
      </c>
      <c r="L367" s="803">
        <v>13714</v>
      </c>
      <c r="M367" s="803"/>
      <c r="N367" s="804">
        <v>34358</v>
      </c>
      <c r="O367" s="804">
        <v>317144</v>
      </c>
      <c r="P367" s="804">
        <v>0</v>
      </c>
      <c r="Q367" s="803">
        <v>11063</v>
      </c>
      <c r="R367" s="803"/>
      <c r="S367" s="804">
        <v>262078</v>
      </c>
      <c r="T367" s="805">
        <v>2925</v>
      </c>
      <c r="U367" s="805">
        <v>265003</v>
      </c>
    </row>
    <row r="368" spans="1:21" x14ac:dyDescent="0.25">
      <c r="A368" s="800">
        <v>93704</v>
      </c>
      <c r="B368" s="801" t="s">
        <v>3006</v>
      </c>
      <c r="C368" s="802">
        <v>3.3000000000000002E-6</v>
      </c>
      <c r="D368" s="802">
        <v>3.3000000000000002E-6</v>
      </c>
      <c r="E368" s="803">
        <v>1805</v>
      </c>
      <c r="F368" s="803">
        <v>1481</v>
      </c>
      <c r="G368" s="803">
        <v>7004</v>
      </c>
      <c r="H368" s="803"/>
      <c r="I368" s="804">
        <v>131.58750000000001</v>
      </c>
      <c r="J368" s="804">
        <v>6137</v>
      </c>
      <c r="K368" s="804">
        <v>480</v>
      </c>
      <c r="L368" s="803">
        <v>430</v>
      </c>
      <c r="M368" s="803"/>
      <c r="N368" s="804">
        <v>245</v>
      </c>
      <c r="O368" s="804">
        <v>2265</v>
      </c>
      <c r="P368" s="804">
        <v>0</v>
      </c>
      <c r="Q368" s="803">
        <v>97.51</v>
      </c>
      <c r="R368" s="803"/>
      <c r="S368" s="804">
        <v>1872</v>
      </c>
      <c r="T368" s="805">
        <v>69</v>
      </c>
      <c r="U368" s="805">
        <v>1941</v>
      </c>
    </row>
    <row r="369" spans="1:21" x14ac:dyDescent="0.25">
      <c r="A369" s="800">
        <v>93801</v>
      </c>
      <c r="B369" s="801" t="s">
        <v>3007</v>
      </c>
      <c r="C369" s="802">
        <v>5.4180000000000005E-4</v>
      </c>
      <c r="D369" s="802">
        <v>4.4959999999999998E-4</v>
      </c>
      <c r="E369" s="803">
        <v>326497.91999999998</v>
      </c>
      <c r="F369" s="803">
        <v>201778</v>
      </c>
      <c r="G369" s="803">
        <v>1149881</v>
      </c>
      <c r="H369" s="803"/>
      <c r="I369" s="804">
        <v>21604</v>
      </c>
      <c r="J369" s="804">
        <v>1007662</v>
      </c>
      <c r="K369" s="804">
        <v>78757</v>
      </c>
      <c r="L369" s="803">
        <v>156479</v>
      </c>
      <c r="M369" s="803"/>
      <c r="N369" s="804">
        <v>40293</v>
      </c>
      <c r="O369" s="804">
        <v>371923</v>
      </c>
      <c r="P369" s="804">
        <v>0</v>
      </c>
      <c r="Q369" s="803">
        <v>2943</v>
      </c>
      <c r="R369" s="803"/>
      <c r="S369" s="804">
        <v>307346</v>
      </c>
      <c r="T369" s="805">
        <v>41370</v>
      </c>
      <c r="U369" s="805">
        <v>348716</v>
      </c>
    </row>
    <row r="370" spans="1:21" x14ac:dyDescent="0.25">
      <c r="A370" s="800">
        <v>93803</v>
      </c>
      <c r="B370" s="801" t="s">
        <v>3008</v>
      </c>
      <c r="C370" s="802">
        <v>1.4469999999999999E-4</v>
      </c>
      <c r="D370" s="802">
        <v>1.582E-4</v>
      </c>
      <c r="E370" s="803">
        <v>49766</v>
      </c>
      <c r="F370" s="803">
        <v>70999</v>
      </c>
      <c r="G370" s="803">
        <v>307102</v>
      </c>
      <c r="H370" s="803"/>
      <c r="I370" s="804">
        <v>5770</v>
      </c>
      <c r="J370" s="804">
        <v>269119</v>
      </c>
      <c r="K370" s="804">
        <v>21034</v>
      </c>
      <c r="L370" s="803">
        <v>0</v>
      </c>
      <c r="M370" s="803"/>
      <c r="N370" s="804">
        <v>10761</v>
      </c>
      <c r="O370" s="804">
        <v>99330</v>
      </c>
      <c r="P370" s="804">
        <v>0</v>
      </c>
      <c r="Q370" s="803">
        <v>34507</v>
      </c>
      <c r="R370" s="803"/>
      <c r="S370" s="804">
        <v>82084</v>
      </c>
      <c r="T370" s="805">
        <v>-12391</v>
      </c>
      <c r="U370" s="805">
        <v>69693</v>
      </c>
    </row>
    <row r="371" spans="1:21" x14ac:dyDescent="0.25">
      <c r="A371" s="800">
        <v>93806</v>
      </c>
      <c r="B371" s="801" t="s">
        <v>3009</v>
      </c>
      <c r="C371" s="802">
        <v>7.3700000000000002E-5</v>
      </c>
      <c r="D371" s="802">
        <v>7.7899999999999996E-5</v>
      </c>
      <c r="E371" s="803">
        <v>32242.28</v>
      </c>
      <c r="F371" s="803">
        <v>34961</v>
      </c>
      <c r="G371" s="803">
        <v>156416</v>
      </c>
      <c r="H371" s="803"/>
      <c r="I371" s="804">
        <v>2939</v>
      </c>
      <c r="J371" s="804">
        <v>137070</v>
      </c>
      <c r="K371" s="804">
        <v>10713</v>
      </c>
      <c r="L371" s="803">
        <v>1793</v>
      </c>
      <c r="M371" s="803"/>
      <c r="N371" s="804">
        <v>5481</v>
      </c>
      <c r="O371" s="804">
        <v>50592</v>
      </c>
      <c r="P371" s="804">
        <v>0</v>
      </c>
      <c r="Q371" s="803">
        <v>19837</v>
      </c>
      <c r="R371" s="803"/>
      <c r="S371" s="804">
        <v>41808</v>
      </c>
      <c r="T371" s="805">
        <v>-9153</v>
      </c>
      <c r="U371" s="805">
        <v>32655</v>
      </c>
    </row>
    <row r="372" spans="1:21" x14ac:dyDescent="0.25">
      <c r="A372" s="800">
        <v>93821</v>
      </c>
      <c r="B372" s="801" t="s">
        <v>3010</v>
      </c>
      <c r="C372" s="802">
        <v>5.7200000000000001E-5</v>
      </c>
      <c r="D372" s="802">
        <v>5.2899999999999998E-5</v>
      </c>
      <c r="E372" s="803">
        <v>45354.71</v>
      </c>
      <c r="F372" s="803">
        <v>23741</v>
      </c>
      <c r="G372" s="803">
        <v>121398</v>
      </c>
      <c r="H372" s="803"/>
      <c r="I372" s="804">
        <v>2280.85</v>
      </c>
      <c r="J372" s="804">
        <v>106383</v>
      </c>
      <c r="K372" s="804">
        <v>8315</v>
      </c>
      <c r="L372" s="803">
        <v>26142</v>
      </c>
      <c r="M372" s="803"/>
      <c r="N372" s="804">
        <v>4254</v>
      </c>
      <c r="O372" s="804">
        <v>39265</v>
      </c>
      <c r="P372" s="804">
        <v>0</v>
      </c>
      <c r="Q372" s="803">
        <v>0</v>
      </c>
      <c r="R372" s="803"/>
      <c r="S372" s="804">
        <v>32448</v>
      </c>
      <c r="T372" s="805">
        <v>7718</v>
      </c>
      <c r="U372" s="805">
        <v>40166</v>
      </c>
    </row>
    <row r="373" spans="1:21" x14ac:dyDescent="0.25">
      <c r="A373" s="800">
        <v>93901</v>
      </c>
      <c r="B373" s="801" t="s">
        <v>3011</v>
      </c>
      <c r="C373" s="802">
        <v>1.8059E-3</v>
      </c>
      <c r="D373" s="802">
        <v>1.7983999999999999E-3</v>
      </c>
      <c r="E373" s="803">
        <v>780735.88</v>
      </c>
      <c r="F373" s="803">
        <v>807111</v>
      </c>
      <c r="G373" s="803">
        <v>3832725</v>
      </c>
      <c r="H373" s="803"/>
      <c r="I373" s="804">
        <v>72010</v>
      </c>
      <c r="J373" s="804">
        <v>3358689</v>
      </c>
      <c r="K373" s="804">
        <v>262507</v>
      </c>
      <c r="L373" s="803">
        <v>66837</v>
      </c>
      <c r="M373" s="803"/>
      <c r="N373" s="804">
        <v>134303</v>
      </c>
      <c r="O373" s="804">
        <v>1239675</v>
      </c>
      <c r="P373" s="804">
        <v>0</v>
      </c>
      <c r="Q373" s="803">
        <v>0</v>
      </c>
      <c r="R373" s="803"/>
      <c r="S373" s="804">
        <v>1024431</v>
      </c>
      <c r="T373" s="805">
        <v>21679</v>
      </c>
      <c r="U373" s="805">
        <v>1046110</v>
      </c>
    </row>
    <row r="374" spans="1:21" x14ac:dyDescent="0.25">
      <c r="A374" s="800">
        <v>93904</v>
      </c>
      <c r="B374" s="801" t="s">
        <v>3012</v>
      </c>
      <c r="C374" s="802">
        <v>2.4700000000000001E-5</v>
      </c>
      <c r="D374" s="802">
        <v>2.5700000000000001E-5</v>
      </c>
      <c r="E374" s="803">
        <v>12993.06</v>
      </c>
      <c r="F374" s="803">
        <v>11534</v>
      </c>
      <c r="G374" s="803">
        <v>52422</v>
      </c>
      <c r="H374" s="803"/>
      <c r="I374" s="804">
        <v>984.91250000000002</v>
      </c>
      <c r="J374" s="804">
        <v>45938</v>
      </c>
      <c r="K374" s="804">
        <v>3590</v>
      </c>
      <c r="L374" s="803">
        <v>4911</v>
      </c>
      <c r="M374" s="803"/>
      <c r="N374" s="804">
        <v>1837</v>
      </c>
      <c r="O374" s="804">
        <v>16956</v>
      </c>
      <c r="P374" s="804">
        <v>0</v>
      </c>
      <c r="Q374" s="803">
        <v>56</v>
      </c>
      <c r="R374" s="803"/>
      <c r="S374" s="804">
        <v>14012</v>
      </c>
      <c r="T374" s="805">
        <v>1550</v>
      </c>
      <c r="U374" s="805">
        <v>15562</v>
      </c>
    </row>
    <row r="375" spans="1:21" x14ac:dyDescent="0.25">
      <c r="A375" s="800">
        <v>93906</v>
      </c>
      <c r="B375" s="801" t="s">
        <v>3013</v>
      </c>
      <c r="C375" s="802">
        <v>3.4513E-3</v>
      </c>
      <c r="D375" s="802">
        <v>3.4020000000000001E-3</v>
      </c>
      <c r="E375" s="803">
        <v>1324474.51</v>
      </c>
      <c r="F375" s="803">
        <v>1526797</v>
      </c>
      <c r="G375" s="803">
        <v>7324815</v>
      </c>
      <c r="H375" s="803"/>
      <c r="I375" s="804">
        <v>137621</v>
      </c>
      <c r="J375" s="804">
        <v>6418873</v>
      </c>
      <c r="K375" s="804">
        <v>501684</v>
      </c>
      <c r="L375" s="803">
        <v>30117</v>
      </c>
      <c r="M375" s="803"/>
      <c r="N375" s="804">
        <v>256670</v>
      </c>
      <c r="O375" s="804">
        <v>2369172</v>
      </c>
      <c r="P375" s="804">
        <v>0</v>
      </c>
      <c r="Q375" s="803">
        <v>185682</v>
      </c>
      <c r="R375" s="803"/>
      <c r="S375" s="804">
        <v>1957815</v>
      </c>
      <c r="T375" s="805">
        <v>-46065</v>
      </c>
      <c r="U375" s="805">
        <v>1911751</v>
      </c>
    </row>
    <row r="376" spans="1:21" x14ac:dyDescent="0.25">
      <c r="A376" s="800">
        <v>93908</v>
      </c>
      <c r="B376" s="801" t="s">
        <v>3014</v>
      </c>
      <c r="C376" s="802">
        <v>5.0239999999999996E-4</v>
      </c>
      <c r="D376" s="802">
        <v>5.1309999999999995E-4</v>
      </c>
      <c r="E376" s="803">
        <v>209823</v>
      </c>
      <c r="F376" s="803">
        <v>230276</v>
      </c>
      <c r="G376" s="803">
        <v>1066261</v>
      </c>
      <c r="H376" s="803"/>
      <c r="I376" s="804">
        <v>20033</v>
      </c>
      <c r="J376" s="804">
        <v>934385</v>
      </c>
      <c r="K376" s="804">
        <v>73029</v>
      </c>
      <c r="L376" s="803">
        <v>8428</v>
      </c>
      <c r="M376" s="803"/>
      <c r="N376" s="804">
        <v>37363</v>
      </c>
      <c r="O376" s="804">
        <v>344876</v>
      </c>
      <c r="P376" s="804">
        <v>0</v>
      </c>
      <c r="Q376" s="803">
        <v>25053</v>
      </c>
      <c r="R376" s="803"/>
      <c r="S376" s="804">
        <v>284996</v>
      </c>
      <c r="T376" s="805">
        <v>-4339</v>
      </c>
      <c r="U376" s="805">
        <v>280657</v>
      </c>
    </row>
    <row r="377" spans="1:21" x14ac:dyDescent="0.25">
      <c r="A377" s="800">
        <v>93910</v>
      </c>
      <c r="B377" s="801" t="s">
        <v>3015</v>
      </c>
      <c r="C377" s="802">
        <v>2.9129999999999998E-4</v>
      </c>
      <c r="D377" s="802">
        <v>2.8830000000000001E-4</v>
      </c>
      <c r="E377" s="803">
        <v>105004</v>
      </c>
      <c r="F377" s="803">
        <v>129387</v>
      </c>
      <c r="G377" s="803">
        <v>618236</v>
      </c>
      <c r="H377" s="803"/>
      <c r="I377" s="804">
        <v>11616</v>
      </c>
      <c r="J377" s="804">
        <v>541772</v>
      </c>
      <c r="K377" s="804">
        <v>42344</v>
      </c>
      <c r="L377" s="803">
        <v>0</v>
      </c>
      <c r="M377" s="803"/>
      <c r="N377" s="804">
        <v>21664</v>
      </c>
      <c r="O377" s="804">
        <v>199965</v>
      </c>
      <c r="P377" s="804">
        <v>0</v>
      </c>
      <c r="Q377" s="803">
        <v>27549</v>
      </c>
      <c r="R377" s="803"/>
      <c r="S377" s="804">
        <v>165245</v>
      </c>
      <c r="T377" s="805">
        <v>-10320</v>
      </c>
      <c r="U377" s="805">
        <v>154925</v>
      </c>
    </row>
    <row r="378" spans="1:21" x14ac:dyDescent="0.25">
      <c r="A378" s="800">
        <v>93911</v>
      </c>
      <c r="B378" s="801" t="s">
        <v>3016</v>
      </c>
      <c r="C378" s="802">
        <v>6.9890000000000002E-4</v>
      </c>
      <c r="D378" s="802">
        <v>7.1869999999999996E-4</v>
      </c>
      <c r="E378" s="803">
        <v>267489</v>
      </c>
      <c r="F378" s="803">
        <v>322548</v>
      </c>
      <c r="G378" s="803">
        <v>1483300</v>
      </c>
      <c r="H378" s="803"/>
      <c r="I378" s="804">
        <v>27869</v>
      </c>
      <c r="J378" s="804">
        <v>1299844</v>
      </c>
      <c r="K378" s="804">
        <v>101593</v>
      </c>
      <c r="L378" s="803">
        <v>21802</v>
      </c>
      <c r="M378" s="803"/>
      <c r="N378" s="804">
        <v>51976</v>
      </c>
      <c r="O378" s="804">
        <v>479765</v>
      </c>
      <c r="P378" s="804">
        <v>0</v>
      </c>
      <c r="Q378" s="803">
        <v>26554</v>
      </c>
      <c r="R378" s="803"/>
      <c r="S378" s="804">
        <v>396464</v>
      </c>
      <c r="T378" s="805">
        <v>1748</v>
      </c>
      <c r="U378" s="805">
        <v>398212</v>
      </c>
    </row>
    <row r="379" spans="1:21" x14ac:dyDescent="0.25">
      <c r="A379" s="800">
        <v>93913</v>
      </c>
      <c r="B379" s="801" t="s">
        <v>3017</v>
      </c>
      <c r="C379" s="802">
        <v>6.2600000000000004E-5</v>
      </c>
      <c r="D379" s="802">
        <v>5.5699999999999999E-5</v>
      </c>
      <c r="E379" s="803">
        <v>25969.759999999998</v>
      </c>
      <c r="F379" s="803">
        <v>24998</v>
      </c>
      <c r="G379" s="803">
        <v>132858</v>
      </c>
      <c r="H379" s="803"/>
      <c r="I379" s="804">
        <v>2496</v>
      </c>
      <c r="J379" s="804">
        <v>116426</v>
      </c>
      <c r="K379" s="804">
        <v>9100</v>
      </c>
      <c r="L379" s="803">
        <v>3917</v>
      </c>
      <c r="M379" s="803"/>
      <c r="N379" s="804">
        <v>4655</v>
      </c>
      <c r="O379" s="804">
        <v>42972</v>
      </c>
      <c r="P379" s="804">
        <v>0</v>
      </c>
      <c r="Q379" s="803">
        <v>1335</v>
      </c>
      <c r="R379" s="803"/>
      <c r="S379" s="804">
        <v>35511</v>
      </c>
      <c r="T379" s="805">
        <v>530</v>
      </c>
      <c r="U379" s="805">
        <v>36041</v>
      </c>
    </row>
    <row r="380" spans="1:21" x14ac:dyDescent="0.25">
      <c r="A380" s="800">
        <v>93914</v>
      </c>
      <c r="B380" s="801" t="s">
        <v>3018</v>
      </c>
      <c r="C380" s="802">
        <v>9.0999999999999993E-6</v>
      </c>
      <c r="D380" s="802">
        <v>1.0000000000000001E-5</v>
      </c>
      <c r="E380" s="803">
        <v>5837.72</v>
      </c>
      <c r="F380" s="803">
        <v>4488</v>
      </c>
      <c r="G380" s="803">
        <v>19313</v>
      </c>
      <c r="H380" s="803"/>
      <c r="I380" s="804">
        <v>363</v>
      </c>
      <c r="J380" s="804">
        <v>16925</v>
      </c>
      <c r="K380" s="804">
        <v>1323</v>
      </c>
      <c r="L380" s="803">
        <v>3108</v>
      </c>
      <c r="M380" s="803"/>
      <c r="N380" s="804">
        <v>677</v>
      </c>
      <c r="O380" s="804">
        <v>6247</v>
      </c>
      <c r="P380" s="804">
        <v>0</v>
      </c>
      <c r="Q380" s="803">
        <v>0</v>
      </c>
      <c r="R380" s="803"/>
      <c r="S380" s="804">
        <v>5162</v>
      </c>
      <c r="T380" s="805">
        <v>1124</v>
      </c>
      <c r="U380" s="805">
        <v>6287</v>
      </c>
    </row>
    <row r="381" spans="1:21" x14ac:dyDescent="0.25">
      <c r="A381" s="800">
        <v>93921</v>
      </c>
      <c r="B381" s="801" t="s">
        <v>3019</v>
      </c>
      <c r="C381" s="802">
        <v>2.7139999999999998E-4</v>
      </c>
      <c r="D381" s="802">
        <v>2.8130000000000001E-4</v>
      </c>
      <c r="E381" s="803">
        <v>109806.1</v>
      </c>
      <c r="F381" s="803">
        <v>126246</v>
      </c>
      <c r="G381" s="803">
        <v>576002</v>
      </c>
      <c r="H381" s="803"/>
      <c r="I381" s="804">
        <v>10822</v>
      </c>
      <c r="J381" s="804">
        <v>504761</v>
      </c>
      <c r="K381" s="804">
        <v>39451</v>
      </c>
      <c r="L381" s="803">
        <v>14895</v>
      </c>
      <c r="M381" s="803"/>
      <c r="N381" s="804">
        <v>20184</v>
      </c>
      <c r="O381" s="804">
        <v>186305</v>
      </c>
      <c r="P381" s="804">
        <v>0</v>
      </c>
      <c r="Q381" s="803">
        <v>6797</v>
      </c>
      <c r="R381" s="803"/>
      <c r="S381" s="804">
        <v>153957</v>
      </c>
      <c r="T381" s="805">
        <v>4443</v>
      </c>
      <c r="U381" s="805">
        <v>158400</v>
      </c>
    </row>
    <row r="382" spans="1:21" x14ac:dyDescent="0.25">
      <c r="A382" s="800">
        <v>93931</v>
      </c>
      <c r="B382" s="801" t="s">
        <v>3020</v>
      </c>
      <c r="C382" s="802">
        <v>5.2260000000000002E-4</v>
      </c>
      <c r="D382" s="802">
        <v>5.1309999999999995E-4</v>
      </c>
      <c r="E382" s="803">
        <v>190729</v>
      </c>
      <c r="F382" s="803">
        <v>230276</v>
      </c>
      <c r="G382" s="803">
        <v>1109132</v>
      </c>
      <c r="H382" s="803"/>
      <c r="I382" s="804">
        <v>20839</v>
      </c>
      <c r="J382" s="804">
        <v>971953</v>
      </c>
      <c r="K382" s="804">
        <v>75966</v>
      </c>
      <c r="L382" s="803">
        <v>197494</v>
      </c>
      <c r="M382" s="803"/>
      <c r="N382" s="804">
        <v>38865</v>
      </c>
      <c r="O382" s="804">
        <v>358743</v>
      </c>
      <c r="P382" s="804">
        <v>0</v>
      </c>
      <c r="Q382" s="803">
        <v>14064</v>
      </c>
      <c r="R382" s="803"/>
      <c r="S382" s="804">
        <v>296455</v>
      </c>
      <c r="T382" s="805">
        <v>86279</v>
      </c>
      <c r="U382" s="805">
        <v>382733</v>
      </c>
    </row>
    <row r="383" spans="1:21" x14ac:dyDescent="0.25">
      <c r="A383" s="800">
        <v>94001</v>
      </c>
      <c r="B383" s="801" t="s">
        <v>3021</v>
      </c>
      <c r="C383" s="802">
        <v>9.0240000000000003E-4</v>
      </c>
      <c r="D383" s="802">
        <v>8.1820000000000005E-4</v>
      </c>
      <c r="E383" s="803">
        <v>359460</v>
      </c>
      <c r="F383" s="803">
        <v>367203</v>
      </c>
      <c r="G383" s="803">
        <v>1915195</v>
      </c>
      <c r="H383" s="803"/>
      <c r="I383" s="804">
        <v>35983</v>
      </c>
      <c r="J383" s="804">
        <v>1678321</v>
      </c>
      <c r="K383" s="804">
        <v>131174</v>
      </c>
      <c r="L383" s="803">
        <v>36363</v>
      </c>
      <c r="M383" s="803"/>
      <c r="N383" s="804">
        <v>67111</v>
      </c>
      <c r="O383" s="804">
        <v>619460</v>
      </c>
      <c r="P383" s="804">
        <v>0</v>
      </c>
      <c r="Q383" s="803">
        <v>53646</v>
      </c>
      <c r="R383" s="803"/>
      <c r="S383" s="804">
        <v>511904</v>
      </c>
      <c r="T383" s="805">
        <v>-17058</v>
      </c>
      <c r="U383" s="805">
        <v>494846</v>
      </c>
    </row>
    <row r="384" spans="1:21" x14ac:dyDescent="0.25">
      <c r="A384" s="800">
        <v>94002</v>
      </c>
      <c r="B384" s="801" t="s">
        <v>3022</v>
      </c>
      <c r="C384" s="802">
        <v>7.6000000000000001E-6</v>
      </c>
      <c r="D384" s="802">
        <v>8.3000000000000002E-6</v>
      </c>
      <c r="E384" s="803">
        <v>4360</v>
      </c>
      <c r="F384" s="803">
        <v>3725</v>
      </c>
      <c r="G384" s="803">
        <v>16130</v>
      </c>
      <c r="H384" s="803"/>
      <c r="I384" s="804">
        <v>303.05</v>
      </c>
      <c r="J384" s="804">
        <v>14135</v>
      </c>
      <c r="K384" s="804">
        <v>1105</v>
      </c>
      <c r="L384" s="803">
        <v>867</v>
      </c>
      <c r="M384" s="803"/>
      <c r="N384" s="804">
        <v>565</v>
      </c>
      <c r="O384" s="804">
        <v>5217</v>
      </c>
      <c r="P384" s="804">
        <v>0</v>
      </c>
      <c r="Q384" s="803">
        <v>430</v>
      </c>
      <c r="R384" s="803"/>
      <c r="S384" s="804">
        <v>4311</v>
      </c>
      <c r="T384" s="805">
        <v>34</v>
      </c>
      <c r="U384" s="805">
        <v>4345</v>
      </c>
    </row>
    <row r="385" spans="1:21" x14ac:dyDescent="0.25">
      <c r="A385" s="800">
        <v>94004</v>
      </c>
      <c r="B385" s="801" t="s">
        <v>3023</v>
      </c>
      <c r="C385" s="802">
        <v>2.7999999999999999E-6</v>
      </c>
      <c r="D385" s="802">
        <v>2.2000000000000001E-6</v>
      </c>
      <c r="E385" s="803">
        <v>2638.89</v>
      </c>
      <c r="F385" s="803">
        <v>987</v>
      </c>
      <c r="G385" s="803">
        <v>5943</v>
      </c>
      <c r="H385" s="803"/>
      <c r="I385" s="804">
        <v>112</v>
      </c>
      <c r="J385" s="804">
        <v>5208</v>
      </c>
      <c r="K385" s="804">
        <v>407</v>
      </c>
      <c r="L385" s="803">
        <v>1506</v>
      </c>
      <c r="M385" s="803"/>
      <c r="N385" s="804">
        <v>208</v>
      </c>
      <c r="O385" s="804">
        <v>1922</v>
      </c>
      <c r="P385" s="804">
        <v>0</v>
      </c>
      <c r="Q385" s="803">
        <v>1224</v>
      </c>
      <c r="R385" s="803"/>
      <c r="S385" s="804">
        <v>1588</v>
      </c>
      <c r="T385" s="805">
        <v>-207</v>
      </c>
      <c r="U385" s="805">
        <v>1381</v>
      </c>
    </row>
    <row r="386" spans="1:21" x14ac:dyDescent="0.25">
      <c r="A386" s="800">
        <v>94005</v>
      </c>
      <c r="B386" s="801" t="s">
        <v>3024</v>
      </c>
      <c r="C386" s="802">
        <v>5.4999999999999999E-6</v>
      </c>
      <c r="D386" s="802">
        <v>6.2999999999999998E-6</v>
      </c>
      <c r="E386" s="803">
        <v>0</v>
      </c>
      <c r="F386" s="803">
        <v>2827</v>
      </c>
      <c r="G386" s="803">
        <v>11673</v>
      </c>
      <c r="H386" s="803"/>
      <c r="I386" s="804">
        <v>219.3125</v>
      </c>
      <c r="J386" s="804">
        <v>10229</v>
      </c>
      <c r="K386" s="804">
        <v>799</v>
      </c>
      <c r="L386" s="803">
        <v>0</v>
      </c>
      <c r="M386" s="803"/>
      <c r="N386" s="804">
        <v>409</v>
      </c>
      <c r="O386" s="804">
        <v>3776</v>
      </c>
      <c r="P386" s="804">
        <v>0</v>
      </c>
      <c r="Q386" s="803">
        <v>3798</v>
      </c>
      <c r="R386" s="803"/>
      <c r="S386" s="804">
        <v>3120</v>
      </c>
      <c r="T386" s="805">
        <v>-1174</v>
      </c>
      <c r="U386" s="805">
        <v>1946</v>
      </c>
    </row>
    <row r="387" spans="1:21" x14ac:dyDescent="0.25">
      <c r="A387" s="800">
        <v>94011</v>
      </c>
      <c r="B387" s="801" t="s">
        <v>3025</v>
      </c>
      <c r="C387" s="802">
        <v>2.5599999999999999E-5</v>
      </c>
      <c r="D387" s="802">
        <v>1.3900000000000001E-5</v>
      </c>
      <c r="E387" s="803">
        <v>8013.12</v>
      </c>
      <c r="F387" s="803">
        <v>6238</v>
      </c>
      <c r="G387" s="803">
        <v>54332</v>
      </c>
      <c r="H387" s="803"/>
      <c r="I387" s="804">
        <v>1020.8</v>
      </c>
      <c r="J387" s="804">
        <v>47612</v>
      </c>
      <c r="K387" s="804">
        <v>3721</v>
      </c>
      <c r="L387" s="803">
        <v>4341</v>
      </c>
      <c r="M387" s="803"/>
      <c r="N387" s="804">
        <v>1904</v>
      </c>
      <c r="O387" s="804">
        <v>17573</v>
      </c>
      <c r="P387" s="804">
        <v>0</v>
      </c>
      <c r="Q387" s="803">
        <v>1019</v>
      </c>
      <c r="R387" s="803"/>
      <c r="S387" s="804">
        <v>14522</v>
      </c>
      <c r="T387" s="805">
        <v>639</v>
      </c>
      <c r="U387" s="805">
        <v>15161</v>
      </c>
    </row>
    <row r="388" spans="1:21" x14ac:dyDescent="0.25">
      <c r="A388" s="800">
        <v>94021</v>
      </c>
      <c r="B388" s="801" t="s">
        <v>3026</v>
      </c>
      <c r="C388" s="802">
        <v>8.1699999999999994E-5</v>
      </c>
      <c r="D388" s="802">
        <v>7.6899999999999999E-5</v>
      </c>
      <c r="E388" s="803">
        <v>34891</v>
      </c>
      <c r="F388" s="803">
        <v>34512</v>
      </c>
      <c r="G388" s="803">
        <v>173395</v>
      </c>
      <c r="H388" s="803"/>
      <c r="I388" s="804">
        <v>3258</v>
      </c>
      <c r="J388" s="804">
        <v>151949</v>
      </c>
      <c r="K388" s="804">
        <v>11876</v>
      </c>
      <c r="L388" s="803">
        <v>14318</v>
      </c>
      <c r="M388" s="803"/>
      <c r="N388" s="804">
        <v>6076</v>
      </c>
      <c r="O388" s="804">
        <v>56084</v>
      </c>
      <c r="P388" s="804">
        <v>0</v>
      </c>
      <c r="Q388" s="803">
        <v>0</v>
      </c>
      <c r="R388" s="803"/>
      <c r="S388" s="804">
        <v>46346</v>
      </c>
      <c r="T388" s="805">
        <v>5712</v>
      </c>
      <c r="U388" s="805">
        <v>52058</v>
      </c>
    </row>
    <row r="389" spans="1:21" x14ac:dyDescent="0.25">
      <c r="A389" s="800">
        <v>94031</v>
      </c>
      <c r="B389" s="801" t="s">
        <v>3027</v>
      </c>
      <c r="C389" s="802">
        <v>8.1000000000000004E-6</v>
      </c>
      <c r="D389" s="802">
        <v>6.9E-6</v>
      </c>
      <c r="E389" s="803">
        <v>7705.65</v>
      </c>
      <c r="F389" s="803">
        <v>3097</v>
      </c>
      <c r="G389" s="803">
        <v>17191</v>
      </c>
      <c r="H389" s="803"/>
      <c r="I389" s="804">
        <v>322.98750000000001</v>
      </c>
      <c r="J389" s="804">
        <v>15065</v>
      </c>
      <c r="K389" s="804">
        <v>1177</v>
      </c>
      <c r="L389" s="803">
        <v>8044</v>
      </c>
      <c r="M389" s="803"/>
      <c r="N389" s="804">
        <v>602</v>
      </c>
      <c r="O389" s="804">
        <v>5560</v>
      </c>
      <c r="P389" s="804">
        <v>0</v>
      </c>
      <c r="Q389" s="803">
        <v>81.59</v>
      </c>
      <c r="R389" s="803"/>
      <c r="S389" s="804">
        <v>4595</v>
      </c>
      <c r="T389" s="805">
        <v>2417</v>
      </c>
      <c r="U389" s="805">
        <v>7012</v>
      </c>
    </row>
    <row r="390" spans="1:21" x14ac:dyDescent="0.25">
      <c r="A390" s="800">
        <v>94101</v>
      </c>
      <c r="B390" s="801" t="s">
        <v>3028</v>
      </c>
      <c r="C390" s="802">
        <v>1.85028E-2</v>
      </c>
      <c r="D390" s="802">
        <v>1.9464599999999999E-2</v>
      </c>
      <c r="E390" s="803">
        <v>7542806</v>
      </c>
      <c r="F390" s="803">
        <v>8735596</v>
      </c>
      <c r="G390" s="803">
        <v>39269140</v>
      </c>
      <c r="H390" s="803"/>
      <c r="I390" s="804">
        <v>737799.15</v>
      </c>
      <c r="J390" s="804">
        <v>34412285</v>
      </c>
      <c r="K390" s="804">
        <v>2689586</v>
      </c>
      <c r="L390" s="803">
        <v>420795</v>
      </c>
      <c r="M390" s="803"/>
      <c r="N390" s="804">
        <v>1376035</v>
      </c>
      <c r="O390" s="804">
        <v>12701395</v>
      </c>
      <c r="P390" s="804">
        <v>0</v>
      </c>
      <c r="Q390" s="803">
        <v>1094802</v>
      </c>
      <c r="R390" s="803"/>
      <c r="S390" s="804">
        <v>10496065</v>
      </c>
      <c r="T390" s="805">
        <v>-261265</v>
      </c>
      <c r="U390" s="805">
        <v>10234799</v>
      </c>
    </row>
    <row r="391" spans="1:21" x14ac:dyDescent="0.25">
      <c r="A391" s="800">
        <v>94102</v>
      </c>
      <c r="B391" s="801" t="s">
        <v>3029</v>
      </c>
      <c r="C391" s="802">
        <v>2.7569999999999998E-4</v>
      </c>
      <c r="D391" s="802">
        <v>2.7809999999999998E-4</v>
      </c>
      <c r="E391" s="803">
        <v>89848.97</v>
      </c>
      <c r="F391" s="803">
        <v>124810</v>
      </c>
      <c r="G391" s="803">
        <v>585128</v>
      </c>
      <c r="H391" s="803"/>
      <c r="I391" s="804">
        <v>10994</v>
      </c>
      <c r="J391" s="804">
        <v>512758</v>
      </c>
      <c r="K391" s="804">
        <v>40076</v>
      </c>
      <c r="L391" s="803">
        <v>5166</v>
      </c>
      <c r="M391" s="803"/>
      <c r="N391" s="804">
        <v>20504</v>
      </c>
      <c r="O391" s="804">
        <v>189256</v>
      </c>
      <c r="P391" s="804">
        <v>0</v>
      </c>
      <c r="Q391" s="803">
        <v>36634</v>
      </c>
      <c r="R391" s="803"/>
      <c r="S391" s="804">
        <v>156396</v>
      </c>
      <c r="T391" s="805">
        <v>-8485</v>
      </c>
      <c r="U391" s="805">
        <v>147911</v>
      </c>
    </row>
    <row r="392" spans="1:21" x14ac:dyDescent="0.25">
      <c r="A392" s="800">
        <v>94108</v>
      </c>
      <c r="B392" s="801" t="s">
        <v>3030</v>
      </c>
      <c r="C392" s="802">
        <v>3.1809999999999998E-4</v>
      </c>
      <c r="D392" s="802">
        <v>3.991E-4</v>
      </c>
      <c r="E392" s="803">
        <v>100948</v>
      </c>
      <c r="F392" s="803">
        <v>179114</v>
      </c>
      <c r="G392" s="803">
        <v>675115</v>
      </c>
      <c r="H392" s="803"/>
      <c r="I392" s="804">
        <v>12684</v>
      </c>
      <c r="J392" s="804">
        <v>591616</v>
      </c>
      <c r="K392" s="804">
        <v>46239</v>
      </c>
      <c r="L392" s="803">
        <v>0</v>
      </c>
      <c r="M392" s="803"/>
      <c r="N392" s="804">
        <v>23657</v>
      </c>
      <c r="O392" s="804">
        <v>218362</v>
      </c>
      <c r="P392" s="804">
        <v>0</v>
      </c>
      <c r="Q392" s="803">
        <v>121376</v>
      </c>
      <c r="R392" s="803"/>
      <c r="S392" s="804">
        <v>180448</v>
      </c>
      <c r="T392" s="805">
        <v>-40521</v>
      </c>
      <c r="U392" s="805">
        <v>139927</v>
      </c>
    </row>
    <row r="393" spans="1:21" x14ac:dyDescent="0.25">
      <c r="A393" s="800">
        <v>94109</v>
      </c>
      <c r="B393" s="801" t="s">
        <v>3031</v>
      </c>
      <c r="C393" s="802">
        <v>1.0399999999999999E-4</v>
      </c>
      <c r="D393" s="802">
        <v>1.359E-4</v>
      </c>
      <c r="E393" s="803">
        <v>30807.5</v>
      </c>
      <c r="F393" s="803">
        <v>60991</v>
      </c>
      <c r="G393" s="803">
        <v>220722.84</v>
      </c>
      <c r="H393" s="803"/>
      <c r="I393" s="804">
        <v>4147</v>
      </c>
      <c r="J393" s="804">
        <v>193424</v>
      </c>
      <c r="K393" s="804">
        <v>15118</v>
      </c>
      <c r="L393" s="803">
        <v>1600</v>
      </c>
      <c r="M393" s="803"/>
      <c r="N393" s="804">
        <v>7734</v>
      </c>
      <c r="O393" s="804">
        <v>71392</v>
      </c>
      <c r="P393" s="804">
        <v>0</v>
      </c>
      <c r="Q393" s="803">
        <v>33989</v>
      </c>
      <c r="R393" s="803"/>
      <c r="S393" s="804">
        <v>58996</v>
      </c>
      <c r="T393" s="805">
        <v>-8690</v>
      </c>
      <c r="U393" s="805">
        <v>50306</v>
      </c>
    </row>
    <row r="394" spans="1:21" x14ac:dyDescent="0.25">
      <c r="A394" s="800">
        <v>94111</v>
      </c>
      <c r="B394" s="801" t="s">
        <v>3032</v>
      </c>
      <c r="C394" s="802">
        <v>2.5623300000000002E-2</v>
      </c>
      <c r="D394" s="802">
        <v>2.7054000000000002E-2</v>
      </c>
      <c r="E394" s="803">
        <v>10028319</v>
      </c>
      <c r="F394" s="803">
        <v>12141673</v>
      </c>
      <c r="G394" s="803">
        <v>54381226</v>
      </c>
      <c r="H394" s="803"/>
      <c r="I394" s="804">
        <v>1021729</v>
      </c>
      <c r="J394" s="804">
        <v>47655290</v>
      </c>
      <c r="K394" s="804">
        <v>3724629</v>
      </c>
      <c r="L394" s="803">
        <v>15132</v>
      </c>
      <c r="M394" s="803"/>
      <c r="N394" s="804">
        <v>1905579</v>
      </c>
      <c r="O394" s="804">
        <v>17589319</v>
      </c>
      <c r="P394" s="804">
        <v>0</v>
      </c>
      <c r="Q394" s="803">
        <v>1552982</v>
      </c>
      <c r="R394" s="803"/>
      <c r="S394" s="804">
        <v>14535304</v>
      </c>
      <c r="T394" s="805">
        <v>-430419</v>
      </c>
      <c r="U394" s="805">
        <v>14104885</v>
      </c>
    </row>
    <row r="395" spans="1:21" x14ac:dyDescent="0.25">
      <c r="A395" s="800">
        <v>94112</v>
      </c>
      <c r="B395" s="801" t="s">
        <v>3033</v>
      </c>
      <c r="C395" s="802">
        <v>1.6530000000000001E-4</v>
      </c>
      <c r="D395" s="802">
        <v>1.6909999999999999E-4</v>
      </c>
      <c r="E395" s="803">
        <v>58678.14</v>
      </c>
      <c r="F395" s="803">
        <v>75891</v>
      </c>
      <c r="G395" s="803">
        <v>350822</v>
      </c>
      <c r="H395" s="803"/>
      <c r="I395" s="804">
        <v>6591</v>
      </c>
      <c r="J395" s="804">
        <v>307432</v>
      </c>
      <c r="K395" s="804">
        <v>24028</v>
      </c>
      <c r="L395" s="803">
        <v>0</v>
      </c>
      <c r="M395" s="803"/>
      <c r="N395" s="804">
        <v>12293</v>
      </c>
      <c r="O395" s="804">
        <v>113472</v>
      </c>
      <c r="P395" s="804">
        <v>0</v>
      </c>
      <c r="Q395" s="803">
        <v>20904</v>
      </c>
      <c r="R395" s="803"/>
      <c r="S395" s="804">
        <v>93770</v>
      </c>
      <c r="T395" s="805">
        <v>-7213</v>
      </c>
      <c r="U395" s="805">
        <v>86557</v>
      </c>
    </row>
    <row r="396" spans="1:21" x14ac:dyDescent="0.25">
      <c r="A396" s="800">
        <v>94117</v>
      </c>
      <c r="B396" s="801" t="s">
        <v>3034</v>
      </c>
      <c r="C396" s="802">
        <v>4.0709999999999997E-4</v>
      </c>
      <c r="D396" s="802">
        <v>4.17E-4</v>
      </c>
      <c r="E396" s="803">
        <v>162038</v>
      </c>
      <c r="F396" s="803">
        <v>187147</v>
      </c>
      <c r="G396" s="803">
        <v>864003</v>
      </c>
      <c r="H396" s="803"/>
      <c r="I396" s="804">
        <v>16233</v>
      </c>
      <c r="J396" s="804">
        <v>757142</v>
      </c>
      <c r="K396" s="804">
        <v>59176</v>
      </c>
      <c r="L396" s="803">
        <v>12662</v>
      </c>
      <c r="M396" s="803"/>
      <c r="N396" s="804">
        <v>30276</v>
      </c>
      <c r="O396" s="804">
        <v>279457</v>
      </c>
      <c r="P396" s="804">
        <v>0</v>
      </c>
      <c r="Q396" s="803">
        <v>9635</v>
      </c>
      <c r="R396" s="803"/>
      <c r="S396" s="804">
        <v>230935</v>
      </c>
      <c r="T396" s="805">
        <v>2033</v>
      </c>
      <c r="U396" s="805">
        <v>232968</v>
      </c>
    </row>
    <row r="397" spans="1:21" x14ac:dyDescent="0.25">
      <c r="A397" s="800">
        <v>94118</v>
      </c>
      <c r="B397" s="801" t="s">
        <v>3035</v>
      </c>
      <c r="C397" s="802">
        <v>1.63E-4</v>
      </c>
      <c r="D397" s="802">
        <v>1.918E-4</v>
      </c>
      <c r="E397" s="803">
        <v>53076</v>
      </c>
      <c r="F397" s="803">
        <v>86079</v>
      </c>
      <c r="G397" s="803">
        <v>345941</v>
      </c>
      <c r="H397" s="803"/>
      <c r="I397" s="804">
        <v>6499.625</v>
      </c>
      <c r="J397" s="804">
        <v>303154</v>
      </c>
      <c r="K397" s="804">
        <v>23694</v>
      </c>
      <c r="L397" s="803">
        <v>0</v>
      </c>
      <c r="M397" s="803"/>
      <c r="N397" s="804">
        <v>12122</v>
      </c>
      <c r="O397" s="804">
        <v>111893</v>
      </c>
      <c r="P397" s="804">
        <v>0</v>
      </c>
      <c r="Q397" s="803">
        <v>58615</v>
      </c>
      <c r="R397" s="803"/>
      <c r="S397" s="804">
        <v>92465</v>
      </c>
      <c r="T397" s="805">
        <v>-20217</v>
      </c>
      <c r="U397" s="805">
        <v>72248</v>
      </c>
    </row>
    <row r="398" spans="1:21" x14ac:dyDescent="0.25">
      <c r="A398" s="800">
        <v>94121</v>
      </c>
      <c r="B398" s="801" t="s">
        <v>3036</v>
      </c>
      <c r="C398" s="802">
        <v>1.12823E-2</v>
      </c>
      <c r="D398" s="802">
        <v>1.20112E-2</v>
      </c>
      <c r="E398" s="803">
        <v>4810509.83</v>
      </c>
      <c r="F398" s="803">
        <v>5390554</v>
      </c>
      <c r="G398" s="803">
        <v>23944820</v>
      </c>
      <c r="H398" s="803"/>
      <c r="I398" s="804">
        <v>449882</v>
      </c>
      <c r="J398" s="804">
        <v>20983295</v>
      </c>
      <c r="K398" s="804">
        <v>1640006</v>
      </c>
      <c r="L398" s="803">
        <v>42878</v>
      </c>
      <c r="M398" s="803"/>
      <c r="N398" s="804">
        <v>839053</v>
      </c>
      <c r="O398" s="804">
        <v>7744825</v>
      </c>
      <c r="P398" s="804">
        <v>0</v>
      </c>
      <c r="Q398" s="803">
        <v>429585</v>
      </c>
      <c r="R398" s="803"/>
      <c r="S398" s="804">
        <v>6400099</v>
      </c>
      <c r="T398" s="805">
        <v>-137554</v>
      </c>
      <c r="U398" s="805">
        <v>6262545</v>
      </c>
    </row>
    <row r="399" spans="1:21" x14ac:dyDescent="0.25">
      <c r="A399" s="800">
        <v>94127</v>
      </c>
      <c r="B399" s="801" t="s">
        <v>3037</v>
      </c>
      <c r="C399" s="802">
        <v>1.528E-4</v>
      </c>
      <c r="D399" s="802">
        <v>1.4530000000000001E-4</v>
      </c>
      <c r="E399" s="803">
        <v>61108</v>
      </c>
      <c r="F399" s="803">
        <v>65210</v>
      </c>
      <c r="G399" s="803">
        <v>324293</v>
      </c>
      <c r="H399" s="803"/>
      <c r="I399" s="804">
        <v>6092.9</v>
      </c>
      <c r="J399" s="804">
        <v>284184</v>
      </c>
      <c r="K399" s="804">
        <v>22211</v>
      </c>
      <c r="L399" s="803">
        <v>3883</v>
      </c>
      <c r="M399" s="803"/>
      <c r="N399" s="804">
        <v>11364</v>
      </c>
      <c r="O399" s="804">
        <v>104891</v>
      </c>
      <c r="P399" s="804">
        <v>0</v>
      </c>
      <c r="Q399" s="803">
        <v>617</v>
      </c>
      <c r="R399" s="803"/>
      <c r="S399" s="804">
        <v>86679</v>
      </c>
      <c r="T399" s="805">
        <v>1078</v>
      </c>
      <c r="U399" s="805">
        <v>87756</v>
      </c>
    </row>
    <row r="400" spans="1:21" x14ac:dyDescent="0.25">
      <c r="A400" s="800">
        <v>94131</v>
      </c>
      <c r="B400" s="801" t="s">
        <v>3038</v>
      </c>
      <c r="C400" s="802">
        <v>2.0049999999999999E-4</v>
      </c>
      <c r="D400" s="802">
        <v>2.0120000000000001E-4</v>
      </c>
      <c r="E400" s="803">
        <v>83859.38</v>
      </c>
      <c r="F400" s="803">
        <v>90297</v>
      </c>
      <c r="G400" s="803">
        <v>425528</v>
      </c>
      <c r="H400" s="803"/>
      <c r="I400" s="804">
        <v>7994.9375</v>
      </c>
      <c r="J400" s="804">
        <v>372898</v>
      </c>
      <c r="K400" s="804">
        <v>29145</v>
      </c>
      <c r="L400" s="803">
        <v>4546</v>
      </c>
      <c r="M400" s="803"/>
      <c r="N400" s="804">
        <v>14911</v>
      </c>
      <c r="O400" s="804">
        <v>137635</v>
      </c>
      <c r="P400" s="804">
        <v>0</v>
      </c>
      <c r="Q400" s="803">
        <v>1120</v>
      </c>
      <c r="R400" s="803"/>
      <c r="S400" s="804">
        <v>113737</v>
      </c>
      <c r="T400" s="805">
        <v>979</v>
      </c>
      <c r="U400" s="805">
        <v>114716</v>
      </c>
    </row>
    <row r="401" spans="1:21" x14ac:dyDescent="0.25">
      <c r="A401" s="800">
        <v>94151</v>
      </c>
      <c r="B401" s="801" t="s">
        <v>3039</v>
      </c>
      <c r="C401" s="802">
        <v>4.2870000000000001E-4</v>
      </c>
      <c r="D401" s="802">
        <v>4.0200000000000001E-4</v>
      </c>
      <c r="E401" s="803">
        <v>148093.01</v>
      </c>
      <c r="F401" s="803">
        <v>180415</v>
      </c>
      <c r="G401" s="803">
        <v>909845</v>
      </c>
      <c r="H401" s="803"/>
      <c r="I401" s="804">
        <v>17094</v>
      </c>
      <c r="J401" s="804">
        <v>797314</v>
      </c>
      <c r="K401" s="804">
        <v>62316</v>
      </c>
      <c r="L401" s="803">
        <v>0</v>
      </c>
      <c r="M401" s="803"/>
      <c r="N401" s="804">
        <v>31882</v>
      </c>
      <c r="O401" s="804">
        <v>294285</v>
      </c>
      <c r="P401" s="804">
        <v>0</v>
      </c>
      <c r="Q401" s="803">
        <v>19133</v>
      </c>
      <c r="R401" s="803"/>
      <c r="S401" s="804">
        <v>243188</v>
      </c>
      <c r="T401" s="805">
        <v>-6795</v>
      </c>
      <c r="U401" s="805">
        <v>236393</v>
      </c>
    </row>
    <row r="402" spans="1:21" x14ac:dyDescent="0.25">
      <c r="A402" s="800">
        <v>94157</v>
      </c>
      <c r="B402" s="801" t="s">
        <v>3040</v>
      </c>
      <c r="C402" s="802">
        <v>9.3999999999999998E-6</v>
      </c>
      <c r="D402" s="802">
        <v>8.1999999999999994E-6</v>
      </c>
      <c r="E402" s="803">
        <v>4973</v>
      </c>
      <c r="F402" s="803">
        <v>3680</v>
      </c>
      <c r="G402" s="803">
        <v>19950</v>
      </c>
      <c r="H402" s="803"/>
      <c r="I402" s="804">
        <v>374.82499999999999</v>
      </c>
      <c r="J402" s="804">
        <v>17483</v>
      </c>
      <c r="K402" s="804">
        <v>1366</v>
      </c>
      <c r="L402" s="803">
        <v>5150</v>
      </c>
      <c r="M402" s="803"/>
      <c r="N402" s="804">
        <v>699</v>
      </c>
      <c r="O402" s="804">
        <v>6453</v>
      </c>
      <c r="P402" s="804">
        <v>0</v>
      </c>
      <c r="Q402" s="803">
        <v>0</v>
      </c>
      <c r="R402" s="803"/>
      <c r="S402" s="804">
        <v>5332</v>
      </c>
      <c r="T402" s="805">
        <v>1947</v>
      </c>
      <c r="U402" s="805">
        <v>7280</v>
      </c>
    </row>
    <row r="403" spans="1:21" x14ac:dyDescent="0.25">
      <c r="A403" s="800">
        <v>94161</v>
      </c>
      <c r="B403" s="801" t="s">
        <v>3041</v>
      </c>
      <c r="C403" s="802">
        <v>5.7899999999999998E-5</v>
      </c>
      <c r="D403" s="802">
        <v>5.3000000000000001E-5</v>
      </c>
      <c r="E403" s="803">
        <v>21890.33</v>
      </c>
      <c r="F403" s="803">
        <v>23786</v>
      </c>
      <c r="G403" s="803">
        <v>122883</v>
      </c>
      <c r="H403" s="803"/>
      <c r="I403" s="804">
        <v>2309</v>
      </c>
      <c r="J403" s="804">
        <v>107685</v>
      </c>
      <c r="K403" s="804">
        <v>8416</v>
      </c>
      <c r="L403" s="803">
        <v>8543</v>
      </c>
      <c r="M403" s="803"/>
      <c r="N403" s="804">
        <v>4306</v>
      </c>
      <c r="O403" s="804">
        <v>39746</v>
      </c>
      <c r="P403" s="804">
        <v>0</v>
      </c>
      <c r="Q403" s="803">
        <v>0</v>
      </c>
      <c r="R403" s="803"/>
      <c r="S403" s="804">
        <v>32845</v>
      </c>
      <c r="T403" s="805">
        <v>3088</v>
      </c>
      <c r="U403" s="805">
        <v>35933</v>
      </c>
    </row>
    <row r="404" spans="1:21" x14ac:dyDescent="0.25">
      <c r="A404" s="800">
        <v>94168</v>
      </c>
      <c r="B404" s="801" t="s">
        <v>3042</v>
      </c>
      <c r="C404" s="802">
        <v>3.4E-5</v>
      </c>
      <c r="D404" s="802">
        <v>4.18E-5</v>
      </c>
      <c r="E404" s="803">
        <v>12127.4</v>
      </c>
      <c r="F404" s="803">
        <v>18760</v>
      </c>
      <c r="G404" s="803">
        <v>72159.39</v>
      </c>
      <c r="H404" s="803"/>
      <c r="I404" s="804">
        <v>1355.75</v>
      </c>
      <c r="J404" s="804">
        <v>63235</v>
      </c>
      <c r="K404" s="804">
        <v>4942</v>
      </c>
      <c r="L404" s="803">
        <v>0</v>
      </c>
      <c r="M404" s="803"/>
      <c r="N404" s="804">
        <v>2529</v>
      </c>
      <c r="O404" s="804">
        <v>23340</v>
      </c>
      <c r="P404" s="804">
        <v>0</v>
      </c>
      <c r="Q404" s="803">
        <v>13113</v>
      </c>
      <c r="R404" s="803"/>
      <c r="S404" s="804">
        <v>19287</v>
      </c>
      <c r="T404" s="805">
        <v>-4643</v>
      </c>
      <c r="U404" s="805">
        <v>14644</v>
      </c>
    </row>
    <row r="405" spans="1:21" x14ac:dyDescent="0.25">
      <c r="A405" s="800">
        <v>94171</v>
      </c>
      <c r="B405" s="801" t="s">
        <v>3043</v>
      </c>
      <c r="C405" s="802">
        <v>5.5000000000000002E-5</v>
      </c>
      <c r="D405" s="802">
        <v>5.1100000000000002E-5</v>
      </c>
      <c r="E405" s="803">
        <v>21113.95</v>
      </c>
      <c r="F405" s="803">
        <v>22933</v>
      </c>
      <c r="G405" s="803">
        <v>116728</v>
      </c>
      <c r="H405" s="803"/>
      <c r="I405" s="804">
        <v>2193.125</v>
      </c>
      <c r="J405" s="804">
        <v>102291.31</v>
      </c>
      <c r="K405" s="804">
        <v>7995</v>
      </c>
      <c r="L405" s="803">
        <v>6490</v>
      </c>
      <c r="M405" s="803"/>
      <c r="N405" s="804">
        <v>4090</v>
      </c>
      <c r="O405" s="804">
        <v>37755.19</v>
      </c>
      <c r="P405" s="804">
        <v>0</v>
      </c>
      <c r="Q405" s="803">
        <v>1733</v>
      </c>
      <c r="R405" s="803"/>
      <c r="S405" s="804">
        <v>31200</v>
      </c>
      <c r="T405" s="805">
        <v>1343</v>
      </c>
      <c r="U405" s="805">
        <v>32542</v>
      </c>
    </row>
    <row r="406" spans="1:21" x14ac:dyDescent="0.25">
      <c r="A406" s="800">
        <v>94172</v>
      </c>
      <c r="B406" s="801" t="s">
        <v>3044</v>
      </c>
      <c r="C406" s="802">
        <v>2.6699999999999998E-4</v>
      </c>
      <c r="D406" s="802">
        <v>3.1379999999999998E-4</v>
      </c>
      <c r="E406" s="803">
        <v>80979</v>
      </c>
      <c r="F406" s="803">
        <v>140832</v>
      </c>
      <c r="G406" s="803">
        <v>566663</v>
      </c>
      <c r="H406" s="803"/>
      <c r="I406" s="804">
        <v>10646.625</v>
      </c>
      <c r="J406" s="804">
        <v>496578</v>
      </c>
      <c r="K406" s="804">
        <v>38811</v>
      </c>
      <c r="L406" s="803">
        <v>0</v>
      </c>
      <c r="M406" s="803"/>
      <c r="N406" s="804">
        <v>19857</v>
      </c>
      <c r="O406" s="804">
        <v>183284</v>
      </c>
      <c r="P406" s="804">
        <v>0</v>
      </c>
      <c r="Q406" s="803">
        <v>98660</v>
      </c>
      <c r="R406" s="803"/>
      <c r="S406" s="804">
        <v>151461</v>
      </c>
      <c r="T406" s="805">
        <v>-34663</v>
      </c>
      <c r="U406" s="805">
        <v>116798</v>
      </c>
    </row>
    <row r="407" spans="1:21" x14ac:dyDescent="0.25">
      <c r="A407" s="800">
        <v>94201</v>
      </c>
      <c r="B407" s="801" t="s">
        <v>3045</v>
      </c>
      <c r="C407" s="802">
        <v>3.4813000000000001E-3</v>
      </c>
      <c r="D407" s="802">
        <v>3.4115E-3</v>
      </c>
      <c r="E407" s="803">
        <v>1407554</v>
      </c>
      <c r="F407" s="803">
        <v>1531061</v>
      </c>
      <c r="G407" s="803">
        <v>7388485</v>
      </c>
      <c r="H407" s="803"/>
      <c r="I407" s="804">
        <v>138817</v>
      </c>
      <c r="J407" s="804">
        <v>6474668</v>
      </c>
      <c r="K407" s="804">
        <v>506045</v>
      </c>
      <c r="L407" s="803">
        <v>56033</v>
      </c>
      <c r="M407" s="803"/>
      <c r="N407" s="804">
        <v>258901</v>
      </c>
      <c r="O407" s="804">
        <v>2389766</v>
      </c>
      <c r="P407" s="804">
        <v>0</v>
      </c>
      <c r="Q407" s="803">
        <v>3701</v>
      </c>
      <c r="R407" s="803"/>
      <c r="S407" s="804">
        <v>1974834</v>
      </c>
      <c r="T407" s="805">
        <v>16227</v>
      </c>
      <c r="U407" s="805">
        <v>1991060</v>
      </c>
    </row>
    <row r="408" spans="1:21" x14ac:dyDescent="0.25">
      <c r="A408" s="800">
        <v>94204</v>
      </c>
      <c r="B408" s="801" t="s">
        <v>3046</v>
      </c>
      <c r="C408" s="802">
        <v>2.4899999999999999E-5</v>
      </c>
      <c r="D408" s="802">
        <v>2.41E-5</v>
      </c>
      <c r="E408" s="803">
        <v>15446</v>
      </c>
      <c r="F408" s="803">
        <v>10816</v>
      </c>
      <c r="G408" s="803">
        <v>52846</v>
      </c>
      <c r="H408" s="803"/>
      <c r="I408" s="804">
        <v>993</v>
      </c>
      <c r="J408" s="804">
        <v>46310</v>
      </c>
      <c r="K408" s="804">
        <v>3619</v>
      </c>
      <c r="L408" s="803">
        <v>10811</v>
      </c>
      <c r="M408" s="803"/>
      <c r="N408" s="804">
        <v>1852</v>
      </c>
      <c r="O408" s="804">
        <v>17093</v>
      </c>
      <c r="P408" s="804">
        <v>0</v>
      </c>
      <c r="Q408" s="803">
        <v>0</v>
      </c>
      <c r="R408" s="803"/>
      <c r="S408" s="804">
        <v>14125</v>
      </c>
      <c r="T408" s="805">
        <v>3721</v>
      </c>
      <c r="U408" s="805">
        <v>17846</v>
      </c>
    </row>
    <row r="409" spans="1:21" x14ac:dyDescent="0.25">
      <c r="A409" s="800">
        <v>94205</v>
      </c>
      <c r="B409" s="801" t="s">
        <v>3047</v>
      </c>
      <c r="C409" s="802">
        <v>2.6100000000000001E-5</v>
      </c>
      <c r="D409" s="802">
        <v>2.6999999999999999E-5</v>
      </c>
      <c r="E409" s="803">
        <v>12435.88</v>
      </c>
      <c r="F409" s="803">
        <v>12117</v>
      </c>
      <c r="G409" s="803">
        <v>55393</v>
      </c>
      <c r="H409" s="803"/>
      <c r="I409" s="804">
        <v>1040.7375</v>
      </c>
      <c r="J409" s="804">
        <v>48542</v>
      </c>
      <c r="K409" s="804">
        <v>3794</v>
      </c>
      <c r="L409" s="803">
        <v>2432</v>
      </c>
      <c r="M409" s="803"/>
      <c r="N409" s="804">
        <v>1941</v>
      </c>
      <c r="O409" s="804">
        <v>17917</v>
      </c>
      <c r="P409" s="804">
        <v>0</v>
      </c>
      <c r="Q409" s="803">
        <v>6726</v>
      </c>
      <c r="R409" s="803"/>
      <c r="S409" s="804">
        <v>14806</v>
      </c>
      <c r="T409" s="805">
        <v>-2600</v>
      </c>
      <c r="U409" s="805">
        <v>12205</v>
      </c>
    </row>
    <row r="410" spans="1:21" x14ac:dyDescent="0.25">
      <c r="A410" s="800">
        <v>94209</v>
      </c>
      <c r="B410" s="801" t="s">
        <v>3048</v>
      </c>
      <c r="C410" s="802">
        <v>3.2909999999999998E-4</v>
      </c>
      <c r="D410" s="802">
        <v>3.5540000000000002E-4</v>
      </c>
      <c r="E410" s="803">
        <v>141050</v>
      </c>
      <c r="F410" s="803">
        <v>159501</v>
      </c>
      <c r="G410" s="803">
        <v>698460</v>
      </c>
      <c r="H410" s="803"/>
      <c r="I410" s="804">
        <v>13123</v>
      </c>
      <c r="J410" s="804">
        <v>612074</v>
      </c>
      <c r="K410" s="804">
        <v>47838</v>
      </c>
      <c r="L410" s="803">
        <v>24306</v>
      </c>
      <c r="M410" s="803"/>
      <c r="N410" s="804">
        <v>24475</v>
      </c>
      <c r="O410" s="804">
        <v>225913</v>
      </c>
      <c r="P410" s="804">
        <v>0</v>
      </c>
      <c r="Q410" s="803">
        <v>9712</v>
      </c>
      <c r="R410" s="803"/>
      <c r="S410" s="804">
        <v>186688</v>
      </c>
      <c r="T410" s="805">
        <v>6974</v>
      </c>
      <c r="U410" s="805">
        <v>193663</v>
      </c>
    </row>
    <row r="411" spans="1:21" x14ac:dyDescent="0.25">
      <c r="A411" s="800">
        <v>94211</v>
      </c>
      <c r="B411" s="801" t="s">
        <v>3049</v>
      </c>
      <c r="C411" s="802">
        <v>1.2400000000000001E-4</v>
      </c>
      <c r="D411" s="802">
        <v>1.217E-4</v>
      </c>
      <c r="E411" s="803">
        <v>49845.440000000002</v>
      </c>
      <c r="F411" s="803">
        <v>54618</v>
      </c>
      <c r="G411" s="803">
        <v>263170</v>
      </c>
      <c r="H411" s="803"/>
      <c r="I411" s="804">
        <v>4944.5</v>
      </c>
      <c r="J411" s="804">
        <v>230620</v>
      </c>
      <c r="K411" s="804">
        <v>18025</v>
      </c>
      <c r="L411" s="803">
        <v>334</v>
      </c>
      <c r="M411" s="803"/>
      <c r="N411" s="804">
        <v>9222</v>
      </c>
      <c r="O411" s="804">
        <v>85121</v>
      </c>
      <c r="P411" s="804">
        <v>0</v>
      </c>
      <c r="Q411" s="803">
        <v>30868</v>
      </c>
      <c r="R411" s="803"/>
      <c r="S411" s="804">
        <v>70341</v>
      </c>
      <c r="T411" s="805">
        <v>-13456</v>
      </c>
      <c r="U411" s="805">
        <v>56885</v>
      </c>
    </row>
    <row r="412" spans="1:21" x14ac:dyDescent="0.25">
      <c r="A412" s="800">
        <v>94221</v>
      </c>
      <c r="B412" s="801" t="s">
        <v>3050</v>
      </c>
      <c r="C412" s="802">
        <v>1.0705999999999999E-3</v>
      </c>
      <c r="D412" s="802">
        <v>1.1294E-3</v>
      </c>
      <c r="E412" s="803">
        <v>386218.22</v>
      </c>
      <c r="F412" s="803">
        <v>506868</v>
      </c>
      <c r="G412" s="803">
        <v>2272172</v>
      </c>
      <c r="H412" s="803"/>
      <c r="I412" s="804">
        <v>42690</v>
      </c>
      <c r="J412" s="804">
        <v>1991147</v>
      </c>
      <c r="K412" s="804">
        <v>155623</v>
      </c>
      <c r="L412" s="803">
        <v>98739</v>
      </c>
      <c r="M412" s="803"/>
      <c r="N412" s="804">
        <v>79619</v>
      </c>
      <c r="O412" s="804">
        <v>734922</v>
      </c>
      <c r="P412" s="804">
        <v>0</v>
      </c>
      <c r="Q412" s="803">
        <v>138383</v>
      </c>
      <c r="R412" s="803"/>
      <c r="S412" s="804">
        <v>607318</v>
      </c>
      <c r="T412" s="805">
        <v>-16318</v>
      </c>
      <c r="U412" s="805">
        <v>591000</v>
      </c>
    </row>
    <row r="413" spans="1:21" x14ac:dyDescent="0.25">
      <c r="A413" s="800">
        <v>94231</v>
      </c>
      <c r="B413" s="801" t="s">
        <v>3051</v>
      </c>
      <c r="C413" s="802">
        <v>2.1269999999999999E-4</v>
      </c>
      <c r="D413" s="802">
        <v>1.9469999999999999E-4</v>
      </c>
      <c r="E413" s="803">
        <v>77695.47</v>
      </c>
      <c r="F413" s="803">
        <v>87380</v>
      </c>
      <c r="G413" s="803">
        <v>451421</v>
      </c>
      <c r="H413" s="803"/>
      <c r="I413" s="804">
        <v>8481</v>
      </c>
      <c r="J413" s="804">
        <v>395588</v>
      </c>
      <c r="K413" s="804">
        <v>30918</v>
      </c>
      <c r="L413" s="803">
        <v>1986</v>
      </c>
      <c r="M413" s="803"/>
      <c r="N413" s="804">
        <v>15818</v>
      </c>
      <c r="O413" s="804">
        <v>146010</v>
      </c>
      <c r="P413" s="804">
        <v>0</v>
      </c>
      <c r="Q413" s="803">
        <v>11747</v>
      </c>
      <c r="R413" s="803"/>
      <c r="S413" s="804">
        <v>120658</v>
      </c>
      <c r="T413" s="805">
        <v>-4519</v>
      </c>
      <c r="U413" s="805">
        <v>116139</v>
      </c>
    </row>
    <row r="414" spans="1:21" x14ac:dyDescent="0.25">
      <c r="A414" s="800">
        <v>94241</v>
      </c>
      <c r="B414" s="801" t="s">
        <v>3052</v>
      </c>
      <c r="C414" s="802">
        <v>8.4099999999999998E-5</v>
      </c>
      <c r="D414" s="802">
        <v>8.4800000000000001E-5</v>
      </c>
      <c r="E414" s="803">
        <v>37415.33</v>
      </c>
      <c r="F414" s="803">
        <v>38058</v>
      </c>
      <c r="G414" s="803">
        <v>178488</v>
      </c>
      <c r="H414" s="803"/>
      <c r="I414" s="804">
        <v>3353</v>
      </c>
      <c r="J414" s="804">
        <v>156413</v>
      </c>
      <c r="K414" s="804">
        <v>12225</v>
      </c>
      <c r="L414" s="803">
        <v>3164</v>
      </c>
      <c r="M414" s="803"/>
      <c r="N414" s="804">
        <v>6254</v>
      </c>
      <c r="O414" s="804">
        <v>57731</v>
      </c>
      <c r="P414" s="804">
        <v>0</v>
      </c>
      <c r="Q414" s="803">
        <v>1327</v>
      </c>
      <c r="R414" s="803"/>
      <c r="S414" s="804">
        <v>47707</v>
      </c>
      <c r="T414" s="805">
        <v>664</v>
      </c>
      <c r="U414" s="805">
        <v>48372</v>
      </c>
    </row>
    <row r="415" spans="1:21" x14ac:dyDescent="0.25">
      <c r="A415" s="800">
        <v>94251</v>
      </c>
      <c r="B415" s="801" t="s">
        <v>3053</v>
      </c>
      <c r="C415" s="802">
        <v>1.4E-5</v>
      </c>
      <c r="D415" s="802">
        <v>2.37E-5</v>
      </c>
      <c r="E415" s="803">
        <v>7105.57</v>
      </c>
      <c r="F415" s="803">
        <v>10636</v>
      </c>
      <c r="G415" s="803">
        <v>29712.69</v>
      </c>
      <c r="H415" s="803"/>
      <c r="I415" s="804">
        <v>558.25</v>
      </c>
      <c r="J415" s="804">
        <v>26038</v>
      </c>
      <c r="K415" s="804">
        <v>2035</v>
      </c>
      <c r="L415" s="803">
        <v>0</v>
      </c>
      <c r="M415" s="803"/>
      <c r="N415" s="804">
        <v>1041</v>
      </c>
      <c r="O415" s="804">
        <v>9610</v>
      </c>
      <c r="P415" s="804">
        <v>0</v>
      </c>
      <c r="Q415" s="803">
        <v>9627</v>
      </c>
      <c r="R415" s="803"/>
      <c r="S415" s="804">
        <v>7942</v>
      </c>
      <c r="T415" s="805">
        <v>-3119</v>
      </c>
      <c r="U415" s="805">
        <v>4823</v>
      </c>
    </row>
    <row r="416" spans="1:21" x14ac:dyDescent="0.25">
      <c r="A416" s="800">
        <v>94261</v>
      </c>
      <c r="B416" s="801" t="s">
        <v>3054</v>
      </c>
      <c r="C416" s="802">
        <v>2.9499999999999999E-5</v>
      </c>
      <c r="D416" s="802">
        <v>1.66E-5</v>
      </c>
      <c r="E416" s="803">
        <v>13527</v>
      </c>
      <c r="F416" s="803">
        <v>7450</v>
      </c>
      <c r="G416" s="803">
        <v>62609</v>
      </c>
      <c r="H416" s="803"/>
      <c r="I416" s="804">
        <v>1176.3125</v>
      </c>
      <c r="J416" s="804">
        <v>54865</v>
      </c>
      <c r="K416" s="804">
        <v>4288</v>
      </c>
      <c r="L416" s="803">
        <v>12167</v>
      </c>
      <c r="M416" s="803"/>
      <c r="N416" s="804">
        <v>2194</v>
      </c>
      <c r="O416" s="804">
        <v>20251</v>
      </c>
      <c r="P416" s="804">
        <v>0</v>
      </c>
      <c r="Q416" s="803">
        <v>0</v>
      </c>
      <c r="R416" s="803"/>
      <c r="S416" s="804">
        <v>16734</v>
      </c>
      <c r="T416" s="805">
        <v>3736</v>
      </c>
      <c r="U416" s="805">
        <v>20471</v>
      </c>
    </row>
    <row r="417" spans="1:21" x14ac:dyDescent="0.25">
      <c r="A417" s="800">
        <v>94301</v>
      </c>
      <c r="B417" s="801" t="s">
        <v>3055</v>
      </c>
      <c r="C417" s="802">
        <v>6.0746999999999997E-3</v>
      </c>
      <c r="D417" s="802">
        <v>6.0625999999999996E-3</v>
      </c>
      <c r="E417" s="803">
        <v>2375298</v>
      </c>
      <c r="F417" s="803">
        <v>2720859</v>
      </c>
      <c r="G417" s="803">
        <v>12892548</v>
      </c>
      <c r="H417" s="803"/>
      <c r="I417" s="804">
        <v>242229</v>
      </c>
      <c r="J417" s="804">
        <v>11297982</v>
      </c>
      <c r="K417" s="804">
        <v>883024</v>
      </c>
      <c r="L417" s="803">
        <v>18885</v>
      </c>
      <c r="M417" s="803"/>
      <c r="N417" s="804">
        <v>451769</v>
      </c>
      <c r="O417" s="804">
        <v>4170026</v>
      </c>
      <c r="P417" s="804">
        <v>0</v>
      </c>
      <c r="Q417" s="803">
        <v>169326</v>
      </c>
      <c r="R417" s="803"/>
      <c r="S417" s="804">
        <v>3445989</v>
      </c>
      <c r="T417" s="805">
        <v>-41856</v>
      </c>
      <c r="U417" s="805">
        <v>3404133</v>
      </c>
    </row>
    <row r="418" spans="1:21" x14ac:dyDescent="0.25">
      <c r="A418" s="800">
        <v>94311</v>
      </c>
      <c r="B418" s="801" t="s">
        <v>3056</v>
      </c>
      <c r="C418" s="802">
        <v>7.4399999999999998E-4</v>
      </c>
      <c r="D418" s="802">
        <v>8.4360000000000001E-4</v>
      </c>
      <c r="E418" s="803">
        <v>317608</v>
      </c>
      <c r="F418" s="803">
        <v>378603</v>
      </c>
      <c r="G418" s="803">
        <v>1579017.24</v>
      </c>
      <c r="H418" s="803"/>
      <c r="I418" s="804">
        <v>29667</v>
      </c>
      <c r="J418" s="804">
        <v>1383722</v>
      </c>
      <c r="K418" s="804">
        <v>108149</v>
      </c>
      <c r="L418" s="803">
        <v>5590</v>
      </c>
      <c r="M418" s="803"/>
      <c r="N418" s="804">
        <v>55331</v>
      </c>
      <c r="O418" s="804">
        <v>510725</v>
      </c>
      <c r="P418" s="804">
        <v>0</v>
      </c>
      <c r="Q418" s="803">
        <v>74131</v>
      </c>
      <c r="R418" s="803"/>
      <c r="S418" s="804">
        <v>422048</v>
      </c>
      <c r="T418" s="805">
        <v>-19207</v>
      </c>
      <c r="U418" s="805">
        <v>402841</v>
      </c>
    </row>
    <row r="419" spans="1:21" x14ac:dyDescent="0.25">
      <c r="A419" s="800">
        <v>94313</v>
      </c>
      <c r="B419" s="801" t="s">
        <v>3057</v>
      </c>
      <c r="C419" s="802">
        <v>2.0299999999999999E-5</v>
      </c>
      <c r="D419" s="802">
        <v>1.8099999999999999E-5</v>
      </c>
      <c r="E419" s="803">
        <v>12274.81</v>
      </c>
      <c r="F419" s="803">
        <v>8123</v>
      </c>
      <c r="G419" s="803">
        <v>43083</v>
      </c>
      <c r="H419" s="803"/>
      <c r="I419" s="804">
        <v>809.46249999999998</v>
      </c>
      <c r="J419" s="804">
        <v>37755</v>
      </c>
      <c r="K419" s="804">
        <v>2951</v>
      </c>
      <c r="L419" s="803">
        <v>7808</v>
      </c>
      <c r="M419" s="803"/>
      <c r="N419" s="804">
        <v>1510</v>
      </c>
      <c r="O419" s="804">
        <v>13935</v>
      </c>
      <c r="P419" s="804">
        <v>0</v>
      </c>
      <c r="Q419" s="803">
        <v>0</v>
      </c>
      <c r="R419" s="803"/>
      <c r="S419" s="804">
        <v>11516</v>
      </c>
      <c r="T419" s="805">
        <v>2576</v>
      </c>
      <c r="U419" s="805">
        <v>14092</v>
      </c>
    </row>
    <row r="420" spans="1:21" x14ac:dyDescent="0.25">
      <c r="A420" s="800">
        <v>94317</v>
      </c>
      <c r="B420" s="801" t="s">
        <v>3058</v>
      </c>
      <c r="C420" s="802">
        <v>1.2099999999999999E-5</v>
      </c>
      <c r="D420" s="802">
        <v>1.15E-5</v>
      </c>
      <c r="E420" s="803">
        <v>8376.6</v>
      </c>
      <c r="F420" s="803">
        <v>5161</v>
      </c>
      <c r="G420" s="803">
        <v>25680</v>
      </c>
      <c r="H420" s="803"/>
      <c r="I420" s="804">
        <v>482</v>
      </c>
      <c r="J420" s="804">
        <v>22504</v>
      </c>
      <c r="K420" s="804">
        <v>1759</v>
      </c>
      <c r="L420" s="803">
        <v>6768</v>
      </c>
      <c r="M420" s="803"/>
      <c r="N420" s="804">
        <v>900</v>
      </c>
      <c r="O420" s="804">
        <v>8306</v>
      </c>
      <c r="P420" s="804">
        <v>0</v>
      </c>
      <c r="Q420" s="803">
        <v>0</v>
      </c>
      <c r="R420" s="803"/>
      <c r="S420" s="804">
        <v>6864</v>
      </c>
      <c r="T420" s="805">
        <v>2325</v>
      </c>
      <c r="U420" s="805">
        <v>9189</v>
      </c>
    </row>
    <row r="421" spans="1:21" x14ac:dyDescent="0.25">
      <c r="A421" s="800">
        <v>94321</v>
      </c>
      <c r="B421" s="801" t="s">
        <v>3059</v>
      </c>
      <c r="C421" s="802">
        <v>2.7070000000000002E-4</v>
      </c>
      <c r="D421" s="802">
        <v>2.7270000000000001E-4</v>
      </c>
      <c r="E421" s="803">
        <v>94893.09</v>
      </c>
      <c r="F421" s="803">
        <v>122386</v>
      </c>
      <c r="G421" s="803">
        <v>574516</v>
      </c>
      <c r="H421" s="803"/>
      <c r="I421" s="804">
        <v>10794</v>
      </c>
      <c r="J421" s="804">
        <v>503459</v>
      </c>
      <c r="K421" s="804">
        <v>39349</v>
      </c>
      <c r="L421" s="803">
        <v>3401</v>
      </c>
      <c r="M421" s="803"/>
      <c r="N421" s="804">
        <v>20132</v>
      </c>
      <c r="O421" s="804">
        <v>185824</v>
      </c>
      <c r="P421" s="804">
        <v>0</v>
      </c>
      <c r="Q421" s="803">
        <v>21015</v>
      </c>
      <c r="R421" s="803"/>
      <c r="S421" s="804">
        <v>153560</v>
      </c>
      <c r="T421" s="805">
        <v>-4393</v>
      </c>
      <c r="U421" s="805">
        <v>149167</v>
      </c>
    </row>
    <row r="422" spans="1:21" x14ac:dyDescent="0.25">
      <c r="A422" s="800">
        <v>94331</v>
      </c>
      <c r="B422" s="801" t="s">
        <v>3060</v>
      </c>
      <c r="C422" s="802">
        <v>1.517E-4</v>
      </c>
      <c r="D422" s="802">
        <v>1.7420000000000001E-4</v>
      </c>
      <c r="E422" s="803">
        <v>69883.19</v>
      </c>
      <c r="F422" s="803">
        <v>78180</v>
      </c>
      <c r="G422" s="803">
        <v>321958</v>
      </c>
      <c r="H422" s="803"/>
      <c r="I422" s="804">
        <v>6049</v>
      </c>
      <c r="J422" s="804">
        <v>282138</v>
      </c>
      <c r="K422" s="804">
        <v>22051</v>
      </c>
      <c r="L422" s="803">
        <v>13796</v>
      </c>
      <c r="M422" s="803"/>
      <c r="N422" s="804">
        <v>11282</v>
      </c>
      <c r="O422" s="804">
        <v>104136</v>
      </c>
      <c r="P422" s="804">
        <v>0</v>
      </c>
      <c r="Q422" s="803">
        <v>6234</v>
      </c>
      <c r="R422" s="803"/>
      <c r="S422" s="804">
        <v>86055</v>
      </c>
      <c r="T422" s="805">
        <v>4466</v>
      </c>
      <c r="U422" s="805">
        <v>90520</v>
      </c>
    </row>
    <row r="423" spans="1:21" x14ac:dyDescent="0.25">
      <c r="A423" s="800">
        <v>94341</v>
      </c>
      <c r="B423" s="801" t="s">
        <v>3061</v>
      </c>
      <c r="C423" s="802">
        <v>8.1000000000000004E-5</v>
      </c>
      <c r="D423" s="802">
        <v>8.8399999999999994E-5</v>
      </c>
      <c r="E423" s="803">
        <v>31929.82</v>
      </c>
      <c r="F423" s="803">
        <v>39673</v>
      </c>
      <c r="G423" s="803">
        <v>171909</v>
      </c>
      <c r="H423" s="803"/>
      <c r="I423" s="804">
        <v>3229.875</v>
      </c>
      <c r="J423" s="804">
        <v>150647</v>
      </c>
      <c r="K423" s="804">
        <v>11774</v>
      </c>
      <c r="L423" s="803">
        <v>513</v>
      </c>
      <c r="M423" s="803"/>
      <c r="N423" s="804">
        <v>6024</v>
      </c>
      <c r="O423" s="804">
        <v>55603</v>
      </c>
      <c r="P423" s="804">
        <v>0</v>
      </c>
      <c r="Q423" s="803">
        <v>8986</v>
      </c>
      <c r="R423" s="803"/>
      <c r="S423" s="804">
        <v>45949</v>
      </c>
      <c r="T423" s="805">
        <v>-3091</v>
      </c>
      <c r="U423" s="805">
        <v>42858</v>
      </c>
    </row>
    <row r="424" spans="1:21" x14ac:dyDescent="0.25">
      <c r="A424" s="800">
        <v>94347</v>
      </c>
      <c r="B424" s="801" t="s">
        <v>3062</v>
      </c>
      <c r="C424" s="802">
        <v>1.2300000000000001E-5</v>
      </c>
      <c r="D424" s="802">
        <v>1.31E-5</v>
      </c>
      <c r="E424" s="803">
        <v>6975</v>
      </c>
      <c r="F424" s="803">
        <v>5879</v>
      </c>
      <c r="G424" s="803">
        <v>26105</v>
      </c>
      <c r="H424" s="803"/>
      <c r="I424" s="804">
        <v>490</v>
      </c>
      <c r="J424" s="804">
        <v>22876</v>
      </c>
      <c r="K424" s="804">
        <v>1788</v>
      </c>
      <c r="L424" s="803">
        <v>3157</v>
      </c>
      <c r="M424" s="803"/>
      <c r="N424" s="804">
        <v>915</v>
      </c>
      <c r="O424" s="804">
        <v>8443</v>
      </c>
      <c r="P424" s="804">
        <v>0</v>
      </c>
      <c r="Q424" s="803">
        <v>0</v>
      </c>
      <c r="R424" s="803"/>
      <c r="S424" s="804">
        <v>6977</v>
      </c>
      <c r="T424" s="805">
        <v>1291</v>
      </c>
      <c r="U424" s="805">
        <v>8268</v>
      </c>
    </row>
    <row r="425" spans="1:21" x14ac:dyDescent="0.25">
      <c r="A425" s="800">
        <v>94351</v>
      </c>
      <c r="B425" s="801" t="s">
        <v>3063</v>
      </c>
      <c r="C425" s="802">
        <v>2.377E-4</v>
      </c>
      <c r="D425" s="802">
        <v>2.3049999999999999E-4</v>
      </c>
      <c r="E425" s="803">
        <v>90845.03</v>
      </c>
      <c r="F425" s="803">
        <v>103447</v>
      </c>
      <c r="G425" s="803">
        <v>504479</v>
      </c>
      <c r="H425" s="803"/>
      <c r="I425" s="804">
        <v>9478</v>
      </c>
      <c r="J425" s="804">
        <v>442084</v>
      </c>
      <c r="K425" s="804">
        <v>34552</v>
      </c>
      <c r="L425" s="803">
        <v>2466</v>
      </c>
      <c r="M425" s="803"/>
      <c r="N425" s="804">
        <v>17678</v>
      </c>
      <c r="O425" s="804">
        <v>163171</v>
      </c>
      <c r="P425" s="804">
        <v>0</v>
      </c>
      <c r="Q425" s="803">
        <v>4917</v>
      </c>
      <c r="R425" s="803"/>
      <c r="S425" s="804">
        <v>134840</v>
      </c>
      <c r="T425" s="805">
        <v>-1210</v>
      </c>
      <c r="U425" s="805">
        <v>133630</v>
      </c>
    </row>
    <row r="426" spans="1:21" x14ac:dyDescent="0.25">
      <c r="A426" s="800">
        <v>94401</v>
      </c>
      <c r="B426" s="801" t="s">
        <v>2582</v>
      </c>
      <c r="C426" s="802">
        <v>3.4548999999999999E-3</v>
      </c>
      <c r="D426" s="802">
        <v>3.3264000000000002E-3</v>
      </c>
      <c r="E426" s="803">
        <v>1346130.7</v>
      </c>
      <c r="F426" s="803">
        <v>1492868</v>
      </c>
      <c r="G426" s="803">
        <v>7332455</v>
      </c>
      <c r="H426" s="803"/>
      <c r="I426" s="804">
        <v>137764</v>
      </c>
      <c r="J426" s="804">
        <v>6425568</v>
      </c>
      <c r="K426" s="804">
        <v>502208</v>
      </c>
      <c r="L426" s="803">
        <v>30696</v>
      </c>
      <c r="M426" s="803"/>
      <c r="N426" s="804">
        <v>256937</v>
      </c>
      <c r="O426" s="804">
        <v>2371644</v>
      </c>
      <c r="P426" s="804">
        <v>0</v>
      </c>
      <c r="Q426" s="803">
        <v>635</v>
      </c>
      <c r="R426" s="803"/>
      <c r="S426" s="804">
        <v>1959858</v>
      </c>
      <c r="T426" s="805">
        <v>9582</v>
      </c>
      <c r="U426" s="805">
        <v>1969439</v>
      </c>
    </row>
    <row r="427" spans="1:21" x14ac:dyDescent="0.25">
      <c r="A427" s="800">
        <v>94402</v>
      </c>
      <c r="B427" s="801" t="s">
        <v>3064</v>
      </c>
      <c r="C427" s="802">
        <v>0</v>
      </c>
      <c r="D427" s="802">
        <v>0</v>
      </c>
      <c r="E427" s="803">
        <v>0</v>
      </c>
      <c r="F427" s="803">
        <v>0</v>
      </c>
      <c r="G427" s="803">
        <v>0</v>
      </c>
      <c r="H427" s="803"/>
      <c r="I427" s="804">
        <v>0</v>
      </c>
      <c r="J427" s="804">
        <v>0</v>
      </c>
      <c r="K427" s="804">
        <v>0</v>
      </c>
      <c r="L427" s="803">
        <v>0</v>
      </c>
      <c r="M427" s="803"/>
      <c r="N427" s="804">
        <v>0</v>
      </c>
      <c r="O427" s="804">
        <v>0</v>
      </c>
      <c r="P427" s="804">
        <v>0</v>
      </c>
      <c r="Q427" s="803">
        <v>2781798</v>
      </c>
      <c r="R427" s="803"/>
      <c r="S427" s="804">
        <v>0</v>
      </c>
      <c r="T427" s="805">
        <v>-1007431</v>
      </c>
      <c r="U427" s="805">
        <v>-1007431</v>
      </c>
    </row>
    <row r="428" spans="1:21" x14ac:dyDescent="0.25">
      <c r="A428" s="800">
        <v>94408</v>
      </c>
      <c r="B428" s="801" t="s">
        <v>3065</v>
      </c>
      <c r="C428" s="802">
        <v>4.0099999999999999E-5</v>
      </c>
      <c r="D428" s="802">
        <v>1.9000000000000001E-5</v>
      </c>
      <c r="E428" s="803">
        <v>13760</v>
      </c>
      <c r="F428" s="803">
        <v>8527</v>
      </c>
      <c r="G428" s="803">
        <v>85106</v>
      </c>
      <c r="H428" s="803"/>
      <c r="I428" s="804">
        <v>1599</v>
      </c>
      <c r="J428" s="804">
        <v>74580</v>
      </c>
      <c r="K428" s="804">
        <v>5829</v>
      </c>
      <c r="L428" s="803">
        <v>10369</v>
      </c>
      <c r="M428" s="803"/>
      <c r="N428" s="804">
        <v>2982</v>
      </c>
      <c r="O428" s="804">
        <v>27527</v>
      </c>
      <c r="P428" s="804">
        <v>0</v>
      </c>
      <c r="Q428" s="803">
        <v>3687</v>
      </c>
      <c r="R428" s="803"/>
      <c r="S428" s="804">
        <v>22747</v>
      </c>
      <c r="T428" s="805">
        <v>939</v>
      </c>
      <c r="U428" s="805">
        <v>23687</v>
      </c>
    </row>
    <row r="429" spans="1:21" x14ac:dyDescent="0.25">
      <c r="A429" s="800">
        <v>94411</v>
      </c>
      <c r="B429" s="801" t="s">
        <v>3066</v>
      </c>
      <c r="C429" s="802">
        <v>1.1592E-3</v>
      </c>
      <c r="D429" s="802">
        <v>1.1820999999999999E-3</v>
      </c>
      <c r="E429" s="803">
        <v>485425</v>
      </c>
      <c r="F429" s="803">
        <v>530519</v>
      </c>
      <c r="G429" s="803">
        <v>2460211</v>
      </c>
      <c r="H429" s="803"/>
      <c r="I429" s="804">
        <v>46223.1</v>
      </c>
      <c r="J429" s="804">
        <v>2155929</v>
      </c>
      <c r="K429" s="804">
        <v>168502</v>
      </c>
      <c r="L429" s="803">
        <v>19239</v>
      </c>
      <c r="M429" s="803"/>
      <c r="N429" s="804">
        <v>86209</v>
      </c>
      <c r="O429" s="804">
        <v>795742</v>
      </c>
      <c r="P429" s="804">
        <v>0</v>
      </c>
      <c r="Q429" s="803">
        <v>5607</v>
      </c>
      <c r="R429" s="803"/>
      <c r="S429" s="804">
        <v>657578</v>
      </c>
      <c r="T429" s="805">
        <v>5340</v>
      </c>
      <c r="U429" s="805">
        <v>662918</v>
      </c>
    </row>
    <row r="430" spans="1:21" x14ac:dyDescent="0.25">
      <c r="A430" s="800">
        <v>94412</v>
      </c>
      <c r="B430" s="801" t="s">
        <v>3067</v>
      </c>
      <c r="C430" s="802">
        <v>1.63E-5</v>
      </c>
      <c r="D430" s="802">
        <v>1.7200000000000001E-5</v>
      </c>
      <c r="E430" s="803">
        <v>13713</v>
      </c>
      <c r="F430" s="803">
        <v>7719</v>
      </c>
      <c r="G430" s="803">
        <v>34594</v>
      </c>
      <c r="H430" s="803"/>
      <c r="I430" s="804">
        <v>649.96249999999998</v>
      </c>
      <c r="J430" s="804">
        <v>30315</v>
      </c>
      <c r="K430" s="804">
        <v>2369</v>
      </c>
      <c r="L430" s="803">
        <v>13305</v>
      </c>
      <c r="M430" s="803"/>
      <c r="N430" s="804">
        <v>1212</v>
      </c>
      <c r="O430" s="804">
        <v>11189</v>
      </c>
      <c r="P430" s="804">
        <v>0</v>
      </c>
      <c r="Q430" s="803">
        <v>0</v>
      </c>
      <c r="R430" s="803"/>
      <c r="S430" s="804">
        <v>9246</v>
      </c>
      <c r="T430" s="805">
        <v>4869</v>
      </c>
      <c r="U430" s="805">
        <v>14116</v>
      </c>
    </row>
    <row r="431" spans="1:21" x14ac:dyDescent="0.25">
      <c r="A431" s="800">
        <v>94421</v>
      </c>
      <c r="B431" s="801" t="s">
        <v>3068</v>
      </c>
      <c r="C431" s="802">
        <v>1.6899999999999999E-4</v>
      </c>
      <c r="D431" s="802">
        <v>1.7149999999999999E-4</v>
      </c>
      <c r="E431" s="803">
        <v>68013</v>
      </c>
      <c r="F431" s="803">
        <v>76968</v>
      </c>
      <c r="G431" s="803">
        <v>358675</v>
      </c>
      <c r="H431" s="803"/>
      <c r="I431" s="804">
        <v>6739</v>
      </c>
      <c r="J431" s="804">
        <v>314313</v>
      </c>
      <c r="K431" s="804">
        <v>24566</v>
      </c>
      <c r="L431" s="803">
        <v>3528</v>
      </c>
      <c r="M431" s="803"/>
      <c r="N431" s="804">
        <v>12568</v>
      </c>
      <c r="O431" s="804">
        <v>116011</v>
      </c>
      <c r="P431" s="804">
        <v>0</v>
      </c>
      <c r="Q431" s="803">
        <v>12354</v>
      </c>
      <c r="R431" s="803"/>
      <c r="S431" s="804">
        <v>95868</v>
      </c>
      <c r="T431" s="805">
        <v>-4340</v>
      </c>
      <c r="U431" s="805">
        <v>91529</v>
      </c>
    </row>
    <row r="432" spans="1:21" x14ac:dyDescent="0.25">
      <c r="A432" s="800">
        <v>94427</v>
      </c>
      <c r="B432" s="801" t="s">
        <v>3069</v>
      </c>
      <c r="C432" s="802">
        <v>1.29E-5</v>
      </c>
      <c r="D432" s="802">
        <v>1.56E-5</v>
      </c>
      <c r="E432" s="803">
        <v>6501.51</v>
      </c>
      <c r="F432" s="803">
        <v>7001</v>
      </c>
      <c r="G432" s="803">
        <v>27378</v>
      </c>
      <c r="H432" s="803"/>
      <c r="I432" s="804">
        <v>514</v>
      </c>
      <c r="J432" s="804">
        <v>23992</v>
      </c>
      <c r="K432" s="804">
        <v>1875</v>
      </c>
      <c r="L432" s="803">
        <v>785</v>
      </c>
      <c r="M432" s="803"/>
      <c r="N432" s="804">
        <v>959</v>
      </c>
      <c r="O432" s="804">
        <v>8855</v>
      </c>
      <c r="P432" s="804">
        <v>0</v>
      </c>
      <c r="Q432" s="803">
        <v>709</v>
      </c>
      <c r="R432" s="803"/>
      <c r="S432" s="804">
        <v>7318</v>
      </c>
      <c r="T432" s="805">
        <v>47</v>
      </c>
      <c r="U432" s="805">
        <v>7365</v>
      </c>
    </row>
    <row r="433" spans="1:21" x14ac:dyDescent="0.25">
      <c r="A433" s="800">
        <v>94428</v>
      </c>
      <c r="B433" s="801" t="s">
        <v>3070</v>
      </c>
      <c r="C433" s="802">
        <v>7.4400000000000006E-5</v>
      </c>
      <c r="D433" s="802">
        <v>7.7799999999999994E-5</v>
      </c>
      <c r="E433" s="803">
        <v>33919</v>
      </c>
      <c r="F433" s="803">
        <v>34916</v>
      </c>
      <c r="G433" s="803">
        <v>157902</v>
      </c>
      <c r="H433" s="803"/>
      <c r="I433" s="804">
        <v>2967</v>
      </c>
      <c r="J433" s="804">
        <v>138372</v>
      </c>
      <c r="K433" s="804">
        <v>10815</v>
      </c>
      <c r="L433" s="803">
        <v>3518</v>
      </c>
      <c r="M433" s="803"/>
      <c r="N433" s="804">
        <v>5533</v>
      </c>
      <c r="O433" s="804">
        <v>51072</v>
      </c>
      <c r="P433" s="804">
        <v>0</v>
      </c>
      <c r="Q433" s="803">
        <v>0</v>
      </c>
      <c r="R433" s="803"/>
      <c r="S433" s="804">
        <v>42205</v>
      </c>
      <c r="T433" s="805">
        <v>1203</v>
      </c>
      <c r="U433" s="805">
        <v>43408</v>
      </c>
    </row>
    <row r="434" spans="1:21" x14ac:dyDescent="0.25">
      <c r="A434" s="800">
        <v>94431</v>
      </c>
      <c r="B434" s="801" t="s">
        <v>3071</v>
      </c>
      <c r="C434" s="802">
        <v>3.7589999999999998E-4</v>
      </c>
      <c r="D434" s="802">
        <v>3.6390000000000001E-4</v>
      </c>
      <c r="E434" s="803">
        <v>261746</v>
      </c>
      <c r="F434" s="803">
        <v>163316</v>
      </c>
      <c r="G434" s="803">
        <v>797786</v>
      </c>
      <c r="H434" s="803"/>
      <c r="I434" s="804">
        <v>14989</v>
      </c>
      <c r="J434" s="804">
        <v>699115</v>
      </c>
      <c r="K434" s="804">
        <v>54641</v>
      </c>
      <c r="L434" s="803">
        <v>140656</v>
      </c>
      <c r="M434" s="803"/>
      <c r="N434" s="804">
        <v>27955</v>
      </c>
      <c r="O434" s="804">
        <v>258040</v>
      </c>
      <c r="P434" s="804">
        <v>0</v>
      </c>
      <c r="Q434" s="803">
        <v>1228</v>
      </c>
      <c r="R434" s="803"/>
      <c r="S434" s="804">
        <v>213236</v>
      </c>
      <c r="T434" s="805">
        <v>40508</v>
      </c>
      <c r="U434" s="805">
        <v>253745</v>
      </c>
    </row>
    <row r="435" spans="1:21" x14ac:dyDescent="0.25">
      <c r="A435" s="800">
        <v>94437</v>
      </c>
      <c r="B435" s="801" t="s">
        <v>3072</v>
      </c>
      <c r="C435" s="802">
        <v>1.34E-5</v>
      </c>
      <c r="D435" s="802">
        <v>1.1600000000000001E-5</v>
      </c>
      <c r="E435" s="803">
        <v>11266</v>
      </c>
      <c r="F435" s="803">
        <v>5206</v>
      </c>
      <c r="G435" s="803">
        <v>28439</v>
      </c>
      <c r="H435" s="803"/>
      <c r="I435" s="804">
        <v>534</v>
      </c>
      <c r="J435" s="804">
        <v>24922</v>
      </c>
      <c r="K435" s="804">
        <v>1948</v>
      </c>
      <c r="L435" s="803">
        <v>12092</v>
      </c>
      <c r="M435" s="803"/>
      <c r="N435" s="804">
        <v>997</v>
      </c>
      <c r="O435" s="804">
        <v>9199</v>
      </c>
      <c r="P435" s="804">
        <v>0</v>
      </c>
      <c r="Q435" s="803">
        <v>0</v>
      </c>
      <c r="R435" s="803"/>
      <c r="S435" s="804">
        <v>7601</v>
      </c>
      <c r="T435" s="805">
        <v>4157</v>
      </c>
      <c r="U435" s="805">
        <v>11759</v>
      </c>
    </row>
    <row r="436" spans="1:21" x14ac:dyDescent="0.25">
      <c r="A436" s="800">
        <v>94501</v>
      </c>
      <c r="B436" s="801" t="s">
        <v>3073</v>
      </c>
      <c r="C436" s="802">
        <v>5.8474E-3</v>
      </c>
      <c r="D436" s="802">
        <v>5.5922999999999997E-3</v>
      </c>
      <c r="E436" s="803">
        <v>2261129.31</v>
      </c>
      <c r="F436" s="803">
        <v>2509791</v>
      </c>
      <c r="G436" s="803">
        <v>12410142</v>
      </c>
      <c r="H436" s="803"/>
      <c r="I436" s="804">
        <v>233165</v>
      </c>
      <c r="J436" s="804">
        <v>10875240</v>
      </c>
      <c r="K436" s="804">
        <v>849984</v>
      </c>
      <c r="L436" s="803">
        <v>248127</v>
      </c>
      <c r="M436" s="803"/>
      <c r="N436" s="804">
        <v>434865</v>
      </c>
      <c r="O436" s="804">
        <v>4013995</v>
      </c>
      <c r="P436" s="804">
        <v>0</v>
      </c>
      <c r="Q436" s="803">
        <v>0</v>
      </c>
      <c r="R436" s="803"/>
      <c r="S436" s="804">
        <v>3317049</v>
      </c>
      <c r="T436" s="805">
        <v>102688</v>
      </c>
      <c r="U436" s="805">
        <v>3419736</v>
      </c>
    </row>
    <row r="437" spans="1:21" x14ac:dyDescent="0.25">
      <c r="A437" s="800">
        <v>94511</v>
      </c>
      <c r="B437" s="801" t="s">
        <v>3074</v>
      </c>
      <c r="C437" s="802">
        <v>1.7432000000000001E-3</v>
      </c>
      <c r="D437" s="802">
        <v>1.7692999999999999E-3</v>
      </c>
      <c r="E437" s="803">
        <v>680925.99</v>
      </c>
      <c r="F437" s="803">
        <v>794051</v>
      </c>
      <c r="G437" s="803">
        <v>3699654</v>
      </c>
      <c r="H437" s="803"/>
      <c r="I437" s="804">
        <v>69510</v>
      </c>
      <c r="J437" s="804">
        <v>3242077</v>
      </c>
      <c r="K437" s="804">
        <v>253393</v>
      </c>
      <c r="L437" s="803">
        <v>224818</v>
      </c>
      <c r="M437" s="803"/>
      <c r="N437" s="804">
        <v>129640</v>
      </c>
      <c r="O437" s="804">
        <v>1196634</v>
      </c>
      <c r="P437" s="804">
        <v>0</v>
      </c>
      <c r="Q437" s="803">
        <v>42694</v>
      </c>
      <c r="R437" s="803"/>
      <c r="S437" s="804">
        <v>988863</v>
      </c>
      <c r="T437" s="805">
        <v>69976</v>
      </c>
      <c r="U437" s="805">
        <v>1058839</v>
      </c>
    </row>
    <row r="438" spans="1:21" x14ac:dyDescent="0.25">
      <c r="A438" s="800">
        <v>94512</v>
      </c>
      <c r="B438" s="801" t="s">
        <v>3075</v>
      </c>
      <c r="C438" s="802">
        <v>0</v>
      </c>
      <c r="D438" s="802">
        <v>0</v>
      </c>
      <c r="E438" s="803">
        <v>0</v>
      </c>
      <c r="F438" s="803">
        <v>0</v>
      </c>
      <c r="G438" s="803">
        <v>0</v>
      </c>
      <c r="H438" s="803"/>
      <c r="I438" s="804">
        <v>0</v>
      </c>
      <c r="J438" s="804">
        <v>0</v>
      </c>
      <c r="K438" s="804">
        <v>0</v>
      </c>
      <c r="L438" s="803">
        <v>0</v>
      </c>
      <c r="M438" s="803"/>
      <c r="N438" s="804">
        <v>0</v>
      </c>
      <c r="O438" s="804">
        <v>0</v>
      </c>
      <c r="P438" s="804">
        <v>0</v>
      </c>
      <c r="Q438" s="803">
        <v>217292</v>
      </c>
      <c r="R438" s="803"/>
      <c r="S438" s="804">
        <v>0</v>
      </c>
      <c r="T438" s="805">
        <v>-78713</v>
      </c>
      <c r="U438" s="805">
        <v>-78713</v>
      </c>
    </row>
    <row r="439" spans="1:21" x14ac:dyDescent="0.25">
      <c r="A439" s="800">
        <v>94517</v>
      </c>
      <c r="B439" s="801" t="s">
        <v>3076</v>
      </c>
      <c r="C439" s="802">
        <v>4.9599999999999999E-5</v>
      </c>
      <c r="D439" s="802">
        <v>4.9100000000000001E-5</v>
      </c>
      <c r="E439" s="803">
        <v>28272.959999999999</v>
      </c>
      <c r="F439" s="803">
        <v>22036</v>
      </c>
      <c r="G439" s="803">
        <v>105268</v>
      </c>
      <c r="H439" s="803"/>
      <c r="I439" s="804">
        <v>1977.8</v>
      </c>
      <c r="J439" s="804">
        <v>92248</v>
      </c>
      <c r="K439" s="804">
        <v>7210</v>
      </c>
      <c r="L439" s="803">
        <v>19501</v>
      </c>
      <c r="M439" s="803"/>
      <c r="N439" s="804">
        <v>3689</v>
      </c>
      <c r="O439" s="804">
        <v>34048</v>
      </c>
      <c r="P439" s="804">
        <v>0</v>
      </c>
      <c r="Q439" s="803">
        <v>0</v>
      </c>
      <c r="R439" s="803"/>
      <c r="S439" s="804">
        <v>28137</v>
      </c>
      <c r="T439" s="805">
        <v>7376</v>
      </c>
      <c r="U439" s="805">
        <v>35513</v>
      </c>
    </row>
    <row r="440" spans="1:21" x14ac:dyDescent="0.25">
      <c r="A440" s="800">
        <v>94521</v>
      </c>
      <c r="B440" s="801" t="s">
        <v>3077</v>
      </c>
      <c r="C440" s="802">
        <v>1.2410000000000001E-4</v>
      </c>
      <c r="D440" s="802">
        <v>1.6320000000000001E-4</v>
      </c>
      <c r="E440" s="803">
        <v>54157.59</v>
      </c>
      <c r="F440" s="803">
        <v>73243</v>
      </c>
      <c r="G440" s="803">
        <v>263382</v>
      </c>
      <c r="H440" s="803"/>
      <c r="I440" s="804">
        <v>4948</v>
      </c>
      <c r="J440" s="804">
        <v>230806</v>
      </c>
      <c r="K440" s="804">
        <v>18039</v>
      </c>
      <c r="L440" s="803">
        <v>5851</v>
      </c>
      <c r="M440" s="803"/>
      <c r="N440" s="804">
        <v>9229</v>
      </c>
      <c r="O440" s="804">
        <v>85189</v>
      </c>
      <c r="P440" s="804">
        <v>0</v>
      </c>
      <c r="Q440" s="803">
        <v>18701</v>
      </c>
      <c r="R440" s="803"/>
      <c r="S440" s="804">
        <v>70398</v>
      </c>
      <c r="T440" s="805">
        <v>-2526</v>
      </c>
      <c r="U440" s="805">
        <v>67872</v>
      </c>
    </row>
    <row r="441" spans="1:21" x14ac:dyDescent="0.25">
      <c r="A441" s="800">
        <v>94527</v>
      </c>
      <c r="B441" s="801" t="s">
        <v>3078</v>
      </c>
      <c r="C441" s="802">
        <v>6.3999999999999997E-6</v>
      </c>
      <c r="D441" s="802">
        <v>9.0000000000000002E-6</v>
      </c>
      <c r="E441" s="803">
        <v>0</v>
      </c>
      <c r="F441" s="803">
        <v>4039</v>
      </c>
      <c r="G441" s="803">
        <v>13583</v>
      </c>
      <c r="H441" s="803"/>
      <c r="I441" s="804">
        <v>255.2</v>
      </c>
      <c r="J441" s="804">
        <v>11903</v>
      </c>
      <c r="K441" s="804">
        <v>930</v>
      </c>
      <c r="L441" s="803">
        <v>477</v>
      </c>
      <c r="M441" s="803"/>
      <c r="N441" s="804">
        <v>476</v>
      </c>
      <c r="O441" s="804">
        <v>4393</v>
      </c>
      <c r="P441" s="804">
        <v>0</v>
      </c>
      <c r="Q441" s="803">
        <v>3557</v>
      </c>
      <c r="R441" s="803"/>
      <c r="S441" s="804">
        <v>3631</v>
      </c>
      <c r="T441" s="805">
        <v>-766</v>
      </c>
      <c r="U441" s="805">
        <v>2864</v>
      </c>
    </row>
    <row r="442" spans="1:21" x14ac:dyDescent="0.25">
      <c r="A442" s="800">
        <v>94531</v>
      </c>
      <c r="B442" s="801" t="s">
        <v>3079</v>
      </c>
      <c r="C442" s="802">
        <v>1.5500000000000001E-5</v>
      </c>
      <c r="D442" s="802">
        <v>1.66E-5</v>
      </c>
      <c r="E442" s="803">
        <v>9989</v>
      </c>
      <c r="F442" s="803">
        <v>7450</v>
      </c>
      <c r="G442" s="803">
        <v>32896</v>
      </c>
      <c r="H442" s="803"/>
      <c r="I442" s="804">
        <v>618.0625</v>
      </c>
      <c r="J442" s="804">
        <v>28828</v>
      </c>
      <c r="K442" s="804">
        <v>2253</v>
      </c>
      <c r="L442" s="803">
        <v>5256</v>
      </c>
      <c r="M442" s="803"/>
      <c r="N442" s="804">
        <v>1153</v>
      </c>
      <c r="O442" s="804">
        <v>10640</v>
      </c>
      <c r="P442" s="804">
        <v>0</v>
      </c>
      <c r="Q442" s="803">
        <v>0</v>
      </c>
      <c r="R442" s="803"/>
      <c r="S442" s="804">
        <v>8793</v>
      </c>
      <c r="T442" s="805">
        <v>1863</v>
      </c>
      <c r="U442" s="805">
        <v>10656</v>
      </c>
    </row>
    <row r="443" spans="1:21" x14ac:dyDescent="0.25">
      <c r="A443" s="800">
        <v>94532</v>
      </c>
      <c r="B443" s="801" t="s">
        <v>3080</v>
      </c>
      <c r="C443" s="802">
        <v>9.4099999999999997E-5</v>
      </c>
      <c r="D443" s="802">
        <v>1.155E-4</v>
      </c>
      <c r="E443" s="803">
        <v>41786.75</v>
      </c>
      <c r="F443" s="803">
        <v>51836</v>
      </c>
      <c r="G443" s="803">
        <v>199712</v>
      </c>
      <c r="H443" s="803"/>
      <c r="I443" s="804">
        <v>3752</v>
      </c>
      <c r="J443" s="804">
        <v>175011</v>
      </c>
      <c r="K443" s="804">
        <v>13678</v>
      </c>
      <c r="L443" s="803">
        <v>0</v>
      </c>
      <c r="M443" s="803"/>
      <c r="N443" s="804">
        <v>6998</v>
      </c>
      <c r="O443" s="804">
        <v>64596</v>
      </c>
      <c r="P443" s="804">
        <v>0</v>
      </c>
      <c r="Q443" s="803">
        <v>15319</v>
      </c>
      <c r="R443" s="803"/>
      <c r="S443" s="804">
        <v>53380</v>
      </c>
      <c r="T443" s="805">
        <v>-5410</v>
      </c>
      <c r="U443" s="805">
        <v>47970</v>
      </c>
    </row>
    <row r="444" spans="1:21" x14ac:dyDescent="0.25">
      <c r="A444" s="800">
        <v>94541</v>
      </c>
      <c r="B444" s="801" t="s">
        <v>3081</v>
      </c>
      <c r="C444" s="802">
        <v>2.9839999999999999E-4</v>
      </c>
      <c r="D444" s="802">
        <v>2.8739999999999999E-4</v>
      </c>
      <c r="E444" s="803">
        <v>104979.31</v>
      </c>
      <c r="F444" s="803">
        <v>128983</v>
      </c>
      <c r="G444" s="803">
        <v>633305</v>
      </c>
      <c r="H444" s="803"/>
      <c r="I444" s="804">
        <v>11899</v>
      </c>
      <c r="J444" s="804">
        <v>554977</v>
      </c>
      <c r="K444" s="804">
        <v>43376</v>
      </c>
      <c r="L444" s="803">
        <v>0</v>
      </c>
      <c r="M444" s="803"/>
      <c r="N444" s="804">
        <v>22192</v>
      </c>
      <c r="O444" s="804">
        <v>204839</v>
      </c>
      <c r="P444" s="804">
        <v>0</v>
      </c>
      <c r="Q444" s="803">
        <v>23573</v>
      </c>
      <c r="R444" s="803"/>
      <c r="S444" s="804">
        <v>169273</v>
      </c>
      <c r="T444" s="805">
        <v>-7692</v>
      </c>
      <c r="U444" s="805">
        <v>161581</v>
      </c>
    </row>
    <row r="445" spans="1:21" x14ac:dyDescent="0.25">
      <c r="A445" s="800">
        <v>94547</v>
      </c>
      <c r="B445" s="801" t="s">
        <v>3082</v>
      </c>
      <c r="C445" s="802">
        <v>1.24E-5</v>
      </c>
      <c r="D445" s="802">
        <v>1.3499999999999999E-5</v>
      </c>
      <c r="E445" s="803">
        <v>7369</v>
      </c>
      <c r="F445" s="803">
        <v>6059</v>
      </c>
      <c r="G445" s="803">
        <v>26317</v>
      </c>
      <c r="H445" s="803"/>
      <c r="I445" s="804">
        <v>494.45</v>
      </c>
      <c r="J445" s="804">
        <v>23062</v>
      </c>
      <c r="K445" s="804">
        <v>1802</v>
      </c>
      <c r="L445" s="803">
        <v>2133</v>
      </c>
      <c r="M445" s="803"/>
      <c r="N445" s="804">
        <v>922</v>
      </c>
      <c r="O445" s="804">
        <v>8512</v>
      </c>
      <c r="P445" s="804">
        <v>0</v>
      </c>
      <c r="Q445" s="803">
        <v>0</v>
      </c>
      <c r="R445" s="803"/>
      <c r="S445" s="804">
        <v>7034</v>
      </c>
      <c r="T445" s="805">
        <v>656</v>
      </c>
      <c r="U445" s="805">
        <v>7690</v>
      </c>
    </row>
    <row r="446" spans="1:21" x14ac:dyDescent="0.25">
      <c r="A446" s="800">
        <v>94551</v>
      </c>
      <c r="B446" s="801" t="s">
        <v>3083</v>
      </c>
      <c r="C446" s="802">
        <v>4.5899999999999998E-5</v>
      </c>
      <c r="D446" s="802">
        <v>3.0599999999999998E-5</v>
      </c>
      <c r="E446" s="803">
        <v>22107</v>
      </c>
      <c r="F446" s="803">
        <v>13733</v>
      </c>
      <c r="G446" s="803">
        <v>97415</v>
      </c>
      <c r="H446" s="803"/>
      <c r="I446" s="804">
        <v>1830</v>
      </c>
      <c r="J446" s="804">
        <v>85367</v>
      </c>
      <c r="K446" s="804">
        <v>6672</v>
      </c>
      <c r="L446" s="803">
        <v>14242</v>
      </c>
      <c r="M446" s="803"/>
      <c r="N446" s="804">
        <v>3414</v>
      </c>
      <c r="O446" s="804">
        <v>31508</v>
      </c>
      <c r="P446" s="804">
        <v>0</v>
      </c>
      <c r="Q446" s="803">
        <v>2442</v>
      </c>
      <c r="R446" s="803"/>
      <c r="S446" s="804">
        <v>26038</v>
      </c>
      <c r="T446" s="805">
        <v>3648</v>
      </c>
      <c r="U446" s="805">
        <v>29686</v>
      </c>
    </row>
    <row r="447" spans="1:21" x14ac:dyDescent="0.25">
      <c r="A447" s="800">
        <v>94601</v>
      </c>
      <c r="B447" s="801" t="s">
        <v>3084</v>
      </c>
      <c r="C447" s="802">
        <v>1.0011E-3</v>
      </c>
      <c r="D447" s="802">
        <v>9.7179999999999999E-4</v>
      </c>
      <c r="E447" s="803">
        <v>433754</v>
      </c>
      <c r="F447" s="803">
        <v>436138</v>
      </c>
      <c r="G447" s="803">
        <v>2124670</v>
      </c>
      <c r="H447" s="803"/>
      <c r="I447" s="804">
        <v>39919</v>
      </c>
      <c r="J447" s="804">
        <v>1861888</v>
      </c>
      <c r="K447" s="804">
        <v>145521</v>
      </c>
      <c r="L447" s="803">
        <v>36047</v>
      </c>
      <c r="M447" s="803"/>
      <c r="N447" s="804">
        <v>74451</v>
      </c>
      <c r="O447" s="804">
        <v>687213</v>
      </c>
      <c r="P447" s="804">
        <v>0</v>
      </c>
      <c r="Q447" s="803">
        <v>3381</v>
      </c>
      <c r="R447" s="803"/>
      <c r="S447" s="804">
        <v>567893</v>
      </c>
      <c r="T447" s="805">
        <v>8786</v>
      </c>
      <c r="U447" s="805">
        <v>576679</v>
      </c>
    </row>
    <row r="448" spans="1:21" x14ac:dyDescent="0.25">
      <c r="A448" s="800">
        <v>94604</v>
      </c>
      <c r="B448" s="801" t="s">
        <v>3085</v>
      </c>
      <c r="C448" s="802">
        <v>2.65E-5</v>
      </c>
      <c r="D448" s="802">
        <v>2.76E-5</v>
      </c>
      <c r="E448" s="803">
        <v>12705</v>
      </c>
      <c r="F448" s="803">
        <v>12387</v>
      </c>
      <c r="G448" s="803">
        <v>56242</v>
      </c>
      <c r="H448" s="803"/>
      <c r="I448" s="804">
        <v>1056.6875</v>
      </c>
      <c r="J448" s="804">
        <v>49286</v>
      </c>
      <c r="K448" s="804">
        <v>3852</v>
      </c>
      <c r="L448" s="803">
        <v>1065</v>
      </c>
      <c r="M448" s="803"/>
      <c r="N448" s="804">
        <v>1971</v>
      </c>
      <c r="O448" s="804">
        <v>18191</v>
      </c>
      <c r="P448" s="804">
        <v>0</v>
      </c>
      <c r="Q448" s="803">
        <v>52</v>
      </c>
      <c r="R448" s="803"/>
      <c r="S448" s="804">
        <v>15033</v>
      </c>
      <c r="T448" s="805">
        <v>272</v>
      </c>
      <c r="U448" s="805">
        <v>15304</v>
      </c>
    </row>
    <row r="449" spans="1:21" x14ac:dyDescent="0.25">
      <c r="A449" s="800">
        <v>94606</v>
      </c>
      <c r="B449" s="801" t="s">
        <v>3086</v>
      </c>
      <c r="C449" s="802">
        <v>2.6229999999999998E-4</v>
      </c>
      <c r="D449" s="802">
        <v>2.8610000000000002E-4</v>
      </c>
      <c r="E449" s="803">
        <v>101571</v>
      </c>
      <c r="F449" s="803">
        <v>128400</v>
      </c>
      <c r="G449" s="803">
        <v>556688</v>
      </c>
      <c r="H449" s="803"/>
      <c r="I449" s="804">
        <v>10459</v>
      </c>
      <c r="J449" s="804">
        <v>487837</v>
      </c>
      <c r="K449" s="804">
        <v>38128</v>
      </c>
      <c r="L449" s="803">
        <v>0</v>
      </c>
      <c r="M449" s="803"/>
      <c r="N449" s="804">
        <v>19507</v>
      </c>
      <c r="O449" s="804">
        <v>180058</v>
      </c>
      <c r="P449" s="804">
        <v>0</v>
      </c>
      <c r="Q449" s="803">
        <v>52213</v>
      </c>
      <c r="R449" s="803"/>
      <c r="S449" s="804">
        <v>148795</v>
      </c>
      <c r="T449" s="805">
        <v>-19437</v>
      </c>
      <c r="U449" s="805">
        <v>129358</v>
      </c>
    </row>
    <row r="450" spans="1:21" x14ac:dyDescent="0.25">
      <c r="A450" s="800">
        <v>94611</v>
      </c>
      <c r="B450" s="801" t="s">
        <v>3087</v>
      </c>
      <c r="C450" s="802">
        <v>4.4450000000000002E-4</v>
      </c>
      <c r="D450" s="802">
        <v>4.5360000000000002E-4</v>
      </c>
      <c r="E450" s="803">
        <v>189159.12</v>
      </c>
      <c r="F450" s="803">
        <v>203573</v>
      </c>
      <c r="G450" s="803">
        <v>943378</v>
      </c>
      <c r="H450" s="803"/>
      <c r="I450" s="804">
        <v>17724.4375</v>
      </c>
      <c r="J450" s="804">
        <v>826700</v>
      </c>
      <c r="K450" s="804">
        <v>64613</v>
      </c>
      <c r="L450" s="803">
        <v>3960</v>
      </c>
      <c r="M450" s="803"/>
      <c r="N450" s="804">
        <v>33057</v>
      </c>
      <c r="O450" s="804">
        <v>305131</v>
      </c>
      <c r="P450" s="804">
        <v>0</v>
      </c>
      <c r="Q450" s="803">
        <v>4915.3</v>
      </c>
      <c r="R450" s="803"/>
      <c r="S450" s="804">
        <v>252151</v>
      </c>
      <c r="T450" s="805">
        <v>-1078</v>
      </c>
      <c r="U450" s="805">
        <v>251074</v>
      </c>
    </row>
    <row r="451" spans="1:21" x14ac:dyDescent="0.25">
      <c r="A451" s="800">
        <v>94621</v>
      </c>
      <c r="B451" s="801" t="s">
        <v>3088</v>
      </c>
      <c r="C451" s="802">
        <v>1.3119999999999999E-4</v>
      </c>
      <c r="D451" s="802">
        <v>1.5200000000000001E-4</v>
      </c>
      <c r="E451" s="803">
        <v>64393.31</v>
      </c>
      <c r="F451" s="803">
        <v>68217</v>
      </c>
      <c r="G451" s="803">
        <v>278450</v>
      </c>
      <c r="H451" s="803"/>
      <c r="I451" s="804">
        <v>5232</v>
      </c>
      <c r="J451" s="804">
        <v>244011</v>
      </c>
      <c r="K451" s="804">
        <v>19071</v>
      </c>
      <c r="L451" s="803">
        <v>13237</v>
      </c>
      <c r="M451" s="803"/>
      <c r="N451" s="804">
        <v>9757</v>
      </c>
      <c r="O451" s="804">
        <v>90063</v>
      </c>
      <c r="P451" s="804">
        <v>0</v>
      </c>
      <c r="Q451" s="803">
        <v>19570</v>
      </c>
      <c r="R451" s="803"/>
      <c r="S451" s="804">
        <v>74426</v>
      </c>
      <c r="T451" s="805">
        <v>-3</v>
      </c>
      <c r="U451" s="805">
        <v>74422</v>
      </c>
    </row>
    <row r="452" spans="1:21" x14ac:dyDescent="0.25">
      <c r="A452" s="800">
        <v>94631</v>
      </c>
      <c r="B452" s="801" t="s">
        <v>3089</v>
      </c>
      <c r="C452" s="802">
        <v>3.9799999999999998E-5</v>
      </c>
      <c r="D452" s="802">
        <v>4.0299999999999997E-5</v>
      </c>
      <c r="E452" s="803">
        <v>19878.57</v>
      </c>
      <c r="F452" s="803">
        <v>18086</v>
      </c>
      <c r="G452" s="803">
        <v>84469</v>
      </c>
      <c r="H452" s="803"/>
      <c r="I452" s="804">
        <v>1587</v>
      </c>
      <c r="J452" s="804">
        <v>74022</v>
      </c>
      <c r="K452" s="804">
        <v>5785</v>
      </c>
      <c r="L452" s="803">
        <v>5170</v>
      </c>
      <c r="M452" s="803"/>
      <c r="N452" s="804">
        <v>2960</v>
      </c>
      <c r="O452" s="804">
        <v>27321</v>
      </c>
      <c r="P452" s="804">
        <v>0</v>
      </c>
      <c r="Q452" s="803">
        <v>0</v>
      </c>
      <c r="R452" s="803"/>
      <c r="S452" s="804">
        <v>22577</v>
      </c>
      <c r="T452" s="805">
        <v>1734</v>
      </c>
      <c r="U452" s="805">
        <v>24311</v>
      </c>
    </row>
    <row r="453" spans="1:21" x14ac:dyDescent="0.25">
      <c r="A453" s="800">
        <v>94641</v>
      </c>
      <c r="B453" s="801" t="s">
        <v>3090</v>
      </c>
      <c r="C453" s="802">
        <v>4.6999999999999999E-6</v>
      </c>
      <c r="D453" s="802">
        <v>4.6999999999999999E-6</v>
      </c>
      <c r="E453" s="803">
        <v>4524.25</v>
      </c>
      <c r="F453" s="803">
        <v>2109</v>
      </c>
      <c r="G453" s="803">
        <v>9975</v>
      </c>
      <c r="H453" s="803"/>
      <c r="I453" s="804">
        <v>187.41249999999999</v>
      </c>
      <c r="J453" s="804">
        <v>8741</v>
      </c>
      <c r="K453" s="804">
        <v>683</v>
      </c>
      <c r="L453" s="803">
        <v>4799</v>
      </c>
      <c r="M453" s="803"/>
      <c r="N453" s="804">
        <v>350</v>
      </c>
      <c r="O453" s="804">
        <v>3226</v>
      </c>
      <c r="P453" s="804">
        <v>0</v>
      </c>
      <c r="Q453" s="803">
        <v>0</v>
      </c>
      <c r="R453" s="803"/>
      <c r="S453" s="804">
        <v>2666</v>
      </c>
      <c r="T453" s="805">
        <v>1678</v>
      </c>
      <c r="U453" s="805">
        <v>4344</v>
      </c>
    </row>
    <row r="454" spans="1:21" x14ac:dyDescent="0.25">
      <c r="A454" s="800">
        <v>94701</v>
      </c>
      <c r="B454" s="801" t="s">
        <v>3091</v>
      </c>
      <c r="C454" s="802">
        <v>2.5636000000000001E-3</v>
      </c>
      <c r="D454" s="802">
        <v>2.6064999999999999E-3</v>
      </c>
      <c r="E454" s="803">
        <v>956457</v>
      </c>
      <c r="F454" s="803">
        <v>1169782</v>
      </c>
      <c r="G454" s="803">
        <v>5440818</v>
      </c>
      <c r="H454" s="803"/>
      <c r="I454" s="804">
        <v>102223.55</v>
      </c>
      <c r="J454" s="804">
        <v>4767891</v>
      </c>
      <c r="K454" s="804">
        <v>372647</v>
      </c>
      <c r="L454" s="803">
        <v>75767</v>
      </c>
      <c r="M454" s="803"/>
      <c r="N454" s="804">
        <v>190652</v>
      </c>
      <c r="O454" s="804">
        <v>1759804</v>
      </c>
      <c r="P454" s="804">
        <v>0</v>
      </c>
      <c r="Q454" s="803">
        <v>100921</v>
      </c>
      <c r="R454" s="803"/>
      <c r="S454" s="804">
        <v>1454251</v>
      </c>
      <c r="T454" s="805">
        <v>4371</v>
      </c>
      <c r="U454" s="805">
        <v>1458622</v>
      </c>
    </row>
    <row r="455" spans="1:21" x14ac:dyDescent="0.25">
      <c r="A455" s="800">
        <v>94704</v>
      </c>
      <c r="B455" s="801" t="s">
        <v>3092</v>
      </c>
      <c r="C455" s="802">
        <v>1.04E-5</v>
      </c>
      <c r="D455" s="802">
        <v>1.0900000000000001E-5</v>
      </c>
      <c r="E455" s="803">
        <v>4510</v>
      </c>
      <c r="F455" s="803">
        <v>4892</v>
      </c>
      <c r="G455" s="803">
        <v>22072</v>
      </c>
      <c r="H455" s="803"/>
      <c r="I455" s="804">
        <v>414.7</v>
      </c>
      <c r="J455" s="804">
        <v>19342</v>
      </c>
      <c r="K455" s="804">
        <v>1512</v>
      </c>
      <c r="L455" s="803">
        <v>147</v>
      </c>
      <c r="M455" s="803"/>
      <c r="N455" s="804">
        <v>773</v>
      </c>
      <c r="O455" s="804">
        <v>7139</v>
      </c>
      <c r="P455" s="804">
        <v>0</v>
      </c>
      <c r="Q455" s="803">
        <v>86</v>
      </c>
      <c r="R455" s="803"/>
      <c r="S455" s="804">
        <v>5900</v>
      </c>
      <c r="T455" s="805">
        <v>47</v>
      </c>
      <c r="U455" s="805">
        <v>5946</v>
      </c>
    </row>
    <row r="456" spans="1:21" x14ac:dyDescent="0.25">
      <c r="A456" s="800">
        <v>94711</v>
      </c>
      <c r="B456" s="801" t="s">
        <v>3093</v>
      </c>
      <c r="C456" s="802">
        <v>3.5110000000000002E-4</v>
      </c>
      <c r="D456" s="802">
        <v>3.5270000000000001E-4</v>
      </c>
      <c r="E456" s="803">
        <v>140447</v>
      </c>
      <c r="F456" s="803">
        <v>158290</v>
      </c>
      <c r="G456" s="803">
        <v>745152</v>
      </c>
      <c r="H456" s="803"/>
      <c r="I456" s="804">
        <v>14000</v>
      </c>
      <c r="J456" s="804">
        <v>652991</v>
      </c>
      <c r="K456" s="804">
        <v>51036</v>
      </c>
      <c r="L456" s="803">
        <v>14121</v>
      </c>
      <c r="M456" s="803"/>
      <c r="N456" s="804">
        <v>26111</v>
      </c>
      <c r="O456" s="804">
        <v>241015</v>
      </c>
      <c r="P456" s="804">
        <v>0</v>
      </c>
      <c r="Q456" s="803">
        <v>8957</v>
      </c>
      <c r="R456" s="803"/>
      <c r="S456" s="804">
        <v>199168</v>
      </c>
      <c r="T456" s="805">
        <v>1479</v>
      </c>
      <c r="U456" s="805">
        <v>200647</v>
      </c>
    </row>
    <row r="457" spans="1:21" x14ac:dyDescent="0.25">
      <c r="A457" s="800">
        <v>94801</v>
      </c>
      <c r="B457" s="801" t="s">
        <v>3094</v>
      </c>
      <c r="C457" s="802">
        <v>7.6539999999999996E-4</v>
      </c>
      <c r="D457" s="802">
        <v>7.425E-4</v>
      </c>
      <c r="E457" s="803">
        <v>315764</v>
      </c>
      <c r="F457" s="803">
        <v>333230</v>
      </c>
      <c r="G457" s="803">
        <v>1624435</v>
      </c>
      <c r="H457" s="803"/>
      <c r="I457" s="804">
        <v>30520</v>
      </c>
      <c r="J457" s="804">
        <v>1423523</v>
      </c>
      <c r="K457" s="804">
        <v>111259</v>
      </c>
      <c r="L457" s="803">
        <v>62992</v>
      </c>
      <c r="M457" s="803"/>
      <c r="N457" s="804">
        <v>56922</v>
      </c>
      <c r="O457" s="804">
        <v>525415</v>
      </c>
      <c r="P457" s="804">
        <v>0</v>
      </c>
      <c r="Q457" s="803">
        <v>0</v>
      </c>
      <c r="R457" s="803"/>
      <c r="S457" s="804">
        <v>434188</v>
      </c>
      <c r="T457" s="805">
        <v>22612</v>
      </c>
      <c r="U457" s="805">
        <v>456800</v>
      </c>
    </row>
    <row r="458" spans="1:21" x14ac:dyDescent="0.25">
      <c r="A458" s="800">
        <v>94804</v>
      </c>
      <c r="B458" s="801" t="s">
        <v>3095</v>
      </c>
      <c r="C458" s="802">
        <v>3.8E-6</v>
      </c>
      <c r="D458" s="802">
        <v>5.5999999999999997E-6</v>
      </c>
      <c r="E458" s="803">
        <v>2421</v>
      </c>
      <c r="F458" s="803">
        <v>2513</v>
      </c>
      <c r="G458" s="803">
        <v>8065</v>
      </c>
      <c r="H458" s="803"/>
      <c r="I458" s="804">
        <v>151.52500000000001</v>
      </c>
      <c r="J458" s="804">
        <v>7067</v>
      </c>
      <c r="K458" s="804">
        <v>552</v>
      </c>
      <c r="L458" s="803">
        <v>3516</v>
      </c>
      <c r="M458" s="803"/>
      <c r="N458" s="804">
        <v>283</v>
      </c>
      <c r="O458" s="804">
        <v>2609</v>
      </c>
      <c r="P458" s="804">
        <v>0</v>
      </c>
      <c r="Q458" s="803">
        <v>294</v>
      </c>
      <c r="R458" s="803"/>
      <c r="S458" s="804">
        <v>2156</v>
      </c>
      <c r="T458" s="805">
        <v>1680</v>
      </c>
      <c r="U458" s="805">
        <v>3836</v>
      </c>
    </row>
    <row r="459" spans="1:21" x14ac:dyDescent="0.25">
      <c r="A459" s="800">
        <v>94812</v>
      </c>
      <c r="B459" s="801" t="s">
        <v>3096</v>
      </c>
      <c r="C459" s="802">
        <v>3.3500000000000001E-5</v>
      </c>
      <c r="D459" s="802">
        <v>2.8200000000000001E-5</v>
      </c>
      <c r="E459" s="803">
        <v>17637</v>
      </c>
      <c r="F459" s="803">
        <v>12656</v>
      </c>
      <c r="G459" s="803">
        <v>71098</v>
      </c>
      <c r="H459" s="803"/>
      <c r="I459" s="804">
        <v>1335.8125</v>
      </c>
      <c r="J459" s="804">
        <v>62305</v>
      </c>
      <c r="K459" s="804">
        <v>4870</v>
      </c>
      <c r="L459" s="803">
        <v>10393</v>
      </c>
      <c r="M459" s="803"/>
      <c r="N459" s="804">
        <v>2491</v>
      </c>
      <c r="O459" s="804">
        <v>22996</v>
      </c>
      <c r="P459" s="804">
        <v>0</v>
      </c>
      <c r="Q459" s="803">
        <v>0</v>
      </c>
      <c r="R459" s="803"/>
      <c r="S459" s="804">
        <v>19004</v>
      </c>
      <c r="T459" s="805">
        <v>3222</v>
      </c>
      <c r="U459" s="805">
        <v>22225</v>
      </c>
    </row>
    <row r="460" spans="1:21" x14ac:dyDescent="0.25">
      <c r="A460" s="800">
        <v>94901</v>
      </c>
      <c r="B460" s="801" t="s">
        <v>3097</v>
      </c>
      <c r="C460" s="802">
        <v>7.0014999999999999E-3</v>
      </c>
      <c r="D460" s="802">
        <v>6.6921999999999997E-3</v>
      </c>
      <c r="E460" s="803">
        <v>2681224</v>
      </c>
      <c r="F460" s="803">
        <v>3003419</v>
      </c>
      <c r="G460" s="803">
        <v>14859529</v>
      </c>
      <c r="H460" s="803"/>
      <c r="I460" s="804">
        <v>279185</v>
      </c>
      <c r="J460" s="804">
        <v>13021684</v>
      </c>
      <c r="K460" s="804">
        <v>1017745</v>
      </c>
      <c r="L460" s="803">
        <v>28689</v>
      </c>
      <c r="M460" s="803"/>
      <c r="N460" s="804">
        <v>520695</v>
      </c>
      <c r="O460" s="804">
        <v>4806236</v>
      </c>
      <c r="P460" s="804">
        <v>0</v>
      </c>
      <c r="Q460" s="803">
        <v>82188</v>
      </c>
      <c r="R460" s="803"/>
      <c r="S460" s="804">
        <v>3971734</v>
      </c>
      <c r="T460" s="805">
        <v>-17216</v>
      </c>
      <c r="U460" s="805">
        <v>3954518</v>
      </c>
    </row>
    <row r="461" spans="1:21" x14ac:dyDescent="0.25">
      <c r="A461" s="800">
        <v>94908</v>
      </c>
      <c r="B461" s="801" t="s">
        <v>3098</v>
      </c>
      <c r="C461" s="802">
        <v>3.9799999999999998E-5</v>
      </c>
      <c r="D461" s="802">
        <v>4.2799999999999997E-5</v>
      </c>
      <c r="E461" s="803">
        <v>16384</v>
      </c>
      <c r="F461" s="803">
        <v>19208</v>
      </c>
      <c r="G461" s="803">
        <v>84469</v>
      </c>
      <c r="H461" s="803"/>
      <c r="I461" s="804">
        <v>1587</v>
      </c>
      <c r="J461" s="804">
        <v>74022</v>
      </c>
      <c r="K461" s="804">
        <v>5785</v>
      </c>
      <c r="L461" s="803">
        <v>0</v>
      </c>
      <c r="M461" s="803"/>
      <c r="N461" s="804">
        <v>2960</v>
      </c>
      <c r="O461" s="804">
        <v>27321</v>
      </c>
      <c r="P461" s="804">
        <v>0</v>
      </c>
      <c r="Q461" s="803">
        <v>5878</v>
      </c>
      <c r="R461" s="803"/>
      <c r="S461" s="804">
        <v>22577</v>
      </c>
      <c r="T461" s="805">
        <v>-2269</v>
      </c>
      <c r="U461" s="805">
        <v>20308</v>
      </c>
    </row>
    <row r="462" spans="1:21" x14ac:dyDescent="0.25">
      <c r="A462" s="800">
        <v>94911</v>
      </c>
      <c r="B462" s="801" t="s">
        <v>3099</v>
      </c>
      <c r="C462" s="802">
        <v>2.7745999999999999E-3</v>
      </c>
      <c r="D462" s="802">
        <v>2.8086000000000001E-3</v>
      </c>
      <c r="E462" s="803">
        <v>1108370.94</v>
      </c>
      <c r="F462" s="803">
        <v>1260483</v>
      </c>
      <c r="G462" s="803">
        <v>5888631</v>
      </c>
      <c r="H462" s="803"/>
      <c r="I462" s="804">
        <v>110637</v>
      </c>
      <c r="J462" s="804">
        <v>5160318</v>
      </c>
      <c r="K462" s="804">
        <v>403319</v>
      </c>
      <c r="L462" s="803">
        <v>7508</v>
      </c>
      <c r="M462" s="803"/>
      <c r="N462" s="804">
        <v>206344</v>
      </c>
      <c r="O462" s="804">
        <v>1904646</v>
      </c>
      <c r="P462" s="804">
        <v>0</v>
      </c>
      <c r="Q462" s="803">
        <v>58992</v>
      </c>
      <c r="R462" s="803"/>
      <c r="S462" s="804">
        <v>1573945</v>
      </c>
      <c r="T462" s="805">
        <v>-16182</v>
      </c>
      <c r="U462" s="805">
        <v>1557762</v>
      </c>
    </row>
    <row r="463" spans="1:21" x14ac:dyDescent="0.25">
      <c r="A463" s="800">
        <v>94917</v>
      </c>
      <c r="B463" s="801" t="s">
        <v>3100</v>
      </c>
      <c r="C463" s="802">
        <v>3.7400000000000001E-5</v>
      </c>
      <c r="D463" s="802">
        <v>4.0399999999999999E-5</v>
      </c>
      <c r="E463" s="803">
        <v>24113.03</v>
      </c>
      <c r="F463" s="803">
        <v>18131</v>
      </c>
      <c r="G463" s="803">
        <v>79375</v>
      </c>
      <c r="H463" s="803"/>
      <c r="I463" s="804">
        <v>1491.325</v>
      </c>
      <c r="J463" s="804">
        <v>69558</v>
      </c>
      <c r="K463" s="804">
        <v>5437</v>
      </c>
      <c r="L463" s="803">
        <v>14598</v>
      </c>
      <c r="M463" s="803"/>
      <c r="N463" s="804">
        <v>2781</v>
      </c>
      <c r="O463" s="804">
        <v>25674</v>
      </c>
      <c r="P463" s="804">
        <v>0</v>
      </c>
      <c r="Q463" s="803">
        <v>0</v>
      </c>
      <c r="R463" s="803"/>
      <c r="S463" s="804">
        <v>21216</v>
      </c>
      <c r="T463" s="805">
        <v>5296</v>
      </c>
      <c r="U463" s="805">
        <v>26512</v>
      </c>
    </row>
    <row r="464" spans="1:21" x14ac:dyDescent="0.25">
      <c r="A464" s="800">
        <v>94921</v>
      </c>
      <c r="B464" s="801" t="s">
        <v>3101</v>
      </c>
      <c r="C464" s="802">
        <v>3.7063E-3</v>
      </c>
      <c r="D464" s="802">
        <v>4.0699999999999998E-3</v>
      </c>
      <c r="E464" s="803">
        <v>1372917.85</v>
      </c>
      <c r="F464" s="803">
        <v>1826592</v>
      </c>
      <c r="G464" s="803">
        <v>7866010</v>
      </c>
      <c r="H464" s="803"/>
      <c r="I464" s="804">
        <v>147789</v>
      </c>
      <c r="J464" s="804">
        <v>6893132</v>
      </c>
      <c r="K464" s="804">
        <v>538751</v>
      </c>
      <c r="L464" s="803">
        <v>0</v>
      </c>
      <c r="M464" s="803"/>
      <c r="N464" s="804">
        <v>275634</v>
      </c>
      <c r="O464" s="804">
        <v>2544219</v>
      </c>
      <c r="P464" s="804">
        <v>0</v>
      </c>
      <c r="Q464" s="803">
        <v>505665</v>
      </c>
      <c r="R464" s="803"/>
      <c r="S464" s="804">
        <v>2102469</v>
      </c>
      <c r="T464" s="805">
        <v>-155426</v>
      </c>
      <c r="U464" s="805">
        <v>1947043</v>
      </c>
    </row>
    <row r="465" spans="1:21" x14ac:dyDescent="0.25">
      <c r="A465" s="800">
        <v>94923</v>
      </c>
      <c r="B465" s="801" t="s">
        <v>3102</v>
      </c>
      <c r="C465" s="802">
        <v>2.4499999999999999E-5</v>
      </c>
      <c r="D465" s="802">
        <v>2.9300000000000001E-5</v>
      </c>
      <c r="E465" s="803">
        <v>14094</v>
      </c>
      <c r="F465" s="803">
        <v>13150</v>
      </c>
      <c r="G465" s="803">
        <v>51997</v>
      </c>
      <c r="H465" s="803"/>
      <c r="I465" s="804">
        <v>976.9375</v>
      </c>
      <c r="J465" s="804">
        <v>45566</v>
      </c>
      <c r="K465" s="804">
        <v>3561</v>
      </c>
      <c r="L465" s="803">
        <v>1458</v>
      </c>
      <c r="M465" s="803"/>
      <c r="N465" s="804">
        <v>1822</v>
      </c>
      <c r="O465" s="804">
        <v>16818</v>
      </c>
      <c r="P465" s="804">
        <v>0</v>
      </c>
      <c r="Q465" s="803">
        <v>173</v>
      </c>
      <c r="R465" s="803"/>
      <c r="S465" s="804">
        <v>13898</v>
      </c>
      <c r="T465" s="805">
        <v>373</v>
      </c>
      <c r="U465" s="805">
        <v>14272</v>
      </c>
    </row>
    <row r="466" spans="1:21" x14ac:dyDescent="0.25">
      <c r="A466" s="800">
        <v>94927</v>
      </c>
      <c r="B466" s="801" t="s">
        <v>3103</v>
      </c>
      <c r="C466" s="802">
        <v>3.3899999999999997E-5</v>
      </c>
      <c r="D466" s="802">
        <v>3.2700000000000002E-5</v>
      </c>
      <c r="E466" s="803">
        <v>16597.12</v>
      </c>
      <c r="F466" s="803">
        <v>14676</v>
      </c>
      <c r="G466" s="803">
        <v>71947</v>
      </c>
      <c r="H466" s="803"/>
      <c r="I466" s="804">
        <v>1352</v>
      </c>
      <c r="J466" s="804">
        <v>63049</v>
      </c>
      <c r="K466" s="804">
        <v>4928</v>
      </c>
      <c r="L466" s="803">
        <v>3081</v>
      </c>
      <c r="M466" s="803"/>
      <c r="N466" s="804">
        <v>2521</v>
      </c>
      <c r="O466" s="804">
        <v>23271</v>
      </c>
      <c r="P466" s="804">
        <v>0</v>
      </c>
      <c r="Q466" s="803">
        <v>52</v>
      </c>
      <c r="R466" s="803"/>
      <c r="S466" s="804">
        <v>19230</v>
      </c>
      <c r="T466" s="805">
        <v>803</v>
      </c>
      <c r="U466" s="805">
        <v>20033</v>
      </c>
    </row>
    <row r="467" spans="1:21" x14ac:dyDescent="0.25">
      <c r="A467" s="800">
        <v>94931</v>
      </c>
      <c r="B467" s="801" t="s">
        <v>3104</v>
      </c>
      <c r="C467" s="802">
        <v>2.1130000000000001E-4</v>
      </c>
      <c r="D467" s="802">
        <v>2.4020000000000001E-4</v>
      </c>
      <c r="E467" s="803">
        <v>88195.43</v>
      </c>
      <c r="F467" s="803">
        <v>107800</v>
      </c>
      <c r="G467" s="803">
        <v>448449</v>
      </c>
      <c r="H467" s="803"/>
      <c r="I467" s="804">
        <v>8426</v>
      </c>
      <c r="J467" s="804">
        <v>392985</v>
      </c>
      <c r="K467" s="804">
        <v>30715</v>
      </c>
      <c r="L467" s="803">
        <v>0</v>
      </c>
      <c r="M467" s="803"/>
      <c r="N467" s="804">
        <v>15714</v>
      </c>
      <c r="O467" s="804">
        <v>145049</v>
      </c>
      <c r="P467" s="804">
        <v>0</v>
      </c>
      <c r="Q467" s="803">
        <v>23880</v>
      </c>
      <c r="R467" s="803"/>
      <c r="S467" s="804">
        <v>119864</v>
      </c>
      <c r="T467" s="805">
        <v>-8140</v>
      </c>
      <c r="U467" s="805">
        <v>111724</v>
      </c>
    </row>
    <row r="468" spans="1:21" x14ac:dyDescent="0.25">
      <c r="A468" s="800">
        <v>94941</v>
      </c>
      <c r="B468" s="801" t="s">
        <v>3105</v>
      </c>
      <c r="C468" s="802">
        <v>5.2959999999999997E-4</v>
      </c>
      <c r="D468" s="802">
        <v>5.0549999999999998E-4</v>
      </c>
      <c r="E468" s="803">
        <v>202001.05</v>
      </c>
      <c r="F468" s="803">
        <v>226865</v>
      </c>
      <c r="G468" s="803">
        <v>1123989</v>
      </c>
      <c r="H468" s="803"/>
      <c r="I468" s="804">
        <v>21117.8</v>
      </c>
      <c r="J468" s="804">
        <v>984972</v>
      </c>
      <c r="K468" s="804">
        <v>76983</v>
      </c>
      <c r="L468" s="803">
        <v>96457</v>
      </c>
      <c r="M468" s="803"/>
      <c r="N468" s="804">
        <v>39386</v>
      </c>
      <c r="O468" s="804">
        <v>363548</v>
      </c>
      <c r="P468" s="804">
        <v>0</v>
      </c>
      <c r="Q468" s="803">
        <v>0</v>
      </c>
      <c r="R468" s="803"/>
      <c r="S468" s="804">
        <v>300426</v>
      </c>
      <c r="T468" s="805">
        <v>42457</v>
      </c>
      <c r="U468" s="805">
        <v>342883</v>
      </c>
    </row>
    <row r="469" spans="1:21" x14ac:dyDescent="0.25">
      <c r="A469" s="800">
        <v>95001</v>
      </c>
      <c r="B469" s="801" t="s">
        <v>3106</v>
      </c>
      <c r="C469" s="802">
        <v>2.3779000000000001E-3</v>
      </c>
      <c r="D469" s="802">
        <v>2.3674E-3</v>
      </c>
      <c r="E469" s="803">
        <v>1026879.06</v>
      </c>
      <c r="F469" s="803">
        <v>1062475</v>
      </c>
      <c r="G469" s="803">
        <v>5046700</v>
      </c>
      <c r="H469" s="803"/>
      <c r="I469" s="804">
        <v>94819</v>
      </c>
      <c r="J469" s="804">
        <v>4422518</v>
      </c>
      <c r="K469" s="804">
        <v>345654</v>
      </c>
      <c r="L469" s="803">
        <v>86860</v>
      </c>
      <c r="M469" s="803"/>
      <c r="N469" s="804">
        <v>176842</v>
      </c>
      <c r="O469" s="804">
        <v>1632328</v>
      </c>
      <c r="P469" s="804">
        <v>0</v>
      </c>
      <c r="Q469" s="803">
        <v>8022</v>
      </c>
      <c r="R469" s="803"/>
      <c r="S469" s="804">
        <v>1348909</v>
      </c>
      <c r="T469" s="805">
        <v>22510</v>
      </c>
      <c r="U469" s="805">
        <v>1371419</v>
      </c>
    </row>
    <row r="470" spans="1:21" x14ac:dyDescent="0.25">
      <c r="A470" s="800">
        <v>95002</v>
      </c>
      <c r="B470" s="801" t="s">
        <v>3107</v>
      </c>
      <c r="C470" s="802">
        <v>2.0120000000000001E-4</v>
      </c>
      <c r="D470" s="802">
        <v>1.919E-4</v>
      </c>
      <c r="E470" s="803">
        <v>91760.39</v>
      </c>
      <c r="F470" s="803">
        <v>86124</v>
      </c>
      <c r="G470" s="803">
        <v>427014</v>
      </c>
      <c r="H470" s="803"/>
      <c r="I470" s="804">
        <v>8022.85</v>
      </c>
      <c r="J470" s="804">
        <v>374200</v>
      </c>
      <c r="K470" s="804">
        <v>29247</v>
      </c>
      <c r="L470" s="803">
        <v>17432</v>
      </c>
      <c r="M470" s="803"/>
      <c r="N470" s="804">
        <v>14963</v>
      </c>
      <c r="O470" s="804">
        <v>138115</v>
      </c>
      <c r="P470" s="804">
        <v>0</v>
      </c>
      <c r="Q470" s="803">
        <v>0</v>
      </c>
      <c r="R470" s="803"/>
      <c r="S470" s="804">
        <v>114135</v>
      </c>
      <c r="T470" s="805">
        <v>5391</v>
      </c>
      <c r="U470" s="805">
        <v>119526</v>
      </c>
    </row>
    <row r="471" spans="1:21" x14ac:dyDescent="0.25">
      <c r="A471" s="800">
        <v>95005</v>
      </c>
      <c r="B471" s="801" t="s">
        <v>3108</v>
      </c>
      <c r="C471" s="802">
        <v>2.3829999999999999E-4</v>
      </c>
      <c r="D471" s="802">
        <v>2.4499999999999999E-4</v>
      </c>
      <c r="E471" s="803">
        <v>102067</v>
      </c>
      <c r="F471" s="803">
        <v>109954.53</v>
      </c>
      <c r="G471" s="803">
        <v>505752</v>
      </c>
      <c r="H471" s="803"/>
      <c r="I471" s="804">
        <v>9502</v>
      </c>
      <c r="J471" s="804">
        <v>443200</v>
      </c>
      <c r="K471" s="804">
        <v>34640</v>
      </c>
      <c r="L471" s="803">
        <v>23207</v>
      </c>
      <c r="M471" s="803"/>
      <c r="N471" s="804">
        <v>17722</v>
      </c>
      <c r="O471" s="804">
        <v>163583</v>
      </c>
      <c r="P471" s="804">
        <v>0</v>
      </c>
      <c r="Q471" s="803">
        <v>399</v>
      </c>
      <c r="R471" s="803"/>
      <c r="S471" s="804">
        <v>135180</v>
      </c>
      <c r="T471" s="805">
        <v>9376</v>
      </c>
      <c r="U471" s="805">
        <v>144556</v>
      </c>
    </row>
    <row r="472" spans="1:21" x14ac:dyDescent="0.25">
      <c r="A472" s="800">
        <v>95008</v>
      </c>
      <c r="B472" s="801" t="s">
        <v>3109</v>
      </c>
      <c r="C472" s="802">
        <v>1.169E-4</v>
      </c>
      <c r="D472" s="802">
        <v>1.3669999999999999E-4</v>
      </c>
      <c r="E472" s="803">
        <v>50977.440000000002</v>
      </c>
      <c r="F472" s="803">
        <v>61350</v>
      </c>
      <c r="G472" s="803">
        <v>248101</v>
      </c>
      <c r="H472" s="803"/>
      <c r="I472" s="804">
        <v>4661</v>
      </c>
      <c r="J472" s="804">
        <v>217416</v>
      </c>
      <c r="K472" s="804">
        <v>16993</v>
      </c>
      <c r="L472" s="803">
        <v>21945</v>
      </c>
      <c r="M472" s="803"/>
      <c r="N472" s="804">
        <v>8694</v>
      </c>
      <c r="O472" s="804">
        <v>80247</v>
      </c>
      <c r="P472" s="804">
        <v>0</v>
      </c>
      <c r="Q472" s="803">
        <v>8420</v>
      </c>
      <c r="R472" s="803"/>
      <c r="S472" s="804">
        <v>66314</v>
      </c>
      <c r="T472" s="805">
        <v>7393</v>
      </c>
      <c r="U472" s="805">
        <v>73707</v>
      </c>
    </row>
    <row r="473" spans="1:21" x14ac:dyDescent="0.25">
      <c r="A473" s="800">
        <v>95009</v>
      </c>
      <c r="B473" s="801" t="s">
        <v>3110</v>
      </c>
      <c r="C473" s="802">
        <v>3.9902000000000002E-3</v>
      </c>
      <c r="D473" s="802">
        <v>3.614E-3</v>
      </c>
      <c r="E473" s="803">
        <v>1651705</v>
      </c>
      <c r="F473" s="803">
        <v>1621942</v>
      </c>
      <c r="G473" s="803">
        <v>8468541</v>
      </c>
      <c r="H473" s="803"/>
      <c r="I473" s="804">
        <v>159109</v>
      </c>
      <c r="J473" s="804">
        <v>7421142</v>
      </c>
      <c r="K473" s="804">
        <v>580019</v>
      </c>
      <c r="L473" s="803">
        <v>1306132</v>
      </c>
      <c r="M473" s="803"/>
      <c r="N473" s="804">
        <v>296747</v>
      </c>
      <c r="O473" s="804">
        <v>2739105</v>
      </c>
      <c r="P473" s="804">
        <v>0</v>
      </c>
      <c r="Q473" s="803">
        <v>0</v>
      </c>
      <c r="R473" s="803"/>
      <c r="S473" s="804">
        <v>2263517</v>
      </c>
      <c r="T473" s="805">
        <v>547444</v>
      </c>
      <c r="U473" s="805">
        <v>2810961</v>
      </c>
    </row>
    <row r="474" spans="1:21" x14ac:dyDescent="0.25">
      <c r="A474" s="800">
        <v>95011</v>
      </c>
      <c r="B474" s="801" t="s">
        <v>3111</v>
      </c>
      <c r="C474" s="802">
        <v>1.707E-4</v>
      </c>
      <c r="D474" s="802">
        <v>1.8760000000000001E-4</v>
      </c>
      <c r="E474" s="803">
        <v>71948</v>
      </c>
      <c r="F474" s="803">
        <v>84194</v>
      </c>
      <c r="G474" s="803">
        <v>362283</v>
      </c>
      <c r="H474" s="803"/>
      <c r="I474" s="804">
        <v>6807</v>
      </c>
      <c r="J474" s="804">
        <v>317475</v>
      </c>
      <c r="K474" s="804">
        <v>24813</v>
      </c>
      <c r="L474" s="803">
        <v>0</v>
      </c>
      <c r="M474" s="803"/>
      <c r="N474" s="804">
        <v>12695</v>
      </c>
      <c r="O474" s="804">
        <v>117178</v>
      </c>
      <c r="P474" s="804">
        <v>0</v>
      </c>
      <c r="Q474" s="803">
        <v>13568</v>
      </c>
      <c r="R474" s="803"/>
      <c r="S474" s="804">
        <v>96833</v>
      </c>
      <c r="T474" s="805">
        <v>-4659</v>
      </c>
      <c r="U474" s="805">
        <v>92174</v>
      </c>
    </row>
    <row r="475" spans="1:21" x14ac:dyDescent="0.25">
      <c r="A475" s="800">
        <v>95017</v>
      </c>
      <c r="B475" s="801" t="s">
        <v>3112</v>
      </c>
      <c r="C475" s="802">
        <v>3.5800000000000003E-5</v>
      </c>
      <c r="D475" s="802">
        <v>3.9900000000000001E-5</v>
      </c>
      <c r="E475" s="803">
        <v>21743.88</v>
      </c>
      <c r="F475" s="803">
        <v>17907</v>
      </c>
      <c r="G475" s="803">
        <v>75980</v>
      </c>
      <c r="H475" s="803"/>
      <c r="I475" s="804">
        <v>1427.5250000000001</v>
      </c>
      <c r="J475" s="804">
        <v>66582</v>
      </c>
      <c r="K475" s="804">
        <v>5204</v>
      </c>
      <c r="L475" s="803">
        <v>20942</v>
      </c>
      <c r="M475" s="803"/>
      <c r="N475" s="804">
        <v>2662</v>
      </c>
      <c r="O475" s="804">
        <v>24575</v>
      </c>
      <c r="P475" s="804">
        <v>0</v>
      </c>
      <c r="Q475" s="803">
        <v>0</v>
      </c>
      <c r="R475" s="803"/>
      <c r="S475" s="804">
        <v>20308</v>
      </c>
      <c r="T475" s="805">
        <v>7629</v>
      </c>
      <c r="U475" s="805">
        <v>27937</v>
      </c>
    </row>
    <row r="476" spans="1:21" x14ac:dyDescent="0.25">
      <c r="A476" s="800">
        <v>95101</v>
      </c>
      <c r="B476" s="801" t="s">
        <v>3113</v>
      </c>
      <c r="C476" s="802">
        <v>8.0955999999999997E-3</v>
      </c>
      <c r="D476" s="802">
        <v>7.8796000000000005E-3</v>
      </c>
      <c r="E476" s="803">
        <v>3063500.72</v>
      </c>
      <c r="F476" s="803">
        <v>3536317</v>
      </c>
      <c r="G476" s="803">
        <v>17181575</v>
      </c>
      <c r="H476" s="803"/>
      <c r="I476" s="804">
        <v>322812.05</v>
      </c>
      <c r="J476" s="804">
        <v>15056537</v>
      </c>
      <c r="K476" s="804">
        <v>1176785</v>
      </c>
      <c r="L476" s="803">
        <v>77016</v>
      </c>
      <c r="M476" s="803"/>
      <c r="N476" s="804">
        <v>602062</v>
      </c>
      <c r="O476" s="804">
        <v>5557289</v>
      </c>
      <c r="P476" s="804">
        <v>0</v>
      </c>
      <c r="Q476" s="803">
        <v>94065</v>
      </c>
      <c r="R476" s="803"/>
      <c r="S476" s="804">
        <v>4592383</v>
      </c>
      <c r="T476" s="805">
        <v>13084</v>
      </c>
      <c r="U476" s="805">
        <v>4605467</v>
      </c>
    </row>
    <row r="477" spans="1:21" x14ac:dyDescent="0.25">
      <c r="A477" s="800">
        <v>95103</v>
      </c>
      <c r="B477" s="801" t="s">
        <v>3114</v>
      </c>
      <c r="C477" s="802">
        <v>6.02E-5</v>
      </c>
      <c r="D477" s="802">
        <v>5.91E-5</v>
      </c>
      <c r="E477" s="803">
        <v>34084</v>
      </c>
      <c r="F477" s="803">
        <v>26524</v>
      </c>
      <c r="G477" s="803">
        <v>127765</v>
      </c>
      <c r="H477" s="803"/>
      <c r="I477" s="804">
        <v>2400.4749999999999</v>
      </c>
      <c r="J477" s="804">
        <v>111962</v>
      </c>
      <c r="K477" s="804">
        <v>8751</v>
      </c>
      <c r="L477" s="803">
        <v>41064</v>
      </c>
      <c r="M477" s="803"/>
      <c r="N477" s="804">
        <v>4477</v>
      </c>
      <c r="O477" s="804">
        <v>41325</v>
      </c>
      <c r="P477" s="804">
        <v>0</v>
      </c>
      <c r="Q477" s="803">
        <v>0</v>
      </c>
      <c r="R477" s="803"/>
      <c r="S477" s="804">
        <v>34150</v>
      </c>
      <c r="T477" s="805">
        <v>17815</v>
      </c>
      <c r="U477" s="805">
        <v>51965</v>
      </c>
    </row>
    <row r="478" spans="1:21" x14ac:dyDescent="0.25">
      <c r="A478" s="800">
        <v>95104</v>
      </c>
      <c r="B478" s="801" t="s">
        <v>3115</v>
      </c>
      <c r="C478" s="802">
        <v>1.011E-4</v>
      </c>
      <c r="D478" s="802">
        <v>1.022E-4</v>
      </c>
      <c r="E478" s="803">
        <v>48495.61</v>
      </c>
      <c r="F478" s="803">
        <v>45867</v>
      </c>
      <c r="G478" s="803">
        <v>214568</v>
      </c>
      <c r="H478" s="803"/>
      <c r="I478" s="804">
        <v>4031</v>
      </c>
      <c r="J478" s="804">
        <v>188030</v>
      </c>
      <c r="K478" s="804">
        <v>14696</v>
      </c>
      <c r="L478" s="803">
        <v>18344</v>
      </c>
      <c r="M478" s="803"/>
      <c r="N478" s="804">
        <v>7519</v>
      </c>
      <c r="O478" s="804">
        <v>69401</v>
      </c>
      <c r="P478" s="804">
        <v>0</v>
      </c>
      <c r="Q478" s="803">
        <v>0</v>
      </c>
      <c r="R478" s="803"/>
      <c r="S478" s="804">
        <v>57351</v>
      </c>
      <c r="T478" s="805">
        <v>6442</v>
      </c>
      <c r="U478" s="805">
        <v>63793</v>
      </c>
    </row>
    <row r="479" spans="1:21" x14ac:dyDescent="0.25">
      <c r="A479" s="800">
        <v>95105</v>
      </c>
      <c r="B479" s="801" t="s">
        <v>3116</v>
      </c>
      <c r="C479" s="802">
        <v>6.3700000000000003E-5</v>
      </c>
      <c r="D479" s="802">
        <v>6.2199999999999994E-5</v>
      </c>
      <c r="E479" s="803">
        <v>28734</v>
      </c>
      <c r="F479" s="803">
        <v>27915</v>
      </c>
      <c r="G479" s="803">
        <v>135193</v>
      </c>
      <c r="H479" s="803"/>
      <c r="I479" s="804">
        <v>2540</v>
      </c>
      <c r="J479" s="804">
        <v>118472</v>
      </c>
      <c r="K479" s="804">
        <v>9259</v>
      </c>
      <c r="L479" s="803">
        <v>9013</v>
      </c>
      <c r="M479" s="803"/>
      <c r="N479" s="804">
        <v>4737</v>
      </c>
      <c r="O479" s="804">
        <v>43727</v>
      </c>
      <c r="P479" s="804">
        <v>0</v>
      </c>
      <c r="Q479" s="803">
        <v>0</v>
      </c>
      <c r="R479" s="803"/>
      <c r="S479" s="804">
        <v>36135</v>
      </c>
      <c r="T479" s="805">
        <v>3391</v>
      </c>
      <c r="U479" s="805">
        <v>39526</v>
      </c>
    </row>
    <row r="480" spans="1:21" x14ac:dyDescent="0.25">
      <c r="A480" s="800">
        <v>95106</v>
      </c>
      <c r="B480" s="801" t="s">
        <v>3117</v>
      </c>
      <c r="C480" s="802">
        <v>1.3900000000000001E-5</v>
      </c>
      <c r="D480" s="802">
        <v>5.9000000000000003E-6</v>
      </c>
      <c r="E480" s="803">
        <v>4209.76</v>
      </c>
      <c r="F480" s="803">
        <v>2648</v>
      </c>
      <c r="G480" s="803">
        <v>29500</v>
      </c>
      <c r="H480" s="803"/>
      <c r="I480" s="804">
        <v>554</v>
      </c>
      <c r="J480" s="804">
        <v>25852</v>
      </c>
      <c r="K480" s="804">
        <v>2021</v>
      </c>
      <c r="L480" s="803">
        <v>7510</v>
      </c>
      <c r="M480" s="803"/>
      <c r="N480" s="804">
        <v>1034</v>
      </c>
      <c r="O480" s="804">
        <v>9542</v>
      </c>
      <c r="P480" s="804">
        <v>0</v>
      </c>
      <c r="Q480" s="803">
        <v>0</v>
      </c>
      <c r="R480" s="803"/>
      <c r="S480" s="804">
        <v>7885</v>
      </c>
      <c r="T480" s="805">
        <v>2593</v>
      </c>
      <c r="U480" s="805">
        <v>10478</v>
      </c>
    </row>
    <row r="481" spans="1:21" x14ac:dyDescent="0.25">
      <c r="A481" s="800">
        <v>95110</v>
      </c>
      <c r="B481" s="801" t="s">
        <v>3118</v>
      </c>
      <c r="C481" s="802">
        <v>4.4609000000000003E-3</v>
      </c>
      <c r="D481" s="802">
        <v>5.5170000000000002E-3</v>
      </c>
      <c r="E481" s="803">
        <v>1868606.24</v>
      </c>
      <c r="F481" s="803">
        <v>2475996</v>
      </c>
      <c r="G481" s="803">
        <v>9467524</v>
      </c>
      <c r="H481" s="803"/>
      <c r="I481" s="804">
        <v>177878</v>
      </c>
      <c r="J481" s="804">
        <v>8296569</v>
      </c>
      <c r="K481" s="804">
        <v>648441</v>
      </c>
      <c r="L481" s="803">
        <v>0</v>
      </c>
      <c r="M481" s="803"/>
      <c r="N481" s="804">
        <v>331753</v>
      </c>
      <c r="O481" s="804">
        <v>3062220</v>
      </c>
      <c r="P481" s="804">
        <v>0</v>
      </c>
      <c r="Q481" s="803">
        <v>1586204</v>
      </c>
      <c r="R481" s="803"/>
      <c r="S481" s="804">
        <v>2530530</v>
      </c>
      <c r="T481" s="805">
        <v>-606775</v>
      </c>
      <c r="U481" s="805">
        <v>1923756</v>
      </c>
    </row>
    <row r="482" spans="1:21" x14ac:dyDescent="0.25">
      <c r="A482" s="800">
        <v>95111</v>
      </c>
      <c r="B482" s="801" t="s">
        <v>3119</v>
      </c>
      <c r="C482" s="802">
        <v>1.0709000000000001E-3</v>
      </c>
      <c r="D482" s="802">
        <v>1.1418999999999999E-3</v>
      </c>
      <c r="E482" s="803">
        <v>392359.07</v>
      </c>
      <c r="F482" s="803">
        <v>512478</v>
      </c>
      <c r="G482" s="803">
        <v>2272809</v>
      </c>
      <c r="H482" s="803"/>
      <c r="I482" s="804">
        <v>42702</v>
      </c>
      <c r="J482" s="804">
        <v>1991705</v>
      </c>
      <c r="K482" s="804">
        <v>155667</v>
      </c>
      <c r="L482" s="803">
        <v>0</v>
      </c>
      <c r="M482" s="803"/>
      <c r="N482" s="804">
        <v>79642</v>
      </c>
      <c r="O482" s="804">
        <v>735128</v>
      </c>
      <c r="P482" s="804">
        <v>0</v>
      </c>
      <c r="Q482" s="803">
        <v>161003</v>
      </c>
      <c r="R482" s="803"/>
      <c r="S482" s="804">
        <v>607488</v>
      </c>
      <c r="T482" s="805">
        <v>-55722</v>
      </c>
      <c r="U482" s="805">
        <v>551766</v>
      </c>
    </row>
    <row r="483" spans="1:21" x14ac:dyDescent="0.25">
      <c r="A483" s="800">
        <v>95113</v>
      </c>
      <c r="B483" s="801" t="s">
        <v>3120</v>
      </c>
      <c r="C483" s="802">
        <v>4.7500000000000003E-5</v>
      </c>
      <c r="D483" s="802">
        <v>4.4299999999999999E-5</v>
      </c>
      <c r="E483" s="803">
        <v>62344</v>
      </c>
      <c r="F483" s="803">
        <v>19882</v>
      </c>
      <c r="G483" s="803">
        <v>100811</v>
      </c>
      <c r="H483" s="803"/>
      <c r="I483" s="804">
        <v>1894.0625</v>
      </c>
      <c r="J483" s="804">
        <v>88342</v>
      </c>
      <c r="K483" s="804">
        <v>6905</v>
      </c>
      <c r="L483" s="803">
        <v>69845</v>
      </c>
      <c r="M483" s="803"/>
      <c r="N483" s="804">
        <v>3533</v>
      </c>
      <c r="O483" s="804">
        <v>32607</v>
      </c>
      <c r="P483" s="804">
        <v>0</v>
      </c>
      <c r="Q483" s="803">
        <v>0</v>
      </c>
      <c r="R483" s="803"/>
      <c r="S483" s="804">
        <v>26945</v>
      </c>
      <c r="T483" s="805">
        <v>22543</v>
      </c>
      <c r="U483" s="805">
        <v>49489</v>
      </c>
    </row>
    <row r="484" spans="1:21" x14ac:dyDescent="0.25">
      <c r="A484" s="800">
        <v>95121</v>
      </c>
      <c r="B484" s="801" t="s">
        <v>3121</v>
      </c>
      <c r="C484" s="802">
        <v>4.9580000000000002E-4</v>
      </c>
      <c r="D484" s="802">
        <v>4.7540000000000001E-4</v>
      </c>
      <c r="E484" s="803">
        <v>201528.43</v>
      </c>
      <c r="F484" s="803">
        <v>213357</v>
      </c>
      <c r="G484" s="803">
        <v>1052254</v>
      </c>
      <c r="H484" s="803"/>
      <c r="I484" s="804">
        <v>19770</v>
      </c>
      <c r="J484" s="804">
        <v>922110</v>
      </c>
      <c r="K484" s="804">
        <v>72070</v>
      </c>
      <c r="L484" s="803">
        <v>18227</v>
      </c>
      <c r="M484" s="803"/>
      <c r="N484" s="804">
        <v>36872</v>
      </c>
      <c r="O484" s="804">
        <v>340346</v>
      </c>
      <c r="P484" s="804">
        <v>0</v>
      </c>
      <c r="Q484" s="803">
        <v>25446.13</v>
      </c>
      <c r="R484" s="803"/>
      <c r="S484" s="804">
        <v>281252</v>
      </c>
      <c r="T484" s="805">
        <v>-7200</v>
      </c>
      <c r="U484" s="805">
        <v>274052</v>
      </c>
    </row>
    <row r="485" spans="1:21" x14ac:dyDescent="0.25">
      <c r="A485" s="800">
        <v>95122</v>
      </c>
      <c r="B485" s="801" t="s">
        <v>3122</v>
      </c>
      <c r="C485" s="802">
        <v>2.7999999999999999E-6</v>
      </c>
      <c r="D485" s="802">
        <v>3.3000000000000002E-6</v>
      </c>
      <c r="E485" s="803">
        <v>2740.07</v>
      </c>
      <c r="F485" s="803">
        <v>1481</v>
      </c>
      <c r="G485" s="803">
        <v>5943</v>
      </c>
      <c r="H485" s="803"/>
      <c r="I485" s="804">
        <v>112</v>
      </c>
      <c r="J485" s="804">
        <v>5208</v>
      </c>
      <c r="K485" s="804">
        <v>407</v>
      </c>
      <c r="L485" s="803">
        <v>1558</v>
      </c>
      <c r="M485" s="803"/>
      <c r="N485" s="804">
        <v>208</v>
      </c>
      <c r="O485" s="804">
        <v>1922</v>
      </c>
      <c r="P485" s="804">
        <v>0</v>
      </c>
      <c r="Q485" s="803">
        <v>0</v>
      </c>
      <c r="R485" s="803"/>
      <c r="S485" s="804">
        <v>1588</v>
      </c>
      <c r="T485" s="805">
        <v>459</v>
      </c>
      <c r="U485" s="805">
        <v>2048</v>
      </c>
    </row>
    <row r="486" spans="1:21" x14ac:dyDescent="0.25">
      <c r="A486" s="800">
        <v>95123</v>
      </c>
      <c r="B486" s="801" t="s">
        <v>3123</v>
      </c>
      <c r="C486" s="802">
        <v>5.6700000000000003E-5</v>
      </c>
      <c r="D486" s="802">
        <v>5.1199999999999998E-5</v>
      </c>
      <c r="E486" s="803">
        <v>25666.18</v>
      </c>
      <c r="F486" s="803">
        <v>22978</v>
      </c>
      <c r="G486" s="803">
        <v>120336</v>
      </c>
      <c r="H486" s="803"/>
      <c r="I486" s="804">
        <v>2261</v>
      </c>
      <c r="J486" s="804">
        <v>105453</v>
      </c>
      <c r="K486" s="804">
        <v>8242</v>
      </c>
      <c r="L486" s="803">
        <v>8689</v>
      </c>
      <c r="M486" s="803"/>
      <c r="N486" s="804">
        <v>4217</v>
      </c>
      <c r="O486" s="804">
        <v>38922</v>
      </c>
      <c r="P486" s="804">
        <v>0</v>
      </c>
      <c r="Q486" s="803">
        <v>2933.26</v>
      </c>
      <c r="R486" s="803"/>
      <c r="S486" s="804">
        <v>32164</v>
      </c>
      <c r="T486" s="805">
        <v>1144</v>
      </c>
      <c r="U486" s="805">
        <v>33309</v>
      </c>
    </row>
    <row r="487" spans="1:21" x14ac:dyDescent="0.25">
      <c r="A487" s="800">
        <v>95131</v>
      </c>
      <c r="B487" s="801" t="s">
        <v>3124</v>
      </c>
      <c r="C487" s="802">
        <v>1.5451E-3</v>
      </c>
      <c r="D487" s="802">
        <v>1.4713E-3</v>
      </c>
      <c r="E487" s="803">
        <v>607661.46</v>
      </c>
      <c r="F487" s="803">
        <v>660311</v>
      </c>
      <c r="G487" s="803">
        <v>3279220</v>
      </c>
      <c r="H487" s="803"/>
      <c r="I487" s="804">
        <v>61611</v>
      </c>
      <c r="J487" s="804">
        <v>2873642</v>
      </c>
      <c r="K487" s="804">
        <v>224597</v>
      </c>
      <c r="L487" s="803">
        <v>53573</v>
      </c>
      <c r="M487" s="803"/>
      <c r="N487" s="804">
        <v>114908</v>
      </c>
      <c r="O487" s="804">
        <v>1060646</v>
      </c>
      <c r="P487" s="804">
        <v>0</v>
      </c>
      <c r="Q487" s="803">
        <v>1701</v>
      </c>
      <c r="R487" s="803"/>
      <c r="S487" s="804">
        <v>876487</v>
      </c>
      <c r="T487" s="805">
        <v>16429</v>
      </c>
      <c r="U487" s="805">
        <v>892916</v>
      </c>
    </row>
    <row r="488" spans="1:21" x14ac:dyDescent="0.25">
      <c r="A488" s="800">
        <v>95141</v>
      </c>
      <c r="B488" s="801" t="s">
        <v>3125</v>
      </c>
      <c r="C488" s="802">
        <v>3.1819999999999998E-4</v>
      </c>
      <c r="D488" s="802">
        <v>2.99E-4</v>
      </c>
      <c r="E488" s="803">
        <v>115455.16</v>
      </c>
      <c r="F488" s="803">
        <v>134189</v>
      </c>
      <c r="G488" s="803">
        <v>675327</v>
      </c>
      <c r="H488" s="803"/>
      <c r="I488" s="804">
        <v>12688</v>
      </c>
      <c r="J488" s="804">
        <v>591802</v>
      </c>
      <c r="K488" s="804">
        <v>46254</v>
      </c>
      <c r="L488" s="803">
        <v>2515.36</v>
      </c>
      <c r="M488" s="803"/>
      <c r="N488" s="804">
        <v>23664</v>
      </c>
      <c r="O488" s="804">
        <v>218431</v>
      </c>
      <c r="P488" s="804">
        <v>0</v>
      </c>
      <c r="Q488" s="803">
        <v>28114</v>
      </c>
      <c r="R488" s="803"/>
      <c r="S488" s="804">
        <v>180505</v>
      </c>
      <c r="T488" s="805">
        <v>-8530</v>
      </c>
      <c r="U488" s="805">
        <v>171975</v>
      </c>
    </row>
    <row r="489" spans="1:21" x14ac:dyDescent="0.25">
      <c r="A489" s="800">
        <v>95151</v>
      </c>
      <c r="B489" s="801" t="s">
        <v>3126</v>
      </c>
      <c r="C489" s="802">
        <v>1.158E-4</v>
      </c>
      <c r="D489" s="802">
        <v>1.05E-4</v>
      </c>
      <c r="E489" s="803">
        <v>39583.1</v>
      </c>
      <c r="F489" s="803">
        <v>47123.37</v>
      </c>
      <c r="G489" s="803">
        <v>245766</v>
      </c>
      <c r="H489" s="803"/>
      <c r="I489" s="804">
        <v>4618</v>
      </c>
      <c r="J489" s="804">
        <v>215370</v>
      </c>
      <c r="K489" s="804">
        <v>16833</v>
      </c>
      <c r="L489" s="803">
        <v>732.32</v>
      </c>
      <c r="M489" s="803"/>
      <c r="N489" s="804">
        <v>8612</v>
      </c>
      <c r="O489" s="804">
        <v>79492</v>
      </c>
      <c r="P489" s="804">
        <v>0</v>
      </c>
      <c r="Q489" s="803">
        <v>5502</v>
      </c>
      <c r="R489" s="803"/>
      <c r="S489" s="804">
        <v>65690</v>
      </c>
      <c r="T489" s="805">
        <v>-1532</v>
      </c>
      <c r="U489" s="805">
        <v>64158</v>
      </c>
    </row>
    <row r="490" spans="1:21" x14ac:dyDescent="0.25">
      <c r="A490" s="800">
        <v>95161</v>
      </c>
      <c r="B490" s="801" t="s">
        <v>3127</v>
      </c>
      <c r="C490" s="802">
        <v>7.4800000000000002E-5</v>
      </c>
      <c r="D490" s="802">
        <v>7.0599999999999995E-5</v>
      </c>
      <c r="E490" s="803">
        <v>34992</v>
      </c>
      <c r="F490" s="803">
        <v>31685</v>
      </c>
      <c r="G490" s="803">
        <v>158751</v>
      </c>
      <c r="H490" s="803"/>
      <c r="I490" s="804">
        <v>2982.65</v>
      </c>
      <c r="J490" s="804">
        <v>139116</v>
      </c>
      <c r="K490" s="804">
        <v>10873</v>
      </c>
      <c r="L490" s="803">
        <v>6290</v>
      </c>
      <c r="M490" s="803"/>
      <c r="N490" s="804">
        <v>5563</v>
      </c>
      <c r="O490" s="804">
        <v>51347</v>
      </c>
      <c r="P490" s="804">
        <v>0</v>
      </c>
      <c r="Q490" s="803">
        <v>2096</v>
      </c>
      <c r="R490" s="803"/>
      <c r="S490" s="804">
        <v>42432</v>
      </c>
      <c r="T490" s="805">
        <v>1046</v>
      </c>
      <c r="U490" s="805">
        <v>43477</v>
      </c>
    </row>
    <row r="491" spans="1:21" x14ac:dyDescent="0.25">
      <c r="A491" s="800">
        <v>95171</v>
      </c>
      <c r="B491" s="801" t="s">
        <v>3128</v>
      </c>
      <c r="C491" s="802">
        <v>1.2300000000000001E-4</v>
      </c>
      <c r="D491" s="802">
        <v>1.2740000000000001E-4</v>
      </c>
      <c r="E491" s="803">
        <v>48393.279999999999</v>
      </c>
      <c r="F491" s="803">
        <v>57176</v>
      </c>
      <c r="G491" s="803">
        <v>261047</v>
      </c>
      <c r="H491" s="803"/>
      <c r="I491" s="804">
        <v>4904.625</v>
      </c>
      <c r="J491" s="804">
        <v>228761</v>
      </c>
      <c r="K491" s="804">
        <v>17879</v>
      </c>
      <c r="L491" s="803">
        <v>10389</v>
      </c>
      <c r="M491" s="803"/>
      <c r="N491" s="804">
        <v>9147</v>
      </c>
      <c r="O491" s="804">
        <v>84434</v>
      </c>
      <c r="P491" s="804">
        <v>0</v>
      </c>
      <c r="Q491" s="803">
        <v>12793</v>
      </c>
      <c r="R491" s="803"/>
      <c r="S491" s="804">
        <v>69774</v>
      </c>
      <c r="T491" s="805">
        <v>-1741</v>
      </c>
      <c r="U491" s="805">
        <v>68033</v>
      </c>
    </row>
    <row r="492" spans="1:21" x14ac:dyDescent="0.25">
      <c r="A492" s="800">
        <v>95181</v>
      </c>
      <c r="B492" s="801" t="s">
        <v>3129</v>
      </c>
      <c r="C492" s="802">
        <v>7.7899999999999996E-5</v>
      </c>
      <c r="D492" s="802">
        <v>8.0400000000000003E-5</v>
      </c>
      <c r="E492" s="803">
        <v>26255</v>
      </c>
      <c r="F492" s="803">
        <v>36083</v>
      </c>
      <c r="G492" s="803">
        <v>165330</v>
      </c>
      <c r="H492" s="803"/>
      <c r="I492" s="804">
        <v>3106</v>
      </c>
      <c r="J492" s="804">
        <v>144882</v>
      </c>
      <c r="K492" s="804">
        <v>11324</v>
      </c>
      <c r="L492" s="803">
        <v>1657</v>
      </c>
      <c r="M492" s="803"/>
      <c r="N492" s="804">
        <v>5793</v>
      </c>
      <c r="O492" s="804">
        <v>53475</v>
      </c>
      <c r="P492" s="804">
        <v>0</v>
      </c>
      <c r="Q492" s="803">
        <v>6539</v>
      </c>
      <c r="R492" s="803"/>
      <c r="S492" s="804">
        <v>44190</v>
      </c>
      <c r="T492" s="805">
        <v>-1251</v>
      </c>
      <c r="U492" s="805">
        <v>42939</v>
      </c>
    </row>
    <row r="493" spans="1:21" x14ac:dyDescent="0.25">
      <c r="A493" s="800">
        <v>95191</v>
      </c>
      <c r="B493" s="801" t="s">
        <v>3130</v>
      </c>
      <c r="C493" s="802">
        <v>5.3999999999999998E-5</v>
      </c>
      <c r="D493" s="802">
        <v>7.9099999999999998E-5</v>
      </c>
      <c r="E493" s="803">
        <v>30331.53</v>
      </c>
      <c r="F493" s="803">
        <v>35500</v>
      </c>
      <c r="G493" s="803">
        <v>114606.09</v>
      </c>
      <c r="H493" s="803"/>
      <c r="I493" s="804">
        <v>2153.25</v>
      </c>
      <c r="J493" s="804">
        <v>100431</v>
      </c>
      <c r="K493" s="804">
        <v>7849</v>
      </c>
      <c r="L493" s="803">
        <v>12291</v>
      </c>
      <c r="M493" s="803"/>
      <c r="N493" s="804">
        <v>4016</v>
      </c>
      <c r="O493" s="804">
        <v>37069</v>
      </c>
      <c r="P493" s="804">
        <v>0</v>
      </c>
      <c r="Q493" s="803">
        <v>7144</v>
      </c>
      <c r="R493" s="803"/>
      <c r="S493" s="804">
        <v>30633</v>
      </c>
      <c r="T493" s="805">
        <v>3134</v>
      </c>
      <c r="U493" s="805">
        <v>33767</v>
      </c>
    </row>
    <row r="494" spans="1:21" x14ac:dyDescent="0.25">
      <c r="A494" s="800">
        <v>95201</v>
      </c>
      <c r="B494" s="801" t="s">
        <v>3131</v>
      </c>
      <c r="C494" s="802">
        <v>6.8329999999999997E-4</v>
      </c>
      <c r="D494" s="802">
        <v>6.3000000000000003E-4</v>
      </c>
      <c r="E494" s="803">
        <v>255294</v>
      </c>
      <c r="F494" s="803">
        <v>282740</v>
      </c>
      <c r="G494" s="803">
        <v>1450192</v>
      </c>
      <c r="H494" s="803"/>
      <c r="I494" s="804">
        <v>27247</v>
      </c>
      <c r="J494" s="804">
        <v>1270830</v>
      </c>
      <c r="K494" s="804">
        <v>99325</v>
      </c>
      <c r="L494" s="803">
        <v>8455</v>
      </c>
      <c r="M494" s="803"/>
      <c r="N494" s="804">
        <v>50816</v>
      </c>
      <c r="O494" s="804">
        <v>469057</v>
      </c>
      <c r="P494" s="804">
        <v>0</v>
      </c>
      <c r="Q494" s="803">
        <v>33064</v>
      </c>
      <c r="R494" s="803"/>
      <c r="S494" s="804">
        <v>387615</v>
      </c>
      <c r="T494" s="805">
        <v>-9716</v>
      </c>
      <c r="U494" s="805">
        <v>377899</v>
      </c>
    </row>
    <row r="495" spans="1:21" x14ac:dyDescent="0.25">
      <c r="A495" s="800">
        <v>95204</v>
      </c>
      <c r="B495" s="801" t="s">
        <v>3132</v>
      </c>
      <c r="C495" s="802">
        <v>1.1600000000000001E-5</v>
      </c>
      <c r="D495" s="802">
        <v>1.49E-5</v>
      </c>
      <c r="E495" s="803">
        <v>6020</v>
      </c>
      <c r="F495" s="803">
        <v>6687</v>
      </c>
      <c r="G495" s="803">
        <v>24619</v>
      </c>
      <c r="H495" s="803"/>
      <c r="I495" s="804">
        <v>462.55</v>
      </c>
      <c r="J495" s="804">
        <v>21574</v>
      </c>
      <c r="K495" s="804">
        <v>1686</v>
      </c>
      <c r="L495" s="803">
        <v>0</v>
      </c>
      <c r="M495" s="803"/>
      <c r="N495" s="804">
        <v>863</v>
      </c>
      <c r="O495" s="804">
        <v>7963</v>
      </c>
      <c r="P495" s="804">
        <v>0</v>
      </c>
      <c r="Q495" s="803">
        <v>1794</v>
      </c>
      <c r="R495" s="803"/>
      <c r="S495" s="804">
        <v>6580</v>
      </c>
      <c r="T495" s="805">
        <v>-651</v>
      </c>
      <c r="U495" s="805">
        <v>5930</v>
      </c>
    </row>
    <row r="496" spans="1:21" x14ac:dyDescent="0.25">
      <c r="A496" s="800">
        <v>95205</v>
      </c>
      <c r="B496" s="801" t="s">
        <v>3133</v>
      </c>
      <c r="C496" s="802">
        <v>4.7999999999999998E-6</v>
      </c>
      <c r="D496" s="802">
        <v>5.0000000000000004E-6</v>
      </c>
      <c r="E496" s="803">
        <v>2441</v>
      </c>
      <c r="F496" s="803">
        <v>2244</v>
      </c>
      <c r="G496" s="803">
        <v>10187</v>
      </c>
      <c r="H496" s="803"/>
      <c r="I496" s="804">
        <v>191</v>
      </c>
      <c r="J496" s="804">
        <v>8927</v>
      </c>
      <c r="K496" s="804">
        <v>698</v>
      </c>
      <c r="L496" s="803">
        <v>779</v>
      </c>
      <c r="M496" s="803"/>
      <c r="N496" s="804">
        <v>357</v>
      </c>
      <c r="O496" s="804">
        <v>3295</v>
      </c>
      <c r="P496" s="804">
        <v>0</v>
      </c>
      <c r="Q496" s="803">
        <v>0</v>
      </c>
      <c r="R496" s="803"/>
      <c r="S496" s="804">
        <v>2723</v>
      </c>
      <c r="T496" s="805">
        <v>284</v>
      </c>
      <c r="U496" s="805">
        <v>3007</v>
      </c>
    </row>
    <row r="497" spans="1:21" x14ac:dyDescent="0.25">
      <c r="A497" s="800">
        <v>95211</v>
      </c>
      <c r="B497" s="801" t="s">
        <v>3134</v>
      </c>
      <c r="C497" s="802">
        <v>9.2E-6</v>
      </c>
      <c r="D497" s="802">
        <v>5.9000000000000003E-6</v>
      </c>
      <c r="E497" s="803">
        <v>4005</v>
      </c>
      <c r="F497" s="803">
        <v>2648</v>
      </c>
      <c r="G497" s="803">
        <v>19525</v>
      </c>
      <c r="H497" s="803"/>
      <c r="I497" s="804">
        <v>366.85</v>
      </c>
      <c r="J497" s="804">
        <v>17111</v>
      </c>
      <c r="K497" s="804">
        <v>1337</v>
      </c>
      <c r="L497" s="803">
        <v>1964</v>
      </c>
      <c r="M497" s="803"/>
      <c r="N497" s="804">
        <v>684</v>
      </c>
      <c r="O497" s="804">
        <v>6315</v>
      </c>
      <c r="P497" s="804">
        <v>0</v>
      </c>
      <c r="Q497" s="803">
        <v>1957</v>
      </c>
      <c r="R497" s="803"/>
      <c r="S497" s="804">
        <v>5219</v>
      </c>
      <c r="T497" s="805">
        <v>-462</v>
      </c>
      <c r="U497" s="805">
        <v>4757</v>
      </c>
    </row>
    <row r="498" spans="1:21" x14ac:dyDescent="0.25">
      <c r="A498" s="800">
        <v>95221</v>
      </c>
      <c r="B498" s="801" t="s">
        <v>3135</v>
      </c>
      <c r="C498" s="802">
        <v>1.6900000000000001E-5</v>
      </c>
      <c r="D498" s="802">
        <v>4.5099999999999998E-5</v>
      </c>
      <c r="E498" s="803">
        <v>14058.05</v>
      </c>
      <c r="F498" s="803">
        <v>20241</v>
      </c>
      <c r="G498" s="803">
        <v>35867</v>
      </c>
      <c r="H498" s="803"/>
      <c r="I498" s="804">
        <v>673.88750000000005</v>
      </c>
      <c r="J498" s="804">
        <v>31431</v>
      </c>
      <c r="K498" s="804">
        <v>2457</v>
      </c>
      <c r="L498" s="803">
        <v>5443</v>
      </c>
      <c r="M498" s="803"/>
      <c r="N498" s="804">
        <v>1257</v>
      </c>
      <c r="O498" s="804">
        <v>11601</v>
      </c>
      <c r="P498" s="804">
        <v>0</v>
      </c>
      <c r="Q498" s="803">
        <v>16082</v>
      </c>
      <c r="R498" s="803"/>
      <c r="S498" s="804">
        <v>9587</v>
      </c>
      <c r="T498" s="805">
        <v>-2048</v>
      </c>
      <c r="U498" s="805">
        <v>7539</v>
      </c>
    </row>
    <row r="499" spans="1:21" x14ac:dyDescent="0.25">
      <c r="A499" s="800">
        <v>95301</v>
      </c>
      <c r="B499" s="801" t="s">
        <v>3136</v>
      </c>
      <c r="C499" s="802">
        <v>2.4063999999999999E-3</v>
      </c>
      <c r="D499" s="802">
        <v>2.3544E-3</v>
      </c>
      <c r="E499" s="803">
        <v>972446</v>
      </c>
      <c r="F499" s="803">
        <v>1056641</v>
      </c>
      <c r="G499" s="803">
        <v>5107187</v>
      </c>
      <c r="H499" s="803"/>
      <c r="I499" s="804">
        <v>95955.199999999997</v>
      </c>
      <c r="J499" s="804">
        <v>4475524</v>
      </c>
      <c r="K499" s="804">
        <v>349797</v>
      </c>
      <c r="L499" s="803">
        <v>72796</v>
      </c>
      <c r="M499" s="803"/>
      <c r="N499" s="804">
        <v>178962</v>
      </c>
      <c r="O499" s="804">
        <v>1651893</v>
      </c>
      <c r="P499" s="804">
        <v>0</v>
      </c>
      <c r="Q499" s="803">
        <v>22569</v>
      </c>
      <c r="R499" s="803"/>
      <c r="S499" s="804">
        <v>1365076</v>
      </c>
      <c r="T499" s="805">
        <v>13085</v>
      </c>
      <c r="U499" s="805">
        <v>1378161</v>
      </c>
    </row>
    <row r="500" spans="1:21" x14ac:dyDescent="0.25">
      <c r="A500" s="800">
        <v>95311</v>
      </c>
      <c r="B500" s="801" t="s">
        <v>3137</v>
      </c>
      <c r="C500" s="802">
        <v>2.6841999999999999E-3</v>
      </c>
      <c r="D500" s="802">
        <v>2.9946E-3</v>
      </c>
      <c r="E500" s="803">
        <v>1161820.17</v>
      </c>
      <c r="F500" s="803">
        <v>1343959</v>
      </c>
      <c r="G500" s="803">
        <v>5696772</v>
      </c>
      <c r="H500" s="803"/>
      <c r="I500" s="804">
        <v>107032</v>
      </c>
      <c r="J500" s="804">
        <v>4992188</v>
      </c>
      <c r="K500" s="804">
        <v>390178</v>
      </c>
      <c r="L500" s="803">
        <v>8404</v>
      </c>
      <c r="M500" s="803"/>
      <c r="N500" s="804">
        <v>199621</v>
      </c>
      <c r="O500" s="804">
        <v>1842591</v>
      </c>
      <c r="P500" s="804">
        <v>0</v>
      </c>
      <c r="Q500" s="803">
        <v>175770</v>
      </c>
      <c r="R500" s="803"/>
      <c r="S500" s="804">
        <v>1522663</v>
      </c>
      <c r="T500" s="805">
        <v>-55618</v>
      </c>
      <c r="U500" s="805">
        <v>1467045</v>
      </c>
    </row>
    <row r="501" spans="1:21" x14ac:dyDescent="0.25">
      <c r="A501" s="800">
        <v>95317</v>
      </c>
      <c r="B501" s="801" t="s">
        <v>3138</v>
      </c>
      <c r="C501" s="802">
        <v>5.1400000000000003E-5</v>
      </c>
      <c r="D501" s="802">
        <v>5.3900000000000002E-5</v>
      </c>
      <c r="E501" s="803">
        <v>25005</v>
      </c>
      <c r="F501" s="803">
        <v>24190</v>
      </c>
      <c r="G501" s="803">
        <v>109088</v>
      </c>
      <c r="H501" s="803"/>
      <c r="I501" s="804">
        <v>2050</v>
      </c>
      <c r="J501" s="804">
        <v>95596</v>
      </c>
      <c r="K501" s="804">
        <v>7472</v>
      </c>
      <c r="L501" s="803">
        <v>5874</v>
      </c>
      <c r="M501" s="803"/>
      <c r="N501" s="804">
        <v>3823</v>
      </c>
      <c r="O501" s="804">
        <v>35284</v>
      </c>
      <c r="P501" s="804">
        <v>0</v>
      </c>
      <c r="Q501" s="803">
        <v>75.62</v>
      </c>
      <c r="R501" s="803"/>
      <c r="S501" s="804">
        <v>29158</v>
      </c>
      <c r="T501" s="805">
        <v>1881</v>
      </c>
      <c r="U501" s="805">
        <v>31039</v>
      </c>
    </row>
    <row r="502" spans="1:21" x14ac:dyDescent="0.25">
      <c r="A502" s="800">
        <v>95321</v>
      </c>
      <c r="B502" s="801" t="s">
        <v>3139</v>
      </c>
      <c r="C502" s="802">
        <v>5.7000000000000003E-5</v>
      </c>
      <c r="D502" s="802">
        <v>5.6499999999999998E-5</v>
      </c>
      <c r="E502" s="803">
        <v>24286.95</v>
      </c>
      <c r="F502" s="803">
        <v>25357</v>
      </c>
      <c r="G502" s="803">
        <v>120973</v>
      </c>
      <c r="H502" s="803"/>
      <c r="I502" s="804">
        <v>2272.875</v>
      </c>
      <c r="J502" s="804">
        <v>106011</v>
      </c>
      <c r="K502" s="804">
        <v>8286</v>
      </c>
      <c r="L502" s="803">
        <v>4716</v>
      </c>
      <c r="M502" s="803"/>
      <c r="N502" s="804">
        <v>4239</v>
      </c>
      <c r="O502" s="804">
        <v>39128</v>
      </c>
      <c r="P502" s="804">
        <v>0</v>
      </c>
      <c r="Q502" s="803">
        <v>0</v>
      </c>
      <c r="R502" s="803"/>
      <c r="S502" s="804">
        <v>32334</v>
      </c>
      <c r="T502" s="805">
        <v>1628</v>
      </c>
      <c r="U502" s="805">
        <v>33963</v>
      </c>
    </row>
    <row r="503" spans="1:21" x14ac:dyDescent="0.25">
      <c r="A503" s="800">
        <v>95401</v>
      </c>
      <c r="B503" s="801" t="s">
        <v>3140</v>
      </c>
      <c r="C503" s="802">
        <v>2.9979999999999998E-3</v>
      </c>
      <c r="D503" s="802">
        <v>2.8663999999999999E-3</v>
      </c>
      <c r="E503" s="803">
        <v>1170186.01</v>
      </c>
      <c r="F503" s="803">
        <v>1286423</v>
      </c>
      <c r="G503" s="803">
        <v>6362760</v>
      </c>
      <c r="H503" s="803"/>
      <c r="I503" s="804">
        <v>119545</v>
      </c>
      <c r="J503" s="804">
        <v>5575806</v>
      </c>
      <c r="K503" s="804">
        <v>435792</v>
      </c>
      <c r="L503" s="803">
        <v>42759</v>
      </c>
      <c r="M503" s="803"/>
      <c r="N503" s="804">
        <v>222958</v>
      </c>
      <c r="O503" s="804">
        <v>2058001</v>
      </c>
      <c r="P503" s="804">
        <v>0</v>
      </c>
      <c r="Q503" s="803">
        <v>0</v>
      </c>
      <c r="R503" s="803"/>
      <c r="S503" s="804">
        <v>1700672</v>
      </c>
      <c r="T503" s="805">
        <v>15064</v>
      </c>
      <c r="U503" s="805">
        <v>1715737</v>
      </c>
    </row>
    <row r="504" spans="1:21" x14ac:dyDescent="0.25">
      <c r="A504" s="800">
        <v>95404</v>
      </c>
      <c r="B504" s="801" t="s">
        <v>3141</v>
      </c>
      <c r="C504" s="802">
        <v>4.9799999999999998E-5</v>
      </c>
      <c r="D504" s="802">
        <v>3.4999999999999997E-5</v>
      </c>
      <c r="E504" s="803">
        <v>17582</v>
      </c>
      <c r="F504" s="803">
        <v>15708</v>
      </c>
      <c r="G504" s="803">
        <v>105692</v>
      </c>
      <c r="H504" s="803"/>
      <c r="I504" s="804">
        <v>1986</v>
      </c>
      <c r="J504" s="804">
        <v>92620</v>
      </c>
      <c r="K504" s="804">
        <v>7239</v>
      </c>
      <c r="L504" s="803">
        <v>6596</v>
      </c>
      <c r="M504" s="803"/>
      <c r="N504" s="804">
        <v>3704</v>
      </c>
      <c r="O504" s="804">
        <v>34186</v>
      </c>
      <c r="P504" s="804">
        <v>0</v>
      </c>
      <c r="Q504" s="803">
        <v>0</v>
      </c>
      <c r="R504" s="803"/>
      <c r="S504" s="804">
        <v>28250</v>
      </c>
      <c r="T504" s="805">
        <v>1847</v>
      </c>
      <c r="U504" s="805">
        <v>30097</v>
      </c>
    </row>
    <row r="505" spans="1:21" x14ac:dyDescent="0.25">
      <c r="A505" s="800">
        <v>95405</v>
      </c>
      <c r="B505" s="801" t="s">
        <v>3142</v>
      </c>
      <c r="C505" s="802">
        <v>1.84E-5</v>
      </c>
      <c r="D505" s="802">
        <v>1.7E-5</v>
      </c>
      <c r="E505" s="803">
        <v>15271</v>
      </c>
      <c r="F505" s="803">
        <v>7629</v>
      </c>
      <c r="G505" s="803">
        <v>39051</v>
      </c>
      <c r="H505" s="803"/>
      <c r="I505" s="804">
        <v>733.7</v>
      </c>
      <c r="J505" s="804">
        <v>34221</v>
      </c>
      <c r="K505" s="804">
        <v>2675</v>
      </c>
      <c r="L505" s="803">
        <v>12414</v>
      </c>
      <c r="M505" s="803"/>
      <c r="N505" s="804">
        <v>1368</v>
      </c>
      <c r="O505" s="804">
        <v>12631</v>
      </c>
      <c r="P505" s="804">
        <v>0</v>
      </c>
      <c r="Q505" s="803">
        <v>0</v>
      </c>
      <c r="R505" s="803"/>
      <c r="S505" s="804">
        <v>10438</v>
      </c>
      <c r="T505" s="805">
        <v>3754</v>
      </c>
      <c r="U505" s="805">
        <v>14192</v>
      </c>
    </row>
    <row r="506" spans="1:21" x14ac:dyDescent="0.25">
      <c r="A506" s="800">
        <v>95411</v>
      </c>
      <c r="B506" s="801" t="s">
        <v>3143</v>
      </c>
      <c r="C506" s="802">
        <v>2.3272000000000002E-3</v>
      </c>
      <c r="D506" s="802">
        <v>2.3019E-3</v>
      </c>
      <c r="E506" s="803">
        <v>960134</v>
      </c>
      <c r="F506" s="803">
        <v>1033079</v>
      </c>
      <c r="G506" s="803">
        <v>4939098</v>
      </c>
      <c r="H506" s="803"/>
      <c r="I506" s="804">
        <v>92797.1</v>
      </c>
      <c r="J506" s="804">
        <v>4328224</v>
      </c>
      <c r="K506" s="804">
        <v>338284</v>
      </c>
      <c r="L506" s="803">
        <v>19324</v>
      </c>
      <c r="M506" s="803"/>
      <c r="N506" s="804">
        <v>173072</v>
      </c>
      <c r="O506" s="804">
        <v>1597525</v>
      </c>
      <c r="P506" s="804">
        <v>0</v>
      </c>
      <c r="Q506" s="803">
        <v>37438</v>
      </c>
      <c r="R506" s="803"/>
      <c r="S506" s="804">
        <v>1320148</v>
      </c>
      <c r="T506" s="805">
        <v>-13504</v>
      </c>
      <c r="U506" s="805">
        <v>1306644</v>
      </c>
    </row>
    <row r="507" spans="1:21" x14ac:dyDescent="0.25">
      <c r="A507" s="800">
        <v>95412</v>
      </c>
      <c r="B507" s="801" t="s">
        <v>3144</v>
      </c>
      <c r="C507" s="802">
        <v>0</v>
      </c>
      <c r="D507" s="802">
        <v>0</v>
      </c>
      <c r="E507" s="803">
        <v>0</v>
      </c>
      <c r="F507" s="803">
        <v>0</v>
      </c>
      <c r="G507" s="803">
        <v>0</v>
      </c>
      <c r="H507" s="803"/>
      <c r="I507" s="804">
        <v>0</v>
      </c>
      <c r="J507" s="804">
        <v>0</v>
      </c>
      <c r="K507" s="804">
        <v>0</v>
      </c>
      <c r="L507" s="803">
        <v>0</v>
      </c>
      <c r="M507" s="803"/>
      <c r="N507" s="804">
        <v>0</v>
      </c>
      <c r="O507" s="804">
        <v>0</v>
      </c>
      <c r="P507" s="804">
        <v>0</v>
      </c>
      <c r="Q507" s="803">
        <v>46349</v>
      </c>
      <c r="R507" s="803"/>
      <c r="S507" s="804">
        <v>0</v>
      </c>
      <c r="T507" s="805">
        <v>-18518</v>
      </c>
      <c r="U507" s="805">
        <v>-18518</v>
      </c>
    </row>
    <row r="508" spans="1:21" x14ac:dyDescent="0.25">
      <c r="A508" s="800">
        <v>95413</v>
      </c>
      <c r="B508" s="801" t="s">
        <v>3145</v>
      </c>
      <c r="C508" s="802">
        <v>2.945E-4</v>
      </c>
      <c r="D508" s="802">
        <v>2.9579999999999998E-4</v>
      </c>
      <c r="E508" s="803">
        <v>262975</v>
      </c>
      <c r="F508" s="803">
        <v>132753</v>
      </c>
      <c r="G508" s="803">
        <v>625028</v>
      </c>
      <c r="H508" s="803"/>
      <c r="I508" s="804">
        <v>11743.1875</v>
      </c>
      <c r="J508" s="804">
        <v>547723</v>
      </c>
      <c r="K508" s="804">
        <v>42809</v>
      </c>
      <c r="L508" s="803">
        <v>198118</v>
      </c>
      <c r="M508" s="803"/>
      <c r="N508" s="804">
        <v>21902</v>
      </c>
      <c r="O508" s="804">
        <v>202162</v>
      </c>
      <c r="P508" s="804">
        <v>0</v>
      </c>
      <c r="Q508" s="803">
        <v>18897.04</v>
      </c>
      <c r="R508" s="803"/>
      <c r="S508" s="804">
        <v>167061</v>
      </c>
      <c r="T508" s="805">
        <v>50061</v>
      </c>
      <c r="U508" s="805">
        <v>217122</v>
      </c>
    </row>
    <row r="509" spans="1:21" x14ac:dyDescent="0.25">
      <c r="A509" s="800">
        <v>95415</v>
      </c>
      <c r="B509" s="801" t="s">
        <v>3146</v>
      </c>
      <c r="C509" s="802">
        <v>7.9499999999999994E-5</v>
      </c>
      <c r="D509" s="802">
        <v>7.6600000000000005E-5</v>
      </c>
      <c r="E509" s="803">
        <v>28617</v>
      </c>
      <c r="F509" s="803">
        <v>34378</v>
      </c>
      <c r="G509" s="803">
        <v>168726</v>
      </c>
      <c r="H509" s="803"/>
      <c r="I509" s="804">
        <v>3170.0625</v>
      </c>
      <c r="J509" s="804">
        <v>147857</v>
      </c>
      <c r="K509" s="804">
        <v>11556</v>
      </c>
      <c r="L509" s="803">
        <v>10656.45</v>
      </c>
      <c r="M509" s="803"/>
      <c r="N509" s="804">
        <v>5912</v>
      </c>
      <c r="O509" s="804">
        <v>54573</v>
      </c>
      <c r="P509" s="804">
        <v>0</v>
      </c>
      <c r="Q509" s="803">
        <v>7763</v>
      </c>
      <c r="R509" s="803"/>
      <c r="S509" s="804">
        <v>45098</v>
      </c>
      <c r="T509" s="805">
        <v>2762</v>
      </c>
      <c r="U509" s="805">
        <v>47859</v>
      </c>
    </row>
    <row r="510" spans="1:21" x14ac:dyDescent="0.25">
      <c r="A510" s="800">
        <v>95421</v>
      </c>
      <c r="B510" s="801" t="s">
        <v>3147</v>
      </c>
      <c r="C510" s="802">
        <v>3.9100000000000002E-5</v>
      </c>
      <c r="D510" s="802">
        <v>5.1E-5</v>
      </c>
      <c r="E510" s="803">
        <v>15644</v>
      </c>
      <c r="F510" s="803">
        <v>22888</v>
      </c>
      <c r="G510" s="803">
        <v>82983</v>
      </c>
      <c r="H510" s="803"/>
      <c r="I510" s="804">
        <v>1559</v>
      </c>
      <c r="J510" s="804">
        <v>72720</v>
      </c>
      <c r="K510" s="804">
        <v>5684</v>
      </c>
      <c r="L510" s="803">
        <v>0</v>
      </c>
      <c r="M510" s="803"/>
      <c r="N510" s="804">
        <v>2908</v>
      </c>
      <c r="O510" s="804">
        <v>26841</v>
      </c>
      <c r="P510" s="804">
        <v>0</v>
      </c>
      <c r="Q510" s="803">
        <v>14322</v>
      </c>
      <c r="R510" s="803"/>
      <c r="S510" s="804">
        <v>22180</v>
      </c>
      <c r="T510" s="805">
        <v>-4969</v>
      </c>
      <c r="U510" s="805">
        <v>17211</v>
      </c>
    </row>
    <row r="511" spans="1:21" x14ac:dyDescent="0.25">
      <c r="A511" s="800">
        <v>95431</v>
      </c>
      <c r="B511" s="801" t="s">
        <v>3148</v>
      </c>
      <c r="C511" s="802">
        <v>1.8009999999999999E-4</v>
      </c>
      <c r="D511" s="802">
        <v>1.7249999999999999E-4</v>
      </c>
      <c r="E511" s="803">
        <v>59568.97</v>
      </c>
      <c r="F511" s="803">
        <v>77417</v>
      </c>
      <c r="G511" s="803">
        <v>382233</v>
      </c>
      <c r="H511" s="803"/>
      <c r="I511" s="804">
        <v>7181</v>
      </c>
      <c r="J511" s="804">
        <v>334958</v>
      </c>
      <c r="K511" s="804">
        <v>26180</v>
      </c>
      <c r="L511" s="803">
        <v>450</v>
      </c>
      <c r="M511" s="803"/>
      <c r="N511" s="804">
        <v>13394</v>
      </c>
      <c r="O511" s="804">
        <v>123631</v>
      </c>
      <c r="P511" s="804">
        <v>0</v>
      </c>
      <c r="Q511" s="803">
        <v>13081</v>
      </c>
      <c r="R511" s="803"/>
      <c r="S511" s="804">
        <v>102165</v>
      </c>
      <c r="T511" s="805">
        <v>-3706</v>
      </c>
      <c r="U511" s="805">
        <v>98459</v>
      </c>
    </row>
    <row r="512" spans="1:21" x14ac:dyDescent="0.25">
      <c r="A512" s="800">
        <v>95501</v>
      </c>
      <c r="B512" s="801" t="s">
        <v>3149</v>
      </c>
      <c r="C512" s="802">
        <v>4.7917999999999997E-3</v>
      </c>
      <c r="D512" s="802">
        <v>4.8338000000000001E-3</v>
      </c>
      <c r="E512" s="803">
        <v>1890954</v>
      </c>
      <c r="F512" s="803">
        <v>2169380</v>
      </c>
      <c r="G512" s="803">
        <v>10169805</v>
      </c>
      <c r="H512" s="803"/>
      <c r="I512" s="804">
        <v>191073</v>
      </c>
      <c r="J512" s="804">
        <v>8911991</v>
      </c>
      <c r="K512" s="804">
        <v>696541</v>
      </c>
      <c r="L512" s="803">
        <v>63710</v>
      </c>
      <c r="M512" s="803"/>
      <c r="N512" s="804">
        <v>356361</v>
      </c>
      <c r="O512" s="804">
        <v>3289369</v>
      </c>
      <c r="P512" s="804">
        <v>0</v>
      </c>
      <c r="Q512" s="803">
        <v>102347</v>
      </c>
      <c r="R512" s="803"/>
      <c r="S512" s="804">
        <v>2718240</v>
      </c>
      <c r="T512" s="805">
        <v>3939</v>
      </c>
      <c r="U512" s="805">
        <v>2722178</v>
      </c>
    </row>
    <row r="513" spans="1:21" x14ac:dyDescent="0.25">
      <c r="A513" s="800">
        <v>95504</v>
      </c>
      <c r="B513" s="801" t="s">
        <v>3150</v>
      </c>
      <c r="C513" s="802">
        <v>8.8999999999999995E-6</v>
      </c>
      <c r="D513" s="802">
        <v>1.2099999999999999E-5</v>
      </c>
      <c r="E513" s="803">
        <v>7171.2</v>
      </c>
      <c r="F513" s="803">
        <v>5430</v>
      </c>
      <c r="G513" s="803">
        <v>18889</v>
      </c>
      <c r="H513" s="803"/>
      <c r="I513" s="804">
        <v>354.88749999999999</v>
      </c>
      <c r="J513" s="804">
        <v>16553</v>
      </c>
      <c r="K513" s="804">
        <v>1294</v>
      </c>
      <c r="L513" s="803">
        <v>5463</v>
      </c>
      <c r="M513" s="803"/>
      <c r="N513" s="804">
        <v>662</v>
      </c>
      <c r="O513" s="804">
        <v>6109</v>
      </c>
      <c r="P513" s="804">
        <v>0</v>
      </c>
      <c r="Q513" s="803">
        <v>0</v>
      </c>
      <c r="R513" s="803"/>
      <c r="S513" s="804">
        <v>5049</v>
      </c>
      <c r="T513" s="805">
        <v>1872</v>
      </c>
      <c r="U513" s="805">
        <v>6921</v>
      </c>
    </row>
    <row r="514" spans="1:21" x14ac:dyDescent="0.25">
      <c r="A514" s="800">
        <v>95511</v>
      </c>
      <c r="B514" s="801" t="s">
        <v>3151</v>
      </c>
      <c r="C514" s="802">
        <v>9.6049999999999998E-4</v>
      </c>
      <c r="D514" s="802">
        <v>1.0989000000000001E-3</v>
      </c>
      <c r="E514" s="803">
        <v>413682.63</v>
      </c>
      <c r="F514" s="803">
        <v>493180</v>
      </c>
      <c r="G514" s="803">
        <v>2038503</v>
      </c>
      <c r="H514" s="803"/>
      <c r="I514" s="804">
        <v>38300</v>
      </c>
      <c r="J514" s="804">
        <v>1786378</v>
      </c>
      <c r="K514" s="804">
        <v>139619</v>
      </c>
      <c r="L514" s="803">
        <v>10807.69</v>
      </c>
      <c r="M514" s="803"/>
      <c r="N514" s="804">
        <v>71431</v>
      </c>
      <c r="O514" s="804">
        <v>659343</v>
      </c>
      <c r="P514" s="804">
        <v>0</v>
      </c>
      <c r="Q514" s="803">
        <v>71910</v>
      </c>
      <c r="R514" s="803"/>
      <c r="S514" s="804">
        <v>544862</v>
      </c>
      <c r="T514" s="805">
        <v>-14323</v>
      </c>
      <c r="U514" s="805">
        <v>530538</v>
      </c>
    </row>
    <row r="515" spans="1:21" x14ac:dyDescent="0.25">
      <c r="A515" s="800">
        <v>95513</v>
      </c>
      <c r="B515" s="801" t="s">
        <v>3152</v>
      </c>
      <c r="C515" s="802">
        <v>4.5500000000000001E-5</v>
      </c>
      <c r="D515" s="802">
        <v>4.4499999999999997E-5</v>
      </c>
      <c r="E515" s="803">
        <v>28270</v>
      </c>
      <c r="F515" s="803">
        <v>19971</v>
      </c>
      <c r="G515" s="803">
        <v>96566</v>
      </c>
      <c r="H515" s="803"/>
      <c r="I515" s="804">
        <v>1814.3125</v>
      </c>
      <c r="J515" s="804">
        <v>84623</v>
      </c>
      <c r="K515" s="804">
        <v>6614</v>
      </c>
      <c r="L515" s="803">
        <v>19516</v>
      </c>
      <c r="M515" s="803"/>
      <c r="N515" s="804">
        <v>3384</v>
      </c>
      <c r="O515" s="804">
        <v>31234</v>
      </c>
      <c r="P515" s="804">
        <v>0</v>
      </c>
      <c r="Q515" s="803">
        <v>0</v>
      </c>
      <c r="R515" s="803"/>
      <c r="S515" s="804">
        <v>25811</v>
      </c>
      <c r="T515" s="805">
        <v>6831</v>
      </c>
      <c r="U515" s="805">
        <v>32642</v>
      </c>
    </row>
    <row r="516" spans="1:21" x14ac:dyDescent="0.25">
      <c r="A516" s="800">
        <v>95517</v>
      </c>
      <c r="B516" s="801" t="s">
        <v>3153</v>
      </c>
      <c r="C516" s="802">
        <v>1.66E-5</v>
      </c>
      <c r="D516" s="802">
        <v>1.1399999999999999E-5</v>
      </c>
      <c r="E516" s="803">
        <v>13168.44</v>
      </c>
      <c r="F516" s="803">
        <v>5116</v>
      </c>
      <c r="G516" s="803">
        <v>35231</v>
      </c>
      <c r="H516" s="803"/>
      <c r="I516" s="804">
        <v>662</v>
      </c>
      <c r="J516" s="804">
        <v>30873</v>
      </c>
      <c r="K516" s="804">
        <v>2413</v>
      </c>
      <c r="L516" s="803">
        <v>13465</v>
      </c>
      <c r="M516" s="803"/>
      <c r="N516" s="804">
        <v>1235</v>
      </c>
      <c r="O516" s="804">
        <v>11395</v>
      </c>
      <c r="P516" s="804">
        <v>0</v>
      </c>
      <c r="Q516" s="803">
        <v>0</v>
      </c>
      <c r="R516" s="803"/>
      <c r="S516" s="804">
        <v>9417</v>
      </c>
      <c r="T516" s="805">
        <v>4330</v>
      </c>
      <c r="U516" s="805">
        <v>13747</v>
      </c>
    </row>
    <row r="517" spans="1:21" x14ac:dyDescent="0.25">
      <c r="A517" s="800">
        <v>95601</v>
      </c>
      <c r="B517" s="801" t="s">
        <v>3154</v>
      </c>
      <c r="C517" s="802">
        <v>2.6592999999999999E-3</v>
      </c>
      <c r="D517" s="802">
        <v>2.4567999999999999E-3</v>
      </c>
      <c r="E517" s="803">
        <v>1012937</v>
      </c>
      <c r="F517" s="803">
        <v>1102597</v>
      </c>
      <c r="G517" s="803">
        <v>5643925</v>
      </c>
      <c r="H517" s="803"/>
      <c r="I517" s="804">
        <v>106040</v>
      </c>
      <c r="J517" s="804">
        <v>4945878</v>
      </c>
      <c r="K517" s="804">
        <v>386559</v>
      </c>
      <c r="L517" s="803">
        <v>138057</v>
      </c>
      <c r="M517" s="803"/>
      <c r="N517" s="804">
        <v>197769</v>
      </c>
      <c r="O517" s="804">
        <v>1825498</v>
      </c>
      <c r="P517" s="804">
        <v>0</v>
      </c>
      <c r="Q517" s="803">
        <v>0</v>
      </c>
      <c r="R517" s="803"/>
      <c r="S517" s="804">
        <v>1508538</v>
      </c>
      <c r="T517" s="805">
        <v>52467</v>
      </c>
      <c r="U517" s="805">
        <v>1561006</v>
      </c>
    </row>
    <row r="518" spans="1:21" x14ac:dyDescent="0.25">
      <c r="A518" s="800">
        <v>95611</v>
      </c>
      <c r="B518" s="801" t="s">
        <v>3155</v>
      </c>
      <c r="C518" s="802">
        <v>3.9540000000000002E-4</v>
      </c>
      <c r="D518" s="802">
        <v>3.9500000000000001E-4</v>
      </c>
      <c r="E518" s="803">
        <v>162221</v>
      </c>
      <c r="F518" s="803">
        <v>177273.63</v>
      </c>
      <c r="G518" s="803">
        <v>839171</v>
      </c>
      <c r="H518" s="803"/>
      <c r="I518" s="804">
        <v>15767</v>
      </c>
      <c r="J518" s="804">
        <v>735382</v>
      </c>
      <c r="K518" s="804">
        <v>57476</v>
      </c>
      <c r="L518" s="803">
        <v>2750</v>
      </c>
      <c r="M518" s="803"/>
      <c r="N518" s="804">
        <v>29406</v>
      </c>
      <c r="O518" s="804">
        <v>271425</v>
      </c>
      <c r="P518" s="804">
        <v>0</v>
      </c>
      <c r="Q518" s="803">
        <v>5641</v>
      </c>
      <c r="R518" s="803"/>
      <c r="S518" s="804">
        <v>224298</v>
      </c>
      <c r="T518" s="805">
        <v>-610</v>
      </c>
      <c r="U518" s="805">
        <v>223688</v>
      </c>
    </row>
    <row r="519" spans="1:21" x14ac:dyDescent="0.25">
      <c r="A519" s="800">
        <v>95617</v>
      </c>
      <c r="B519" s="801" t="s">
        <v>3156</v>
      </c>
      <c r="C519" s="802">
        <v>1.6500000000000001E-5</v>
      </c>
      <c r="D519" s="802">
        <v>1.63E-5</v>
      </c>
      <c r="E519" s="803">
        <v>7075</v>
      </c>
      <c r="F519" s="803">
        <v>7315</v>
      </c>
      <c r="G519" s="803">
        <v>35019</v>
      </c>
      <c r="H519" s="803"/>
      <c r="I519" s="804">
        <v>657.9375</v>
      </c>
      <c r="J519" s="804">
        <v>30687</v>
      </c>
      <c r="K519" s="804">
        <v>2398</v>
      </c>
      <c r="L519" s="803">
        <v>338</v>
      </c>
      <c r="M519" s="803"/>
      <c r="N519" s="804">
        <v>1227</v>
      </c>
      <c r="O519" s="804">
        <v>11327</v>
      </c>
      <c r="P519" s="804">
        <v>0</v>
      </c>
      <c r="Q519" s="803">
        <v>2141</v>
      </c>
      <c r="R519" s="803"/>
      <c r="S519" s="804">
        <v>9360</v>
      </c>
      <c r="T519" s="805">
        <v>-777</v>
      </c>
      <c r="U519" s="805">
        <v>8583</v>
      </c>
    </row>
    <row r="520" spans="1:21" x14ac:dyDescent="0.25">
      <c r="A520" s="800">
        <v>95621</v>
      </c>
      <c r="B520" s="801" t="s">
        <v>3157</v>
      </c>
      <c r="C520" s="802">
        <v>4.8020000000000002E-4</v>
      </c>
      <c r="D520" s="802">
        <v>5.0210000000000001E-4</v>
      </c>
      <c r="E520" s="803">
        <v>211840</v>
      </c>
      <c r="F520" s="803">
        <v>225339</v>
      </c>
      <c r="G520" s="803">
        <v>1019145</v>
      </c>
      <c r="H520" s="803"/>
      <c r="I520" s="804">
        <v>19148</v>
      </c>
      <c r="J520" s="804">
        <v>893096</v>
      </c>
      <c r="K520" s="804">
        <v>69802</v>
      </c>
      <c r="L520" s="803">
        <v>6364.02</v>
      </c>
      <c r="M520" s="803"/>
      <c r="N520" s="804">
        <v>35712</v>
      </c>
      <c r="O520" s="804">
        <v>329637</v>
      </c>
      <c r="P520" s="804">
        <v>0</v>
      </c>
      <c r="Q520" s="803">
        <v>3443</v>
      </c>
      <c r="R520" s="803"/>
      <c r="S520" s="804">
        <v>272403</v>
      </c>
      <c r="T520" s="805">
        <v>2021</v>
      </c>
      <c r="U520" s="805">
        <v>274423</v>
      </c>
    </row>
    <row r="521" spans="1:21" x14ac:dyDescent="0.25">
      <c r="A521" s="800">
        <v>95701</v>
      </c>
      <c r="B521" s="801" t="s">
        <v>3158</v>
      </c>
      <c r="C521" s="802">
        <v>1.291E-3</v>
      </c>
      <c r="D521" s="802">
        <v>1.2436999999999999E-3</v>
      </c>
      <c r="E521" s="803">
        <v>517495</v>
      </c>
      <c r="F521" s="803">
        <v>558165</v>
      </c>
      <c r="G521" s="803">
        <v>2739934</v>
      </c>
      <c r="H521" s="803"/>
      <c r="I521" s="804">
        <v>51478.625</v>
      </c>
      <c r="J521" s="804">
        <v>2401056</v>
      </c>
      <c r="K521" s="804">
        <v>187661</v>
      </c>
      <c r="L521" s="803">
        <v>51877</v>
      </c>
      <c r="M521" s="803"/>
      <c r="N521" s="804">
        <v>96010</v>
      </c>
      <c r="O521" s="804">
        <v>886217</v>
      </c>
      <c r="P521" s="804">
        <v>0</v>
      </c>
      <c r="Q521" s="803">
        <v>0</v>
      </c>
      <c r="R521" s="803"/>
      <c r="S521" s="804">
        <v>732344</v>
      </c>
      <c r="T521" s="805">
        <v>20713</v>
      </c>
      <c r="U521" s="805">
        <v>753057</v>
      </c>
    </row>
    <row r="522" spans="1:21" x14ac:dyDescent="0.25">
      <c r="A522" s="800">
        <v>95711</v>
      </c>
      <c r="B522" s="801" t="s">
        <v>3159</v>
      </c>
      <c r="C522" s="802">
        <v>1.382E-4</v>
      </c>
      <c r="D522" s="802">
        <v>1.284E-4</v>
      </c>
      <c r="E522" s="803">
        <v>51439.57</v>
      </c>
      <c r="F522" s="803">
        <v>57625</v>
      </c>
      <c r="G522" s="803">
        <v>293307</v>
      </c>
      <c r="H522" s="803"/>
      <c r="I522" s="804">
        <v>5511</v>
      </c>
      <c r="J522" s="804">
        <v>257030</v>
      </c>
      <c r="K522" s="804">
        <v>20089</v>
      </c>
      <c r="L522" s="803">
        <v>9232</v>
      </c>
      <c r="M522" s="803"/>
      <c r="N522" s="804">
        <v>10278</v>
      </c>
      <c r="O522" s="804">
        <v>94868</v>
      </c>
      <c r="P522" s="804">
        <v>0</v>
      </c>
      <c r="Q522" s="803">
        <v>143</v>
      </c>
      <c r="R522" s="803"/>
      <c r="S522" s="804">
        <v>78397</v>
      </c>
      <c r="T522" s="805">
        <v>3104</v>
      </c>
      <c r="U522" s="805">
        <v>81500</v>
      </c>
    </row>
    <row r="523" spans="1:21" x14ac:dyDescent="0.25">
      <c r="A523" s="800">
        <v>95721</v>
      </c>
      <c r="B523" s="801" t="s">
        <v>3160</v>
      </c>
      <c r="C523" s="802">
        <v>6.6199999999999996E-5</v>
      </c>
      <c r="D523" s="802">
        <v>6.7199999999999994E-5</v>
      </c>
      <c r="E523" s="803">
        <v>22493.79</v>
      </c>
      <c r="F523" s="803">
        <v>30159</v>
      </c>
      <c r="G523" s="803">
        <v>140499</v>
      </c>
      <c r="H523" s="803"/>
      <c r="I523" s="804">
        <v>2640</v>
      </c>
      <c r="J523" s="804">
        <v>123122</v>
      </c>
      <c r="K523" s="804">
        <v>9623</v>
      </c>
      <c r="L523" s="803">
        <v>0</v>
      </c>
      <c r="M523" s="803"/>
      <c r="N523" s="804">
        <v>4923</v>
      </c>
      <c r="O523" s="804">
        <v>45444</v>
      </c>
      <c r="P523" s="804">
        <v>0</v>
      </c>
      <c r="Q523" s="803">
        <v>9473</v>
      </c>
      <c r="R523" s="803"/>
      <c r="S523" s="804">
        <v>37553</v>
      </c>
      <c r="T523" s="805">
        <v>-3665</v>
      </c>
      <c r="U523" s="805">
        <v>33888</v>
      </c>
    </row>
    <row r="524" spans="1:21" x14ac:dyDescent="0.25">
      <c r="A524" s="800">
        <v>95733</v>
      </c>
      <c r="B524" s="801" t="s">
        <v>3161</v>
      </c>
      <c r="C524" s="802">
        <v>1.56E-5</v>
      </c>
      <c r="D524" s="802">
        <v>1.63E-5</v>
      </c>
      <c r="E524" s="803">
        <v>6566</v>
      </c>
      <c r="F524" s="803">
        <v>7315</v>
      </c>
      <c r="G524" s="803">
        <v>33108</v>
      </c>
      <c r="H524" s="803"/>
      <c r="I524" s="804">
        <v>622</v>
      </c>
      <c r="J524" s="804">
        <v>29014</v>
      </c>
      <c r="K524" s="804">
        <v>2268</v>
      </c>
      <c r="L524" s="803">
        <v>926</v>
      </c>
      <c r="M524" s="803"/>
      <c r="N524" s="804">
        <v>1160</v>
      </c>
      <c r="O524" s="804">
        <v>10709</v>
      </c>
      <c r="P524" s="804">
        <v>0</v>
      </c>
      <c r="Q524" s="803">
        <v>259</v>
      </c>
      <c r="R524" s="803"/>
      <c r="S524" s="804">
        <v>8849</v>
      </c>
      <c r="T524" s="805">
        <v>277</v>
      </c>
      <c r="U524" s="805">
        <v>9127</v>
      </c>
    </row>
    <row r="525" spans="1:21" x14ac:dyDescent="0.25">
      <c r="A525" s="800">
        <v>95801</v>
      </c>
      <c r="B525" s="801" t="s">
        <v>3162</v>
      </c>
      <c r="C525" s="802">
        <v>8.9349999999999998E-4</v>
      </c>
      <c r="D525" s="802">
        <v>9.1810000000000004E-4</v>
      </c>
      <c r="E525" s="803">
        <v>383793.67</v>
      </c>
      <c r="F525" s="803">
        <v>412038</v>
      </c>
      <c r="G525" s="803">
        <v>1896306</v>
      </c>
      <c r="H525" s="803"/>
      <c r="I525" s="804">
        <v>35628</v>
      </c>
      <c r="J525" s="804">
        <v>1661769</v>
      </c>
      <c r="K525" s="804">
        <v>129880</v>
      </c>
      <c r="L525" s="803">
        <v>14615</v>
      </c>
      <c r="M525" s="803"/>
      <c r="N525" s="804">
        <v>66449</v>
      </c>
      <c r="O525" s="804">
        <v>613350</v>
      </c>
      <c r="P525" s="804">
        <v>0</v>
      </c>
      <c r="Q525" s="803">
        <v>8079</v>
      </c>
      <c r="R525" s="803"/>
      <c r="S525" s="804">
        <v>506855</v>
      </c>
      <c r="T525" s="805">
        <v>1206</v>
      </c>
      <c r="U525" s="805">
        <v>508061</v>
      </c>
    </row>
    <row r="526" spans="1:21" x14ac:dyDescent="0.25">
      <c r="A526" s="800">
        <v>95802</v>
      </c>
      <c r="B526" s="801" t="s">
        <v>3163</v>
      </c>
      <c r="C526" s="802">
        <v>6.8000000000000001E-6</v>
      </c>
      <c r="D526" s="802">
        <v>6.8000000000000001E-6</v>
      </c>
      <c r="E526" s="803">
        <v>4626.88</v>
      </c>
      <c r="F526" s="803">
        <v>3052</v>
      </c>
      <c r="G526" s="803">
        <v>14432</v>
      </c>
      <c r="H526" s="803"/>
      <c r="I526" s="804">
        <v>271</v>
      </c>
      <c r="J526" s="804">
        <v>12647</v>
      </c>
      <c r="K526" s="804">
        <v>988</v>
      </c>
      <c r="L526" s="803">
        <v>2741</v>
      </c>
      <c r="M526" s="803"/>
      <c r="N526" s="804">
        <v>506</v>
      </c>
      <c r="O526" s="804">
        <v>4668</v>
      </c>
      <c r="P526" s="804">
        <v>0</v>
      </c>
      <c r="Q526" s="803">
        <v>2509</v>
      </c>
      <c r="R526" s="803"/>
      <c r="S526" s="804">
        <v>3857</v>
      </c>
      <c r="T526" s="805">
        <v>-428</v>
      </c>
      <c r="U526" s="805">
        <v>3429</v>
      </c>
    </row>
    <row r="527" spans="1:21" x14ac:dyDescent="0.25">
      <c r="A527" s="800">
        <v>95804</v>
      </c>
      <c r="B527" s="801" t="s">
        <v>3164</v>
      </c>
      <c r="C527" s="802">
        <v>1.63E-5</v>
      </c>
      <c r="D527" s="802">
        <v>1.4399999999999999E-5</v>
      </c>
      <c r="E527" s="803">
        <v>6017.02</v>
      </c>
      <c r="F527" s="803">
        <v>6463</v>
      </c>
      <c r="G527" s="803">
        <v>34594</v>
      </c>
      <c r="H527" s="803"/>
      <c r="I527" s="804">
        <v>649.96249999999998</v>
      </c>
      <c r="J527" s="804">
        <v>30315</v>
      </c>
      <c r="K527" s="804">
        <v>2369</v>
      </c>
      <c r="L527" s="803">
        <v>3054</v>
      </c>
      <c r="M527" s="803"/>
      <c r="N527" s="804">
        <v>1212</v>
      </c>
      <c r="O527" s="804">
        <v>11189</v>
      </c>
      <c r="P527" s="804">
        <v>0</v>
      </c>
      <c r="Q527" s="803">
        <v>0</v>
      </c>
      <c r="R527" s="803"/>
      <c r="S527" s="804">
        <v>9246</v>
      </c>
      <c r="T527" s="805">
        <v>1187</v>
      </c>
      <c r="U527" s="805">
        <v>10434</v>
      </c>
    </row>
    <row r="528" spans="1:21" x14ac:dyDescent="0.25">
      <c r="A528" s="800">
        <v>95811</v>
      </c>
      <c r="B528" s="801" t="s">
        <v>3165</v>
      </c>
      <c r="C528" s="802">
        <v>5.3410000000000003E-4</v>
      </c>
      <c r="D528" s="802">
        <v>5.2459999999999996E-4</v>
      </c>
      <c r="E528" s="803">
        <v>215302.64</v>
      </c>
      <c r="F528" s="803">
        <v>235437</v>
      </c>
      <c r="G528" s="803">
        <v>1133539</v>
      </c>
      <c r="H528" s="803"/>
      <c r="I528" s="804">
        <v>21297</v>
      </c>
      <c r="J528" s="804">
        <v>993342</v>
      </c>
      <c r="K528" s="804">
        <v>77637</v>
      </c>
      <c r="L528" s="803">
        <v>2541</v>
      </c>
      <c r="M528" s="803"/>
      <c r="N528" s="804">
        <v>39720</v>
      </c>
      <c r="O528" s="804">
        <v>366637</v>
      </c>
      <c r="P528" s="804">
        <v>0</v>
      </c>
      <c r="Q528" s="803">
        <v>5345</v>
      </c>
      <c r="R528" s="803"/>
      <c r="S528" s="804">
        <v>302978</v>
      </c>
      <c r="T528" s="805">
        <v>-1032</v>
      </c>
      <c r="U528" s="805">
        <v>301947</v>
      </c>
    </row>
    <row r="529" spans="1:21" x14ac:dyDescent="0.25">
      <c r="A529" s="800">
        <v>95813</v>
      </c>
      <c r="B529" s="801" t="s">
        <v>3166</v>
      </c>
      <c r="C529" s="802">
        <v>4.4400000000000002E-5</v>
      </c>
      <c r="D529" s="802">
        <v>5.02E-5</v>
      </c>
      <c r="E529" s="803">
        <v>61209.42</v>
      </c>
      <c r="F529" s="803">
        <v>22529</v>
      </c>
      <c r="G529" s="803">
        <v>94232</v>
      </c>
      <c r="H529" s="803"/>
      <c r="I529" s="804">
        <v>1770.45</v>
      </c>
      <c r="J529" s="804">
        <v>82577</v>
      </c>
      <c r="K529" s="804">
        <v>6454</v>
      </c>
      <c r="L529" s="803">
        <v>51874</v>
      </c>
      <c r="M529" s="803"/>
      <c r="N529" s="804">
        <v>3302</v>
      </c>
      <c r="O529" s="804">
        <v>30479</v>
      </c>
      <c r="P529" s="804">
        <v>0</v>
      </c>
      <c r="Q529" s="803">
        <v>0</v>
      </c>
      <c r="R529" s="803"/>
      <c r="S529" s="804">
        <v>25187</v>
      </c>
      <c r="T529" s="805">
        <v>15540</v>
      </c>
      <c r="U529" s="805">
        <v>40727</v>
      </c>
    </row>
    <row r="530" spans="1:21" x14ac:dyDescent="0.25">
      <c r="A530" s="800">
        <v>95821</v>
      </c>
      <c r="B530" s="801" t="s">
        <v>3167</v>
      </c>
      <c r="C530" s="802">
        <v>1.7E-6</v>
      </c>
      <c r="D530" s="802">
        <v>1.5999999999999999E-6</v>
      </c>
      <c r="E530" s="803">
        <v>1922</v>
      </c>
      <c r="F530" s="803">
        <v>718</v>
      </c>
      <c r="G530" s="803">
        <v>3608</v>
      </c>
      <c r="H530" s="803"/>
      <c r="I530" s="804">
        <v>68</v>
      </c>
      <c r="J530" s="804">
        <v>3162</v>
      </c>
      <c r="K530" s="804">
        <v>247</v>
      </c>
      <c r="L530" s="803">
        <v>1916</v>
      </c>
      <c r="M530" s="803"/>
      <c r="N530" s="804">
        <v>126</v>
      </c>
      <c r="O530" s="804">
        <v>1167</v>
      </c>
      <c r="P530" s="804">
        <v>0</v>
      </c>
      <c r="Q530" s="803">
        <v>0</v>
      </c>
      <c r="R530" s="803"/>
      <c r="S530" s="804">
        <v>964</v>
      </c>
      <c r="T530" s="805">
        <v>623</v>
      </c>
      <c r="U530" s="805">
        <v>1587</v>
      </c>
    </row>
    <row r="531" spans="1:21" x14ac:dyDescent="0.25">
      <c r="A531" s="800">
        <v>95831</v>
      </c>
      <c r="B531" s="801" t="s">
        <v>3168</v>
      </c>
      <c r="C531" s="802">
        <v>1.36E-5</v>
      </c>
      <c r="D531" s="802">
        <v>1.9199999999999999E-5</v>
      </c>
      <c r="E531" s="803">
        <v>18920.61</v>
      </c>
      <c r="F531" s="803">
        <v>8617</v>
      </c>
      <c r="G531" s="803">
        <v>28864</v>
      </c>
      <c r="H531" s="803"/>
      <c r="I531" s="804">
        <v>542</v>
      </c>
      <c r="J531" s="804">
        <v>25294</v>
      </c>
      <c r="K531" s="804">
        <v>1977</v>
      </c>
      <c r="L531" s="803">
        <v>15027</v>
      </c>
      <c r="M531" s="803"/>
      <c r="N531" s="804">
        <v>1011</v>
      </c>
      <c r="O531" s="804">
        <v>9336</v>
      </c>
      <c r="P531" s="804">
        <v>0</v>
      </c>
      <c r="Q531" s="803">
        <v>0</v>
      </c>
      <c r="R531" s="803"/>
      <c r="S531" s="804">
        <v>7715</v>
      </c>
      <c r="T531" s="805">
        <v>4667</v>
      </c>
      <c r="U531" s="805">
        <v>12382</v>
      </c>
    </row>
    <row r="532" spans="1:21" x14ac:dyDescent="0.25">
      <c r="A532" s="800">
        <v>95841</v>
      </c>
      <c r="B532" s="801" t="s">
        <v>3169</v>
      </c>
      <c r="C532" s="802">
        <v>2.1100000000000001E-5</v>
      </c>
      <c r="D532" s="802">
        <v>2.0699999999999998E-5</v>
      </c>
      <c r="E532" s="803">
        <v>9619.65</v>
      </c>
      <c r="F532" s="803">
        <v>9290</v>
      </c>
      <c r="G532" s="803">
        <v>44781</v>
      </c>
      <c r="H532" s="803"/>
      <c r="I532" s="804">
        <v>841</v>
      </c>
      <c r="J532" s="804">
        <v>39243</v>
      </c>
      <c r="K532" s="804">
        <v>3067</v>
      </c>
      <c r="L532" s="803">
        <v>1840</v>
      </c>
      <c r="M532" s="803"/>
      <c r="N532" s="804">
        <v>1569</v>
      </c>
      <c r="O532" s="804">
        <v>14484</v>
      </c>
      <c r="P532" s="804">
        <v>0</v>
      </c>
      <c r="Q532" s="803">
        <v>0</v>
      </c>
      <c r="R532" s="803"/>
      <c r="S532" s="804">
        <v>11969</v>
      </c>
      <c r="T532" s="805">
        <v>601</v>
      </c>
      <c r="U532" s="805">
        <v>12570</v>
      </c>
    </row>
    <row r="533" spans="1:21" x14ac:dyDescent="0.25">
      <c r="A533" s="800">
        <v>95851</v>
      </c>
      <c r="B533" s="801" t="s">
        <v>3170</v>
      </c>
      <c r="C533" s="802">
        <v>1.3009999999999999E-4</v>
      </c>
      <c r="D533" s="802">
        <v>1.44E-4</v>
      </c>
      <c r="E533" s="803">
        <v>128218</v>
      </c>
      <c r="F533" s="803">
        <v>64626</v>
      </c>
      <c r="G533" s="803">
        <v>276116</v>
      </c>
      <c r="H533" s="803"/>
      <c r="I533" s="804">
        <v>5188</v>
      </c>
      <c r="J533" s="804">
        <v>241965</v>
      </c>
      <c r="K533" s="804">
        <v>18911</v>
      </c>
      <c r="L533" s="803">
        <v>90972</v>
      </c>
      <c r="M533" s="803"/>
      <c r="N533" s="804">
        <v>9675</v>
      </c>
      <c r="O533" s="804">
        <v>89308</v>
      </c>
      <c r="P533" s="804">
        <v>0</v>
      </c>
      <c r="Q533" s="803">
        <v>8402</v>
      </c>
      <c r="R533" s="803"/>
      <c r="S533" s="804">
        <v>73802</v>
      </c>
      <c r="T533" s="805">
        <v>23087</v>
      </c>
      <c r="U533" s="805">
        <v>96889</v>
      </c>
    </row>
    <row r="534" spans="1:21" x14ac:dyDescent="0.25">
      <c r="A534" s="800">
        <v>95853</v>
      </c>
      <c r="B534" s="801" t="s">
        <v>3171</v>
      </c>
      <c r="C534" s="802">
        <v>2.4000000000000001E-5</v>
      </c>
      <c r="D534" s="802">
        <v>2.44E-5</v>
      </c>
      <c r="E534" s="803">
        <v>14930</v>
      </c>
      <c r="F534" s="803">
        <v>10951</v>
      </c>
      <c r="G534" s="803">
        <v>50936.04</v>
      </c>
      <c r="H534" s="803"/>
      <c r="I534" s="804">
        <v>957</v>
      </c>
      <c r="J534" s="804">
        <v>44636</v>
      </c>
      <c r="K534" s="804">
        <v>3489</v>
      </c>
      <c r="L534" s="803">
        <v>8043</v>
      </c>
      <c r="M534" s="803"/>
      <c r="N534" s="804">
        <v>1785</v>
      </c>
      <c r="O534" s="804">
        <v>16475</v>
      </c>
      <c r="P534" s="804">
        <v>0</v>
      </c>
      <c r="Q534" s="803">
        <v>0</v>
      </c>
      <c r="R534" s="803"/>
      <c r="S534" s="804">
        <v>13614</v>
      </c>
      <c r="T534" s="805">
        <v>2790</v>
      </c>
      <c r="U534" s="805">
        <v>16405</v>
      </c>
    </row>
    <row r="535" spans="1:21" x14ac:dyDescent="0.25">
      <c r="A535" s="800">
        <v>95901</v>
      </c>
      <c r="B535" s="801" t="s">
        <v>3172</v>
      </c>
      <c r="C535" s="802">
        <v>1.8266999999999999E-3</v>
      </c>
      <c r="D535" s="802">
        <v>1.8056000000000001E-3</v>
      </c>
      <c r="E535" s="803">
        <v>722469.93</v>
      </c>
      <c r="F535" s="803">
        <v>810342</v>
      </c>
      <c r="G535" s="803">
        <v>3876869</v>
      </c>
      <c r="H535" s="803"/>
      <c r="I535" s="804">
        <v>72840</v>
      </c>
      <c r="J535" s="804">
        <v>3397373</v>
      </c>
      <c r="K535" s="804">
        <v>265531</v>
      </c>
      <c r="L535" s="803">
        <v>69258</v>
      </c>
      <c r="M535" s="803"/>
      <c r="N535" s="804">
        <v>135850</v>
      </c>
      <c r="O535" s="804">
        <v>1253953</v>
      </c>
      <c r="P535" s="804">
        <v>0</v>
      </c>
      <c r="Q535" s="803">
        <v>11402</v>
      </c>
      <c r="R535" s="803"/>
      <c r="S535" s="804">
        <v>1036230</v>
      </c>
      <c r="T535" s="805">
        <v>29652</v>
      </c>
      <c r="U535" s="805">
        <v>1065882</v>
      </c>
    </row>
    <row r="536" spans="1:21" x14ac:dyDescent="0.25">
      <c r="A536" s="800">
        <v>95908</v>
      </c>
      <c r="B536" s="801" t="s">
        <v>3173</v>
      </c>
      <c r="C536" s="802">
        <v>7.2000000000000002E-5</v>
      </c>
      <c r="D536" s="802">
        <v>6.6699999999999995E-5</v>
      </c>
      <c r="E536" s="803">
        <v>21165</v>
      </c>
      <c r="F536" s="803">
        <v>29935</v>
      </c>
      <c r="G536" s="803">
        <v>152808.12</v>
      </c>
      <c r="H536" s="803"/>
      <c r="I536" s="804">
        <v>2871</v>
      </c>
      <c r="J536" s="804">
        <v>133909</v>
      </c>
      <c r="K536" s="804">
        <v>10466</v>
      </c>
      <c r="L536" s="803">
        <v>0</v>
      </c>
      <c r="M536" s="803"/>
      <c r="N536" s="804">
        <v>5355</v>
      </c>
      <c r="O536" s="804">
        <v>49425</v>
      </c>
      <c r="P536" s="804">
        <v>0</v>
      </c>
      <c r="Q536" s="803">
        <v>24519</v>
      </c>
      <c r="R536" s="803"/>
      <c r="S536" s="804">
        <v>40843</v>
      </c>
      <c r="T536" s="805">
        <v>-9060</v>
      </c>
      <c r="U536" s="805">
        <v>31784</v>
      </c>
    </row>
    <row r="537" spans="1:21" x14ac:dyDescent="0.25">
      <c r="A537" s="800">
        <v>95911</v>
      </c>
      <c r="B537" s="801" t="s">
        <v>3174</v>
      </c>
      <c r="C537" s="802">
        <v>5.6979999999999997E-4</v>
      </c>
      <c r="D537" s="802">
        <v>6.2100000000000002E-4</v>
      </c>
      <c r="E537" s="803">
        <v>226533</v>
      </c>
      <c r="F537" s="803">
        <v>278701</v>
      </c>
      <c r="G537" s="803">
        <v>1209306</v>
      </c>
      <c r="H537" s="803"/>
      <c r="I537" s="804">
        <v>22721</v>
      </c>
      <c r="J537" s="804">
        <v>1059738</v>
      </c>
      <c r="K537" s="804">
        <v>82827</v>
      </c>
      <c r="L537" s="803">
        <v>4490</v>
      </c>
      <c r="M537" s="803"/>
      <c r="N537" s="804">
        <v>42375</v>
      </c>
      <c r="O537" s="804">
        <v>391144</v>
      </c>
      <c r="P537" s="804">
        <v>0</v>
      </c>
      <c r="Q537" s="803">
        <v>41660</v>
      </c>
      <c r="R537" s="803"/>
      <c r="S537" s="804">
        <v>323230</v>
      </c>
      <c r="T537" s="805">
        <v>-11084</v>
      </c>
      <c r="U537" s="805">
        <v>312146</v>
      </c>
    </row>
    <row r="538" spans="1:21" x14ac:dyDescent="0.25">
      <c r="A538" s="800">
        <v>95917</v>
      </c>
      <c r="B538" s="801" t="s">
        <v>3175</v>
      </c>
      <c r="C538" s="802">
        <v>2.2399999999999999E-5</v>
      </c>
      <c r="D538" s="802">
        <v>2.4499999999999999E-5</v>
      </c>
      <c r="E538" s="803">
        <v>9793</v>
      </c>
      <c r="F538" s="803">
        <v>10995</v>
      </c>
      <c r="G538" s="803">
        <v>47540</v>
      </c>
      <c r="H538" s="803"/>
      <c r="I538" s="804">
        <v>893</v>
      </c>
      <c r="J538" s="804">
        <v>41660</v>
      </c>
      <c r="K538" s="804">
        <v>3256</v>
      </c>
      <c r="L538" s="803">
        <v>4422</v>
      </c>
      <c r="M538" s="803"/>
      <c r="N538" s="804">
        <v>1666</v>
      </c>
      <c r="O538" s="804">
        <v>15377</v>
      </c>
      <c r="P538" s="804">
        <v>0</v>
      </c>
      <c r="Q538" s="803">
        <v>676</v>
      </c>
      <c r="R538" s="803"/>
      <c r="S538" s="804">
        <v>12707</v>
      </c>
      <c r="T538" s="805">
        <v>1747</v>
      </c>
      <c r="U538" s="805">
        <v>14453</v>
      </c>
    </row>
    <row r="539" spans="1:21" x14ac:dyDescent="0.25">
      <c r="A539" s="800">
        <v>95921</v>
      </c>
      <c r="B539" s="801" t="s">
        <v>3176</v>
      </c>
      <c r="C539" s="802">
        <v>4.4700000000000002E-5</v>
      </c>
      <c r="D539" s="802">
        <v>3.4600000000000001E-5</v>
      </c>
      <c r="E539" s="803">
        <v>16579.87</v>
      </c>
      <c r="F539" s="803">
        <v>15528</v>
      </c>
      <c r="G539" s="803">
        <v>94868</v>
      </c>
      <c r="H539" s="803"/>
      <c r="I539" s="804">
        <v>1782</v>
      </c>
      <c r="J539" s="804">
        <v>83135</v>
      </c>
      <c r="K539" s="804">
        <v>6498</v>
      </c>
      <c r="L539" s="803">
        <v>5096</v>
      </c>
      <c r="M539" s="803"/>
      <c r="N539" s="804">
        <v>3324</v>
      </c>
      <c r="O539" s="804">
        <v>30685</v>
      </c>
      <c r="P539" s="804">
        <v>0</v>
      </c>
      <c r="Q539" s="803">
        <v>1906</v>
      </c>
      <c r="R539" s="803"/>
      <c r="S539" s="804">
        <v>25357</v>
      </c>
      <c r="T539" s="805">
        <v>463</v>
      </c>
      <c r="U539" s="805">
        <v>25820</v>
      </c>
    </row>
    <row r="540" spans="1:21" x14ac:dyDescent="0.25">
      <c r="A540" s="800">
        <v>96001</v>
      </c>
      <c r="B540" s="801" t="s">
        <v>3177</v>
      </c>
      <c r="C540" s="802">
        <v>4.43519E-2</v>
      </c>
      <c r="D540" s="802">
        <v>4.41456E-2</v>
      </c>
      <c r="E540" s="803">
        <v>17742783</v>
      </c>
      <c r="F540" s="803">
        <v>19812280</v>
      </c>
      <c r="G540" s="803">
        <v>94129590</v>
      </c>
      <c r="H540" s="803"/>
      <c r="I540" s="804">
        <v>1768532</v>
      </c>
      <c r="J540" s="804">
        <v>82487526</v>
      </c>
      <c r="K540" s="804">
        <v>6447037</v>
      </c>
      <c r="L540" s="803">
        <v>2806449</v>
      </c>
      <c r="M540" s="803"/>
      <c r="N540" s="804">
        <v>3298406</v>
      </c>
      <c r="O540" s="804">
        <v>30445717</v>
      </c>
      <c r="P540" s="804">
        <v>0</v>
      </c>
      <c r="Q540" s="803">
        <v>282683</v>
      </c>
      <c r="R540" s="803"/>
      <c r="S540" s="804">
        <v>25159458</v>
      </c>
      <c r="T540" s="805">
        <v>1275874</v>
      </c>
      <c r="U540" s="805">
        <v>26435332</v>
      </c>
    </row>
    <row r="541" spans="1:21" x14ac:dyDescent="0.25">
      <c r="A541" s="800">
        <v>96003</v>
      </c>
      <c r="B541" s="801" t="s">
        <v>3178</v>
      </c>
      <c r="C541" s="802">
        <v>1.7309000000000001E-3</v>
      </c>
      <c r="D541" s="802">
        <v>1.7633E-3</v>
      </c>
      <c r="E541" s="803">
        <v>655848.02</v>
      </c>
      <c r="F541" s="803">
        <v>791358</v>
      </c>
      <c r="G541" s="803">
        <v>3673550</v>
      </c>
      <c r="H541" s="803"/>
      <c r="I541" s="804">
        <v>69020</v>
      </c>
      <c r="J541" s="804">
        <v>3219201</v>
      </c>
      <c r="K541" s="804">
        <v>251605</v>
      </c>
      <c r="L541" s="803">
        <v>4786</v>
      </c>
      <c r="M541" s="803"/>
      <c r="N541" s="804">
        <v>128725</v>
      </c>
      <c r="O541" s="804">
        <v>1188190</v>
      </c>
      <c r="P541" s="804">
        <v>0</v>
      </c>
      <c r="Q541" s="803">
        <v>112661</v>
      </c>
      <c r="R541" s="803"/>
      <c r="S541" s="804">
        <v>981886</v>
      </c>
      <c r="T541" s="805">
        <v>-39821</v>
      </c>
      <c r="U541" s="805">
        <v>942065</v>
      </c>
    </row>
    <row r="542" spans="1:21" x14ac:dyDescent="0.25">
      <c r="A542" s="800">
        <v>96004</v>
      </c>
      <c r="B542" s="801" t="s">
        <v>3179</v>
      </c>
      <c r="C542" s="802">
        <v>8.7699999999999996E-4</v>
      </c>
      <c r="D542" s="802">
        <v>8.208E-4</v>
      </c>
      <c r="E542" s="803">
        <v>400422.78</v>
      </c>
      <c r="F542" s="803">
        <v>368370</v>
      </c>
      <c r="G542" s="803">
        <v>1861288</v>
      </c>
      <c r="H542" s="803"/>
      <c r="I542" s="804">
        <v>34970.375</v>
      </c>
      <c r="J542" s="804">
        <v>1631081</v>
      </c>
      <c r="K542" s="804">
        <v>127482</v>
      </c>
      <c r="L542" s="803">
        <v>148722</v>
      </c>
      <c r="M542" s="803"/>
      <c r="N542" s="804">
        <v>65222</v>
      </c>
      <c r="O542" s="804">
        <v>602024</v>
      </c>
      <c r="P542" s="804">
        <v>0</v>
      </c>
      <c r="Q542" s="803">
        <v>0</v>
      </c>
      <c r="R542" s="803"/>
      <c r="S542" s="804">
        <v>497495</v>
      </c>
      <c r="T542" s="805">
        <v>52239</v>
      </c>
      <c r="U542" s="805">
        <v>549734</v>
      </c>
    </row>
    <row r="543" spans="1:21" x14ac:dyDescent="0.25">
      <c r="A543" s="800">
        <v>96005</v>
      </c>
      <c r="B543" s="801" t="s">
        <v>3180</v>
      </c>
      <c r="C543" s="802">
        <v>2.6457E-3</v>
      </c>
      <c r="D543" s="802">
        <v>2.6692E-3</v>
      </c>
      <c r="E543" s="803">
        <v>1120532</v>
      </c>
      <c r="F543" s="803">
        <v>1197921</v>
      </c>
      <c r="G543" s="803">
        <v>5615062</v>
      </c>
      <c r="H543" s="803"/>
      <c r="I543" s="804">
        <v>105497</v>
      </c>
      <c r="J543" s="804">
        <v>4920584</v>
      </c>
      <c r="K543" s="804">
        <v>384582</v>
      </c>
      <c r="L543" s="803">
        <v>345182</v>
      </c>
      <c r="M543" s="803"/>
      <c r="N543" s="804">
        <v>196758</v>
      </c>
      <c r="O543" s="804">
        <v>1816162</v>
      </c>
      <c r="P543" s="804">
        <v>0</v>
      </c>
      <c r="Q543" s="803">
        <v>0</v>
      </c>
      <c r="R543" s="803"/>
      <c r="S543" s="804">
        <v>1500824</v>
      </c>
      <c r="T543" s="805">
        <v>151849</v>
      </c>
      <c r="U543" s="805">
        <v>1652672</v>
      </c>
    </row>
    <row r="544" spans="1:21" x14ac:dyDescent="0.25">
      <c r="A544" s="800">
        <v>96008</v>
      </c>
      <c r="B544" s="801" t="s">
        <v>3181</v>
      </c>
      <c r="C544" s="802">
        <v>5.9388000000000002E-3</v>
      </c>
      <c r="D544" s="802">
        <v>5.4187000000000003E-3</v>
      </c>
      <c r="E544" s="803">
        <v>1816865.04</v>
      </c>
      <c r="F544" s="803">
        <v>2431880</v>
      </c>
      <c r="G544" s="803">
        <v>12604123</v>
      </c>
      <c r="H544" s="803"/>
      <c r="I544" s="804">
        <v>236809.65</v>
      </c>
      <c r="J544" s="804">
        <v>11045230</v>
      </c>
      <c r="K544" s="804">
        <v>863270</v>
      </c>
      <c r="L544" s="803">
        <v>0</v>
      </c>
      <c r="M544" s="803"/>
      <c r="N544" s="804">
        <v>441663</v>
      </c>
      <c r="O544" s="804">
        <v>4076737</v>
      </c>
      <c r="P544" s="804">
        <v>0</v>
      </c>
      <c r="Q544" s="803">
        <v>411808</v>
      </c>
      <c r="R544" s="803"/>
      <c r="S544" s="804">
        <v>3368897</v>
      </c>
      <c r="T544" s="805">
        <v>-148661</v>
      </c>
      <c r="U544" s="805">
        <v>3220236</v>
      </c>
    </row>
    <row r="545" spans="1:21" x14ac:dyDescent="0.25">
      <c r="A545" s="800">
        <v>96009</v>
      </c>
      <c r="B545" s="801" t="s">
        <v>3182</v>
      </c>
      <c r="C545" s="802">
        <v>3.5980000000000002E-4</v>
      </c>
      <c r="D545" s="802">
        <v>3.9110000000000002E-4</v>
      </c>
      <c r="E545" s="803">
        <v>164905</v>
      </c>
      <c r="F545" s="803">
        <v>175523</v>
      </c>
      <c r="G545" s="803">
        <v>763616</v>
      </c>
      <c r="H545" s="803"/>
      <c r="I545" s="804">
        <v>14347</v>
      </c>
      <c r="J545" s="804">
        <v>669171</v>
      </c>
      <c r="K545" s="804">
        <v>52301</v>
      </c>
      <c r="L545" s="803">
        <v>12534</v>
      </c>
      <c r="M545" s="803"/>
      <c r="N545" s="804">
        <v>26758</v>
      </c>
      <c r="O545" s="804">
        <v>246988</v>
      </c>
      <c r="P545" s="804">
        <v>0</v>
      </c>
      <c r="Q545" s="803">
        <v>3502</v>
      </c>
      <c r="R545" s="803"/>
      <c r="S545" s="804">
        <v>204103</v>
      </c>
      <c r="T545" s="805">
        <v>4895</v>
      </c>
      <c r="U545" s="805">
        <v>208999</v>
      </c>
    </row>
    <row r="546" spans="1:21" x14ac:dyDescent="0.25">
      <c r="A546" s="800">
        <v>96011</v>
      </c>
      <c r="B546" s="801" t="s">
        <v>3183</v>
      </c>
      <c r="C546" s="802">
        <v>6.0489000000000001E-2</v>
      </c>
      <c r="D546" s="802">
        <v>5.8946100000000001E-2</v>
      </c>
      <c r="E546" s="803">
        <v>23738140</v>
      </c>
      <c r="F546" s="803">
        <v>26454656</v>
      </c>
      <c r="G546" s="803">
        <v>128377922</v>
      </c>
      <c r="H546" s="803"/>
      <c r="I546" s="804">
        <v>2411999</v>
      </c>
      <c r="J546" s="804">
        <v>112499983</v>
      </c>
      <c r="K546" s="804">
        <v>8792742</v>
      </c>
      <c r="L546" s="803">
        <v>167249</v>
      </c>
      <c r="M546" s="803"/>
      <c r="N546" s="804">
        <v>4498506</v>
      </c>
      <c r="O546" s="804">
        <v>41523158</v>
      </c>
      <c r="P546" s="804">
        <v>0</v>
      </c>
      <c r="Q546" s="803">
        <v>70330</v>
      </c>
      <c r="R546" s="803"/>
      <c r="S546" s="804">
        <v>34313535</v>
      </c>
      <c r="T546" s="805">
        <v>40438</v>
      </c>
      <c r="U546" s="805">
        <v>34353973</v>
      </c>
    </row>
    <row r="547" spans="1:21" x14ac:dyDescent="0.25">
      <c r="A547" s="800">
        <v>96012</v>
      </c>
      <c r="B547" s="801" t="s">
        <v>3184</v>
      </c>
      <c r="C547" s="802">
        <v>2.4095000000000002E-3</v>
      </c>
      <c r="D547" s="802">
        <v>2.1905000000000002E-3</v>
      </c>
      <c r="E547" s="803">
        <v>930120</v>
      </c>
      <c r="F547" s="803">
        <v>983083</v>
      </c>
      <c r="G547" s="803">
        <v>5113766</v>
      </c>
      <c r="H547" s="803"/>
      <c r="I547" s="804">
        <v>96079</v>
      </c>
      <c r="J547" s="804">
        <v>4481289</v>
      </c>
      <c r="K547" s="804">
        <v>350247</v>
      </c>
      <c r="L547" s="803">
        <v>112910</v>
      </c>
      <c r="M547" s="803"/>
      <c r="N547" s="804">
        <v>179192</v>
      </c>
      <c r="O547" s="804">
        <v>1654021</v>
      </c>
      <c r="P547" s="804">
        <v>0</v>
      </c>
      <c r="Q547" s="803">
        <v>0</v>
      </c>
      <c r="R547" s="803"/>
      <c r="S547" s="804">
        <v>1366835</v>
      </c>
      <c r="T547" s="805">
        <v>35829</v>
      </c>
      <c r="U547" s="805">
        <v>1402664</v>
      </c>
    </row>
    <row r="548" spans="1:21" x14ac:dyDescent="0.25">
      <c r="A548" s="800">
        <v>96018</v>
      </c>
      <c r="B548" s="801" t="s">
        <v>3185</v>
      </c>
      <c r="C548" s="802">
        <v>3.6199999999999999E-5</v>
      </c>
      <c r="D548" s="802">
        <v>3.3599999999999997E-5</v>
      </c>
      <c r="E548" s="803">
        <v>13499</v>
      </c>
      <c r="F548" s="803">
        <v>15079</v>
      </c>
      <c r="G548" s="803">
        <v>76829</v>
      </c>
      <c r="H548" s="803"/>
      <c r="I548" s="804">
        <v>1443.4749999999999</v>
      </c>
      <c r="J548" s="804">
        <v>67326</v>
      </c>
      <c r="K548" s="804">
        <v>5262</v>
      </c>
      <c r="L548" s="803">
        <v>11396</v>
      </c>
      <c r="M548" s="803"/>
      <c r="N548" s="804">
        <v>2692</v>
      </c>
      <c r="O548" s="804">
        <v>24850</v>
      </c>
      <c r="P548" s="804">
        <v>0</v>
      </c>
      <c r="Q548" s="803">
        <v>0</v>
      </c>
      <c r="R548" s="803"/>
      <c r="S548" s="804">
        <v>20535</v>
      </c>
      <c r="T548" s="805">
        <v>5069</v>
      </c>
      <c r="U548" s="805">
        <v>25604</v>
      </c>
    </row>
    <row r="549" spans="1:21" x14ac:dyDescent="0.25">
      <c r="A549" s="800">
        <v>96021</v>
      </c>
      <c r="B549" s="801" t="s">
        <v>3186</v>
      </c>
      <c r="C549" s="802">
        <v>8.5829999999999999E-4</v>
      </c>
      <c r="D549" s="802">
        <v>8.8719999999999999E-4</v>
      </c>
      <c r="E549" s="803">
        <v>330918.43</v>
      </c>
      <c r="F549" s="803">
        <v>398170</v>
      </c>
      <c r="G549" s="803">
        <v>1821600</v>
      </c>
      <c r="H549" s="803"/>
      <c r="I549" s="804">
        <v>34225</v>
      </c>
      <c r="J549" s="804">
        <v>1596302</v>
      </c>
      <c r="K549" s="804">
        <v>124763</v>
      </c>
      <c r="L549" s="803">
        <v>50366</v>
      </c>
      <c r="M549" s="803"/>
      <c r="N549" s="804">
        <v>63831</v>
      </c>
      <c r="O549" s="804">
        <v>589187</v>
      </c>
      <c r="P549" s="804">
        <v>0</v>
      </c>
      <c r="Q549" s="803">
        <v>33170</v>
      </c>
      <c r="R549" s="803"/>
      <c r="S549" s="804">
        <v>486887</v>
      </c>
      <c r="T549" s="805">
        <v>9814</v>
      </c>
      <c r="U549" s="805">
        <v>496701</v>
      </c>
    </row>
    <row r="550" spans="1:21" x14ac:dyDescent="0.25">
      <c r="A550" s="800">
        <v>96031</v>
      </c>
      <c r="B550" s="801" t="s">
        <v>3187</v>
      </c>
      <c r="C550" s="802">
        <v>9.0189999999999997E-4</v>
      </c>
      <c r="D550" s="802">
        <v>8.116E-4</v>
      </c>
      <c r="E550" s="803">
        <v>268947</v>
      </c>
      <c r="F550" s="803">
        <v>364241</v>
      </c>
      <c r="G550" s="803">
        <v>1914134</v>
      </c>
      <c r="H550" s="803"/>
      <c r="I550" s="804">
        <v>35963</v>
      </c>
      <c r="J550" s="804">
        <v>1677391</v>
      </c>
      <c r="K550" s="804">
        <v>131101</v>
      </c>
      <c r="L550" s="803">
        <v>0</v>
      </c>
      <c r="M550" s="803"/>
      <c r="N550" s="804">
        <v>67073</v>
      </c>
      <c r="O550" s="804">
        <v>619116</v>
      </c>
      <c r="P550" s="804">
        <v>0</v>
      </c>
      <c r="Q550" s="803">
        <v>136310</v>
      </c>
      <c r="R550" s="803"/>
      <c r="S550" s="804">
        <v>511620</v>
      </c>
      <c r="T550" s="805">
        <v>-50978</v>
      </c>
      <c r="U550" s="805">
        <v>460642</v>
      </c>
    </row>
    <row r="551" spans="1:21" x14ac:dyDescent="0.25">
      <c r="A551" s="800">
        <v>96041</v>
      </c>
      <c r="B551" s="801" t="s">
        <v>3188</v>
      </c>
      <c r="C551" s="802">
        <v>1.7323E-3</v>
      </c>
      <c r="D551" s="802">
        <v>1.6793999999999999E-3</v>
      </c>
      <c r="E551" s="803">
        <v>616935</v>
      </c>
      <c r="F551" s="803">
        <v>753705</v>
      </c>
      <c r="G551" s="803">
        <v>3676521</v>
      </c>
      <c r="H551" s="803"/>
      <c r="I551" s="804">
        <v>69075</v>
      </c>
      <c r="J551" s="804">
        <v>3221804</v>
      </c>
      <c r="K551" s="804">
        <v>251809</v>
      </c>
      <c r="L551" s="803">
        <v>0</v>
      </c>
      <c r="M551" s="803"/>
      <c r="N551" s="804">
        <v>128829</v>
      </c>
      <c r="O551" s="804">
        <v>1189151</v>
      </c>
      <c r="P551" s="804">
        <v>0</v>
      </c>
      <c r="Q551" s="803">
        <v>127191</v>
      </c>
      <c r="R551" s="803"/>
      <c r="S551" s="804">
        <v>982680</v>
      </c>
      <c r="T551" s="805">
        <v>-45617</v>
      </c>
      <c r="U551" s="805">
        <v>937063</v>
      </c>
    </row>
    <row r="552" spans="1:21" x14ac:dyDescent="0.25">
      <c r="A552" s="800">
        <v>96051</v>
      </c>
      <c r="B552" s="801" t="s">
        <v>3189</v>
      </c>
      <c r="C552" s="802">
        <v>1.0258000000000001E-3</v>
      </c>
      <c r="D552" s="802">
        <v>1.0265999999999999E-3</v>
      </c>
      <c r="E552" s="803">
        <v>369762</v>
      </c>
      <c r="F552" s="803">
        <v>460732</v>
      </c>
      <c r="G552" s="803">
        <v>2177091</v>
      </c>
      <c r="H552" s="803"/>
      <c r="I552" s="804">
        <v>40904</v>
      </c>
      <c r="J552" s="804">
        <v>1907826</v>
      </c>
      <c r="K552" s="804">
        <v>149111</v>
      </c>
      <c r="L552" s="803">
        <v>0</v>
      </c>
      <c r="M552" s="803"/>
      <c r="N552" s="804">
        <v>76288</v>
      </c>
      <c r="O552" s="804">
        <v>704169</v>
      </c>
      <c r="P552" s="804">
        <v>0</v>
      </c>
      <c r="Q552" s="803">
        <v>94345</v>
      </c>
      <c r="R552" s="803"/>
      <c r="S552" s="804">
        <v>581905</v>
      </c>
      <c r="T552" s="805">
        <v>-32749</v>
      </c>
      <c r="U552" s="805">
        <v>549156</v>
      </c>
    </row>
    <row r="553" spans="1:21" x14ac:dyDescent="0.25">
      <c r="A553" s="800">
        <v>96061</v>
      </c>
      <c r="B553" s="801" t="s">
        <v>3190</v>
      </c>
      <c r="C553" s="802">
        <v>3.0800000000000001E-4</v>
      </c>
      <c r="D553" s="802">
        <v>3.1809999999999998E-4</v>
      </c>
      <c r="E553" s="803">
        <v>123610</v>
      </c>
      <c r="F553" s="803">
        <v>142761</v>
      </c>
      <c r="G553" s="803">
        <v>653679</v>
      </c>
      <c r="H553" s="803"/>
      <c r="I553" s="804">
        <v>12281.5</v>
      </c>
      <c r="J553" s="804">
        <v>572831</v>
      </c>
      <c r="K553" s="804">
        <v>44771</v>
      </c>
      <c r="L553" s="803">
        <v>2239</v>
      </c>
      <c r="M553" s="803"/>
      <c r="N553" s="804">
        <v>22906</v>
      </c>
      <c r="O553" s="804">
        <v>211429</v>
      </c>
      <c r="P553" s="804">
        <v>0</v>
      </c>
      <c r="Q553" s="803">
        <v>11106</v>
      </c>
      <c r="R553" s="803"/>
      <c r="S553" s="804">
        <v>174719</v>
      </c>
      <c r="T553" s="805">
        <v>-2865</v>
      </c>
      <c r="U553" s="805">
        <v>171854</v>
      </c>
    </row>
    <row r="554" spans="1:21" x14ac:dyDescent="0.25">
      <c r="A554" s="800">
        <v>96071</v>
      </c>
      <c r="B554" s="801" t="s">
        <v>3191</v>
      </c>
      <c r="C554" s="802">
        <v>1.1280999999999999E-3</v>
      </c>
      <c r="D554" s="802">
        <v>1.2979000000000001E-3</v>
      </c>
      <c r="E554" s="803">
        <v>475581.26</v>
      </c>
      <c r="F554" s="803">
        <v>582490</v>
      </c>
      <c r="G554" s="803">
        <v>2394206</v>
      </c>
      <c r="H554" s="803"/>
      <c r="I554" s="804">
        <v>44983</v>
      </c>
      <c r="J554" s="804">
        <v>2098088</v>
      </c>
      <c r="K554" s="804">
        <v>163982</v>
      </c>
      <c r="L554" s="803">
        <v>64300</v>
      </c>
      <c r="M554" s="803"/>
      <c r="N554" s="804">
        <v>83896</v>
      </c>
      <c r="O554" s="804">
        <v>774393</v>
      </c>
      <c r="P554" s="804">
        <v>0</v>
      </c>
      <c r="Q554" s="803">
        <v>103673</v>
      </c>
      <c r="R554" s="803"/>
      <c r="S554" s="804">
        <v>639936</v>
      </c>
      <c r="T554" s="805">
        <v>-9157</v>
      </c>
      <c r="U554" s="805">
        <v>630779</v>
      </c>
    </row>
    <row r="555" spans="1:21" x14ac:dyDescent="0.25">
      <c r="A555" s="800">
        <v>96081</v>
      </c>
      <c r="B555" s="801" t="s">
        <v>3192</v>
      </c>
      <c r="C555" s="802">
        <v>4.7820000000000002E-4</v>
      </c>
      <c r="D555" s="802">
        <v>4.3820000000000003E-4</v>
      </c>
      <c r="E555" s="803">
        <v>172267</v>
      </c>
      <c r="F555" s="803">
        <v>196662</v>
      </c>
      <c r="G555" s="803">
        <v>1014901</v>
      </c>
      <c r="H555" s="803"/>
      <c r="I555" s="804">
        <v>19068</v>
      </c>
      <c r="J555" s="804">
        <v>889376</v>
      </c>
      <c r="K555" s="804">
        <v>69512</v>
      </c>
      <c r="L555" s="803">
        <v>14379</v>
      </c>
      <c r="M555" s="803"/>
      <c r="N555" s="804">
        <v>35563</v>
      </c>
      <c r="O555" s="804">
        <v>328264</v>
      </c>
      <c r="P555" s="804">
        <v>0</v>
      </c>
      <c r="Q555" s="803">
        <v>6375</v>
      </c>
      <c r="R555" s="803"/>
      <c r="S555" s="804">
        <v>271268</v>
      </c>
      <c r="T555" s="805">
        <v>4406</v>
      </c>
      <c r="U555" s="805">
        <v>275674</v>
      </c>
    </row>
    <row r="556" spans="1:21" x14ac:dyDescent="0.25">
      <c r="A556" s="800">
        <v>96101</v>
      </c>
      <c r="B556" s="801" t="s">
        <v>3193</v>
      </c>
      <c r="C556" s="802">
        <v>7.5860000000000001E-4</v>
      </c>
      <c r="D556" s="802">
        <v>7.6990000000000001E-4</v>
      </c>
      <c r="E556" s="803">
        <v>313732</v>
      </c>
      <c r="F556" s="803">
        <v>345527</v>
      </c>
      <c r="G556" s="803">
        <v>1610003</v>
      </c>
      <c r="H556" s="803"/>
      <c r="I556" s="804">
        <v>30249</v>
      </c>
      <c r="J556" s="804">
        <v>1410876</v>
      </c>
      <c r="K556" s="804">
        <v>110271</v>
      </c>
      <c r="L556" s="803">
        <v>31021</v>
      </c>
      <c r="M556" s="803"/>
      <c r="N556" s="804">
        <v>56416</v>
      </c>
      <c r="O556" s="804">
        <v>520747</v>
      </c>
      <c r="P556" s="804">
        <v>0</v>
      </c>
      <c r="Q556" s="803">
        <v>4721</v>
      </c>
      <c r="R556" s="803"/>
      <c r="S556" s="804">
        <v>430330</v>
      </c>
      <c r="T556" s="805">
        <v>11900</v>
      </c>
      <c r="U556" s="805">
        <v>442230</v>
      </c>
    </row>
    <row r="557" spans="1:21" x14ac:dyDescent="0.25">
      <c r="A557" s="800">
        <v>96102</v>
      </c>
      <c r="B557" s="801" t="s">
        <v>3194</v>
      </c>
      <c r="C557" s="802">
        <v>1.42E-5</v>
      </c>
      <c r="D557" s="802">
        <v>1.3699999999999999E-5</v>
      </c>
      <c r="E557" s="803">
        <v>4769.91</v>
      </c>
      <c r="F557" s="803">
        <v>6148</v>
      </c>
      <c r="G557" s="803">
        <v>30137</v>
      </c>
      <c r="H557" s="803"/>
      <c r="I557" s="804">
        <v>566.22500000000002</v>
      </c>
      <c r="J557" s="804">
        <v>26410</v>
      </c>
      <c r="K557" s="804">
        <v>2064</v>
      </c>
      <c r="L557" s="803">
        <v>0</v>
      </c>
      <c r="M557" s="803"/>
      <c r="N557" s="804">
        <v>1056</v>
      </c>
      <c r="O557" s="804">
        <v>9748</v>
      </c>
      <c r="P557" s="804">
        <v>0</v>
      </c>
      <c r="Q557" s="803">
        <v>2903</v>
      </c>
      <c r="R557" s="803"/>
      <c r="S557" s="804">
        <v>8055</v>
      </c>
      <c r="T557" s="805">
        <v>-1101</v>
      </c>
      <c r="U557" s="805">
        <v>6954</v>
      </c>
    </row>
    <row r="558" spans="1:21" x14ac:dyDescent="0.25">
      <c r="A558" s="800">
        <v>96111</v>
      </c>
      <c r="B558" s="801" t="s">
        <v>3195</v>
      </c>
      <c r="C558" s="802">
        <v>1.6119999999999999E-4</v>
      </c>
      <c r="D558" s="802">
        <v>1.616E-4</v>
      </c>
      <c r="E558" s="803">
        <v>70991.37</v>
      </c>
      <c r="F558" s="803">
        <v>72525</v>
      </c>
      <c r="G558" s="803">
        <v>342120</v>
      </c>
      <c r="H558" s="803"/>
      <c r="I558" s="804">
        <v>6428</v>
      </c>
      <c r="J558" s="804">
        <v>299807</v>
      </c>
      <c r="K558" s="804">
        <v>23432</v>
      </c>
      <c r="L558" s="803">
        <v>16577</v>
      </c>
      <c r="M558" s="803"/>
      <c r="N558" s="804">
        <v>11988</v>
      </c>
      <c r="O558" s="804">
        <v>110657</v>
      </c>
      <c r="P558" s="804">
        <v>0</v>
      </c>
      <c r="Q558" s="803">
        <v>0</v>
      </c>
      <c r="R558" s="803"/>
      <c r="S558" s="804">
        <v>91444</v>
      </c>
      <c r="T558" s="805">
        <v>7175</v>
      </c>
      <c r="U558" s="805">
        <v>98618</v>
      </c>
    </row>
    <row r="559" spans="1:21" x14ac:dyDescent="0.25">
      <c r="A559" s="800">
        <v>96121</v>
      </c>
      <c r="B559" s="801" t="s">
        <v>3196</v>
      </c>
      <c r="C559" s="802">
        <v>2.2099999999999998E-5</v>
      </c>
      <c r="D559" s="802">
        <v>1.9199999999999999E-5</v>
      </c>
      <c r="E559" s="803">
        <v>7784.73</v>
      </c>
      <c r="F559" s="803">
        <v>8617</v>
      </c>
      <c r="G559" s="803">
        <v>46904</v>
      </c>
      <c r="H559" s="803"/>
      <c r="I559" s="804">
        <v>881.23749999999995</v>
      </c>
      <c r="J559" s="804">
        <v>41103</v>
      </c>
      <c r="K559" s="804">
        <v>3212</v>
      </c>
      <c r="L559" s="803">
        <v>535</v>
      </c>
      <c r="M559" s="803"/>
      <c r="N559" s="804">
        <v>1644</v>
      </c>
      <c r="O559" s="804">
        <v>15171</v>
      </c>
      <c r="P559" s="804">
        <v>0</v>
      </c>
      <c r="Q559" s="803">
        <v>1907</v>
      </c>
      <c r="R559" s="803"/>
      <c r="S559" s="804">
        <v>12537</v>
      </c>
      <c r="T559" s="805">
        <v>-758</v>
      </c>
      <c r="U559" s="805">
        <v>11779</v>
      </c>
    </row>
    <row r="560" spans="1:21" x14ac:dyDescent="0.25">
      <c r="A560" s="800">
        <v>96201</v>
      </c>
      <c r="B560" s="801" t="s">
        <v>3197</v>
      </c>
      <c r="C560" s="802">
        <v>1.2302999999999999E-3</v>
      </c>
      <c r="D560" s="802">
        <v>1.2474000000000001E-3</v>
      </c>
      <c r="E560" s="803">
        <v>481242.57</v>
      </c>
      <c r="F560" s="803">
        <v>559826</v>
      </c>
      <c r="G560" s="803">
        <v>2611109</v>
      </c>
      <c r="H560" s="803"/>
      <c r="I560" s="804">
        <v>49058</v>
      </c>
      <c r="J560" s="804">
        <v>2288164</v>
      </c>
      <c r="K560" s="804">
        <v>178838</v>
      </c>
      <c r="L560" s="803">
        <v>0</v>
      </c>
      <c r="M560" s="803"/>
      <c r="N560" s="804">
        <v>91496</v>
      </c>
      <c r="O560" s="804">
        <v>844549</v>
      </c>
      <c r="P560" s="804">
        <v>0</v>
      </c>
      <c r="Q560" s="803">
        <v>39692</v>
      </c>
      <c r="R560" s="803"/>
      <c r="S560" s="804">
        <v>697911</v>
      </c>
      <c r="T560" s="805">
        <v>-11921</v>
      </c>
      <c r="U560" s="805">
        <v>685990</v>
      </c>
    </row>
    <row r="561" spans="1:21" x14ac:dyDescent="0.25">
      <c r="A561" s="800">
        <v>96204</v>
      </c>
      <c r="B561" s="801" t="s">
        <v>3198</v>
      </c>
      <c r="C561" s="802">
        <v>1.5400000000000002E-5</v>
      </c>
      <c r="D561" s="802">
        <v>1.49E-5</v>
      </c>
      <c r="E561" s="803">
        <v>7656</v>
      </c>
      <c r="F561" s="803">
        <v>6687</v>
      </c>
      <c r="G561" s="803">
        <v>32684</v>
      </c>
      <c r="H561" s="803"/>
      <c r="I561" s="804">
        <v>614</v>
      </c>
      <c r="J561" s="804">
        <v>28642</v>
      </c>
      <c r="K561" s="804">
        <v>2239</v>
      </c>
      <c r="L561" s="803">
        <v>3853</v>
      </c>
      <c r="M561" s="803"/>
      <c r="N561" s="804">
        <v>1145</v>
      </c>
      <c r="O561" s="804">
        <v>10571</v>
      </c>
      <c r="P561" s="804">
        <v>0</v>
      </c>
      <c r="Q561" s="803">
        <v>0</v>
      </c>
      <c r="R561" s="803"/>
      <c r="S561" s="804">
        <v>8736</v>
      </c>
      <c r="T561" s="805">
        <v>1392</v>
      </c>
      <c r="U561" s="805">
        <v>10127</v>
      </c>
    </row>
    <row r="562" spans="1:21" x14ac:dyDescent="0.25">
      <c r="A562" s="800">
        <v>96211</v>
      </c>
      <c r="B562" s="801" t="s">
        <v>3199</v>
      </c>
      <c r="C562" s="802">
        <v>3.0700000000000001E-5</v>
      </c>
      <c r="D562" s="802">
        <v>2.7399999999999999E-5</v>
      </c>
      <c r="E562" s="803">
        <v>14055.49</v>
      </c>
      <c r="F562" s="803">
        <v>12297</v>
      </c>
      <c r="G562" s="803">
        <v>65156</v>
      </c>
      <c r="H562" s="803"/>
      <c r="I562" s="804">
        <v>1224</v>
      </c>
      <c r="J562" s="804">
        <v>57097</v>
      </c>
      <c r="K562" s="804">
        <v>4463</v>
      </c>
      <c r="L562" s="803">
        <v>5441</v>
      </c>
      <c r="M562" s="803"/>
      <c r="N562" s="804">
        <v>2283</v>
      </c>
      <c r="O562" s="804">
        <v>21074</v>
      </c>
      <c r="P562" s="804">
        <v>0</v>
      </c>
      <c r="Q562" s="803">
        <v>8968.93</v>
      </c>
      <c r="R562" s="803"/>
      <c r="S562" s="804">
        <v>17415</v>
      </c>
      <c r="T562" s="805">
        <v>-2857</v>
      </c>
      <c r="U562" s="805">
        <v>14558</v>
      </c>
    </row>
    <row r="563" spans="1:21" x14ac:dyDescent="0.25">
      <c r="A563" s="800">
        <v>96221</v>
      </c>
      <c r="B563" s="801" t="s">
        <v>3200</v>
      </c>
      <c r="C563" s="802">
        <v>2.287E-4</v>
      </c>
      <c r="D563" s="802">
        <v>2.3719999999999999E-4</v>
      </c>
      <c r="E563" s="803">
        <v>88753.9</v>
      </c>
      <c r="F563" s="803">
        <v>106454</v>
      </c>
      <c r="G563" s="803">
        <v>485378</v>
      </c>
      <c r="H563" s="803"/>
      <c r="I563" s="804">
        <v>9119</v>
      </c>
      <c r="J563" s="804">
        <v>425346</v>
      </c>
      <c r="K563" s="804">
        <v>33244</v>
      </c>
      <c r="L563" s="803">
        <v>4903</v>
      </c>
      <c r="M563" s="803"/>
      <c r="N563" s="804">
        <v>17008</v>
      </c>
      <c r="O563" s="804">
        <v>156993</v>
      </c>
      <c r="P563" s="804">
        <v>0</v>
      </c>
      <c r="Q563" s="803">
        <v>16105</v>
      </c>
      <c r="R563" s="803"/>
      <c r="S563" s="804">
        <v>129734</v>
      </c>
      <c r="T563" s="805">
        <v>-2405</v>
      </c>
      <c r="U563" s="805">
        <v>127329</v>
      </c>
    </row>
    <row r="564" spans="1:21" x14ac:dyDescent="0.25">
      <c r="A564" s="800">
        <v>96231</v>
      </c>
      <c r="B564" s="801" t="s">
        <v>3201</v>
      </c>
      <c r="C564" s="802">
        <v>1.145E-4</v>
      </c>
      <c r="D564" s="802">
        <v>1.2420000000000001E-4</v>
      </c>
      <c r="E564" s="803">
        <v>40508</v>
      </c>
      <c r="F564" s="803">
        <v>55740</v>
      </c>
      <c r="G564" s="803">
        <v>243007</v>
      </c>
      <c r="H564" s="803"/>
      <c r="I564" s="804">
        <v>4565.6875</v>
      </c>
      <c r="J564" s="804">
        <v>212952</v>
      </c>
      <c r="K564" s="804">
        <v>16644</v>
      </c>
      <c r="L564" s="803">
        <v>0</v>
      </c>
      <c r="M564" s="803"/>
      <c r="N564" s="804">
        <v>8515</v>
      </c>
      <c r="O564" s="804">
        <v>78599</v>
      </c>
      <c r="P564" s="804">
        <v>0</v>
      </c>
      <c r="Q564" s="803">
        <v>22692</v>
      </c>
      <c r="R564" s="803"/>
      <c r="S564" s="804">
        <v>64952</v>
      </c>
      <c r="T564" s="805">
        <v>-7733</v>
      </c>
      <c r="U564" s="805">
        <v>57219</v>
      </c>
    </row>
    <row r="565" spans="1:21" x14ac:dyDescent="0.25">
      <c r="A565" s="800">
        <v>96241</v>
      </c>
      <c r="B565" s="801" t="s">
        <v>3202</v>
      </c>
      <c r="C565" s="802">
        <v>4.6100000000000002E-5</v>
      </c>
      <c r="D565" s="802">
        <v>5.7000000000000003E-5</v>
      </c>
      <c r="E565" s="803">
        <v>18964.25</v>
      </c>
      <c r="F565" s="803">
        <v>25581</v>
      </c>
      <c r="G565" s="803">
        <v>97840</v>
      </c>
      <c r="H565" s="803"/>
      <c r="I565" s="804">
        <v>1838</v>
      </c>
      <c r="J565" s="804">
        <v>85739</v>
      </c>
      <c r="K565" s="804">
        <v>6701</v>
      </c>
      <c r="L565" s="803">
        <v>7866</v>
      </c>
      <c r="M565" s="803"/>
      <c r="N565" s="804">
        <v>3428</v>
      </c>
      <c r="O565" s="804">
        <v>31646</v>
      </c>
      <c r="P565" s="804">
        <v>0</v>
      </c>
      <c r="Q565" s="803">
        <v>5900</v>
      </c>
      <c r="R565" s="803"/>
      <c r="S565" s="804">
        <v>26151</v>
      </c>
      <c r="T565" s="805">
        <v>2187</v>
      </c>
      <c r="U565" s="805">
        <v>28338</v>
      </c>
    </row>
    <row r="566" spans="1:21" x14ac:dyDescent="0.25">
      <c r="A566" s="800">
        <v>96251</v>
      </c>
      <c r="B566" s="801" t="s">
        <v>3203</v>
      </c>
      <c r="C566" s="802">
        <v>7.7100000000000004E-5</v>
      </c>
      <c r="D566" s="802">
        <v>9.0699999999999996E-5</v>
      </c>
      <c r="E566" s="803">
        <v>29404.75</v>
      </c>
      <c r="F566" s="803">
        <v>40706</v>
      </c>
      <c r="G566" s="803">
        <v>163632</v>
      </c>
      <c r="H566" s="803"/>
      <c r="I566" s="804">
        <v>3074</v>
      </c>
      <c r="J566" s="804">
        <v>143394</v>
      </c>
      <c r="K566" s="804">
        <v>11207</v>
      </c>
      <c r="L566" s="803">
        <v>0</v>
      </c>
      <c r="M566" s="803"/>
      <c r="N566" s="804">
        <v>5734</v>
      </c>
      <c r="O566" s="804">
        <v>52926</v>
      </c>
      <c r="P566" s="804">
        <v>0</v>
      </c>
      <c r="Q566" s="803">
        <v>25538</v>
      </c>
      <c r="R566" s="803"/>
      <c r="S566" s="804">
        <v>43736</v>
      </c>
      <c r="T566" s="805">
        <v>-8652</v>
      </c>
      <c r="U566" s="805">
        <v>35085</v>
      </c>
    </row>
    <row r="567" spans="1:21" x14ac:dyDescent="0.25">
      <c r="A567" s="800">
        <v>96301</v>
      </c>
      <c r="B567" s="801" t="s">
        <v>3204</v>
      </c>
      <c r="C567" s="802">
        <v>4.3785999999999999E-3</v>
      </c>
      <c r="D567" s="802">
        <v>4.5367999999999997E-3</v>
      </c>
      <c r="E567" s="803">
        <v>1765529</v>
      </c>
      <c r="F567" s="803">
        <v>2036089</v>
      </c>
      <c r="G567" s="803">
        <v>9292856</v>
      </c>
      <c r="H567" s="803"/>
      <c r="I567" s="804">
        <v>174597</v>
      </c>
      <c r="J567" s="804">
        <v>8143504</v>
      </c>
      <c r="K567" s="804">
        <v>636478</v>
      </c>
      <c r="L567" s="803">
        <v>94185</v>
      </c>
      <c r="M567" s="803"/>
      <c r="N567" s="804">
        <v>325632</v>
      </c>
      <c r="O567" s="804">
        <v>3005725</v>
      </c>
      <c r="P567" s="804">
        <v>0</v>
      </c>
      <c r="Q567" s="803">
        <v>147101</v>
      </c>
      <c r="R567" s="803"/>
      <c r="S567" s="804">
        <v>2483844</v>
      </c>
      <c r="T567" s="805">
        <v>-12863</v>
      </c>
      <c r="U567" s="805">
        <v>2470981</v>
      </c>
    </row>
    <row r="568" spans="1:21" x14ac:dyDescent="0.25">
      <c r="A568" s="800">
        <v>96302</v>
      </c>
      <c r="B568" s="801" t="s">
        <v>3205</v>
      </c>
      <c r="C568" s="802">
        <v>1.9199999999999999E-5</v>
      </c>
      <c r="D568" s="802">
        <v>1.42E-5</v>
      </c>
      <c r="E568" s="803">
        <v>6636.09</v>
      </c>
      <c r="F568" s="803">
        <v>6373</v>
      </c>
      <c r="G568" s="803">
        <v>40749</v>
      </c>
      <c r="H568" s="803"/>
      <c r="I568" s="804">
        <v>766</v>
      </c>
      <c r="J568" s="804">
        <v>35709</v>
      </c>
      <c r="K568" s="804">
        <v>2791</v>
      </c>
      <c r="L568" s="803">
        <v>4449</v>
      </c>
      <c r="M568" s="803"/>
      <c r="N568" s="804">
        <v>1428</v>
      </c>
      <c r="O568" s="804">
        <v>13180</v>
      </c>
      <c r="P568" s="804">
        <v>0</v>
      </c>
      <c r="Q568" s="803">
        <v>0</v>
      </c>
      <c r="R568" s="803"/>
      <c r="S568" s="804">
        <v>10892</v>
      </c>
      <c r="T568" s="805">
        <v>1514</v>
      </c>
      <c r="U568" s="805">
        <v>12406</v>
      </c>
    </row>
    <row r="569" spans="1:21" x14ac:dyDescent="0.25">
      <c r="A569" s="800">
        <v>96304</v>
      </c>
      <c r="B569" s="801" t="s">
        <v>3206</v>
      </c>
      <c r="C569" s="802">
        <v>5.4599999999999999E-5</v>
      </c>
      <c r="D569" s="802">
        <v>5.24E-5</v>
      </c>
      <c r="E569" s="803">
        <v>25715.360000000001</v>
      </c>
      <c r="F569" s="803">
        <v>23517</v>
      </c>
      <c r="G569" s="803">
        <v>115879</v>
      </c>
      <c r="H569" s="803"/>
      <c r="I569" s="804">
        <v>2177</v>
      </c>
      <c r="J569" s="804">
        <v>101547</v>
      </c>
      <c r="K569" s="804">
        <v>7937</v>
      </c>
      <c r="L569" s="803">
        <v>7913</v>
      </c>
      <c r="M569" s="803"/>
      <c r="N569" s="804">
        <v>4061</v>
      </c>
      <c r="O569" s="804">
        <v>37481</v>
      </c>
      <c r="P569" s="804">
        <v>0</v>
      </c>
      <c r="Q569" s="803">
        <v>231</v>
      </c>
      <c r="R569" s="803"/>
      <c r="S569" s="804">
        <v>30973</v>
      </c>
      <c r="T569" s="805">
        <v>2329</v>
      </c>
      <c r="U569" s="805">
        <v>33302</v>
      </c>
    </row>
    <row r="570" spans="1:21" x14ac:dyDescent="0.25">
      <c r="A570" s="800">
        <v>96305</v>
      </c>
      <c r="B570" s="801" t="s">
        <v>3207</v>
      </c>
      <c r="C570" s="802">
        <v>4.8199999999999999E-5</v>
      </c>
      <c r="D570" s="802">
        <v>5.0399999999999999E-5</v>
      </c>
      <c r="E570" s="803">
        <v>28361</v>
      </c>
      <c r="F570" s="803">
        <v>22619</v>
      </c>
      <c r="G570" s="803">
        <v>102297</v>
      </c>
      <c r="H570" s="803"/>
      <c r="I570" s="804">
        <v>1921.9749999999999</v>
      </c>
      <c r="J570" s="804">
        <v>89644</v>
      </c>
      <c r="K570" s="804">
        <v>7006</v>
      </c>
      <c r="L570" s="803">
        <v>10711</v>
      </c>
      <c r="M570" s="803"/>
      <c r="N570" s="804">
        <v>3585</v>
      </c>
      <c r="O570" s="804">
        <v>33087</v>
      </c>
      <c r="P570" s="804">
        <v>0</v>
      </c>
      <c r="Q570" s="803">
        <v>0</v>
      </c>
      <c r="R570" s="803"/>
      <c r="S570" s="804">
        <v>27342</v>
      </c>
      <c r="T570" s="805">
        <v>3278</v>
      </c>
      <c r="U570" s="805">
        <v>30620</v>
      </c>
    </row>
    <row r="571" spans="1:21" x14ac:dyDescent="0.25">
      <c r="A571" s="800">
        <v>96310</v>
      </c>
      <c r="B571" s="801" t="s">
        <v>3208</v>
      </c>
      <c r="C571" s="802">
        <v>4.88E-5</v>
      </c>
      <c r="D571" s="802">
        <v>6.1299999999999999E-5</v>
      </c>
      <c r="E571" s="803">
        <v>23403</v>
      </c>
      <c r="F571" s="803">
        <v>27511</v>
      </c>
      <c r="G571" s="803">
        <v>103570</v>
      </c>
      <c r="H571" s="803"/>
      <c r="I571" s="804">
        <v>1945.9</v>
      </c>
      <c r="J571" s="804">
        <v>90760</v>
      </c>
      <c r="K571" s="804">
        <v>7094</v>
      </c>
      <c r="L571" s="803">
        <v>6056</v>
      </c>
      <c r="M571" s="803"/>
      <c r="N571" s="804">
        <v>3629</v>
      </c>
      <c r="O571" s="804">
        <v>33499</v>
      </c>
      <c r="P571" s="804">
        <v>0</v>
      </c>
      <c r="Q571" s="803">
        <v>4123</v>
      </c>
      <c r="R571" s="803"/>
      <c r="S571" s="804">
        <v>27683</v>
      </c>
      <c r="T571" s="805">
        <v>1701</v>
      </c>
      <c r="U571" s="805">
        <v>29384</v>
      </c>
    </row>
    <row r="572" spans="1:21" x14ac:dyDescent="0.25">
      <c r="A572" s="800">
        <v>96311</v>
      </c>
      <c r="B572" s="801" t="s">
        <v>3209</v>
      </c>
      <c r="C572" s="802">
        <v>1.4082999999999999E-3</v>
      </c>
      <c r="D572" s="802">
        <v>1.4383E-3</v>
      </c>
      <c r="E572" s="803">
        <v>512325.3</v>
      </c>
      <c r="F572" s="803">
        <v>645500</v>
      </c>
      <c r="G572" s="803">
        <v>2988884</v>
      </c>
      <c r="H572" s="803"/>
      <c r="I572" s="804">
        <v>56156</v>
      </c>
      <c r="J572" s="804">
        <v>2619215</v>
      </c>
      <c r="K572" s="804">
        <v>204712</v>
      </c>
      <c r="L572" s="803">
        <v>22194.47</v>
      </c>
      <c r="M572" s="803"/>
      <c r="N572" s="804">
        <v>104734</v>
      </c>
      <c r="O572" s="804">
        <v>966739</v>
      </c>
      <c r="P572" s="804">
        <v>0</v>
      </c>
      <c r="Q572" s="803">
        <v>96281</v>
      </c>
      <c r="R572" s="803"/>
      <c r="S572" s="804">
        <v>798885</v>
      </c>
      <c r="T572" s="805">
        <v>-16365</v>
      </c>
      <c r="U572" s="805">
        <v>782520</v>
      </c>
    </row>
    <row r="573" spans="1:21" x14ac:dyDescent="0.25">
      <c r="A573" s="800">
        <v>96312</v>
      </c>
      <c r="B573" s="801" t="s">
        <v>3210</v>
      </c>
      <c r="C573" s="802">
        <v>1.5999999999999999E-6</v>
      </c>
      <c r="D573" s="802">
        <v>4.7999999999999998E-6</v>
      </c>
      <c r="E573" s="803">
        <v>1992</v>
      </c>
      <c r="F573" s="803">
        <v>2154</v>
      </c>
      <c r="G573" s="803">
        <v>3396</v>
      </c>
      <c r="H573" s="803"/>
      <c r="I573" s="804">
        <v>63.8</v>
      </c>
      <c r="J573" s="804">
        <v>2976</v>
      </c>
      <c r="K573" s="804">
        <v>233</v>
      </c>
      <c r="L573" s="803">
        <v>51</v>
      </c>
      <c r="M573" s="803"/>
      <c r="N573" s="804">
        <v>119</v>
      </c>
      <c r="O573" s="804">
        <v>1098</v>
      </c>
      <c r="P573" s="804">
        <v>0</v>
      </c>
      <c r="Q573" s="803">
        <v>3416</v>
      </c>
      <c r="R573" s="803"/>
      <c r="S573" s="804">
        <v>908</v>
      </c>
      <c r="T573" s="805">
        <v>-1534</v>
      </c>
      <c r="U573" s="805">
        <v>-627</v>
      </c>
    </row>
    <row r="574" spans="1:21" x14ac:dyDescent="0.25">
      <c r="A574" s="800">
        <v>96318</v>
      </c>
      <c r="B574" s="801" t="s">
        <v>3211</v>
      </c>
      <c r="C574" s="802">
        <v>1.7782E-3</v>
      </c>
      <c r="D574" s="802">
        <v>0</v>
      </c>
      <c r="E574" s="803">
        <v>12089019</v>
      </c>
      <c r="F574" s="803">
        <v>0</v>
      </c>
      <c r="G574" s="803">
        <v>3773936</v>
      </c>
      <c r="H574" s="803"/>
      <c r="I574" s="804">
        <v>70906</v>
      </c>
      <c r="J574" s="804">
        <v>3307171</v>
      </c>
      <c r="K574" s="804">
        <v>258481</v>
      </c>
      <c r="L574" s="803">
        <v>9984043</v>
      </c>
      <c r="M574" s="803"/>
      <c r="N574" s="804">
        <v>132243</v>
      </c>
      <c r="O574" s="804">
        <v>1220660</v>
      </c>
      <c r="P574" s="804">
        <v>0</v>
      </c>
      <c r="Q574" s="803">
        <v>0</v>
      </c>
      <c r="R574" s="803"/>
      <c r="S574" s="804">
        <v>1008718</v>
      </c>
      <c r="T574" s="805">
        <v>2586540</v>
      </c>
      <c r="U574" s="805">
        <v>3595257</v>
      </c>
    </row>
    <row r="575" spans="1:21" x14ac:dyDescent="0.25">
      <c r="A575" s="800">
        <v>96321</v>
      </c>
      <c r="B575" s="801" t="s">
        <v>3212</v>
      </c>
      <c r="C575" s="802">
        <v>3.7400000000000001E-5</v>
      </c>
      <c r="D575" s="802">
        <v>3.9700000000000003E-5</v>
      </c>
      <c r="E575" s="803">
        <v>13314.68</v>
      </c>
      <c r="F575" s="803">
        <v>17817</v>
      </c>
      <c r="G575" s="803">
        <v>79375</v>
      </c>
      <c r="H575" s="803"/>
      <c r="I575" s="804">
        <v>1491.325</v>
      </c>
      <c r="J575" s="804">
        <v>69558</v>
      </c>
      <c r="K575" s="804">
        <v>5437</v>
      </c>
      <c r="L575" s="803">
        <v>837</v>
      </c>
      <c r="M575" s="803"/>
      <c r="N575" s="804">
        <v>2781</v>
      </c>
      <c r="O575" s="804">
        <v>25674</v>
      </c>
      <c r="P575" s="804">
        <v>0</v>
      </c>
      <c r="Q575" s="803">
        <v>3510</v>
      </c>
      <c r="R575" s="803"/>
      <c r="S575" s="804">
        <v>21216</v>
      </c>
      <c r="T575" s="805">
        <v>-764</v>
      </c>
      <c r="U575" s="805">
        <v>20452</v>
      </c>
    </row>
    <row r="576" spans="1:21" x14ac:dyDescent="0.25">
      <c r="A576" s="800">
        <v>96331</v>
      </c>
      <c r="B576" s="801" t="s">
        <v>3213</v>
      </c>
      <c r="C576" s="802">
        <v>7.1699999999999997E-4</v>
      </c>
      <c r="D576" s="802">
        <v>7.6110000000000001E-4</v>
      </c>
      <c r="E576" s="803">
        <v>265185</v>
      </c>
      <c r="F576" s="803">
        <v>341577</v>
      </c>
      <c r="G576" s="803">
        <v>1521714</v>
      </c>
      <c r="H576" s="803"/>
      <c r="I576" s="804">
        <v>28590.375</v>
      </c>
      <c r="J576" s="804">
        <v>1333507</v>
      </c>
      <c r="K576" s="804">
        <v>104224</v>
      </c>
      <c r="L576" s="803">
        <v>4814</v>
      </c>
      <c r="M576" s="803"/>
      <c r="N576" s="804">
        <v>53323</v>
      </c>
      <c r="O576" s="804">
        <v>492190</v>
      </c>
      <c r="P576" s="804">
        <v>0</v>
      </c>
      <c r="Q576" s="803">
        <v>66351</v>
      </c>
      <c r="R576" s="803"/>
      <c r="S576" s="804">
        <v>406732</v>
      </c>
      <c r="T576" s="805">
        <v>-20081</v>
      </c>
      <c r="U576" s="805">
        <v>386651</v>
      </c>
    </row>
    <row r="577" spans="1:21" x14ac:dyDescent="0.25">
      <c r="A577" s="800">
        <v>96341</v>
      </c>
      <c r="B577" s="801" t="s">
        <v>3214</v>
      </c>
      <c r="C577" s="802">
        <v>9.1600000000000004E-5</v>
      </c>
      <c r="D577" s="802">
        <v>8.0799999999999999E-5</v>
      </c>
      <c r="E577" s="803">
        <v>32432</v>
      </c>
      <c r="F577" s="803">
        <v>36263</v>
      </c>
      <c r="G577" s="803">
        <v>194406</v>
      </c>
      <c r="H577" s="803"/>
      <c r="I577" s="804">
        <v>3652.55</v>
      </c>
      <c r="J577" s="804">
        <v>170362</v>
      </c>
      <c r="K577" s="804">
        <v>13315</v>
      </c>
      <c r="L577" s="803">
        <v>13221</v>
      </c>
      <c r="M577" s="803"/>
      <c r="N577" s="804">
        <v>6812</v>
      </c>
      <c r="O577" s="804">
        <v>62880</v>
      </c>
      <c r="P577" s="804">
        <v>0</v>
      </c>
      <c r="Q577" s="803">
        <v>11187.78</v>
      </c>
      <c r="R577" s="803"/>
      <c r="S577" s="804">
        <v>51962</v>
      </c>
      <c r="T577" s="805">
        <v>-1095</v>
      </c>
      <c r="U577" s="805">
        <v>50867</v>
      </c>
    </row>
    <row r="578" spans="1:21" x14ac:dyDescent="0.25">
      <c r="A578" s="800">
        <v>96351</v>
      </c>
      <c r="B578" s="801" t="s">
        <v>3215</v>
      </c>
      <c r="C578" s="802">
        <v>1.0736000000000001E-3</v>
      </c>
      <c r="D578" s="802">
        <v>1.0939999999999999E-3</v>
      </c>
      <c r="E578" s="803">
        <v>419131</v>
      </c>
      <c r="F578" s="803">
        <v>490981</v>
      </c>
      <c r="G578" s="803">
        <v>2278539</v>
      </c>
      <c r="H578" s="803"/>
      <c r="I578" s="804">
        <v>42809.8</v>
      </c>
      <c r="J578" s="804">
        <v>1996726</v>
      </c>
      <c r="K578" s="804">
        <v>156060</v>
      </c>
      <c r="L578" s="803">
        <v>9467</v>
      </c>
      <c r="M578" s="803"/>
      <c r="N578" s="804">
        <v>79843</v>
      </c>
      <c r="O578" s="804">
        <v>736981</v>
      </c>
      <c r="P578" s="804">
        <v>0</v>
      </c>
      <c r="Q578" s="803">
        <v>28826</v>
      </c>
      <c r="R578" s="803"/>
      <c r="S578" s="804">
        <v>609020</v>
      </c>
      <c r="T578" s="805">
        <v>-3422</v>
      </c>
      <c r="U578" s="805">
        <v>605598</v>
      </c>
    </row>
    <row r="579" spans="1:21" x14ac:dyDescent="0.25">
      <c r="A579" s="800">
        <v>96361</v>
      </c>
      <c r="B579" s="801" t="s">
        <v>3216</v>
      </c>
      <c r="C579" s="802">
        <v>5.8900000000000002E-5</v>
      </c>
      <c r="D579" s="802">
        <v>4.8999999999999998E-5</v>
      </c>
      <c r="E579" s="803">
        <v>21511</v>
      </c>
      <c r="F579" s="803">
        <v>21991</v>
      </c>
      <c r="G579" s="803">
        <v>125006</v>
      </c>
      <c r="H579" s="803"/>
      <c r="I579" s="804">
        <v>2349</v>
      </c>
      <c r="J579" s="804">
        <v>109545</v>
      </c>
      <c r="K579" s="804">
        <v>8562</v>
      </c>
      <c r="L579" s="803">
        <v>5269</v>
      </c>
      <c r="M579" s="803"/>
      <c r="N579" s="804">
        <v>4380</v>
      </c>
      <c r="O579" s="804">
        <v>40432</v>
      </c>
      <c r="P579" s="804">
        <v>0</v>
      </c>
      <c r="Q579" s="803">
        <v>390</v>
      </c>
      <c r="R579" s="803"/>
      <c r="S579" s="804">
        <v>33412</v>
      </c>
      <c r="T579" s="805">
        <v>1728</v>
      </c>
      <c r="U579" s="805">
        <v>35140</v>
      </c>
    </row>
    <row r="580" spans="1:21" x14ac:dyDescent="0.25">
      <c r="A580" s="800">
        <v>96371</v>
      </c>
      <c r="B580" s="801" t="s">
        <v>3217</v>
      </c>
      <c r="C580" s="802">
        <v>1.6359999999999999E-4</v>
      </c>
      <c r="D580" s="802">
        <v>1.6760000000000001E-4</v>
      </c>
      <c r="E580" s="803">
        <v>62917</v>
      </c>
      <c r="F580" s="803">
        <v>75218</v>
      </c>
      <c r="G580" s="803">
        <v>347214</v>
      </c>
      <c r="H580" s="803"/>
      <c r="I580" s="804">
        <v>6524</v>
      </c>
      <c r="J580" s="804">
        <v>304270</v>
      </c>
      <c r="K580" s="804">
        <v>23781</v>
      </c>
      <c r="L580" s="803">
        <v>2683</v>
      </c>
      <c r="M580" s="803"/>
      <c r="N580" s="804">
        <v>12167</v>
      </c>
      <c r="O580" s="804">
        <v>112305</v>
      </c>
      <c r="P580" s="804">
        <v>0</v>
      </c>
      <c r="Q580" s="803">
        <v>7435</v>
      </c>
      <c r="R580" s="803"/>
      <c r="S580" s="804">
        <v>92805</v>
      </c>
      <c r="T580" s="805">
        <v>-750</v>
      </c>
      <c r="U580" s="805">
        <v>92055</v>
      </c>
    </row>
    <row r="581" spans="1:21" x14ac:dyDescent="0.25">
      <c r="A581" s="800">
        <v>96381</v>
      </c>
      <c r="B581" s="801" t="s">
        <v>3218</v>
      </c>
      <c r="C581" s="802">
        <v>3.26E-5</v>
      </c>
      <c r="D581" s="802">
        <v>2.9600000000000001E-5</v>
      </c>
      <c r="E581" s="803">
        <v>11485.45</v>
      </c>
      <c r="F581" s="803">
        <v>13284</v>
      </c>
      <c r="G581" s="803">
        <v>69188</v>
      </c>
      <c r="H581" s="803"/>
      <c r="I581" s="804">
        <v>1299.925</v>
      </c>
      <c r="J581" s="804">
        <v>60631</v>
      </c>
      <c r="K581" s="804">
        <v>4739</v>
      </c>
      <c r="L581" s="803">
        <v>99</v>
      </c>
      <c r="M581" s="803"/>
      <c r="N581" s="804">
        <v>2424</v>
      </c>
      <c r="O581" s="804">
        <v>22379</v>
      </c>
      <c r="P581" s="804">
        <v>0</v>
      </c>
      <c r="Q581" s="803">
        <v>3089</v>
      </c>
      <c r="R581" s="803"/>
      <c r="S581" s="804">
        <v>18493</v>
      </c>
      <c r="T581" s="805">
        <v>-1205</v>
      </c>
      <c r="U581" s="805">
        <v>17288</v>
      </c>
    </row>
    <row r="582" spans="1:21" x14ac:dyDescent="0.25">
      <c r="A582" s="800">
        <v>96391</v>
      </c>
      <c r="B582" s="801" t="s">
        <v>3219</v>
      </c>
      <c r="C582" s="802">
        <v>1.807E-4</v>
      </c>
      <c r="D582" s="802">
        <v>1.9450000000000001E-4</v>
      </c>
      <c r="E582" s="803">
        <v>66063</v>
      </c>
      <c r="F582" s="803">
        <v>87290</v>
      </c>
      <c r="G582" s="803">
        <v>383506</v>
      </c>
      <c r="H582" s="803"/>
      <c r="I582" s="804">
        <v>7205</v>
      </c>
      <c r="J582" s="804">
        <v>336073</v>
      </c>
      <c r="K582" s="804">
        <v>26267</v>
      </c>
      <c r="L582" s="803">
        <v>19760.7</v>
      </c>
      <c r="M582" s="803"/>
      <c r="N582" s="804">
        <v>13438</v>
      </c>
      <c r="O582" s="804">
        <v>124043</v>
      </c>
      <c r="P582" s="804">
        <v>0</v>
      </c>
      <c r="Q582" s="803">
        <v>26107</v>
      </c>
      <c r="R582" s="803"/>
      <c r="S582" s="804">
        <v>102506</v>
      </c>
      <c r="T582" s="805">
        <v>2012</v>
      </c>
      <c r="U582" s="805">
        <v>104518</v>
      </c>
    </row>
    <row r="583" spans="1:21" x14ac:dyDescent="0.25">
      <c r="A583" s="800">
        <v>96401</v>
      </c>
      <c r="B583" s="801" t="s">
        <v>3220</v>
      </c>
      <c r="C583" s="802">
        <v>4.5900000000000003E-3</v>
      </c>
      <c r="D583" s="802">
        <v>4.5434999999999998E-3</v>
      </c>
      <c r="E583" s="803">
        <v>1835552.26</v>
      </c>
      <c r="F583" s="803">
        <v>2039096</v>
      </c>
      <c r="G583" s="803">
        <v>9741518</v>
      </c>
      <c r="H583" s="803"/>
      <c r="I583" s="804">
        <v>183026.25</v>
      </c>
      <c r="J583" s="804">
        <v>8536675</v>
      </c>
      <c r="K583" s="804">
        <v>667206.99</v>
      </c>
      <c r="L583" s="803">
        <v>31898</v>
      </c>
      <c r="M583" s="803"/>
      <c r="N583" s="804">
        <v>341353.71</v>
      </c>
      <c r="O583" s="804">
        <v>3150842.22</v>
      </c>
      <c r="P583" s="804">
        <v>0</v>
      </c>
      <c r="Q583" s="803">
        <v>37434</v>
      </c>
      <c r="R583" s="803"/>
      <c r="S583" s="804">
        <v>2603764.71</v>
      </c>
      <c r="T583" s="805">
        <v>4298</v>
      </c>
      <c r="U583" s="805">
        <v>2608063</v>
      </c>
    </row>
    <row r="584" spans="1:21" x14ac:dyDescent="0.25">
      <c r="A584" s="800">
        <v>96404</v>
      </c>
      <c r="B584" s="801" t="s">
        <v>3221</v>
      </c>
      <c r="C584" s="802">
        <v>9.8800000000000003E-5</v>
      </c>
      <c r="D584" s="802">
        <v>8.92E-5</v>
      </c>
      <c r="E584" s="803">
        <v>49336.67</v>
      </c>
      <c r="F584" s="803">
        <v>40032</v>
      </c>
      <c r="G584" s="803">
        <v>209687</v>
      </c>
      <c r="H584" s="803"/>
      <c r="I584" s="804">
        <v>3939.65</v>
      </c>
      <c r="J584" s="804">
        <v>183752</v>
      </c>
      <c r="K584" s="804">
        <v>14362</v>
      </c>
      <c r="L584" s="803">
        <v>23586</v>
      </c>
      <c r="M584" s="803"/>
      <c r="N584" s="804">
        <v>7348</v>
      </c>
      <c r="O584" s="804">
        <v>67822</v>
      </c>
      <c r="P584" s="804">
        <v>0</v>
      </c>
      <c r="Q584" s="803">
        <v>0</v>
      </c>
      <c r="R584" s="803"/>
      <c r="S584" s="804">
        <v>56046</v>
      </c>
      <c r="T584" s="805">
        <v>7753</v>
      </c>
      <c r="U584" s="805">
        <v>63799</v>
      </c>
    </row>
    <row r="585" spans="1:21" x14ac:dyDescent="0.25">
      <c r="A585" s="800">
        <v>96405</v>
      </c>
      <c r="B585" s="801" t="s">
        <v>3222</v>
      </c>
      <c r="C585" s="802">
        <v>1.7760000000000001E-4</v>
      </c>
      <c r="D585" s="802">
        <v>1.942E-4</v>
      </c>
      <c r="E585" s="803">
        <v>83528</v>
      </c>
      <c r="F585" s="803">
        <v>87156</v>
      </c>
      <c r="G585" s="803">
        <v>376927</v>
      </c>
      <c r="H585" s="803"/>
      <c r="I585" s="804">
        <v>7081.8</v>
      </c>
      <c r="J585" s="804">
        <v>330308</v>
      </c>
      <c r="K585" s="804">
        <v>25816</v>
      </c>
      <c r="L585" s="803">
        <v>15838</v>
      </c>
      <c r="M585" s="803"/>
      <c r="N585" s="804">
        <v>13208</v>
      </c>
      <c r="O585" s="804">
        <v>121915</v>
      </c>
      <c r="P585" s="804">
        <v>0</v>
      </c>
      <c r="Q585" s="803">
        <v>2411</v>
      </c>
      <c r="R585" s="803"/>
      <c r="S585" s="804">
        <v>100747</v>
      </c>
      <c r="T585" s="805">
        <v>4565</v>
      </c>
      <c r="U585" s="805">
        <v>105312</v>
      </c>
    </row>
    <row r="586" spans="1:21" x14ac:dyDescent="0.25">
      <c r="A586" s="800">
        <v>96411</v>
      </c>
      <c r="B586" s="801" t="s">
        <v>3223</v>
      </c>
      <c r="C586" s="802">
        <v>5.66E-5</v>
      </c>
      <c r="D586" s="802">
        <v>6.6699999999999995E-5</v>
      </c>
      <c r="E586" s="803">
        <v>25222</v>
      </c>
      <c r="F586" s="803">
        <v>29935</v>
      </c>
      <c r="G586" s="803">
        <v>120124</v>
      </c>
      <c r="H586" s="803"/>
      <c r="I586" s="804">
        <v>2257</v>
      </c>
      <c r="J586" s="804">
        <v>105267</v>
      </c>
      <c r="K586" s="804">
        <v>8227</v>
      </c>
      <c r="L586" s="803">
        <v>8181</v>
      </c>
      <c r="M586" s="803"/>
      <c r="N586" s="804">
        <v>4209</v>
      </c>
      <c r="O586" s="804">
        <v>38854</v>
      </c>
      <c r="P586" s="804">
        <v>0</v>
      </c>
      <c r="Q586" s="803">
        <v>6127</v>
      </c>
      <c r="R586" s="803"/>
      <c r="S586" s="804">
        <v>32107</v>
      </c>
      <c r="T586" s="805">
        <v>778</v>
      </c>
      <c r="U586" s="805">
        <v>32885</v>
      </c>
    </row>
    <row r="587" spans="1:21" x14ac:dyDescent="0.25">
      <c r="A587" s="800">
        <v>96421</v>
      </c>
      <c r="B587" s="801" t="s">
        <v>3224</v>
      </c>
      <c r="C587" s="802">
        <v>4.2860000000000001E-4</v>
      </c>
      <c r="D587" s="802">
        <v>4.6069999999999998E-4</v>
      </c>
      <c r="E587" s="803">
        <v>149902.97</v>
      </c>
      <c r="F587" s="803">
        <v>206759</v>
      </c>
      <c r="G587" s="803">
        <v>909633</v>
      </c>
      <c r="H587" s="803"/>
      <c r="I587" s="804">
        <v>17090</v>
      </c>
      <c r="J587" s="804">
        <v>797128</v>
      </c>
      <c r="K587" s="804">
        <v>62302</v>
      </c>
      <c r="L587" s="803">
        <v>0</v>
      </c>
      <c r="M587" s="803"/>
      <c r="N587" s="804">
        <v>31875</v>
      </c>
      <c r="O587" s="804">
        <v>294216</v>
      </c>
      <c r="P587" s="804">
        <v>0</v>
      </c>
      <c r="Q587" s="803">
        <v>86301</v>
      </c>
      <c r="R587" s="803"/>
      <c r="S587" s="804">
        <v>243131</v>
      </c>
      <c r="T587" s="805">
        <v>-29627</v>
      </c>
      <c r="U587" s="805">
        <v>213504</v>
      </c>
    </row>
    <row r="588" spans="1:21" x14ac:dyDescent="0.25">
      <c r="A588" s="800">
        <v>96431</v>
      </c>
      <c r="B588" s="801" t="s">
        <v>3225</v>
      </c>
      <c r="C588" s="802">
        <v>5.6100000000000002E-5</v>
      </c>
      <c r="D588" s="802">
        <v>3.9400000000000002E-5</v>
      </c>
      <c r="E588" s="803">
        <v>22346.13</v>
      </c>
      <c r="F588" s="803">
        <v>17682</v>
      </c>
      <c r="G588" s="803">
        <v>119063</v>
      </c>
      <c r="H588" s="803"/>
      <c r="I588" s="804">
        <v>2237</v>
      </c>
      <c r="J588" s="804">
        <v>104337</v>
      </c>
      <c r="K588" s="804">
        <v>8155</v>
      </c>
      <c r="L588" s="803">
        <v>8471</v>
      </c>
      <c r="M588" s="803"/>
      <c r="N588" s="804">
        <v>4172</v>
      </c>
      <c r="O588" s="804">
        <v>38510</v>
      </c>
      <c r="P588" s="804">
        <v>0</v>
      </c>
      <c r="Q588" s="803">
        <v>4421</v>
      </c>
      <c r="R588" s="803"/>
      <c r="S588" s="804">
        <v>31824</v>
      </c>
      <c r="T588" s="805">
        <v>305</v>
      </c>
      <c r="U588" s="805">
        <v>32128</v>
      </c>
    </row>
    <row r="589" spans="1:21" x14ac:dyDescent="0.25">
      <c r="A589" s="800">
        <v>96441</v>
      </c>
      <c r="B589" s="801" t="s">
        <v>3226</v>
      </c>
      <c r="C589" s="802">
        <v>3.1199999999999999E-5</v>
      </c>
      <c r="D589" s="802">
        <v>3.9100000000000002E-5</v>
      </c>
      <c r="E589" s="803">
        <v>18068.97</v>
      </c>
      <c r="F589" s="803">
        <v>17548</v>
      </c>
      <c r="G589" s="803">
        <v>66217</v>
      </c>
      <c r="H589" s="803"/>
      <c r="I589" s="804">
        <v>1244</v>
      </c>
      <c r="J589" s="804">
        <v>58027</v>
      </c>
      <c r="K589" s="804">
        <v>4535</v>
      </c>
      <c r="L589" s="803">
        <v>6875</v>
      </c>
      <c r="M589" s="803"/>
      <c r="N589" s="804">
        <v>2320</v>
      </c>
      <c r="O589" s="804">
        <v>21417</v>
      </c>
      <c r="P589" s="804">
        <v>0</v>
      </c>
      <c r="Q589" s="803">
        <v>826</v>
      </c>
      <c r="R589" s="803"/>
      <c r="S589" s="804">
        <v>17699</v>
      </c>
      <c r="T589" s="805">
        <v>2052</v>
      </c>
      <c r="U589" s="805">
        <v>19751</v>
      </c>
    </row>
    <row r="590" spans="1:21" x14ac:dyDescent="0.25">
      <c r="A590" s="800">
        <v>96451</v>
      </c>
      <c r="B590" s="801" t="s">
        <v>3227</v>
      </c>
      <c r="C590" s="802">
        <v>1.38E-5</v>
      </c>
      <c r="D590" s="802">
        <v>8.8999999999999995E-6</v>
      </c>
      <c r="E590" s="803">
        <v>6880</v>
      </c>
      <c r="F590" s="803">
        <v>3994</v>
      </c>
      <c r="G590" s="803">
        <v>29288</v>
      </c>
      <c r="H590" s="803"/>
      <c r="I590" s="804">
        <v>550.27499999999998</v>
      </c>
      <c r="J590" s="804">
        <v>25666</v>
      </c>
      <c r="K590" s="804">
        <v>2006</v>
      </c>
      <c r="L590" s="803">
        <v>3611</v>
      </c>
      <c r="M590" s="803"/>
      <c r="N590" s="804">
        <v>1026</v>
      </c>
      <c r="O590" s="804">
        <v>9473</v>
      </c>
      <c r="P590" s="804">
        <v>0</v>
      </c>
      <c r="Q590" s="803">
        <v>2200</v>
      </c>
      <c r="R590" s="803"/>
      <c r="S590" s="804">
        <v>7828</v>
      </c>
      <c r="T590" s="805">
        <v>55</v>
      </c>
      <c r="U590" s="805">
        <v>7883</v>
      </c>
    </row>
    <row r="591" spans="1:21" x14ac:dyDescent="0.25">
      <c r="A591" s="800">
        <v>96461</v>
      </c>
      <c r="B591" s="801" t="s">
        <v>3228</v>
      </c>
      <c r="C591" s="802">
        <v>1.3410000000000001E-4</v>
      </c>
      <c r="D591" s="802">
        <v>1.6129999999999999E-4</v>
      </c>
      <c r="E591" s="803">
        <v>60539</v>
      </c>
      <c r="F591" s="803">
        <v>72390</v>
      </c>
      <c r="G591" s="803">
        <v>284605</v>
      </c>
      <c r="H591" s="803"/>
      <c r="I591" s="804">
        <v>5347</v>
      </c>
      <c r="J591" s="804">
        <v>249405</v>
      </c>
      <c r="K591" s="804">
        <v>19493</v>
      </c>
      <c r="L591" s="803">
        <v>8046</v>
      </c>
      <c r="M591" s="803"/>
      <c r="N591" s="804">
        <v>9973</v>
      </c>
      <c r="O591" s="804">
        <v>92054</v>
      </c>
      <c r="P591" s="804">
        <v>0</v>
      </c>
      <c r="Q591" s="803">
        <v>27042</v>
      </c>
      <c r="R591" s="803"/>
      <c r="S591" s="804">
        <v>76071</v>
      </c>
      <c r="T591" s="805">
        <v>-4548</v>
      </c>
      <c r="U591" s="805">
        <v>71523</v>
      </c>
    </row>
    <row r="592" spans="1:21" x14ac:dyDescent="0.25">
      <c r="A592" s="800">
        <v>96501</v>
      </c>
      <c r="B592" s="801" t="s">
        <v>3229</v>
      </c>
      <c r="C592" s="802">
        <v>1.4156999999999999E-2</v>
      </c>
      <c r="D592" s="802">
        <v>1.4844599999999999E-2</v>
      </c>
      <c r="E592" s="803">
        <v>5793175</v>
      </c>
      <c r="F592" s="803">
        <v>6662167</v>
      </c>
      <c r="G592" s="803">
        <v>30045897</v>
      </c>
      <c r="H592" s="803"/>
      <c r="I592" s="804">
        <v>564510</v>
      </c>
      <c r="J592" s="804">
        <v>26329783</v>
      </c>
      <c r="K592" s="804">
        <v>2057876</v>
      </c>
      <c r="L592" s="803">
        <v>597577</v>
      </c>
      <c r="M592" s="803"/>
      <c r="N592" s="804">
        <v>1052842</v>
      </c>
      <c r="O592" s="804">
        <v>9718186</v>
      </c>
      <c r="P592" s="804">
        <v>0</v>
      </c>
      <c r="Q592" s="803">
        <v>395352</v>
      </c>
      <c r="R592" s="803"/>
      <c r="S592" s="804">
        <v>8030827</v>
      </c>
      <c r="T592" s="805">
        <v>146416</v>
      </c>
      <c r="U592" s="805">
        <v>8177243</v>
      </c>
    </row>
    <row r="593" spans="1:21" x14ac:dyDescent="0.25">
      <c r="A593" s="800">
        <v>96502</v>
      </c>
      <c r="B593" s="801" t="s">
        <v>3230</v>
      </c>
      <c r="C593" s="802">
        <v>4.2309999999999998E-4</v>
      </c>
      <c r="D593" s="802">
        <v>3.9639999999999999E-4</v>
      </c>
      <c r="E593" s="803">
        <v>180923</v>
      </c>
      <c r="F593" s="803">
        <v>177902</v>
      </c>
      <c r="G593" s="803">
        <v>897960</v>
      </c>
      <c r="H593" s="803"/>
      <c r="I593" s="804">
        <v>16871</v>
      </c>
      <c r="J593" s="804">
        <v>786899</v>
      </c>
      <c r="K593" s="804">
        <v>61502</v>
      </c>
      <c r="L593" s="803">
        <v>58143</v>
      </c>
      <c r="M593" s="803"/>
      <c r="N593" s="804">
        <v>31466</v>
      </c>
      <c r="O593" s="804">
        <v>290440</v>
      </c>
      <c r="P593" s="804">
        <v>0</v>
      </c>
      <c r="Q593" s="803">
        <v>0</v>
      </c>
      <c r="R593" s="803"/>
      <c r="S593" s="804">
        <v>240012</v>
      </c>
      <c r="T593" s="805">
        <v>22314</v>
      </c>
      <c r="U593" s="805">
        <v>262325</v>
      </c>
    </row>
    <row r="594" spans="1:21" x14ac:dyDescent="0.25">
      <c r="A594" s="800">
        <v>96503</v>
      </c>
      <c r="B594" s="801" t="s">
        <v>3231</v>
      </c>
      <c r="C594" s="802">
        <v>3.3700000000000001E-4</v>
      </c>
      <c r="D594" s="802">
        <v>3.746E-4</v>
      </c>
      <c r="E594" s="803">
        <v>297528.38</v>
      </c>
      <c r="F594" s="803">
        <v>168118</v>
      </c>
      <c r="G594" s="803">
        <v>715227</v>
      </c>
      <c r="H594" s="803"/>
      <c r="I594" s="804">
        <v>13437.875</v>
      </c>
      <c r="J594" s="804">
        <v>626767</v>
      </c>
      <c r="K594" s="804">
        <v>48987</v>
      </c>
      <c r="L594" s="803">
        <v>200924</v>
      </c>
      <c r="M594" s="803"/>
      <c r="N594" s="804">
        <v>25062</v>
      </c>
      <c r="O594" s="804">
        <v>231336</v>
      </c>
      <c r="P594" s="804">
        <v>0</v>
      </c>
      <c r="Q594" s="803">
        <v>29898</v>
      </c>
      <c r="R594" s="803"/>
      <c r="S594" s="804">
        <v>191170</v>
      </c>
      <c r="T594" s="805">
        <v>46111</v>
      </c>
      <c r="U594" s="805">
        <v>237280</v>
      </c>
    </row>
    <row r="595" spans="1:21" x14ac:dyDescent="0.25">
      <c r="A595" s="800">
        <v>96504</v>
      </c>
      <c r="B595" s="801" t="s">
        <v>3232</v>
      </c>
      <c r="C595" s="802">
        <v>3.6039999999999998E-4</v>
      </c>
      <c r="D595" s="802">
        <v>3.7149999999999998E-4</v>
      </c>
      <c r="E595" s="803">
        <v>148639.46</v>
      </c>
      <c r="F595" s="803">
        <v>166727</v>
      </c>
      <c r="G595" s="803">
        <v>764890</v>
      </c>
      <c r="H595" s="803"/>
      <c r="I595" s="804">
        <v>14371</v>
      </c>
      <c r="J595" s="804">
        <v>670287</v>
      </c>
      <c r="K595" s="804">
        <v>52388</v>
      </c>
      <c r="L595" s="803">
        <v>11269</v>
      </c>
      <c r="M595" s="803"/>
      <c r="N595" s="804">
        <v>26803</v>
      </c>
      <c r="O595" s="804">
        <v>247399</v>
      </c>
      <c r="P595" s="804">
        <v>0</v>
      </c>
      <c r="Q595" s="803">
        <v>6125</v>
      </c>
      <c r="R595" s="803"/>
      <c r="S595" s="804">
        <v>204444</v>
      </c>
      <c r="T595" s="805">
        <v>2299</v>
      </c>
      <c r="U595" s="805">
        <v>206743</v>
      </c>
    </row>
    <row r="596" spans="1:21" x14ac:dyDescent="0.25">
      <c r="A596" s="800">
        <v>96507</v>
      </c>
      <c r="B596" s="801" t="s">
        <v>3233</v>
      </c>
      <c r="C596" s="802">
        <v>2.2604999999999999E-3</v>
      </c>
      <c r="D596" s="802">
        <v>2.1895999999999999E-3</v>
      </c>
      <c r="E596" s="803">
        <v>971182</v>
      </c>
      <c r="F596" s="803">
        <v>982679</v>
      </c>
      <c r="G596" s="803">
        <v>4797538</v>
      </c>
      <c r="H596" s="803"/>
      <c r="I596" s="804">
        <v>90137</v>
      </c>
      <c r="J596" s="804">
        <v>4204173</v>
      </c>
      <c r="K596" s="804">
        <v>328589</v>
      </c>
      <c r="L596" s="803">
        <v>180324</v>
      </c>
      <c r="M596" s="803"/>
      <c r="N596" s="804">
        <v>168111</v>
      </c>
      <c r="O596" s="804">
        <v>1551738</v>
      </c>
      <c r="P596" s="804">
        <v>0</v>
      </c>
      <c r="Q596" s="803">
        <v>0</v>
      </c>
      <c r="R596" s="803"/>
      <c r="S596" s="804">
        <v>1282312</v>
      </c>
      <c r="T596" s="805">
        <v>64566</v>
      </c>
      <c r="U596" s="805">
        <v>1346877</v>
      </c>
    </row>
    <row r="597" spans="1:21" x14ac:dyDescent="0.25">
      <c r="A597" s="800">
        <v>96508</v>
      </c>
      <c r="B597" s="801" t="s">
        <v>3234</v>
      </c>
      <c r="C597" s="802">
        <v>9.7999999999999993E-6</v>
      </c>
      <c r="D597" s="802">
        <v>1.03E-5</v>
      </c>
      <c r="E597" s="803">
        <v>9949</v>
      </c>
      <c r="F597" s="803">
        <v>4623</v>
      </c>
      <c r="G597" s="803">
        <v>20799</v>
      </c>
      <c r="H597" s="803"/>
      <c r="I597" s="804">
        <v>390.77499999999998</v>
      </c>
      <c r="J597" s="804">
        <v>18226</v>
      </c>
      <c r="K597" s="804">
        <v>1425</v>
      </c>
      <c r="L597" s="803">
        <v>9383</v>
      </c>
      <c r="M597" s="803"/>
      <c r="N597" s="804">
        <v>729</v>
      </c>
      <c r="O597" s="804">
        <v>6727</v>
      </c>
      <c r="P597" s="804">
        <v>0</v>
      </c>
      <c r="Q597" s="803">
        <v>0</v>
      </c>
      <c r="R597" s="803"/>
      <c r="S597" s="804">
        <v>5559</v>
      </c>
      <c r="T597" s="805">
        <v>3176</v>
      </c>
      <c r="U597" s="805">
        <v>8735</v>
      </c>
    </row>
    <row r="598" spans="1:21" x14ac:dyDescent="0.25">
      <c r="A598" s="800">
        <v>96511</v>
      </c>
      <c r="B598" s="801" t="s">
        <v>3235</v>
      </c>
      <c r="C598" s="802">
        <v>6.221E-4</v>
      </c>
      <c r="D598" s="802">
        <v>7.5080000000000004E-4</v>
      </c>
      <c r="E598" s="803">
        <v>244657.82</v>
      </c>
      <c r="F598" s="803">
        <v>336955</v>
      </c>
      <c r="G598" s="803">
        <v>1320305</v>
      </c>
      <c r="H598" s="803"/>
      <c r="I598" s="804">
        <v>24806</v>
      </c>
      <c r="J598" s="804">
        <v>1157008</v>
      </c>
      <c r="K598" s="804">
        <v>90429</v>
      </c>
      <c r="L598" s="803">
        <v>0</v>
      </c>
      <c r="M598" s="803"/>
      <c r="N598" s="804">
        <v>46265</v>
      </c>
      <c r="O598" s="804">
        <v>427046</v>
      </c>
      <c r="P598" s="804">
        <v>0</v>
      </c>
      <c r="Q598" s="803">
        <v>135169</v>
      </c>
      <c r="R598" s="803"/>
      <c r="S598" s="804">
        <v>352898</v>
      </c>
      <c r="T598" s="805">
        <v>-47382</v>
      </c>
      <c r="U598" s="805">
        <v>305516</v>
      </c>
    </row>
    <row r="599" spans="1:21" x14ac:dyDescent="0.25">
      <c r="A599" s="800">
        <v>96512</v>
      </c>
      <c r="B599" s="801" t="s">
        <v>3236</v>
      </c>
      <c r="C599" s="802">
        <v>1.7000000000000001E-4</v>
      </c>
      <c r="D599" s="802">
        <v>1.5550000000000001E-4</v>
      </c>
      <c r="E599" s="803">
        <v>63901</v>
      </c>
      <c r="F599" s="803">
        <v>69787</v>
      </c>
      <c r="G599" s="803">
        <v>360796.95</v>
      </c>
      <c r="H599" s="803"/>
      <c r="I599" s="804">
        <v>6779</v>
      </c>
      <c r="J599" s="804">
        <v>316173.14</v>
      </c>
      <c r="K599" s="804">
        <v>24711</v>
      </c>
      <c r="L599" s="803">
        <v>8267</v>
      </c>
      <c r="M599" s="803"/>
      <c r="N599" s="804">
        <v>12643</v>
      </c>
      <c r="O599" s="804">
        <v>116698</v>
      </c>
      <c r="P599" s="804">
        <v>0</v>
      </c>
      <c r="Q599" s="803">
        <v>0</v>
      </c>
      <c r="R599" s="803"/>
      <c r="S599" s="804">
        <v>96436</v>
      </c>
      <c r="T599" s="805">
        <v>2689</v>
      </c>
      <c r="U599" s="805">
        <v>99124</v>
      </c>
    </row>
    <row r="600" spans="1:21" x14ac:dyDescent="0.25">
      <c r="A600" s="800">
        <v>96519</v>
      </c>
      <c r="B600" s="801" t="s">
        <v>3237</v>
      </c>
      <c r="C600" s="802">
        <v>0</v>
      </c>
      <c r="D600" s="802">
        <v>1.7197E-3</v>
      </c>
      <c r="E600" s="803">
        <v>0</v>
      </c>
      <c r="F600" s="803">
        <v>771791</v>
      </c>
      <c r="G600" s="803">
        <v>0</v>
      </c>
      <c r="H600" s="803"/>
      <c r="I600" s="804">
        <v>0</v>
      </c>
      <c r="J600" s="804">
        <v>0</v>
      </c>
      <c r="K600" s="804">
        <v>0</v>
      </c>
      <c r="L600" s="803">
        <v>300924</v>
      </c>
      <c r="M600" s="803"/>
      <c r="N600" s="804">
        <v>0</v>
      </c>
      <c r="O600" s="804">
        <v>0</v>
      </c>
      <c r="P600" s="804">
        <v>0</v>
      </c>
      <c r="Q600" s="803">
        <v>931590</v>
      </c>
      <c r="R600" s="803"/>
      <c r="S600" s="804">
        <v>0</v>
      </c>
      <c r="T600" s="805">
        <v>-102954</v>
      </c>
      <c r="U600" s="805">
        <v>-102954</v>
      </c>
    </row>
    <row r="601" spans="1:21" x14ac:dyDescent="0.25">
      <c r="A601" s="800">
        <v>96521</v>
      </c>
      <c r="B601" s="801" t="s">
        <v>3238</v>
      </c>
      <c r="C601" s="802">
        <v>9.4240000000000003E-4</v>
      </c>
      <c r="D601" s="802">
        <v>9.0479999999999998E-4</v>
      </c>
      <c r="E601" s="803">
        <v>332666.64</v>
      </c>
      <c r="F601" s="803">
        <v>406069</v>
      </c>
      <c r="G601" s="803">
        <v>2000089</v>
      </c>
      <c r="H601" s="803"/>
      <c r="I601" s="804">
        <v>37578</v>
      </c>
      <c r="J601" s="804">
        <v>1752715</v>
      </c>
      <c r="K601" s="804">
        <v>136988</v>
      </c>
      <c r="L601" s="803">
        <v>46521</v>
      </c>
      <c r="M601" s="803"/>
      <c r="N601" s="804">
        <v>70085</v>
      </c>
      <c r="O601" s="804">
        <v>646918</v>
      </c>
      <c r="P601" s="804">
        <v>0</v>
      </c>
      <c r="Q601" s="803">
        <v>27885</v>
      </c>
      <c r="R601" s="803"/>
      <c r="S601" s="804">
        <v>534594</v>
      </c>
      <c r="T601" s="805">
        <v>8139</v>
      </c>
      <c r="U601" s="805">
        <v>542733</v>
      </c>
    </row>
    <row r="602" spans="1:21" x14ac:dyDescent="0.25">
      <c r="A602" s="800">
        <v>96531</v>
      </c>
      <c r="B602" s="801" t="s">
        <v>3239</v>
      </c>
      <c r="C602" s="802">
        <v>8.6088999999999992E-3</v>
      </c>
      <c r="D602" s="802">
        <v>9.1912000000000001E-3</v>
      </c>
      <c r="E602" s="803">
        <v>3504528.87</v>
      </c>
      <c r="F602" s="803">
        <v>4124955</v>
      </c>
      <c r="G602" s="803">
        <v>18270970</v>
      </c>
      <c r="H602" s="803"/>
      <c r="I602" s="804">
        <v>343280</v>
      </c>
      <c r="J602" s="804">
        <v>16011194</v>
      </c>
      <c r="K602" s="804">
        <v>1251398</v>
      </c>
      <c r="L602" s="803">
        <v>75559</v>
      </c>
      <c r="M602" s="803"/>
      <c r="N602" s="804">
        <v>640235</v>
      </c>
      <c r="O602" s="804">
        <v>5909648</v>
      </c>
      <c r="P602" s="804">
        <v>0</v>
      </c>
      <c r="Q602" s="803">
        <v>381680</v>
      </c>
      <c r="R602" s="803"/>
      <c r="S602" s="804">
        <v>4883562</v>
      </c>
      <c r="T602" s="805">
        <v>-81286</v>
      </c>
      <c r="U602" s="805">
        <v>4802276</v>
      </c>
    </row>
    <row r="603" spans="1:21" x14ac:dyDescent="0.25">
      <c r="A603" s="800">
        <v>96541</v>
      </c>
      <c r="B603" s="801" t="s">
        <v>3240</v>
      </c>
      <c r="C603" s="802">
        <v>3.3169999999999999E-4</v>
      </c>
      <c r="D603" s="802">
        <v>3.2759999999999999E-4</v>
      </c>
      <c r="E603" s="803">
        <v>136435.87</v>
      </c>
      <c r="F603" s="803">
        <v>147025</v>
      </c>
      <c r="G603" s="803">
        <v>703979</v>
      </c>
      <c r="H603" s="803"/>
      <c r="I603" s="804">
        <v>13227</v>
      </c>
      <c r="J603" s="804">
        <v>616910</v>
      </c>
      <c r="K603" s="804">
        <v>48216</v>
      </c>
      <c r="L603" s="803">
        <v>22779</v>
      </c>
      <c r="M603" s="803"/>
      <c r="N603" s="804">
        <v>24668</v>
      </c>
      <c r="O603" s="804">
        <v>227698</v>
      </c>
      <c r="P603" s="804">
        <v>0</v>
      </c>
      <c r="Q603" s="803">
        <v>0</v>
      </c>
      <c r="R603" s="803"/>
      <c r="S603" s="804">
        <v>188163</v>
      </c>
      <c r="T603" s="805">
        <v>10018</v>
      </c>
      <c r="U603" s="805">
        <v>198181</v>
      </c>
    </row>
    <row r="604" spans="1:21" x14ac:dyDescent="0.25">
      <c r="A604" s="800">
        <v>96601</v>
      </c>
      <c r="B604" s="801" t="s">
        <v>3241</v>
      </c>
      <c r="C604" s="802">
        <v>1.8416000000000001E-3</v>
      </c>
      <c r="D604" s="802">
        <v>1.8462999999999999E-3</v>
      </c>
      <c r="E604" s="803">
        <v>769874.79</v>
      </c>
      <c r="F604" s="803">
        <v>828608</v>
      </c>
      <c r="G604" s="803">
        <v>3908492</v>
      </c>
      <c r="H604" s="803"/>
      <c r="I604" s="804">
        <v>73433.8</v>
      </c>
      <c r="J604" s="804">
        <v>3425085</v>
      </c>
      <c r="K604" s="804">
        <v>267697</v>
      </c>
      <c r="L604" s="803">
        <v>58499</v>
      </c>
      <c r="M604" s="803"/>
      <c r="N604" s="804">
        <v>136958</v>
      </c>
      <c r="O604" s="804">
        <v>1264181</v>
      </c>
      <c r="P604" s="804">
        <v>0</v>
      </c>
      <c r="Q604" s="803">
        <v>6413</v>
      </c>
      <c r="R604" s="803"/>
      <c r="S604" s="804">
        <v>1044683</v>
      </c>
      <c r="T604" s="805">
        <v>25319</v>
      </c>
      <c r="U604" s="805">
        <v>1070002</v>
      </c>
    </row>
    <row r="605" spans="1:21" x14ac:dyDescent="0.25">
      <c r="A605" s="800">
        <v>96604</v>
      </c>
      <c r="B605" s="801" t="s">
        <v>3242</v>
      </c>
      <c r="C605" s="802">
        <v>7.9000000000000006E-6</v>
      </c>
      <c r="D605" s="802">
        <v>7.9000000000000006E-6</v>
      </c>
      <c r="E605" s="803">
        <v>4375</v>
      </c>
      <c r="F605" s="803">
        <v>3545</v>
      </c>
      <c r="G605" s="803">
        <v>16766</v>
      </c>
      <c r="H605" s="803"/>
      <c r="I605" s="804">
        <v>315</v>
      </c>
      <c r="J605" s="804">
        <v>14693</v>
      </c>
      <c r="K605" s="804">
        <v>1148</v>
      </c>
      <c r="L605" s="803">
        <v>1595</v>
      </c>
      <c r="M605" s="803"/>
      <c r="N605" s="804">
        <v>588</v>
      </c>
      <c r="O605" s="804">
        <v>5423</v>
      </c>
      <c r="P605" s="804">
        <v>0</v>
      </c>
      <c r="Q605" s="803">
        <v>108</v>
      </c>
      <c r="R605" s="803"/>
      <c r="S605" s="804">
        <v>4481</v>
      </c>
      <c r="T605" s="805">
        <v>545</v>
      </c>
      <c r="U605" s="805">
        <v>5027</v>
      </c>
    </row>
    <row r="606" spans="1:21" x14ac:dyDescent="0.25">
      <c r="A606" s="800">
        <v>96611</v>
      </c>
      <c r="B606" s="801" t="s">
        <v>3243</v>
      </c>
      <c r="C606" s="802">
        <v>3.29E-5</v>
      </c>
      <c r="D606" s="802">
        <v>2.9499999999999999E-5</v>
      </c>
      <c r="E606" s="803">
        <v>11899.8</v>
      </c>
      <c r="F606" s="803">
        <v>13239</v>
      </c>
      <c r="G606" s="803">
        <v>69825</v>
      </c>
      <c r="H606" s="803"/>
      <c r="I606" s="804">
        <v>1312</v>
      </c>
      <c r="J606" s="804">
        <v>61189</v>
      </c>
      <c r="K606" s="804">
        <v>4782</v>
      </c>
      <c r="L606" s="803">
        <v>2869</v>
      </c>
      <c r="M606" s="803"/>
      <c r="N606" s="804">
        <v>2447</v>
      </c>
      <c r="O606" s="804">
        <v>22584</v>
      </c>
      <c r="P606" s="804">
        <v>0</v>
      </c>
      <c r="Q606" s="803">
        <v>649</v>
      </c>
      <c r="R606" s="803"/>
      <c r="S606" s="804">
        <v>18663</v>
      </c>
      <c r="T606" s="805">
        <v>1079</v>
      </c>
      <c r="U606" s="805">
        <v>19742</v>
      </c>
    </row>
    <row r="607" spans="1:21" x14ac:dyDescent="0.25">
      <c r="A607" s="800">
        <v>96612</v>
      </c>
      <c r="B607" s="801" t="s">
        <v>3244</v>
      </c>
      <c r="C607" s="802">
        <v>6.3899999999999995E-5</v>
      </c>
      <c r="D607" s="802">
        <v>6.4399999999999993E-5</v>
      </c>
      <c r="E607" s="803">
        <v>30974</v>
      </c>
      <c r="F607" s="803">
        <v>28902</v>
      </c>
      <c r="G607" s="803">
        <v>135617</v>
      </c>
      <c r="H607" s="803"/>
      <c r="I607" s="804">
        <v>2548</v>
      </c>
      <c r="J607" s="804">
        <v>118844</v>
      </c>
      <c r="K607" s="804">
        <v>9289</v>
      </c>
      <c r="L607" s="803">
        <v>7363</v>
      </c>
      <c r="M607" s="803"/>
      <c r="N607" s="804">
        <v>4752</v>
      </c>
      <c r="O607" s="804">
        <v>43865</v>
      </c>
      <c r="P607" s="804">
        <v>0</v>
      </c>
      <c r="Q607" s="803">
        <v>1323</v>
      </c>
      <c r="R607" s="803"/>
      <c r="S607" s="804">
        <v>36248</v>
      </c>
      <c r="T607" s="805">
        <v>1615</v>
      </c>
      <c r="U607" s="805">
        <v>37864</v>
      </c>
    </row>
    <row r="608" spans="1:21" x14ac:dyDescent="0.25">
      <c r="A608" s="800">
        <v>96621</v>
      </c>
      <c r="B608" s="801" t="s">
        <v>3245</v>
      </c>
      <c r="C608" s="802">
        <v>2.65E-5</v>
      </c>
      <c r="D608" s="802">
        <v>3.6600000000000002E-5</v>
      </c>
      <c r="E608" s="803">
        <v>12593.01</v>
      </c>
      <c r="F608" s="803">
        <v>16426</v>
      </c>
      <c r="G608" s="803">
        <v>56242</v>
      </c>
      <c r="H608" s="803"/>
      <c r="I608" s="804">
        <v>1056.6875</v>
      </c>
      <c r="J608" s="804">
        <v>49286</v>
      </c>
      <c r="K608" s="804">
        <v>3852</v>
      </c>
      <c r="L608" s="803">
        <v>1133</v>
      </c>
      <c r="M608" s="803"/>
      <c r="N608" s="804">
        <v>1971</v>
      </c>
      <c r="O608" s="804">
        <v>18191</v>
      </c>
      <c r="P608" s="804">
        <v>0</v>
      </c>
      <c r="Q608" s="803">
        <v>7687</v>
      </c>
      <c r="R608" s="803"/>
      <c r="S608" s="804">
        <v>15033</v>
      </c>
      <c r="T608" s="805">
        <v>-2457</v>
      </c>
      <c r="U608" s="805">
        <v>12576</v>
      </c>
    </row>
    <row r="609" spans="1:21" x14ac:dyDescent="0.25">
      <c r="A609" s="800">
        <v>96631</v>
      </c>
      <c r="B609" s="801" t="s">
        <v>3246</v>
      </c>
      <c r="C609" s="802">
        <v>2.5899999999999999E-5</v>
      </c>
      <c r="D609" s="802">
        <v>2.5599999999999999E-5</v>
      </c>
      <c r="E609" s="803">
        <v>10253</v>
      </c>
      <c r="F609" s="803">
        <v>11489</v>
      </c>
      <c r="G609" s="803">
        <v>54968</v>
      </c>
      <c r="H609" s="803"/>
      <c r="I609" s="804">
        <v>1032.7625</v>
      </c>
      <c r="J609" s="804">
        <v>48170</v>
      </c>
      <c r="K609" s="804">
        <v>3765</v>
      </c>
      <c r="L609" s="803">
        <v>5664</v>
      </c>
      <c r="M609" s="803"/>
      <c r="N609" s="804">
        <v>1926</v>
      </c>
      <c r="O609" s="804">
        <v>17779</v>
      </c>
      <c r="P609" s="804">
        <v>0</v>
      </c>
      <c r="Q609" s="803">
        <v>154</v>
      </c>
      <c r="R609" s="803"/>
      <c r="S609" s="804">
        <v>14692</v>
      </c>
      <c r="T609" s="805">
        <v>2250</v>
      </c>
      <c r="U609" s="805">
        <v>16942</v>
      </c>
    </row>
    <row r="610" spans="1:21" x14ac:dyDescent="0.25">
      <c r="A610" s="800">
        <v>96641</v>
      </c>
      <c r="B610" s="801" t="s">
        <v>3247</v>
      </c>
      <c r="C610" s="802">
        <v>2.6999999999999999E-5</v>
      </c>
      <c r="D610" s="802">
        <v>2.7100000000000001E-5</v>
      </c>
      <c r="E610" s="803">
        <v>17201.89</v>
      </c>
      <c r="F610" s="803">
        <v>12162</v>
      </c>
      <c r="G610" s="803">
        <v>57303</v>
      </c>
      <c r="H610" s="803"/>
      <c r="I610" s="804">
        <v>1076.625</v>
      </c>
      <c r="J610" s="804">
        <v>50216</v>
      </c>
      <c r="K610" s="804">
        <v>3925</v>
      </c>
      <c r="L610" s="803">
        <v>10873</v>
      </c>
      <c r="M610" s="803"/>
      <c r="N610" s="804">
        <v>2008</v>
      </c>
      <c r="O610" s="804">
        <v>18534</v>
      </c>
      <c r="P610" s="804">
        <v>0</v>
      </c>
      <c r="Q610" s="803">
        <v>0</v>
      </c>
      <c r="R610" s="803"/>
      <c r="S610" s="804">
        <v>15316</v>
      </c>
      <c r="T610" s="805">
        <v>3846</v>
      </c>
      <c r="U610" s="805">
        <v>19162</v>
      </c>
    </row>
    <row r="611" spans="1:21" x14ac:dyDescent="0.25">
      <c r="A611" s="800">
        <v>96651</v>
      </c>
      <c r="B611" s="801" t="s">
        <v>3248</v>
      </c>
      <c r="C611" s="802">
        <v>1.9400000000000001E-5</v>
      </c>
      <c r="D611" s="802">
        <v>1.9300000000000002E-5</v>
      </c>
      <c r="E611" s="803">
        <v>8893</v>
      </c>
      <c r="F611" s="803">
        <v>8662</v>
      </c>
      <c r="G611" s="803">
        <v>41173</v>
      </c>
      <c r="H611" s="803"/>
      <c r="I611" s="804">
        <v>773.57500000000005</v>
      </c>
      <c r="J611" s="804">
        <v>36081</v>
      </c>
      <c r="K611" s="804">
        <v>2820</v>
      </c>
      <c r="L611" s="803">
        <v>781</v>
      </c>
      <c r="M611" s="803"/>
      <c r="N611" s="804">
        <v>1443</v>
      </c>
      <c r="O611" s="804">
        <v>13317</v>
      </c>
      <c r="P611" s="804">
        <v>0</v>
      </c>
      <c r="Q611" s="803">
        <v>2222</v>
      </c>
      <c r="R611" s="803"/>
      <c r="S611" s="804">
        <v>11005</v>
      </c>
      <c r="T611" s="805">
        <v>-715</v>
      </c>
      <c r="U611" s="805">
        <v>10290</v>
      </c>
    </row>
    <row r="612" spans="1:21" x14ac:dyDescent="0.25">
      <c r="A612" s="800">
        <v>96661</v>
      </c>
      <c r="B612" s="801" t="s">
        <v>3249</v>
      </c>
      <c r="C612" s="802">
        <v>1.9000000000000001E-5</v>
      </c>
      <c r="D612" s="802">
        <v>1.7200000000000001E-5</v>
      </c>
      <c r="E612" s="803">
        <v>9291.01</v>
      </c>
      <c r="F612" s="803">
        <v>7719</v>
      </c>
      <c r="G612" s="803">
        <v>40324</v>
      </c>
      <c r="H612" s="803"/>
      <c r="I612" s="804">
        <v>757.625</v>
      </c>
      <c r="J612" s="804">
        <v>35337</v>
      </c>
      <c r="K612" s="804">
        <v>2762</v>
      </c>
      <c r="L612" s="803">
        <v>6032</v>
      </c>
      <c r="M612" s="803"/>
      <c r="N612" s="804">
        <v>1413</v>
      </c>
      <c r="O612" s="804">
        <v>13043</v>
      </c>
      <c r="P612" s="804">
        <v>0</v>
      </c>
      <c r="Q612" s="803">
        <v>0</v>
      </c>
      <c r="R612" s="803"/>
      <c r="S612" s="804">
        <v>10778</v>
      </c>
      <c r="T612" s="805">
        <v>2137</v>
      </c>
      <c r="U612" s="805">
        <v>12915</v>
      </c>
    </row>
    <row r="613" spans="1:21" x14ac:dyDescent="0.25">
      <c r="A613" s="800">
        <v>96671</v>
      </c>
      <c r="B613" s="801" t="s">
        <v>3250</v>
      </c>
      <c r="C613" s="802">
        <v>1.5500000000000001E-5</v>
      </c>
      <c r="D613" s="802">
        <v>1.56E-5</v>
      </c>
      <c r="E613" s="803">
        <v>11958</v>
      </c>
      <c r="F613" s="803">
        <v>7001</v>
      </c>
      <c r="G613" s="803">
        <v>32896</v>
      </c>
      <c r="H613" s="803"/>
      <c r="I613" s="804">
        <v>618.0625</v>
      </c>
      <c r="J613" s="804">
        <v>28828</v>
      </c>
      <c r="K613" s="804">
        <v>2253</v>
      </c>
      <c r="L613" s="803">
        <v>11385</v>
      </c>
      <c r="M613" s="803"/>
      <c r="N613" s="804">
        <v>1153</v>
      </c>
      <c r="O613" s="804">
        <v>10640</v>
      </c>
      <c r="P613" s="804">
        <v>0</v>
      </c>
      <c r="Q613" s="803">
        <v>418</v>
      </c>
      <c r="R613" s="803"/>
      <c r="S613" s="804">
        <v>8793</v>
      </c>
      <c r="T613" s="805">
        <v>3409</v>
      </c>
      <c r="U613" s="805">
        <v>12201</v>
      </c>
    </row>
    <row r="614" spans="1:21" x14ac:dyDescent="0.25">
      <c r="A614" s="800">
        <v>96681</v>
      </c>
      <c r="B614" s="801" t="s">
        <v>3251</v>
      </c>
      <c r="C614" s="802">
        <v>3.4799999999999999E-5</v>
      </c>
      <c r="D614" s="802">
        <v>3.4700000000000003E-5</v>
      </c>
      <c r="E614" s="803">
        <v>22896</v>
      </c>
      <c r="F614" s="803">
        <v>15573</v>
      </c>
      <c r="G614" s="803">
        <v>73857</v>
      </c>
      <c r="H614" s="803"/>
      <c r="I614" s="804">
        <v>1388</v>
      </c>
      <c r="J614" s="804">
        <v>64723</v>
      </c>
      <c r="K614" s="804">
        <v>5059</v>
      </c>
      <c r="L614" s="803">
        <v>18633</v>
      </c>
      <c r="M614" s="803"/>
      <c r="N614" s="804">
        <v>2588</v>
      </c>
      <c r="O614" s="804">
        <v>23889</v>
      </c>
      <c r="P614" s="804">
        <v>0</v>
      </c>
      <c r="Q614" s="803">
        <v>1494</v>
      </c>
      <c r="R614" s="803"/>
      <c r="S614" s="804">
        <v>19741</v>
      </c>
      <c r="T614" s="805">
        <v>5200</v>
      </c>
      <c r="U614" s="805">
        <v>24941</v>
      </c>
    </row>
    <row r="615" spans="1:21" x14ac:dyDescent="0.25">
      <c r="A615" s="800">
        <v>96701</v>
      </c>
      <c r="B615" s="801" t="s">
        <v>3252</v>
      </c>
      <c r="C615" s="802">
        <v>7.7850000000000003E-3</v>
      </c>
      <c r="D615" s="802">
        <v>7.7803999999999998E-3</v>
      </c>
      <c r="E615" s="803">
        <v>3136203</v>
      </c>
      <c r="F615" s="803">
        <v>3491797</v>
      </c>
      <c r="G615" s="803">
        <v>16522378</v>
      </c>
      <c r="H615" s="803"/>
      <c r="I615" s="804">
        <v>310427</v>
      </c>
      <c r="J615" s="804">
        <v>14478870</v>
      </c>
      <c r="K615" s="804">
        <v>1131635</v>
      </c>
      <c r="L615" s="803">
        <v>289202</v>
      </c>
      <c r="M615" s="803"/>
      <c r="N615" s="804">
        <v>578963</v>
      </c>
      <c r="O615" s="804">
        <v>5344075.53</v>
      </c>
      <c r="P615" s="804">
        <v>0</v>
      </c>
      <c r="Q615" s="803">
        <v>79279</v>
      </c>
      <c r="R615" s="803"/>
      <c r="S615" s="804">
        <v>4416189</v>
      </c>
      <c r="T615" s="805">
        <v>74739</v>
      </c>
      <c r="U615" s="805">
        <v>4490928</v>
      </c>
    </row>
    <row r="616" spans="1:21" x14ac:dyDescent="0.25">
      <c r="A616" s="800">
        <v>96704</v>
      </c>
      <c r="B616" s="801" t="s">
        <v>3253</v>
      </c>
      <c r="C616" s="802">
        <v>1.5330000000000001E-4</v>
      </c>
      <c r="D616" s="802">
        <v>1.5919999999999999E-4</v>
      </c>
      <c r="E616" s="803">
        <v>71376</v>
      </c>
      <c r="F616" s="803">
        <v>71448</v>
      </c>
      <c r="G616" s="803">
        <v>325354</v>
      </c>
      <c r="H616" s="803"/>
      <c r="I616" s="804">
        <v>6113</v>
      </c>
      <c r="J616" s="804">
        <v>285114</v>
      </c>
      <c r="K616" s="804">
        <v>22284</v>
      </c>
      <c r="L616" s="803">
        <v>9181</v>
      </c>
      <c r="M616" s="803"/>
      <c r="N616" s="804">
        <v>11401</v>
      </c>
      <c r="O616" s="804">
        <v>105234</v>
      </c>
      <c r="P616" s="804">
        <v>0</v>
      </c>
      <c r="Q616" s="803">
        <v>0</v>
      </c>
      <c r="R616" s="803"/>
      <c r="S616" s="804">
        <v>86962</v>
      </c>
      <c r="T616" s="805">
        <v>3774</v>
      </c>
      <c r="U616" s="805">
        <v>90736</v>
      </c>
    </row>
    <row r="617" spans="1:21" x14ac:dyDescent="0.25">
      <c r="A617" s="800">
        <v>96708</v>
      </c>
      <c r="B617" s="801" t="s">
        <v>3254</v>
      </c>
      <c r="C617" s="802">
        <v>8.4590000000000002E-4</v>
      </c>
      <c r="D617" s="802">
        <v>9.8109999999999994E-4</v>
      </c>
      <c r="E617" s="803">
        <v>406277.09</v>
      </c>
      <c r="F617" s="803">
        <v>440312</v>
      </c>
      <c r="G617" s="803">
        <v>1795283</v>
      </c>
      <c r="H617" s="803"/>
      <c r="I617" s="804">
        <v>33730</v>
      </c>
      <c r="J617" s="804">
        <v>1573240</v>
      </c>
      <c r="K617" s="804">
        <v>122961</v>
      </c>
      <c r="L617" s="803">
        <v>54938</v>
      </c>
      <c r="M617" s="803"/>
      <c r="N617" s="804">
        <v>62909</v>
      </c>
      <c r="O617" s="804">
        <v>580675</v>
      </c>
      <c r="P617" s="804">
        <v>0</v>
      </c>
      <c r="Q617" s="803">
        <v>26851</v>
      </c>
      <c r="R617" s="803"/>
      <c r="S617" s="804">
        <v>479853</v>
      </c>
      <c r="T617" s="805">
        <v>14104</v>
      </c>
      <c r="U617" s="805">
        <v>493957</v>
      </c>
    </row>
    <row r="618" spans="1:21" x14ac:dyDescent="0.25">
      <c r="A618" s="800">
        <v>96711</v>
      </c>
      <c r="B618" s="801" t="s">
        <v>3255</v>
      </c>
      <c r="C618" s="802">
        <v>4.4140000000000004E-3</v>
      </c>
      <c r="D618" s="802">
        <v>4.2459999999999998E-3</v>
      </c>
      <c r="E618" s="803">
        <v>1606505</v>
      </c>
      <c r="F618" s="803">
        <v>1905579</v>
      </c>
      <c r="G618" s="803">
        <v>9367987</v>
      </c>
      <c r="H618" s="803"/>
      <c r="I618" s="804">
        <v>176008</v>
      </c>
      <c r="J618" s="804">
        <v>8209343</v>
      </c>
      <c r="K618" s="804">
        <v>641623</v>
      </c>
      <c r="L618" s="803">
        <v>20750</v>
      </c>
      <c r="M618" s="803"/>
      <c r="N618" s="804">
        <v>328265</v>
      </c>
      <c r="O618" s="804">
        <v>3030026</v>
      </c>
      <c r="P618" s="804">
        <v>0</v>
      </c>
      <c r="Q618" s="803">
        <v>348266</v>
      </c>
      <c r="R618" s="803"/>
      <c r="S618" s="804">
        <v>2503925</v>
      </c>
      <c r="T618" s="805">
        <v>-105928</v>
      </c>
      <c r="U618" s="805">
        <v>2397997</v>
      </c>
    </row>
    <row r="619" spans="1:21" x14ac:dyDescent="0.25">
      <c r="A619" s="800">
        <v>96721</v>
      </c>
      <c r="B619" s="801" t="s">
        <v>3256</v>
      </c>
      <c r="C619" s="802">
        <v>1.9780000000000001E-4</v>
      </c>
      <c r="D619" s="802">
        <v>2.5119999999999998E-4</v>
      </c>
      <c r="E619" s="803">
        <v>74367</v>
      </c>
      <c r="F619" s="803">
        <v>112737</v>
      </c>
      <c r="G619" s="803">
        <v>419798</v>
      </c>
      <c r="H619" s="803"/>
      <c r="I619" s="804">
        <v>7887</v>
      </c>
      <c r="J619" s="804">
        <v>367877</v>
      </c>
      <c r="K619" s="804">
        <v>28752</v>
      </c>
      <c r="L619" s="803">
        <v>10855</v>
      </c>
      <c r="M619" s="803"/>
      <c r="N619" s="804">
        <v>14710</v>
      </c>
      <c r="O619" s="804">
        <v>135781</v>
      </c>
      <c r="P619" s="804">
        <v>0</v>
      </c>
      <c r="Q619" s="803">
        <v>34469</v>
      </c>
      <c r="R619" s="803"/>
      <c r="S619" s="804">
        <v>112206</v>
      </c>
      <c r="T619" s="805">
        <v>-3553</v>
      </c>
      <c r="U619" s="805">
        <v>108653</v>
      </c>
    </row>
    <row r="620" spans="1:21" x14ac:dyDescent="0.25">
      <c r="A620" s="800">
        <v>96731</v>
      </c>
      <c r="B620" s="801" t="s">
        <v>3257</v>
      </c>
      <c r="C620" s="802">
        <v>1.5090000000000001E-4</v>
      </c>
      <c r="D620" s="802">
        <v>1.3420000000000001E-4</v>
      </c>
      <c r="E620" s="803">
        <v>65647</v>
      </c>
      <c r="F620" s="803">
        <v>60228</v>
      </c>
      <c r="G620" s="803">
        <v>320260</v>
      </c>
      <c r="H620" s="803"/>
      <c r="I620" s="804">
        <v>6017</v>
      </c>
      <c r="J620" s="804">
        <v>280650</v>
      </c>
      <c r="K620" s="804">
        <v>21935</v>
      </c>
      <c r="L620" s="803">
        <v>18052</v>
      </c>
      <c r="M620" s="803"/>
      <c r="N620" s="804">
        <v>11222</v>
      </c>
      <c r="O620" s="804">
        <v>103587</v>
      </c>
      <c r="P620" s="804">
        <v>0</v>
      </c>
      <c r="Q620" s="803">
        <v>12</v>
      </c>
      <c r="R620" s="803"/>
      <c r="S620" s="804">
        <v>85601</v>
      </c>
      <c r="T620" s="805">
        <v>5259</v>
      </c>
      <c r="U620" s="805">
        <v>90859</v>
      </c>
    </row>
    <row r="621" spans="1:21" x14ac:dyDescent="0.25">
      <c r="A621" s="800">
        <v>96733</v>
      </c>
      <c r="B621" s="801" t="s">
        <v>3258</v>
      </c>
      <c r="C621" s="802">
        <v>9.2E-6</v>
      </c>
      <c r="D621" s="802">
        <v>4.1999999999999996E-6</v>
      </c>
      <c r="E621" s="803">
        <v>5389.79</v>
      </c>
      <c r="F621" s="803">
        <v>1885</v>
      </c>
      <c r="G621" s="803">
        <v>19525</v>
      </c>
      <c r="H621" s="803"/>
      <c r="I621" s="804">
        <v>366.85</v>
      </c>
      <c r="J621" s="804">
        <v>17111</v>
      </c>
      <c r="K621" s="804">
        <v>1337</v>
      </c>
      <c r="L621" s="803">
        <v>6066</v>
      </c>
      <c r="M621" s="803"/>
      <c r="N621" s="804">
        <v>684</v>
      </c>
      <c r="O621" s="804">
        <v>6315</v>
      </c>
      <c r="P621" s="804">
        <v>0</v>
      </c>
      <c r="Q621" s="803">
        <v>1048</v>
      </c>
      <c r="R621" s="803"/>
      <c r="S621" s="804">
        <v>5219</v>
      </c>
      <c r="T621" s="805">
        <v>1707</v>
      </c>
      <c r="U621" s="805">
        <v>6925</v>
      </c>
    </row>
    <row r="622" spans="1:21" x14ac:dyDescent="0.25">
      <c r="A622" s="800">
        <v>96741</v>
      </c>
      <c r="B622" s="801" t="s">
        <v>3259</v>
      </c>
      <c r="C622" s="802">
        <v>9.2399999999999996E-5</v>
      </c>
      <c r="D622" s="802">
        <v>9.2899999999999995E-5</v>
      </c>
      <c r="E622" s="803">
        <v>36390</v>
      </c>
      <c r="F622" s="803">
        <v>41693</v>
      </c>
      <c r="G622" s="803">
        <v>196104</v>
      </c>
      <c r="H622" s="803"/>
      <c r="I622" s="804">
        <v>3684.45</v>
      </c>
      <c r="J622" s="804">
        <v>171849</v>
      </c>
      <c r="K622" s="804">
        <v>13431</v>
      </c>
      <c r="L622" s="803">
        <v>7135</v>
      </c>
      <c r="M622" s="803"/>
      <c r="N622" s="804">
        <v>6872</v>
      </c>
      <c r="O622" s="804">
        <v>63429</v>
      </c>
      <c r="P622" s="804">
        <v>0</v>
      </c>
      <c r="Q622" s="803">
        <v>1549</v>
      </c>
      <c r="R622" s="803"/>
      <c r="S622" s="804">
        <v>52416</v>
      </c>
      <c r="T622" s="805">
        <v>2530</v>
      </c>
      <c r="U622" s="805">
        <v>54946</v>
      </c>
    </row>
    <row r="623" spans="1:21" x14ac:dyDescent="0.25">
      <c r="A623" s="800">
        <v>96751</v>
      </c>
      <c r="B623" s="801" t="s">
        <v>3260</v>
      </c>
      <c r="C623" s="802">
        <v>2.6120000000000001E-4</v>
      </c>
      <c r="D623" s="802">
        <v>3.0909999999999998E-4</v>
      </c>
      <c r="E623" s="803">
        <v>103641</v>
      </c>
      <c r="F623" s="803">
        <v>138722</v>
      </c>
      <c r="G623" s="803">
        <v>554354</v>
      </c>
      <c r="H623" s="803"/>
      <c r="I623" s="804">
        <v>10415.35</v>
      </c>
      <c r="J623" s="804">
        <v>485791</v>
      </c>
      <c r="K623" s="804">
        <v>37968</v>
      </c>
      <c r="L623" s="803">
        <v>21728.81</v>
      </c>
      <c r="M623" s="803"/>
      <c r="N623" s="804">
        <v>19425</v>
      </c>
      <c r="O623" s="804">
        <v>179303</v>
      </c>
      <c r="P623" s="804">
        <v>0</v>
      </c>
      <c r="Q623" s="803">
        <v>37607</v>
      </c>
      <c r="R623" s="803"/>
      <c r="S623" s="804">
        <v>148171</v>
      </c>
      <c r="T623" s="805">
        <v>349</v>
      </c>
      <c r="U623" s="805">
        <v>148519</v>
      </c>
    </row>
    <row r="624" spans="1:21" x14ac:dyDescent="0.25">
      <c r="A624" s="800">
        <v>96801</v>
      </c>
      <c r="B624" s="801" t="s">
        <v>3261</v>
      </c>
      <c r="C624" s="802">
        <v>7.8463999999999999E-3</v>
      </c>
      <c r="D624" s="802">
        <v>7.0825000000000003E-3</v>
      </c>
      <c r="E624" s="803">
        <v>3035869.73</v>
      </c>
      <c r="F624" s="803">
        <v>3178584</v>
      </c>
      <c r="G624" s="803">
        <v>16652689</v>
      </c>
      <c r="H624" s="803"/>
      <c r="I624" s="804">
        <v>312875.2</v>
      </c>
      <c r="J624" s="804">
        <v>14593064</v>
      </c>
      <c r="K624" s="804">
        <v>1140561</v>
      </c>
      <c r="L624" s="803">
        <v>642631</v>
      </c>
      <c r="M624" s="803"/>
      <c r="N624" s="804">
        <v>583529</v>
      </c>
      <c r="O624" s="804">
        <v>5386224</v>
      </c>
      <c r="P624" s="804">
        <v>0</v>
      </c>
      <c r="Q624" s="803">
        <v>0</v>
      </c>
      <c r="R624" s="803"/>
      <c r="S624" s="804">
        <v>4451019</v>
      </c>
      <c r="T624" s="805">
        <v>235775</v>
      </c>
      <c r="U624" s="805">
        <v>4686794</v>
      </c>
    </row>
    <row r="625" spans="1:21" x14ac:dyDescent="0.25">
      <c r="A625" s="800">
        <v>96804</v>
      </c>
      <c r="B625" s="801" t="s">
        <v>3262</v>
      </c>
      <c r="C625" s="802">
        <v>2.4230000000000001E-4</v>
      </c>
      <c r="D625" s="802">
        <v>2.275E-4</v>
      </c>
      <c r="E625" s="803">
        <v>89702</v>
      </c>
      <c r="F625" s="803">
        <v>102101</v>
      </c>
      <c r="G625" s="803">
        <v>514242</v>
      </c>
      <c r="H625" s="803"/>
      <c r="I625" s="804">
        <v>9662</v>
      </c>
      <c r="J625" s="804">
        <v>450640</v>
      </c>
      <c r="K625" s="804">
        <v>35221</v>
      </c>
      <c r="L625" s="803">
        <v>4453</v>
      </c>
      <c r="M625" s="803"/>
      <c r="N625" s="804">
        <v>18020</v>
      </c>
      <c r="O625" s="804">
        <v>166329</v>
      </c>
      <c r="P625" s="804">
        <v>0</v>
      </c>
      <c r="Q625" s="803">
        <v>3167</v>
      </c>
      <c r="R625" s="803"/>
      <c r="S625" s="804">
        <v>137449</v>
      </c>
      <c r="T625" s="805">
        <v>1085</v>
      </c>
      <c r="U625" s="805">
        <v>138535</v>
      </c>
    </row>
    <row r="626" spans="1:21" x14ac:dyDescent="0.25">
      <c r="A626" s="800">
        <v>96808</v>
      </c>
      <c r="B626" s="801" t="s">
        <v>3263</v>
      </c>
      <c r="C626" s="802">
        <v>1.2882E-3</v>
      </c>
      <c r="D626" s="802">
        <v>1.1995E-3</v>
      </c>
      <c r="E626" s="803">
        <v>505072.35</v>
      </c>
      <c r="F626" s="803">
        <v>538328</v>
      </c>
      <c r="G626" s="803">
        <v>2733992</v>
      </c>
      <c r="H626" s="803"/>
      <c r="I626" s="804">
        <v>51367</v>
      </c>
      <c r="J626" s="804">
        <v>2395848</v>
      </c>
      <c r="K626" s="804">
        <v>187254</v>
      </c>
      <c r="L626" s="803">
        <v>67087</v>
      </c>
      <c r="M626" s="803"/>
      <c r="N626" s="804">
        <v>95802</v>
      </c>
      <c r="O626" s="804">
        <v>884295</v>
      </c>
      <c r="P626" s="804">
        <v>0</v>
      </c>
      <c r="Q626" s="803">
        <v>0</v>
      </c>
      <c r="R626" s="803"/>
      <c r="S626" s="804">
        <v>730756</v>
      </c>
      <c r="T626" s="805">
        <v>24558</v>
      </c>
      <c r="U626" s="805">
        <v>755313</v>
      </c>
    </row>
    <row r="627" spans="1:21" x14ac:dyDescent="0.25">
      <c r="A627" s="800">
        <v>96811</v>
      </c>
      <c r="B627" s="801" t="s">
        <v>3264</v>
      </c>
      <c r="C627" s="802">
        <v>5.9861999999999997E-3</v>
      </c>
      <c r="D627" s="802">
        <v>6.0393000000000001E-3</v>
      </c>
      <c r="E627" s="803">
        <v>2443568.73</v>
      </c>
      <c r="F627" s="803">
        <v>2710402</v>
      </c>
      <c r="G627" s="803">
        <v>12704722</v>
      </c>
      <c r="H627" s="803"/>
      <c r="I627" s="804">
        <v>238700</v>
      </c>
      <c r="J627" s="804">
        <v>11133386</v>
      </c>
      <c r="K627" s="804">
        <v>870160</v>
      </c>
      <c r="L627" s="803">
        <v>0</v>
      </c>
      <c r="M627" s="803"/>
      <c r="N627" s="804">
        <v>445188</v>
      </c>
      <c r="O627" s="804">
        <v>4109275</v>
      </c>
      <c r="P627" s="804">
        <v>0</v>
      </c>
      <c r="Q627" s="803">
        <v>86222</v>
      </c>
      <c r="R627" s="803"/>
      <c r="S627" s="804">
        <v>3395786</v>
      </c>
      <c r="T627" s="805">
        <v>-32722</v>
      </c>
      <c r="U627" s="805">
        <v>3363064</v>
      </c>
    </row>
    <row r="628" spans="1:21" x14ac:dyDescent="0.25">
      <c r="A628" s="800">
        <v>96821</v>
      </c>
      <c r="B628" s="801" t="s">
        <v>3265</v>
      </c>
      <c r="C628" s="802">
        <v>1.3630999999999999E-3</v>
      </c>
      <c r="D628" s="802">
        <v>1.4808E-3</v>
      </c>
      <c r="E628" s="803">
        <v>518291.4</v>
      </c>
      <c r="F628" s="803">
        <v>664574</v>
      </c>
      <c r="G628" s="803">
        <v>2892955</v>
      </c>
      <c r="H628" s="803"/>
      <c r="I628" s="804">
        <v>54354</v>
      </c>
      <c r="J628" s="804">
        <v>2535151</v>
      </c>
      <c r="K628" s="804">
        <v>198142</v>
      </c>
      <c r="L628" s="803">
        <v>0</v>
      </c>
      <c r="M628" s="803"/>
      <c r="N628" s="804">
        <v>101372</v>
      </c>
      <c r="O628" s="804">
        <v>935711</v>
      </c>
      <c r="P628" s="804">
        <v>0</v>
      </c>
      <c r="Q628" s="803">
        <v>153131</v>
      </c>
      <c r="R628" s="803"/>
      <c r="S628" s="804">
        <v>773244</v>
      </c>
      <c r="T628" s="805">
        <v>-47603</v>
      </c>
      <c r="U628" s="805">
        <v>725641</v>
      </c>
    </row>
    <row r="629" spans="1:21" x14ac:dyDescent="0.25">
      <c r="A629" s="800">
        <v>96831</v>
      </c>
      <c r="B629" s="801" t="s">
        <v>3266</v>
      </c>
      <c r="C629" s="802">
        <v>9.2400000000000002E-4</v>
      </c>
      <c r="D629" s="802">
        <v>8.3830000000000005E-4</v>
      </c>
      <c r="E629" s="803">
        <v>353922</v>
      </c>
      <c r="F629" s="803">
        <v>376224</v>
      </c>
      <c r="G629" s="803">
        <v>1961037.54</v>
      </c>
      <c r="H629" s="803"/>
      <c r="I629" s="804">
        <v>36844.5</v>
      </c>
      <c r="J629" s="804">
        <v>1718494</v>
      </c>
      <c r="K629" s="804">
        <v>134314</v>
      </c>
      <c r="L629" s="803">
        <v>56487</v>
      </c>
      <c r="M629" s="803"/>
      <c r="N629" s="804">
        <v>68717</v>
      </c>
      <c r="O629" s="804">
        <v>634287</v>
      </c>
      <c r="P629" s="804">
        <v>0</v>
      </c>
      <c r="Q629" s="803">
        <v>0</v>
      </c>
      <c r="R629" s="803"/>
      <c r="S629" s="804">
        <v>524157</v>
      </c>
      <c r="T629" s="805">
        <v>19257</v>
      </c>
      <c r="U629" s="805">
        <v>543413</v>
      </c>
    </row>
    <row r="630" spans="1:21" x14ac:dyDescent="0.25">
      <c r="A630" s="800">
        <v>96901</v>
      </c>
      <c r="B630" s="801" t="s">
        <v>3267</v>
      </c>
      <c r="C630" s="802">
        <v>8.1610000000000005E-4</v>
      </c>
      <c r="D630" s="802">
        <v>7.6599999999999997E-4</v>
      </c>
      <c r="E630" s="803">
        <v>326581.33</v>
      </c>
      <c r="F630" s="803">
        <v>343776</v>
      </c>
      <c r="G630" s="803">
        <v>1732038</v>
      </c>
      <c r="H630" s="803"/>
      <c r="I630" s="804">
        <v>32542</v>
      </c>
      <c r="J630" s="804">
        <v>1517817</v>
      </c>
      <c r="K630" s="804">
        <v>118629</v>
      </c>
      <c r="L630" s="803">
        <v>46444</v>
      </c>
      <c r="M630" s="803"/>
      <c r="N630" s="804">
        <v>60693</v>
      </c>
      <c r="O630" s="804">
        <v>560218</v>
      </c>
      <c r="P630" s="804">
        <v>0</v>
      </c>
      <c r="Q630" s="803">
        <v>0</v>
      </c>
      <c r="R630" s="803"/>
      <c r="S630" s="804">
        <v>462948</v>
      </c>
      <c r="T630" s="805">
        <v>15281</v>
      </c>
      <c r="U630" s="805">
        <v>478229</v>
      </c>
    </row>
    <row r="631" spans="1:21" x14ac:dyDescent="0.25">
      <c r="A631" s="800">
        <v>96911</v>
      </c>
      <c r="B631" s="801" t="s">
        <v>3268</v>
      </c>
      <c r="C631" s="802">
        <v>3.7000000000000002E-6</v>
      </c>
      <c r="D631" s="802">
        <v>1.15E-5</v>
      </c>
      <c r="E631" s="803">
        <v>2162.39</v>
      </c>
      <c r="F631" s="803">
        <v>5161</v>
      </c>
      <c r="G631" s="803">
        <v>7853</v>
      </c>
      <c r="H631" s="803"/>
      <c r="I631" s="804">
        <v>147.53749999999999</v>
      </c>
      <c r="J631" s="804">
        <v>6881</v>
      </c>
      <c r="K631" s="804">
        <v>538</v>
      </c>
      <c r="L631" s="803">
        <v>3997</v>
      </c>
      <c r="M631" s="803"/>
      <c r="N631" s="804">
        <v>275</v>
      </c>
      <c r="O631" s="804">
        <v>2540</v>
      </c>
      <c r="P631" s="804">
        <v>0</v>
      </c>
      <c r="Q631" s="803">
        <v>3716</v>
      </c>
      <c r="R631" s="803"/>
      <c r="S631" s="804">
        <v>2099</v>
      </c>
      <c r="T631" s="805">
        <v>571</v>
      </c>
      <c r="U631" s="805">
        <v>2669</v>
      </c>
    </row>
    <row r="632" spans="1:21" x14ac:dyDescent="0.25">
      <c r="A632" s="800">
        <v>96912</v>
      </c>
      <c r="B632" s="801" t="s">
        <v>3269</v>
      </c>
      <c r="C632" s="802">
        <v>6.0999999999999999E-5</v>
      </c>
      <c r="D632" s="802">
        <v>5.5899999999999997E-5</v>
      </c>
      <c r="E632" s="803">
        <v>20331.63</v>
      </c>
      <c r="F632" s="803">
        <v>25088</v>
      </c>
      <c r="G632" s="803">
        <v>129462</v>
      </c>
      <c r="H632" s="803"/>
      <c r="I632" s="804">
        <v>2432.375</v>
      </c>
      <c r="J632" s="804">
        <v>113450</v>
      </c>
      <c r="K632" s="804">
        <v>8867</v>
      </c>
      <c r="L632" s="803">
        <v>7641</v>
      </c>
      <c r="M632" s="803"/>
      <c r="N632" s="804">
        <v>4537</v>
      </c>
      <c r="O632" s="804">
        <v>41874</v>
      </c>
      <c r="P632" s="804">
        <v>0</v>
      </c>
      <c r="Q632" s="803">
        <v>1013</v>
      </c>
      <c r="R632" s="803"/>
      <c r="S632" s="804">
        <v>34603</v>
      </c>
      <c r="T632" s="805">
        <v>3054</v>
      </c>
      <c r="U632" s="805">
        <v>37657</v>
      </c>
    </row>
    <row r="633" spans="1:21" x14ac:dyDescent="0.25">
      <c r="A633" s="800">
        <v>96918</v>
      </c>
      <c r="B633" s="801" t="s">
        <v>3270</v>
      </c>
      <c r="C633" s="802">
        <v>4.0500000000000002E-5</v>
      </c>
      <c r="D633" s="802">
        <v>4.5099999999999998E-5</v>
      </c>
      <c r="E633" s="803">
        <v>18289.97</v>
      </c>
      <c r="F633" s="803">
        <v>20241</v>
      </c>
      <c r="G633" s="803">
        <v>85955</v>
      </c>
      <c r="H633" s="803"/>
      <c r="I633" s="804">
        <v>1614.9375</v>
      </c>
      <c r="J633" s="804">
        <v>75324</v>
      </c>
      <c r="K633" s="804">
        <v>5887</v>
      </c>
      <c r="L633" s="803">
        <v>12921</v>
      </c>
      <c r="M633" s="803"/>
      <c r="N633" s="804">
        <v>3012</v>
      </c>
      <c r="O633" s="804">
        <v>27802</v>
      </c>
      <c r="P633" s="804">
        <v>0</v>
      </c>
      <c r="Q633" s="803">
        <v>1194</v>
      </c>
      <c r="R633" s="803"/>
      <c r="S633" s="804">
        <v>22974</v>
      </c>
      <c r="T633" s="805">
        <v>5498</v>
      </c>
      <c r="U633" s="805">
        <v>28472</v>
      </c>
    </row>
    <row r="634" spans="1:21" x14ac:dyDescent="0.25">
      <c r="A634" s="800">
        <v>97001</v>
      </c>
      <c r="B634" s="801" t="s">
        <v>3271</v>
      </c>
      <c r="C634" s="802">
        <v>1.3641E-3</v>
      </c>
      <c r="D634" s="802">
        <v>1.3221999999999999E-3</v>
      </c>
      <c r="E634" s="803">
        <v>636605</v>
      </c>
      <c r="F634" s="803">
        <v>593395</v>
      </c>
      <c r="G634" s="803">
        <v>2895077</v>
      </c>
      <c r="H634" s="803"/>
      <c r="I634" s="804">
        <v>54393</v>
      </c>
      <c r="J634" s="804">
        <v>2537010</v>
      </c>
      <c r="K634" s="804">
        <v>198287</v>
      </c>
      <c r="L634" s="803">
        <v>107093</v>
      </c>
      <c r="M634" s="803"/>
      <c r="N634" s="804">
        <v>101447</v>
      </c>
      <c r="O634" s="804">
        <v>936397</v>
      </c>
      <c r="P634" s="804">
        <v>0</v>
      </c>
      <c r="Q634" s="803">
        <v>23162</v>
      </c>
      <c r="R634" s="803"/>
      <c r="S634" s="804">
        <v>773812</v>
      </c>
      <c r="T634" s="805">
        <v>18430</v>
      </c>
      <c r="U634" s="805">
        <v>792241</v>
      </c>
    </row>
    <row r="635" spans="1:21" x14ac:dyDescent="0.25">
      <c r="A635" s="800">
        <v>97002</v>
      </c>
      <c r="B635" s="801" t="s">
        <v>3272</v>
      </c>
      <c r="C635" s="802">
        <v>4.6589999999999999E-4</v>
      </c>
      <c r="D635" s="802">
        <v>3.9229999999999999E-4</v>
      </c>
      <c r="E635" s="803">
        <v>151526.06</v>
      </c>
      <c r="F635" s="803">
        <v>176062</v>
      </c>
      <c r="G635" s="803">
        <v>988796</v>
      </c>
      <c r="H635" s="803"/>
      <c r="I635" s="804">
        <v>18578</v>
      </c>
      <c r="J635" s="804">
        <v>866500</v>
      </c>
      <c r="K635" s="804">
        <v>67724</v>
      </c>
      <c r="L635" s="803">
        <v>28607</v>
      </c>
      <c r="M635" s="803"/>
      <c r="N635" s="804">
        <v>34649</v>
      </c>
      <c r="O635" s="804">
        <v>319821</v>
      </c>
      <c r="P635" s="804">
        <v>0</v>
      </c>
      <c r="Q635" s="803">
        <v>0</v>
      </c>
      <c r="R635" s="803"/>
      <c r="S635" s="804">
        <v>264291</v>
      </c>
      <c r="T635" s="805">
        <v>11776</v>
      </c>
      <c r="U635" s="805">
        <v>276066</v>
      </c>
    </row>
    <row r="636" spans="1:21" x14ac:dyDescent="0.25">
      <c r="A636" s="800">
        <v>97004</v>
      </c>
      <c r="B636" s="801" t="s">
        <v>3273</v>
      </c>
      <c r="C636" s="802">
        <v>1.0900000000000001E-5</v>
      </c>
      <c r="D636" s="802">
        <v>1.47E-5</v>
      </c>
      <c r="E636" s="803">
        <v>7359.36</v>
      </c>
      <c r="F636" s="803">
        <v>6597</v>
      </c>
      <c r="G636" s="803">
        <v>23133</v>
      </c>
      <c r="H636" s="803"/>
      <c r="I636" s="804">
        <v>435</v>
      </c>
      <c r="J636" s="804">
        <v>20272</v>
      </c>
      <c r="K636" s="804">
        <v>1584</v>
      </c>
      <c r="L636" s="803">
        <v>3251</v>
      </c>
      <c r="M636" s="803"/>
      <c r="N636" s="804">
        <v>811</v>
      </c>
      <c r="O636" s="804">
        <v>7482</v>
      </c>
      <c r="P636" s="804">
        <v>0</v>
      </c>
      <c r="Q636" s="803">
        <v>0</v>
      </c>
      <c r="R636" s="803"/>
      <c r="S636" s="804">
        <v>6183</v>
      </c>
      <c r="T636" s="805">
        <v>1295</v>
      </c>
      <c r="U636" s="805">
        <v>7478</v>
      </c>
    </row>
    <row r="637" spans="1:21" x14ac:dyDescent="0.25">
      <c r="A637" s="800">
        <v>97005</v>
      </c>
      <c r="B637" s="801" t="s">
        <v>3274</v>
      </c>
      <c r="C637" s="802">
        <v>1.42E-5</v>
      </c>
      <c r="D637" s="802">
        <v>2.3799999999999999E-5</v>
      </c>
      <c r="E637" s="803">
        <v>10552.87</v>
      </c>
      <c r="F637" s="803">
        <v>10681</v>
      </c>
      <c r="G637" s="803">
        <v>30137</v>
      </c>
      <c r="H637" s="803"/>
      <c r="I637" s="804">
        <v>566.22500000000002</v>
      </c>
      <c r="J637" s="804">
        <v>26410</v>
      </c>
      <c r="K637" s="804">
        <v>2064</v>
      </c>
      <c r="L637" s="803">
        <v>3091</v>
      </c>
      <c r="M637" s="803"/>
      <c r="N637" s="804">
        <v>1056</v>
      </c>
      <c r="O637" s="804">
        <v>9748</v>
      </c>
      <c r="P637" s="804">
        <v>0</v>
      </c>
      <c r="Q637" s="803">
        <v>2036</v>
      </c>
      <c r="R637" s="803"/>
      <c r="S637" s="804">
        <v>8055</v>
      </c>
      <c r="T637" s="805">
        <v>428</v>
      </c>
      <c r="U637" s="805">
        <v>8483</v>
      </c>
    </row>
    <row r="638" spans="1:21" x14ac:dyDescent="0.25">
      <c r="A638" s="800">
        <v>97008</v>
      </c>
      <c r="B638" s="801" t="s">
        <v>3275</v>
      </c>
      <c r="C638" s="802">
        <v>2.7530000000000002E-4</v>
      </c>
      <c r="D638" s="802">
        <v>2.6959999999999999E-4</v>
      </c>
      <c r="E638" s="803">
        <v>107270.37</v>
      </c>
      <c r="F638" s="803">
        <v>120995</v>
      </c>
      <c r="G638" s="803">
        <v>584279</v>
      </c>
      <c r="H638" s="803"/>
      <c r="I638" s="804">
        <v>10978</v>
      </c>
      <c r="J638" s="804">
        <v>512015</v>
      </c>
      <c r="K638" s="804">
        <v>40018</v>
      </c>
      <c r="L638" s="803">
        <v>14688</v>
      </c>
      <c r="M638" s="803"/>
      <c r="N638" s="804">
        <v>20474</v>
      </c>
      <c r="O638" s="804">
        <v>188982</v>
      </c>
      <c r="P638" s="804">
        <v>0</v>
      </c>
      <c r="Q638" s="803">
        <v>4604</v>
      </c>
      <c r="R638" s="803"/>
      <c r="S638" s="804">
        <v>156169</v>
      </c>
      <c r="T638" s="805">
        <v>5904</v>
      </c>
      <c r="U638" s="805">
        <v>162074</v>
      </c>
    </row>
    <row r="639" spans="1:21" x14ac:dyDescent="0.25">
      <c r="A639" s="800">
        <v>97010</v>
      </c>
      <c r="B639" s="801" t="s">
        <v>3276</v>
      </c>
      <c r="C639" s="802">
        <v>0</v>
      </c>
      <c r="D639" s="802">
        <v>0</v>
      </c>
      <c r="E639" s="803">
        <v>0</v>
      </c>
      <c r="F639" s="803">
        <v>0</v>
      </c>
      <c r="G639" s="803">
        <v>0</v>
      </c>
      <c r="H639" s="803"/>
      <c r="I639" s="804">
        <v>0</v>
      </c>
      <c r="J639" s="804">
        <v>0</v>
      </c>
      <c r="K639" s="804">
        <v>0</v>
      </c>
      <c r="L639" s="803">
        <v>0</v>
      </c>
      <c r="M639" s="803"/>
      <c r="N639" s="804">
        <v>0</v>
      </c>
      <c r="O639" s="804">
        <v>0</v>
      </c>
      <c r="P639" s="804">
        <v>0</v>
      </c>
      <c r="Q639" s="803">
        <v>3339356</v>
      </c>
      <c r="R639" s="803"/>
      <c r="S639" s="804">
        <v>0</v>
      </c>
      <c r="T639" s="805">
        <v>-1282454</v>
      </c>
      <c r="U639" s="805">
        <v>-1282454</v>
      </c>
    </row>
    <row r="640" spans="1:21" x14ac:dyDescent="0.25">
      <c r="A640" s="800">
        <v>97011</v>
      </c>
      <c r="B640" s="801" t="s">
        <v>3277</v>
      </c>
      <c r="C640" s="802">
        <v>1.9522999999999999E-3</v>
      </c>
      <c r="D640" s="802">
        <v>2.0471E-3</v>
      </c>
      <c r="E640" s="803">
        <v>745774</v>
      </c>
      <c r="F640" s="803">
        <v>918726</v>
      </c>
      <c r="G640" s="803">
        <v>4143435</v>
      </c>
      <c r="H640" s="803"/>
      <c r="I640" s="804">
        <v>77848</v>
      </c>
      <c r="J640" s="804">
        <v>3630970</v>
      </c>
      <c r="K640" s="804">
        <v>283788</v>
      </c>
      <c r="L640" s="803">
        <v>0</v>
      </c>
      <c r="M640" s="803"/>
      <c r="N640" s="804">
        <v>145191</v>
      </c>
      <c r="O640" s="804">
        <v>1340172</v>
      </c>
      <c r="P640" s="804">
        <v>0</v>
      </c>
      <c r="Q640" s="803">
        <v>128959</v>
      </c>
      <c r="R640" s="803"/>
      <c r="S640" s="804">
        <v>1107479</v>
      </c>
      <c r="T640" s="805">
        <v>-38250</v>
      </c>
      <c r="U640" s="805">
        <v>1069229</v>
      </c>
    </row>
    <row r="641" spans="1:21" x14ac:dyDescent="0.25">
      <c r="A641" s="800">
        <v>97012</v>
      </c>
      <c r="B641" s="801" t="s">
        <v>3278</v>
      </c>
      <c r="C641" s="802">
        <v>2.4499999999999999E-5</v>
      </c>
      <c r="D641" s="802">
        <v>2.4199999999999999E-5</v>
      </c>
      <c r="E641" s="803">
        <v>14173.02</v>
      </c>
      <c r="F641" s="803">
        <v>10861</v>
      </c>
      <c r="G641" s="803">
        <v>51997</v>
      </c>
      <c r="H641" s="803"/>
      <c r="I641" s="804">
        <v>976.9375</v>
      </c>
      <c r="J641" s="804">
        <v>45566</v>
      </c>
      <c r="K641" s="804">
        <v>3561</v>
      </c>
      <c r="L641" s="803">
        <v>3417</v>
      </c>
      <c r="M641" s="803"/>
      <c r="N641" s="804">
        <v>1822</v>
      </c>
      <c r="O641" s="804">
        <v>16818</v>
      </c>
      <c r="P641" s="804">
        <v>0</v>
      </c>
      <c r="Q641" s="803">
        <v>1887</v>
      </c>
      <c r="R641" s="803"/>
      <c r="S641" s="804">
        <v>13898</v>
      </c>
      <c r="T641" s="805">
        <v>148</v>
      </c>
      <c r="U641" s="805">
        <v>14046</v>
      </c>
    </row>
    <row r="642" spans="1:21" x14ac:dyDescent="0.25">
      <c r="A642" s="800">
        <v>97013</v>
      </c>
      <c r="B642" s="801" t="s">
        <v>3279</v>
      </c>
      <c r="C642" s="802">
        <v>2.0699999999999998E-5</v>
      </c>
      <c r="D642" s="802">
        <v>1.1399999999999999E-5</v>
      </c>
      <c r="E642" s="803">
        <v>8196.81</v>
      </c>
      <c r="F642" s="803">
        <v>5116</v>
      </c>
      <c r="G642" s="803">
        <v>43932</v>
      </c>
      <c r="H642" s="803"/>
      <c r="I642" s="804">
        <v>825</v>
      </c>
      <c r="J642" s="804">
        <v>38499</v>
      </c>
      <c r="K642" s="804">
        <v>3009</v>
      </c>
      <c r="L642" s="803">
        <v>7733</v>
      </c>
      <c r="M642" s="803"/>
      <c r="N642" s="804">
        <v>1539</v>
      </c>
      <c r="O642" s="804">
        <v>14210</v>
      </c>
      <c r="P642" s="804">
        <v>0</v>
      </c>
      <c r="Q642" s="803">
        <v>866</v>
      </c>
      <c r="R642" s="803"/>
      <c r="S642" s="804">
        <v>11742</v>
      </c>
      <c r="T642" s="805">
        <v>1850</v>
      </c>
      <c r="U642" s="805">
        <v>13592</v>
      </c>
    </row>
    <row r="643" spans="1:21" x14ac:dyDescent="0.25">
      <c r="A643" s="800">
        <v>97015</v>
      </c>
      <c r="B643" s="801" t="s">
        <v>3280</v>
      </c>
      <c r="C643" s="802">
        <v>5.3699999999999997E-5</v>
      </c>
      <c r="D643" s="802">
        <v>4.7700000000000001E-5</v>
      </c>
      <c r="E643" s="803">
        <v>21900.080000000002</v>
      </c>
      <c r="F643" s="803">
        <v>21407</v>
      </c>
      <c r="G643" s="803">
        <v>113969</v>
      </c>
      <c r="H643" s="803"/>
      <c r="I643" s="804">
        <v>2141</v>
      </c>
      <c r="J643" s="804">
        <v>99874</v>
      </c>
      <c r="K643" s="804">
        <v>7806</v>
      </c>
      <c r="L643" s="803">
        <v>6681</v>
      </c>
      <c r="M643" s="803"/>
      <c r="N643" s="804">
        <v>3994</v>
      </c>
      <c r="O643" s="804">
        <v>36863</v>
      </c>
      <c r="P643" s="804">
        <v>0</v>
      </c>
      <c r="Q643" s="803">
        <v>1588</v>
      </c>
      <c r="R643" s="803"/>
      <c r="S643" s="804">
        <v>30462</v>
      </c>
      <c r="T643" s="805">
        <v>1274</v>
      </c>
      <c r="U643" s="805">
        <v>31737</v>
      </c>
    </row>
    <row r="644" spans="1:21" x14ac:dyDescent="0.25">
      <c r="A644" s="800">
        <v>97018</v>
      </c>
      <c r="B644" s="801" t="s">
        <v>3281</v>
      </c>
      <c r="C644" s="802">
        <v>9.3999999999999998E-6</v>
      </c>
      <c r="D644" s="802">
        <v>9.5000000000000005E-6</v>
      </c>
      <c r="E644" s="803">
        <v>7336</v>
      </c>
      <c r="F644" s="803">
        <v>4264</v>
      </c>
      <c r="G644" s="803">
        <v>19950</v>
      </c>
      <c r="H644" s="803"/>
      <c r="I644" s="804">
        <v>374.82499999999999</v>
      </c>
      <c r="J644" s="804">
        <v>17483</v>
      </c>
      <c r="K644" s="804">
        <v>1366</v>
      </c>
      <c r="L644" s="803">
        <v>6124</v>
      </c>
      <c r="M644" s="803"/>
      <c r="N644" s="804">
        <v>699</v>
      </c>
      <c r="O644" s="804">
        <v>6453</v>
      </c>
      <c r="P644" s="804">
        <v>0</v>
      </c>
      <c r="Q644" s="803">
        <v>0</v>
      </c>
      <c r="R644" s="803"/>
      <c r="S644" s="804">
        <v>5332</v>
      </c>
      <c r="T644" s="805">
        <v>2103</v>
      </c>
      <c r="U644" s="805">
        <v>7435</v>
      </c>
    </row>
    <row r="645" spans="1:21" x14ac:dyDescent="0.25">
      <c r="A645" s="800">
        <v>97101</v>
      </c>
      <c r="B645" s="801" t="s">
        <v>3282</v>
      </c>
      <c r="C645" s="802">
        <v>2.6029E-3</v>
      </c>
      <c r="D645" s="802">
        <v>2.5864999999999998E-3</v>
      </c>
      <c r="E645" s="803">
        <v>1065744</v>
      </c>
      <c r="F645" s="803">
        <v>1160806</v>
      </c>
      <c r="G645" s="803">
        <v>5524226</v>
      </c>
      <c r="H645" s="803"/>
      <c r="I645" s="804">
        <v>103791</v>
      </c>
      <c r="J645" s="804">
        <v>4840983</v>
      </c>
      <c r="K645" s="804">
        <v>378360</v>
      </c>
      <c r="L645" s="803">
        <v>28605</v>
      </c>
      <c r="M645" s="803"/>
      <c r="N645" s="804">
        <v>193575</v>
      </c>
      <c r="O645" s="804">
        <v>1786782</v>
      </c>
      <c r="P645" s="804">
        <v>0</v>
      </c>
      <c r="Q645" s="803">
        <v>13944</v>
      </c>
      <c r="R645" s="803"/>
      <c r="S645" s="804">
        <v>1476544</v>
      </c>
      <c r="T645" s="805">
        <v>2643</v>
      </c>
      <c r="U645" s="805">
        <v>1479187</v>
      </c>
    </row>
    <row r="646" spans="1:21" x14ac:dyDescent="0.25">
      <c r="A646" s="800">
        <v>97104</v>
      </c>
      <c r="B646" s="801" t="s">
        <v>3283</v>
      </c>
      <c r="C646" s="802">
        <v>5.6799999999999998E-5</v>
      </c>
      <c r="D646" s="802">
        <v>5.2099999999999999E-5</v>
      </c>
      <c r="E646" s="803">
        <v>26203</v>
      </c>
      <c r="F646" s="803">
        <v>23382</v>
      </c>
      <c r="G646" s="803">
        <v>120549</v>
      </c>
      <c r="H646" s="803"/>
      <c r="I646" s="804">
        <v>2264.9</v>
      </c>
      <c r="J646" s="804">
        <v>105639</v>
      </c>
      <c r="K646" s="804">
        <v>8257</v>
      </c>
      <c r="L646" s="803">
        <v>15710</v>
      </c>
      <c r="M646" s="803"/>
      <c r="N646" s="804">
        <v>4224</v>
      </c>
      <c r="O646" s="804">
        <v>38991</v>
      </c>
      <c r="P646" s="804">
        <v>0</v>
      </c>
      <c r="Q646" s="803">
        <v>0</v>
      </c>
      <c r="R646" s="803"/>
      <c r="S646" s="804">
        <v>32221</v>
      </c>
      <c r="T646" s="805">
        <v>5708</v>
      </c>
      <c r="U646" s="805">
        <v>37929</v>
      </c>
    </row>
    <row r="647" spans="1:21" x14ac:dyDescent="0.25">
      <c r="A647" s="800">
        <v>97111</v>
      </c>
      <c r="B647" s="801" t="s">
        <v>3284</v>
      </c>
      <c r="C647" s="802">
        <v>2.7099999999999997E-4</v>
      </c>
      <c r="D647" s="802">
        <v>2.5099999999999998E-4</v>
      </c>
      <c r="E647" s="803">
        <v>99518.98</v>
      </c>
      <c r="F647" s="803">
        <v>112647</v>
      </c>
      <c r="G647" s="803">
        <v>575153</v>
      </c>
      <c r="H647" s="803"/>
      <c r="I647" s="804">
        <v>10806</v>
      </c>
      <c r="J647" s="804">
        <v>504017</v>
      </c>
      <c r="K647" s="804">
        <v>39393</v>
      </c>
      <c r="L647" s="803">
        <v>14654</v>
      </c>
      <c r="M647" s="803"/>
      <c r="N647" s="804">
        <v>20154</v>
      </c>
      <c r="O647" s="804">
        <v>186030</v>
      </c>
      <c r="P647" s="804">
        <v>0</v>
      </c>
      <c r="Q647" s="803">
        <v>17411</v>
      </c>
      <c r="R647" s="803"/>
      <c r="S647" s="804">
        <v>153730</v>
      </c>
      <c r="T647" s="805">
        <v>858</v>
      </c>
      <c r="U647" s="805">
        <v>154588</v>
      </c>
    </row>
    <row r="648" spans="1:21" x14ac:dyDescent="0.25">
      <c r="A648" s="800">
        <v>97121</v>
      </c>
      <c r="B648" s="801" t="s">
        <v>3285</v>
      </c>
      <c r="C648" s="802">
        <v>1.2070000000000001E-4</v>
      </c>
      <c r="D648" s="802">
        <v>1.495E-4</v>
      </c>
      <c r="E648" s="803">
        <v>55081</v>
      </c>
      <c r="F648" s="803">
        <v>67095</v>
      </c>
      <c r="G648" s="803">
        <v>256166</v>
      </c>
      <c r="H648" s="803"/>
      <c r="I648" s="804">
        <v>4813</v>
      </c>
      <c r="J648" s="804">
        <v>224483</v>
      </c>
      <c r="K648" s="804">
        <v>17545</v>
      </c>
      <c r="L648" s="803">
        <v>0</v>
      </c>
      <c r="M648" s="803"/>
      <c r="N648" s="804">
        <v>8976</v>
      </c>
      <c r="O648" s="804">
        <v>82855</v>
      </c>
      <c r="P648" s="804">
        <v>0</v>
      </c>
      <c r="Q648" s="803">
        <v>14541</v>
      </c>
      <c r="R648" s="803"/>
      <c r="S648" s="804">
        <v>68469</v>
      </c>
      <c r="T648" s="805">
        <v>-4515</v>
      </c>
      <c r="U648" s="805">
        <v>63954</v>
      </c>
    </row>
    <row r="649" spans="1:21" x14ac:dyDescent="0.25">
      <c r="A649" s="800">
        <v>97131</v>
      </c>
      <c r="B649" s="801" t="s">
        <v>3286</v>
      </c>
      <c r="C649" s="802">
        <v>6.2969999999999996E-4</v>
      </c>
      <c r="D649" s="802">
        <v>5.9650000000000002E-4</v>
      </c>
      <c r="E649" s="803">
        <v>232414</v>
      </c>
      <c r="F649" s="803">
        <v>267706</v>
      </c>
      <c r="G649" s="803">
        <v>1336434</v>
      </c>
      <c r="H649" s="803"/>
      <c r="I649" s="804">
        <v>25109</v>
      </c>
      <c r="J649" s="804">
        <v>1171143</v>
      </c>
      <c r="K649" s="804">
        <v>91534</v>
      </c>
      <c r="L649" s="803">
        <v>6841</v>
      </c>
      <c r="M649" s="803"/>
      <c r="N649" s="804">
        <v>46830</v>
      </c>
      <c r="O649" s="804">
        <v>432263</v>
      </c>
      <c r="P649" s="804">
        <v>0</v>
      </c>
      <c r="Q649" s="803">
        <v>3274</v>
      </c>
      <c r="R649" s="803"/>
      <c r="S649" s="804">
        <v>357209</v>
      </c>
      <c r="T649" s="805">
        <v>1535</v>
      </c>
      <c r="U649" s="805">
        <v>358745</v>
      </c>
    </row>
    <row r="650" spans="1:21" x14ac:dyDescent="0.25">
      <c r="A650" s="800">
        <v>97201</v>
      </c>
      <c r="B650" s="801" t="s">
        <v>3287</v>
      </c>
      <c r="C650" s="802">
        <v>4.9439999999999998E-4</v>
      </c>
      <c r="D650" s="802">
        <v>4.7249999999999999E-4</v>
      </c>
      <c r="E650" s="803">
        <v>214121.60000000001</v>
      </c>
      <c r="F650" s="803">
        <v>212055</v>
      </c>
      <c r="G650" s="803">
        <v>1049282</v>
      </c>
      <c r="H650" s="803"/>
      <c r="I650" s="804">
        <v>19714.2</v>
      </c>
      <c r="J650" s="804">
        <v>919506</v>
      </c>
      <c r="K650" s="804">
        <v>71866</v>
      </c>
      <c r="L650" s="803">
        <v>22797</v>
      </c>
      <c r="M650" s="803"/>
      <c r="N650" s="804">
        <v>36768</v>
      </c>
      <c r="O650" s="804">
        <v>339385</v>
      </c>
      <c r="P650" s="804">
        <v>0</v>
      </c>
      <c r="Q650" s="803">
        <v>3773</v>
      </c>
      <c r="R650" s="803"/>
      <c r="S650" s="804">
        <v>280458</v>
      </c>
      <c r="T650" s="805">
        <v>4235</v>
      </c>
      <c r="U650" s="805">
        <v>284693</v>
      </c>
    </row>
    <row r="651" spans="1:21" x14ac:dyDescent="0.25">
      <c r="A651" s="800">
        <v>97211</v>
      </c>
      <c r="B651" s="801" t="s">
        <v>3288</v>
      </c>
      <c r="C651" s="802">
        <v>1.4119999999999999E-4</v>
      </c>
      <c r="D651" s="802">
        <v>1.7689999999999999E-4</v>
      </c>
      <c r="E651" s="803">
        <v>62098</v>
      </c>
      <c r="F651" s="803">
        <v>79392</v>
      </c>
      <c r="G651" s="803">
        <v>299674</v>
      </c>
      <c r="H651" s="803"/>
      <c r="I651" s="804">
        <v>5630</v>
      </c>
      <c r="J651" s="804">
        <v>262610</v>
      </c>
      <c r="K651" s="804">
        <v>20525</v>
      </c>
      <c r="L651" s="803">
        <v>3573</v>
      </c>
      <c r="M651" s="803"/>
      <c r="N651" s="804">
        <v>10501</v>
      </c>
      <c r="O651" s="804">
        <v>96928</v>
      </c>
      <c r="P651" s="804">
        <v>0</v>
      </c>
      <c r="Q651" s="803">
        <v>16466</v>
      </c>
      <c r="R651" s="803"/>
      <c r="S651" s="804">
        <v>80098</v>
      </c>
      <c r="T651" s="805">
        <v>-3079</v>
      </c>
      <c r="U651" s="805">
        <v>77020</v>
      </c>
    </row>
    <row r="652" spans="1:21" x14ac:dyDescent="0.25">
      <c r="A652" s="800">
        <v>97213</v>
      </c>
      <c r="B652" s="801" t="s">
        <v>3289</v>
      </c>
      <c r="C652" s="802">
        <v>3.8300000000000003E-5</v>
      </c>
      <c r="D652" s="802">
        <v>4.0800000000000002E-5</v>
      </c>
      <c r="E652" s="803">
        <v>16615</v>
      </c>
      <c r="F652" s="803">
        <v>18311</v>
      </c>
      <c r="G652" s="803">
        <v>81285</v>
      </c>
      <c r="H652" s="803"/>
      <c r="I652" s="804">
        <v>1527</v>
      </c>
      <c r="J652" s="804">
        <v>71232</v>
      </c>
      <c r="K652" s="804">
        <v>5567</v>
      </c>
      <c r="L652" s="803">
        <v>1545</v>
      </c>
      <c r="M652" s="803"/>
      <c r="N652" s="804">
        <v>2848</v>
      </c>
      <c r="O652" s="804">
        <v>26291</v>
      </c>
      <c r="P652" s="804">
        <v>0</v>
      </c>
      <c r="Q652" s="803">
        <v>668</v>
      </c>
      <c r="R652" s="803"/>
      <c r="S652" s="804">
        <v>21726</v>
      </c>
      <c r="T652" s="805">
        <v>577</v>
      </c>
      <c r="U652" s="805">
        <v>22303</v>
      </c>
    </row>
    <row r="653" spans="1:21" x14ac:dyDescent="0.25">
      <c r="A653" s="800">
        <v>97217</v>
      </c>
      <c r="B653" s="801" t="s">
        <v>3290</v>
      </c>
      <c r="C653" s="802">
        <v>4.8999999999999997E-6</v>
      </c>
      <c r="D653" s="802">
        <v>5.0000000000000004E-6</v>
      </c>
      <c r="E653" s="803">
        <v>6185</v>
      </c>
      <c r="F653" s="803">
        <v>2244</v>
      </c>
      <c r="G653" s="803">
        <v>10399</v>
      </c>
      <c r="H653" s="803"/>
      <c r="I653" s="804">
        <v>195.38749999999999</v>
      </c>
      <c r="J653" s="804">
        <v>9113</v>
      </c>
      <c r="K653" s="804">
        <v>712</v>
      </c>
      <c r="L653" s="803">
        <v>6975</v>
      </c>
      <c r="M653" s="803"/>
      <c r="N653" s="804">
        <v>364</v>
      </c>
      <c r="O653" s="804">
        <v>3364</v>
      </c>
      <c r="P653" s="804">
        <v>0</v>
      </c>
      <c r="Q653" s="803">
        <v>0</v>
      </c>
      <c r="R653" s="803"/>
      <c r="S653" s="804">
        <v>2780</v>
      </c>
      <c r="T653" s="805">
        <v>2381</v>
      </c>
      <c r="U653" s="805">
        <v>5160</v>
      </c>
    </row>
    <row r="654" spans="1:21" x14ac:dyDescent="0.25">
      <c r="A654" s="800">
        <v>97221</v>
      </c>
      <c r="B654" s="801" t="s">
        <v>3291</v>
      </c>
      <c r="C654" s="802">
        <v>6.1999999999999999E-6</v>
      </c>
      <c r="D654" s="802">
        <v>6.2999999999999998E-6</v>
      </c>
      <c r="E654" s="803">
        <v>6603.27</v>
      </c>
      <c r="F654" s="803">
        <v>2827</v>
      </c>
      <c r="G654" s="803">
        <v>13158</v>
      </c>
      <c r="H654" s="803"/>
      <c r="I654" s="804">
        <v>247.22499999999999</v>
      </c>
      <c r="J654" s="804">
        <v>11531</v>
      </c>
      <c r="K654" s="804">
        <v>901</v>
      </c>
      <c r="L654" s="803">
        <v>5895</v>
      </c>
      <c r="M654" s="803"/>
      <c r="N654" s="804">
        <v>461</v>
      </c>
      <c r="O654" s="804">
        <v>4256</v>
      </c>
      <c r="P654" s="804">
        <v>0</v>
      </c>
      <c r="Q654" s="803">
        <v>0</v>
      </c>
      <c r="R654" s="803"/>
      <c r="S654" s="804">
        <v>3517</v>
      </c>
      <c r="T654" s="805">
        <v>2057</v>
      </c>
      <c r="U654" s="805">
        <v>5574</v>
      </c>
    </row>
    <row r="655" spans="1:21" x14ac:dyDescent="0.25">
      <c r="A655" s="800">
        <v>97301</v>
      </c>
      <c r="B655" s="801" t="s">
        <v>3292</v>
      </c>
      <c r="C655" s="802">
        <v>2.5742E-3</v>
      </c>
      <c r="D655" s="802">
        <v>2.6905000000000002E-3</v>
      </c>
      <c r="E655" s="803">
        <v>1080031</v>
      </c>
      <c r="F655" s="803">
        <v>1207480</v>
      </c>
      <c r="G655" s="803">
        <v>5463315</v>
      </c>
      <c r="H655" s="803"/>
      <c r="I655" s="804">
        <v>102646</v>
      </c>
      <c r="J655" s="804">
        <v>4787605</v>
      </c>
      <c r="K655" s="804">
        <v>374188</v>
      </c>
      <c r="L655" s="803">
        <v>36738</v>
      </c>
      <c r="M655" s="803"/>
      <c r="N655" s="804">
        <v>191441</v>
      </c>
      <c r="O655" s="804">
        <v>1767080</v>
      </c>
      <c r="P655" s="804">
        <v>0</v>
      </c>
      <c r="Q655" s="803">
        <v>62348</v>
      </c>
      <c r="R655" s="803"/>
      <c r="S655" s="804">
        <v>1460264</v>
      </c>
      <c r="T655" s="805">
        <v>-7105</v>
      </c>
      <c r="U655" s="805">
        <v>1453159</v>
      </c>
    </row>
    <row r="656" spans="1:21" x14ac:dyDescent="0.25">
      <c r="A656" s="800">
        <v>97304</v>
      </c>
      <c r="B656" s="801" t="s">
        <v>3293</v>
      </c>
      <c r="C656" s="802">
        <v>1.7600000000000001E-5</v>
      </c>
      <c r="D656" s="802">
        <v>1.8499999999999999E-5</v>
      </c>
      <c r="E656" s="803">
        <v>11928</v>
      </c>
      <c r="F656" s="803">
        <v>8303</v>
      </c>
      <c r="G656" s="803">
        <v>37353</v>
      </c>
      <c r="H656" s="803"/>
      <c r="I656" s="804">
        <v>702</v>
      </c>
      <c r="J656" s="804">
        <v>32733</v>
      </c>
      <c r="K656" s="804">
        <v>2558</v>
      </c>
      <c r="L656" s="803">
        <v>7244</v>
      </c>
      <c r="M656" s="803"/>
      <c r="N656" s="804">
        <v>1309</v>
      </c>
      <c r="O656" s="804">
        <v>12082</v>
      </c>
      <c r="P656" s="804">
        <v>0</v>
      </c>
      <c r="Q656" s="803">
        <v>0</v>
      </c>
      <c r="R656" s="803"/>
      <c r="S656" s="804">
        <v>9984</v>
      </c>
      <c r="T656" s="805">
        <v>2504</v>
      </c>
      <c r="U656" s="805">
        <v>12488</v>
      </c>
    </row>
    <row r="657" spans="1:21" x14ac:dyDescent="0.25">
      <c r="A657" s="800">
        <v>97311</v>
      </c>
      <c r="B657" s="801" t="s">
        <v>3294</v>
      </c>
      <c r="C657" s="802">
        <v>9.5E-4</v>
      </c>
      <c r="D657" s="802">
        <v>1.0311000000000001E-3</v>
      </c>
      <c r="E657" s="803">
        <v>367318</v>
      </c>
      <c r="F657" s="803">
        <v>462751</v>
      </c>
      <c r="G657" s="803">
        <v>2016218.25</v>
      </c>
      <c r="H657" s="803"/>
      <c r="I657" s="804">
        <v>37881.25</v>
      </c>
      <c r="J657" s="804">
        <v>1766849.9</v>
      </c>
      <c r="K657" s="804">
        <v>138093</v>
      </c>
      <c r="L657" s="803">
        <v>0</v>
      </c>
      <c r="M657" s="803"/>
      <c r="N657" s="804">
        <v>70650.55</v>
      </c>
      <c r="O657" s="804">
        <v>652135.1</v>
      </c>
      <c r="P657" s="804">
        <v>0</v>
      </c>
      <c r="Q657" s="803">
        <v>97758</v>
      </c>
      <c r="R657" s="803"/>
      <c r="S657" s="804">
        <v>538906</v>
      </c>
      <c r="T657" s="805">
        <v>-33821</v>
      </c>
      <c r="U657" s="805">
        <v>505085</v>
      </c>
    </row>
    <row r="658" spans="1:21" x14ac:dyDescent="0.25">
      <c r="A658" s="800">
        <v>97401</v>
      </c>
      <c r="B658" s="801" t="s">
        <v>3295</v>
      </c>
      <c r="C658" s="802">
        <v>6.9633000000000004E-3</v>
      </c>
      <c r="D658" s="802">
        <v>6.9844E-3</v>
      </c>
      <c r="E658" s="803">
        <v>2848907</v>
      </c>
      <c r="F658" s="803">
        <v>3134557</v>
      </c>
      <c r="G658" s="803">
        <v>14778455</v>
      </c>
      <c r="H658" s="803"/>
      <c r="I658" s="804">
        <v>277662</v>
      </c>
      <c r="J658" s="804">
        <v>12950638</v>
      </c>
      <c r="K658" s="804">
        <v>1012192</v>
      </c>
      <c r="L658" s="803">
        <v>0</v>
      </c>
      <c r="M658" s="803"/>
      <c r="N658" s="804">
        <v>517854</v>
      </c>
      <c r="O658" s="804">
        <v>4780013</v>
      </c>
      <c r="P658" s="804">
        <v>0</v>
      </c>
      <c r="Q658" s="803">
        <v>142656</v>
      </c>
      <c r="R658" s="803"/>
      <c r="S658" s="804">
        <v>3950064</v>
      </c>
      <c r="T658" s="805">
        <v>-59462</v>
      </c>
      <c r="U658" s="805">
        <v>3890602</v>
      </c>
    </row>
    <row r="659" spans="1:21" x14ac:dyDescent="0.25">
      <c r="A659" s="800">
        <v>97402</v>
      </c>
      <c r="B659" s="801" t="s">
        <v>3296</v>
      </c>
      <c r="C659" s="802">
        <v>4.4700000000000002E-5</v>
      </c>
      <c r="D659" s="802">
        <v>2.3799999999999999E-5</v>
      </c>
      <c r="E659" s="803">
        <v>21076.7</v>
      </c>
      <c r="F659" s="803">
        <v>10681</v>
      </c>
      <c r="G659" s="803">
        <v>94868</v>
      </c>
      <c r="H659" s="803"/>
      <c r="I659" s="804">
        <v>1782</v>
      </c>
      <c r="J659" s="804">
        <v>83135</v>
      </c>
      <c r="K659" s="804">
        <v>6498</v>
      </c>
      <c r="L659" s="803">
        <v>15050</v>
      </c>
      <c r="M659" s="803"/>
      <c r="N659" s="804">
        <v>3324</v>
      </c>
      <c r="O659" s="804">
        <v>30685</v>
      </c>
      <c r="P659" s="804">
        <v>0</v>
      </c>
      <c r="Q659" s="803">
        <v>0</v>
      </c>
      <c r="R659" s="803"/>
      <c r="S659" s="804">
        <v>25357</v>
      </c>
      <c r="T659" s="805">
        <v>4096</v>
      </c>
      <c r="U659" s="805">
        <v>29453</v>
      </c>
    </row>
    <row r="660" spans="1:21" x14ac:dyDescent="0.25">
      <c r="A660" s="800">
        <v>97404</v>
      </c>
      <c r="B660" s="801" t="s">
        <v>3297</v>
      </c>
      <c r="C660" s="802">
        <v>2.1049999999999999E-4</v>
      </c>
      <c r="D660" s="802">
        <v>2.1249999999999999E-4</v>
      </c>
      <c r="E660" s="803">
        <v>73915</v>
      </c>
      <c r="F660" s="803">
        <v>95369</v>
      </c>
      <c r="G660" s="803">
        <v>446752</v>
      </c>
      <c r="H660" s="803"/>
      <c r="I660" s="804">
        <v>8393.6875</v>
      </c>
      <c r="J660" s="804">
        <v>391497</v>
      </c>
      <c r="K660" s="804">
        <v>30598</v>
      </c>
      <c r="L660" s="803">
        <v>1976</v>
      </c>
      <c r="M660" s="803"/>
      <c r="N660" s="804">
        <v>15655</v>
      </c>
      <c r="O660" s="804">
        <v>144499</v>
      </c>
      <c r="P660" s="804">
        <v>0</v>
      </c>
      <c r="Q660" s="803">
        <v>16111</v>
      </c>
      <c r="R660" s="803"/>
      <c r="S660" s="804">
        <v>119410</v>
      </c>
      <c r="T660" s="805">
        <v>-3656</v>
      </c>
      <c r="U660" s="805">
        <v>115754</v>
      </c>
    </row>
    <row r="661" spans="1:21" x14ac:dyDescent="0.25">
      <c r="A661" s="800">
        <v>97405</v>
      </c>
      <c r="B661" s="801" t="s">
        <v>3298</v>
      </c>
      <c r="C661" s="802">
        <v>1.087E-4</v>
      </c>
      <c r="D661" s="802">
        <v>1.081E-4</v>
      </c>
      <c r="E661" s="803">
        <v>55456</v>
      </c>
      <c r="F661" s="803">
        <v>48515</v>
      </c>
      <c r="G661" s="803">
        <v>230698</v>
      </c>
      <c r="H661" s="803"/>
      <c r="I661" s="804">
        <v>4334</v>
      </c>
      <c r="J661" s="804">
        <v>202165</v>
      </c>
      <c r="K661" s="804">
        <v>15801</v>
      </c>
      <c r="L661" s="803">
        <v>20704</v>
      </c>
      <c r="M661" s="803"/>
      <c r="N661" s="804">
        <v>8084</v>
      </c>
      <c r="O661" s="804">
        <v>74618</v>
      </c>
      <c r="P661" s="804">
        <v>0</v>
      </c>
      <c r="Q661" s="803">
        <v>9828.61</v>
      </c>
      <c r="R661" s="803"/>
      <c r="S661" s="804">
        <v>61662</v>
      </c>
      <c r="T661" s="805">
        <v>1556</v>
      </c>
      <c r="U661" s="805">
        <v>63218</v>
      </c>
    </row>
    <row r="662" spans="1:21" x14ac:dyDescent="0.25">
      <c r="A662" s="800">
        <v>97408</v>
      </c>
      <c r="B662" s="801" t="s">
        <v>3299</v>
      </c>
      <c r="C662" s="802">
        <v>4.9299999999999999E-5</v>
      </c>
      <c r="D662" s="802">
        <v>5.1199999999999998E-5</v>
      </c>
      <c r="E662" s="803">
        <v>28028</v>
      </c>
      <c r="F662" s="803">
        <v>22978</v>
      </c>
      <c r="G662" s="803">
        <v>104631</v>
      </c>
      <c r="H662" s="803"/>
      <c r="I662" s="804">
        <v>1966</v>
      </c>
      <c r="J662" s="804">
        <v>91690</v>
      </c>
      <c r="K662" s="804">
        <v>7166</v>
      </c>
      <c r="L662" s="803">
        <v>7585</v>
      </c>
      <c r="M662" s="803"/>
      <c r="N662" s="804">
        <v>3666</v>
      </c>
      <c r="O662" s="804">
        <v>33842</v>
      </c>
      <c r="P662" s="804">
        <v>0</v>
      </c>
      <c r="Q662" s="803">
        <v>0</v>
      </c>
      <c r="R662" s="803"/>
      <c r="S662" s="804">
        <v>27966</v>
      </c>
      <c r="T662" s="805">
        <v>2375</v>
      </c>
      <c r="U662" s="805">
        <v>30341</v>
      </c>
    </row>
    <row r="663" spans="1:21" x14ac:dyDescent="0.25">
      <c r="A663" s="800">
        <v>97411</v>
      </c>
      <c r="B663" s="801" t="s">
        <v>3300</v>
      </c>
      <c r="C663" s="802">
        <v>6.7269000000000001E-3</v>
      </c>
      <c r="D663" s="802">
        <v>7.0987000000000003E-3</v>
      </c>
      <c r="E663" s="803">
        <v>2531536.58</v>
      </c>
      <c r="F663" s="803">
        <v>3185854</v>
      </c>
      <c r="G663" s="803">
        <v>14276735</v>
      </c>
      <c r="H663" s="803"/>
      <c r="I663" s="804">
        <v>268235</v>
      </c>
      <c r="J663" s="804">
        <v>12510971</v>
      </c>
      <c r="K663" s="804">
        <v>977829</v>
      </c>
      <c r="L663" s="803">
        <v>0</v>
      </c>
      <c r="M663" s="803"/>
      <c r="N663" s="804">
        <v>500273</v>
      </c>
      <c r="O663" s="804">
        <v>4617734</v>
      </c>
      <c r="P663" s="804">
        <v>0</v>
      </c>
      <c r="Q663" s="803">
        <v>854591</v>
      </c>
      <c r="R663" s="803"/>
      <c r="S663" s="804">
        <v>3815962</v>
      </c>
      <c r="T663" s="805">
        <v>-289319</v>
      </c>
      <c r="U663" s="805">
        <v>3526643</v>
      </c>
    </row>
    <row r="664" spans="1:21" x14ac:dyDescent="0.25">
      <c r="A664" s="800">
        <v>97412</v>
      </c>
      <c r="B664" s="801" t="s">
        <v>3301</v>
      </c>
      <c r="C664" s="802">
        <v>4.424E-3</v>
      </c>
      <c r="D664" s="802">
        <v>4.1891999999999997E-3</v>
      </c>
      <c r="E664" s="803">
        <v>1763682</v>
      </c>
      <c r="F664" s="803">
        <v>1880088</v>
      </c>
      <c r="G664" s="803">
        <v>9389210</v>
      </c>
      <c r="H664" s="803"/>
      <c r="I664" s="804">
        <v>176407</v>
      </c>
      <c r="J664" s="804">
        <v>8227941</v>
      </c>
      <c r="K664" s="804">
        <v>643077</v>
      </c>
      <c r="L664" s="803">
        <v>158642</v>
      </c>
      <c r="M664" s="803"/>
      <c r="N664" s="804">
        <v>329008</v>
      </c>
      <c r="O664" s="804">
        <v>3036890</v>
      </c>
      <c r="P664" s="804">
        <v>0</v>
      </c>
      <c r="Q664" s="803">
        <v>0</v>
      </c>
      <c r="R664" s="803"/>
      <c r="S664" s="804">
        <v>2509598</v>
      </c>
      <c r="T664" s="805">
        <v>54211</v>
      </c>
      <c r="U664" s="805">
        <v>2563810</v>
      </c>
    </row>
    <row r="665" spans="1:21" x14ac:dyDescent="0.25">
      <c r="A665" s="800">
        <v>97413</v>
      </c>
      <c r="B665" s="801" t="s">
        <v>3302</v>
      </c>
      <c r="C665" s="802">
        <v>2.7910000000000001E-4</v>
      </c>
      <c r="D665" s="802">
        <v>2.9320000000000003E-4</v>
      </c>
      <c r="E665" s="803">
        <v>126701.6</v>
      </c>
      <c r="F665" s="803">
        <v>131586</v>
      </c>
      <c r="G665" s="803">
        <v>592344</v>
      </c>
      <c r="H665" s="803"/>
      <c r="I665" s="804">
        <v>11129</v>
      </c>
      <c r="J665" s="804">
        <v>519082</v>
      </c>
      <c r="K665" s="804">
        <v>40570</v>
      </c>
      <c r="L665" s="803">
        <v>1832</v>
      </c>
      <c r="M665" s="803"/>
      <c r="N665" s="804">
        <v>20756</v>
      </c>
      <c r="O665" s="804">
        <v>191590</v>
      </c>
      <c r="P665" s="804">
        <v>0</v>
      </c>
      <c r="Q665" s="803">
        <v>10212</v>
      </c>
      <c r="R665" s="803"/>
      <c r="S665" s="804">
        <v>158325</v>
      </c>
      <c r="T665" s="805">
        <v>-4433</v>
      </c>
      <c r="U665" s="805">
        <v>153891</v>
      </c>
    </row>
    <row r="666" spans="1:21" x14ac:dyDescent="0.25">
      <c r="A666" s="800">
        <v>97421</v>
      </c>
      <c r="B666" s="801" t="s">
        <v>3303</v>
      </c>
      <c r="C666" s="802">
        <v>4.1120000000000002E-4</v>
      </c>
      <c r="D666" s="802">
        <v>4.1140000000000003E-4</v>
      </c>
      <c r="E666" s="803">
        <v>162265</v>
      </c>
      <c r="F666" s="803">
        <v>184634</v>
      </c>
      <c r="G666" s="803">
        <v>872704</v>
      </c>
      <c r="H666" s="803"/>
      <c r="I666" s="804">
        <v>16397</v>
      </c>
      <c r="J666" s="804">
        <v>764767</v>
      </c>
      <c r="K666" s="804">
        <v>59772</v>
      </c>
      <c r="L666" s="803">
        <v>0</v>
      </c>
      <c r="M666" s="803"/>
      <c r="N666" s="804">
        <v>30581</v>
      </c>
      <c r="O666" s="804">
        <v>282272</v>
      </c>
      <c r="P666" s="804">
        <v>0</v>
      </c>
      <c r="Q666" s="803">
        <v>40232</v>
      </c>
      <c r="R666" s="803"/>
      <c r="S666" s="804">
        <v>233261</v>
      </c>
      <c r="T666" s="805">
        <v>-16104</v>
      </c>
      <c r="U666" s="805">
        <v>217157</v>
      </c>
    </row>
    <row r="667" spans="1:21" x14ac:dyDescent="0.25">
      <c r="A667" s="800">
        <v>97423</v>
      </c>
      <c r="B667" s="801" t="s">
        <v>3304</v>
      </c>
      <c r="C667" s="802">
        <v>4.5800000000000002E-5</v>
      </c>
      <c r="D667" s="802">
        <v>4.5300000000000003E-5</v>
      </c>
      <c r="E667" s="803">
        <v>37545</v>
      </c>
      <c r="F667" s="803">
        <v>20330</v>
      </c>
      <c r="G667" s="803">
        <v>97203</v>
      </c>
      <c r="H667" s="803"/>
      <c r="I667" s="804">
        <v>1826.2750000000001</v>
      </c>
      <c r="J667" s="804">
        <v>85181</v>
      </c>
      <c r="K667" s="804">
        <v>6658</v>
      </c>
      <c r="L667" s="803">
        <v>26530</v>
      </c>
      <c r="M667" s="803"/>
      <c r="N667" s="804">
        <v>3406</v>
      </c>
      <c r="O667" s="804">
        <v>31440</v>
      </c>
      <c r="P667" s="804">
        <v>0</v>
      </c>
      <c r="Q667" s="803">
        <v>0</v>
      </c>
      <c r="R667" s="803"/>
      <c r="S667" s="804">
        <v>25981</v>
      </c>
      <c r="T667" s="805">
        <v>8002</v>
      </c>
      <c r="U667" s="805">
        <v>33982</v>
      </c>
    </row>
    <row r="668" spans="1:21" x14ac:dyDescent="0.25">
      <c r="A668" s="800">
        <v>97431</v>
      </c>
      <c r="B668" s="801" t="s">
        <v>3305</v>
      </c>
      <c r="C668" s="802">
        <v>8.5199999999999997E-5</v>
      </c>
      <c r="D668" s="802">
        <v>8.7700000000000004E-5</v>
      </c>
      <c r="E668" s="803">
        <v>38446.49</v>
      </c>
      <c r="F668" s="803">
        <v>39359</v>
      </c>
      <c r="G668" s="803">
        <v>180823</v>
      </c>
      <c r="H668" s="803"/>
      <c r="I668" s="804">
        <v>3397.35</v>
      </c>
      <c r="J668" s="804">
        <v>158459</v>
      </c>
      <c r="K668" s="804">
        <v>12385</v>
      </c>
      <c r="L668" s="803">
        <v>2882</v>
      </c>
      <c r="M668" s="803"/>
      <c r="N668" s="804">
        <v>6336</v>
      </c>
      <c r="O668" s="804">
        <v>58486</v>
      </c>
      <c r="P668" s="804">
        <v>0</v>
      </c>
      <c r="Q668" s="803">
        <v>0</v>
      </c>
      <c r="R668" s="803"/>
      <c r="S668" s="804">
        <v>48331</v>
      </c>
      <c r="T668" s="805">
        <v>909</v>
      </c>
      <c r="U668" s="805">
        <v>49241</v>
      </c>
    </row>
    <row r="669" spans="1:21" x14ac:dyDescent="0.25">
      <c r="A669" s="800">
        <v>97441</v>
      </c>
      <c r="B669" s="801" t="s">
        <v>3306</v>
      </c>
      <c r="C669" s="802">
        <v>7.0500000000000006E-5</v>
      </c>
      <c r="D669" s="802">
        <v>6.8700000000000003E-5</v>
      </c>
      <c r="E669" s="803">
        <v>23079</v>
      </c>
      <c r="F669" s="803">
        <v>30832</v>
      </c>
      <c r="G669" s="803">
        <v>149625</v>
      </c>
      <c r="H669" s="803"/>
      <c r="I669" s="804">
        <v>2811</v>
      </c>
      <c r="J669" s="804">
        <v>131119</v>
      </c>
      <c r="K669" s="804">
        <v>10248</v>
      </c>
      <c r="L669" s="803">
        <v>406</v>
      </c>
      <c r="M669" s="803"/>
      <c r="N669" s="804">
        <v>5243</v>
      </c>
      <c r="O669" s="804">
        <v>48395</v>
      </c>
      <c r="P669" s="804">
        <v>0</v>
      </c>
      <c r="Q669" s="803">
        <v>4997</v>
      </c>
      <c r="R669" s="803"/>
      <c r="S669" s="804">
        <v>39992</v>
      </c>
      <c r="T669" s="805">
        <v>-1212</v>
      </c>
      <c r="U669" s="805">
        <v>38780</v>
      </c>
    </row>
    <row r="670" spans="1:21" x14ac:dyDescent="0.25">
      <c r="A670" s="800">
        <v>97451</v>
      </c>
      <c r="B670" s="801" t="s">
        <v>3307</v>
      </c>
      <c r="C670" s="802">
        <v>6.1039999999999998E-4</v>
      </c>
      <c r="D670" s="802">
        <v>5.1670000000000004E-4</v>
      </c>
      <c r="E670" s="803">
        <v>212065</v>
      </c>
      <c r="F670" s="803">
        <v>231892</v>
      </c>
      <c r="G670" s="803">
        <v>1295473</v>
      </c>
      <c r="H670" s="803"/>
      <c r="I670" s="804">
        <v>24339.7</v>
      </c>
      <c r="J670" s="804">
        <v>1135248</v>
      </c>
      <c r="K670" s="804">
        <v>88728</v>
      </c>
      <c r="L670" s="803">
        <v>30041</v>
      </c>
      <c r="M670" s="803"/>
      <c r="N670" s="804">
        <v>45395</v>
      </c>
      <c r="O670" s="804">
        <v>419014</v>
      </c>
      <c r="P670" s="804">
        <v>0</v>
      </c>
      <c r="Q670" s="803">
        <v>5880</v>
      </c>
      <c r="R670" s="803"/>
      <c r="S670" s="804">
        <v>346261</v>
      </c>
      <c r="T670" s="805">
        <v>8187</v>
      </c>
      <c r="U670" s="805">
        <v>354448</v>
      </c>
    </row>
    <row r="671" spans="1:21" x14ac:dyDescent="0.25">
      <c r="A671" s="800">
        <v>97461</v>
      </c>
      <c r="B671" s="801" t="s">
        <v>3308</v>
      </c>
      <c r="C671" s="802">
        <v>5.1869999999999998E-4</v>
      </c>
      <c r="D671" s="802">
        <v>5.3859999999999997E-4</v>
      </c>
      <c r="E671" s="803">
        <v>202230</v>
      </c>
      <c r="F671" s="803">
        <v>241720</v>
      </c>
      <c r="G671" s="803">
        <v>1100855</v>
      </c>
      <c r="H671" s="803"/>
      <c r="I671" s="804">
        <v>20683</v>
      </c>
      <c r="J671" s="804">
        <v>964700</v>
      </c>
      <c r="K671" s="804">
        <v>75399</v>
      </c>
      <c r="L671" s="803">
        <v>4454</v>
      </c>
      <c r="M671" s="803"/>
      <c r="N671" s="804">
        <v>38575</v>
      </c>
      <c r="O671" s="804">
        <v>356066</v>
      </c>
      <c r="P671" s="804">
        <v>0</v>
      </c>
      <c r="Q671" s="803">
        <v>46078</v>
      </c>
      <c r="R671" s="803"/>
      <c r="S671" s="804">
        <v>294242</v>
      </c>
      <c r="T671" s="805">
        <v>-12231</v>
      </c>
      <c r="U671" s="805">
        <v>282012</v>
      </c>
    </row>
    <row r="672" spans="1:21" x14ac:dyDescent="0.25">
      <c r="A672" s="800">
        <v>97463</v>
      </c>
      <c r="B672" s="801" t="s">
        <v>3309</v>
      </c>
      <c r="C672" s="802">
        <v>5.0099999999999998E-5</v>
      </c>
      <c r="D672" s="802">
        <v>5.6400000000000002E-5</v>
      </c>
      <c r="E672" s="803">
        <v>17390</v>
      </c>
      <c r="F672" s="803">
        <v>25312</v>
      </c>
      <c r="G672" s="803">
        <v>106329</v>
      </c>
      <c r="H672" s="803"/>
      <c r="I672" s="804">
        <v>1998</v>
      </c>
      <c r="J672" s="804">
        <v>93178</v>
      </c>
      <c r="K672" s="804">
        <v>7283</v>
      </c>
      <c r="L672" s="803">
        <v>2539</v>
      </c>
      <c r="M672" s="803"/>
      <c r="N672" s="804">
        <v>3726</v>
      </c>
      <c r="O672" s="804">
        <v>34392</v>
      </c>
      <c r="P672" s="804">
        <v>0</v>
      </c>
      <c r="Q672" s="803">
        <v>5965</v>
      </c>
      <c r="R672" s="803"/>
      <c r="S672" s="804">
        <v>28420</v>
      </c>
      <c r="T672" s="805">
        <v>-427</v>
      </c>
      <c r="U672" s="805">
        <v>27993</v>
      </c>
    </row>
    <row r="673" spans="1:21" x14ac:dyDescent="0.25">
      <c r="A673" s="800">
        <v>97471</v>
      </c>
      <c r="B673" s="801" t="s">
        <v>3310</v>
      </c>
      <c r="C673" s="802">
        <v>1.27E-5</v>
      </c>
      <c r="D673" s="802">
        <v>1.31E-5</v>
      </c>
      <c r="E673" s="803">
        <v>8483.43</v>
      </c>
      <c r="F673" s="803">
        <v>5879</v>
      </c>
      <c r="G673" s="803">
        <v>26954</v>
      </c>
      <c r="H673" s="803"/>
      <c r="I673" s="804">
        <v>506.41250000000002</v>
      </c>
      <c r="J673" s="804">
        <v>23620</v>
      </c>
      <c r="K673" s="804">
        <v>1846</v>
      </c>
      <c r="L673" s="803">
        <v>5163</v>
      </c>
      <c r="M673" s="803"/>
      <c r="N673" s="804">
        <v>944</v>
      </c>
      <c r="O673" s="804">
        <v>8718</v>
      </c>
      <c r="P673" s="804">
        <v>0</v>
      </c>
      <c r="Q673" s="803">
        <v>0</v>
      </c>
      <c r="R673" s="803"/>
      <c r="S673" s="804">
        <v>7204</v>
      </c>
      <c r="T673" s="805">
        <v>1775</v>
      </c>
      <c r="U673" s="805">
        <v>8980</v>
      </c>
    </row>
    <row r="674" spans="1:21" x14ac:dyDescent="0.25">
      <c r="A674" s="800">
        <v>97481</v>
      </c>
      <c r="B674" s="801" t="s">
        <v>3311</v>
      </c>
      <c r="C674" s="802">
        <v>1.63E-5</v>
      </c>
      <c r="D674" s="802">
        <v>1.13E-5</v>
      </c>
      <c r="E674" s="803">
        <v>5817.26</v>
      </c>
      <c r="F674" s="803">
        <v>5071</v>
      </c>
      <c r="G674" s="803">
        <v>34594</v>
      </c>
      <c r="H674" s="803"/>
      <c r="I674" s="804">
        <v>649.96249999999998</v>
      </c>
      <c r="J674" s="804">
        <v>30315</v>
      </c>
      <c r="K674" s="804">
        <v>2369</v>
      </c>
      <c r="L674" s="803">
        <v>5965</v>
      </c>
      <c r="M674" s="803"/>
      <c r="N674" s="804">
        <v>1212</v>
      </c>
      <c r="O674" s="804">
        <v>11189</v>
      </c>
      <c r="P674" s="804">
        <v>0</v>
      </c>
      <c r="Q674" s="803">
        <v>0</v>
      </c>
      <c r="R674" s="803"/>
      <c r="S674" s="804">
        <v>9246</v>
      </c>
      <c r="T674" s="805">
        <v>2373</v>
      </c>
      <c r="U674" s="805">
        <v>11619</v>
      </c>
    </row>
    <row r="675" spans="1:21" x14ac:dyDescent="0.25">
      <c r="A675" s="800">
        <v>97491</v>
      </c>
      <c r="B675" s="801" t="s">
        <v>3312</v>
      </c>
      <c r="C675" s="802">
        <v>0</v>
      </c>
      <c r="D675" s="802">
        <v>0</v>
      </c>
      <c r="E675" s="803">
        <v>0</v>
      </c>
      <c r="F675" s="803">
        <v>0</v>
      </c>
      <c r="G675" s="803">
        <v>0</v>
      </c>
      <c r="H675" s="803"/>
      <c r="I675" s="804">
        <v>0</v>
      </c>
      <c r="J675" s="804">
        <v>0</v>
      </c>
      <c r="K675" s="804">
        <v>0</v>
      </c>
      <c r="L675" s="803">
        <v>0</v>
      </c>
      <c r="M675" s="803"/>
      <c r="N675" s="804">
        <v>0</v>
      </c>
      <c r="O675" s="804">
        <v>0</v>
      </c>
      <c r="P675" s="804">
        <v>0</v>
      </c>
      <c r="Q675" s="803">
        <v>12790</v>
      </c>
      <c r="R675" s="803"/>
      <c r="S675" s="804">
        <v>0</v>
      </c>
      <c r="T675" s="805">
        <v>-4941</v>
      </c>
      <c r="U675" s="805">
        <v>-4941</v>
      </c>
    </row>
    <row r="676" spans="1:21" x14ac:dyDescent="0.25">
      <c r="A676" s="800">
        <v>97501</v>
      </c>
      <c r="B676" s="801" t="s">
        <v>3313</v>
      </c>
      <c r="C676" s="802">
        <v>9.6730000000000004E-4</v>
      </c>
      <c r="D676" s="802">
        <v>9.7659999999999999E-4</v>
      </c>
      <c r="E676" s="803">
        <v>413876.56</v>
      </c>
      <c r="F676" s="803">
        <v>438292</v>
      </c>
      <c r="G676" s="803">
        <v>2052935</v>
      </c>
      <c r="H676" s="803"/>
      <c r="I676" s="804">
        <v>38571</v>
      </c>
      <c r="J676" s="804">
        <v>1799025</v>
      </c>
      <c r="K676" s="804">
        <v>140608</v>
      </c>
      <c r="L676" s="803">
        <v>45898</v>
      </c>
      <c r="M676" s="803"/>
      <c r="N676" s="804">
        <v>71937</v>
      </c>
      <c r="O676" s="804">
        <v>664011</v>
      </c>
      <c r="P676" s="804">
        <v>0</v>
      </c>
      <c r="Q676" s="803">
        <v>0</v>
      </c>
      <c r="R676" s="803"/>
      <c r="S676" s="804">
        <v>548719</v>
      </c>
      <c r="T676" s="805">
        <v>19873</v>
      </c>
      <c r="U676" s="805">
        <v>568592</v>
      </c>
    </row>
    <row r="677" spans="1:21" x14ac:dyDescent="0.25">
      <c r="A677" s="800">
        <v>97511</v>
      </c>
      <c r="B677" s="801" t="s">
        <v>3314</v>
      </c>
      <c r="C677" s="802">
        <v>2.3220000000000001E-4</v>
      </c>
      <c r="D677" s="802">
        <v>2.1719999999999999E-4</v>
      </c>
      <c r="E677" s="803">
        <v>97777.06</v>
      </c>
      <c r="F677" s="803">
        <v>97478</v>
      </c>
      <c r="G677" s="803">
        <v>492806</v>
      </c>
      <c r="H677" s="803"/>
      <c r="I677" s="804">
        <v>9259</v>
      </c>
      <c r="J677" s="804">
        <v>431855</v>
      </c>
      <c r="K677" s="804">
        <v>33753</v>
      </c>
      <c r="L677" s="803">
        <v>10778</v>
      </c>
      <c r="M677" s="803"/>
      <c r="N677" s="804">
        <v>17268</v>
      </c>
      <c r="O677" s="804">
        <v>159396</v>
      </c>
      <c r="P677" s="804">
        <v>0</v>
      </c>
      <c r="Q677" s="803">
        <v>1307</v>
      </c>
      <c r="R677" s="803"/>
      <c r="S677" s="804">
        <v>131720</v>
      </c>
      <c r="T677" s="805">
        <v>2532</v>
      </c>
      <c r="U677" s="805">
        <v>134252</v>
      </c>
    </row>
    <row r="678" spans="1:21" x14ac:dyDescent="0.25">
      <c r="A678" s="800">
        <v>97521</v>
      </c>
      <c r="B678" s="801" t="s">
        <v>3315</v>
      </c>
      <c r="C678" s="802">
        <v>1.293E-4</v>
      </c>
      <c r="D678" s="802">
        <v>1.404E-4</v>
      </c>
      <c r="E678" s="803">
        <v>48146.35</v>
      </c>
      <c r="F678" s="803">
        <v>63011</v>
      </c>
      <c r="G678" s="803">
        <v>274418</v>
      </c>
      <c r="H678" s="803"/>
      <c r="I678" s="804">
        <v>5156</v>
      </c>
      <c r="J678" s="804">
        <v>240478</v>
      </c>
      <c r="K678" s="804">
        <v>18795</v>
      </c>
      <c r="L678" s="803">
        <v>4401.88</v>
      </c>
      <c r="M678" s="803"/>
      <c r="N678" s="804">
        <v>9616</v>
      </c>
      <c r="O678" s="804">
        <v>88759</v>
      </c>
      <c r="P678" s="804">
        <v>0</v>
      </c>
      <c r="Q678" s="803">
        <v>17530</v>
      </c>
      <c r="R678" s="803"/>
      <c r="S678" s="804">
        <v>73348</v>
      </c>
      <c r="T678" s="805">
        <v>-3048</v>
      </c>
      <c r="U678" s="805">
        <v>70299</v>
      </c>
    </row>
    <row r="679" spans="1:21" x14ac:dyDescent="0.25">
      <c r="A679" s="800">
        <v>97531</v>
      </c>
      <c r="B679" s="801" t="s">
        <v>3316</v>
      </c>
      <c r="C679" s="802">
        <v>3.6300000000000001E-5</v>
      </c>
      <c r="D679" s="802">
        <v>3.5099999999999999E-5</v>
      </c>
      <c r="E679" s="803">
        <v>18182</v>
      </c>
      <c r="F679" s="803">
        <v>15753</v>
      </c>
      <c r="G679" s="803">
        <v>77041</v>
      </c>
      <c r="H679" s="803"/>
      <c r="I679" s="804">
        <v>1447</v>
      </c>
      <c r="J679" s="804">
        <v>67512</v>
      </c>
      <c r="K679" s="804">
        <v>5277</v>
      </c>
      <c r="L679" s="803">
        <v>3234</v>
      </c>
      <c r="M679" s="803"/>
      <c r="N679" s="804">
        <v>2700</v>
      </c>
      <c r="O679" s="804">
        <v>24918</v>
      </c>
      <c r="P679" s="804">
        <v>0</v>
      </c>
      <c r="Q679" s="803">
        <v>14595</v>
      </c>
      <c r="R679" s="803"/>
      <c r="S679" s="804">
        <v>20592</v>
      </c>
      <c r="T679" s="805">
        <v>-4705</v>
      </c>
      <c r="U679" s="805">
        <v>15887</v>
      </c>
    </row>
    <row r="680" spans="1:21" x14ac:dyDescent="0.25">
      <c r="A680" s="800">
        <v>97601</v>
      </c>
      <c r="B680" s="801" t="s">
        <v>3317</v>
      </c>
      <c r="C680" s="802">
        <v>4.7808E-3</v>
      </c>
      <c r="D680" s="802">
        <v>4.8238999999999999E-3</v>
      </c>
      <c r="E680" s="803">
        <v>1911818</v>
      </c>
      <c r="F680" s="803">
        <v>2164937</v>
      </c>
      <c r="G680" s="803">
        <v>10146459</v>
      </c>
      <c r="H680" s="803"/>
      <c r="I680" s="804">
        <v>190634.4</v>
      </c>
      <c r="J680" s="804">
        <v>8891533</v>
      </c>
      <c r="K680" s="804">
        <v>694942</v>
      </c>
      <c r="L680" s="803">
        <v>0</v>
      </c>
      <c r="M680" s="803"/>
      <c r="N680" s="804">
        <v>355543</v>
      </c>
      <c r="O680" s="804">
        <v>3281818</v>
      </c>
      <c r="P680" s="804">
        <v>0</v>
      </c>
      <c r="Q680" s="803">
        <v>137509</v>
      </c>
      <c r="R680" s="803"/>
      <c r="S680" s="804">
        <v>2712000</v>
      </c>
      <c r="T680" s="805">
        <v>-46067</v>
      </c>
      <c r="U680" s="805">
        <v>2665933</v>
      </c>
    </row>
    <row r="681" spans="1:21" x14ac:dyDescent="0.25">
      <c r="A681" s="800">
        <v>97607</v>
      </c>
      <c r="B681" s="801" t="s">
        <v>3318</v>
      </c>
      <c r="C681" s="802">
        <v>1.9199999999999999E-5</v>
      </c>
      <c r="D681" s="802">
        <v>2.27E-5</v>
      </c>
      <c r="E681" s="803">
        <v>13222.63</v>
      </c>
      <c r="F681" s="803">
        <v>10188</v>
      </c>
      <c r="G681" s="803">
        <v>40749</v>
      </c>
      <c r="H681" s="803"/>
      <c r="I681" s="804">
        <v>766</v>
      </c>
      <c r="J681" s="804">
        <v>35709</v>
      </c>
      <c r="K681" s="804">
        <v>2791</v>
      </c>
      <c r="L681" s="803">
        <v>8819</v>
      </c>
      <c r="M681" s="803"/>
      <c r="N681" s="804">
        <v>1428</v>
      </c>
      <c r="O681" s="804">
        <v>13180</v>
      </c>
      <c r="P681" s="804">
        <v>0</v>
      </c>
      <c r="Q681" s="803">
        <v>0</v>
      </c>
      <c r="R681" s="803"/>
      <c r="S681" s="804">
        <v>10892</v>
      </c>
      <c r="T681" s="805">
        <v>3435</v>
      </c>
      <c r="U681" s="805">
        <v>14327</v>
      </c>
    </row>
    <row r="682" spans="1:21" x14ac:dyDescent="0.25">
      <c r="A682" s="800">
        <v>97611</v>
      </c>
      <c r="B682" s="801" t="s">
        <v>3319</v>
      </c>
      <c r="C682" s="802">
        <v>2.5750999999999999E-3</v>
      </c>
      <c r="D682" s="802">
        <v>2.7582000000000001E-3</v>
      </c>
      <c r="E682" s="803">
        <v>984035.03</v>
      </c>
      <c r="F682" s="803">
        <v>1237864</v>
      </c>
      <c r="G682" s="803">
        <v>5465225</v>
      </c>
      <c r="H682" s="803"/>
      <c r="I682" s="804">
        <v>102682</v>
      </c>
      <c r="J682" s="804">
        <v>4789279</v>
      </c>
      <c r="K682" s="804">
        <v>374319</v>
      </c>
      <c r="L682" s="803">
        <v>0</v>
      </c>
      <c r="M682" s="803"/>
      <c r="N682" s="804">
        <v>191508</v>
      </c>
      <c r="O682" s="804">
        <v>1767698</v>
      </c>
      <c r="P682" s="804">
        <v>0</v>
      </c>
      <c r="Q682" s="803">
        <v>281180</v>
      </c>
      <c r="R682" s="803"/>
      <c r="S682" s="804">
        <v>1460774</v>
      </c>
      <c r="T682" s="805">
        <v>-93860</v>
      </c>
      <c r="U682" s="805">
        <v>1366915</v>
      </c>
    </row>
    <row r="683" spans="1:21" x14ac:dyDescent="0.25">
      <c r="A683" s="800">
        <v>97613</v>
      </c>
      <c r="B683" s="801" t="s">
        <v>3320</v>
      </c>
      <c r="C683" s="802">
        <v>1.2459999999999999E-4</v>
      </c>
      <c r="D683" s="802">
        <v>1.21E-4</v>
      </c>
      <c r="E683" s="803">
        <v>55529.85</v>
      </c>
      <c r="F683" s="803">
        <v>54304</v>
      </c>
      <c r="G683" s="803">
        <v>264443</v>
      </c>
      <c r="H683" s="803"/>
      <c r="I683" s="804">
        <v>4968</v>
      </c>
      <c r="J683" s="804">
        <v>231736</v>
      </c>
      <c r="K683" s="804">
        <v>18112</v>
      </c>
      <c r="L683" s="803">
        <v>5357</v>
      </c>
      <c r="M683" s="803"/>
      <c r="N683" s="804">
        <v>9266</v>
      </c>
      <c r="O683" s="804">
        <v>85533</v>
      </c>
      <c r="P683" s="804">
        <v>0</v>
      </c>
      <c r="Q683" s="803">
        <v>5319</v>
      </c>
      <c r="R683" s="803"/>
      <c r="S683" s="804">
        <v>70682</v>
      </c>
      <c r="T683" s="805">
        <v>-505</v>
      </c>
      <c r="U683" s="805">
        <v>70177</v>
      </c>
    </row>
    <row r="684" spans="1:21" x14ac:dyDescent="0.25">
      <c r="A684" s="800">
        <v>97621</v>
      </c>
      <c r="B684" s="801" t="s">
        <v>3321</v>
      </c>
      <c r="C684" s="802">
        <v>4.7429999999999998E-4</v>
      </c>
      <c r="D684" s="802">
        <v>5.1290000000000005E-4</v>
      </c>
      <c r="E684" s="803">
        <v>166598.32</v>
      </c>
      <c r="F684" s="803">
        <v>230186</v>
      </c>
      <c r="G684" s="803">
        <v>1006623</v>
      </c>
      <c r="H684" s="803"/>
      <c r="I684" s="804">
        <v>18913</v>
      </c>
      <c r="J684" s="804">
        <v>882123</v>
      </c>
      <c r="K684" s="804">
        <v>68945</v>
      </c>
      <c r="L684" s="803">
        <v>24561</v>
      </c>
      <c r="M684" s="803"/>
      <c r="N684" s="804">
        <v>35273</v>
      </c>
      <c r="O684" s="804">
        <v>325587</v>
      </c>
      <c r="P684" s="804">
        <v>0</v>
      </c>
      <c r="Q684" s="803">
        <v>43510</v>
      </c>
      <c r="R684" s="803"/>
      <c r="S684" s="804">
        <v>269056</v>
      </c>
      <c r="T684" s="805">
        <v>-2547</v>
      </c>
      <c r="U684" s="805">
        <v>266509</v>
      </c>
    </row>
    <row r="685" spans="1:21" x14ac:dyDescent="0.25">
      <c r="A685" s="800">
        <v>97623</v>
      </c>
      <c r="B685" s="801" t="s">
        <v>3322</v>
      </c>
      <c r="C685" s="802">
        <v>2.9200000000000002E-5</v>
      </c>
      <c r="D685" s="802">
        <v>3.0000000000000001E-5</v>
      </c>
      <c r="E685" s="803">
        <v>14038</v>
      </c>
      <c r="F685" s="803">
        <v>13463.82</v>
      </c>
      <c r="G685" s="803">
        <v>61972</v>
      </c>
      <c r="H685" s="803"/>
      <c r="I685" s="804">
        <v>1164</v>
      </c>
      <c r="J685" s="804">
        <v>54307</v>
      </c>
      <c r="K685" s="804">
        <v>4245</v>
      </c>
      <c r="L685" s="803">
        <v>10193</v>
      </c>
      <c r="M685" s="803"/>
      <c r="N685" s="804">
        <v>2172</v>
      </c>
      <c r="O685" s="804">
        <v>20045</v>
      </c>
      <c r="P685" s="804">
        <v>0</v>
      </c>
      <c r="Q685" s="803">
        <v>0</v>
      </c>
      <c r="R685" s="803"/>
      <c r="S685" s="804">
        <v>16564</v>
      </c>
      <c r="T685" s="805">
        <v>3688</v>
      </c>
      <c r="U685" s="805">
        <v>20252</v>
      </c>
    </row>
    <row r="686" spans="1:21" x14ac:dyDescent="0.25">
      <c r="A686" s="800">
        <v>97627</v>
      </c>
      <c r="B686" s="801" t="s">
        <v>3323</v>
      </c>
      <c r="C686" s="802">
        <v>1.0200000000000001E-5</v>
      </c>
      <c r="D686" s="802">
        <v>9.0999999999999993E-6</v>
      </c>
      <c r="E686" s="803">
        <v>4150</v>
      </c>
      <c r="F686" s="803">
        <v>4084</v>
      </c>
      <c r="G686" s="803">
        <v>21648</v>
      </c>
      <c r="H686" s="803"/>
      <c r="I686" s="804">
        <v>406.72500000000002</v>
      </c>
      <c r="J686" s="804">
        <v>18970</v>
      </c>
      <c r="K686" s="804">
        <v>1483</v>
      </c>
      <c r="L686" s="803">
        <v>942</v>
      </c>
      <c r="M686" s="803"/>
      <c r="N686" s="804">
        <v>759</v>
      </c>
      <c r="O686" s="804">
        <v>7002</v>
      </c>
      <c r="P686" s="804">
        <v>0</v>
      </c>
      <c r="Q686" s="803">
        <v>1562</v>
      </c>
      <c r="R686" s="803"/>
      <c r="S686" s="804">
        <v>5786</v>
      </c>
      <c r="T686" s="805">
        <v>-217</v>
      </c>
      <c r="U686" s="805">
        <v>5570</v>
      </c>
    </row>
    <row r="687" spans="1:21" x14ac:dyDescent="0.25">
      <c r="A687" s="800">
        <v>97631</v>
      </c>
      <c r="B687" s="801" t="s">
        <v>3324</v>
      </c>
      <c r="C687" s="802">
        <v>2.009E-4</v>
      </c>
      <c r="D687" s="802">
        <v>1.7239999999999999E-4</v>
      </c>
      <c r="E687" s="803">
        <v>69843.56</v>
      </c>
      <c r="F687" s="803">
        <v>77372</v>
      </c>
      <c r="G687" s="803">
        <v>426377</v>
      </c>
      <c r="H687" s="803"/>
      <c r="I687" s="804">
        <v>8011</v>
      </c>
      <c r="J687" s="804">
        <v>373642</v>
      </c>
      <c r="K687" s="804">
        <v>29203</v>
      </c>
      <c r="L687" s="803">
        <v>14802</v>
      </c>
      <c r="M687" s="803"/>
      <c r="N687" s="804">
        <v>14941</v>
      </c>
      <c r="O687" s="804">
        <v>137909</v>
      </c>
      <c r="P687" s="804">
        <v>0</v>
      </c>
      <c r="Q687" s="803">
        <v>0</v>
      </c>
      <c r="R687" s="803"/>
      <c r="S687" s="804">
        <v>113964</v>
      </c>
      <c r="T687" s="805">
        <v>5491</v>
      </c>
      <c r="U687" s="805">
        <v>119456</v>
      </c>
    </row>
    <row r="688" spans="1:21" x14ac:dyDescent="0.25">
      <c r="A688" s="800">
        <v>97637</v>
      </c>
      <c r="B688" s="801" t="s">
        <v>3325</v>
      </c>
      <c r="C688" s="802">
        <v>4.7999999999999998E-6</v>
      </c>
      <c r="D688" s="802">
        <v>6.1999999999999999E-6</v>
      </c>
      <c r="E688" s="803">
        <v>2878</v>
      </c>
      <c r="F688" s="803">
        <v>2783</v>
      </c>
      <c r="G688" s="803">
        <v>10187</v>
      </c>
      <c r="H688" s="803"/>
      <c r="I688" s="804">
        <v>191</v>
      </c>
      <c r="J688" s="804">
        <v>8927</v>
      </c>
      <c r="K688" s="804">
        <v>698</v>
      </c>
      <c r="L688" s="803">
        <v>655</v>
      </c>
      <c r="M688" s="803"/>
      <c r="N688" s="804">
        <v>357</v>
      </c>
      <c r="O688" s="804">
        <v>3295</v>
      </c>
      <c r="P688" s="804">
        <v>0</v>
      </c>
      <c r="Q688" s="803">
        <v>40</v>
      </c>
      <c r="R688" s="803"/>
      <c r="S688" s="804">
        <v>2723</v>
      </c>
      <c r="T688" s="805">
        <v>244</v>
      </c>
      <c r="U688" s="805">
        <v>2967</v>
      </c>
    </row>
    <row r="689" spans="1:21" x14ac:dyDescent="0.25">
      <c r="A689" s="800">
        <v>97641</v>
      </c>
      <c r="B689" s="801" t="s">
        <v>3326</v>
      </c>
      <c r="C689" s="802">
        <v>6.9999999999999994E-5</v>
      </c>
      <c r="D689" s="802">
        <v>5.3900000000000002E-5</v>
      </c>
      <c r="E689" s="803">
        <v>31635</v>
      </c>
      <c r="F689" s="803">
        <v>24190</v>
      </c>
      <c r="G689" s="803">
        <v>148563</v>
      </c>
      <c r="H689" s="803"/>
      <c r="I689" s="804">
        <v>2791</v>
      </c>
      <c r="J689" s="804">
        <v>130189</v>
      </c>
      <c r="K689" s="804">
        <v>10175</v>
      </c>
      <c r="L689" s="803">
        <v>15548</v>
      </c>
      <c r="M689" s="803"/>
      <c r="N689" s="804">
        <v>5205.83</v>
      </c>
      <c r="O689" s="804">
        <v>48052.06</v>
      </c>
      <c r="P689" s="804">
        <v>0</v>
      </c>
      <c r="Q689" s="803">
        <v>5807</v>
      </c>
      <c r="R689" s="803"/>
      <c r="S689" s="804">
        <v>39709</v>
      </c>
      <c r="T689" s="805">
        <v>1546</v>
      </c>
      <c r="U689" s="805">
        <v>41255</v>
      </c>
    </row>
    <row r="690" spans="1:21" x14ac:dyDescent="0.25">
      <c r="A690" s="800">
        <v>97651</v>
      </c>
      <c r="B690" s="801" t="s">
        <v>3327</v>
      </c>
      <c r="C690" s="802">
        <v>5.1579999999999996E-4</v>
      </c>
      <c r="D690" s="802">
        <v>5.4140000000000004E-4</v>
      </c>
      <c r="E690" s="803">
        <v>190593.37</v>
      </c>
      <c r="F690" s="803">
        <v>242977</v>
      </c>
      <c r="G690" s="803">
        <v>1094700</v>
      </c>
      <c r="H690" s="803"/>
      <c r="I690" s="804">
        <v>20568</v>
      </c>
      <c r="J690" s="804">
        <v>959307</v>
      </c>
      <c r="K690" s="804">
        <v>74977</v>
      </c>
      <c r="L690" s="803">
        <v>4062</v>
      </c>
      <c r="M690" s="803"/>
      <c r="N690" s="804">
        <v>38360</v>
      </c>
      <c r="O690" s="804">
        <v>354075</v>
      </c>
      <c r="P690" s="804">
        <v>0</v>
      </c>
      <c r="Q690" s="803">
        <v>51828</v>
      </c>
      <c r="R690" s="803"/>
      <c r="S690" s="804">
        <v>292597</v>
      </c>
      <c r="T690" s="805">
        <v>-17066</v>
      </c>
      <c r="U690" s="805">
        <v>275532</v>
      </c>
    </row>
    <row r="691" spans="1:21" x14ac:dyDescent="0.25">
      <c r="A691" s="800">
        <v>97661</v>
      </c>
      <c r="B691" s="801" t="s">
        <v>3328</v>
      </c>
      <c r="C691" s="802">
        <v>4.3900000000000003E-5</v>
      </c>
      <c r="D691" s="802">
        <v>3.1999999999999999E-5</v>
      </c>
      <c r="E691" s="803">
        <v>18869</v>
      </c>
      <c r="F691" s="803">
        <v>14361</v>
      </c>
      <c r="G691" s="803">
        <v>93171</v>
      </c>
      <c r="H691" s="803"/>
      <c r="I691" s="804">
        <v>1751</v>
      </c>
      <c r="J691" s="804">
        <v>81647</v>
      </c>
      <c r="K691" s="804">
        <v>6381</v>
      </c>
      <c r="L691" s="803">
        <v>12364</v>
      </c>
      <c r="M691" s="803"/>
      <c r="N691" s="804">
        <v>3265</v>
      </c>
      <c r="O691" s="804">
        <v>30136</v>
      </c>
      <c r="P691" s="804">
        <v>0</v>
      </c>
      <c r="Q691" s="803">
        <v>2964</v>
      </c>
      <c r="R691" s="803"/>
      <c r="S691" s="804">
        <v>24903</v>
      </c>
      <c r="T691" s="805">
        <v>3435</v>
      </c>
      <c r="U691" s="805">
        <v>28338</v>
      </c>
    </row>
    <row r="692" spans="1:21" x14ac:dyDescent="0.25">
      <c r="A692" s="800">
        <v>97701</v>
      </c>
      <c r="B692" s="801" t="s">
        <v>3329</v>
      </c>
      <c r="C692" s="802">
        <v>2.5081000000000001E-3</v>
      </c>
      <c r="D692" s="802">
        <v>2.4424999999999998E-3</v>
      </c>
      <c r="E692" s="803">
        <v>1011242</v>
      </c>
      <c r="F692" s="803">
        <v>1096179</v>
      </c>
      <c r="G692" s="803">
        <v>5323028</v>
      </c>
      <c r="H692" s="803"/>
      <c r="I692" s="804">
        <v>100010</v>
      </c>
      <c r="J692" s="804">
        <v>4664670</v>
      </c>
      <c r="K692" s="804">
        <v>364580</v>
      </c>
      <c r="L692" s="803">
        <v>31450</v>
      </c>
      <c r="M692" s="803"/>
      <c r="N692" s="804">
        <v>186525</v>
      </c>
      <c r="O692" s="804">
        <v>1721705</v>
      </c>
      <c r="P692" s="804">
        <v>0</v>
      </c>
      <c r="Q692" s="803">
        <v>17434</v>
      </c>
      <c r="R692" s="803"/>
      <c r="S692" s="804">
        <v>1422767</v>
      </c>
      <c r="T692" s="805">
        <v>529</v>
      </c>
      <c r="U692" s="805">
        <v>1423296</v>
      </c>
    </row>
    <row r="693" spans="1:21" x14ac:dyDescent="0.25">
      <c r="A693" s="800">
        <v>97705</v>
      </c>
      <c r="B693" s="801" t="s">
        <v>3330</v>
      </c>
      <c r="C693" s="802">
        <v>6.41E-5</v>
      </c>
      <c r="D693" s="802">
        <v>5.1700000000000003E-5</v>
      </c>
      <c r="E693" s="803">
        <v>21949.45</v>
      </c>
      <c r="F693" s="803">
        <v>23203</v>
      </c>
      <c r="G693" s="803">
        <v>136042</v>
      </c>
      <c r="H693" s="803"/>
      <c r="I693" s="804">
        <v>2556</v>
      </c>
      <c r="J693" s="804">
        <v>119216</v>
      </c>
      <c r="K693" s="804">
        <v>9318</v>
      </c>
      <c r="L693" s="803">
        <v>9600</v>
      </c>
      <c r="M693" s="803"/>
      <c r="N693" s="804">
        <v>4767</v>
      </c>
      <c r="O693" s="804">
        <v>44002</v>
      </c>
      <c r="P693" s="804">
        <v>0</v>
      </c>
      <c r="Q693" s="803">
        <v>3526</v>
      </c>
      <c r="R693" s="803"/>
      <c r="S693" s="804">
        <v>36362</v>
      </c>
      <c r="T693" s="805">
        <v>2791</v>
      </c>
      <c r="U693" s="805">
        <v>39153</v>
      </c>
    </row>
    <row r="694" spans="1:21" x14ac:dyDescent="0.25">
      <c r="A694" s="800">
        <v>97711</v>
      </c>
      <c r="B694" s="801" t="s">
        <v>3331</v>
      </c>
      <c r="C694" s="802">
        <v>9.3789999999999998E-4</v>
      </c>
      <c r="D694" s="802">
        <v>9.6489999999999998E-4</v>
      </c>
      <c r="E694" s="803">
        <v>373399.85</v>
      </c>
      <c r="F694" s="803">
        <v>433041</v>
      </c>
      <c r="G694" s="803">
        <v>1990538</v>
      </c>
      <c r="H694" s="803"/>
      <c r="I694" s="804">
        <v>37399</v>
      </c>
      <c r="J694" s="804">
        <v>1744346</v>
      </c>
      <c r="K694" s="804">
        <v>136334</v>
      </c>
      <c r="L694" s="803">
        <v>18485</v>
      </c>
      <c r="M694" s="803"/>
      <c r="N694" s="804">
        <v>69751</v>
      </c>
      <c r="O694" s="804">
        <v>643829</v>
      </c>
      <c r="P694" s="804">
        <v>0</v>
      </c>
      <c r="Q694" s="803">
        <v>24399</v>
      </c>
      <c r="R694" s="803"/>
      <c r="S694" s="804">
        <v>532042</v>
      </c>
      <c r="T694" s="805">
        <v>2197</v>
      </c>
      <c r="U694" s="805">
        <v>534239</v>
      </c>
    </row>
    <row r="695" spans="1:21" x14ac:dyDescent="0.25">
      <c r="A695" s="800">
        <v>97713</v>
      </c>
      <c r="B695" s="801" t="s">
        <v>3332</v>
      </c>
      <c r="C695" s="802">
        <v>5.3699999999999997E-5</v>
      </c>
      <c r="D695" s="802">
        <v>5.5600000000000003E-5</v>
      </c>
      <c r="E695" s="803">
        <v>17632.46</v>
      </c>
      <c r="F695" s="803">
        <v>24953</v>
      </c>
      <c r="G695" s="803">
        <v>113969</v>
      </c>
      <c r="H695" s="803"/>
      <c r="I695" s="804">
        <v>2141</v>
      </c>
      <c r="J695" s="804">
        <v>99874</v>
      </c>
      <c r="K695" s="804">
        <v>7806</v>
      </c>
      <c r="L695" s="803">
        <v>1862.64</v>
      </c>
      <c r="M695" s="803"/>
      <c r="N695" s="804">
        <v>3994</v>
      </c>
      <c r="O695" s="804">
        <v>36863</v>
      </c>
      <c r="P695" s="804">
        <v>0</v>
      </c>
      <c r="Q695" s="803">
        <v>10607</v>
      </c>
      <c r="R695" s="803"/>
      <c r="S695" s="804">
        <v>30462</v>
      </c>
      <c r="T695" s="805">
        <v>-2389</v>
      </c>
      <c r="U695" s="805">
        <v>28073</v>
      </c>
    </row>
    <row r="696" spans="1:21" x14ac:dyDescent="0.25">
      <c r="A696" s="800">
        <v>97717</v>
      </c>
      <c r="B696" s="801" t="s">
        <v>3333</v>
      </c>
      <c r="C696" s="802">
        <v>7.5000000000000002E-6</v>
      </c>
      <c r="D696" s="802">
        <v>6.6000000000000003E-6</v>
      </c>
      <c r="E696" s="803">
        <v>4301.63</v>
      </c>
      <c r="F696" s="803">
        <v>2962</v>
      </c>
      <c r="G696" s="803">
        <v>15918</v>
      </c>
      <c r="H696" s="803"/>
      <c r="I696" s="804">
        <v>299.0625</v>
      </c>
      <c r="J696" s="804">
        <v>13949</v>
      </c>
      <c r="K696" s="804">
        <v>1090.2075</v>
      </c>
      <c r="L696" s="803">
        <v>1454</v>
      </c>
      <c r="M696" s="803"/>
      <c r="N696" s="804">
        <v>558</v>
      </c>
      <c r="O696" s="804">
        <v>5148</v>
      </c>
      <c r="P696" s="804">
        <v>0</v>
      </c>
      <c r="Q696" s="803">
        <v>3295</v>
      </c>
      <c r="R696" s="803"/>
      <c r="S696" s="804">
        <v>4255</v>
      </c>
      <c r="T696" s="805">
        <v>-1145</v>
      </c>
      <c r="U696" s="805">
        <v>3109</v>
      </c>
    </row>
    <row r="697" spans="1:21" x14ac:dyDescent="0.25">
      <c r="A697" s="800">
        <v>97721</v>
      </c>
      <c r="B697" s="801" t="s">
        <v>3334</v>
      </c>
      <c r="C697" s="802">
        <v>5.7249999999999998E-4</v>
      </c>
      <c r="D697" s="802">
        <v>5.2689999999999996E-4</v>
      </c>
      <c r="E697" s="803">
        <v>224528</v>
      </c>
      <c r="F697" s="803">
        <v>236470</v>
      </c>
      <c r="G697" s="803">
        <v>1215037</v>
      </c>
      <c r="H697" s="803"/>
      <c r="I697" s="804">
        <v>22828.4375</v>
      </c>
      <c r="J697" s="804">
        <v>1064760</v>
      </c>
      <c r="K697" s="804">
        <v>83219</v>
      </c>
      <c r="L697" s="803">
        <v>19505</v>
      </c>
      <c r="M697" s="803"/>
      <c r="N697" s="804">
        <v>42576</v>
      </c>
      <c r="O697" s="804">
        <v>392997</v>
      </c>
      <c r="P697" s="804">
        <v>0</v>
      </c>
      <c r="Q697" s="803">
        <v>36721</v>
      </c>
      <c r="R697" s="803"/>
      <c r="S697" s="804">
        <v>324762</v>
      </c>
      <c r="T697" s="805">
        <v>-7125</v>
      </c>
      <c r="U697" s="805">
        <v>317637</v>
      </c>
    </row>
    <row r="698" spans="1:21" x14ac:dyDescent="0.25">
      <c r="A698" s="800">
        <v>97727</v>
      </c>
      <c r="B698" s="801" t="s">
        <v>3335</v>
      </c>
      <c r="C698" s="802">
        <v>2.37E-5</v>
      </c>
      <c r="D698" s="802">
        <v>2.5299999999999998E-5</v>
      </c>
      <c r="E698" s="803">
        <v>9369</v>
      </c>
      <c r="F698" s="803">
        <v>11354</v>
      </c>
      <c r="G698" s="803">
        <v>50299</v>
      </c>
      <c r="H698" s="803"/>
      <c r="I698" s="804">
        <v>945.03750000000002</v>
      </c>
      <c r="J698" s="804">
        <v>44078</v>
      </c>
      <c r="K698" s="804">
        <v>3445</v>
      </c>
      <c r="L698" s="803">
        <v>0</v>
      </c>
      <c r="M698" s="803"/>
      <c r="N698" s="804">
        <v>1763</v>
      </c>
      <c r="O698" s="804">
        <v>16269</v>
      </c>
      <c r="P698" s="804">
        <v>0</v>
      </c>
      <c r="Q698" s="803">
        <v>3253</v>
      </c>
      <c r="R698" s="803"/>
      <c r="S698" s="804">
        <v>13444</v>
      </c>
      <c r="T698" s="805">
        <v>-1207</v>
      </c>
      <c r="U698" s="805">
        <v>12237</v>
      </c>
    </row>
    <row r="699" spans="1:21" x14ac:dyDescent="0.25">
      <c r="A699" s="800">
        <v>97731</v>
      </c>
      <c r="B699" s="801" t="s">
        <v>3336</v>
      </c>
      <c r="C699" s="802">
        <v>3.7100000000000001E-5</v>
      </c>
      <c r="D699" s="802">
        <v>3.3599999999999997E-5</v>
      </c>
      <c r="E699" s="803">
        <v>17225.91</v>
      </c>
      <c r="F699" s="803">
        <v>15079</v>
      </c>
      <c r="G699" s="803">
        <v>78739</v>
      </c>
      <c r="H699" s="803"/>
      <c r="I699" s="804">
        <v>1479</v>
      </c>
      <c r="J699" s="804">
        <v>69000</v>
      </c>
      <c r="K699" s="804">
        <v>5393</v>
      </c>
      <c r="L699" s="803">
        <v>8501</v>
      </c>
      <c r="M699" s="803"/>
      <c r="N699" s="804">
        <v>2759</v>
      </c>
      <c r="O699" s="804">
        <v>25468</v>
      </c>
      <c r="P699" s="804">
        <v>0</v>
      </c>
      <c r="Q699" s="803">
        <v>0</v>
      </c>
      <c r="R699" s="803"/>
      <c r="S699" s="804">
        <v>21046</v>
      </c>
      <c r="T699" s="805">
        <v>2797</v>
      </c>
      <c r="U699" s="805">
        <v>23843</v>
      </c>
    </row>
    <row r="700" spans="1:21" x14ac:dyDescent="0.25">
      <c r="A700" s="800">
        <v>97801</v>
      </c>
      <c r="B700" s="801" t="s">
        <v>3337</v>
      </c>
      <c r="C700" s="802">
        <v>7.3343000000000002E-3</v>
      </c>
      <c r="D700" s="802">
        <v>7.4117999999999996E-3</v>
      </c>
      <c r="E700" s="803">
        <v>2930302</v>
      </c>
      <c r="F700" s="803">
        <v>3326371</v>
      </c>
      <c r="G700" s="803">
        <v>15565842</v>
      </c>
      <c r="H700" s="803"/>
      <c r="I700" s="804">
        <v>292455</v>
      </c>
      <c r="J700" s="804">
        <v>13640639</v>
      </c>
      <c r="K700" s="804">
        <v>1066121</v>
      </c>
      <c r="L700" s="803">
        <v>55808</v>
      </c>
      <c r="M700" s="803"/>
      <c r="N700" s="804">
        <v>545445</v>
      </c>
      <c r="O700" s="804">
        <v>5034689</v>
      </c>
      <c r="P700" s="804">
        <v>0</v>
      </c>
      <c r="Q700" s="803">
        <v>191858</v>
      </c>
      <c r="R700" s="803"/>
      <c r="S700" s="804">
        <v>4160521</v>
      </c>
      <c r="T700" s="805">
        <v>-29463</v>
      </c>
      <c r="U700" s="805">
        <v>4131058</v>
      </c>
    </row>
    <row r="701" spans="1:21" x14ac:dyDescent="0.25">
      <c r="A701" s="800">
        <v>97802</v>
      </c>
      <c r="B701" s="801" t="s">
        <v>3338</v>
      </c>
      <c r="C701" s="802">
        <v>1.8120000000000001E-4</v>
      </c>
      <c r="D701" s="802">
        <v>1.8599999999999999E-4</v>
      </c>
      <c r="E701" s="803">
        <v>74111</v>
      </c>
      <c r="F701" s="803">
        <v>83476</v>
      </c>
      <c r="G701" s="803">
        <v>384567</v>
      </c>
      <c r="H701" s="803"/>
      <c r="I701" s="804">
        <v>7225.35</v>
      </c>
      <c r="J701" s="804">
        <v>337003</v>
      </c>
      <c r="K701" s="804">
        <v>26339</v>
      </c>
      <c r="L701" s="803">
        <v>19490</v>
      </c>
      <c r="M701" s="803"/>
      <c r="N701" s="804">
        <v>13476</v>
      </c>
      <c r="O701" s="804">
        <v>124386</v>
      </c>
      <c r="P701" s="804">
        <v>0</v>
      </c>
      <c r="Q701" s="803">
        <v>22046</v>
      </c>
      <c r="R701" s="803"/>
      <c r="S701" s="804">
        <v>102789</v>
      </c>
      <c r="T701" s="805">
        <v>2255</v>
      </c>
      <c r="U701" s="805">
        <v>105045</v>
      </c>
    </row>
    <row r="702" spans="1:21" x14ac:dyDescent="0.25">
      <c r="A702" s="800">
        <v>97803</v>
      </c>
      <c r="B702" s="801" t="s">
        <v>3339</v>
      </c>
      <c r="C702" s="802">
        <v>7.9099999999999998E-5</v>
      </c>
      <c r="D702" s="802">
        <v>7.6600000000000005E-5</v>
      </c>
      <c r="E702" s="803">
        <v>33622</v>
      </c>
      <c r="F702" s="803">
        <v>34378</v>
      </c>
      <c r="G702" s="803">
        <v>167877</v>
      </c>
      <c r="H702" s="803"/>
      <c r="I702" s="804">
        <v>3154</v>
      </c>
      <c r="J702" s="804">
        <v>147114</v>
      </c>
      <c r="K702" s="804">
        <v>11498</v>
      </c>
      <c r="L702" s="803">
        <v>9364</v>
      </c>
      <c r="M702" s="803"/>
      <c r="N702" s="804">
        <v>5883</v>
      </c>
      <c r="O702" s="804">
        <v>54299</v>
      </c>
      <c r="P702" s="804">
        <v>0</v>
      </c>
      <c r="Q702" s="803">
        <v>2358</v>
      </c>
      <c r="R702" s="803"/>
      <c r="S702" s="804">
        <v>44871</v>
      </c>
      <c r="T702" s="805">
        <v>3329</v>
      </c>
      <c r="U702" s="805">
        <v>48200</v>
      </c>
    </row>
    <row r="703" spans="1:21" x14ac:dyDescent="0.25">
      <c r="A703" s="800">
        <v>97805</v>
      </c>
      <c r="B703" s="801" t="s">
        <v>3340</v>
      </c>
      <c r="C703" s="802">
        <v>8.2600000000000002E-5</v>
      </c>
      <c r="D703" s="802">
        <v>6.7700000000000006E-5</v>
      </c>
      <c r="E703" s="803">
        <v>34033</v>
      </c>
      <c r="F703" s="803">
        <v>30383</v>
      </c>
      <c r="G703" s="803">
        <v>175305</v>
      </c>
      <c r="H703" s="803"/>
      <c r="I703" s="804">
        <v>3294</v>
      </c>
      <c r="J703" s="804">
        <v>153623</v>
      </c>
      <c r="K703" s="804">
        <v>12007</v>
      </c>
      <c r="L703" s="803">
        <v>13426</v>
      </c>
      <c r="M703" s="803"/>
      <c r="N703" s="804">
        <v>6143</v>
      </c>
      <c r="O703" s="804">
        <v>56701</v>
      </c>
      <c r="P703" s="804">
        <v>0</v>
      </c>
      <c r="Q703" s="803">
        <v>453.72</v>
      </c>
      <c r="R703" s="803"/>
      <c r="S703" s="804">
        <v>46856</v>
      </c>
      <c r="T703" s="805">
        <v>3757</v>
      </c>
      <c r="U703" s="805">
        <v>50613</v>
      </c>
    </row>
    <row r="704" spans="1:21" x14ac:dyDescent="0.25">
      <c r="A704" s="800">
        <v>97811</v>
      </c>
      <c r="B704" s="801" t="s">
        <v>3341</v>
      </c>
      <c r="C704" s="802">
        <v>2.4088E-3</v>
      </c>
      <c r="D704" s="802">
        <v>2.5788E-3</v>
      </c>
      <c r="E704" s="803">
        <v>950193</v>
      </c>
      <c r="F704" s="803">
        <v>1157350</v>
      </c>
      <c r="G704" s="803">
        <v>5112281</v>
      </c>
      <c r="H704" s="803"/>
      <c r="I704" s="804">
        <v>96050.9</v>
      </c>
      <c r="J704" s="804">
        <v>4479987</v>
      </c>
      <c r="K704" s="804">
        <v>350146</v>
      </c>
      <c r="L704" s="803">
        <v>0</v>
      </c>
      <c r="M704" s="803"/>
      <c r="N704" s="804">
        <v>179140</v>
      </c>
      <c r="O704" s="804">
        <v>1653540</v>
      </c>
      <c r="P704" s="804">
        <v>0</v>
      </c>
      <c r="Q704" s="803">
        <v>235946</v>
      </c>
      <c r="R704" s="803"/>
      <c r="S704" s="804">
        <v>1366438</v>
      </c>
      <c r="T704" s="805">
        <v>-72994</v>
      </c>
      <c r="U704" s="805">
        <v>1293444</v>
      </c>
    </row>
    <row r="705" spans="1:21" x14ac:dyDescent="0.25">
      <c r="A705" s="800">
        <v>97817</v>
      </c>
      <c r="B705" s="801" t="s">
        <v>3342</v>
      </c>
      <c r="C705" s="802">
        <v>3.9999999999999998E-6</v>
      </c>
      <c r="D705" s="802">
        <v>7.0999999999999998E-6</v>
      </c>
      <c r="E705" s="803">
        <v>7287</v>
      </c>
      <c r="F705" s="803">
        <v>3186</v>
      </c>
      <c r="G705" s="803">
        <v>8489.34</v>
      </c>
      <c r="H705" s="803"/>
      <c r="I705" s="804">
        <v>159.5</v>
      </c>
      <c r="J705" s="804">
        <v>7439</v>
      </c>
      <c r="K705" s="804">
        <v>581</v>
      </c>
      <c r="L705" s="803">
        <v>4157</v>
      </c>
      <c r="M705" s="803"/>
      <c r="N705" s="804">
        <v>297</v>
      </c>
      <c r="O705" s="804">
        <v>2746</v>
      </c>
      <c r="P705" s="804">
        <v>0</v>
      </c>
      <c r="Q705" s="803">
        <v>3747</v>
      </c>
      <c r="R705" s="803"/>
      <c r="S705" s="804">
        <v>2269</v>
      </c>
      <c r="T705" s="805">
        <v>78</v>
      </c>
      <c r="U705" s="805">
        <v>2347</v>
      </c>
    </row>
    <row r="706" spans="1:21" x14ac:dyDescent="0.25">
      <c r="A706" s="800">
        <v>97818</v>
      </c>
      <c r="B706" s="801" t="s">
        <v>3343</v>
      </c>
      <c r="C706" s="802">
        <v>2.12E-5</v>
      </c>
      <c r="D706" s="802">
        <v>8.3999999999999992E-6</v>
      </c>
      <c r="E706" s="803">
        <v>8690</v>
      </c>
      <c r="F706" s="803">
        <v>3770</v>
      </c>
      <c r="G706" s="803">
        <v>44994</v>
      </c>
      <c r="H706" s="803"/>
      <c r="I706" s="804">
        <v>845.35</v>
      </c>
      <c r="J706" s="804">
        <v>39429</v>
      </c>
      <c r="K706" s="804">
        <v>3082</v>
      </c>
      <c r="L706" s="803">
        <v>8112</v>
      </c>
      <c r="M706" s="803"/>
      <c r="N706" s="804">
        <v>1577</v>
      </c>
      <c r="O706" s="804">
        <v>14553</v>
      </c>
      <c r="P706" s="804">
        <v>0</v>
      </c>
      <c r="Q706" s="803">
        <v>4294.42</v>
      </c>
      <c r="R706" s="803"/>
      <c r="S706" s="804">
        <v>12026</v>
      </c>
      <c r="T706" s="805">
        <v>58</v>
      </c>
      <c r="U706" s="805">
        <v>12084</v>
      </c>
    </row>
    <row r="707" spans="1:21" x14ac:dyDescent="0.25">
      <c r="A707" s="800">
        <v>97821</v>
      </c>
      <c r="B707" s="801" t="s">
        <v>3344</v>
      </c>
      <c r="C707" s="802">
        <v>1.1620000000000001E-4</v>
      </c>
      <c r="D707" s="802">
        <v>1.3329999999999999E-4</v>
      </c>
      <c r="E707" s="803">
        <v>52013.57</v>
      </c>
      <c r="F707" s="803">
        <v>59824</v>
      </c>
      <c r="G707" s="803">
        <v>246615</v>
      </c>
      <c r="H707" s="803"/>
      <c r="I707" s="804">
        <v>4633</v>
      </c>
      <c r="J707" s="804">
        <v>216114</v>
      </c>
      <c r="K707" s="804">
        <v>16891</v>
      </c>
      <c r="L707" s="803">
        <v>0</v>
      </c>
      <c r="M707" s="803"/>
      <c r="N707" s="804">
        <v>8642</v>
      </c>
      <c r="O707" s="804">
        <v>79766</v>
      </c>
      <c r="P707" s="804">
        <v>0</v>
      </c>
      <c r="Q707" s="803">
        <v>26909</v>
      </c>
      <c r="R707" s="803"/>
      <c r="S707" s="804">
        <v>65917</v>
      </c>
      <c r="T707" s="805">
        <v>-10681</v>
      </c>
      <c r="U707" s="805">
        <v>55236</v>
      </c>
    </row>
    <row r="708" spans="1:21" x14ac:dyDescent="0.25">
      <c r="A708" s="800">
        <v>97823</v>
      </c>
      <c r="B708" s="801" t="s">
        <v>3345</v>
      </c>
      <c r="C708" s="802">
        <v>2.4600000000000002E-5</v>
      </c>
      <c r="D708" s="802">
        <v>2.58E-5</v>
      </c>
      <c r="E708" s="803">
        <v>11852</v>
      </c>
      <c r="F708" s="803">
        <v>11579</v>
      </c>
      <c r="G708" s="803">
        <v>52209</v>
      </c>
      <c r="H708" s="803"/>
      <c r="I708" s="804">
        <v>981</v>
      </c>
      <c r="J708" s="804">
        <v>45752</v>
      </c>
      <c r="K708" s="804">
        <v>3576</v>
      </c>
      <c r="L708" s="803">
        <v>926</v>
      </c>
      <c r="M708" s="803"/>
      <c r="N708" s="804">
        <v>1829</v>
      </c>
      <c r="O708" s="804">
        <v>16887</v>
      </c>
      <c r="P708" s="804">
        <v>0</v>
      </c>
      <c r="Q708" s="803">
        <v>1188</v>
      </c>
      <c r="R708" s="803"/>
      <c r="S708" s="804">
        <v>13955</v>
      </c>
      <c r="T708" s="805">
        <v>-338</v>
      </c>
      <c r="U708" s="805">
        <v>13616</v>
      </c>
    </row>
    <row r="709" spans="1:21" x14ac:dyDescent="0.25">
      <c r="A709" s="800">
        <v>97831</v>
      </c>
      <c r="B709" s="801" t="s">
        <v>3346</v>
      </c>
      <c r="C709" s="802">
        <v>1.482E-4</v>
      </c>
      <c r="D709" s="802">
        <v>1.5860000000000001E-4</v>
      </c>
      <c r="E709" s="803">
        <v>66463</v>
      </c>
      <c r="F709" s="803">
        <v>71179</v>
      </c>
      <c r="G709" s="803">
        <v>314530</v>
      </c>
      <c r="H709" s="803"/>
      <c r="I709" s="804">
        <v>5909</v>
      </c>
      <c r="J709" s="804">
        <v>275629</v>
      </c>
      <c r="K709" s="804">
        <v>21543</v>
      </c>
      <c r="L709" s="803">
        <v>0</v>
      </c>
      <c r="M709" s="803"/>
      <c r="N709" s="804">
        <v>11021</v>
      </c>
      <c r="O709" s="804">
        <v>101733</v>
      </c>
      <c r="P709" s="804">
        <v>0</v>
      </c>
      <c r="Q709" s="803">
        <v>14308</v>
      </c>
      <c r="R709" s="803"/>
      <c r="S709" s="804">
        <v>84069</v>
      </c>
      <c r="T709" s="805">
        <v>-5891</v>
      </c>
      <c r="U709" s="805">
        <v>78179</v>
      </c>
    </row>
    <row r="710" spans="1:21" x14ac:dyDescent="0.25">
      <c r="A710" s="800">
        <v>97837</v>
      </c>
      <c r="B710" s="801" t="s">
        <v>3347</v>
      </c>
      <c r="C710" s="802">
        <v>8.8000000000000004E-6</v>
      </c>
      <c r="D710" s="802">
        <v>1.3699999999999999E-5</v>
      </c>
      <c r="E710" s="803">
        <v>6597.01</v>
      </c>
      <c r="F710" s="803">
        <v>6148</v>
      </c>
      <c r="G710" s="803">
        <v>18677</v>
      </c>
      <c r="H710" s="803"/>
      <c r="I710" s="804">
        <v>351</v>
      </c>
      <c r="J710" s="804">
        <v>16367</v>
      </c>
      <c r="K710" s="804">
        <v>1279</v>
      </c>
      <c r="L710" s="803">
        <v>2093</v>
      </c>
      <c r="M710" s="803"/>
      <c r="N710" s="804">
        <v>654</v>
      </c>
      <c r="O710" s="804">
        <v>6041</v>
      </c>
      <c r="P710" s="804">
        <v>0</v>
      </c>
      <c r="Q710" s="803">
        <v>289</v>
      </c>
      <c r="R710" s="803"/>
      <c r="S710" s="804">
        <v>4992</v>
      </c>
      <c r="T710" s="805">
        <v>751</v>
      </c>
      <c r="U710" s="805">
        <v>5743</v>
      </c>
    </row>
    <row r="711" spans="1:21" x14ac:dyDescent="0.25">
      <c r="A711" s="800">
        <v>97840</v>
      </c>
      <c r="B711" s="801" t="s">
        <v>3348</v>
      </c>
      <c r="C711" s="802">
        <v>1.403E-4</v>
      </c>
      <c r="D711" s="802">
        <v>1.4799999999999999E-4</v>
      </c>
      <c r="E711" s="803">
        <v>98734.69</v>
      </c>
      <c r="F711" s="803">
        <v>66422</v>
      </c>
      <c r="G711" s="803">
        <v>297764</v>
      </c>
      <c r="H711" s="803"/>
      <c r="I711" s="804">
        <v>5594</v>
      </c>
      <c r="J711" s="804">
        <v>260936</v>
      </c>
      <c r="K711" s="804">
        <v>20394</v>
      </c>
      <c r="L711" s="803">
        <v>64083</v>
      </c>
      <c r="M711" s="803"/>
      <c r="N711" s="804">
        <v>10434</v>
      </c>
      <c r="O711" s="804">
        <v>96310</v>
      </c>
      <c r="P711" s="804">
        <v>0</v>
      </c>
      <c r="Q711" s="803">
        <v>1938</v>
      </c>
      <c r="R711" s="803"/>
      <c r="S711" s="804">
        <v>79588</v>
      </c>
      <c r="T711" s="805">
        <v>19035</v>
      </c>
      <c r="U711" s="805">
        <v>98623</v>
      </c>
    </row>
    <row r="712" spans="1:21" x14ac:dyDescent="0.25">
      <c r="A712" s="800">
        <v>97841</v>
      </c>
      <c r="B712" s="801" t="s">
        <v>3349</v>
      </c>
      <c r="C712" s="802">
        <v>1.45E-5</v>
      </c>
      <c r="D712" s="802">
        <v>1.5699999999999999E-5</v>
      </c>
      <c r="E712" s="803">
        <v>6090.83</v>
      </c>
      <c r="F712" s="803">
        <v>7046</v>
      </c>
      <c r="G712" s="803">
        <v>30774</v>
      </c>
      <c r="H712" s="803"/>
      <c r="I712" s="804">
        <v>578.1875</v>
      </c>
      <c r="J712" s="804">
        <v>26968</v>
      </c>
      <c r="K712" s="804">
        <v>2108</v>
      </c>
      <c r="L712" s="803">
        <v>636</v>
      </c>
      <c r="M712" s="803"/>
      <c r="N712" s="804">
        <v>1078</v>
      </c>
      <c r="O712" s="804">
        <v>9954</v>
      </c>
      <c r="P712" s="804">
        <v>0</v>
      </c>
      <c r="Q712" s="803">
        <v>8091</v>
      </c>
      <c r="R712" s="803"/>
      <c r="S712" s="804">
        <v>8225</v>
      </c>
      <c r="T712" s="805">
        <v>-3707</v>
      </c>
      <c r="U712" s="805">
        <v>4519</v>
      </c>
    </row>
    <row r="713" spans="1:21" x14ac:dyDescent="0.25">
      <c r="A713" s="800">
        <v>97847</v>
      </c>
      <c r="B713" s="801" t="s">
        <v>3350</v>
      </c>
      <c r="C713" s="802">
        <v>2.2000000000000001E-6</v>
      </c>
      <c r="D713" s="802">
        <v>2.7E-6</v>
      </c>
      <c r="E713" s="803">
        <v>1834</v>
      </c>
      <c r="F713" s="803">
        <v>1212</v>
      </c>
      <c r="G713" s="803">
        <v>4669</v>
      </c>
      <c r="H713" s="803"/>
      <c r="I713" s="804">
        <v>88</v>
      </c>
      <c r="J713" s="804">
        <v>4092</v>
      </c>
      <c r="K713" s="804">
        <v>320</v>
      </c>
      <c r="L713" s="803">
        <v>650</v>
      </c>
      <c r="M713" s="803"/>
      <c r="N713" s="804">
        <v>164</v>
      </c>
      <c r="O713" s="804">
        <v>1510</v>
      </c>
      <c r="P713" s="804">
        <v>0</v>
      </c>
      <c r="Q713" s="803">
        <v>145</v>
      </c>
      <c r="R713" s="803"/>
      <c r="S713" s="804">
        <v>1248</v>
      </c>
      <c r="T713" s="805">
        <v>113</v>
      </c>
      <c r="U713" s="805">
        <v>1361</v>
      </c>
    </row>
    <row r="714" spans="1:21" x14ac:dyDescent="0.25">
      <c r="A714" s="800">
        <v>97851</v>
      </c>
      <c r="B714" s="801" t="s">
        <v>3351</v>
      </c>
      <c r="C714" s="802">
        <v>2.7460000000000001E-4</v>
      </c>
      <c r="D714" s="802">
        <v>2.7E-4</v>
      </c>
      <c r="E714" s="803">
        <v>101247</v>
      </c>
      <c r="F714" s="803">
        <v>121174.38</v>
      </c>
      <c r="G714" s="803">
        <v>582793</v>
      </c>
      <c r="H714" s="803"/>
      <c r="I714" s="804">
        <v>10950</v>
      </c>
      <c r="J714" s="804">
        <v>510713</v>
      </c>
      <c r="K714" s="804">
        <v>39916</v>
      </c>
      <c r="L714" s="803">
        <v>2911</v>
      </c>
      <c r="M714" s="803"/>
      <c r="N714" s="804">
        <v>20422</v>
      </c>
      <c r="O714" s="804">
        <v>188501</v>
      </c>
      <c r="P714" s="804">
        <v>0</v>
      </c>
      <c r="Q714" s="803">
        <v>8317</v>
      </c>
      <c r="R714" s="803"/>
      <c r="S714" s="804">
        <v>155772</v>
      </c>
      <c r="T714" s="805">
        <v>-838</v>
      </c>
      <c r="U714" s="805">
        <v>154934</v>
      </c>
    </row>
    <row r="715" spans="1:21" x14ac:dyDescent="0.25">
      <c r="A715" s="800">
        <v>97853</v>
      </c>
      <c r="B715" s="801" t="s">
        <v>3352</v>
      </c>
      <c r="C715" s="802">
        <v>9.1600000000000004E-5</v>
      </c>
      <c r="D715" s="802">
        <v>1.114E-4</v>
      </c>
      <c r="E715" s="803">
        <v>34607</v>
      </c>
      <c r="F715" s="803">
        <v>49996</v>
      </c>
      <c r="G715" s="803">
        <v>194406</v>
      </c>
      <c r="H715" s="803"/>
      <c r="I715" s="804">
        <v>3652.55</v>
      </c>
      <c r="J715" s="804">
        <v>170362</v>
      </c>
      <c r="K715" s="804">
        <v>13315</v>
      </c>
      <c r="L715" s="803">
        <v>6323</v>
      </c>
      <c r="M715" s="803"/>
      <c r="N715" s="804">
        <v>6812</v>
      </c>
      <c r="O715" s="804">
        <v>62880</v>
      </c>
      <c r="P715" s="804">
        <v>0</v>
      </c>
      <c r="Q715" s="803">
        <v>13159</v>
      </c>
      <c r="R715" s="803"/>
      <c r="S715" s="804">
        <v>51962</v>
      </c>
      <c r="T715" s="805">
        <v>-826</v>
      </c>
      <c r="U715" s="805">
        <v>51136</v>
      </c>
    </row>
    <row r="716" spans="1:21" x14ac:dyDescent="0.25">
      <c r="A716" s="800">
        <v>97861</v>
      </c>
      <c r="B716" s="801" t="s">
        <v>3353</v>
      </c>
      <c r="C716" s="802">
        <v>6.8499999999999998E-5</v>
      </c>
      <c r="D716" s="802">
        <v>6.6799999999999997E-5</v>
      </c>
      <c r="E716" s="803">
        <v>25466</v>
      </c>
      <c r="F716" s="803">
        <v>29979</v>
      </c>
      <c r="G716" s="803">
        <v>145380</v>
      </c>
      <c r="H716" s="803"/>
      <c r="I716" s="804">
        <v>2731.4375</v>
      </c>
      <c r="J716" s="804">
        <v>127399</v>
      </c>
      <c r="K716" s="804">
        <v>9957</v>
      </c>
      <c r="L716" s="803">
        <v>2745</v>
      </c>
      <c r="M716" s="803"/>
      <c r="N716" s="804">
        <v>5094</v>
      </c>
      <c r="O716" s="804">
        <v>47022</v>
      </c>
      <c r="P716" s="804">
        <v>0</v>
      </c>
      <c r="Q716" s="803">
        <v>8154</v>
      </c>
      <c r="R716" s="803"/>
      <c r="S716" s="804">
        <v>38858</v>
      </c>
      <c r="T716" s="805">
        <v>-2826</v>
      </c>
      <c r="U716" s="805">
        <v>36032</v>
      </c>
    </row>
    <row r="717" spans="1:21" x14ac:dyDescent="0.25">
      <c r="A717" s="800">
        <v>97871</v>
      </c>
      <c r="B717" s="801" t="s">
        <v>3354</v>
      </c>
      <c r="C717" s="802">
        <v>3.1500000000000001E-4</v>
      </c>
      <c r="D717" s="802">
        <v>3.1530000000000002E-4</v>
      </c>
      <c r="E717" s="803">
        <v>247766</v>
      </c>
      <c r="F717" s="803">
        <v>141505</v>
      </c>
      <c r="G717" s="803">
        <v>668536</v>
      </c>
      <c r="H717" s="803"/>
      <c r="I717" s="804">
        <v>12560.625</v>
      </c>
      <c r="J717" s="804">
        <v>585850.23</v>
      </c>
      <c r="K717" s="804">
        <v>45789</v>
      </c>
      <c r="L717" s="803">
        <v>173467</v>
      </c>
      <c r="M717" s="803"/>
      <c r="N717" s="804">
        <v>23426</v>
      </c>
      <c r="O717" s="804">
        <v>216234</v>
      </c>
      <c r="P717" s="804">
        <v>0</v>
      </c>
      <c r="Q717" s="803">
        <v>0</v>
      </c>
      <c r="R717" s="803"/>
      <c r="S717" s="804">
        <v>178690</v>
      </c>
      <c r="T717" s="805">
        <v>54798</v>
      </c>
      <c r="U717" s="805">
        <v>233488</v>
      </c>
    </row>
    <row r="718" spans="1:21" x14ac:dyDescent="0.25">
      <c r="A718" s="800">
        <v>97877</v>
      </c>
      <c r="B718" s="801" t="s">
        <v>3355</v>
      </c>
      <c r="C718" s="802">
        <v>2.2000000000000001E-6</v>
      </c>
      <c r="D718" s="802">
        <v>2.6000000000000001E-6</v>
      </c>
      <c r="E718" s="803">
        <v>1917</v>
      </c>
      <c r="F718" s="803">
        <v>1167</v>
      </c>
      <c r="G718" s="803">
        <v>4669</v>
      </c>
      <c r="H718" s="803"/>
      <c r="I718" s="804">
        <v>88</v>
      </c>
      <c r="J718" s="804">
        <v>4092</v>
      </c>
      <c r="K718" s="804">
        <v>320</v>
      </c>
      <c r="L718" s="803">
        <v>1306</v>
      </c>
      <c r="M718" s="803"/>
      <c r="N718" s="804">
        <v>164</v>
      </c>
      <c r="O718" s="804">
        <v>1510</v>
      </c>
      <c r="P718" s="804">
        <v>0</v>
      </c>
      <c r="Q718" s="803">
        <v>0</v>
      </c>
      <c r="R718" s="803"/>
      <c r="S718" s="804">
        <v>1248</v>
      </c>
      <c r="T718" s="805">
        <v>452</v>
      </c>
      <c r="U718" s="805">
        <v>1700</v>
      </c>
    </row>
    <row r="719" spans="1:21" x14ac:dyDescent="0.25">
      <c r="A719" s="800">
        <v>97901</v>
      </c>
      <c r="B719" s="801" t="s">
        <v>3356</v>
      </c>
      <c r="C719" s="802">
        <v>4.3616999999999996E-3</v>
      </c>
      <c r="D719" s="802">
        <v>4.2928000000000003E-3</v>
      </c>
      <c r="E719" s="803">
        <v>1721465.11</v>
      </c>
      <c r="F719" s="803">
        <v>1926583</v>
      </c>
      <c r="G719" s="803">
        <v>9256989</v>
      </c>
      <c r="H719" s="803"/>
      <c r="I719" s="804">
        <v>173923</v>
      </c>
      <c r="J719" s="804">
        <v>8112073</v>
      </c>
      <c r="K719" s="804">
        <v>634021</v>
      </c>
      <c r="L719" s="803">
        <v>76379</v>
      </c>
      <c r="M719" s="803"/>
      <c r="N719" s="804">
        <v>324375</v>
      </c>
      <c r="O719" s="804">
        <v>2994124</v>
      </c>
      <c r="P719" s="804">
        <v>0</v>
      </c>
      <c r="Q719" s="803">
        <v>20062</v>
      </c>
      <c r="R719" s="803"/>
      <c r="S719" s="804">
        <v>2474257</v>
      </c>
      <c r="T719" s="805">
        <v>24654</v>
      </c>
      <c r="U719" s="805">
        <v>2498911</v>
      </c>
    </row>
    <row r="720" spans="1:21" x14ac:dyDescent="0.25">
      <c r="A720" s="800">
        <v>97911</v>
      </c>
      <c r="B720" s="801" t="s">
        <v>3357</v>
      </c>
      <c r="C720" s="802">
        <v>1.3190000000000001E-3</v>
      </c>
      <c r="D720" s="802">
        <v>1.4008E-3</v>
      </c>
      <c r="E720" s="803">
        <v>549902</v>
      </c>
      <c r="F720" s="803">
        <v>628671</v>
      </c>
      <c r="G720" s="803">
        <v>2799360</v>
      </c>
      <c r="H720" s="803"/>
      <c r="I720" s="804">
        <v>52595.125</v>
      </c>
      <c r="J720" s="804">
        <v>2453132</v>
      </c>
      <c r="K720" s="804">
        <v>191731</v>
      </c>
      <c r="L720" s="803">
        <v>50935</v>
      </c>
      <c r="M720" s="803"/>
      <c r="N720" s="804">
        <v>98093</v>
      </c>
      <c r="O720" s="804">
        <v>905438</v>
      </c>
      <c r="P720" s="804">
        <v>0</v>
      </c>
      <c r="Q720" s="803">
        <v>38377</v>
      </c>
      <c r="R720" s="803"/>
      <c r="S720" s="804">
        <v>748228</v>
      </c>
      <c r="T720" s="805">
        <v>10404</v>
      </c>
      <c r="U720" s="805">
        <v>758632</v>
      </c>
    </row>
    <row r="721" spans="1:21" x14ac:dyDescent="0.25">
      <c r="A721" s="800">
        <v>97913</v>
      </c>
      <c r="B721" s="801" t="s">
        <v>3358</v>
      </c>
      <c r="C721" s="802">
        <v>3.7400000000000001E-5</v>
      </c>
      <c r="D721" s="802">
        <v>3.7700000000000002E-5</v>
      </c>
      <c r="E721" s="803">
        <v>23994.67</v>
      </c>
      <c r="F721" s="803">
        <v>16920</v>
      </c>
      <c r="G721" s="803">
        <v>79375</v>
      </c>
      <c r="H721" s="803"/>
      <c r="I721" s="804">
        <v>1491.325</v>
      </c>
      <c r="J721" s="804">
        <v>69558</v>
      </c>
      <c r="K721" s="804">
        <v>5437</v>
      </c>
      <c r="L721" s="803">
        <v>11163</v>
      </c>
      <c r="M721" s="803"/>
      <c r="N721" s="804">
        <v>2781</v>
      </c>
      <c r="O721" s="804">
        <v>25674</v>
      </c>
      <c r="P721" s="804">
        <v>0</v>
      </c>
      <c r="Q721" s="803">
        <v>0</v>
      </c>
      <c r="R721" s="803"/>
      <c r="S721" s="804">
        <v>21216</v>
      </c>
      <c r="T721" s="805">
        <v>3404</v>
      </c>
      <c r="U721" s="805">
        <v>24620</v>
      </c>
    </row>
    <row r="722" spans="1:21" x14ac:dyDescent="0.25">
      <c r="A722" s="800">
        <v>97917</v>
      </c>
      <c r="B722" s="801" t="s">
        <v>3359</v>
      </c>
      <c r="C722" s="802">
        <v>1.98E-5</v>
      </c>
      <c r="D722" s="802">
        <v>2.0599999999999999E-5</v>
      </c>
      <c r="E722" s="803">
        <v>11950</v>
      </c>
      <c r="F722" s="803">
        <v>9245</v>
      </c>
      <c r="G722" s="803">
        <v>42022</v>
      </c>
      <c r="H722" s="803"/>
      <c r="I722" s="804">
        <v>789.52499999999998</v>
      </c>
      <c r="J722" s="804">
        <v>36825</v>
      </c>
      <c r="K722" s="804">
        <v>2878</v>
      </c>
      <c r="L722" s="803">
        <v>6195</v>
      </c>
      <c r="M722" s="803"/>
      <c r="N722" s="804">
        <v>1473</v>
      </c>
      <c r="O722" s="804">
        <v>13592</v>
      </c>
      <c r="P722" s="804">
        <v>0</v>
      </c>
      <c r="Q722" s="803">
        <v>0</v>
      </c>
      <c r="R722" s="803"/>
      <c r="S722" s="804">
        <v>11232</v>
      </c>
      <c r="T722" s="805">
        <v>2211</v>
      </c>
      <c r="U722" s="805">
        <v>13443</v>
      </c>
    </row>
    <row r="723" spans="1:21" x14ac:dyDescent="0.25">
      <c r="A723" s="800">
        <v>97921</v>
      </c>
      <c r="B723" s="801" t="s">
        <v>3360</v>
      </c>
      <c r="C723" s="802">
        <v>2.2169999999999999E-4</v>
      </c>
      <c r="D723" s="802">
        <v>2.3599999999999999E-4</v>
      </c>
      <c r="E723" s="803">
        <v>93980.13</v>
      </c>
      <c r="F723" s="803">
        <v>105915</v>
      </c>
      <c r="G723" s="803">
        <v>470522</v>
      </c>
      <c r="H723" s="803"/>
      <c r="I723" s="804">
        <v>8840</v>
      </c>
      <c r="J723" s="804">
        <v>412327</v>
      </c>
      <c r="K723" s="804">
        <v>32227</v>
      </c>
      <c r="L723" s="803">
        <v>17914</v>
      </c>
      <c r="M723" s="803"/>
      <c r="N723" s="804">
        <v>16488</v>
      </c>
      <c r="O723" s="804">
        <v>152188</v>
      </c>
      <c r="P723" s="804">
        <v>0</v>
      </c>
      <c r="Q723" s="803">
        <v>8707</v>
      </c>
      <c r="R723" s="803"/>
      <c r="S723" s="804">
        <v>125764</v>
      </c>
      <c r="T723" s="805">
        <v>3320</v>
      </c>
      <c r="U723" s="805">
        <v>129084</v>
      </c>
    </row>
    <row r="724" spans="1:21" x14ac:dyDescent="0.25">
      <c r="A724" s="800">
        <v>97931</v>
      </c>
      <c r="B724" s="801" t="s">
        <v>3361</v>
      </c>
      <c r="C724" s="802">
        <v>6.1600000000000007E-5</v>
      </c>
      <c r="D724" s="802">
        <v>6.7999999999999999E-5</v>
      </c>
      <c r="E724" s="803">
        <v>26190.6</v>
      </c>
      <c r="F724" s="803">
        <v>30518</v>
      </c>
      <c r="G724" s="803">
        <v>130736</v>
      </c>
      <c r="H724" s="803"/>
      <c r="I724" s="804">
        <v>2456</v>
      </c>
      <c r="J724" s="804">
        <v>114566</v>
      </c>
      <c r="K724" s="804">
        <v>8954</v>
      </c>
      <c r="L724" s="803">
        <v>19564</v>
      </c>
      <c r="M724" s="803"/>
      <c r="N724" s="804">
        <v>4581</v>
      </c>
      <c r="O724" s="804">
        <v>42286</v>
      </c>
      <c r="P724" s="804">
        <v>0</v>
      </c>
      <c r="Q724" s="803">
        <v>13697</v>
      </c>
      <c r="R724" s="803"/>
      <c r="S724" s="804">
        <v>34944</v>
      </c>
      <c r="T724" s="805">
        <v>733</v>
      </c>
      <c r="U724" s="805">
        <v>35677</v>
      </c>
    </row>
    <row r="725" spans="1:21" x14ac:dyDescent="0.25">
      <c r="A725" s="800">
        <v>97941</v>
      </c>
      <c r="B725" s="801" t="s">
        <v>3362</v>
      </c>
      <c r="C725" s="802">
        <v>2.3330000000000001E-4</v>
      </c>
      <c r="D725" s="802">
        <v>2.3120000000000001E-4</v>
      </c>
      <c r="E725" s="803">
        <v>99201.06</v>
      </c>
      <c r="F725" s="803">
        <v>103761</v>
      </c>
      <c r="G725" s="803">
        <v>495141</v>
      </c>
      <c r="H725" s="803"/>
      <c r="I725" s="804">
        <v>9303</v>
      </c>
      <c r="J725" s="804">
        <v>433901</v>
      </c>
      <c r="K725" s="804">
        <v>33913</v>
      </c>
      <c r="L725" s="803">
        <v>27337</v>
      </c>
      <c r="M725" s="803"/>
      <c r="N725" s="804">
        <v>17350</v>
      </c>
      <c r="O725" s="804">
        <v>160151</v>
      </c>
      <c r="P725" s="804">
        <v>0</v>
      </c>
      <c r="Q725" s="803">
        <v>299</v>
      </c>
      <c r="R725" s="803"/>
      <c r="S725" s="804">
        <v>132344</v>
      </c>
      <c r="T725" s="805">
        <v>9188</v>
      </c>
      <c r="U725" s="805">
        <v>141532</v>
      </c>
    </row>
    <row r="726" spans="1:21" x14ac:dyDescent="0.25">
      <c r="A726" s="800">
        <v>97947</v>
      </c>
      <c r="B726" s="801" t="s">
        <v>3363</v>
      </c>
      <c r="C726" s="802">
        <v>1.5500000000000001E-5</v>
      </c>
      <c r="D726" s="802">
        <v>1.1199999999999999E-5</v>
      </c>
      <c r="E726" s="803">
        <v>11155</v>
      </c>
      <c r="F726" s="803">
        <v>5026</v>
      </c>
      <c r="G726" s="803">
        <v>32896</v>
      </c>
      <c r="H726" s="803"/>
      <c r="I726" s="804">
        <v>618.0625</v>
      </c>
      <c r="J726" s="804">
        <v>28828</v>
      </c>
      <c r="K726" s="804">
        <v>2253</v>
      </c>
      <c r="L726" s="803">
        <v>9195</v>
      </c>
      <c r="M726" s="803"/>
      <c r="N726" s="804">
        <v>1153</v>
      </c>
      <c r="O726" s="804">
        <v>10640</v>
      </c>
      <c r="P726" s="804">
        <v>0</v>
      </c>
      <c r="Q726" s="803">
        <v>615</v>
      </c>
      <c r="R726" s="803"/>
      <c r="S726" s="804">
        <v>8793</v>
      </c>
      <c r="T726" s="805">
        <v>2366</v>
      </c>
      <c r="U726" s="805">
        <v>11159</v>
      </c>
    </row>
    <row r="727" spans="1:21" x14ac:dyDescent="0.25">
      <c r="A727" s="800">
        <v>97948</v>
      </c>
      <c r="B727" s="801" t="s">
        <v>3364</v>
      </c>
      <c r="C727" s="802">
        <v>3.5200000000000002E-5</v>
      </c>
      <c r="D727" s="802">
        <v>3.43E-5</v>
      </c>
      <c r="E727" s="803">
        <v>13688</v>
      </c>
      <c r="F727" s="803">
        <v>15394</v>
      </c>
      <c r="G727" s="803">
        <v>74706</v>
      </c>
      <c r="H727" s="803"/>
      <c r="I727" s="804">
        <v>1404</v>
      </c>
      <c r="J727" s="804">
        <v>65466</v>
      </c>
      <c r="K727" s="804">
        <v>5117</v>
      </c>
      <c r="L727" s="803">
        <v>3029</v>
      </c>
      <c r="M727" s="803"/>
      <c r="N727" s="804">
        <v>2618</v>
      </c>
      <c r="O727" s="804">
        <v>24163</v>
      </c>
      <c r="P727" s="804">
        <v>0</v>
      </c>
      <c r="Q727" s="803">
        <v>138</v>
      </c>
      <c r="R727" s="803"/>
      <c r="S727" s="804">
        <v>19968</v>
      </c>
      <c r="T727" s="805">
        <v>1084</v>
      </c>
      <c r="U727" s="805">
        <v>21052</v>
      </c>
    </row>
    <row r="728" spans="1:21" x14ac:dyDescent="0.25">
      <c r="A728" s="800">
        <v>97951</v>
      </c>
      <c r="B728" s="801" t="s">
        <v>3365</v>
      </c>
      <c r="C728" s="802">
        <v>1.2497000000000001E-3</v>
      </c>
      <c r="D728" s="802">
        <v>1.2842000000000001E-3</v>
      </c>
      <c r="E728" s="803">
        <v>544314.75</v>
      </c>
      <c r="F728" s="803">
        <v>576341</v>
      </c>
      <c r="G728" s="803">
        <v>2652282</v>
      </c>
      <c r="H728" s="803"/>
      <c r="I728" s="804">
        <v>49832</v>
      </c>
      <c r="J728" s="804">
        <v>2324245</v>
      </c>
      <c r="K728" s="804">
        <v>181658</v>
      </c>
      <c r="L728" s="803">
        <v>21304</v>
      </c>
      <c r="M728" s="803"/>
      <c r="N728" s="804">
        <v>92939</v>
      </c>
      <c r="O728" s="804">
        <v>857867</v>
      </c>
      <c r="P728" s="804">
        <v>0</v>
      </c>
      <c r="Q728" s="803">
        <v>14204.62</v>
      </c>
      <c r="R728" s="803"/>
      <c r="S728" s="804">
        <v>708916</v>
      </c>
      <c r="T728" s="805">
        <v>-103</v>
      </c>
      <c r="U728" s="805">
        <v>708813</v>
      </c>
    </row>
    <row r="729" spans="1:21" x14ac:dyDescent="0.25">
      <c r="A729" s="800">
        <v>97957</v>
      </c>
      <c r="B729" s="801" t="s">
        <v>3366</v>
      </c>
      <c r="C729" s="802">
        <v>1.9599999999999999E-5</v>
      </c>
      <c r="D729" s="802">
        <v>1.9899999999999999E-5</v>
      </c>
      <c r="E729" s="803">
        <v>11054</v>
      </c>
      <c r="F729" s="803">
        <v>8931</v>
      </c>
      <c r="G729" s="803">
        <v>41598</v>
      </c>
      <c r="H729" s="803"/>
      <c r="I729" s="804">
        <v>781.55</v>
      </c>
      <c r="J729" s="804">
        <v>36453</v>
      </c>
      <c r="K729" s="804">
        <v>2849</v>
      </c>
      <c r="L729" s="803">
        <v>2215</v>
      </c>
      <c r="M729" s="803"/>
      <c r="N729" s="804">
        <v>1458</v>
      </c>
      <c r="O729" s="804">
        <v>13455</v>
      </c>
      <c r="P729" s="804">
        <v>0</v>
      </c>
      <c r="Q729" s="803">
        <v>1781</v>
      </c>
      <c r="R729" s="803"/>
      <c r="S729" s="804">
        <v>11118</v>
      </c>
      <c r="T729" s="805">
        <v>-84</v>
      </c>
      <c r="U729" s="805">
        <v>11035</v>
      </c>
    </row>
    <row r="730" spans="1:21" x14ac:dyDescent="0.25">
      <c r="A730" s="800">
        <v>98001</v>
      </c>
      <c r="B730" s="801" t="s">
        <v>3367</v>
      </c>
      <c r="C730" s="802">
        <v>4.9659999999999999E-3</v>
      </c>
      <c r="D730" s="802">
        <v>4.9379999999999997E-3</v>
      </c>
      <c r="E730" s="803">
        <v>2027252.35</v>
      </c>
      <c r="F730" s="803">
        <v>2216145</v>
      </c>
      <c r="G730" s="803">
        <v>10539516</v>
      </c>
      <c r="H730" s="803"/>
      <c r="I730" s="804">
        <v>198019.25</v>
      </c>
      <c r="J730" s="804">
        <v>9235975</v>
      </c>
      <c r="K730" s="804">
        <v>721863</v>
      </c>
      <c r="L730" s="803">
        <v>119593</v>
      </c>
      <c r="M730" s="803"/>
      <c r="N730" s="804">
        <v>369316</v>
      </c>
      <c r="O730" s="804">
        <v>3408950</v>
      </c>
      <c r="P730" s="804">
        <v>0</v>
      </c>
      <c r="Q730" s="803">
        <v>0</v>
      </c>
      <c r="R730" s="803"/>
      <c r="S730" s="804">
        <v>2817058</v>
      </c>
      <c r="T730" s="805">
        <v>52585</v>
      </c>
      <c r="U730" s="805">
        <v>2869642</v>
      </c>
    </row>
    <row r="731" spans="1:21" x14ac:dyDescent="0.25">
      <c r="A731" s="800">
        <v>98002</v>
      </c>
      <c r="B731" s="801" t="s">
        <v>3368</v>
      </c>
      <c r="C731" s="802">
        <v>7.3000000000000004E-6</v>
      </c>
      <c r="D731" s="802">
        <v>7.1999999999999997E-6</v>
      </c>
      <c r="E731" s="803">
        <v>3645</v>
      </c>
      <c r="F731" s="803">
        <v>3231</v>
      </c>
      <c r="G731" s="803">
        <v>15493</v>
      </c>
      <c r="H731" s="803"/>
      <c r="I731" s="804">
        <v>291</v>
      </c>
      <c r="J731" s="804">
        <v>13577</v>
      </c>
      <c r="K731" s="804">
        <v>1061</v>
      </c>
      <c r="L731" s="803">
        <v>799</v>
      </c>
      <c r="M731" s="803"/>
      <c r="N731" s="804">
        <v>543</v>
      </c>
      <c r="O731" s="804">
        <v>5011</v>
      </c>
      <c r="P731" s="804">
        <v>0</v>
      </c>
      <c r="Q731" s="803">
        <v>13050</v>
      </c>
      <c r="R731" s="803"/>
      <c r="S731" s="804">
        <v>4141</v>
      </c>
      <c r="T731" s="805">
        <v>-6329</v>
      </c>
      <c r="U731" s="805">
        <v>-2188</v>
      </c>
    </row>
    <row r="732" spans="1:21" x14ac:dyDescent="0.25">
      <c r="A732" s="800">
        <v>98003</v>
      </c>
      <c r="B732" s="801" t="s">
        <v>3369</v>
      </c>
      <c r="C732" s="802">
        <v>8.1600000000000005E-5</v>
      </c>
      <c r="D732" s="802">
        <v>6.8100000000000002E-5</v>
      </c>
      <c r="E732" s="803">
        <v>60648.32</v>
      </c>
      <c r="F732" s="803">
        <v>30563</v>
      </c>
      <c r="G732" s="803">
        <v>173183</v>
      </c>
      <c r="H732" s="803"/>
      <c r="I732" s="804">
        <v>3253.8</v>
      </c>
      <c r="J732" s="804">
        <v>151763</v>
      </c>
      <c r="K732" s="804">
        <v>11861</v>
      </c>
      <c r="L732" s="803">
        <v>41565</v>
      </c>
      <c r="M732" s="803"/>
      <c r="N732" s="804">
        <v>6069</v>
      </c>
      <c r="O732" s="804">
        <v>56015</v>
      </c>
      <c r="P732" s="804">
        <v>0</v>
      </c>
      <c r="Q732" s="803">
        <v>0</v>
      </c>
      <c r="R732" s="803"/>
      <c r="S732" s="804">
        <v>46289</v>
      </c>
      <c r="T732" s="805">
        <v>12223</v>
      </c>
      <c r="U732" s="805">
        <v>58512</v>
      </c>
    </row>
    <row r="733" spans="1:21" x14ac:dyDescent="0.25">
      <c r="A733" s="800">
        <v>98004</v>
      </c>
      <c r="B733" s="801" t="s">
        <v>3370</v>
      </c>
      <c r="C733" s="802">
        <v>1.209E-4</v>
      </c>
      <c r="D733" s="802">
        <v>1.2630000000000001E-4</v>
      </c>
      <c r="E733" s="803">
        <v>71693</v>
      </c>
      <c r="F733" s="803">
        <v>56683</v>
      </c>
      <c r="G733" s="803">
        <v>256590</v>
      </c>
      <c r="H733" s="803"/>
      <c r="I733" s="804">
        <v>4821</v>
      </c>
      <c r="J733" s="804">
        <v>224855</v>
      </c>
      <c r="K733" s="804">
        <v>17574</v>
      </c>
      <c r="L733" s="803">
        <v>29242</v>
      </c>
      <c r="M733" s="803"/>
      <c r="N733" s="804">
        <v>8991</v>
      </c>
      <c r="O733" s="804">
        <v>82993</v>
      </c>
      <c r="P733" s="804">
        <v>0</v>
      </c>
      <c r="Q733" s="803">
        <v>0</v>
      </c>
      <c r="R733" s="803"/>
      <c r="S733" s="804">
        <v>68583</v>
      </c>
      <c r="T733" s="805">
        <v>9885</v>
      </c>
      <c r="U733" s="805">
        <v>78468</v>
      </c>
    </row>
    <row r="734" spans="1:21" x14ac:dyDescent="0.25">
      <c r="A734" s="800">
        <v>98008</v>
      </c>
      <c r="B734" s="801" t="s">
        <v>3371</v>
      </c>
      <c r="C734" s="802">
        <v>7.7999999999999999E-6</v>
      </c>
      <c r="D734" s="802">
        <v>8.3000000000000002E-6</v>
      </c>
      <c r="E734" s="803">
        <v>3014</v>
      </c>
      <c r="F734" s="803">
        <v>3725</v>
      </c>
      <c r="G734" s="803">
        <v>16554</v>
      </c>
      <c r="H734" s="803"/>
      <c r="I734" s="804">
        <v>311</v>
      </c>
      <c r="J734" s="804">
        <v>14507</v>
      </c>
      <c r="K734" s="804">
        <v>1134</v>
      </c>
      <c r="L734" s="803">
        <v>0</v>
      </c>
      <c r="M734" s="803"/>
      <c r="N734" s="804">
        <v>580</v>
      </c>
      <c r="O734" s="804">
        <v>5354</v>
      </c>
      <c r="P734" s="804">
        <v>0</v>
      </c>
      <c r="Q734" s="803">
        <v>1300</v>
      </c>
      <c r="R734" s="803"/>
      <c r="S734" s="804">
        <v>4425</v>
      </c>
      <c r="T734" s="805">
        <v>-496</v>
      </c>
      <c r="U734" s="805">
        <v>3929</v>
      </c>
    </row>
    <row r="735" spans="1:21" x14ac:dyDescent="0.25">
      <c r="A735" s="800">
        <v>98011</v>
      </c>
      <c r="B735" s="801" t="s">
        <v>3372</v>
      </c>
      <c r="C735" s="802">
        <v>3.1795E-3</v>
      </c>
      <c r="D735" s="802">
        <v>3.5899E-3</v>
      </c>
      <c r="E735" s="803">
        <v>1249396</v>
      </c>
      <c r="F735" s="803">
        <v>1611126</v>
      </c>
      <c r="G735" s="803">
        <v>6747964</v>
      </c>
      <c r="H735" s="803"/>
      <c r="I735" s="804">
        <v>126783</v>
      </c>
      <c r="J735" s="804">
        <v>5913368</v>
      </c>
      <c r="K735" s="804">
        <v>462175</v>
      </c>
      <c r="L735" s="803">
        <v>0</v>
      </c>
      <c r="M735" s="803"/>
      <c r="N735" s="804">
        <v>236456</v>
      </c>
      <c r="O735" s="804">
        <v>2182593</v>
      </c>
      <c r="P735" s="804">
        <v>0</v>
      </c>
      <c r="Q735" s="803">
        <v>424125</v>
      </c>
      <c r="R735" s="803"/>
      <c r="S735" s="804">
        <v>1803632</v>
      </c>
      <c r="T735" s="805">
        <v>-139309</v>
      </c>
      <c r="U735" s="805">
        <v>1664322</v>
      </c>
    </row>
    <row r="736" spans="1:21" x14ac:dyDescent="0.25">
      <c r="A736" s="800">
        <v>98013</v>
      </c>
      <c r="B736" s="801" t="s">
        <v>3373</v>
      </c>
      <c r="C736" s="802">
        <v>1.426E-4</v>
      </c>
      <c r="D736" s="802">
        <v>1.427E-4</v>
      </c>
      <c r="E736" s="803">
        <v>126822.16</v>
      </c>
      <c r="F736" s="803">
        <v>64043</v>
      </c>
      <c r="G736" s="803">
        <v>302645</v>
      </c>
      <c r="H736" s="803"/>
      <c r="I736" s="804">
        <v>5686</v>
      </c>
      <c r="J736" s="804">
        <v>265213</v>
      </c>
      <c r="K736" s="804">
        <v>20728</v>
      </c>
      <c r="L736" s="803">
        <v>97343</v>
      </c>
      <c r="M736" s="803"/>
      <c r="N736" s="804">
        <v>10605</v>
      </c>
      <c r="O736" s="804">
        <v>97889</v>
      </c>
      <c r="P736" s="804">
        <v>0</v>
      </c>
      <c r="Q736" s="803">
        <v>4167</v>
      </c>
      <c r="R736" s="803"/>
      <c r="S736" s="804">
        <v>80893</v>
      </c>
      <c r="T736" s="805">
        <v>27256</v>
      </c>
      <c r="U736" s="805">
        <v>108149</v>
      </c>
    </row>
    <row r="737" spans="1:21" x14ac:dyDescent="0.25">
      <c r="A737" s="800">
        <v>98021</v>
      </c>
      <c r="B737" s="801" t="s">
        <v>3374</v>
      </c>
      <c r="C737" s="802">
        <v>7.5099999999999996E-5</v>
      </c>
      <c r="D737" s="802">
        <v>7.4099999999999999E-5</v>
      </c>
      <c r="E737" s="803">
        <v>28245.75</v>
      </c>
      <c r="F737" s="803">
        <v>33256</v>
      </c>
      <c r="G737" s="803">
        <v>159387</v>
      </c>
      <c r="H737" s="803"/>
      <c r="I737" s="804">
        <v>2995</v>
      </c>
      <c r="J737" s="804">
        <v>139674</v>
      </c>
      <c r="K737" s="804">
        <v>10917</v>
      </c>
      <c r="L737" s="803">
        <v>20868</v>
      </c>
      <c r="M737" s="803"/>
      <c r="N737" s="804">
        <v>5585</v>
      </c>
      <c r="O737" s="804">
        <v>51553</v>
      </c>
      <c r="P737" s="804">
        <v>0</v>
      </c>
      <c r="Q737" s="803">
        <v>1894</v>
      </c>
      <c r="R737" s="803"/>
      <c r="S737" s="804">
        <v>42602</v>
      </c>
      <c r="T737" s="805">
        <v>6826</v>
      </c>
      <c r="U737" s="805">
        <v>49428</v>
      </c>
    </row>
    <row r="738" spans="1:21" x14ac:dyDescent="0.25">
      <c r="A738" s="800">
        <v>98023</v>
      </c>
      <c r="B738" s="801" t="s">
        <v>3375</v>
      </c>
      <c r="C738" s="802">
        <v>1.45E-5</v>
      </c>
      <c r="D738" s="802">
        <v>2.1500000000000001E-5</v>
      </c>
      <c r="E738" s="803">
        <v>6210.57</v>
      </c>
      <c r="F738" s="803">
        <v>9649</v>
      </c>
      <c r="G738" s="803">
        <v>30774</v>
      </c>
      <c r="H738" s="803"/>
      <c r="I738" s="804">
        <v>578.1875</v>
      </c>
      <c r="J738" s="804">
        <v>26968</v>
      </c>
      <c r="K738" s="804">
        <v>2108</v>
      </c>
      <c r="L738" s="803">
        <v>0</v>
      </c>
      <c r="M738" s="803"/>
      <c r="N738" s="804">
        <v>1078</v>
      </c>
      <c r="O738" s="804">
        <v>9954</v>
      </c>
      <c r="P738" s="804">
        <v>0</v>
      </c>
      <c r="Q738" s="803">
        <v>7858</v>
      </c>
      <c r="R738" s="803"/>
      <c r="S738" s="804">
        <v>8225</v>
      </c>
      <c r="T738" s="805">
        <v>-2638</v>
      </c>
      <c r="U738" s="805">
        <v>5587</v>
      </c>
    </row>
    <row r="739" spans="1:21" x14ac:dyDescent="0.25">
      <c r="A739" s="800">
        <v>98031</v>
      </c>
      <c r="B739" s="801" t="s">
        <v>3376</v>
      </c>
      <c r="C739" s="802">
        <v>1.5530000000000001E-4</v>
      </c>
      <c r="D739" s="802">
        <v>1.7009999999999999E-4</v>
      </c>
      <c r="E739" s="803">
        <v>66785.13</v>
      </c>
      <c r="F739" s="803">
        <v>76340</v>
      </c>
      <c r="G739" s="803">
        <v>329599</v>
      </c>
      <c r="H739" s="803"/>
      <c r="I739" s="804">
        <v>6193</v>
      </c>
      <c r="J739" s="804">
        <v>288833</v>
      </c>
      <c r="K739" s="804">
        <v>22575</v>
      </c>
      <c r="L739" s="803">
        <v>7207</v>
      </c>
      <c r="M739" s="803"/>
      <c r="N739" s="804">
        <v>11550</v>
      </c>
      <c r="O739" s="804">
        <v>106607</v>
      </c>
      <c r="P739" s="804">
        <v>0</v>
      </c>
      <c r="Q739" s="803">
        <v>8978</v>
      </c>
      <c r="R739" s="803"/>
      <c r="S739" s="804">
        <v>88097</v>
      </c>
      <c r="T739" s="805">
        <v>-569</v>
      </c>
      <c r="U739" s="805">
        <v>87528</v>
      </c>
    </row>
    <row r="740" spans="1:21" x14ac:dyDescent="0.25">
      <c r="A740" s="800">
        <v>98041</v>
      </c>
      <c r="B740" s="801" t="s">
        <v>3377</v>
      </c>
      <c r="C740" s="802">
        <v>1.6559999999999999E-4</v>
      </c>
      <c r="D740" s="802">
        <v>1.438E-4</v>
      </c>
      <c r="E740" s="803">
        <v>62577.35</v>
      </c>
      <c r="F740" s="803">
        <v>64537</v>
      </c>
      <c r="G740" s="803">
        <v>351459</v>
      </c>
      <c r="H740" s="803"/>
      <c r="I740" s="804">
        <v>6603</v>
      </c>
      <c r="J740" s="804">
        <v>307990</v>
      </c>
      <c r="K740" s="804">
        <v>24072</v>
      </c>
      <c r="L740" s="803">
        <v>7422</v>
      </c>
      <c r="M740" s="803"/>
      <c r="N740" s="804">
        <v>12316</v>
      </c>
      <c r="O740" s="804">
        <v>113677</v>
      </c>
      <c r="P740" s="804">
        <v>0</v>
      </c>
      <c r="Q740" s="803">
        <v>9673</v>
      </c>
      <c r="R740" s="803"/>
      <c r="S740" s="804">
        <v>93940</v>
      </c>
      <c r="T740" s="805">
        <v>-1971</v>
      </c>
      <c r="U740" s="805">
        <v>91969</v>
      </c>
    </row>
    <row r="741" spans="1:21" x14ac:dyDescent="0.25">
      <c r="A741" s="800">
        <v>98051</v>
      </c>
      <c r="B741" s="801" t="s">
        <v>3378</v>
      </c>
      <c r="C741" s="802">
        <v>3.0019999999999998E-4</v>
      </c>
      <c r="D741" s="802">
        <v>2.699E-4</v>
      </c>
      <c r="E741" s="803">
        <v>123086</v>
      </c>
      <c r="F741" s="803">
        <v>121130</v>
      </c>
      <c r="G741" s="803">
        <v>637125</v>
      </c>
      <c r="H741" s="803"/>
      <c r="I741" s="804">
        <v>11970</v>
      </c>
      <c r="J741" s="804">
        <v>558325</v>
      </c>
      <c r="K741" s="804">
        <v>43637</v>
      </c>
      <c r="L741" s="803">
        <v>31222</v>
      </c>
      <c r="M741" s="803"/>
      <c r="N741" s="804">
        <v>22326</v>
      </c>
      <c r="O741" s="804">
        <v>206075</v>
      </c>
      <c r="P741" s="804">
        <v>0</v>
      </c>
      <c r="Q741" s="803">
        <v>229</v>
      </c>
      <c r="R741" s="803"/>
      <c r="S741" s="804">
        <v>170294</v>
      </c>
      <c r="T741" s="805">
        <v>9416</v>
      </c>
      <c r="U741" s="805">
        <v>179711</v>
      </c>
    </row>
    <row r="742" spans="1:21" x14ac:dyDescent="0.25">
      <c r="A742" s="800">
        <v>98061</v>
      </c>
      <c r="B742" s="801" t="s">
        <v>3379</v>
      </c>
      <c r="C742" s="802">
        <v>9.9099999999999996E-5</v>
      </c>
      <c r="D742" s="802">
        <v>1.3410000000000001E-4</v>
      </c>
      <c r="E742" s="803">
        <v>42535.31</v>
      </c>
      <c r="F742" s="803">
        <v>60183</v>
      </c>
      <c r="G742" s="803">
        <v>210323</v>
      </c>
      <c r="H742" s="803"/>
      <c r="I742" s="804">
        <v>3952</v>
      </c>
      <c r="J742" s="804">
        <v>184310</v>
      </c>
      <c r="K742" s="804">
        <v>14405</v>
      </c>
      <c r="L742" s="803">
        <v>0</v>
      </c>
      <c r="M742" s="803"/>
      <c r="N742" s="804">
        <v>7370</v>
      </c>
      <c r="O742" s="804">
        <v>68028</v>
      </c>
      <c r="P742" s="804">
        <v>0</v>
      </c>
      <c r="Q742" s="803">
        <v>24647</v>
      </c>
      <c r="R742" s="803"/>
      <c r="S742" s="804">
        <v>56216</v>
      </c>
      <c r="T742" s="805">
        <v>-7215</v>
      </c>
      <c r="U742" s="805">
        <v>49002</v>
      </c>
    </row>
    <row r="743" spans="1:21" x14ac:dyDescent="0.25">
      <c r="A743" s="800">
        <v>98071</v>
      </c>
      <c r="B743" s="801" t="s">
        <v>3380</v>
      </c>
      <c r="C743" s="802">
        <v>3.4400000000000003E-5</v>
      </c>
      <c r="D743" s="802">
        <v>3.2299999999999999E-5</v>
      </c>
      <c r="E743" s="803">
        <v>24294.65</v>
      </c>
      <c r="F743" s="803">
        <v>14496</v>
      </c>
      <c r="G743" s="803">
        <v>73008</v>
      </c>
      <c r="H743" s="803"/>
      <c r="I743" s="804">
        <v>1371.7</v>
      </c>
      <c r="J743" s="804">
        <v>63979</v>
      </c>
      <c r="K743" s="804">
        <v>5000</v>
      </c>
      <c r="L743" s="803">
        <v>9217</v>
      </c>
      <c r="M743" s="803"/>
      <c r="N743" s="804">
        <v>2558</v>
      </c>
      <c r="O743" s="804">
        <v>23614</v>
      </c>
      <c r="P743" s="804">
        <v>0</v>
      </c>
      <c r="Q743" s="803">
        <v>1859</v>
      </c>
      <c r="R743" s="803"/>
      <c r="S743" s="804">
        <v>19514</v>
      </c>
      <c r="T743" s="805">
        <v>1734</v>
      </c>
      <c r="U743" s="805">
        <v>21248</v>
      </c>
    </row>
    <row r="744" spans="1:21" x14ac:dyDescent="0.25">
      <c r="A744" s="800">
        <v>98081</v>
      </c>
      <c r="B744" s="801" t="s">
        <v>3381</v>
      </c>
      <c r="C744" s="802">
        <v>1.9400000000000001E-5</v>
      </c>
      <c r="D744" s="802">
        <v>2.0999999999999999E-5</v>
      </c>
      <c r="E744" s="803">
        <v>6798</v>
      </c>
      <c r="F744" s="803">
        <v>9425</v>
      </c>
      <c r="G744" s="803">
        <v>41173</v>
      </c>
      <c r="H744" s="803"/>
      <c r="I744" s="804">
        <v>773.57500000000005</v>
      </c>
      <c r="J744" s="804">
        <v>36081</v>
      </c>
      <c r="K744" s="804">
        <v>2820</v>
      </c>
      <c r="L744" s="803">
        <v>0</v>
      </c>
      <c r="M744" s="803"/>
      <c r="N744" s="804">
        <v>1443</v>
      </c>
      <c r="O744" s="804">
        <v>13317</v>
      </c>
      <c r="P744" s="804">
        <v>0</v>
      </c>
      <c r="Q744" s="803">
        <v>4336</v>
      </c>
      <c r="R744" s="803"/>
      <c r="S744" s="804">
        <v>11005</v>
      </c>
      <c r="T744" s="805">
        <v>-1542</v>
      </c>
      <c r="U744" s="805">
        <v>9463</v>
      </c>
    </row>
    <row r="745" spans="1:21" x14ac:dyDescent="0.25">
      <c r="A745" s="800">
        <v>98091</v>
      </c>
      <c r="B745" s="801" t="s">
        <v>3382</v>
      </c>
      <c r="C745" s="802">
        <v>5.0899999999999997E-5</v>
      </c>
      <c r="D745" s="802">
        <v>5.49E-5</v>
      </c>
      <c r="E745" s="803">
        <v>23937.15</v>
      </c>
      <c r="F745" s="803">
        <v>24639</v>
      </c>
      <c r="G745" s="803">
        <v>108027</v>
      </c>
      <c r="H745" s="803"/>
      <c r="I745" s="804">
        <v>2030</v>
      </c>
      <c r="J745" s="804">
        <v>94666</v>
      </c>
      <c r="K745" s="804">
        <v>7399</v>
      </c>
      <c r="L745" s="803">
        <v>1196</v>
      </c>
      <c r="M745" s="803"/>
      <c r="N745" s="804">
        <v>3785</v>
      </c>
      <c r="O745" s="804">
        <v>34941</v>
      </c>
      <c r="P745" s="804">
        <v>0</v>
      </c>
      <c r="Q745" s="803">
        <v>1622</v>
      </c>
      <c r="R745" s="803"/>
      <c r="S745" s="804">
        <v>28874</v>
      </c>
      <c r="T745" s="805">
        <v>-412</v>
      </c>
      <c r="U745" s="805">
        <v>28462</v>
      </c>
    </row>
    <row r="746" spans="1:21" x14ac:dyDescent="0.25">
      <c r="A746" s="800">
        <v>98101</v>
      </c>
      <c r="B746" s="801" t="s">
        <v>3383</v>
      </c>
      <c r="C746" s="802">
        <v>2.7642999999999999E-3</v>
      </c>
      <c r="D746" s="802">
        <v>2.7445E-3</v>
      </c>
      <c r="E746" s="803">
        <v>1093303.25</v>
      </c>
      <c r="F746" s="803">
        <v>1231715</v>
      </c>
      <c r="G746" s="803">
        <v>5866771</v>
      </c>
      <c r="H746" s="803"/>
      <c r="I746" s="804">
        <v>110226</v>
      </c>
      <c r="J746" s="804">
        <v>5141161</v>
      </c>
      <c r="K746" s="804">
        <v>401821</v>
      </c>
      <c r="L746" s="803">
        <v>61462</v>
      </c>
      <c r="M746" s="803"/>
      <c r="N746" s="804">
        <v>205578</v>
      </c>
      <c r="O746" s="804">
        <v>1897576</v>
      </c>
      <c r="P746" s="804">
        <v>0</v>
      </c>
      <c r="Q746" s="803">
        <v>23820</v>
      </c>
      <c r="R746" s="803"/>
      <c r="S746" s="804">
        <v>1568102</v>
      </c>
      <c r="T746" s="805">
        <v>17983</v>
      </c>
      <c r="U746" s="805">
        <v>1586085</v>
      </c>
    </row>
    <row r="747" spans="1:21" x14ac:dyDescent="0.25">
      <c r="A747" s="800">
        <v>98102</v>
      </c>
      <c r="B747" s="801" t="s">
        <v>3384</v>
      </c>
      <c r="C747" s="802">
        <v>1.683E-4</v>
      </c>
      <c r="D747" s="802">
        <v>1.7259999999999999E-4</v>
      </c>
      <c r="E747" s="803">
        <v>69015</v>
      </c>
      <c r="F747" s="803">
        <v>77462</v>
      </c>
      <c r="G747" s="803">
        <v>357189</v>
      </c>
      <c r="H747" s="803"/>
      <c r="I747" s="804">
        <v>6711</v>
      </c>
      <c r="J747" s="804">
        <v>313011</v>
      </c>
      <c r="K747" s="804">
        <v>24464</v>
      </c>
      <c r="L747" s="803">
        <v>0</v>
      </c>
      <c r="M747" s="803"/>
      <c r="N747" s="804">
        <v>12516</v>
      </c>
      <c r="O747" s="804">
        <v>115531</v>
      </c>
      <c r="P747" s="804">
        <v>0</v>
      </c>
      <c r="Q747" s="803">
        <v>10404</v>
      </c>
      <c r="R747" s="803"/>
      <c r="S747" s="804">
        <v>95471</v>
      </c>
      <c r="T747" s="805">
        <v>-3682</v>
      </c>
      <c r="U747" s="805">
        <v>91789</v>
      </c>
    </row>
    <row r="748" spans="1:21" x14ac:dyDescent="0.25">
      <c r="A748" s="800">
        <v>98103</v>
      </c>
      <c r="B748" s="801" t="s">
        <v>3385</v>
      </c>
      <c r="C748" s="802">
        <v>5.3600000000000002E-4</v>
      </c>
      <c r="D748" s="802">
        <v>5.7140000000000001E-4</v>
      </c>
      <c r="E748" s="803">
        <v>233081</v>
      </c>
      <c r="F748" s="803">
        <v>256441</v>
      </c>
      <c r="G748" s="803">
        <v>1137571.56</v>
      </c>
      <c r="H748" s="803"/>
      <c r="I748" s="804">
        <v>21373</v>
      </c>
      <c r="J748" s="804">
        <v>996875</v>
      </c>
      <c r="K748" s="804">
        <v>77913</v>
      </c>
      <c r="L748" s="803">
        <v>0</v>
      </c>
      <c r="M748" s="803"/>
      <c r="N748" s="804">
        <v>39862</v>
      </c>
      <c r="O748" s="804">
        <v>367941</v>
      </c>
      <c r="P748" s="804">
        <v>0</v>
      </c>
      <c r="Q748" s="803">
        <v>46538</v>
      </c>
      <c r="R748" s="803"/>
      <c r="S748" s="804">
        <v>304056</v>
      </c>
      <c r="T748" s="805">
        <v>-19483</v>
      </c>
      <c r="U748" s="805">
        <v>284573</v>
      </c>
    </row>
    <row r="749" spans="1:21" x14ac:dyDescent="0.25">
      <c r="A749" s="800">
        <v>98107</v>
      </c>
      <c r="B749" s="801" t="s">
        <v>3386</v>
      </c>
      <c r="C749" s="802">
        <v>1.08E-5</v>
      </c>
      <c r="D749" s="802">
        <v>1.15E-5</v>
      </c>
      <c r="E749" s="803">
        <v>8652</v>
      </c>
      <c r="F749" s="803">
        <v>5161</v>
      </c>
      <c r="G749" s="803">
        <v>22921</v>
      </c>
      <c r="H749" s="803"/>
      <c r="I749" s="804">
        <v>430.65</v>
      </c>
      <c r="J749" s="804">
        <v>20086</v>
      </c>
      <c r="K749" s="804">
        <v>1570</v>
      </c>
      <c r="L749" s="803">
        <v>7420</v>
      </c>
      <c r="M749" s="803"/>
      <c r="N749" s="804">
        <v>803</v>
      </c>
      <c r="O749" s="804">
        <v>7414</v>
      </c>
      <c r="P749" s="804">
        <v>0</v>
      </c>
      <c r="Q749" s="803">
        <v>0</v>
      </c>
      <c r="R749" s="803"/>
      <c r="S749" s="804">
        <v>6127</v>
      </c>
      <c r="T749" s="805">
        <v>2610</v>
      </c>
      <c r="U749" s="805">
        <v>8737</v>
      </c>
    </row>
    <row r="750" spans="1:21" x14ac:dyDescent="0.25">
      <c r="A750" s="800">
        <v>98109</v>
      </c>
      <c r="B750" s="801" t="s">
        <v>3387</v>
      </c>
      <c r="C750" s="802">
        <v>1.4660000000000001E-4</v>
      </c>
      <c r="D750" s="802">
        <v>2.0680000000000001E-4</v>
      </c>
      <c r="E750" s="803">
        <v>66395.14</v>
      </c>
      <c r="F750" s="803">
        <v>92811</v>
      </c>
      <c r="G750" s="803">
        <v>311134</v>
      </c>
      <c r="H750" s="803"/>
      <c r="I750" s="804">
        <v>5846</v>
      </c>
      <c r="J750" s="804">
        <v>272653</v>
      </c>
      <c r="K750" s="804">
        <v>21310</v>
      </c>
      <c r="L750" s="803">
        <v>3018</v>
      </c>
      <c r="M750" s="803"/>
      <c r="N750" s="804">
        <v>10902</v>
      </c>
      <c r="O750" s="804">
        <v>100635</v>
      </c>
      <c r="P750" s="804">
        <v>0</v>
      </c>
      <c r="Q750" s="803">
        <v>35765</v>
      </c>
      <c r="R750" s="803"/>
      <c r="S750" s="804">
        <v>83162</v>
      </c>
      <c r="T750" s="805">
        <v>-10144</v>
      </c>
      <c r="U750" s="805">
        <v>73018</v>
      </c>
    </row>
    <row r="751" spans="1:21" x14ac:dyDescent="0.25">
      <c r="A751" s="800">
        <v>98111</v>
      </c>
      <c r="B751" s="801" t="s">
        <v>3388</v>
      </c>
      <c r="C751" s="802">
        <v>1.0191E-3</v>
      </c>
      <c r="D751" s="802">
        <v>1.0443E-3</v>
      </c>
      <c r="E751" s="803">
        <v>380231</v>
      </c>
      <c r="F751" s="803">
        <v>468676</v>
      </c>
      <c r="G751" s="803">
        <v>2162872</v>
      </c>
      <c r="H751" s="803"/>
      <c r="I751" s="804">
        <v>40637</v>
      </c>
      <c r="J751" s="804">
        <v>1895365</v>
      </c>
      <c r="K751" s="804">
        <v>148137</v>
      </c>
      <c r="L751" s="803">
        <v>0</v>
      </c>
      <c r="M751" s="803"/>
      <c r="N751" s="804">
        <v>75789</v>
      </c>
      <c r="O751" s="804">
        <v>699569</v>
      </c>
      <c r="P751" s="804">
        <v>0</v>
      </c>
      <c r="Q751" s="803">
        <v>50975</v>
      </c>
      <c r="R751" s="803"/>
      <c r="S751" s="804">
        <v>578104</v>
      </c>
      <c r="T751" s="805">
        <v>-14078</v>
      </c>
      <c r="U751" s="805">
        <v>564026</v>
      </c>
    </row>
    <row r="752" spans="1:21" x14ac:dyDescent="0.25">
      <c r="A752" s="800">
        <v>98113</v>
      </c>
      <c r="B752" s="801" t="s">
        <v>3389</v>
      </c>
      <c r="C752" s="802">
        <v>3.8999999999999999E-5</v>
      </c>
      <c r="D752" s="802">
        <v>4.1399999999999997E-5</v>
      </c>
      <c r="E752" s="803">
        <v>20070.23</v>
      </c>
      <c r="F752" s="803">
        <v>18580</v>
      </c>
      <c r="G752" s="803">
        <v>82771</v>
      </c>
      <c r="H752" s="803"/>
      <c r="I752" s="804">
        <v>1555.125</v>
      </c>
      <c r="J752" s="804">
        <v>72534</v>
      </c>
      <c r="K752" s="804">
        <v>5669</v>
      </c>
      <c r="L752" s="803">
        <v>8069</v>
      </c>
      <c r="M752" s="803"/>
      <c r="N752" s="804">
        <v>2900</v>
      </c>
      <c r="O752" s="804">
        <v>26772</v>
      </c>
      <c r="P752" s="804">
        <v>0</v>
      </c>
      <c r="Q752" s="803">
        <v>0</v>
      </c>
      <c r="R752" s="803"/>
      <c r="S752" s="804">
        <v>22123</v>
      </c>
      <c r="T752" s="805">
        <v>2983</v>
      </c>
      <c r="U752" s="805">
        <v>25107</v>
      </c>
    </row>
    <row r="753" spans="1:21" x14ac:dyDescent="0.25">
      <c r="A753" s="800">
        <v>98121</v>
      </c>
      <c r="B753" s="801" t="s">
        <v>3390</v>
      </c>
      <c r="C753" s="802">
        <v>2.2910000000000001E-4</v>
      </c>
      <c r="D753" s="802">
        <v>2.0689999999999999E-4</v>
      </c>
      <c r="E753" s="803">
        <v>79942.31</v>
      </c>
      <c r="F753" s="803">
        <v>92855</v>
      </c>
      <c r="G753" s="803">
        <v>486227</v>
      </c>
      <c r="H753" s="803"/>
      <c r="I753" s="804">
        <v>9135</v>
      </c>
      <c r="J753" s="804">
        <v>426090</v>
      </c>
      <c r="K753" s="804">
        <v>33302</v>
      </c>
      <c r="L753" s="803">
        <v>3951</v>
      </c>
      <c r="M753" s="803"/>
      <c r="N753" s="804">
        <v>17038</v>
      </c>
      <c r="O753" s="804">
        <v>157268</v>
      </c>
      <c r="P753" s="804">
        <v>0</v>
      </c>
      <c r="Q753" s="803">
        <v>6313</v>
      </c>
      <c r="R753" s="803"/>
      <c r="S753" s="804">
        <v>129961</v>
      </c>
      <c r="T753" s="805">
        <v>-421</v>
      </c>
      <c r="U753" s="805">
        <v>129540</v>
      </c>
    </row>
    <row r="754" spans="1:21" x14ac:dyDescent="0.25">
      <c r="A754" s="800">
        <v>98131</v>
      </c>
      <c r="B754" s="801" t="s">
        <v>3391</v>
      </c>
      <c r="C754" s="802">
        <v>2.9569999999999998E-4</v>
      </c>
      <c r="D754" s="802">
        <v>3.0610000000000001E-4</v>
      </c>
      <c r="E754" s="803">
        <v>112056</v>
      </c>
      <c r="F754" s="803">
        <v>137376</v>
      </c>
      <c r="G754" s="803">
        <v>627574</v>
      </c>
      <c r="H754" s="803"/>
      <c r="I754" s="804">
        <v>11791</v>
      </c>
      <c r="J754" s="804">
        <v>549955</v>
      </c>
      <c r="K754" s="804">
        <v>42983</v>
      </c>
      <c r="L754" s="803">
        <v>0</v>
      </c>
      <c r="M754" s="803"/>
      <c r="N754" s="804">
        <v>21991</v>
      </c>
      <c r="O754" s="804">
        <v>202986</v>
      </c>
      <c r="P754" s="804">
        <v>0</v>
      </c>
      <c r="Q754" s="803">
        <v>44899</v>
      </c>
      <c r="R754" s="803"/>
      <c r="S754" s="804">
        <v>167741</v>
      </c>
      <c r="T754" s="805">
        <v>-17153</v>
      </c>
      <c r="U754" s="805">
        <v>150589</v>
      </c>
    </row>
    <row r="755" spans="1:21" x14ac:dyDescent="0.25">
      <c r="A755" s="800">
        <v>98141</v>
      </c>
      <c r="B755" s="801" t="s">
        <v>3392</v>
      </c>
      <c r="C755" s="802">
        <v>2.9030000000000001E-4</v>
      </c>
      <c r="D755" s="802">
        <v>3.033E-4</v>
      </c>
      <c r="E755" s="803">
        <v>104128</v>
      </c>
      <c r="F755" s="803">
        <v>136119</v>
      </c>
      <c r="G755" s="803">
        <v>616114</v>
      </c>
      <c r="H755" s="803"/>
      <c r="I755" s="804">
        <v>11576</v>
      </c>
      <c r="J755" s="804">
        <v>539912</v>
      </c>
      <c r="K755" s="804">
        <v>42198</v>
      </c>
      <c r="L755" s="803">
        <v>1495</v>
      </c>
      <c r="M755" s="803"/>
      <c r="N755" s="804">
        <v>21589</v>
      </c>
      <c r="O755" s="804">
        <v>199279</v>
      </c>
      <c r="P755" s="804">
        <v>0</v>
      </c>
      <c r="Q755" s="803">
        <v>35601</v>
      </c>
      <c r="R755" s="803"/>
      <c r="S755" s="804">
        <v>164678</v>
      </c>
      <c r="T755" s="805">
        <v>-12695</v>
      </c>
      <c r="U755" s="805">
        <v>151983</v>
      </c>
    </row>
    <row r="756" spans="1:21" x14ac:dyDescent="0.25">
      <c r="A756" s="800">
        <v>98147</v>
      </c>
      <c r="B756" s="801" t="s">
        <v>3393</v>
      </c>
      <c r="C756" s="802">
        <v>1.29E-5</v>
      </c>
      <c r="D756" s="802">
        <v>1.03E-5</v>
      </c>
      <c r="E756" s="803">
        <v>8826</v>
      </c>
      <c r="F756" s="803">
        <v>4623</v>
      </c>
      <c r="G756" s="803">
        <v>27378</v>
      </c>
      <c r="H756" s="803"/>
      <c r="I756" s="804">
        <v>514</v>
      </c>
      <c r="J756" s="804">
        <v>23992</v>
      </c>
      <c r="K756" s="804">
        <v>1875</v>
      </c>
      <c r="L756" s="803">
        <v>7556</v>
      </c>
      <c r="M756" s="803"/>
      <c r="N756" s="804">
        <v>959</v>
      </c>
      <c r="O756" s="804">
        <v>8855</v>
      </c>
      <c r="P756" s="804">
        <v>0</v>
      </c>
      <c r="Q756" s="803">
        <v>0</v>
      </c>
      <c r="R756" s="803"/>
      <c r="S756" s="804">
        <v>7318</v>
      </c>
      <c r="T756" s="805">
        <v>2501</v>
      </c>
      <c r="U756" s="805">
        <v>9819</v>
      </c>
    </row>
    <row r="757" spans="1:21" x14ac:dyDescent="0.25">
      <c r="A757" s="800">
        <v>98161</v>
      </c>
      <c r="B757" s="801" t="s">
        <v>3394</v>
      </c>
      <c r="C757" s="802">
        <v>7.4000000000000003E-6</v>
      </c>
      <c r="D757" s="802">
        <v>7.6000000000000001E-6</v>
      </c>
      <c r="E757" s="803">
        <v>4425</v>
      </c>
      <c r="F757" s="803">
        <v>3411</v>
      </c>
      <c r="G757" s="803">
        <v>15705</v>
      </c>
      <c r="H757" s="803"/>
      <c r="I757" s="804">
        <v>295.07499999999999</v>
      </c>
      <c r="J757" s="804">
        <v>13763</v>
      </c>
      <c r="K757" s="804">
        <v>1076</v>
      </c>
      <c r="L757" s="803">
        <v>2152</v>
      </c>
      <c r="M757" s="803"/>
      <c r="N757" s="804">
        <v>550</v>
      </c>
      <c r="O757" s="804">
        <v>5080</v>
      </c>
      <c r="P757" s="804">
        <v>0</v>
      </c>
      <c r="Q757" s="803">
        <v>0</v>
      </c>
      <c r="R757" s="803"/>
      <c r="S757" s="804">
        <v>4198</v>
      </c>
      <c r="T757" s="805">
        <v>752</v>
      </c>
      <c r="U757" s="805">
        <v>4950</v>
      </c>
    </row>
    <row r="758" spans="1:21" x14ac:dyDescent="0.25">
      <c r="A758" s="800">
        <v>98201</v>
      </c>
      <c r="B758" s="801" t="s">
        <v>3395</v>
      </c>
      <c r="C758" s="802">
        <v>3.0368999999999999E-3</v>
      </c>
      <c r="D758" s="802">
        <v>3.0019999999999999E-3</v>
      </c>
      <c r="E758" s="803">
        <v>1202574.5</v>
      </c>
      <c r="F758" s="803">
        <v>1347280</v>
      </c>
      <c r="G758" s="803">
        <v>6445319</v>
      </c>
      <c r="H758" s="803"/>
      <c r="I758" s="804">
        <v>121096</v>
      </c>
      <c r="J758" s="804">
        <v>5648154</v>
      </c>
      <c r="K758" s="804">
        <v>441447</v>
      </c>
      <c r="L758" s="803">
        <v>0</v>
      </c>
      <c r="M758" s="803"/>
      <c r="N758" s="804">
        <v>225851</v>
      </c>
      <c r="O758" s="804">
        <v>2084704</v>
      </c>
      <c r="P758" s="804">
        <v>0</v>
      </c>
      <c r="Q758" s="803">
        <v>60876</v>
      </c>
      <c r="R758" s="803"/>
      <c r="S758" s="804">
        <v>1722739</v>
      </c>
      <c r="T758" s="805">
        <v>-21268</v>
      </c>
      <c r="U758" s="805">
        <v>1701471</v>
      </c>
    </row>
    <row r="759" spans="1:21" x14ac:dyDescent="0.25">
      <c r="A759" s="800">
        <v>98205</v>
      </c>
      <c r="B759" s="801" t="s">
        <v>3396</v>
      </c>
      <c r="C759" s="802">
        <v>5.13E-5</v>
      </c>
      <c r="D759" s="802">
        <v>5.02E-5</v>
      </c>
      <c r="E759" s="803">
        <v>23400</v>
      </c>
      <c r="F759" s="803">
        <v>22529</v>
      </c>
      <c r="G759" s="803">
        <v>108876</v>
      </c>
      <c r="H759" s="803"/>
      <c r="I759" s="804">
        <v>2046</v>
      </c>
      <c r="J759" s="804">
        <v>95410</v>
      </c>
      <c r="K759" s="804">
        <v>7457</v>
      </c>
      <c r="L759" s="803">
        <v>2803</v>
      </c>
      <c r="M759" s="803"/>
      <c r="N759" s="804">
        <v>3815</v>
      </c>
      <c r="O759" s="804">
        <v>35215</v>
      </c>
      <c r="P759" s="804">
        <v>0</v>
      </c>
      <c r="Q759" s="803">
        <v>1718</v>
      </c>
      <c r="R759" s="803"/>
      <c r="S759" s="804">
        <v>29101</v>
      </c>
      <c r="T759" s="805">
        <v>209</v>
      </c>
      <c r="U759" s="805">
        <v>29310</v>
      </c>
    </row>
    <row r="760" spans="1:21" x14ac:dyDescent="0.25">
      <c r="A760" s="800">
        <v>98211</v>
      </c>
      <c r="B760" s="801" t="s">
        <v>3397</v>
      </c>
      <c r="C760" s="802">
        <v>9.1609999999999999E-4</v>
      </c>
      <c r="D760" s="802">
        <v>9.4729999999999999E-4</v>
      </c>
      <c r="E760" s="803">
        <v>316266.55</v>
      </c>
      <c r="F760" s="803">
        <v>425143</v>
      </c>
      <c r="G760" s="803">
        <v>1944271</v>
      </c>
      <c r="H760" s="803"/>
      <c r="I760" s="804">
        <v>36529</v>
      </c>
      <c r="J760" s="804">
        <v>1703801</v>
      </c>
      <c r="K760" s="804">
        <v>133165</v>
      </c>
      <c r="L760" s="803">
        <v>0</v>
      </c>
      <c r="M760" s="803"/>
      <c r="N760" s="804">
        <v>68129</v>
      </c>
      <c r="O760" s="804">
        <v>628864</v>
      </c>
      <c r="P760" s="804">
        <v>0</v>
      </c>
      <c r="Q760" s="803">
        <v>112970</v>
      </c>
      <c r="R760" s="803"/>
      <c r="S760" s="804">
        <v>519675</v>
      </c>
      <c r="T760" s="805">
        <v>-35337</v>
      </c>
      <c r="U760" s="805">
        <v>484338</v>
      </c>
    </row>
    <row r="761" spans="1:21" x14ac:dyDescent="0.25">
      <c r="A761" s="800">
        <v>98218</v>
      </c>
      <c r="B761" s="801" t="s">
        <v>3398</v>
      </c>
      <c r="C761" s="802">
        <v>1.0200000000000001E-5</v>
      </c>
      <c r="D761" s="802">
        <v>1.08E-5</v>
      </c>
      <c r="E761" s="803">
        <v>4407.67</v>
      </c>
      <c r="F761" s="803">
        <v>4847</v>
      </c>
      <c r="G761" s="803">
        <v>21648</v>
      </c>
      <c r="H761" s="803"/>
      <c r="I761" s="804">
        <v>406.72500000000002</v>
      </c>
      <c r="J761" s="804">
        <v>18970</v>
      </c>
      <c r="K761" s="804">
        <v>1483</v>
      </c>
      <c r="L761" s="803">
        <v>0</v>
      </c>
      <c r="M761" s="803"/>
      <c r="N761" s="804">
        <v>759</v>
      </c>
      <c r="O761" s="804">
        <v>7002</v>
      </c>
      <c r="P761" s="804">
        <v>0</v>
      </c>
      <c r="Q761" s="803">
        <v>1864</v>
      </c>
      <c r="R761" s="803"/>
      <c r="S761" s="804">
        <v>5786</v>
      </c>
      <c r="T761" s="805">
        <v>-792</v>
      </c>
      <c r="U761" s="805">
        <v>4994</v>
      </c>
    </row>
    <row r="762" spans="1:21" x14ac:dyDescent="0.25">
      <c r="A762" s="800">
        <v>98221</v>
      </c>
      <c r="B762" s="801" t="s">
        <v>3399</v>
      </c>
      <c r="C762" s="802">
        <v>1.6799999999999998E-5</v>
      </c>
      <c r="D762" s="802">
        <v>1.5999999999999999E-5</v>
      </c>
      <c r="E762" s="803">
        <v>9584.15</v>
      </c>
      <c r="F762" s="803">
        <v>7181</v>
      </c>
      <c r="G762" s="803">
        <v>35655</v>
      </c>
      <c r="H762" s="803"/>
      <c r="I762" s="804">
        <v>669.9</v>
      </c>
      <c r="J762" s="804">
        <v>31245</v>
      </c>
      <c r="K762" s="804">
        <v>2442</v>
      </c>
      <c r="L762" s="803">
        <v>3240</v>
      </c>
      <c r="M762" s="803"/>
      <c r="N762" s="804">
        <v>1249</v>
      </c>
      <c r="O762" s="804">
        <v>11532</v>
      </c>
      <c r="P762" s="804">
        <v>0</v>
      </c>
      <c r="Q762" s="803">
        <v>0</v>
      </c>
      <c r="R762" s="803"/>
      <c r="S762" s="804">
        <v>9530</v>
      </c>
      <c r="T762" s="805">
        <v>905</v>
      </c>
      <c r="U762" s="805">
        <v>10435</v>
      </c>
    </row>
    <row r="763" spans="1:21" x14ac:dyDescent="0.25">
      <c r="A763" s="800">
        <v>98231</v>
      </c>
      <c r="B763" s="801" t="s">
        <v>3400</v>
      </c>
      <c r="C763" s="802">
        <v>3.1999999999999999E-5</v>
      </c>
      <c r="D763" s="802">
        <v>3.7400000000000001E-5</v>
      </c>
      <c r="E763" s="803">
        <v>13931.16</v>
      </c>
      <c r="F763" s="803">
        <v>16785</v>
      </c>
      <c r="G763" s="803">
        <v>67914.720000000001</v>
      </c>
      <c r="H763" s="803"/>
      <c r="I763" s="804">
        <v>1276</v>
      </c>
      <c r="J763" s="804">
        <v>59515</v>
      </c>
      <c r="K763" s="804">
        <v>4652</v>
      </c>
      <c r="L763" s="803">
        <v>2641</v>
      </c>
      <c r="M763" s="803"/>
      <c r="N763" s="804">
        <v>2380</v>
      </c>
      <c r="O763" s="804">
        <v>21967</v>
      </c>
      <c r="P763" s="804">
        <v>0</v>
      </c>
      <c r="Q763" s="803">
        <v>7471</v>
      </c>
      <c r="R763" s="803"/>
      <c r="S763" s="804">
        <v>18153</v>
      </c>
      <c r="T763" s="805">
        <v>-2254</v>
      </c>
      <c r="U763" s="805">
        <v>15898</v>
      </c>
    </row>
    <row r="764" spans="1:21" x14ac:dyDescent="0.25">
      <c r="A764" s="800">
        <v>98237</v>
      </c>
      <c r="B764" s="801" t="s">
        <v>3401</v>
      </c>
      <c r="C764" s="802">
        <v>2.7E-6</v>
      </c>
      <c r="D764" s="802">
        <v>2.9000000000000002E-6</v>
      </c>
      <c r="E764" s="803">
        <v>2767</v>
      </c>
      <c r="F764" s="803">
        <v>1302</v>
      </c>
      <c r="G764" s="803">
        <v>5730</v>
      </c>
      <c r="H764" s="803"/>
      <c r="I764" s="804">
        <v>107.66249999999999</v>
      </c>
      <c r="J764" s="804">
        <v>5022</v>
      </c>
      <c r="K764" s="804">
        <v>392</v>
      </c>
      <c r="L764" s="803">
        <v>2342</v>
      </c>
      <c r="M764" s="803"/>
      <c r="N764" s="804">
        <v>201</v>
      </c>
      <c r="O764" s="804">
        <v>1853</v>
      </c>
      <c r="P764" s="804">
        <v>0</v>
      </c>
      <c r="Q764" s="803">
        <v>0</v>
      </c>
      <c r="R764" s="803"/>
      <c r="S764" s="804">
        <v>1532</v>
      </c>
      <c r="T764" s="805">
        <v>795</v>
      </c>
      <c r="U764" s="805">
        <v>2326</v>
      </c>
    </row>
    <row r="765" spans="1:21" x14ac:dyDescent="0.25">
      <c r="A765" s="800">
        <v>98241</v>
      </c>
      <c r="B765" s="801" t="s">
        <v>3402</v>
      </c>
      <c r="C765" s="802">
        <v>1.98E-5</v>
      </c>
      <c r="D765" s="802">
        <v>1.0200000000000001E-5</v>
      </c>
      <c r="E765" s="803">
        <v>7741</v>
      </c>
      <c r="F765" s="803">
        <v>4578</v>
      </c>
      <c r="G765" s="803">
        <v>42022</v>
      </c>
      <c r="H765" s="803"/>
      <c r="I765" s="804">
        <v>789.52499999999998</v>
      </c>
      <c r="J765" s="804">
        <v>36825</v>
      </c>
      <c r="K765" s="804">
        <v>2878</v>
      </c>
      <c r="L765" s="803">
        <v>8690</v>
      </c>
      <c r="M765" s="803"/>
      <c r="N765" s="804">
        <v>1473</v>
      </c>
      <c r="O765" s="804">
        <v>13592</v>
      </c>
      <c r="P765" s="804">
        <v>0</v>
      </c>
      <c r="Q765" s="803">
        <v>331</v>
      </c>
      <c r="R765" s="803"/>
      <c r="S765" s="804">
        <v>11232</v>
      </c>
      <c r="T765" s="805">
        <v>3061</v>
      </c>
      <c r="U765" s="805">
        <v>14293</v>
      </c>
    </row>
    <row r="766" spans="1:21" x14ac:dyDescent="0.25">
      <c r="A766" s="800">
        <v>98251</v>
      </c>
      <c r="B766" s="801" t="s">
        <v>3403</v>
      </c>
      <c r="C766" s="802">
        <v>3.1E-6</v>
      </c>
      <c r="D766" s="802">
        <v>3.1E-6</v>
      </c>
      <c r="E766" s="803">
        <v>1870</v>
      </c>
      <c r="F766" s="803">
        <v>1391</v>
      </c>
      <c r="G766" s="803">
        <v>6579</v>
      </c>
      <c r="H766" s="803"/>
      <c r="I766" s="804">
        <v>123.6125</v>
      </c>
      <c r="J766" s="804">
        <v>5766</v>
      </c>
      <c r="K766" s="804">
        <v>451</v>
      </c>
      <c r="L766" s="803">
        <v>1191</v>
      </c>
      <c r="M766" s="803"/>
      <c r="N766" s="804">
        <v>231</v>
      </c>
      <c r="O766" s="804">
        <v>2128</v>
      </c>
      <c r="P766" s="804">
        <v>0</v>
      </c>
      <c r="Q766" s="803">
        <v>0</v>
      </c>
      <c r="R766" s="803"/>
      <c r="S766" s="804">
        <v>1759</v>
      </c>
      <c r="T766" s="805">
        <v>412</v>
      </c>
      <c r="U766" s="805">
        <v>2171</v>
      </c>
    </row>
    <row r="767" spans="1:21" x14ac:dyDescent="0.25">
      <c r="A767" s="800">
        <v>98261</v>
      </c>
      <c r="B767" s="801" t="s">
        <v>3404</v>
      </c>
      <c r="C767" s="802">
        <v>2.97E-5</v>
      </c>
      <c r="D767" s="802">
        <v>4.3099999999999997E-5</v>
      </c>
      <c r="E767" s="803">
        <v>12989.23</v>
      </c>
      <c r="F767" s="803">
        <v>19343</v>
      </c>
      <c r="G767" s="803">
        <v>63033</v>
      </c>
      <c r="H767" s="803"/>
      <c r="I767" s="804">
        <v>1184</v>
      </c>
      <c r="J767" s="804">
        <v>55237</v>
      </c>
      <c r="K767" s="804">
        <v>4317</v>
      </c>
      <c r="L767" s="803">
        <v>4504</v>
      </c>
      <c r="M767" s="803"/>
      <c r="N767" s="804">
        <v>2209</v>
      </c>
      <c r="O767" s="804">
        <v>20388</v>
      </c>
      <c r="P767" s="804">
        <v>0</v>
      </c>
      <c r="Q767" s="803">
        <v>6643</v>
      </c>
      <c r="R767" s="803"/>
      <c r="S767" s="804">
        <v>16848</v>
      </c>
      <c r="T767" s="805">
        <v>-118</v>
      </c>
      <c r="U767" s="805">
        <v>16730</v>
      </c>
    </row>
    <row r="768" spans="1:21" x14ac:dyDescent="0.25">
      <c r="A768" s="800">
        <v>98271</v>
      </c>
      <c r="B768" s="801" t="s">
        <v>3405</v>
      </c>
      <c r="C768" s="802">
        <v>4.5000000000000001E-6</v>
      </c>
      <c r="D768" s="802">
        <v>3.4000000000000001E-6</v>
      </c>
      <c r="E768" s="803">
        <v>3055</v>
      </c>
      <c r="F768" s="803">
        <v>1526</v>
      </c>
      <c r="G768" s="803">
        <v>9551</v>
      </c>
      <c r="H768" s="803"/>
      <c r="I768" s="804">
        <v>179.4375</v>
      </c>
      <c r="J768" s="804">
        <v>8369</v>
      </c>
      <c r="K768" s="804">
        <v>654</v>
      </c>
      <c r="L768" s="803">
        <v>3951</v>
      </c>
      <c r="M768" s="803"/>
      <c r="N768" s="804">
        <v>335</v>
      </c>
      <c r="O768" s="804">
        <v>3089</v>
      </c>
      <c r="P768" s="804">
        <v>0</v>
      </c>
      <c r="Q768" s="803">
        <v>0</v>
      </c>
      <c r="R768" s="803"/>
      <c r="S768" s="804">
        <v>2553</v>
      </c>
      <c r="T768" s="805">
        <v>1392</v>
      </c>
      <c r="U768" s="805">
        <v>3945</v>
      </c>
    </row>
    <row r="769" spans="1:21" x14ac:dyDescent="0.25">
      <c r="A769" s="800">
        <v>98301</v>
      </c>
      <c r="B769" s="801" t="s">
        <v>3406</v>
      </c>
      <c r="C769" s="802">
        <v>1.7776999999999999E-3</v>
      </c>
      <c r="D769" s="802">
        <v>1.7478999999999999E-3</v>
      </c>
      <c r="E769" s="803">
        <v>735954</v>
      </c>
      <c r="F769" s="803">
        <v>784447</v>
      </c>
      <c r="G769" s="803">
        <v>3772875</v>
      </c>
      <c r="H769" s="803"/>
      <c r="I769" s="804">
        <v>70886</v>
      </c>
      <c r="J769" s="804">
        <v>3306241</v>
      </c>
      <c r="K769" s="804">
        <v>258408</v>
      </c>
      <c r="L769" s="803">
        <v>76085</v>
      </c>
      <c r="M769" s="803"/>
      <c r="N769" s="804">
        <v>132206</v>
      </c>
      <c r="O769" s="804">
        <v>1220316</v>
      </c>
      <c r="P769" s="804">
        <v>0</v>
      </c>
      <c r="Q769" s="803">
        <v>15711</v>
      </c>
      <c r="R769" s="803"/>
      <c r="S769" s="804">
        <v>1008434</v>
      </c>
      <c r="T769" s="805">
        <v>17172</v>
      </c>
      <c r="U769" s="805">
        <v>1025606</v>
      </c>
    </row>
    <row r="770" spans="1:21" x14ac:dyDescent="0.25">
      <c r="A770" s="800">
        <v>98304</v>
      </c>
      <c r="B770" s="801" t="s">
        <v>3407</v>
      </c>
      <c r="C770" s="802">
        <v>2.2900000000000001E-5</v>
      </c>
      <c r="D770" s="802">
        <v>2.4499999999999999E-5</v>
      </c>
      <c r="E770" s="803">
        <v>11386</v>
      </c>
      <c r="F770" s="803">
        <v>10995</v>
      </c>
      <c r="G770" s="803">
        <v>48601</v>
      </c>
      <c r="H770" s="803"/>
      <c r="I770" s="804">
        <v>913.13750000000005</v>
      </c>
      <c r="J770" s="804">
        <v>42590</v>
      </c>
      <c r="K770" s="804">
        <v>3329</v>
      </c>
      <c r="L770" s="803">
        <v>1590</v>
      </c>
      <c r="M770" s="803"/>
      <c r="N770" s="804">
        <v>1703</v>
      </c>
      <c r="O770" s="804">
        <v>15720</v>
      </c>
      <c r="P770" s="804">
        <v>0</v>
      </c>
      <c r="Q770" s="803">
        <v>0</v>
      </c>
      <c r="R770" s="803"/>
      <c r="S770" s="804">
        <v>12990</v>
      </c>
      <c r="T770" s="805">
        <v>514</v>
      </c>
      <c r="U770" s="805">
        <v>13504</v>
      </c>
    </row>
    <row r="771" spans="1:21" x14ac:dyDescent="0.25">
      <c r="A771" s="800">
        <v>98308</v>
      </c>
      <c r="B771" s="801" t="s">
        <v>3408</v>
      </c>
      <c r="C771" s="802">
        <v>2.55E-5</v>
      </c>
      <c r="D771" s="802">
        <v>2.5000000000000001E-5</v>
      </c>
      <c r="E771" s="803">
        <v>13855</v>
      </c>
      <c r="F771" s="803">
        <v>11219.85</v>
      </c>
      <c r="G771" s="803">
        <v>54120</v>
      </c>
      <c r="H771" s="803"/>
      <c r="I771" s="804">
        <v>1016.8125</v>
      </c>
      <c r="J771" s="804">
        <v>47426</v>
      </c>
      <c r="K771" s="804">
        <v>3707</v>
      </c>
      <c r="L771" s="803">
        <v>7689</v>
      </c>
      <c r="M771" s="803"/>
      <c r="N771" s="804">
        <v>1896</v>
      </c>
      <c r="O771" s="804">
        <v>17505</v>
      </c>
      <c r="P771" s="804">
        <v>0</v>
      </c>
      <c r="Q771" s="803">
        <v>0</v>
      </c>
      <c r="R771" s="803"/>
      <c r="S771" s="804">
        <v>14465</v>
      </c>
      <c r="T771" s="805">
        <v>2796</v>
      </c>
      <c r="U771" s="805">
        <v>17261</v>
      </c>
    </row>
    <row r="772" spans="1:21" x14ac:dyDescent="0.25">
      <c r="A772" s="800">
        <v>98311</v>
      </c>
      <c r="B772" s="801" t="s">
        <v>3409</v>
      </c>
      <c r="C772" s="802">
        <v>1.1441999999999999E-3</v>
      </c>
      <c r="D772" s="802">
        <v>1.1704E-3</v>
      </c>
      <c r="E772" s="803">
        <v>413994</v>
      </c>
      <c r="F772" s="803">
        <v>525268</v>
      </c>
      <c r="G772" s="803">
        <v>2428376</v>
      </c>
      <c r="H772" s="803"/>
      <c r="I772" s="804">
        <v>45625</v>
      </c>
      <c r="J772" s="804">
        <v>2128031</v>
      </c>
      <c r="K772" s="804">
        <v>166322</v>
      </c>
      <c r="L772" s="803">
        <v>25434</v>
      </c>
      <c r="M772" s="803"/>
      <c r="N772" s="804">
        <v>85093</v>
      </c>
      <c r="O772" s="804">
        <v>785445</v>
      </c>
      <c r="P772" s="804">
        <v>0</v>
      </c>
      <c r="Q772" s="803">
        <v>70361</v>
      </c>
      <c r="R772" s="803"/>
      <c r="S772" s="804">
        <v>649069</v>
      </c>
      <c r="T772" s="805">
        <v>-6523</v>
      </c>
      <c r="U772" s="805">
        <v>642547</v>
      </c>
    </row>
    <row r="773" spans="1:21" x14ac:dyDescent="0.25">
      <c r="A773" s="800">
        <v>98313</v>
      </c>
      <c r="B773" s="801" t="s">
        <v>3410</v>
      </c>
      <c r="C773" s="802">
        <v>2.4240000000000001E-4</v>
      </c>
      <c r="D773" s="802">
        <v>2.3589999999999999E-4</v>
      </c>
      <c r="E773" s="803">
        <v>227095.51</v>
      </c>
      <c r="F773" s="803">
        <v>105871</v>
      </c>
      <c r="G773" s="803">
        <v>514454</v>
      </c>
      <c r="H773" s="803"/>
      <c r="I773" s="804">
        <v>9666</v>
      </c>
      <c r="J773" s="804">
        <v>450826</v>
      </c>
      <c r="K773" s="804">
        <v>35236</v>
      </c>
      <c r="L773" s="803">
        <v>166298</v>
      </c>
      <c r="M773" s="803"/>
      <c r="N773" s="804">
        <v>18027</v>
      </c>
      <c r="O773" s="804">
        <v>166397</v>
      </c>
      <c r="P773" s="804">
        <v>0</v>
      </c>
      <c r="Q773" s="803">
        <v>119.4</v>
      </c>
      <c r="R773" s="803"/>
      <c r="S773" s="804">
        <v>137506</v>
      </c>
      <c r="T773" s="805">
        <v>48906</v>
      </c>
      <c r="U773" s="805">
        <v>186412</v>
      </c>
    </row>
    <row r="774" spans="1:21" x14ac:dyDescent="0.25">
      <c r="A774" s="800">
        <v>98321</v>
      </c>
      <c r="B774" s="801" t="s">
        <v>3411</v>
      </c>
      <c r="C774" s="802">
        <v>2.1399999999999998E-5</v>
      </c>
      <c r="D774" s="802">
        <v>2.9E-5</v>
      </c>
      <c r="E774" s="803">
        <v>9180.25</v>
      </c>
      <c r="F774" s="803">
        <v>13015</v>
      </c>
      <c r="G774" s="803">
        <v>45418</v>
      </c>
      <c r="H774" s="803"/>
      <c r="I774" s="804">
        <v>853</v>
      </c>
      <c r="J774" s="804">
        <v>39801</v>
      </c>
      <c r="K774" s="804">
        <v>3111</v>
      </c>
      <c r="L774" s="803">
        <v>3126</v>
      </c>
      <c r="M774" s="803"/>
      <c r="N774" s="804">
        <v>1591</v>
      </c>
      <c r="O774" s="804">
        <v>14690</v>
      </c>
      <c r="P774" s="804">
        <v>0</v>
      </c>
      <c r="Q774" s="803">
        <v>4186</v>
      </c>
      <c r="R774" s="803"/>
      <c r="S774" s="804">
        <v>12140</v>
      </c>
      <c r="T774" s="805">
        <v>451</v>
      </c>
      <c r="U774" s="805">
        <v>12591</v>
      </c>
    </row>
    <row r="775" spans="1:21" x14ac:dyDescent="0.25">
      <c r="A775" s="800">
        <v>98331</v>
      </c>
      <c r="B775" s="801" t="s">
        <v>3412</v>
      </c>
      <c r="C775" s="802">
        <v>1.03E-5</v>
      </c>
      <c r="D775" s="802">
        <v>9.7999999999999993E-6</v>
      </c>
      <c r="E775" s="803">
        <v>5903.22</v>
      </c>
      <c r="F775" s="803">
        <v>4398</v>
      </c>
      <c r="G775" s="803">
        <v>21860</v>
      </c>
      <c r="H775" s="803"/>
      <c r="I775" s="804">
        <v>410.71249999999998</v>
      </c>
      <c r="J775" s="804">
        <v>19156</v>
      </c>
      <c r="K775" s="804">
        <v>1497</v>
      </c>
      <c r="L775" s="803">
        <v>2778</v>
      </c>
      <c r="M775" s="803"/>
      <c r="N775" s="804">
        <v>766</v>
      </c>
      <c r="O775" s="804">
        <v>7071</v>
      </c>
      <c r="P775" s="804">
        <v>0</v>
      </c>
      <c r="Q775" s="803">
        <v>264.67</v>
      </c>
      <c r="R775" s="803"/>
      <c r="S775" s="804">
        <v>5843</v>
      </c>
      <c r="T775" s="805">
        <v>700</v>
      </c>
      <c r="U775" s="805">
        <v>6542</v>
      </c>
    </row>
    <row r="776" spans="1:21" x14ac:dyDescent="0.25">
      <c r="A776" s="800">
        <v>98401</v>
      </c>
      <c r="B776" s="801" t="s">
        <v>3413</v>
      </c>
      <c r="C776" s="802">
        <v>2.7567999999999998E-3</v>
      </c>
      <c r="D776" s="802">
        <v>2.8057999999999998E-3</v>
      </c>
      <c r="E776" s="803">
        <v>1156444.24</v>
      </c>
      <c r="F776" s="803">
        <v>1259226</v>
      </c>
      <c r="G776" s="803">
        <v>5850853</v>
      </c>
      <c r="H776" s="803"/>
      <c r="I776" s="804">
        <v>109927.4</v>
      </c>
      <c r="J776" s="804">
        <v>5127212</v>
      </c>
      <c r="K776" s="804">
        <v>400731</v>
      </c>
      <c r="L776" s="803">
        <v>92083</v>
      </c>
      <c r="M776" s="803"/>
      <c r="N776" s="804">
        <v>205020</v>
      </c>
      <c r="O776" s="804">
        <v>1892427</v>
      </c>
      <c r="P776" s="804">
        <v>0</v>
      </c>
      <c r="Q776" s="803">
        <v>8491</v>
      </c>
      <c r="R776" s="803"/>
      <c r="S776" s="804">
        <v>1563847</v>
      </c>
      <c r="T776" s="805">
        <v>31358</v>
      </c>
      <c r="U776" s="805">
        <v>1595205</v>
      </c>
    </row>
    <row r="777" spans="1:21" x14ac:dyDescent="0.25">
      <c r="A777" s="800">
        <v>98411</v>
      </c>
      <c r="B777" s="801" t="s">
        <v>3414</v>
      </c>
      <c r="C777" s="802">
        <v>2.0076999999999998E-3</v>
      </c>
      <c r="D777" s="802">
        <v>1.9907000000000002E-3</v>
      </c>
      <c r="E777" s="803">
        <v>792048.89</v>
      </c>
      <c r="F777" s="803">
        <v>893414</v>
      </c>
      <c r="G777" s="803">
        <v>4261012</v>
      </c>
      <c r="H777" s="803"/>
      <c r="I777" s="804">
        <v>80057</v>
      </c>
      <c r="J777" s="804">
        <v>3734005</v>
      </c>
      <c r="K777" s="804">
        <v>291841</v>
      </c>
      <c r="L777" s="803">
        <v>8012</v>
      </c>
      <c r="M777" s="803"/>
      <c r="N777" s="804">
        <v>149311</v>
      </c>
      <c r="O777" s="804">
        <v>1378202</v>
      </c>
      <c r="P777" s="804">
        <v>0</v>
      </c>
      <c r="Q777" s="803">
        <v>35211</v>
      </c>
      <c r="R777" s="803"/>
      <c r="S777" s="804">
        <v>1138906</v>
      </c>
      <c r="T777" s="805">
        <v>-6790</v>
      </c>
      <c r="U777" s="805">
        <v>1132116</v>
      </c>
    </row>
    <row r="778" spans="1:21" x14ac:dyDescent="0.25">
      <c r="A778" s="800">
        <v>98417</v>
      </c>
      <c r="B778" s="801" t="s">
        <v>3415</v>
      </c>
      <c r="C778" s="802">
        <v>2.4899999999999999E-5</v>
      </c>
      <c r="D778" s="802">
        <v>2.6400000000000001E-5</v>
      </c>
      <c r="E778" s="803">
        <v>12734.51</v>
      </c>
      <c r="F778" s="803">
        <v>11848</v>
      </c>
      <c r="G778" s="803">
        <v>52846</v>
      </c>
      <c r="H778" s="803"/>
      <c r="I778" s="804">
        <v>993</v>
      </c>
      <c r="J778" s="804">
        <v>46310</v>
      </c>
      <c r="K778" s="804">
        <v>3619</v>
      </c>
      <c r="L778" s="803">
        <v>1318</v>
      </c>
      <c r="M778" s="803"/>
      <c r="N778" s="804">
        <v>1852</v>
      </c>
      <c r="O778" s="804">
        <v>17093</v>
      </c>
      <c r="P778" s="804">
        <v>0</v>
      </c>
      <c r="Q778" s="803">
        <v>852</v>
      </c>
      <c r="R778" s="803"/>
      <c r="S778" s="804">
        <v>14125</v>
      </c>
      <c r="T778" s="805">
        <v>-72</v>
      </c>
      <c r="U778" s="805">
        <v>14053</v>
      </c>
    </row>
    <row r="779" spans="1:21" x14ac:dyDescent="0.25">
      <c r="A779" s="800">
        <v>98421</v>
      </c>
      <c r="B779" s="801" t="s">
        <v>3416</v>
      </c>
      <c r="C779" s="802">
        <v>1.0840000000000001E-4</v>
      </c>
      <c r="D779" s="802">
        <v>1.021E-4</v>
      </c>
      <c r="E779" s="803">
        <v>40835</v>
      </c>
      <c r="F779" s="803">
        <v>45822</v>
      </c>
      <c r="G779" s="803">
        <v>230061</v>
      </c>
      <c r="H779" s="803"/>
      <c r="I779" s="804">
        <v>4322.45</v>
      </c>
      <c r="J779" s="804">
        <v>201607</v>
      </c>
      <c r="K779" s="804">
        <v>15757</v>
      </c>
      <c r="L779" s="803">
        <v>7887</v>
      </c>
      <c r="M779" s="803"/>
      <c r="N779" s="804">
        <v>8062</v>
      </c>
      <c r="O779" s="804">
        <v>74412</v>
      </c>
      <c r="P779" s="804">
        <v>0</v>
      </c>
      <c r="Q779" s="803">
        <v>1282</v>
      </c>
      <c r="R779" s="803"/>
      <c r="S779" s="804">
        <v>61492</v>
      </c>
      <c r="T779" s="805">
        <v>2111</v>
      </c>
      <c r="U779" s="805">
        <v>63603</v>
      </c>
    </row>
    <row r="780" spans="1:21" x14ac:dyDescent="0.25">
      <c r="A780" s="800">
        <v>98427</v>
      </c>
      <c r="B780" s="801" t="s">
        <v>3417</v>
      </c>
      <c r="C780" s="802">
        <v>4.6E-6</v>
      </c>
      <c r="D780" s="802">
        <v>5.2000000000000002E-6</v>
      </c>
      <c r="E780" s="803">
        <v>2927.04</v>
      </c>
      <c r="F780" s="803">
        <v>2334</v>
      </c>
      <c r="G780" s="803">
        <v>9763</v>
      </c>
      <c r="H780" s="803"/>
      <c r="I780" s="804">
        <v>183.42500000000001</v>
      </c>
      <c r="J780" s="804">
        <v>8555</v>
      </c>
      <c r="K780" s="804">
        <v>669</v>
      </c>
      <c r="L780" s="803">
        <v>946</v>
      </c>
      <c r="M780" s="803"/>
      <c r="N780" s="804">
        <v>342</v>
      </c>
      <c r="O780" s="804">
        <v>3158</v>
      </c>
      <c r="P780" s="804">
        <v>0</v>
      </c>
      <c r="Q780" s="803">
        <v>0</v>
      </c>
      <c r="R780" s="803"/>
      <c r="S780" s="804">
        <v>2609</v>
      </c>
      <c r="T780" s="805">
        <v>309</v>
      </c>
      <c r="U780" s="805">
        <v>2918</v>
      </c>
    </row>
    <row r="781" spans="1:21" x14ac:dyDescent="0.25">
      <c r="A781" s="800">
        <v>98431</v>
      </c>
      <c r="B781" s="801" t="s">
        <v>3418</v>
      </c>
      <c r="C781" s="802">
        <v>2.0010000000000001E-4</v>
      </c>
      <c r="D781" s="802">
        <v>2.0560000000000001E-4</v>
      </c>
      <c r="E781" s="803">
        <v>68369</v>
      </c>
      <c r="F781" s="803">
        <v>92272</v>
      </c>
      <c r="G781" s="803">
        <v>424679</v>
      </c>
      <c r="H781" s="803"/>
      <c r="I781" s="804">
        <v>7979</v>
      </c>
      <c r="J781" s="804">
        <v>372154</v>
      </c>
      <c r="K781" s="804">
        <v>29087</v>
      </c>
      <c r="L781" s="803">
        <v>2505</v>
      </c>
      <c r="M781" s="803"/>
      <c r="N781" s="804">
        <v>14881</v>
      </c>
      <c r="O781" s="804">
        <v>137360</v>
      </c>
      <c r="P781" s="804">
        <v>0</v>
      </c>
      <c r="Q781" s="803">
        <v>22555</v>
      </c>
      <c r="R781" s="803"/>
      <c r="S781" s="804">
        <v>113511</v>
      </c>
      <c r="T781" s="805">
        <v>-5398</v>
      </c>
      <c r="U781" s="805">
        <v>108113</v>
      </c>
    </row>
    <row r="782" spans="1:21" x14ac:dyDescent="0.25">
      <c r="A782" s="800">
        <v>98441</v>
      </c>
      <c r="B782" s="801" t="s">
        <v>3419</v>
      </c>
      <c r="C782" s="802">
        <v>9.1000000000000003E-5</v>
      </c>
      <c r="D782" s="802">
        <v>1.039E-4</v>
      </c>
      <c r="E782" s="803">
        <v>33724.18</v>
      </c>
      <c r="F782" s="803">
        <v>46630</v>
      </c>
      <c r="G782" s="803">
        <v>193132</v>
      </c>
      <c r="H782" s="803"/>
      <c r="I782" s="804">
        <v>3628.625</v>
      </c>
      <c r="J782" s="804">
        <v>169246</v>
      </c>
      <c r="K782" s="804">
        <v>13228</v>
      </c>
      <c r="L782" s="803">
        <v>1146</v>
      </c>
      <c r="M782" s="803"/>
      <c r="N782" s="804">
        <v>6768</v>
      </c>
      <c r="O782" s="804">
        <v>62468</v>
      </c>
      <c r="P782" s="804">
        <v>0</v>
      </c>
      <c r="Q782" s="803">
        <v>21657</v>
      </c>
      <c r="R782" s="803"/>
      <c r="S782" s="804">
        <v>51621</v>
      </c>
      <c r="T782" s="805">
        <v>-6156</v>
      </c>
      <c r="U782" s="805">
        <v>45466</v>
      </c>
    </row>
    <row r="783" spans="1:21" x14ac:dyDescent="0.25">
      <c r="A783" s="800">
        <v>98451</v>
      </c>
      <c r="B783" s="801" t="s">
        <v>3420</v>
      </c>
      <c r="C783" s="802">
        <v>5.6199999999999997E-5</v>
      </c>
      <c r="D783" s="802">
        <v>6.0300000000000002E-5</v>
      </c>
      <c r="E783" s="803">
        <v>24173</v>
      </c>
      <c r="F783" s="803">
        <v>27062</v>
      </c>
      <c r="G783" s="803">
        <v>119275</v>
      </c>
      <c r="H783" s="803"/>
      <c r="I783" s="804">
        <v>2240.9749999999999</v>
      </c>
      <c r="J783" s="804">
        <v>104523</v>
      </c>
      <c r="K783" s="804">
        <v>8169</v>
      </c>
      <c r="L783" s="803">
        <v>0</v>
      </c>
      <c r="M783" s="803"/>
      <c r="N783" s="804">
        <v>4180</v>
      </c>
      <c r="O783" s="804">
        <v>38579</v>
      </c>
      <c r="P783" s="804">
        <v>0</v>
      </c>
      <c r="Q783" s="803">
        <v>2135</v>
      </c>
      <c r="R783" s="803"/>
      <c r="S783" s="804">
        <v>31881</v>
      </c>
      <c r="T783" s="805">
        <v>-657</v>
      </c>
      <c r="U783" s="805">
        <v>31223</v>
      </c>
    </row>
    <row r="784" spans="1:21" x14ac:dyDescent="0.25">
      <c r="A784" s="800">
        <v>98481</v>
      </c>
      <c r="B784" s="801" t="s">
        <v>3421</v>
      </c>
      <c r="C784" s="802">
        <v>6.7700000000000006E-5</v>
      </c>
      <c r="D784" s="802">
        <v>6.2500000000000001E-5</v>
      </c>
      <c r="E784" s="803">
        <v>21741.83</v>
      </c>
      <c r="F784" s="803">
        <v>28049.625</v>
      </c>
      <c r="G784" s="803">
        <v>143682</v>
      </c>
      <c r="H784" s="803"/>
      <c r="I784" s="804">
        <v>2700</v>
      </c>
      <c r="J784" s="804">
        <v>125911</v>
      </c>
      <c r="K784" s="804">
        <v>9841</v>
      </c>
      <c r="L784" s="803">
        <v>3106</v>
      </c>
      <c r="M784" s="803"/>
      <c r="N784" s="804">
        <v>5035</v>
      </c>
      <c r="O784" s="804">
        <v>46473</v>
      </c>
      <c r="P784" s="804">
        <v>0</v>
      </c>
      <c r="Q784" s="803">
        <v>2045</v>
      </c>
      <c r="R784" s="803"/>
      <c r="S784" s="804">
        <v>38404</v>
      </c>
      <c r="T784" s="805">
        <v>1029</v>
      </c>
      <c r="U784" s="805">
        <v>39434</v>
      </c>
    </row>
    <row r="785" spans="1:21" x14ac:dyDescent="0.25">
      <c r="A785" s="800">
        <v>98501</v>
      </c>
      <c r="B785" s="801" t="s">
        <v>3422</v>
      </c>
      <c r="C785" s="802">
        <v>1.5690999999999999E-3</v>
      </c>
      <c r="D785" s="802">
        <v>1.5471E-3</v>
      </c>
      <c r="E785" s="803">
        <v>684836.9</v>
      </c>
      <c r="F785" s="803">
        <v>694329</v>
      </c>
      <c r="G785" s="803">
        <v>3330156</v>
      </c>
      <c r="H785" s="803"/>
      <c r="I785" s="804">
        <v>62568</v>
      </c>
      <c r="J785" s="804">
        <v>2918278</v>
      </c>
      <c r="K785" s="804">
        <v>228086</v>
      </c>
      <c r="L785" s="803">
        <v>44212</v>
      </c>
      <c r="M785" s="803"/>
      <c r="N785" s="804">
        <v>116692</v>
      </c>
      <c r="O785" s="804">
        <v>1077121</v>
      </c>
      <c r="P785" s="804">
        <v>0</v>
      </c>
      <c r="Q785" s="803">
        <v>5894</v>
      </c>
      <c r="R785" s="803"/>
      <c r="S785" s="804">
        <v>890102</v>
      </c>
      <c r="T785" s="805">
        <v>8576</v>
      </c>
      <c r="U785" s="805">
        <v>898678</v>
      </c>
    </row>
    <row r="786" spans="1:21" x14ac:dyDescent="0.25">
      <c r="A786" s="800">
        <v>98511</v>
      </c>
      <c r="B786" s="801" t="s">
        <v>3423</v>
      </c>
      <c r="C786" s="802">
        <v>4.5800000000000002E-5</v>
      </c>
      <c r="D786" s="802">
        <v>3.96E-5</v>
      </c>
      <c r="E786" s="803">
        <v>20253.45</v>
      </c>
      <c r="F786" s="803">
        <v>17772</v>
      </c>
      <c r="G786" s="803">
        <v>97203</v>
      </c>
      <c r="H786" s="803"/>
      <c r="I786" s="804">
        <v>1826.2750000000001</v>
      </c>
      <c r="J786" s="804">
        <v>85181</v>
      </c>
      <c r="K786" s="804">
        <v>6658</v>
      </c>
      <c r="L786" s="803">
        <v>4485</v>
      </c>
      <c r="M786" s="803"/>
      <c r="N786" s="804">
        <v>3406</v>
      </c>
      <c r="O786" s="804">
        <v>31440</v>
      </c>
      <c r="P786" s="804">
        <v>0</v>
      </c>
      <c r="Q786" s="803">
        <v>23108</v>
      </c>
      <c r="R786" s="803"/>
      <c r="S786" s="804">
        <v>25981</v>
      </c>
      <c r="T786" s="805">
        <v>-10027</v>
      </c>
      <c r="U786" s="805">
        <v>15954</v>
      </c>
    </row>
    <row r="787" spans="1:21" x14ac:dyDescent="0.25">
      <c r="A787" s="800">
        <v>98517</v>
      </c>
      <c r="B787" s="801" t="s">
        <v>3424</v>
      </c>
      <c r="C787" s="802">
        <v>2.6000000000000001E-6</v>
      </c>
      <c r="D787" s="802">
        <v>3.3000000000000002E-6</v>
      </c>
      <c r="E787" s="803">
        <v>2175</v>
      </c>
      <c r="F787" s="803">
        <v>1481</v>
      </c>
      <c r="G787" s="803">
        <v>5518</v>
      </c>
      <c r="H787" s="803"/>
      <c r="I787" s="804">
        <v>103.675</v>
      </c>
      <c r="J787" s="804">
        <v>4836</v>
      </c>
      <c r="K787" s="804">
        <v>378</v>
      </c>
      <c r="L787" s="803">
        <v>1036</v>
      </c>
      <c r="M787" s="803"/>
      <c r="N787" s="804">
        <v>193</v>
      </c>
      <c r="O787" s="804">
        <v>1785</v>
      </c>
      <c r="P787" s="804">
        <v>0</v>
      </c>
      <c r="Q787" s="803">
        <v>0</v>
      </c>
      <c r="R787" s="803"/>
      <c r="S787" s="804">
        <v>1475</v>
      </c>
      <c r="T787" s="805">
        <v>354</v>
      </c>
      <c r="U787" s="805">
        <v>1829</v>
      </c>
    </row>
    <row r="788" spans="1:21" x14ac:dyDescent="0.25">
      <c r="A788" s="800">
        <v>98521</v>
      </c>
      <c r="B788" s="801" t="s">
        <v>3425</v>
      </c>
      <c r="C788" s="802">
        <v>5.7059999999999999E-4</v>
      </c>
      <c r="D788" s="802">
        <v>6.3980000000000005E-4</v>
      </c>
      <c r="E788" s="803">
        <v>223042</v>
      </c>
      <c r="F788" s="803">
        <v>287138</v>
      </c>
      <c r="G788" s="803">
        <v>1211004</v>
      </c>
      <c r="H788" s="803"/>
      <c r="I788" s="804">
        <v>22753</v>
      </c>
      <c r="J788" s="804">
        <v>1061226</v>
      </c>
      <c r="K788" s="804">
        <v>82943</v>
      </c>
      <c r="L788" s="803">
        <v>0</v>
      </c>
      <c r="M788" s="803"/>
      <c r="N788" s="804">
        <v>42435</v>
      </c>
      <c r="O788" s="804">
        <v>391693</v>
      </c>
      <c r="P788" s="804">
        <v>0</v>
      </c>
      <c r="Q788" s="803">
        <v>62867</v>
      </c>
      <c r="R788" s="803"/>
      <c r="S788" s="804">
        <v>323684</v>
      </c>
      <c r="T788" s="805">
        <v>-18900</v>
      </c>
      <c r="U788" s="805">
        <v>304784</v>
      </c>
    </row>
    <row r="789" spans="1:21" x14ac:dyDescent="0.25">
      <c r="A789" s="800">
        <v>98601</v>
      </c>
      <c r="B789" s="801" t="s">
        <v>3426</v>
      </c>
      <c r="C789" s="802">
        <v>3.5065999999999999E-3</v>
      </c>
      <c r="D789" s="802">
        <v>3.3880999999999998E-3</v>
      </c>
      <c r="E789" s="803">
        <v>1331350</v>
      </c>
      <c r="F789" s="803">
        <v>1520559</v>
      </c>
      <c r="G789" s="803">
        <v>7442180</v>
      </c>
      <c r="H789" s="803"/>
      <c r="I789" s="804">
        <v>139826</v>
      </c>
      <c r="J789" s="804">
        <v>6521722</v>
      </c>
      <c r="K789" s="804">
        <v>509723</v>
      </c>
      <c r="L789" s="803">
        <v>0</v>
      </c>
      <c r="M789" s="803"/>
      <c r="N789" s="804">
        <v>260782</v>
      </c>
      <c r="O789" s="804">
        <v>2407134</v>
      </c>
      <c r="P789" s="804">
        <v>0</v>
      </c>
      <c r="Q789" s="803">
        <v>160211</v>
      </c>
      <c r="R789" s="803"/>
      <c r="S789" s="804">
        <v>1989185</v>
      </c>
      <c r="T789" s="805">
        <v>-63543</v>
      </c>
      <c r="U789" s="805">
        <v>1925643</v>
      </c>
    </row>
    <row r="790" spans="1:21" x14ac:dyDescent="0.25">
      <c r="A790" s="800">
        <v>98604</v>
      </c>
      <c r="B790" s="801" t="s">
        <v>3427</v>
      </c>
      <c r="C790" s="802">
        <v>1.59E-5</v>
      </c>
      <c r="D790" s="802">
        <v>0</v>
      </c>
      <c r="E790" s="803">
        <v>5854</v>
      </c>
      <c r="F790" s="803">
        <v>0</v>
      </c>
      <c r="G790" s="803">
        <v>33745</v>
      </c>
      <c r="H790" s="803"/>
      <c r="I790" s="804">
        <v>634</v>
      </c>
      <c r="J790" s="804">
        <v>29571</v>
      </c>
      <c r="K790" s="804">
        <v>2311</v>
      </c>
      <c r="L790" s="803">
        <v>8069</v>
      </c>
      <c r="M790" s="803"/>
      <c r="N790" s="804">
        <v>1182</v>
      </c>
      <c r="O790" s="804">
        <v>10915</v>
      </c>
      <c r="P790" s="804">
        <v>0</v>
      </c>
      <c r="Q790" s="803">
        <v>0</v>
      </c>
      <c r="R790" s="803"/>
      <c r="S790" s="804">
        <v>9020</v>
      </c>
      <c r="T790" s="805">
        <v>2090</v>
      </c>
      <c r="U790" s="805">
        <v>11110</v>
      </c>
    </row>
    <row r="791" spans="1:21" x14ac:dyDescent="0.25">
      <c r="A791" s="800">
        <v>98607</v>
      </c>
      <c r="B791" s="801" t="s">
        <v>3428</v>
      </c>
      <c r="C791" s="802">
        <v>5.9000000000000003E-6</v>
      </c>
      <c r="D791" s="802">
        <v>6.0000000000000002E-6</v>
      </c>
      <c r="E791" s="803">
        <v>2400</v>
      </c>
      <c r="F791" s="803">
        <v>2693</v>
      </c>
      <c r="G791" s="803">
        <v>12522</v>
      </c>
      <c r="H791" s="803"/>
      <c r="I791" s="804">
        <v>235</v>
      </c>
      <c r="J791" s="804">
        <v>10973</v>
      </c>
      <c r="K791" s="804">
        <v>858</v>
      </c>
      <c r="L791" s="803">
        <v>0</v>
      </c>
      <c r="M791" s="803"/>
      <c r="N791" s="804">
        <v>439</v>
      </c>
      <c r="O791" s="804">
        <v>4050</v>
      </c>
      <c r="P791" s="804">
        <v>0</v>
      </c>
      <c r="Q791" s="803">
        <v>2348</v>
      </c>
      <c r="R791" s="803"/>
      <c r="S791" s="804">
        <v>3347</v>
      </c>
      <c r="T791" s="805">
        <v>-874</v>
      </c>
      <c r="U791" s="805">
        <v>2473</v>
      </c>
    </row>
    <row r="792" spans="1:21" x14ac:dyDescent="0.25">
      <c r="A792" s="800">
        <v>98608</v>
      </c>
      <c r="B792" s="801" t="s">
        <v>3429</v>
      </c>
      <c r="C792" s="802">
        <v>4.2299999999999998E-5</v>
      </c>
      <c r="D792" s="802">
        <v>5.4500000000000003E-5</v>
      </c>
      <c r="E792" s="803">
        <v>16593</v>
      </c>
      <c r="F792" s="803">
        <v>24459</v>
      </c>
      <c r="G792" s="803">
        <v>89775</v>
      </c>
      <c r="H792" s="803"/>
      <c r="I792" s="804">
        <v>1687</v>
      </c>
      <c r="J792" s="804">
        <v>78671</v>
      </c>
      <c r="K792" s="804">
        <v>6149</v>
      </c>
      <c r="L792" s="803">
        <v>6369</v>
      </c>
      <c r="M792" s="803"/>
      <c r="N792" s="804">
        <v>3146</v>
      </c>
      <c r="O792" s="804">
        <v>29037</v>
      </c>
      <c r="P792" s="804">
        <v>0</v>
      </c>
      <c r="Q792" s="803">
        <v>7247</v>
      </c>
      <c r="R792" s="803"/>
      <c r="S792" s="804">
        <v>23995</v>
      </c>
      <c r="T792" s="805">
        <v>566</v>
      </c>
      <c r="U792" s="805">
        <v>24562</v>
      </c>
    </row>
    <row r="793" spans="1:21" x14ac:dyDescent="0.25">
      <c r="A793" s="800">
        <v>98611</v>
      </c>
      <c r="B793" s="801" t="s">
        <v>3430</v>
      </c>
      <c r="C793" s="802">
        <v>8.6700000000000007E-5</v>
      </c>
      <c r="D793" s="802">
        <v>1.2129999999999999E-4</v>
      </c>
      <c r="E793" s="803">
        <v>43078</v>
      </c>
      <c r="F793" s="803">
        <v>54439</v>
      </c>
      <c r="G793" s="803">
        <v>184006</v>
      </c>
      <c r="H793" s="803"/>
      <c r="I793" s="804">
        <v>3457</v>
      </c>
      <c r="J793" s="804">
        <v>161248</v>
      </c>
      <c r="K793" s="804">
        <v>12603</v>
      </c>
      <c r="L793" s="803">
        <v>4723</v>
      </c>
      <c r="M793" s="803"/>
      <c r="N793" s="804">
        <v>6448</v>
      </c>
      <c r="O793" s="804">
        <v>59516</v>
      </c>
      <c r="P793" s="804">
        <v>0</v>
      </c>
      <c r="Q793" s="803">
        <v>12848</v>
      </c>
      <c r="R793" s="803"/>
      <c r="S793" s="804">
        <v>49182</v>
      </c>
      <c r="T793" s="805">
        <v>-1131</v>
      </c>
      <c r="U793" s="805">
        <v>48051</v>
      </c>
    </row>
    <row r="794" spans="1:21" x14ac:dyDescent="0.25">
      <c r="A794" s="800">
        <v>98621</v>
      </c>
      <c r="B794" s="801" t="s">
        <v>3431</v>
      </c>
      <c r="C794" s="802">
        <v>1.3239999999999999E-4</v>
      </c>
      <c r="D794" s="802">
        <v>1.2740000000000001E-4</v>
      </c>
      <c r="E794" s="803">
        <v>45779.06</v>
      </c>
      <c r="F794" s="803">
        <v>57176</v>
      </c>
      <c r="G794" s="803">
        <v>280997</v>
      </c>
      <c r="H794" s="803"/>
      <c r="I794" s="804">
        <v>5279.45</v>
      </c>
      <c r="J794" s="804">
        <v>246243</v>
      </c>
      <c r="K794" s="804">
        <v>19246</v>
      </c>
      <c r="L794" s="803">
        <v>951</v>
      </c>
      <c r="M794" s="803"/>
      <c r="N794" s="804">
        <v>9846</v>
      </c>
      <c r="O794" s="804">
        <v>90887</v>
      </c>
      <c r="P794" s="804">
        <v>0</v>
      </c>
      <c r="Q794" s="803">
        <v>9470</v>
      </c>
      <c r="R794" s="803"/>
      <c r="S794" s="804">
        <v>75106</v>
      </c>
      <c r="T794" s="805">
        <v>-2481</v>
      </c>
      <c r="U794" s="805">
        <v>72625</v>
      </c>
    </row>
    <row r="795" spans="1:21" x14ac:dyDescent="0.25">
      <c r="A795" s="800">
        <v>98627</v>
      </c>
      <c r="B795" s="801" t="s">
        <v>3432</v>
      </c>
      <c r="C795" s="802">
        <v>9.3999999999999998E-6</v>
      </c>
      <c r="D795" s="802">
        <v>7.4000000000000003E-6</v>
      </c>
      <c r="E795" s="803">
        <v>3039</v>
      </c>
      <c r="F795" s="803">
        <v>3321</v>
      </c>
      <c r="G795" s="803">
        <v>19950</v>
      </c>
      <c r="H795" s="803"/>
      <c r="I795" s="804">
        <v>374.82499999999999</v>
      </c>
      <c r="J795" s="804">
        <v>17483</v>
      </c>
      <c r="K795" s="804">
        <v>1366</v>
      </c>
      <c r="L795" s="803">
        <v>426</v>
      </c>
      <c r="M795" s="803"/>
      <c r="N795" s="804">
        <v>699</v>
      </c>
      <c r="O795" s="804">
        <v>6453</v>
      </c>
      <c r="P795" s="804">
        <v>0</v>
      </c>
      <c r="Q795" s="803">
        <v>202</v>
      </c>
      <c r="R795" s="803"/>
      <c r="S795" s="804">
        <v>5332</v>
      </c>
      <c r="T795" s="805">
        <v>25</v>
      </c>
      <c r="U795" s="805">
        <v>5357</v>
      </c>
    </row>
    <row r="796" spans="1:21" x14ac:dyDescent="0.25">
      <c r="A796" s="800">
        <v>98631</v>
      </c>
      <c r="B796" s="801" t="s">
        <v>3433</v>
      </c>
      <c r="C796" s="802">
        <v>1.0415000000000001E-3</v>
      </c>
      <c r="D796" s="802">
        <v>1.1375000000000001E-3</v>
      </c>
      <c r="E796" s="803">
        <v>412487</v>
      </c>
      <c r="F796" s="803">
        <v>510503</v>
      </c>
      <c r="G796" s="803">
        <v>2210412</v>
      </c>
      <c r="H796" s="803"/>
      <c r="I796" s="804">
        <v>41530</v>
      </c>
      <c r="J796" s="804">
        <v>1937025</v>
      </c>
      <c r="K796" s="804">
        <v>151393</v>
      </c>
      <c r="L796" s="803">
        <v>0</v>
      </c>
      <c r="M796" s="803"/>
      <c r="N796" s="804">
        <v>77455</v>
      </c>
      <c r="O796" s="804">
        <v>714946</v>
      </c>
      <c r="P796" s="804">
        <v>0</v>
      </c>
      <c r="Q796" s="803">
        <v>118586</v>
      </c>
      <c r="R796" s="803"/>
      <c r="S796" s="804">
        <v>590811</v>
      </c>
      <c r="T796" s="805">
        <v>-36690</v>
      </c>
      <c r="U796" s="805">
        <v>554121</v>
      </c>
    </row>
    <row r="797" spans="1:21" x14ac:dyDescent="0.25">
      <c r="A797" s="800">
        <v>98637</v>
      </c>
      <c r="B797" s="801" t="s">
        <v>3434</v>
      </c>
      <c r="C797" s="802">
        <v>2.2200000000000001E-5</v>
      </c>
      <c r="D797" s="802">
        <v>2.3499999999999999E-5</v>
      </c>
      <c r="E797" s="803">
        <v>14030</v>
      </c>
      <c r="F797" s="803">
        <v>10547</v>
      </c>
      <c r="G797" s="803">
        <v>47116</v>
      </c>
      <c r="H797" s="803"/>
      <c r="I797" s="804">
        <v>885.22500000000002</v>
      </c>
      <c r="J797" s="804">
        <v>41288</v>
      </c>
      <c r="K797" s="804">
        <v>3227</v>
      </c>
      <c r="L797" s="803">
        <v>6585</v>
      </c>
      <c r="M797" s="803"/>
      <c r="N797" s="804">
        <v>1651</v>
      </c>
      <c r="O797" s="804">
        <v>15239</v>
      </c>
      <c r="P797" s="804">
        <v>0</v>
      </c>
      <c r="Q797" s="803">
        <v>0</v>
      </c>
      <c r="R797" s="803"/>
      <c r="S797" s="804">
        <v>12593</v>
      </c>
      <c r="T797" s="805">
        <v>2204</v>
      </c>
      <c r="U797" s="805">
        <v>14798</v>
      </c>
    </row>
    <row r="798" spans="1:21" x14ac:dyDescent="0.25">
      <c r="A798" s="800">
        <v>98641</v>
      </c>
      <c r="B798" s="801" t="s">
        <v>3435</v>
      </c>
      <c r="C798" s="802">
        <v>3.0019999999999998E-4</v>
      </c>
      <c r="D798" s="802">
        <v>3.1819999999999998E-4</v>
      </c>
      <c r="E798" s="803">
        <v>122410</v>
      </c>
      <c r="F798" s="803">
        <v>142806</v>
      </c>
      <c r="G798" s="803">
        <v>637125</v>
      </c>
      <c r="H798" s="803"/>
      <c r="I798" s="804">
        <v>11970</v>
      </c>
      <c r="J798" s="804">
        <v>558325</v>
      </c>
      <c r="K798" s="804">
        <v>43637</v>
      </c>
      <c r="L798" s="803">
        <v>4514</v>
      </c>
      <c r="M798" s="803"/>
      <c r="N798" s="804">
        <v>22326</v>
      </c>
      <c r="O798" s="804">
        <v>206075</v>
      </c>
      <c r="P798" s="804">
        <v>0</v>
      </c>
      <c r="Q798" s="803">
        <v>10581</v>
      </c>
      <c r="R798" s="803"/>
      <c r="S798" s="804">
        <v>170294</v>
      </c>
      <c r="T798" s="805">
        <v>-473</v>
      </c>
      <c r="U798" s="805">
        <v>169821</v>
      </c>
    </row>
    <row r="799" spans="1:21" x14ac:dyDescent="0.25">
      <c r="A799" s="800">
        <v>98647</v>
      </c>
      <c r="B799" s="801" t="s">
        <v>3436</v>
      </c>
      <c r="C799" s="802">
        <v>0</v>
      </c>
      <c r="D799" s="802">
        <v>1.24E-5</v>
      </c>
      <c r="E799" s="803">
        <v>0</v>
      </c>
      <c r="F799" s="803">
        <v>5565</v>
      </c>
      <c r="G799" s="803">
        <v>0</v>
      </c>
      <c r="H799" s="803"/>
      <c r="I799" s="804">
        <v>0</v>
      </c>
      <c r="J799" s="804">
        <v>0</v>
      </c>
      <c r="K799" s="804">
        <v>0</v>
      </c>
      <c r="L799" s="803">
        <v>4884</v>
      </c>
      <c r="M799" s="803"/>
      <c r="N799" s="804">
        <v>0</v>
      </c>
      <c r="O799" s="804">
        <v>0</v>
      </c>
      <c r="P799" s="804">
        <v>0</v>
      </c>
      <c r="Q799" s="803">
        <v>6717</v>
      </c>
      <c r="R799" s="803"/>
      <c r="S799" s="804">
        <v>0</v>
      </c>
      <c r="T799" s="805">
        <v>178</v>
      </c>
      <c r="U799" s="805">
        <v>178</v>
      </c>
    </row>
    <row r="800" spans="1:21" x14ac:dyDescent="0.25">
      <c r="A800" s="800">
        <v>98701</v>
      </c>
      <c r="B800" s="801" t="s">
        <v>3437</v>
      </c>
      <c r="C800" s="802">
        <v>1.1793000000000001E-3</v>
      </c>
      <c r="D800" s="802">
        <v>1.0842E-3</v>
      </c>
      <c r="E800" s="803">
        <v>425946.13</v>
      </c>
      <c r="F800" s="803">
        <v>486582</v>
      </c>
      <c r="G800" s="803">
        <v>2502870</v>
      </c>
      <c r="H800" s="803"/>
      <c r="I800" s="804">
        <v>47025</v>
      </c>
      <c r="J800" s="804">
        <v>2193312</v>
      </c>
      <c r="K800" s="804">
        <v>171424</v>
      </c>
      <c r="L800" s="803">
        <v>4631</v>
      </c>
      <c r="M800" s="803"/>
      <c r="N800" s="804">
        <v>87703</v>
      </c>
      <c r="O800" s="804">
        <v>809540</v>
      </c>
      <c r="P800" s="804">
        <v>0</v>
      </c>
      <c r="Q800" s="803">
        <v>48875</v>
      </c>
      <c r="R800" s="803"/>
      <c r="S800" s="804">
        <v>668980</v>
      </c>
      <c r="T800" s="805">
        <v>-17040</v>
      </c>
      <c r="U800" s="805">
        <v>651940</v>
      </c>
    </row>
    <row r="801" spans="1:21" x14ac:dyDescent="0.25">
      <c r="A801" s="800">
        <v>98711</v>
      </c>
      <c r="B801" s="801" t="s">
        <v>3438</v>
      </c>
      <c r="C801" s="802">
        <v>1.8039999999999999E-4</v>
      </c>
      <c r="D801" s="802">
        <v>1.7589999999999999E-4</v>
      </c>
      <c r="E801" s="803">
        <v>62580</v>
      </c>
      <c r="F801" s="803">
        <v>78943</v>
      </c>
      <c r="G801" s="803">
        <v>382869</v>
      </c>
      <c r="H801" s="803"/>
      <c r="I801" s="804">
        <v>7193.45</v>
      </c>
      <c r="J801" s="804">
        <v>335515</v>
      </c>
      <c r="K801" s="804">
        <v>26223</v>
      </c>
      <c r="L801" s="803">
        <v>2488</v>
      </c>
      <c r="M801" s="803"/>
      <c r="N801" s="804">
        <v>13416</v>
      </c>
      <c r="O801" s="804">
        <v>123837</v>
      </c>
      <c r="P801" s="804">
        <v>0</v>
      </c>
      <c r="Q801" s="803">
        <v>10451</v>
      </c>
      <c r="R801" s="803"/>
      <c r="S801" s="804">
        <v>102335</v>
      </c>
      <c r="T801" s="805">
        <v>-1808</v>
      </c>
      <c r="U801" s="805">
        <v>100527</v>
      </c>
    </row>
    <row r="802" spans="1:21" x14ac:dyDescent="0.25">
      <c r="A802" s="800">
        <v>98717</v>
      </c>
      <c r="B802" s="801" t="s">
        <v>3439</v>
      </c>
      <c r="C802" s="802">
        <v>1.8600000000000001E-5</v>
      </c>
      <c r="D802" s="802">
        <v>1.98E-5</v>
      </c>
      <c r="E802" s="803">
        <v>7761</v>
      </c>
      <c r="F802" s="803">
        <v>8886</v>
      </c>
      <c r="G802" s="803">
        <v>39475</v>
      </c>
      <c r="H802" s="803"/>
      <c r="I802" s="804">
        <v>742</v>
      </c>
      <c r="J802" s="804">
        <v>34593</v>
      </c>
      <c r="K802" s="804">
        <v>2704</v>
      </c>
      <c r="L802" s="803">
        <v>783</v>
      </c>
      <c r="M802" s="803"/>
      <c r="N802" s="804">
        <v>1383</v>
      </c>
      <c r="O802" s="804">
        <v>12768</v>
      </c>
      <c r="P802" s="804">
        <v>0</v>
      </c>
      <c r="Q802" s="803">
        <v>798</v>
      </c>
      <c r="R802" s="803"/>
      <c r="S802" s="804">
        <v>10551</v>
      </c>
      <c r="T802" s="805">
        <v>13</v>
      </c>
      <c r="U802" s="805">
        <v>10565</v>
      </c>
    </row>
    <row r="803" spans="1:21" x14ac:dyDescent="0.25">
      <c r="A803" s="800">
        <v>98801</v>
      </c>
      <c r="B803" s="801" t="s">
        <v>3440</v>
      </c>
      <c r="C803" s="802">
        <v>2.1771999999999998E-3</v>
      </c>
      <c r="D803" s="802">
        <v>2.1686000000000001E-3</v>
      </c>
      <c r="E803" s="803">
        <v>916501</v>
      </c>
      <c r="F803" s="803">
        <v>973255</v>
      </c>
      <c r="G803" s="803">
        <v>4620748</v>
      </c>
      <c r="H803" s="803"/>
      <c r="I803" s="804">
        <v>86816</v>
      </c>
      <c r="J803" s="804">
        <v>4049248</v>
      </c>
      <c r="K803" s="804">
        <v>316480</v>
      </c>
      <c r="L803" s="803">
        <v>92904</v>
      </c>
      <c r="M803" s="803"/>
      <c r="N803" s="804">
        <v>161916</v>
      </c>
      <c r="O803" s="804">
        <v>1494556</v>
      </c>
      <c r="P803" s="804">
        <v>0</v>
      </c>
      <c r="Q803" s="803">
        <v>0</v>
      </c>
      <c r="R803" s="803"/>
      <c r="S803" s="804">
        <v>1235058</v>
      </c>
      <c r="T803" s="805">
        <v>33821</v>
      </c>
      <c r="U803" s="805">
        <v>1268879</v>
      </c>
    </row>
    <row r="804" spans="1:21" x14ac:dyDescent="0.25">
      <c r="A804" s="800">
        <v>98811</v>
      </c>
      <c r="B804" s="801" t="s">
        <v>3441</v>
      </c>
      <c r="C804" s="802">
        <v>7.1120000000000005E-4</v>
      </c>
      <c r="D804" s="802">
        <v>7.737E-4</v>
      </c>
      <c r="E804" s="803">
        <v>290528</v>
      </c>
      <c r="F804" s="803">
        <v>347232</v>
      </c>
      <c r="G804" s="803">
        <v>1509405</v>
      </c>
      <c r="H804" s="803"/>
      <c r="I804" s="804">
        <v>28359</v>
      </c>
      <c r="J804" s="804">
        <v>1322720</v>
      </c>
      <c r="K804" s="804">
        <v>103381</v>
      </c>
      <c r="L804" s="803">
        <v>31001</v>
      </c>
      <c r="M804" s="803"/>
      <c r="N804" s="804">
        <v>52891</v>
      </c>
      <c r="O804" s="804">
        <v>488209</v>
      </c>
      <c r="P804" s="804">
        <v>0</v>
      </c>
      <c r="Q804" s="803">
        <v>35404</v>
      </c>
      <c r="R804" s="803"/>
      <c r="S804" s="804">
        <v>403442</v>
      </c>
      <c r="T804" s="805">
        <v>4854</v>
      </c>
      <c r="U804" s="805">
        <v>408295</v>
      </c>
    </row>
    <row r="805" spans="1:21" x14ac:dyDescent="0.25">
      <c r="A805" s="800">
        <v>98817</v>
      </c>
      <c r="B805" s="801" t="s">
        <v>3442</v>
      </c>
      <c r="C805" s="802">
        <v>2.34E-5</v>
      </c>
      <c r="D805" s="802">
        <v>2.6400000000000001E-5</v>
      </c>
      <c r="E805" s="803">
        <v>11958.25</v>
      </c>
      <c r="F805" s="803">
        <v>11848</v>
      </c>
      <c r="G805" s="803">
        <v>49663</v>
      </c>
      <c r="H805" s="803"/>
      <c r="I805" s="804">
        <v>933</v>
      </c>
      <c r="J805" s="804">
        <v>43520</v>
      </c>
      <c r="K805" s="804">
        <v>3401</v>
      </c>
      <c r="L805" s="803">
        <v>244</v>
      </c>
      <c r="M805" s="803"/>
      <c r="N805" s="804">
        <v>1740</v>
      </c>
      <c r="O805" s="804">
        <v>16063</v>
      </c>
      <c r="P805" s="804">
        <v>0</v>
      </c>
      <c r="Q805" s="803">
        <v>4380</v>
      </c>
      <c r="R805" s="803"/>
      <c r="S805" s="804">
        <v>13274</v>
      </c>
      <c r="T805" s="805">
        <v>-2136</v>
      </c>
      <c r="U805" s="805">
        <v>11138</v>
      </c>
    </row>
    <row r="806" spans="1:21" x14ac:dyDescent="0.25">
      <c r="A806" s="800">
        <v>98901</v>
      </c>
      <c r="B806" s="801" t="s">
        <v>3443</v>
      </c>
      <c r="C806" s="802">
        <v>3.392E-4</v>
      </c>
      <c r="D806" s="802">
        <v>3.4190000000000002E-4</v>
      </c>
      <c r="E806" s="803">
        <v>138121</v>
      </c>
      <c r="F806" s="803">
        <v>153443</v>
      </c>
      <c r="G806" s="803">
        <v>719896</v>
      </c>
      <c r="H806" s="803"/>
      <c r="I806" s="804">
        <v>13525.6</v>
      </c>
      <c r="J806" s="804">
        <v>630858</v>
      </c>
      <c r="K806" s="804">
        <v>49306</v>
      </c>
      <c r="L806" s="803">
        <v>2099</v>
      </c>
      <c r="M806" s="803"/>
      <c r="N806" s="804">
        <v>25226</v>
      </c>
      <c r="O806" s="804">
        <v>232847</v>
      </c>
      <c r="P806" s="804">
        <v>0</v>
      </c>
      <c r="Q806" s="803">
        <v>3837</v>
      </c>
      <c r="R806" s="803"/>
      <c r="S806" s="804">
        <v>192418</v>
      </c>
      <c r="T806" s="805">
        <v>-562</v>
      </c>
      <c r="U806" s="805">
        <v>191855</v>
      </c>
    </row>
    <row r="807" spans="1:21" x14ac:dyDescent="0.25">
      <c r="A807" s="800">
        <v>98904</v>
      </c>
      <c r="B807" s="801" t="s">
        <v>3444</v>
      </c>
      <c r="C807" s="802">
        <v>5.2000000000000002E-6</v>
      </c>
      <c r="D807" s="802">
        <v>3.4000000000000001E-6</v>
      </c>
      <c r="E807" s="803">
        <v>0</v>
      </c>
      <c r="F807" s="803">
        <v>1526</v>
      </c>
      <c r="G807" s="803">
        <v>11036</v>
      </c>
      <c r="H807" s="803"/>
      <c r="I807" s="804">
        <v>207.35</v>
      </c>
      <c r="J807" s="804">
        <v>9671</v>
      </c>
      <c r="K807" s="804">
        <v>756</v>
      </c>
      <c r="L807" s="803">
        <v>575</v>
      </c>
      <c r="M807" s="803"/>
      <c r="N807" s="804">
        <v>387</v>
      </c>
      <c r="O807" s="804">
        <v>3570</v>
      </c>
      <c r="P807" s="804">
        <v>0</v>
      </c>
      <c r="Q807" s="803">
        <v>723</v>
      </c>
      <c r="R807" s="803"/>
      <c r="S807" s="804">
        <v>2950</v>
      </c>
      <c r="T807" s="805">
        <v>22</v>
      </c>
      <c r="U807" s="805">
        <v>2972</v>
      </c>
    </row>
    <row r="808" spans="1:21" x14ac:dyDescent="0.25">
      <c r="A808" s="800">
        <v>98911</v>
      </c>
      <c r="B808" s="801" t="s">
        <v>3445</v>
      </c>
      <c r="C808" s="802">
        <v>2.8600000000000001E-5</v>
      </c>
      <c r="D808" s="802">
        <v>2.5899999999999999E-5</v>
      </c>
      <c r="E808" s="803">
        <v>16745</v>
      </c>
      <c r="F808" s="803">
        <v>11624</v>
      </c>
      <c r="G808" s="803">
        <v>60699</v>
      </c>
      <c r="H808" s="803"/>
      <c r="I808" s="804">
        <v>1140.425</v>
      </c>
      <c r="J808" s="804">
        <v>53191</v>
      </c>
      <c r="K808" s="804">
        <v>4157</v>
      </c>
      <c r="L808" s="803">
        <v>13795</v>
      </c>
      <c r="M808" s="803"/>
      <c r="N808" s="804">
        <v>2127</v>
      </c>
      <c r="O808" s="804">
        <v>19633</v>
      </c>
      <c r="P808" s="804">
        <v>0</v>
      </c>
      <c r="Q808" s="803">
        <v>0</v>
      </c>
      <c r="R808" s="803"/>
      <c r="S808" s="804">
        <v>16224</v>
      </c>
      <c r="T808" s="805">
        <v>4655</v>
      </c>
      <c r="U808" s="805">
        <v>20879</v>
      </c>
    </row>
    <row r="809" spans="1:21" x14ac:dyDescent="0.25">
      <c r="A809" s="800">
        <v>99001</v>
      </c>
      <c r="B809" s="801" t="s">
        <v>3446</v>
      </c>
      <c r="C809" s="802">
        <v>7.8098999999999998E-3</v>
      </c>
      <c r="D809" s="802">
        <v>7.5116999999999996E-3</v>
      </c>
      <c r="E809" s="803">
        <v>3132308</v>
      </c>
      <c r="F809" s="803">
        <v>3371206</v>
      </c>
      <c r="G809" s="803">
        <v>16575224</v>
      </c>
      <c r="H809" s="803"/>
      <c r="I809" s="804">
        <v>311420</v>
      </c>
      <c r="J809" s="804">
        <v>14525180</v>
      </c>
      <c r="K809" s="804">
        <v>1135255</v>
      </c>
      <c r="L809" s="803">
        <v>444444</v>
      </c>
      <c r="M809" s="803"/>
      <c r="N809" s="804">
        <v>580814</v>
      </c>
      <c r="O809" s="804">
        <v>5361168</v>
      </c>
      <c r="P809" s="804">
        <v>0</v>
      </c>
      <c r="Q809" s="803">
        <v>0</v>
      </c>
      <c r="R809" s="803"/>
      <c r="S809" s="804">
        <v>4430314</v>
      </c>
      <c r="T809" s="805">
        <v>166582</v>
      </c>
      <c r="U809" s="805">
        <v>4596896</v>
      </c>
    </row>
    <row r="810" spans="1:21" x14ac:dyDescent="0.25">
      <c r="A810" s="800">
        <v>99011</v>
      </c>
      <c r="B810" s="801" t="s">
        <v>3447</v>
      </c>
      <c r="C810" s="802">
        <v>3.9039000000000001E-3</v>
      </c>
      <c r="D810" s="802">
        <v>4.3128999999999997E-3</v>
      </c>
      <c r="E810" s="803">
        <v>1564249</v>
      </c>
      <c r="F810" s="803">
        <v>1935604</v>
      </c>
      <c r="G810" s="803">
        <v>8285384</v>
      </c>
      <c r="H810" s="803"/>
      <c r="I810" s="804">
        <v>155668</v>
      </c>
      <c r="J810" s="804">
        <v>7260637</v>
      </c>
      <c r="K810" s="804">
        <v>567475</v>
      </c>
      <c r="L810" s="803">
        <v>0</v>
      </c>
      <c r="M810" s="803"/>
      <c r="N810" s="804">
        <v>290329</v>
      </c>
      <c r="O810" s="804">
        <v>2679863</v>
      </c>
      <c r="P810" s="804">
        <v>0</v>
      </c>
      <c r="Q810" s="803">
        <v>573396</v>
      </c>
      <c r="R810" s="803"/>
      <c r="S810" s="804">
        <v>2214561</v>
      </c>
      <c r="T810" s="805">
        <v>-205801</v>
      </c>
      <c r="U810" s="805">
        <v>2008761</v>
      </c>
    </row>
    <row r="811" spans="1:21" x14ac:dyDescent="0.25">
      <c r="A811" s="800">
        <v>99013</v>
      </c>
      <c r="B811" s="801" t="s">
        <v>3448</v>
      </c>
      <c r="C811" s="802">
        <v>6.02E-5</v>
      </c>
      <c r="D811" s="802">
        <v>7.2299999999999996E-5</v>
      </c>
      <c r="E811" s="803">
        <v>23490.16</v>
      </c>
      <c r="F811" s="803">
        <v>32448</v>
      </c>
      <c r="G811" s="803">
        <v>127765</v>
      </c>
      <c r="H811" s="803"/>
      <c r="I811" s="804">
        <v>2400.4749999999999</v>
      </c>
      <c r="J811" s="804">
        <v>111962</v>
      </c>
      <c r="K811" s="804">
        <v>8751</v>
      </c>
      <c r="L811" s="803">
        <v>20</v>
      </c>
      <c r="M811" s="803"/>
      <c r="N811" s="804">
        <v>4477</v>
      </c>
      <c r="O811" s="804">
        <v>41325</v>
      </c>
      <c r="P811" s="804">
        <v>0</v>
      </c>
      <c r="Q811" s="803">
        <v>8750</v>
      </c>
      <c r="R811" s="803"/>
      <c r="S811" s="804">
        <v>34150</v>
      </c>
      <c r="T811" s="805">
        <v>-2370</v>
      </c>
      <c r="U811" s="805">
        <v>31779</v>
      </c>
    </row>
    <row r="812" spans="1:21" x14ac:dyDescent="0.25">
      <c r="A812" s="800">
        <v>99014</v>
      </c>
      <c r="B812" s="801" t="s">
        <v>3449</v>
      </c>
      <c r="C812" s="802">
        <v>2.4199999999999999E-5</v>
      </c>
      <c r="D812" s="802">
        <v>0</v>
      </c>
      <c r="E812" s="803">
        <v>13216.55</v>
      </c>
      <c r="F812" s="803">
        <v>0</v>
      </c>
      <c r="G812" s="803">
        <v>51361</v>
      </c>
      <c r="H812" s="803"/>
      <c r="I812" s="804">
        <v>965</v>
      </c>
      <c r="J812" s="804">
        <v>45008</v>
      </c>
      <c r="K812" s="804">
        <v>3518</v>
      </c>
      <c r="L812" s="803">
        <v>15702</v>
      </c>
      <c r="M812" s="803"/>
      <c r="N812" s="804">
        <v>1800</v>
      </c>
      <c r="O812" s="804">
        <v>16612</v>
      </c>
      <c r="P812" s="804">
        <v>0</v>
      </c>
      <c r="Q812" s="803">
        <v>0</v>
      </c>
      <c r="R812" s="803"/>
      <c r="S812" s="804">
        <v>13728</v>
      </c>
      <c r="T812" s="805">
        <v>4068</v>
      </c>
      <c r="U812" s="805">
        <v>17796</v>
      </c>
    </row>
    <row r="813" spans="1:21" x14ac:dyDescent="0.25">
      <c r="A813" s="800">
        <v>99017</v>
      </c>
      <c r="B813" s="801" t="s">
        <v>3450</v>
      </c>
      <c r="C813" s="802">
        <v>4.6999999999999997E-5</v>
      </c>
      <c r="D813" s="802">
        <v>4.1199999999999999E-5</v>
      </c>
      <c r="E813" s="803">
        <v>19641</v>
      </c>
      <c r="F813" s="803">
        <v>18490</v>
      </c>
      <c r="G813" s="803">
        <v>99750</v>
      </c>
      <c r="H813" s="803"/>
      <c r="I813" s="804">
        <v>1874.125</v>
      </c>
      <c r="J813" s="804">
        <v>87413</v>
      </c>
      <c r="K813" s="804">
        <v>6832</v>
      </c>
      <c r="L813" s="803">
        <v>5674</v>
      </c>
      <c r="M813" s="803"/>
      <c r="N813" s="804">
        <v>3495</v>
      </c>
      <c r="O813" s="804">
        <v>32264</v>
      </c>
      <c r="P813" s="804">
        <v>0</v>
      </c>
      <c r="Q813" s="803">
        <v>6645</v>
      </c>
      <c r="R813" s="803"/>
      <c r="S813" s="804">
        <v>26662</v>
      </c>
      <c r="T813" s="805">
        <v>-1651</v>
      </c>
      <c r="U813" s="805">
        <v>25011</v>
      </c>
    </row>
    <row r="814" spans="1:21" x14ac:dyDescent="0.25">
      <c r="A814" s="800">
        <v>99021</v>
      </c>
      <c r="B814" s="801" t="s">
        <v>3451</v>
      </c>
      <c r="C814" s="802">
        <v>1.3420000000000001E-4</v>
      </c>
      <c r="D814" s="802">
        <v>1.3990000000000001E-4</v>
      </c>
      <c r="E814" s="803">
        <v>57840</v>
      </c>
      <c r="F814" s="803">
        <v>62786</v>
      </c>
      <c r="G814" s="803">
        <v>284817</v>
      </c>
      <c r="H814" s="803"/>
      <c r="I814" s="804">
        <v>5351</v>
      </c>
      <c r="J814" s="804">
        <v>249591</v>
      </c>
      <c r="K814" s="804">
        <v>19507</v>
      </c>
      <c r="L814" s="803">
        <v>5869</v>
      </c>
      <c r="M814" s="803"/>
      <c r="N814" s="804">
        <v>9980</v>
      </c>
      <c r="O814" s="804">
        <v>92123</v>
      </c>
      <c r="P814" s="804">
        <v>0</v>
      </c>
      <c r="Q814" s="803">
        <v>982</v>
      </c>
      <c r="R814" s="803"/>
      <c r="S814" s="804">
        <v>76127</v>
      </c>
      <c r="T814" s="805">
        <v>1992</v>
      </c>
      <c r="U814" s="805">
        <v>78120</v>
      </c>
    </row>
    <row r="815" spans="1:21" x14ac:dyDescent="0.25">
      <c r="A815" s="800">
        <v>99022</v>
      </c>
      <c r="B815" s="801" t="s">
        <v>1962</v>
      </c>
      <c r="C815" s="802">
        <v>1.1800000000000001E-5</v>
      </c>
      <c r="D815" s="802">
        <v>1.33E-5</v>
      </c>
      <c r="E815" s="803">
        <v>10517</v>
      </c>
      <c r="F815" s="803">
        <v>5969</v>
      </c>
      <c r="G815" s="803">
        <v>25044</v>
      </c>
      <c r="H815" s="803"/>
      <c r="I815" s="804">
        <v>471</v>
      </c>
      <c r="J815" s="804">
        <v>21946</v>
      </c>
      <c r="K815" s="804">
        <v>1715</v>
      </c>
      <c r="L815" s="803">
        <v>6383</v>
      </c>
      <c r="M815" s="803"/>
      <c r="N815" s="804">
        <v>878</v>
      </c>
      <c r="O815" s="804">
        <v>8100</v>
      </c>
      <c r="P815" s="804">
        <v>0</v>
      </c>
      <c r="Q815" s="803">
        <v>264.67</v>
      </c>
      <c r="R815" s="803"/>
      <c r="S815" s="804">
        <v>6694</v>
      </c>
      <c r="T815" s="805">
        <v>1778</v>
      </c>
      <c r="U815" s="805">
        <v>8472</v>
      </c>
    </row>
    <row r="816" spans="1:21" x14ac:dyDescent="0.25">
      <c r="A816" s="800">
        <v>99031</v>
      </c>
      <c r="B816" s="801" t="s">
        <v>3452</v>
      </c>
      <c r="C816" s="802">
        <v>1.5970000000000001E-4</v>
      </c>
      <c r="D816" s="802">
        <v>1.2860000000000001E-4</v>
      </c>
      <c r="E816" s="803">
        <v>49299</v>
      </c>
      <c r="F816" s="803">
        <v>57715</v>
      </c>
      <c r="G816" s="803">
        <v>338937</v>
      </c>
      <c r="H816" s="803"/>
      <c r="I816" s="804">
        <v>6368</v>
      </c>
      <c r="J816" s="804">
        <v>297017</v>
      </c>
      <c r="K816" s="804">
        <v>23214</v>
      </c>
      <c r="L816" s="803">
        <v>3840</v>
      </c>
      <c r="M816" s="803"/>
      <c r="N816" s="804">
        <v>11877</v>
      </c>
      <c r="O816" s="804">
        <v>109627</v>
      </c>
      <c r="P816" s="804">
        <v>0</v>
      </c>
      <c r="Q816" s="803">
        <v>20151</v>
      </c>
      <c r="R816" s="803"/>
      <c r="S816" s="804">
        <v>90593</v>
      </c>
      <c r="T816" s="805">
        <v>-8432</v>
      </c>
      <c r="U816" s="805">
        <v>82161</v>
      </c>
    </row>
    <row r="817" spans="1:21" x14ac:dyDescent="0.25">
      <c r="A817" s="800">
        <v>99041</v>
      </c>
      <c r="B817" s="801" t="s">
        <v>3453</v>
      </c>
      <c r="C817" s="802">
        <v>5.6289999999999997E-4</v>
      </c>
      <c r="D817" s="802">
        <v>5.0670000000000001E-4</v>
      </c>
      <c r="E817" s="803">
        <v>202619</v>
      </c>
      <c r="F817" s="803">
        <v>227404</v>
      </c>
      <c r="G817" s="803">
        <v>1194662</v>
      </c>
      <c r="H817" s="803"/>
      <c r="I817" s="804">
        <v>22446</v>
      </c>
      <c r="J817" s="804">
        <v>1046905</v>
      </c>
      <c r="K817" s="804">
        <v>81824</v>
      </c>
      <c r="L817" s="803">
        <v>59009</v>
      </c>
      <c r="M817" s="803"/>
      <c r="N817" s="804">
        <v>41862</v>
      </c>
      <c r="O817" s="804">
        <v>386407</v>
      </c>
      <c r="P817" s="804">
        <v>0</v>
      </c>
      <c r="Q817" s="803">
        <v>0</v>
      </c>
      <c r="R817" s="803"/>
      <c r="S817" s="804">
        <v>319316</v>
      </c>
      <c r="T817" s="805">
        <v>24415</v>
      </c>
      <c r="U817" s="805">
        <v>343731</v>
      </c>
    </row>
    <row r="818" spans="1:21" x14ac:dyDescent="0.25">
      <c r="A818" s="800">
        <v>99047</v>
      </c>
      <c r="B818" s="801" t="s">
        <v>3454</v>
      </c>
      <c r="C818" s="802">
        <v>9.2E-6</v>
      </c>
      <c r="D818" s="802">
        <v>1.19E-5</v>
      </c>
      <c r="E818" s="803">
        <v>6483</v>
      </c>
      <c r="F818" s="803">
        <v>5341</v>
      </c>
      <c r="G818" s="803">
        <v>19525</v>
      </c>
      <c r="H818" s="803"/>
      <c r="I818" s="804">
        <v>366.85</v>
      </c>
      <c r="J818" s="804">
        <v>17111</v>
      </c>
      <c r="K818" s="804">
        <v>1337</v>
      </c>
      <c r="L818" s="803">
        <v>3322</v>
      </c>
      <c r="M818" s="803"/>
      <c r="N818" s="804">
        <v>684</v>
      </c>
      <c r="O818" s="804">
        <v>6315</v>
      </c>
      <c r="P818" s="804">
        <v>0</v>
      </c>
      <c r="Q818" s="803">
        <v>0</v>
      </c>
      <c r="R818" s="803"/>
      <c r="S818" s="804">
        <v>5219</v>
      </c>
      <c r="T818" s="805">
        <v>1258</v>
      </c>
      <c r="U818" s="805">
        <v>6477</v>
      </c>
    </row>
    <row r="819" spans="1:21" x14ac:dyDescent="0.25">
      <c r="A819" s="800">
        <v>99051</v>
      </c>
      <c r="B819" s="801" t="s">
        <v>3455</v>
      </c>
      <c r="C819" s="802">
        <v>3.3349999999999997E-4</v>
      </c>
      <c r="D819" s="802">
        <v>2.8449999999999998E-4</v>
      </c>
      <c r="E819" s="803">
        <v>116232</v>
      </c>
      <c r="F819" s="803">
        <v>127682</v>
      </c>
      <c r="G819" s="803">
        <v>707799</v>
      </c>
      <c r="H819" s="803"/>
      <c r="I819" s="804">
        <v>13298</v>
      </c>
      <c r="J819" s="804">
        <v>620257</v>
      </c>
      <c r="K819" s="804">
        <v>48478</v>
      </c>
      <c r="L819" s="803">
        <v>16843</v>
      </c>
      <c r="M819" s="803"/>
      <c r="N819" s="804">
        <v>24802</v>
      </c>
      <c r="O819" s="804">
        <v>228934</v>
      </c>
      <c r="P819" s="804">
        <v>0</v>
      </c>
      <c r="Q819" s="803">
        <v>0</v>
      </c>
      <c r="R819" s="803"/>
      <c r="S819" s="804">
        <v>189184</v>
      </c>
      <c r="T819" s="805">
        <v>5410</v>
      </c>
      <c r="U819" s="805">
        <v>194594</v>
      </c>
    </row>
    <row r="820" spans="1:21" x14ac:dyDescent="0.25">
      <c r="A820" s="800">
        <v>99061</v>
      </c>
      <c r="B820" s="801" t="s">
        <v>3456</v>
      </c>
      <c r="C820" s="802">
        <v>8.3999999999999992E-6</v>
      </c>
      <c r="D820" s="802">
        <v>8.8000000000000004E-6</v>
      </c>
      <c r="E820" s="803">
        <v>7400.82</v>
      </c>
      <c r="F820" s="803">
        <v>3949</v>
      </c>
      <c r="G820" s="803">
        <v>17828</v>
      </c>
      <c r="H820" s="803"/>
      <c r="I820" s="804">
        <v>334.95</v>
      </c>
      <c r="J820" s="804">
        <v>15623</v>
      </c>
      <c r="K820" s="804">
        <v>1221</v>
      </c>
      <c r="L820" s="803">
        <v>6023</v>
      </c>
      <c r="M820" s="803"/>
      <c r="N820" s="804">
        <v>625</v>
      </c>
      <c r="O820" s="804">
        <v>5766</v>
      </c>
      <c r="P820" s="804">
        <v>0</v>
      </c>
      <c r="Q820" s="803">
        <v>0</v>
      </c>
      <c r="R820" s="803"/>
      <c r="S820" s="804">
        <v>4765</v>
      </c>
      <c r="T820" s="805">
        <v>1888</v>
      </c>
      <c r="U820" s="805">
        <v>6653</v>
      </c>
    </row>
    <row r="821" spans="1:21" x14ac:dyDescent="0.25">
      <c r="A821" s="800">
        <v>99071</v>
      </c>
      <c r="B821" s="801" t="s">
        <v>3457</v>
      </c>
      <c r="C821" s="802">
        <v>3.0499999999999999E-5</v>
      </c>
      <c r="D821" s="802">
        <v>3.9799999999999998E-5</v>
      </c>
      <c r="E821" s="803">
        <v>18015</v>
      </c>
      <c r="F821" s="803">
        <v>17862</v>
      </c>
      <c r="G821" s="803">
        <v>64731</v>
      </c>
      <c r="H821" s="803"/>
      <c r="I821" s="804">
        <v>1216.1875</v>
      </c>
      <c r="J821" s="804">
        <v>56725</v>
      </c>
      <c r="K821" s="804">
        <v>4434</v>
      </c>
      <c r="L821" s="803">
        <v>0</v>
      </c>
      <c r="M821" s="803"/>
      <c r="N821" s="804">
        <v>2268</v>
      </c>
      <c r="O821" s="804">
        <v>20937</v>
      </c>
      <c r="P821" s="804">
        <v>0</v>
      </c>
      <c r="Q821" s="803">
        <v>3405</v>
      </c>
      <c r="R821" s="803"/>
      <c r="S821" s="804">
        <v>17302</v>
      </c>
      <c r="T821" s="805">
        <v>-1312</v>
      </c>
      <c r="U821" s="805">
        <v>15990</v>
      </c>
    </row>
    <row r="822" spans="1:21" x14ac:dyDescent="0.25">
      <c r="A822" s="800">
        <v>99081</v>
      </c>
      <c r="B822" s="801" t="s">
        <v>3458</v>
      </c>
      <c r="C822" s="802">
        <v>2.9600000000000001E-5</v>
      </c>
      <c r="D822" s="802">
        <v>3.6999999999999998E-5</v>
      </c>
      <c r="E822" s="803">
        <v>11739.53</v>
      </c>
      <c r="F822" s="803">
        <v>16605</v>
      </c>
      <c r="G822" s="803">
        <v>62821</v>
      </c>
      <c r="H822" s="803"/>
      <c r="I822" s="804">
        <v>1180.3</v>
      </c>
      <c r="J822" s="804">
        <v>55051</v>
      </c>
      <c r="K822" s="804">
        <v>4303</v>
      </c>
      <c r="L822" s="803">
        <v>5558</v>
      </c>
      <c r="M822" s="803"/>
      <c r="N822" s="804">
        <v>2201</v>
      </c>
      <c r="O822" s="804">
        <v>20319</v>
      </c>
      <c r="P822" s="804">
        <v>0</v>
      </c>
      <c r="Q822" s="803">
        <v>7640</v>
      </c>
      <c r="R822" s="803"/>
      <c r="S822" s="804">
        <v>16791</v>
      </c>
      <c r="T822" s="805">
        <v>-809</v>
      </c>
      <c r="U822" s="805">
        <v>15982</v>
      </c>
    </row>
    <row r="823" spans="1:21" x14ac:dyDescent="0.25">
      <c r="A823" s="800">
        <v>99091</v>
      </c>
      <c r="B823" s="801" t="s">
        <v>3459</v>
      </c>
      <c r="C823" s="802">
        <v>4.1999999999999996E-6</v>
      </c>
      <c r="D823" s="802">
        <v>4.7999999999999998E-6</v>
      </c>
      <c r="E823" s="803">
        <v>4170.01</v>
      </c>
      <c r="F823" s="803">
        <v>2154</v>
      </c>
      <c r="G823" s="803">
        <v>8914</v>
      </c>
      <c r="H823" s="803"/>
      <c r="I823" s="804">
        <v>167.47499999999999</v>
      </c>
      <c r="J823" s="804">
        <v>7811</v>
      </c>
      <c r="K823" s="804">
        <v>611</v>
      </c>
      <c r="L823" s="803">
        <v>2618</v>
      </c>
      <c r="M823" s="803"/>
      <c r="N823" s="804">
        <v>312</v>
      </c>
      <c r="O823" s="804">
        <v>2883</v>
      </c>
      <c r="P823" s="804">
        <v>0</v>
      </c>
      <c r="Q823" s="803">
        <v>6497.35</v>
      </c>
      <c r="R823" s="803"/>
      <c r="S823" s="804">
        <v>2383</v>
      </c>
      <c r="T823" s="805">
        <v>-2491</v>
      </c>
      <c r="U823" s="805">
        <v>-108</v>
      </c>
    </row>
    <row r="824" spans="1:21" x14ac:dyDescent="0.25">
      <c r="A824" s="800">
        <v>99101</v>
      </c>
      <c r="B824" s="801" t="s">
        <v>3460</v>
      </c>
      <c r="C824" s="802">
        <v>2.0087999999999998E-3</v>
      </c>
      <c r="D824" s="802">
        <v>2.026E-3</v>
      </c>
      <c r="E824" s="803">
        <v>792557.39</v>
      </c>
      <c r="F824" s="803">
        <v>909257</v>
      </c>
      <c r="G824" s="803">
        <v>4263347</v>
      </c>
      <c r="H824" s="803"/>
      <c r="I824" s="804">
        <v>80101</v>
      </c>
      <c r="J824" s="804">
        <v>3736051</v>
      </c>
      <c r="K824" s="804">
        <v>292001</v>
      </c>
      <c r="L824" s="803">
        <v>7868</v>
      </c>
      <c r="M824" s="803"/>
      <c r="N824" s="804">
        <v>149392</v>
      </c>
      <c r="O824" s="804">
        <v>1378957</v>
      </c>
      <c r="P824" s="804">
        <v>0</v>
      </c>
      <c r="Q824" s="803">
        <v>72656</v>
      </c>
      <c r="R824" s="803"/>
      <c r="S824" s="804">
        <v>1139530</v>
      </c>
      <c r="T824" s="805">
        <v>-24965</v>
      </c>
      <c r="U824" s="805">
        <v>1114565</v>
      </c>
    </row>
    <row r="825" spans="1:21" x14ac:dyDescent="0.25">
      <c r="A825" s="800">
        <v>99104</v>
      </c>
      <c r="B825" s="801" t="s">
        <v>3461</v>
      </c>
      <c r="C825" s="802">
        <v>3.4799999999999999E-5</v>
      </c>
      <c r="D825" s="802">
        <v>2.55E-5</v>
      </c>
      <c r="E825" s="803">
        <v>18414</v>
      </c>
      <c r="F825" s="803">
        <v>11444</v>
      </c>
      <c r="G825" s="803">
        <v>73857</v>
      </c>
      <c r="H825" s="803"/>
      <c r="I825" s="804">
        <v>1388</v>
      </c>
      <c r="J825" s="804">
        <v>64723</v>
      </c>
      <c r="K825" s="804">
        <v>5059</v>
      </c>
      <c r="L825" s="803">
        <v>14979</v>
      </c>
      <c r="M825" s="803"/>
      <c r="N825" s="804">
        <v>2588</v>
      </c>
      <c r="O825" s="804">
        <v>23889</v>
      </c>
      <c r="P825" s="804">
        <v>0</v>
      </c>
      <c r="Q825" s="803">
        <v>0</v>
      </c>
      <c r="R825" s="803"/>
      <c r="S825" s="804">
        <v>19741</v>
      </c>
      <c r="T825" s="805">
        <v>4886</v>
      </c>
      <c r="U825" s="805">
        <v>24627</v>
      </c>
    </row>
    <row r="826" spans="1:21" x14ac:dyDescent="0.25">
      <c r="A826" s="800">
        <v>99109</v>
      </c>
      <c r="B826" s="801" t="s">
        <v>3462</v>
      </c>
      <c r="C826" s="802">
        <v>1.1849999999999999E-4</v>
      </c>
      <c r="D826" s="802">
        <v>1.4129999999999999E-4</v>
      </c>
      <c r="E826" s="803">
        <v>48014.54</v>
      </c>
      <c r="F826" s="803">
        <v>63415</v>
      </c>
      <c r="G826" s="803">
        <v>251497</v>
      </c>
      <c r="H826" s="803"/>
      <c r="I826" s="804">
        <v>4725.1875</v>
      </c>
      <c r="J826" s="804">
        <v>220391</v>
      </c>
      <c r="K826" s="804">
        <v>17225</v>
      </c>
      <c r="L826" s="803">
        <v>5297</v>
      </c>
      <c r="M826" s="803"/>
      <c r="N826" s="804">
        <v>8813</v>
      </c>
      <c r="O826" s="804">
        <v>81345</v>
      </c>
      <c r="P826" s="804">
        <v>0</v>
      </c>
      <c r="Q826" s="803">
        <v>22236</v>
      </c>
      <c r="R826" s="803"/>
      <c r="S826" s="804">
        <v>67221</v>
      </c>
      <c r="T826" s="805">
        <v>-6150</v>
      </c>
      <c r="U826" s="805">
        <v>61071</v>
      </c>
    </row>
    <row r="827" spans="1:21" x14ac:dyDescent="0.25">
      <c r="A827" s="800">
        <v>99110</v>
      </c>
      <c r="B827" s="801" t="s">
        <v>3463</v>
      </c>
      <c r="C827" s="802">
        <v>1.8369999999999999E-4</v>
      </c>
      <c r="D827" s="802">
        <v>1.728E-4</v>
      </c>
      <c r="E827" s="803">
        <v>101918</v>
      </c>
      <c r="F827" s="803">
        <v>77552</v>
      </c>
      <c r="G827" s="803">
        <v>389873</v>
      </c>
      <c r="H827" s="803"/>
      <c r="I827" s="804">
        <v>7325</v>
      </c>
      <c r="J827" s="804">
        <v>341653</v>
      </c>
      <c r="K827" s="804">
        <v>26703</v>
      </c>
      <c r="L827" s="803">
        <v>63672</v>
      </c>
      <c r="M827" s="803"/>
      <c r="N827" s="804">
        <v>13662</v>
      </c>
      <c r="O827" s="804">
        <v>126102</v>
      </c>
      <c r="P827" s="804">
        <v>0</v>
      </c>
      <c r="Q827" s="803">
        <v>0</v>
      </c>
      <c r="R827" s="803"/>
      <c r="S827" s="804">
        <v>104207</v>
      </c>
      <c r="T827" s="805">
        <v>21007</v>
      </c>
      <c r="U827" s="805">
        <v>125214</v>
      </c>
    </row>
    <row r="828" spans="1:21" x14ac:dyDescent="0.25">
      <c r="A828" s="800">
        <v>99111</v>
      </c>
      <c r="B828" s="801" t="s">
        <v>3464</v>
      </c>
      <c r="C828" s="802">
        <v>1.2757000000000001E-3</v>
      </c>
      <c r="D828" s="802">
        <v>1.3278000000000001E-3</v>
      </c>
      <c r="E828" s="803">
        <v>486451</v>
      </c>
      <c r="F828" s="803">
        <v>595909</v>
      </c>
      <c r="G828" s="803">
        <v>2707463</v>
      </c>
      <c r="H828" s="803"/>
      <c r="I828" s="804">
        <v>50869</v>
      </c>
      <c r="J828" s="804">
        <v>2372600</v>
      </c>
      <c r="K828" s="804">
        <v>185437</v>
      </c>
      <c r="L828" s="803">
        <v>0</v>
      </c>
      <c r="M828" s="803"/>
      <c r="N828" s="804">
        <v>94873</v>
      </c>
      <c r="O828" s="804">
        <v>875714</v>
      </c>
      <c r="P828" s="804">
        <v>0</v>
      </c>
      <c r="Q828" s="803">
        <v>165116</v>
      </c>
      <c r="R828" s="803"/>
      <c r="S828" s="804">
        <v>723665</v>
      </c>
      <c r="T828" s="805">
        <v>-59086</v>
      </c>
      <c r="U828" s="805">
        <v>664579</v>
      </c>
    </row>
    <row r="829" spans="1:21" x14ac:dyDescent="0.25">
      <c r="A829" s="800">
        <v>99201</v>
      </c>
      <c r="B829" s="801" t="s">
        <v>3465</v>
      </c>
      <c r="C829" s="802">
        <v>3.22145E-2</v>
      </c>
      <c r="D829" s="802">
        <v>3.0831399999999998E-2</v>
      </c>
      <c r="E829" s="803">
        <v>12898805</v>
      </c>
      <c r="F829" s="803">
        <v>13836947</v>
      </c>
      <c r="G829" s="803">
        <v>68369961</v>
      </c>
      <c r="H829" s="803"/>
      <c r="I829" s="804">
        <v>1284553</v>
      </c>
      <c r="J829" s="804">
        <v>59913880</v>
      </c>
      <c r="K829" s="804">
        <v>4682732</v>
      </c>
      <c r="L829" s="803">
        <v>1101849</v>
      </c>
      <c r="M829" s="803"/>
      <c r="N829" s="804">
        <v>2395760</v>
      </c>
      <c r="O829" s="804">
        <v>22113901</v>
      </c>
      <c r="P829" s="804">
        <v>0</v>
      </c>
      <c r="Q829" s="803">
        <v>485474</v>
      </c>
      <c r="R829" s="803"/>
      <c r="S829" s="804">
        <v>18274287</v>
      </c>
      <c r="T829" s="805">
        <v>101682</v>
      </c>
      <c r="U829" s="805">
        <v>18375969</v>
      </c>
    </row>
    <row r="830" spans="1:21" x14ac:dyDescent="0.25">
      <c r="A830" s="800">
        <v>99202</v>
      </c>
      <c r="B830" s="801" t="s">
        <v>3466</v>
      </c>
      <c r="C830" s="802">
        <v>2.5138000000000001E-3</v>
      </c>
      <c r="D830" s="802">
        <v>2.6002999999999998E-3</v>
      </c>
      <c r="E830" s="803">
        <v>915266</v>
      </c>
      <c r="F830" s="803">
        <v>1166999</v>
      </c>
      <c r="G830" s="803">
        <v>5335126</v>
      </c>
      <c r="H830" s="803"/>
      <c r="I830" s="804">
        <v>100238</v>
      </c>
      <c r="J830" s="804">
        <v>4675271</v>
      </c>
      <c r="K830" s="804">
        <v>365408</v>
      </c>
      <c r="L830" s="803">
        <v>0</v>
      </c>
      <c r="M830" s="803"/>
      <c r="N830" s="804">
        <v>186949</v>
      </c>
      <c r="O830" s="804">
        <v>1725618</v>
      </c>
      <c r="P830" s="804">
        <v>0</v>
      </c>
      <c r="Q830" s="803">
        <v>202410</v>
      </c>
      <c r="R830" s="803"/>
      <c r="S830" s="804">
        <v>1426001</v>
      </c>
      <c r="T830" s="805">
        <v>-62123</v>
      </c>
      <c r="U830" s="805">
        <v>1363878</v>
      </c>
    </row>
    <row r="831" spans="1:21" x14ac:dyDescent="0.25">
      <c r="A831" s="800">
        <v>99203</v>
      </c>
      <c r="B831" s="801" t="s">
        <v>3467</v>
      </c>
      <c r="C831" s="802">
        <v>3.1990000000000002E-4</v>
      </c>
      <c r="D831" s="802">
        <v>2.5050000000000002E-4</v>
      </c>
      <c r="E831" s="803">
        <v>105117</v>
      </c>
      <c r="F831" s="803">
        <v>112423</v>
      </c>
      <c r="G831" s="803">
        <v>678935</v>
      </c>
      <c r="H831" s="803"/>
      <c r="I831" s="804">
        <v>12756</v>
      </c>
      <c r="J831" s="804">
        <v>594963</v>
      </c>
      <c r="K831" s="804">
        <v>46501</v>
      </c>
      <c r="L831" s="803">
        <v>40829</v>
      </c>
      <c r="M831" s="803"/>
      <c r="N831" s="804">
        <v>23791</v>
      </c>
      <c r="O831" s="804">
        <v>219598</v>
      </c>
      <c r="P831" s="804">
        <v>0</v>
      </c>
      <c r="Q831" s="803">
        <v>0</v>
      </c>
      <c r="R831" s="803"/>
      <c r="S831" s="804">
        <v>181469</v>
      </c>
      <c r="T831" s="805">
        <v>16396</v>
      </c>
      <c r="U831" s="805">
        <v>197865</v>
      </c>
    </row>
    <row r="832" spans="1:21" x14ac:dyDescent="0.25">
      <c r="A832" s="800">
        <v>99204</v>
      </c>
      <c r="B832" s="801" t="s">
        <v>3468</v>
      </c>
      <c r="C832" s="802">
        <v>7.4910000000000005E-4</v>
      </c>
      <c r="D832" s="802">
        <v>6.5600000000000001E-4</v>
      </c>
      <c r="E832" s="803">
        <v>316209.94</v>
      </c>
      <c r="F832" s="803">
        <v>294409</v>
      </c>
      <c r="G832" s="803">
        <v>1589841</v>
      </c>
      <c r="H832" s="803"/>
      <c r="I832" s="804">
        <v>29870</v>
      </c>
      <c r="J832" s="804">
        <v>1393208</v>
      </c>
      <c r="K832" s="804">
        <v>108890</v>
      </c>
      <c r="L832" s="803">
        <v>82158</v>
      </c>
      <c r="M832" s="803"/>
      <c r="N832" s="804">
        <v>55710</v>
      </c>
      <c r="O832" s="804">
        <v>514226</v>
      </c>
      <c r="P832" s="804">
        <v>0</v>
      </c>
      <c r="Q832" s="803">
        <v>0</v>
      </c>
      <c r="R832" s="803"/>
      <c r="S832" s="804">
        <v>424941</v>
      </c>
      <c r="T832" s="805">
        <v>24836</v>
      </c>
      <c r="U832" s="805">
        <v>449777</v>
      </c>
    </row>
    <row r="833" spans="1:21" x14ac:dyDescent="0.25">
      <c r="A833" s="800">
        <v>99206</v>
      </c>
      <c r="B833" s="801" t="s">
        <v>3469</v>
      </c>
      <c r="C833" s="802">
        <v>1.6665E-3</v>
      </c>
      <c r="D833" s="802">
        <v>1.9373999999999999E-3</v>
      </c>
      <c r="E833" s="803">
        <v>1101168.54</v>
      </c>
      <c r="F833" s="803">
        <v>869493</v>
      </c>
      <c r="G833" s="803">
        <v>3536871</v>
      </c>
      <c r="H833" s="803"/>
      <c r="I833" s="804">
        <v>66452</v>
      </c>
      <c r="J833" s="804">
        <v>3099427</v>
      </c>
      <c r="K833" s="804">
        <v>242244</v>
      </c>
      <c r="L833" s="803">
        <v>400880</v>
      </c>
      <c r="M833" s="803"/>
      <c r="N833" s="804">
        <v>123936</v>
      </c>
      <c r="O833" s="804">
        <v>1143982</v>
      </c>
      <c r="P833" s="804">
        <v>0</v>
      </c>
      <c r="Q833" s="803">
        <v>13550</v>
      </c>
      <c r="R833" s="803"/>
      <c r="S833" s="804">
        <v>945354</v>
      </c>
      <c r="T833" s="805">
        <v>117813</v>
      </c>
      <c r="U833" s="805">
        <v>1063167</v>
      </c>
    </row>
    <row r="834" spans="1:21" x14ac:dyDescent="0.25">
      <c r="A834" s="800">
        <v>99207</v>
      </c>
      <c r="B834" s="801" t="s">
        <v>3470</v>
      </c>
      <c r="C834" s="802">
        <v>1.3430000000000001E-4</v>
      </c>
      <c r="D834" s="802">
        <v>1.4320000000000001E-4</v>
      </c>
      <c r="E834" s="803">
        <v>122929.82</v>
      </c>
      <c r="F834" s="803">
        <v>64267</v>
      </c>
      <c r="G834" s="803">
        <v>285030</v>
      </c>
      <c r="H834" s="803"/>
      <c r="I834" s="804">
        <v>5355</v>
      </c>
      <c r="J834" s="804">
        <v>249777</v>
      </c>
      <c r="K834" s="804">
        <v>19522</v>
      </c>
      <c r="L834" s="803">
        <v>79584</v>
      </c>
      <c r="M834" s="803"/>
      <c r="N834" s="804">
        <v>9988</v>
      </c>
      <c r="O834" s="804">
        <v>92191</v>
      </c>
      <c r="P834" s="804">
        <v>0</v>
      </c>
      <c r="Q834" s="803">
        <v>0</v>
      </c>
      <c r="R834" s="803"/>
      <c r="S834" s="804">
        <v>76184</v>
      </c>
      <c r="T834" s="805">
        <v>24293</v>
      </c>
      <c r="U834" s="805">
        <v>100477</v>
      </c>
    </row>
    <row r="835" spans="1:21" x14ac:dyDescent="0.25">
      <c r="A835" s="800">
        <v>99208</v>
      </c>
      <c r="B835" s="801" t="s">
        <v>3471</v>
      </c>
      <c r="C835" s="802">
        <v>1.3669999999999999E-4</v>
      </c>
      <c r="D835" s="802">
        <v>1.774E-4</v>
      </c>
      <c r="E835" s="803">
        <v>46840</v>
      </c>
      <c r="F835" s="803">
        <v>79616</v>
      </c>
      <c r="G835" s="803">
        <v>290123</v>
      </c>
      <c r="H835" s="803"/>
      <c r="I835" s="804">
        <v>5451</v>
      </c>
      <c r="J835" s="804">
        <v>254240</v>
      </c>
      <c r="K835" s="804">
        <v>19871</v>
      </c>
      <c r="L835" s="803">
        <v>0</v>
      </c>
      <c r="M835" s="803"/>
      <c r="N835" s="804">
        <v>10166</v>
      </c>
      <c r="O835" s="804">
        <v>93839</v>
      </c>
      <c r="P835" s="804">
        <v>0</v>
      </c>
      <c r="Q835" s="803">
        <v>57522</v>
      </c>
      <c r="R835" s="803"/>
      <c r="S835" s="804">
        <v>77546</v>
      </c>
      <c r="T835" s="805">
        <v>-20235</v>
      </c>
      <c r="U835" s="805">
        <v>57311</v>
      </c>
    </row>
    <row r="836" spans="1:21" x14ac:dyDescent="0.25">
      <c r="A836" s="800">
        <v>99210</v>
      </c>
      <c r="B836" s="801" t="s">
        <v>3472</v>
      </c>
      <c r="C836" s="802">
        <v>1.5945E-3</v>
      </c>
      <c r="D836" s="802">
        <v>1.6262E-3</v>
      </c>
      <c r="E836" s="803">
        <v>706576</v>
      </c>
      <c r="F836" s="803">
        <v>729829</v>
      </c>
      <c r="G836" s="803">
        <v>3384063</v>
      </c>
      <c r="H836" s="803"/>
      <c r="I836" s="804">
        <v>63581</v>
      </c>
      <c r="J836" s="804">
        <v>2965518</v>
      </c>
      <c r="K836" s="804">
        <v>231778</v>
      </c>
      <c r="L836" s="803">
        <v>80869</v>
      </c>
      <c r="M836" s="803"/>
      <c r="N836" s="804">
        <v>118581</v>
      </c>
      <c r="O836" s="804">
        <v>1094557</v>
      </c>
      <c r="P836" s="804">
        <v>0</v>
      </c>
      <c r="Q836" s="803">
        <v>0</v>
      </c>
      <c r="R836" s="803"/>
      <c r="S836" s="804">
        <v>904510</v>
      </c>
      <c r="T836" s="805">
        <v>27611</v>
      </c>
      <c r="U836" s="805">
        <v>932122</v>
      </c>
    </row>
    <row r="837" spans="1:21" x14ac:dyDescent="0.25">
      <c r="A837" s="800">
        <v>99211</v>
      </c>
      <c r="B837" s="801" t="s">
        <v>3473</v>
      </c>
      <c r="C837" s="802">
        <v>3.8233999999999997E-2</v>
      </c>
      <c r="D837" s="802">
        <v>3.7564199999999999E-2</v>
      </c>
      <c r="E837" s="803">
        <v>14152947</v>
      </c>
      <c r="F837" s="803">
        <v>16858588</v>
      </c>
      <c r="G837" s="803">
        <v>81145356</v>
      </c>
      <c r="H837" s="803"/>
      <c r="I837" s="804">
        <v>1524580.75</v>
      </c>
      <c r="J837" s="804">
        <v>71109199</v>
      </c>
      <c r="K837" s="804">
        <v>5557732</v>
      </c>
      <c r="L837" s="803">
        <v>0</v>
      </c>
      <c r="M837" s="803"/>
      <c r="N837" s="804">
        <v>2843424</v>
      </c>
      <c r="O837" s="804">
        <v>26246035</v>
      </c>
      <c r="P837" s="804">
        <v>0</v>
      </c>
      <c r="Q837" s="803">
        <v>1538962</v>
      </c>
      <c r="R837" s="803"/>
      <c r="S837" s="804">
        <v>21688963</v>
      </c>
      <c r="T837" s="805">
        <v>-519725</v>
      </c>
      <c r="U837" s="805">
        <v>21169238</v>
      </c>
    </row>
    <row r="838" spans="1:21" x14ac:dyDescent="0.25">
      <c r="A838" s="800">
        <v>99212</v>
      </c>
      <c r="B838" s="801" t="s">
        <v>3474</v>
      </c>
      <c r="C838" s="802">
        <v>7.4400000000000006E-5</v>
      </c>
      <c r="D838" s="802">
        <v>1.2750000000000001E-4</v>
      </c>
      <c r="E838" s="803">
        <v>26346.03</v>
      </c>
      <c r="F838" s="803">
        <v>57221</v>
      </c>
      <c r="G838" s="803">
        <v>157902</v>
      </c>
      <c r="H838" s="803"/>
      <c r="I838" s="804">
        <v>2967</v>
      </c>
      <c r="J838" s="804">
        <v>138372</v>
      </c>
      <c r="K838" s="804">
        <v>10815</v>
      </c>
      <c r="L838" s="803">
        <v>0</v>
      </c>
      <c r="M838" s="803"/>
      <c r="N838" s="804">
        <v>5533</v>
      </c>
      <c r="O838" s="804">
        <v>51072</v>
      </c>
      <c r="P838" s="804">
        <v>0</v>
      </c>
      <c r="Q838" s="803">
        <v>49365</v>
      </c>
      <c r="R838" s="803"/>
      <c r="S838" s="804">
        <v>42205</v>
      </c>
      <c r="T838" s="805">
        <v>-15321</v>
      </c>
      <c r="U838" s="805">
        <v>26884</v>
      </c>
    </row>
    <row r="839" spans="1:21" x14ac:dyDescent="0.25">
      <c r="A839" s="800">
        <v>99213</v>
      </c>
      <c r="B839" s="801" t="s">
        <v>3475</v>
      </c>
      <c r="C839" s="802">
        <v>8.0730000000000005E-4</v>
      </c>
      <c r="D839" s="802">
        <v>8.3339999999999998E-4</v>
      </c>
      <c r="E839" s="803">
        <v>326035</v>
      </c>
      <c r="F839" s="803">
        <v>374025</v>
      </c>
      <c r="G839" s="803">
        <v>1713361</v>
      </c>
      <c r="H839" s="803"/>
      <c r="I839" s="804">
        <v>32191</v>
      </c>
      <c r="J839" s="804">
        <v>1501450</v>
      </c>
      <c r="K839" s="804">
        <v>117350</v>
      </c>
      <c r="L839" s="803">
        <v>9384</v>
      </c>
      <c r="M839" s="803"/>
      <c r="N839" s="804">
        <v>60038</v>
      </c>
      <c r="O839" s="804">
        <v>554178</v>
      </c>
      <c r="P839" s="804">
        <v>0</v>
      </c>
      <c r="Q839" s="803">
        <v>21194</v>
      </c>
      <c r="R839" s="803"/>
      <c r="S839" s="804">
        <v>457956</v>
      </c>
      <c r="T839" s="805">
        <v>-2728</v>
      </c>
      <c r="U839" s="805">
        <v>455228</v>
      </c>
    </row>
    <row r="840" spans="1:21" x14ac:dyDescent="0.25">
      <c r="A840" s="800">
        <v>99218</v>
      </c>
      <c r="B840" s="801" t="s">
        <v>3476</v>
      </c>
      <c r="C840" s="802">
        <v>3.1227999999999998E-3</v>
      </c>
      <c r="D840" s="802">
        <v>2.8506999999999998E-3</v>
      </c>
      <c r="E840" s="803">
        <v>1270452.44</v>
      </c>
      <c r="F840" s="803">
        <v>1279377</v>
      </c>
      <c r="G840" s="803">
        <v>6627628</v>
      </c>
      <c r="H840" s="803"/>
      <c r="I840" s="804">
        <v>124521.65</v>
      </c>
      <c r="J840" s="804">
        <v>5807915</v>
      </c>
      <c r="K840" s="804">
        <v>453933</v>
      </c>
      <c r="L840" s="803">
        <v>189764</v>
      </c>
      <c r="M840" s="803"/>
      <c r="N840" s="804">
        <v>232240</v>
      </c>
      <c r="O840" s="804">
        <v>2143671</v>
      </c>
      <c r="P840" s="804">
        <v>0</v>
      </c>
      <c r="Q840" s="803">
        <v>0</v>
      </c>
      <c r="R840" s="803"/>
      <c r="S840" s="804">
        <v>1771468</v>
      </c>
      <c r="T840" s="805">
        <v>55483</v>
      </c>
      <c r="U840" s="805">
        <v>1826951</v>
      </c>
    </row>
    <row r="841" spans="1:21" x14ac:dyDescent="0.25">
      <c r="A841" s="800">
        <v>99221</v>
      </c>
      <c r="B841" s="801" t="s">
        <v>3477</v>
      </c>
      <c r="C841" s="802">
        <v>1.3092700000000001E-2</v>
      </c>
      <c r="D841" s="802">
        <v>1.33233E-2</v>
      </c>
      <c r="E841" s="803">
        <v>4943528</v>
      </c>
      <c r="F841" s="803">
        <v>5979417</v>
      </c>
      <c r="G841" s="803">
        <v>27787095</v>
      </c>
      <c r="H841" s="803"/>
      <c r="I841" s="804">
        <v>522071</v>
      </c>
      <c r="J841" s="804">
        <v>24350353</v>
      </c>
      <c r="K841" s="804">
        <v>1903168</v>
      </c>
      <c r="L841" s="803">
        <v>0</v>
      </c>
      <c r="M841" s="803"/>
      <c r="N841" s="804">
        <v>973691</v>
      </c>
      <c r="O841" s="804">
        <v>8987589</v>
      </c>
      <c r="P841" s="804">
        <v>0</v>
      </c>
      <c r="Q841" s="803">
        <v>703621</v>
      </c>
      <c r="R841" s="803"/>
      <c r="S841" s="804">
        <v>7427083</v>
      </c>
      <c r="T841" s="805">
        <v>-220701</v>
      </c>
      <c r="U841" s="805">
        <v>7206381</v>
      </c>
    </row>
    <row r="842" spans="1:21" x14ac:dyDescent="0.25">
      <c r="A842" s="800">
        <v>99222</v>
      </c>
      <c r="B842" s="801" t="s">
        <v>3478</v>
      </c>
      <c r="C842" s="802">
        <v>4.0099999999999999E-5</v>
      </c>
      <c r="D842" s="802">
        <v>3.82E-5</v>
      </c>
      <c r="E842" s="803">
        <v>13647</v>
      </c>
      <c r="F842" s="803">
        <v>17144</v>
      </c>
      <c r="G842" s="803">
        <v>85106</v>
      </c>
      <c r="H842" s="803"/>
      <c r="I842" s="804">
        <v>1599</v>
      </c>
      <c r="J842" s="804">
        <v>74580</v>
      </c>
      <c r="K842" s="804">
        <v>5829</v>
      </c>
      <c r="L842" s="803">
        <v>3575</v>
      </c>
      <c r="M842" s="803"/>
      <c r="N842" s="804">
        <v>2982</v>
      </c>
      <c r="O842" s="804">
        <v>27527</v>
      </c>
      <c r="P842" s="804">
        <v>0</v>
      </c>
      <c r="Q842" s="803">
        <v>1230</v>
      </c>
      <c r="R842" s="803"/>
      <c r="S842" s="804">
        <v>22747</v>
      </c>
      <c r="T842" s="805">
        <v>949</v>
      </c>
      <c r="U842" s="805">
        <v>23697</v>
      </c>
    </row>
    <row r="843" spans="1:21" x14ac:dyDescent="0.25">
      <c r="A843" s="800">
        <v>99231</v>
      </c>
      <c r="B843" s="801" t="s">
        <v>3479</v>
      </c>
      <c r="C843" s="802">
        <v>3.7869999999999999E-4</v>
      </c>
      <c r="D843" s="802">
        <v>3.7139999999999997E-4</v>
      </c>
      <c r="E843" s="803">
        <v>142098.15</v>
      </c>
      <c r="F843" s="803">
        <v>166682</v>
      </c>
      <c r="G843" s="803">
        <v>803728</v>
      </c>
      <c r="H843" s="803"/>
      <c r="I843" s="804">
        <v>15101</v>
      </c>
      <c r="J843" s="804">
        <v>704322</v>
      </c>
      <c r="K843" s="804">
        <v>55048</v>
      </c>
      <c r="L843" s="803">
        <v>0</v>
      </c>
      <c r="M843" s="803"/>
      <c r="N843" s="804">
        <v>28164</v>
      </c>
      <c r="O843" s="804">
        <v>259962</v>
      </c>
      <c r="P843" s="804">
        <v>0</v>
      </c>
      <c r="Q843" s="803">
        <v>27202</v>
      </c>
      <c r="R843" s="803"/>
      <c r="S843" s="804">
        <v>214825</v>
      </c>
      <c r="T843" s="805">
        <v>-11082</v>
      </c>
      <c r="U843" s="805">
        <v>203743</v>
      </c>
    </row>
    <row r="844" spans="1:21" x14ac:dyDescent="0.25">
      <c r="A844" s="800">
        <v>99241</v>
      </c>
      <c r="B844" s="801" t="s">
        <v>3480</v>
      </c>
      <c r="C844" s="802">
        <v>5.6039999999999996E-4</v>
      </c>
      <c r="D844" s="802">
        <v>5.9259999999999998E-4</v>
      </c>
      <c r="E844" s="803">
        <v>196949</v>
      </c>
      <c r="F844" s="803">
        <v>265955</v>
      </c>
      <c r="G844" s="803">
        <v>1189357</v>
      </c>
      <c r="H844" s="803"/>
      <c r="I844" s="804">
        <v>22346</v>
      </c>
      <c r="J844" s="804">
        <v>1042255</v>
      </c>
      <c r="K844" s="804">
        <v>81460</v>
      </c>
      <c r="L844" s="803">
        <v>0</v>
      </c>
      <c r="M844" s="803"/>
      <c r="N844" s="804">
        <v>41676</v>
      </c>
      <c r="O844" s="804">
        <v>384691</v>
      </c>
      <c r="P844" s="804">
        <v>0</v>
      </c>
      <c r="Q844" s="803">
        <v>122254</v>
      </c>
      <c r="R844" s="803"/>
      <c r="S844" s="804">
        <v>317898</v>
      </c>
      <c r="T844" s="805">
        <v>-45505</v>
      </c>
      <c r="U844" s="805">
        <v>272393</v>
      </c>
    </row>
    <row r="845" spans="1:21" x14ac:dyDescent="0.25">
      <c r="A845" s="800">
        <v>99251</v>
      </c>
      <c r="B845" s="801" t="s">
        <v>3481</v>
      </c>
      <c r="C845" s="802">
        <v>1.6521000000000001E-3</v>
      </c>
      <c r="D845" s="802">
        <v>1.598E-3</v>
      </c>
      <c r="E845" s="803">
        <v>644905</v>
      </c>
      <c r="F845" s="803">
        <v>717173</v>
      </c>
      <c r="G845" s="803">
        <v>3506310</v>
      </c>
      <c r="H845" s="803"/>
      <c r="I845" s="804">
        <v>65877</v>
      </c>
      <c r="J845" s="804">
        <v>3072645</v>
      </c>
      <c r="K845" s="804">
        <v>240151</v>
      </c>
      <c r="L845" s="803">
        <v>3992</v>
      </c>
      <c r="M845" s="803"/>
      <c r="N845" s="804">
        <v>122865</v>
      </c>
      <c r="O845" s="804">
        <v>1134097</v>
      </c>
      <c r="P845" s="804">
        <v>0</v>
      </c>
      <c r="Q845" s="803">
        <v>14191</v>
      </c>
      <c r="R845" s="803"/>
      <c r="S845" s="804">
        <v>937185</v>
      </c>
      <c r="T845" s="805">
        <v>-5897</v>
      </c>
      <c r="U845" s="805">
        <v>931288</v>
      </c>
    </row>
    <row r="846" spans="1:21" x14ac:dyDescent="0.25">
      <c r="A846" s="800">
        <v>99252</v>
      </c>
      <c r="B846" s="801" t="s">
        <v>3482</v>
      </c>
      <c r="C846" s="802">
        <v>5.8279999999999996E-4</v>
      </c>
      <c r="D846" s="802">
        <v>7.4010000000000005E-4</v>
      </c>
      <c r="E846" s="803">
        <v>174600</v>
      </c>
      <c r="F846" s="803">
        <v>332152</v>
      </c>
      <c r="G846" s="803">
        <v>1236897</v>
      </c>
      <c r="H846" s="803"/>
      <c r="I846" s="804">
        <v>23239</v>
      </c>
      <c r="J846" s="804">
        <v>1083916</v>
      </c>
      <c r="K846" s="804">
        <v>84716</v>
      </c>
      <c r="L846" s="803">
        <v>0</v>
      </c>
      <c r="M846" s="803"/>
      <c r="N846" s="804">
        <v>43342</v>
      </c>
      <c r="O846" s="804">
        <v>400068</v>
      </c>
      <c r="P846" s="804">
        <v>0</v>
      </c>
      <c r="Q846" s="803">
        <v>244190</v>
      </c>
      <c r="R846" s="803"/>
      <c r="S846" s="804">
        <v>330604</v>
      </c>
      <c r="T846" s="805">
        <v>-77201</v>
      </c>
      <c r="U846" s="805">
        <v>253403</v>
      </c>
    </row>
    <row r="847" spans="1:21" x14ac:dyDescent="0.25">
      <c r="A847" s="800">
        <v>99261</v>
      </c>
      <c r="B847" s="801" t="s">
        <v>3483</v>
      </c>
      <c r="C847" s="802">
        <v>1.9145E-3</v>
      </c>
      <c r="D847" s="802">
        <v>1.8552E-3</v>
      </c>
      <c r="E847" s="803">
        <v>638819</v>
      </c>
      <c r="F847" s="803">
        <v>832603</v>
      </c>
      <c r="G847" s="803">
        <v>4063210</v>
      </c>
      <c r="H847" s="803"/>
      <c r="I847" s="804">
        <v>76341</v>
      </c>
      <c r="J847" s="804">
        <v>3560668</v>
      </c>
      <c r="K847" s="804">
        <v>278294</v>
      </c>
      <c r="L847" s="803">
        <v>0</v>
      </c>
      <c r="M847" s="803"/>
      <c r="N847" s="804">
        <v>142379</v>
      </c>
      <c r="O847" s="804">
        <v>1314224</v>
      </c>
      <c r="P847" s="804">
        <v>0</v>
      </c>
      <c r="Q847" s="803">
        <v>177810</v>
      </c>
      <c r="R847" s="803"/>
      <c r="S847" s="804">
        <v>1086037</v>
      </c>
      <c r="T847" s="805">
        <v>-61359</v>
      </c>
      <c r="U847" s="805">
        <v>1024677</v>
      </c>
    </row>
    <row r="848" spans="1:21" x14ac:dyDescent="0.25">
      <c r="A848" s="800">
        <v>99271</v>
      </c>
      <c r="B848" s="801" t="s">
        <v>3484</v>
      </c>
      <c r="C848" s="802">
        <v>3.9248E-3</v>
      </c>
      <c r="D848" s="802">
        <v>3.9693000000000003E-3</v>
      </c>
      <c r="E848" s="803">
        <v>1483973.83</v>
      </c>
      <c r="F848" s="803">
        <v>1781398</v>
      </c>
      <c r="G848" s="803">
        <v>8329740</v>
      </c>
      <c r="H848" s="803"/>
      <c r="I848" s="804">
        <v>156501.4</v>
      </c>
      <c r="J848" s="804">
        <v>7299508</v>
      </c>
      <c r="K848" s="804">
        <v>570513</v>
      </c>
      <c r="L848" s="803">
        <v>0</v>
      </c>
      <c r="M848" s="803"/>
      <c r="N848" s="804">
        <v>291883</v>
      </c>
      <c r="O848" s="804">
        <v>2694210</v>
      </c>
      <c r="P848" s="804">
        <v>0</v>
      </c>
      <c r="Q848" s="803">
        <v>151650</v>
      </c>
      <c r="R848" s="803"/>
      <c r="S848" s="804">
        <v>2226417</v>
      </c>
      <c r="T848" s="805">
        <v>-42013</v>
      </c>
      <c r="U848" s="805">
        <v>2184404</v>
      </c>
    </row>
    <row r="849" spans="1:21" x14ac:dyDescent="0.25">
      <c r="A849" s="800">
        <v>99281</v>
      </c>
      <c r="B849" s="801" t="s">
        <v>3485</v>
      </c>
      <c r="C849" s="802">
        <v>2.2824E-3</v>
      </c>
      <c r="D849" s="802">
        <v>2.3207000000000002E-3</v>
      </c>
      <c r="E849" s="803">
        <v>859938</v>
      </c>
      <c r="F849" s="803">
        <v>1041516</v>
      </c>
      <c r="G849" s="803">
        <v>4844017</v>
      </c>
      <c r="H849" s="803"/>
      <c r="I849" s="804">
        <v>91010.7</v>
      </c>
      <c r="J849" s="804">
        <v>4244903</v>
      </c>
      <c r="K849" s="804">
        <v>331772</v>
      </c>
      <c r="L849" s="803">
        <v>13554</v>
      </c>
      <c r="M849" s="803"/>
      <c r="N849" s="804">
        <v>169740</v>
      </c>
      <c r="O849" s="804">
        <v>1566772</v>
      </c>
      <c r="P849" s="804">
        <v>0</v>
      </c>
      <c r="Q849" s="803">
        <v>113243</v>
      </c>
      <c r="R849" s="803"/>
      <c r="S849" s="804">
        <v>1294735</v>
      </c>
      <c r="T849" s="805">
        <v>-25393</v>
      </c>
      <c r="U849" s="805">
        <v>1269342</v>
      </c>
    </row>
    <row r="850" spans="1:21" x14ac:dyDescent="0.25">
      <c r="A850" s="800">
        <v>99291</v>
      </c>
      <c r="B850" s="801" t="s">
        <v>3486</v>
      </c>
      <c r="C850" s="802">
        <v>7.7260000000000002E-4</v>
      </c>
      <c r="D850" s="802">
        <v>8.0780000000000001E-4</v>
      </c>
      <c r="E850" s="803">
        <v>267315.87</v>
      </c>
      <c r="F850" s="803">
        <v>362536</v>
      </c>
      <c r="G850" s="803">
        <v>1639716</v>
      </c>
      <c r="H850" s="803"/>
      <c r="I850" s="804">
        <v>30807</v>
      </c>
      <c r="J850" s="804">
        <v>1436914</v>
      </c>
      <c r="K850" s="804">
        <v>112306</v>
      </c>
      <c r="L850" s="803">
        <v>0</v>
      </c>
      <c r="M850" s="803"/>
      <c r="N850" s="804">
        <v>57457</v>
      </c>
      <c r="O850" s="804">
        <v>530357</v>
      </c>
      <c r="P850" s="804">
        <v>0</v>
      </c>
      <c r="Q850" s="803">
        <v>124026</v>
      </c>
      <c r="R850" s="803"/>
      <c r="S850" s="804">
        <v>438272</v>
      </c>
      <c r="T850" s="805">
        <v>-41703</v>
      </c>
      <c r="U850" s="805">
        <v>396569</v>
      </c>
    </row>
    <row r="851" spans="1:21" x14ac:dyDescent="0.25">
      <c r="A851" s="800">
        <v>99301</v>
      </c>
      <c r="B851" s="801" t="s">
        <v>3487</v>
      </c>
      <c r="C851" s="802">
        <v>1.8458000000000001E-3</v>
      </c>
      <c r="D851" s="802">
        <v>1.7903000000000001E-3</v>
      </c>
      <c r="E851" s="803">
        <v>720012.84</v>
      </c>
      <c r="F851" s="803">
        <v>803476</v>
      </c>
      <c r="G851" s="803">
        <v>3917406</v>
      </c>
      <c r="H851" s="803"/>
      <c r="I851" s="804">
        <v>73601</v>
      </c>
      <c r="J851" s="804">
        <v>3432896</v>
      </c>
      <c r="K851" s="804">
        <v>268307</v>
      </c>
      <c r="L851" s="803">
        <v>122430</v>
      </c>
      <c r="M851" s="803"/>
      <c r="N851" s="804">
        <v>137270</v>
      </c>
      <c r="O851" s="804">
        <v>1267064</v>
      </c>
      <c r="P851" s="804">
        <v>0</v>
      </c>
      <c r="Q851" s="803">
        <v>957</v>
      </c>
      <c r="R851" s="803"/>
      <c r="S851" s="804">
        <v>1047065</v>
      </c>
      <c r="T851" s="805">
        <v>54774</v>
      </c>
      <c r="U851" s="805">
        <v>1101839</v>
      </c>
    </row>
    <row r="852" spans="1:21" x14ac:dyDescent="0.25">
      <c r="A852" s="800">
        <v>99304</v>
      </c>
      <c r="B852" s="801" t="s">
        <v>3488</v>
      </c>
      <c r="C852" s="802">
        <v>9.9000000000000001E-6</v>
      </c>
      <c r="D852" s="802">
        <v>1.0000000000000001E-5</v>
      </c>
      <c r="E852" s="803">
        <v>6537</v>
      </c>
      <c r="F852" s="803">
        <v>4488</v>
      </c>
      <c r="G852" s="803">
        <v>21011</v>
      </c>
      <c r="H852" s="803"/>
      <c r="I852" s="804">
        <v>394.76249999999999</v>
      </c>
      <c r="J852" s="804">
        <v>18412</v>
      </c>
      <c r="K852" s="804">
        <v>1439</v>
      </c>
      <c r="L852" s="803">
        <v>3536</v>
      </c>
      <c r="M852" s="803"/>
      <c r="N852" s="804">
        <v>736</v>
      </c>
      <c r="O852" s="804">
        <v>6796</v>
      </c>
      <c r="P852" s="804">
        <v>0</v>
      </c>
      <c r="Q852" s="803">
        <v>498</v>
      </c>
      <c r="R852" s="803"/>
      <c r="S852" s="804">
        <v>5616</v>
      </c>
      <c r="T852" s="805">
        <v>822</v>
      </c>
      <c r="U852" s="805">
        <v>6438</v>
      </c>
    </row>
    <row r="853" spans="1:21" x14ac:dyDescent="0.25">
      <c r="A853" s="800">
        <v>99311</v>
      </c>
      <c r="B853" s="801" t="s">
        <v>3489</v>
      </c>
      <c r="C853" s="802">
        <v>5.7599999999999997E-5</v>
      </c>
      <c r="D853" s="802">
        <v>6.2100000000000005E-5</v>
      </c>
      <c r="E853" s="803">
        <v>21136.39</v>
      </c>
      <c r="F853" s="803">
        <v>27870</v>
      </c>
      <c r="G853" s="803">
        <v>122246</v>
      </c>
      <c r="H853" s="803"/>
      <c r="I853" s="804">
        <v>2297</v>
      </c>
      <c r="J853" s="804">
        <v>107127</v>
      </c>
      <c r="K853" s="804">
        <v>8373</v>
      </c>
      <c r="L853" s="803">
        <v>0</v>
      </c>
      <c r="M853" s="803"/>
      <c r="N853" s="804">
        <v>4284</v>
      </c>
      <c r="O853" s="804">
        <v>39540</v>
      </c>
      <c r="P853" s="804">
        <v>0</v>
      </c>
      <c r="Q853" s="803">
        <v>7642</v>
      </c>
      <c r="R853" s="803"/>
      <c r="S853" s="804">
        <v>32675</v>
      </c>
      <c r="T853" s="805">
        <v>-2750</v>
      </c>
      <c r="U853" s="805">
        <v>29925</v>
      </c>
    </row>
    <row r="854" spans="1:21" x14ac:dyDescent="0.25">
      <c r="A854" s="800">
        <v>99321</v>
      </c>
      <c r="B854" s="801" t="s">
        <v>3490</v>
      </c>
      <c r="C854" s="802">
        <v>1.1909999999999999E-4</v>
      </c>
      <c r="D854" s="802">
        <v>1.015E-4</v>
      </c>
      <c r="E854" s="803">
        <v>91759.74</v>
      </c>
      <c r="F854" s="803">
        <v>45553</v>
      </c>
      <c r="G854" s="803">
        <v>252770</v>
      </c>
      <c r="H854" s="803"/>
      <c r="I854" s="804">
        <v>4749</v>
      </c>
      <c r="J854" s="804">
        <v>221507</v>
      </c>
      <c r="K854" s="804">
        <v>17312</v>
      </c>
      <c r="L854" s="803">
        <v>97754</v>
      </c>
      <c r="M854" s="803"/>
      <c r="N854" s="804">
        <v>8857</v>
      </c>
      <c r="O854" s="804">
        <v>81757</v>
      </c>
      <c r="P854" s="804">
        <v>0</v>
      </c>
      <c r="Q854" s="803">
        <v>0</v>
      </c>
      <c r="R854" s="803"/>
      <c r="S854" s="804">
        <v>67562</v>
      </c>
      <c r="T854" s="805">
        <v>33905</v>
      </c>
      <c r="U854" s="805">
        <v>101467</v>
      </c>
    </row>
    <row r="855" spans="1:21" x14ac:dyDescent="0.25">
      <c r="A855" s="800">
        <v>99401</v>
      </c>
      <c r="B855" s="801" t="s">
        <v>3491</v>
      </c>
      <c r="C855" s="802">
        <v>9.3869999999999999E-4</v>
      </c>
      <c r="D855" s="802">
        <v>9.0470000000000004E-4</v>
      </c>
      <c r="E855" s="803">
        <v>380574.92</v>
      </c>
      <c r="F855" s="803">
        <v>406024</v>
      </c>
      <c r="G855" s="803">
        <v>1992236</v>
      </c>
      <c r="H855" s="803"/>
      <c r="I855" s="804">
        <v>37431</v>
      </c>
      <c r="J855" s="804">
        <v>1745834</v>
      </c>
      <c r="K855" s="804">
        <v>136450</v>
      </c>
      <c r="L855" s="803">
        <v>60934</v>
      </c>
      <c r="M855" s="803"/>
      <c r="N855" s="804">
        <v>69810</v>
      </c>
      <c r="O855" s="804">
        <v>644378</v>
      </c>
      <c r="P855" s="804">
        <v>0</v>
      </c>
      <c r="Q855" s="803">
        <v>0</v>
      </c>
      <c r="R855" s="803"/>
      <c r="S855" s="804">
        <v>532495</v>
      </c>
      <c r="T855" s="805">
        <v>26694</v>
      </c>
      <c r="U855" s="805">
        <v>559189</v>
      </c>
    </row>
    <row r="856" spans="1:21" x14ac:dyDescent="0.25">
      <c r="A856" s="800">
        <v>99404</v>
      </c>
      <c r="B856" s="801" t="s">
        <v>3492</v>
      </c>
      <c r="C856" s="802">
        <v>9.5999999999999996E-6</v>
      </c>
      <c r="D856" s="802">
        <v>9.9000000000000001E-6</v>
      </c>
      <c r="E856" s="803">
        <v>4863.32</v>
      </c>
      <c r="F856" s="803">
        <v>4443</v>
      </c>
      <c r="G856" s="803">
        <v>20374</v>
      </c>
      <c r="H856" s="803"/>
      <c r="I856" s="804">
        <v>383</v>
      </c>
      <c r="J856" s="804">
        <v>17854</v>
      </c>
      <c r="K856" s="804">
        <v>1395</v>
      </c>
      <c r="L856" s="803">
        <v>890</v>
      </c>
      <c r="M856" s="803"/>
      <c r="N856" s="804">
        <v>714</v>
      </c>
      <c r="O856" s="804">
        <v>6590</v>
      </c>
      <c r="P856" s="804">
        <v>0</v>
      </c>
      <c r="Q856" s="803">
        <v>0</v>
      </c>
      <c r="R856" s="803"/>
      <c r="S856" s="804">
        <v>5446</v>
      </c>
      <c r="T856" s="805">
        <v>284</v>
      </c>
      <c r="U856" s="805">
        <v>5730</v>
      </c>
    </row>
    <row r="857" spans="1:21" x14ac:dyDescent="0.25">
      <c r="A857" s="800">
        <v>99405</v>
      </c>
      <c r="B857" s="801" t="s">
        <v>3493</v>
      </c>
      <c r="C857" s="802">
        <v>5.8100000000000003E-5</v>
      </c>
      <c r="D857" s="802">
        <v>6.3399999999999996E-5</v>
      </c>
      <c r="E857" s="803">
        <v>32556.2</v>
      </c>
      <c r="F857" s="803">
        <v>28454</v>
      </c>
      <c r="G857" s="803">
        <v>123308</v>
      </c>
      <c r="H857" s="803"/>
      <c r="I857" s="804">
        <v>2317</v>
      </c>
      <c r="J857" s="804">
        <v>108057</v>
      </c>
      <c r="K857" s="804">
        <v>8445</v>
      </c>
      <c r="L857" s="803">
        <v>11934</v>
      </c>
      <c r="M857" s="803"/>
      <c r="N857" s="804">
        <v>4321</v>
      </c>
      <c r="O857" s="804">
        <v>39883</v>
      </c>
      <c r="P857" s="804">
        <v>0</v>
      </c>
      <c r="Q857" s="803">
        <v>675</v>
      </c>
      <c r="R857" s="803"/>
      <c r="S857" s="804">
        <v>32958</v>
      </c>
      <c r="T857" s="805">
        <v>3510</v>
      </c>
      <c r="U857" s="805">
        <v>36468</v>
      </c>
    </row>
    <row r="858" spans="1:21" x14ac:dyDescent="0.25">
      <c r="A858" s="800">
        <v>99411</v>
      </c>
      <c r="B858" s="801" t="s">
        <v>3494</v>
      </c>
      <c r="C858" s="802">
        <v>1.2510000000000001E-4</v>
      </c>
      <c r="D858" s="802">
        <v>1.07E-4</v>
      </c>
      <c r="E858" s="803">
        <v>60724</v>
      </c>
      <c r="F858" s="803">
        <v>48021</v>
      </c>
      <c r="G858" s="803">
        <v>265504</v>
      </c>
      <c r="H858" s="803"/>
      <c r="I858" s="804">
        <v>4988</v>
      </c>
      <c r="J858" s="804">
        <v>232666</v>
      </c>
      <c r="K858" s="804">
        <v>18185</v>
      </c>
      <c r="L858" s="803">
        <v>24011</v>
      </c>
      <c r="M858" s="803"/>
      <c r="N858" s="804">
        <v>9304</v>
      </c>
      <c r="O858" s="804">
        <v>85876</v>
      </c>
      <c r="P858" s="804">
        <v>0</v>
      </c>
      <c r="Q858" s="803">
        <v>8844</v>
      </c>
      <c r="R858" s="803"/>
      <c r="S858" s="804">
        <v>70965</v>
      </c>
      <c r="T858" s="805">
        <v>2430</v>
      </c>
      <c r="U858" s="805">
        <v>73395</v>
      </c>
    </row>
    <row r="859" spans="1:21" x14ac:dyDescent="0.25">
      <c r="A859" s="800">
        <v>99413</v>
      </c>
      <c r="B859" s="801" t="s">
        <v>3495</v>
      </c>
      <c r="C859" s="802">
        <v>2.76E-5</v>
      </c>
      <c r="D859" s="802">
        <v>4.21E-5</v>
      </c>
      <c r="E859" s="803">
        <v>17655.62</v>
      </c>
      <c r="F859" s="803">
        <v>18894</v>
      </c>
      <c r="G859" s="803">
        <v>58576</v>
      </c>
      <c r="H859" s="803"/>
      <c r="I859" s="804">
        <v>1100.55</v>
      </c>
      <c r="J859" s="804">
        <v>51332</v>
      </c>
      <c r="K859" s="804">
        <v>4012</v>
      </c>
      <c r="L859" s="803">
        <v>10</v>
      </c>
      <c r="M859" s="803"/>
      <c r="N859" s="804">
        <v>2053</v>
      </c>
      <c r="O859" s="804">
        <v>18946</v>
      </c>
      <c r="P859" s="804">
        <v>0</v>
      </c>
      <c r="Q859" s="803">
        <v>4264</v>
      </c>
      <c r="R859" s="803"/>
      <c r="S859" s="804">
        <v>15657</v>
      </c>
      <c r="T859" s="805">
        <v>-1235</v>
      </c>
      <c r="U859" s="805">
        <v>14422</v>
      </c>
    </row>
    <row r="860" spans="1:21" x14ac:dyDescent="0.25">
      <c r="A860" s="800">
        <v>99421</v>
      </c>
      <c r="B860" s="801" t="s">
        <v>3496</v>
      </c>
      <c r="C860" s="802">
        <v>1.5E-5</v>
      </c>
      <c r="D860" s="802">
        <v>2.2099999999999998E-5</v>
      </c>
      <c r="E860" s="803">
        <v>6577</v>
      </c>
      <c r="F860" s="803">
        <v>9918</v>
      </c>
      <c r="G860" s="803">
        <v>31835</v>
      </c>
      <c r="H860" s="803"/>
      <c r="I860" s="804">
        <v>598.125</v>
      </c>
      <c r="J860" s="804">
        <v>27897.63</v>
      </c>
      <c r="K860" s="804">
        <v>2180.415</v>
      </c>
      <c r="L860" s="803">
        <v>1536</v>
      </c>
      <c r="M860" s="803"/>
      <c r="N860" s="804">
        <v>1116</v>
      </c>
      <c r="O860" s="804">
        <v>10297</v>
      </c>
      <c r="P860" s="804">
        <v>0</v>
      </c>
      <c r="Q860" s="803">
        <v>4910</v>
      </c>
      <c r="R860" s="803"/>
      <c r="S860" s="804">
        <v>8509</v>
      </c>
      <c r="T860" s="805">
        <v>-633</v>
      </c>
      <c r="U860" s="805">
        <v>7876</v>
      </c>
    </row>
    <row r="861" spans="1:21" x14ac:dyDescent="0.25">
      <c r="A861" s="800">
        <v>99431</v>
      </c>
      <c r="B861" s="801" t="s">
        <v>3497</v>
      </c>
      <c r="C861" s="802">
        <v>2.16E-5</v>
      </c>
      <c r="D861" s="802">
        <v>2.09E-5</v>
      </c>
      <c r="E861" s="803">
        <v>6864.37</v>
      </c>
      <c r="F861" s="803">
        <v>9380</v>
      </c>
      <c r="G861" s="803">
        <v>45842</v>
      </c>
      <c r="H861" s="803"/>
      <c r="I861" s="804">
        <v>861.3</v>
      </c>
      <c r="J861" s="804">
        <v>40173</v>
      </c>
      <c r="K861" s="804">
        <v>3140</v>
      </c>
      <c r="L861" s="803">
        <v>2153</v>
      </c>
      <c r="M861" s="803"/>
      <c r="N861" s="804">
        <v>1606</v>
      </c>
      <c r="O861" s="804">
        <v>14827</v>
      </c>
      <c r="P861" s="804">
        <v>0</v>
      </c>
      <c r="Q861" s="803">
        <v>1856</v>
      </c>
      <c r="R861" s="803"/>
      <c r="S861" s="804">
        <v>12253</v>
      </c>
      <c r="T861" s="805">
        <v>541</v>
      </c>
      <c r="U861" s="805">
        <v>12794</v>
      </c>
    </row>
    <row r="862" spans="1:21" x14ac:dyDescent="0.25">
      <c r="A862" s="800">
        <v>99501</v>
      </c>
      <c r="B862" s="801" t="s">
        <v>3498</v>
      </c>
      <c r="C862" s="802">
        <v>1.7390000000000001E-3</v>
      </c>
      <c r="D862" s="802">
        <v>1.7404E-3</v>
      </c>
      <c r="E862" s="803">
        <v>717899.84</v>
      </c>
      <c r="F862" s="803">
        <v>781081</v>
      </c>
      <c r="G862" s="803">
        <v>3690741</v>
      </c>
      <c r="H862" s="803"/>
      <c r="I862" s="804">
        <v>69343</v>
      </c>
      <c r="J862" s="804">
        <v>3234265</v>
      </c>
      <c r="K862" s="804">
        <v>252783</v>
      </c>
      <c r="L862" s="803">
        <v>5725</v>
      </c>
      <c r="M862" s="803"/>
      <c r="N862" s="804">
        <v>129328</v>
      </c>
      <c r="O862" s="804">
        <v>1193750</v>
      </c>
      <c r="P862" s="804">
        <v>0</v>
      </c>
      <c r="Q862" s="803">
        <v>0</v>
      </c>
      <c r="R862" s="803"/>
      <c r="S862" s="804">
        <v>986481</v>
      </c>
      <c r="T862" s="805">
        <v>1961</v>
      </c>
      <c r="U862" s="805">
        <v>988442</v>
      </c>
    </row>
    <row r="863" spans="1:21" x14ac:dyDescent="0.25">
      <c r="A863" s="800">
        <v>99502</v>
      </c>
      <c r="B863" s="801" t="s">
        <v>3499</v>
      </c>
      <c r="C863" s="802">
        <v>1.3779999999999999E-4</v>
      </c>
      <c r="D863" s="802">
        <v>1.628E-4</v>
      </c>
      <c r="E863" s="803">
        <v>87805.53</v>
      </c>
      <c r="F863" s="803">
        <v>73064</v>
      </c>
      <c r="G863" s="803">
        <v>292458</v>
      </c>
      <c r="H863" s="803"/>
      <c r="I863" s="804">
        <v>5495</v>
      </c>
      <c r="J863" s="804">
        <v>256286</v>
      </c>
      <c r="K863" s="804">
        <v>20031</v>
      </c>
      <c r="L863" s="803">
        <v>28542</v>
      </c>
      <c r="M863" s="803"/>
      <c r="N863" s="804">
        <v>10248</v>
      </c>
      <c r="O863" s="804">
        <v>94594</v>
      </c>
      <c r="P863" s="804">
        <v>0</v>
      </c>
      <c r="Q863" s="803">
        <v>143</v>
      </c>
      <c r="R863" s="803"/>
      <c r="S863" s="804">
        <v>78170</v>
      </c>
      <c r="T863" s="805">
        <v>8980</v>
      </c>
      <c r="U863" s="805">
        <v>87150</v>
      </c>
    </row>
    <row r="864" spans="1:21" x14ac:dyDescent="0.25">
      <c r="A864" s="800">
        <v>99508</v>
      </c>
      <c r="B864" s="801" t="s">
        <v>3500</v>
      </c>
      <c r="C864" s="802">
        <v>2.1699999999999999E-5</v>
      </c>
      <c r="D864" s="802">
        <v>2.3200000000000001E-5</v>
      </c>
      <c r="E864" s="803">
        <v>8790.98</v>
      </c>
      <c r="F864" s="803">
        <v>10412</v>
      </c>
      <c r="G864" s="803">
        <v>46055</v>
      </c>
      <c r="H864" s="803"/>
      <c r="I864" s="804">
        <v>865</v>
      </c>
      <c r="J864" s="804">
        <v>40359</v>
      </c>
      <c r="K864" s="804">
        <v>3154</v>
      </c>
      <c r="L864" s="803">
        <v>0</v>
      </c>
      <c r="M864" s="803"/>
      <c r="N864" s="804">
        <v>1614</v>
      </c>
      <c r="O864" s="804">
        <v>14896</v>
      </c>
      <c r="P864" s="804">
        <v>0</v>
      </c>
      <c r="Q864" s="803">
        <v>2564</v>
      </c>
      <c r="R864" s="803"/>
      <c r="S864" s="804">
        <v>12310</v>
      </c>
      <c r="T864" s="805">
        <v>-994</v>
      </c>
      <c r="U864" s="805">
        <v>11316</v>
      </c>
    </row>
    <row r="865" spans="1:21" x14ac:dyDescent="0.25">
      <c r="A865" s="800">
        <v>99509</v>
      </c>
      <c r="B865" s="801" t="s">
        <v>3501</v>
      </c>
      <c r="C865" s="802">
        <v>2.8900000000000001E-5</v>
      </c>
      <c r="D865" s="802">
        <v>2.87E-5</v>
      </c>
      <c r="E865" s="803">
        <v>10373.91</v>
      </c>
      <c r="F865" s="803">
        <v>12880</v>
      </c>
      <c r="G865" s="803">
        <v>61335</v>
      </c>
      <c r="H865" s="803"/>
      <c r="I865" s="804">
        <v>1152.3875</v>
      </c>
      <c r="J865" s="804">
        <v>53749</v>
      </c>
      <c r="K865" s="804">
        <v>4201</v>
      </c>
      <c r="L865" s="803">
        <v>0</v>
      </c>
      <c r="M865" s="803"/>
      <c r="N865" s="804">
        <v>2149</v>
      </c>
      <c r="O865" s="804">
        <v>19839</v>
      </c>
      <c r="P865" s="804">
        <v>0</v>
      </c>
      <c r="Q865" s="803">
        <v>8463</v>
      </c>
      <c r="R865" s="803"/>
      <c r="S865" s="804">
        <v>16394</v>
      </c>
      <c r="T865" s="805">
        <v>-3831</v>
      </c>
      <c r="U865" s="805">
        <v>12563</v>
      </c>
    </row>
    <row r="866" spans="1:21" x14ac:dyDescent="0.25">
      <c r="A866" s="800">
        <v>99511</v>
      </c>
      <c r="B866" s="801" t="s">
        <v>3502</v>
      </c>
      <c r="C866" s="802">
        <v>1.3638000000000001E-3</v>
      </c>
      <c r="D866" s="802">
        <v>1.4238E-3</v>
      </c>
      <c r="E866" s="803">
        <v>513320.93</v>
      </c>
      <c r="F866" s="803">
        <v>638993</v>
      </c>
      <c r="G866" s="803">
        <v>2894440</v>
      </c>
      <c r="H866" s="803"/>
      <c r="I866" s="804">
        <v>54382</v>
      </c>
      <c r="J866" s="804">
        <v>2536453</v>
      </c>
      <c r="K866" s="804">
        <v>198243</v>
      </c>
      <c r="L866" s="803">
        <v>6972</v>
      </c>
      <c r="M866" s="803"/>
      <c r="N866" s="804">
        <v>101424</v>
      </c>
      <c r="O866" s="804">
        <v>936191</v>
      </c>
      <c r="P866" s="804">
        <v>0</v>
      </c>
      <c r="Q866" s="803">
        <v>87693</v>
      </c>
      <c r="R866" s="803"/>
      <c r="S866" s="804">
        <v>773641</v>
      </c>
      <c r="T866" s="805">
        <v>-24491</v>
      </c>
      <c r="U866" s="805">
        <v>749150</v>
      </c>
    </row>
    <row r="867" spans="1:21" x14ac:dyDescent="0.25">
      <c r="A867" s="800">
        <v>99521</v>
      </c>
      <c r="B867" s="801" t="s">
        <v>3503</v>
      </c>
      <c r="C867" s="802">
        <v>4.0180000000000001E-4</v>
      </c>
      <c r="D867" s="802">
        <v>4.0989999999999999E-4</v>
      </c>
      <c r="E867" s="803">
        <v>150146.22</v>
      </c>
      <c r="F867" s="803">
        <v>183961</v>
      </c>
      <c r="G867" s="803">
        <v>852754</v>
      </c>
      <c r="H867" s="803"/>
      <c r="I867" s="804">
        <v>16022</v>
      </c>
      <c r="J867" s="804">
        <v>747285</v>
      </c>
      <c r="K867" s="804">
        <v>58406</v>
      </c>
      <c r="L867" s="803">
        <v>1435</v>
      </c>
      <c r="M867" s="803"/>
      <c r="N867" s="804">
        <v>29881</v>
      </c>
      <c r="O867" s="804">
        <v>275819</v>
      </c>
      <c r="P867" s="804">
        <v>0</v>
      </c>
      <c r="Q867" s="803">
        <v>21691</v>
      </c>
      <c r="R867" s="803"/>
      <c r="S867" s="804">
        <v>227929</v>
      </c>
      <c r="T867" s="805">
        <v>-5406</v>
      </c>
      <c r="U867" s="805">
        <v>222522</v>
      </c>
    </row>
    <row r="868" spans="1:21" x14ac:dyDescent="0.25">
      <c r="A868" s="800">
        <v>99527</v>
      </c>
      <c r="B868" s="801" t="s">
        <v>3504</v>
      </c>
      <c r="C868" s="802">
        <v>1.2099999999999999E-5</v>
      </c>
      <c r="D868" s="802">
        <v>1.1800000000000001E-5</v>
      </c>
      <c r="E868" s="803">
        <v>5273.87</v>
      </c>
      <c r="F868" s="803">
        <v>5296</v>
      </c>
      <c r="G868" s="803">
        <v>25680</v>
      </c>
      <c r="H868" s="803"/>
      <c r="I868" s="804">
        <v>482</v>
      </c>
      <c r="J868" s="804">
        <v>22504</v>
      </c>
      <c r="K868" s="804">
        <v>1759</v>
      </c>
      <c r="L868" s="803">
        <v>1404</v>
      </c>
      <c r="M868" s="803"/>
      <c r="N868" s="804">
        <v>900</v>
      </c>
      <c r="O868" s="804">
        <v>8306</v>
      </c>
      <c r="P868" s="804">
        <v>0</v>
      </c>
      <c r="Q868" s="803">
        <v>0</v>
      </c>
      <c r="R868" s="803"/>
      <c r="S868" s="804">
        <v>6864</v>
      </c>
      <c r="T868" s="805">
        <v>529</v>
      </c>
      <c r="U868" s="805">
        <v>7393</v>
      </c>
    </row>
    <row r="869" spans="1:21" x14ac:dyDescent="0.25">
      <c r="A869" s="800">
        <v>99531</v>
      </c>
      <c r="B869" s="801" t="s">
        <v>3505</v>
      </c>
      <c r="C869" s="802">
        <v>8.7600000000000002E-5</v>
      </c>
      <c r="D869" s="802">
        <v>8.8200000000000003E-5</v>
      </c>
      <c r="E869" s="803">
        <v>67487</v>
      </c>
      <c r="F869" s="803">
        <v>39584</v>
      </c>
      <c r="G869" s="803">
        <v>185917</v>
      </c>
      <c r="H869" s="803"/>
      <c r="I869" s="804">
        <v>3493.05</v>
      </c>
      <c r="J869" s="804">
        <v>162922</v>
      </c>
      <c r="K869" s="804">
        <v>12734</v>
      </c>
      <c r="L869" s="803">
        <v>39764</v>
      </c>
      <c r="M869" s="803"/>
      <c r="N869" s="804">
        <v>6515</v>
      </c>
      <c r="O869" s="804">
        <v>60134</v>
      </c>
      <c r="P869" s="804">
        <v>0</v>
      </c>
      <c r="Q869" s="803">
        <v>0</v>
      </c>
      <c r="R869" s="803"/>
      <c r="S869" s="804">
        <v>49693</v>
      </c>
      <c r="T869" s="805">
        <v>11839</v>
      </c>
      <c r="U869" s="805">
        <v>61531</v>
      </c>
    </row>
    <row r="870" spans="1:21" x14ac:dyDescent="0.25">
      <c r="A870" s="800">
        <v>99601</v>
      </c>
      <c r="B870" s="801" t="s">
        <v>3506</v>
      </c>
      <c r="C870" s="802">
        <v>5.2824999999999999E-3</v>
      </c>
      <c r="D870" s="802">
        <v>5.3274999999999998E-3</v>
      </c>
      <c r="E870" s="803">
        <v>2087469</v>
      </c>
      <c r="F870" s="803">
        <v>2390950</v>
      </c>
      <c r="G870" s="803">
        <v>11211235</v>
      </c>
      <c r="H870" s="803"/>
      <c r="I870" s="804">
        <v>210640</v>
      </c>
      <c r="J870" s="804">
        <v>9824615</v>
      </c>
      <c r="K870" s="804">
        <v>767869</v>
      </c>
      <c r="L870" s="803">
        <v>60572</v>
      </c>
      <c r="M870" s="803"/>
      <c r="N870" s="804">
        <v>392854</v>
      </c>
      <c r="O870" s="804">
        <v>3626214</v>
      </c>
      <c r="P870" s="804">
        <v>0</v>
      </c>
      <c r="Q870" s="803">
        <v>101945</v>
      </c>
      <c r="R870" s="803"/>
      <c r="S870" s="804">
        <v>2996598</v>
      </c>
      <c r="T870" s="805">
        <v>-7395</v>
      </c>
      <c r="U870" s="805">
        <v>2989204</v>
      </c>
    </row>
    <row r="871" spans="1:21" x14ac:dyDescent="0.25">
      <c r="A871" s="800">
        <v>99602</v>
      </c>
      <c r="B871" s="801" t="s">
        <v>3507</v>
      </c>
      <c r="C871" s="802">
        <v>5.1700000000000003E-5</v>
      </c>
      <c r="D871" s="802">
        <v>5.13E-5</v>
      </c>
      <c r="E871" s="803">
        <v>23478.31</v>
      </c>
      <c r="F871" s="803">
        <v>23023</v>
      </c>
      <c r="G871" s="803">
        <v>109725</v>
      </c>
      <c r="H871" s="803"/>
      <c r="I871" s="804">
        <v>2062</v>
      </c>
      <c r="J871" s="804">
        <v>96154</v>
      </c>
      <c r="K871" s="804">
        <v>7515</v>
      </c>
      <c r="L871" s="803">
        <v>5410</v>
      </c>
      <c r="M871" s="803"/>
      <c r="N871" s="804">
        <v>3845</v>
      </c>
      <c r="O871" s="804">
        <v>35490</v>
      </c>
      <c r="P871" s="804">
        <v>0</v>
      </c>
      <c r="Q871" s="803">
        <v>4155</v>
      </c>
      <c r="R871" s="803"/>
      <c r="S871" s="804">
        <v>29328</v>
      </c>
      <c r="T871" s="805">
        <v>-358</v>
      </c>
      <c r="U871" s="805">
        <v>28969</v>
      </c>
    </row>
    <row r="872" spans="1:21" x14ac:dyDescent="0.25">
      <c r="A872" s="800">
        <v>99603</v>
      </c>
      <c r="B872" s="801" t="s">
        <v>3508</v>
      </c>
      <c r="C872" s="802">
        <v>1.4219999999999999E-4</v>
      </c>
      <c r="D872" s="802">
        <v>1.474E-4</v>
      </c>
      <c r="E872" s="803">
        <v>137623</v>
      </c>
      <c r="F872" s="803">
        <v>66152</v>
      </c>
      <c r="G872" s="803">
        <v>301796</v>
      </c>
      <c r="H872" s="803"/>
      <c r="I872" s="804">
        <v>5670</v>
      </c>
      <c r="J872" s="804">
        <v>264470</v>
      </c>
      <c r="K872" s="804">
        <v>20670</v>
      </c>
      <c r="L872" s="803">
        <v>103545</v>
      </c>
      <c r="M872" s="803"/>
      <c r="N872" s="804">
        <v>10575</v>
      </c>
      <c r="O872" s="804">
        <v>97614</v>
      </c>
      <c r="P872" s="804">
        <v>0</v>
      </c>
      <c r="Q872" s="803">
        <v>0</v>
      </c>
      <c r="R872" s="803"/>
      <c r="S872" s="804">
        <v>80666</v>
      </c>
      <c r="T872" s="805">
        <v>31526</v>
      </c>
      <c r="U872" s="805">
        <v>112191</v>
      </c>
    </row>
    <row r="873" spans="1:21" x14ac:dyDescent="0.25">
      <c r="A873" s="800">
        <v>99604</v>
      </c>
      <c r="B873" s="801" t="s">
        <v>3509</v>
      </c>
      <c r="C873" s="802">
        <v>9.6899999999999997E-5</v>
      </c>
      <c r="D873" s="802">
        <v>9.3300000000000005E-5</v>
      </c>
      <c r="E873" s="803">
        <v>45606</v>
      </c>
      <c r="F873" s="803">
        <v>41872</v>
      </c>
      <c r="G873" s="803">
        <v>205654</v>
      </c>
      <c r="H873" s="803"/>
      <c r="I873" s="804">
        <v>3864</v>
      </c>
      <c r="J873" s="804">
        <v>180219</v>
      </c>
      <c r="K873" s="804">
        <v>14085</v>
      </c>
      <c r="L873" s="803">
        <v>20600</v>
      </c>
      <c r="M873" s="803"/>
      <c r="N873" s="804">
        <v>7206</v>
      </c>
      <c r="O873" s="804">
        <v>66518</v>
      </c>
      <c r="P873" s="804">
        <v>0</v>
      </c>
      <c r="Q873" s="803">
        <v>0</v>
      </c>
      <c r="R873" s="803"/>
      <c r="S873" s="804">
        <v>54968</v>
      </c>
      <c r="T873" s="805">
        <v>7597</v>
      </c>
      <c r="U873" s="805">
        <v>62566</v>
      </c>
    </row>
    <row r="874" spans="1:21" x14ac:dyDescent="0.25">
      <c r="A874" s="800">
        <v>99609</v>
      </c>
      <c r="B874" s="801" t="s">
        <v>3510</v>
      </c>
      <c r="C874" s="802">
        <v>2.0999999999999999E-5</v>
      </c>
      <c r="D874" s="802">
        <v>1.98E-5</v>
      </c>
      <c r="E874" s="803">
        <v>10788</v>
      </c>
      <c r="F874" s="803">
        <v>8886</v>
      </c>
      <c r="G874" s="803">
        <v>44569</v>
      </c>
      <c r="H874" s="803"/>
      <c r="I874" s="804">
        <v>837.375</v>
      </c>
      <c r="J874" s="804">
        <v>39057</v>
      </c>
      <c r="K874" s="804">
        <v>3053</v>
      </c>
      <c r="L874" s="803">
        <v>5629</v>
      </c>
      <c r="M874" s="803"/>
      <c r="N874" s="804">
        <v>1562</v>
      </c>
      <c r="O874" s="804">
        <v>14416</v>
      </c>
      <c r="P874" s="804">
        <v>0</v>
      </c>
      <c r="Q874" s="803">
        <v>0</v>
      </c>
      <c r="R874" s="803"/>
      <c r="S874" s="804">
        <v>11913</v>
      </c>
      <c r="T874" s="805">
        <v>2074</v>
      </c>
      <c r="U874" s="805">
        <v>13986</v>
      </c>
    </row>
    <row r="875" spans="1:21" x14ac:dyDescent="0.25">
      <c r="A875" s="800">
        <v>99610</v>
      </c>
      <c r="B875" s="801" t="s">
        <v>3511</v>
      </c>
      <c r="C875" s="802">
        <v>1.9440000000000001E-4</v>
      </c>
      <c r="D875" s="802">
        <v>1.883E-4</v>
      </c>
      <c r="E875" s="803">
        <v>78017.36</v>
      </c>
      <c r="F875" s="803">
        <v>84508</v>
      </c>
      <c r="G875" s="803">
        <v>412582</v>
      </c>
      <c r="H875" s="803"/>
      <c r="I875" s="804">
        <v>7752</v>
      </c>
      <c r="J875" s="804">
        <v>361553</v>
      </c>
      <c r="K875" s="804">
        <v>28258</v>
      </c>
      <c r="L875" s="803">
        <v>4583</v>
      </c>
      <c r="M875" s="803"/>
      <c r="N875" s="804">
        <v>14457</v>
      </c>
      <c r="O875" s="804">
        <v>133447</v>
      </c>
      <c r="P875" s="804">
        <v>0</v>
      </c>
      <c r="Q875" s="803">
        <v>1313</v>
      </c>
      <c r="R875" s="803"/>
      <c r="S875" s="804">
        <v>110277</v>
      </c>
      <c r="T875" s="805">
        <v>1406</v>
      </c>
      <c r="U875" s="805">
        <v>111683</v>
      </c>
    </row>
    <row r="876" spans="1:21" x14ac:dyDescent="0.25">
      <c r="A876" s="800">
        <v>99611</v>
      </c>
      <c r="B876" s="801" t="s">
        <v>3512</v>
      </c>
      <c r="C876" s="802">
        <v>3.1495999999999998E-3</v>
      </c>
      <c r="D876" s="802">
        <v>3.4461000000000001E-3</v>
      </c>
      <c r="E876" s="803">
        <v>1274178.99</v>
      </c>
      <c r="F876" s="803">
        <v>1546589</v>
      </c>
      <c r="G876" s="803">
        <v>6684506</v>
      </c>
      <c r="H876" s="803"/>
      <c r="I876" s="804">
        <v>125590</v>
      </c>
      <c r="J876" s="804">
        <v>5857758</v>
      </c>
      <c r="K876" s="804">
        <v>457829</v>
      </c>
      <c r="L876" s="803">
        <v>0</v>
      </c>
      <c r="M876" s="803"/>
      <c r="N876" s="804">
        <v>234233</v>
      </c>
      <c r="O876" s="804">
        <v>2162068</v>
      </c>
      <c r="P876" s="804">
        <v>0</v>
      </c>
      <c r="Q876" s="803">
        <v>295351</v>
      </c>
      <c r="R876" s="803"/>
      <c r="S876" s="804">
        <v>1786670</v>
      </c>
      <c r="T876" s="805">
        <v>-97649</v>
      </c>
      <c r="U876" s="805">
        <v>1689022</v>
      </c>
    </row>
    <row r="877" spans="1:21" x14ac:dyDescent="0.25">
      <c r="A877" s="800">
        <v>99613</v>
      </c>
      <c r="B877" s="801" t="s">
        <v>3513</v>
      </c>
      <c r="C877" s="802">
        <v>3.369E-4</v>
      </c>
      <c r="D877" s="802">
        <v>2.6350000000000001E-4</v>
      </c>
      <c r="E877" s="803">
        <v>287693.51</v>
      </c>
      <c r="F877" s="803">
        <v>118257</v>
      </c>
      <c r="G877" s="803">
        <v>715015</v>
      </c>
      <c r="H877" s="803"/>
      <c r="I877" s="804">
        <v>13434</v>
      </c>
      <c r="J877" s="804">
        <v>626581</v>
      </c>
      <c r="K877" s="804">
        <v>48972</v>
      </c>
      <c r="L877" s="803">
        <v>227196</v>
      </c>
      <c r="M877" s="803"/>
      <c r="N877" s="804">
        <v>25055</v>
      </c>
      <c r="O877" s="804">
        <v>231268</v>
      </c>
      <c r="P877" s="804">
        <v>0</v>
      </c>
      <c r="Q877" s="803">
        <v>0</v>
      </c>
      <c r="R877" s="803"/>
      <c r="S877" s="804">
        <v>191113</v>
      </c>
      <c r="T877" s="805">
        <v>65914</v>
      </c>
      <c r="U877" s="805">
        <v>257027</v>
      </c>
    </row>
    <row r="878" spans="1:21" x14ac:dyDescent="0.25">
      <c r="A878" s="800">
        <v>99621</v>
      </c>
      <c r="B878" s="801" t="s">
        <v>3514</v>
      </c>
      <c r="C878" s="802">
        <v>3.2850000000000002E-4</v>
      </c>
      <c r="D878" s="802">
        <v>2.9550000000000003E-4</v>
      </c>
      <c r="E878" s="803">
        <v>133172.19</v>
      </c>
      <c r="F878" s="803">
        <v>132619</v>
      </c>
      <c r="G878" s="803">
        <v>697187</v>
      </c>
      <c r="H878" s="803"/>
      <c r="I878" s="804">
        <v>13098.9375</v>
      </c>
      <c r="J878" s="804">
        <v>610958</v>
      </c>
      <c r="K878" s="804">
        <v>47751</v>
      </c>
      <c r="L878" s="803">
        <v>25982</v>
      </c>
      <c r="M878" s="803"/>
      <c r="N878" s="804">
        <v>24430</v>
      </c>
      <c r="O878" s="804">
        <v>225501</v>
      </c>
      <c r="P878" s="804">
        <v>0</v>
      </c>
      <c r="Q878" s="803">
        <v>7236</v>
      </c>
      <c r="R878" s="803"/>
      <c r="S878" s="804">
        <v>186348</v>
      </c>
      <c r="T878" s="805">
        <v>6510</v>
      </c>
      <c r="U878" s="805">
        <v>192858</v>
      </c>
    </row>
    <row r="879" spans="1:21" x14ac:dyDescent="0.25">
      <c r="A879" s="800">
        <v>99623</v>
      </c>
      <c r="B879" s="801" t="s">
        <v>3515</v>
      </c>
      <c r="C879" s="802">
        <v>2.9200000000000002E-5</v>
      </c>
      <c r="D879" s="802">
        <v>2.1299999999999999E-5</v>
      </c>
      <c r="E879" s="803">
        <v>8301.6</v>
      </c>
      <c r="F879" s="803">
        <v>9559</v>
      </c>
      <c r="G879" s="803">
        <v>61972</v>
      </c>
      <c r="H879" s="803"/>
      <c r="I879" s="804">
        <v>1164</v>
      </c>
      <c r="J879" s="804">
        <v>54307</v>
      </c>
      <c r="K879" s="804">
        <v>4245</v>
      </c>
      <c r="L879" s="803">
        <v>3598</v>
      </c>
      <c r="M879" s="803"/>
      <c r="N879" s="804">
        <v>2172</v>
      </c>
      <c r="O879" s="804">
        <v>20045</v>
      </c>
      <c r="P879" s="804">
        <v>0</v>
      </c>
      <c r="Q879" s="803">
        <v>316</v>
      </c>
      <c r="R879" s="803"/>
      <c r="S879" s="804">
        <v>16564</v>
      </c>
      <c r="T879" s="805">
        <v>989</v>
      </c>
      <c r="U879" s="805">
        <v>17554</v>
      </c>
    </row>
    <row r="880" spans="1:21" x14ac:dyDescent="0.25">
      <c r="A880" s="800">
        <v>99631</v>
      </c>
      <c r="B880" s="801" t="s">
        <v>3516</v>
      </c>
      <c r="C880" s="802">
        <v>1.0340000000000001E-4</v>
      </c>
      <c r="D880" s="802">
        <v>9.8599999999999998E-5</v>
      </c>
      <c r="E880" s="803">
        <v>37652</v>
      </c>
      <c r="F880" s="803">
        <v>44251</v>
      </c>
      <c r="G880" s="803">
        <v>219449</v>
      </c>
      <c r="H880" s="803"/>
      <c r="I880" s="804">
        <v>4123</v>
      </c>
      <c r="J880" s="804">
        <v>192308</v>
      </c>
      <c r="K880" s="804">
        <v>15030</v>
      </c>
      <c r="L880" s="803">
        <v>0</v>
      </c>
      <c r="M880" s="803"/>
      <c r="N880" s="804">
        <v>7690</v>
      </c>
      <c r="O880" s="804">
        <v>70980</v>
      </c>
      <c r="P880" s="804">
        <v>0</v>
      </c>
      <c r="Q880" s="803">
        <v>9381</v>
      </c>
      <c r="R880" s="803"/>
      <c r="S880" s="804">
        <v>58656</v>
      </c>
      <c r="T880" s="805">
        <v>-4222</v>
      </c>
      <c r="U880" s="805">
        <v>54433</v>
      </c>
    </row>
    <row r="881" spans="1:21" x14ac:dyDescent="0.25">
      <c r="A881" s="800">
        <v>99651</v>
      </c>
      <c r="B881" s="801" t="s">
        <v>3517</v>
      </c>
      <c r="C881" s="802">
        <v>6.7100000000000005E-5</v>
      </c>
      <c r="D881" s="802">
        <v>5.7500000000000002E-5</v>
      </c>
      <c r="E881" s="803">
        <v>24617</v>
      </c>
      <c r="F881" s="803">
        <v>25806</v>
      </c>
      <c r="G881" s="803">
        <v>142409</v>
      </c>
      <c r="H881" s="803"/>
      <c r="I881" s="804">
        <v>2676</v>
      </c>
      <c r="J881" s="804">
        <v>124795</v>
      </c>
      <c r="K881" s="804">
        <v>9754</v>
      </c>
      <c r="L881" s="803">
        <v>8790</v>
      </c>
      <c r="M881" s="803"/>
      <c r="N881" s="804">
        <v>4990</v>
      </c>
      <c r="O881" s="804">
        <v>46061</v>
      </c>
      <c r="P881" s="804">
        <v>0</v>
      </c>
      <c r="Q881" s="803">
        <v>2840</v>
      </c>
      <c r="R881" s="803"/>
      <c r="S881" s="804">
        <v>38064</v>
      </c>
      <c r="T881" s="805">
        <v>1419</v>
      </c>
      <c r="U881" s="805">
        <v>39483</v>
      </c>
    </row>
    <row r="882" spans="1:21" x14ac:dyDescent="0.25">
      <c r="A882" s="800">
        <v>99661</v>
      </c>
      <c r="B882" s="801" t="s">
        <v>3518</v>
      </c>
      <c r="C882" s="802">
        <v>3.5500000000000002E-5</v>
      </c>
      <c r="D882" s="802">
        <v>3.4900000000000001E-5</v>
      </c>
      <c r="E882" s="803">
        <v>34311.1</v>
      </c>
      <c r="F882" s="803">
        <v>15663</v>
      </c>
      <c r="G882" s="803">
        <v>75343</v>
      </c>
      <c r="H882" s="803"/>
      <c r="I882" s="804">
        <v>1415.5625</v>
      </c>
      <c r="J882" s="804">
        <v>66024</v>
      </c>
      <c r="K882" s="804">
        <v>5160</v>
      </c>
      <c r="L882" s="803">
        <v>30447</v>
      </c>
      <c r="M882" s="803"/>
      <c r="N882" s="804">
        <v>2640</v>
      </c>
      <c r="O882" s="804">
        <v>24369</v>
      </c>
      <c r="P882" s="804">
        <v>0</v>
      </c>
      <c r="Q882" s="803">
        <v>0</v>
      </c>
      <c r="R882" s="803"/>
      <c r="S882" s="804">
        <v>20138</v>
      </c>
      <c r="T882" s="805">
        <v>9415</v>
      </c>
      <c r="U882" s="805">
        <v>29553</v>
      </c>
    </row>
    <row r="883" spans="1:21" x14ac:dyDescent="0.25">
      <c r="A883" s="800">
        <v>99701</v>
      </c>
      <c r="B883" s="801" t="s">
        <v>3519</v>
      </c>
      <c r="C883" s="802">
        <v>2.8774E-3</v>
      </c>
      <c r="D883" s="802">
        <v>2.7742000000000001E-3</v>
      </c>
      <c r="E883" s="803">
        <v>1127825</v>
      </c>
      <c r="F883" s="803">
        <v>1245044</v>
      </c>
      <c r="G883" s="803">
        <v>6106807</v>
      </c>
      <c r="H883" s="803"/>
      <c r="I883" s="804">
        <v>114736</v>
      </c>
      <c r="J883" s="804">
        <v>5351509</v>
      </c>
      <c r="K883" s="804">
        <v>418262</v>
      </c>
      <c r="L883" s="803">
        <v>31037</v>
      </c>
      <c r="M883" s="803"/>
      <c r="N883" s="804">
        <v>213989</v>
      </c>
      <c r="O883" s="804">
        <v>1975214</v>
      </c>
      <c r="P883" s="804">
        <v>0</v>
      </c>
      <c r="Q883" s="803">
        <v>19671</v>
      </c>
      <c r="R883" s="803"/>
      <c r="S883" s="804">
        <v>1632260</v>
      </c>
      <c r="T883" s="805">
        <v>-10</v>
      </c>
      <c r="U883" s="805">
        <v>1632250</v>
      </c>
    </row>
    <row r="884" spans="1:21" x14ac:dyDescent="0.25">
      <c r="A884" s="800">
        <v>99705</v>
      </c>
      <c r="B884" s="801" t="s">
        <v>3520</v>
      </c>
      <c r="C884" s="802">
        <v>1.7259999999999999E-4</v>
      </c>
      <c r="D884" s="802">
        <v>1.7660000000000001E-4</v>
      </c>
      <c r="E884" s="803">
        <v>76713.119999999995</v>
      </c>
      <c r="F884" s="803">
        <v>79257</v>
      </c>
      <c r="G884" s="803">
        <v>366315</v>
      </c>
      <c r="H884" s="803"/>
      <c r="I884" s="804">
        <v>6882</v>
      </c>
      <c r="J884" s="804">
        <v>321009</v>
      </c>
      <c r="K884" s="804">
        <v>25089</v>
      </c>
      <c r="L884" s="803">
        <v>11090</v>
      </c>
      <c r="M884" s="803"/>
      <c r="N884" s="804">
        <v>12836</v>
      </c>
      <c r="O884" s="804">
        <v>118483</v>
      </c>
      <c r="P884" s="804">
        <v>0</v>
      </c>
      <c r="Q884" s="803">
        <v>842</v>
      </c>
      <c r="R884" s="803"/>
      <c r="S884" s="804">
        <v>97911</v>
      </c>
      <c r="T884" s="805">
        <v>4693</v>
      </c>
      <c r="U884" s="805">
        <v>102604</v>
      </c>
    </row>
    <row r="885" spans="1:21" x14ac:dyDescent="0.25">
      <c r="A885" s="800">
        <v>99711</v>
      </c>
      <c r="B885" s="801" t="s">
        <v>3521</v>
      </c>
      <c r="C885" s="802">
        <v>4.3540000000000001E-4</v>
      </c>
      <c r="D885" s="802">
        <v>4.506E-4</v>
      </c>
      <c r="E885" s="803">
        <v>185440.27</v>
      </c>
      <c r="F885" s="803">
        <v>202227</v>
      </c>
      <c r="G885" s="803">
        <v>924065</v>
      </c>
      <c r="H885" s="803"/>
      <c r="I885" s="804">
        <v>17362</v>
      </c>
      <c r="J885" s="804">
        <v>809775</v>
      </c>
      <c r="K885" s="804">
        <v>63290</v>
      </c>
      <c r="L885" s="803">
        <v>1891</v>
      </c>
      <c r="M885" s="803"/>
      <c r="N885" s="804">
        <v>32380</v>
      </c>
      <c r="O885" s="804">
        <v>298884</v>
      </c>
      <c r="P885" s="804">
        <v>0</v>
      </c>
      <c r="Q885" s="803">
        <v>15994</v>
      </c>
      <c r="R885" s="803"/>
      <c r="S885" s="804">
        <v>246989</v>
      </c>
      <c r="T885" s="805">
        <v>-4419</v>
      </c>
      <c r="U885" s="805">
        <v>242569</v>
      </c>
    </row>
    <row r="886" spans="1:21" x14ac:dyDescent="0.25">
      <c r="A886" s="800">
        <v>99717</v>
      </c>
      <c r="B886" s="801" t="s">
        <v>3522</v>
      </c>
      <c r="C886" s="802">
        <v>2.3200000000000001E-5</v>
      </c>
      <c r="D886" s="802">
        <v>2.2399999999999999E-5</v>
      </c>
      <c r="E886" s="803">
        <v>7625</v>
      </c>
      <c r="F886" s="803">
        <v>10053</v>
      </c>
      <c r="G886" s="803">
        <v>49238</v>
      </c>
      <c r="H886" s="803"/>
      <c r="I886" s="804">
        <v>925.1</v>
      </c>
      <c r="J886" s="804">
        <v>43148</v>
      </c>
      <c r="K886" s="804">
        <v>3372</v>
      </c>
      <c r="L886" s="803">
        <v>0</v>
      </c>
      <c r="M886" s="803"/>
      <c r="N886" s="804">
        <v>1725</v>
      </c>
      <c r="O886" s="804">
        <v>15926</v>
      </c>
      <c r="P886" s="804">
        <v>0</v>
      </c>
      <c r="Q886" s="803">
        <v>2122</v>
      </c>
      <c r="R886" s="803"/>
      <c r="S886" s="804">
        <v>13161</v>
      </c>
      <c r="T886" s="805">
        <v>-653</v>
      </c>
      <c r="U886" s="805">
        <v>12508</v>
      </c>
    </row>
    <row r="887" spans="1:21" x14ac:dyDescent="0.25">
      <c r="A887" s="800">
        <v>99721</v>
      </c>
      <c r="B887" s="801" t="s">
        <v>3523</v>
      </c>
      <c r="C887" s="802">
        <v>6.2449999999999995E-4</v>
      </c>
      <c r="D887" s="802">
        <v>5.8460000000000001E-4</v>
      </c>
      <c r="E887" s="803">
        <v>220767.11</v>
      </c>
      <c r="F887" s="803">
        <v>262365</v>
      </c>
      <c r="G887" s="803">
        <v>1325398</v>
      </c>
      <c r="H887" s="803"/>
      <c r="I887" s="804">
        <v>24902</v>
      </c>
      <c r="J887" s="804">
        <v>1161471</v>
      </c>
      <c r="K887" s="804">
        <v>90778</v>
      </c>
      <c r="L887" s="803">
        <v>0</v>
      </c>
      <c r="M887" s="803"/>
      <c r="N887" s="804">
        <v>46443</v>
      </c>
      <c r="O887" s="804">
        <v>428693</v>
      </c>
      <c r="P887" s="804">
        <v>0</v>
      </c>
      <c r="Q887" s="803">
        <v>11340</v>
      </c>
      <c r="R887" s="803"/>
      <c r="S887" s="804">
        <v>354259</v>
      </c>
      <c r="T887" s="805">
        <v>-3889</v>
      </c>
      <c r="U887" s="805">
        <v>350371</v>
      </c>
    </row>
    <row r="888" spans="1:21" x14ac:dyDescent="0.25">
      <c r="A888" s="800">
        <v>99727</v>
      </c>
      <c r="B888" s="801" t="s">
        <v>3524</v>
      </c>
      <c r="C888" s="802">
        <v>2.5299999999999998E-5</v>
      </c>
      <c r="D888" s="802">
        <v>2.8099999999999999E-5</v>
      </c>
      <c r="E888" s="803">
        <v>45027.6</v>
      </c>
      <c r="F888" s="803">
        <v>12611</v>
      </c>
      <c r="G888" s="803">
        <v>53695</v>
      </c>
      <c r="H888" s="803"/>
      <c r="I888" s="804">
        <v>1008.8375</v>
      </c>
      <c r="J888" s="804">
        <v>47054</v>
      </c>
      <c r="K888" s="804">
        <v>3678</v>
      </c>
      <c r="L888" s="803">
        <v>46298</v>
      </c>
      <c r="M888" s="803"/>
      <c r="N888" s="804">
        <v>1882</v>
      </c>
      <c r="O888" s="804">
        <v>17367</v>
      </c>
      <c r="P888" s="804">
        <v>0</v>
      </c>
      <c r="Q888" s="803">
        <v>0</v>
      </c>
      <c r="R888" s="803"/>
      <c r="S888" s="804">
        <v>14352</v>
      </c>
      <c r="T888" s="805">
        <v>14150</v>
      </c>
      <c r="U888" s="805">
        <v>28501</v>
      </c>
    </row>
    <row r="889" spans="1:21" x14ac:dyDescent="0.25">
      <c r="A889" s="800">
        <v>99801</v>
      </c>
      <c r="B889" s="801" t="s">
        <v>3525</v>
      </c>
      <c r="C889" s="802">
        <v>5.1954999999999996E-3</v>
      </c>
      <c r="D889" s="802">
        <v>5.0806999999999996E-3</v>
      </c>
      <c r="E889" s="803">
        <v>2017956.21</v>
      </c>
      <c r="F889" s="803">
        <v>2280188</v>
      </c>
      <c r="G889" s="803">
        <v>11026591</v>
      </c>
      <c r="H889" s="803"/>
      <c r="I889" s="804">
        <v>207171</v>
      </c>
      <c r="J889" s="804">
        <v>9662809</v>
      </c>
      <c r="K889" s="804">
        <v>755223</v>
      </c>
      <c r="L889" s="803">
        <v>34255.86</v>
      </c>
      <c r="M889" s="803"/>
      <c r="N889" s="804">
        <v>386384</v>
      </c>
      <c r="O889" s="804">
        <v>3566493</v>
      </c>
      <c r="P889" s="804">
        <v>0</v>
      </c>
      <c r="Q889" s="803">
        <v>67721</v>
      </c>
      <c r="R889" s="803"/>
      <c r="S889" s="804">
        <v>2947246</v>
      </c>
      <c r="T889" s="805">
        <v>-3738</v>
      </c>
      <c r="U889" s="805">
        <v>2943508</v>
      </c>
    </row>
    <row r="890" spans="1:21" x14ac:dyDescent="0.25">
      <c r="A890" s="800">
        <v>99802</v>
      </c>
      <c r="B890" s="801" t="s">
        <v>3526</v>
      </c>
      <c r="C890" s="802">
        <v>6.4999999999999996E-6</v>
      </c>
      <c r="D890" s="802">
        <v>7.7000000000000008E-6</v>
      </c>
      <c r="E890" s="803">
        <v>3764</v>
      </c>
      <c r="F890" s="803">
        <v>3456</v>
      </c>
      <c r="G890" s="803">
        <v>13795</v>
      </c>
      <c r="H890" s="803"/>
      <c r="I890" s="804">
        <v>259.1875</v>
      </c>
      <c r="J890" s="804">
        <v>12089</v>
      </c>
      <c r="K890" s="804">
        <v>945</v>
      </c>
      <c r="L890" s="803">
        <v>358</v>
      </c>
      <c r="M890" s="803"/>
      <c r="N890" s="804">
        <v>483</v>
      </c>
      <c r="O890" s="804">
        <v>4462</v>
      </c>
      <c r="P890" s="804">
        <v>0</v>
      </c>
      <c r="Q890" s="803">
        <v>107</v>
      </c>
      <c r="R890" s="803"/>
      <c r="S890" s="804">
        <v>3687</v>
      </c>
      <c r="T890" s="805">
        <v>52</v>
      </c>
      <c r="U890" s="805">
        <v>3740</v>
      </c>
    </row>
    <row r="891" spans="1:21" x14ac:dyDescent="0.25">
      <c r="A891" s="800">
        <v>99804</v>
      </c>
      <c r="B891" s="801" t="s">
        <v>3527</v>
      </c>
      <c r="C891" s="802">
        <v>8.6600000000000004E-5</v>
      </c>
      <c r="D891" s="802">
        <v>8.7999999999999998E-5</v>
      </c>
      <c r="E891" s="803">
        <v>41607</v>
      </c>
      <c r="F891" s="803">
        <v>39494</v>
      </c>
      <c r="G891" s="803">
        <v>183794</v>
      </c>
      <c r="H891" s="803"/>
      <c r="I891" s="804">
        <v>3453</v>
      </c>
      <c r="J891" s="804">
        <v>161062</v>
      </c>
      <c r="K891" s="804">
        <v>12588</v>
      </c>
      <c r="L891" s="803">
        <v>10128</v>
      </c>
      <c r="M891" s="803"/>
      <c r="N891" s="804">
        <v>6440</v>
      </c>
      <c r="O891" s="804">
        <v>59447</v>
      </c>
      <c r="P891" s="804">
        <v>0</v>
      </c>
      <c r="Q891" s="803">
        <v>0</v>
      </c>
      <c r="R891" s="803"/>
      <c r="S891" s="804">
        <v>49125</v>
      </c>
      <c r="T891" s="805">
        <v>3221</v>
      </c>
      <c r="U891" s="805">
        <v>52347</v>
      </c>
    </row>
    <row r="892" spans="1:21" x14ac:dyDescent="0.25">
      <c r="A892" s="800">
        <v>99811</v>
      </c>
      <c r="B892" s="801" t="s">
        <v>3528</v>
      </c>
      <c r="C892" s="802">
        <v>6.8415000000000004E-3</v>
      </c>
      <c r="D892" s="802">
        <v>6.9579999999999998E-3</v>
      </c>
      <c r="E892" s="803">
        <v>2561770.62</v>
      </c>
      <c r="F892" s="803">
        <v>3122709</v>
      </c>
      <c r="G892" s="803">
        <v>14519955</v>
      </c>
      <c r="H892" s="803"/>
      <c r="I892" s="804">
        <v>272805</v>
      </c>
      <c r="J892" s="804">
        <v>12724109</v>
      </c>
      <c r="K892" s="804">
        <v>994487</v>
      </c>
      <c r="L892" s="803">
        <v>0</v>
      </c>
      <c r="M892" s="803"/>
      <c r="N892" s="804">
        <v>508796</v>
      </c>
      <c r="O892" s="804">
        <v>4696402</v>
      </c>
      <c r="P892" s="804">
        <v>0</v>
      </c>
      <c r="Q892" s="803">
        <v>526561</v>
      </c>
      <c r="R892" s="803"/>
      <c r="S892" s="804">
        <v>3880971</v>
      </c>
      <c r="T892" s="805">
        <v>-175139</v>
      </c>
      <c r="U892" s="805">
        <v>3705832</v>
      </c>
    </row>
    <row r="893" spans="1:21" x14ac:dyDescent="0.25">
      <c r="A893" s="800">
        <v>99812</v>
      </c>
      <c r="B893" s="801" t="s">
        <v>3529</v>
      </c>
      <c r="C893" s="802">
        <v>2.5599999999999999E-5</v>
      </c>
      <c r="D893" s="802">
        <v>2.7399999999999999E-5</v>
      </c>
      <c r="E893" s="803">
        <v>18003</v>
      </c>
      <c r="F893" s="803">
        <v>12297</v>
      </c>
      <c r="G893" s="803">
        <v>54332</v>
      </c>
      <c r="H893" s="803"/>
      <c r="I893" s="804">
        <v>1020.8</v>
      </c>
      <c r="J893" s="804">
        <v>47612</v>
      </c>
      <c r="K893" s="804">
        <v>3721</v>
      </c>
      <c r="L893" s="803">
        <v>8899</v>
      </c>
      <c r="M893" s="803"/>
      <c r="N893" s="804">
        <v>1904</v>
      </c>
      <c r="O893" s="804">
        <v>17573</v>
      </c>
      <c r="P893" s="804">
        <v>0</v>
      </c>
      <c r="Q893" s="803">
        <v>0</v>
      </c>
      <c r="R893" s="803"/>
      <c r="S893" s="804">
        <v>14522</v>
      </c>
      <c r="T893" s="805">
        <v>2839</v>
      </c>
      <c r="U893" s="805">
        <v>17361</v>
      </c>
    </row>
    <row r="894" spans="1:21" x14ac:dyDescent="0.25">
      <c r="A894" s="800">
        <v>99818</v>
      </c>
      <c r="B894" s="801" t="s">
        <v>3530</v>
      </c>
      <c r="C894" s="802">
        <v>3.7700000000000002E-5</v>
      </c>
      <c r="D894" s="802">
        <v>4.4199999999999997E-5</v>
      </c>
      <c r="E894" s="803">
        <v>16175</v>
      </c>
      <c r="F894" s="803">
        <v>19837</v>
      </c>
      <c r="G894" s="803">
        <v>80012</v>
      </c>
      <c r="H894" s="803"/>
      <c r="I894" s="804">
        <v>1503</v>
      </c>
      <c r="J894" s="804">
        <v>70116</v>
      </c>
      <c r="K894" s="804">
        <v>5480</v>
      </c>
      <c r="L894" s="803">
        <v>5574</v>
      </c>
      <c r="M894" s="803"/>
      <c r="N894" s="804">
        <v>2804</v>
      </c>
      <c r="O894" s="804">
        <v>25879</v>
      </c>
      <c r="P894" s="804">
        <v>0</v>
      </c>
      <c r="Q894" s="803">
        <v>2988</v>
      </c>
      <c r="R894" s="803"/>
      <c r="S894" s="804">
        <v>21386</v>
      </c>
      <c r="T894" s="805">
        <v>1745</v>
      </c>
      <c r="U894" s="805">
        <v>23131</v>
      </c>
    </row>
    <row r="895" spans="1:21" x14ac:dyDescent="0.25">
      <c r="A895" s="800">
        <v>99821</v>
      </c>
      <c r="B895" s="801" t="s">
        <v>3531</v>
      </c>
      <c r="C895" s="802">
        <v>8.2899999999999996E-5</v>
      </c>
      <c r="D895" s="802">
        <v>8.42E-5</v>
      </c>
      <c r="E895" s="803">
        <v>42679.99</v>
      </c>
      <c r="F895" s="803">
        <v>37788</v>
      </c>
      <c r="G895" s="803">
        <v>175942</v>
      </c>
      <c r="H895" s="803"/>
      <c r="I895" s="804">
        <v>3306</v>
      </c>
      <c r="J895" s="804">
        <v>154181</v>
      </c>
      <c r="K895" s="804">
        <v>12050</v>
      </c>
      <c r="L895" s="803">
        <v>17868</v>
      </c>
      <c r="M895" s="803"/>
      <c r="N895" s="804">
        <v>6165</v>
      </c>
      <c r="O895" s="804">
        <v>56907</v>
      </c>
      <c r="P895" s="804">
        <v>0</v>
      </c>
      <c r="Q895" s="803">
        <v>860</v>
      </c>
      <c r="R895" s="803"/>
      <c r="S895" s="804">
        <v>47027</v>
      </c>
      <c r="T895" s="805">
        <v>7184</v>
      </c>
      <c r="U895" s="805">
        <v>54211</v>
      </c>
    </row>
    <row r="896" spans="1:21" x14ac:dyDescent="0.25">
      <c r="A896" s="800">
        <v>99831</v>
      </c>
      <c r="B896" s="801" t="s">
        <v>3532</v>
      </c>
      <c r="C896" s="802">
        <v>5.5899999999999997E-5</v>
      </c>
      <c r="D896" s="802">
        <v>5.0699999999999999E-5</v>
      </c>
      <c r="E896" s="803">
        <v>23539.8</v>
      </c>
      <c r="F896" s="803">
        <v>22754</v>
      </c>
      <c r="G896" s="803">
        <v>118639</v>
      </c>
      <c r="H896" s="803"/>
      <c r="I896" s="804">
        <v>2229</v>
      </c>
      <c r="J896" s="804">
        <v>103965</v>
      </c>
      <c r="K896" s="804">
        <v>8126</v>
      </c>
      <c r="L896" s="803">
        <v>3830</v>
      </c>
      <c r="M896" s="803"/>
      <c r="N896" s="804">
        <v>4157</v>
      </c>
      <c r="O896" s="804">
        <v>38373</v>
      </c>
      <c r="P896" s="804">
        <v>0</v>
      </c>
      <c r="Q896" s="803">
        <v>873</v>
      </c>
      <c r="R896" s="803"/>
      <c r="S896" s="804">
        <v>31710</v>
      </c>
      <c r="T896" s="805">
        <v>823</v>
      </c>
      <c r="U896" s="805">
        <v>32533</v>
      </c>
    </row>
    <row r="897" spans="1:21" x14ac:dyDescent="0.25">
      <c r="A897" s="800">
        <v>99841</v>
      </c>
      <c r="B897" s="801" t="s">
        <v>3533</v>
      </c>
      <c r="C897" s="802">
        <v>4.6E-5</v>
      </c>
      <c r="D897" s="802">
        <v>4.6699999999999997E-5</v>
      </c>
      <c r="E897" s="803">
        <v>18090.39</v>
      </c>
      <c r="F897" s="803">
        <v>20959</v>
      </c>
      <c r="G897" s="803">
        <v>97627.41</v>
      </c>
      <c r="H897" s="803"/>
      <c r="I897" s="804">
        <v>1834.25</v>
      </c>
      <c r="J897" s="804">
        <v>85553</v>
      </c>
      <c r="K897" s="804">
        <v>6687</v>
      </c>
      <c r="L897" s="803">
        <v>1970</v>
      </c>
      <c r="M897" s="803"/>
      <c r="N897" s="804">
        <v>3421</v>
      </c>
      <c r="O897" s="804">
        <v>31577</v>
      </c>
      <c r="P897" s="804">
        <v>0</v>
      </c>
      <c r="Q897" s="803">
        <v>3207</v>
      </c>
      <c r="R897" s="803"/>
      <c r="S897" s="804">
        <v>26094</v>
      </c>
      <c r="T897" s="805">
        <v>-661</v>
      </c>
      <c r="U897" s="805">
        <v>25434</v>
      </c>
    </row>
    <row r="898" spans="1:21" x14ac:dyDescent="0.25">
      <c r="A898" s="800">
        <v>99851</v>
      </c>
      <c r="B898" s="801" t="s">
        <v>3534</v>
      </c>
      <c r="C898" s="802">
        <v>2.1999999999999999E-5</v>
      </c>
      <c r="D898" s="802">
        <v>2.0299999999999999E-5</v>
      </c>
      <c r="E898" s="803">
        <v>6172</v>
      </c>
      <c r="F898" s="803">
        <v>9111</v>
      </c>
      <c r="G898" s="803">
        <v>46691</v>
      </c>
      <c r="H898" s="803"/>
      <c r="I898" s="804">
        <v>877.25</v>
      </c>
      <c r="J898" s="804">
        <v>40917</v>
      </c>
      <c r="K898" s="804">
        <v>3198</v>
      </c>
      <c r="L898" s="803">
        <v>221</v>
      </c>
      <c r="M898" s="803"/>
      <c r="N898" s="804">
        <v>1636</v>
      </c>
      <c r="O898" s="804">
        <v>15102</v>
      </c>
      <c r="P898" s="804">
        <v>0</v>
      </c>
      <c r="Q898" s="803">
        <v>1432</v>
      </c>
      <c r="R898" s="803"/>
      <c r="S898" s="804">
        <v>12480</v>
      </c>
      <c r="T898" s="805">
        <v>-310</v>
      </c>
      <c r="U898" s="805">
        <v>12170</v>
      </c>
    </row>
    <row r="899" spans="1:21" x14ac:dyDescent="0.25">
      <c r="A899" s="800">
        <v>99901</v>
      </c>
      <c r="B899" s="801" t="s">
        <v>3535</v>
      </c>
      <c r="C899" s="802">
        <v>1.6371999999999999E-3</v>
      </c>
      <c r="D899" s="802">
        <v>1.5259E-3</v>
      </c>
      <c r="E899" s="803">
        <v>635103.91</v>
      </c>
      <c r="F899" s="803">
        <v>684815</v>
      </c>
      <c r="G899" s="803">
        <v>3474687</v>
      </c>
      <c r="H899" s="803"/>
      <c r="I899" s="804">
        <v>65283.35</v>
      </c>
      <c r="J899" s="804">
        <v>3044933</v>
      </c>
      <c r="K899" s="804">
        <v>237985</v>
      </c>
      <c r="L899" s="803">
        <v>67178</v>
      </c>
      <c r="M899" s="803"/>
      <c r="N899" s="804">
        <v>121757</v>
      </c>
      <c r="O899" s="804">
        <v>1123869</v>
      </c>
      <c r="P899" s="804">
        <v>0</v>
      </c>
      <c r="Q899" s="803">
        <v>24162.58</v>
      </c>
      <c r="R899" s="803"/>
      <c r="S899" s="804">
        <v>928733</v>
      </c>
      <c r="T899" s="805">
        <v>8817</v>
      </c>
      <c r="U899" s="805">
        <v>937550</v>
      </c>
    </row>
    <row r="900" spans="1:21" x14ac:dyDescent="0.25">
      <c r="A900" s="800">
        <v>99911</v>
      </c>
      <c r="B900" s="801" t="s">
        <v>3536</v>
      </c>
      <c r="C900" s="802">
        <v>2.5520000000000002E-4</v>
      </c>
      <c r="D900" s="802">
        <v>2.766E-4</v>
      </c>
      <c r="E900" s="803">
        <v>106882</v>
      </c>
      <c r="F900" s="803">
        <v>124136</v>
      </c>
      <c r="G900" s="803">
        <v>541620</v>
      </c>
      <c r="H900" s="803"/>
      <c r="I900" s="804">
        <v>10176.1</v>
      </c>
      <c r="J900" s="804">
        <v>474632</v>
      </c>
      <c r="K900" s="804">
        <v>37096</v>
      </c>
      <c r="L900" s="803">
        <v>2863</v>
      </c>
      <c r="M900" s="803"/>
      <c r="N900" s="804">
        <v>18979</v>
      </c>
      <c r="O900" s="804">
        <v>175184</v>
      </c>
      <c r="P900" s="804">
        <v>0</v>
      </c>
      <c r="Q900" s="803">
        <v>20527</v>
      </c>
      <c r="R900" s="803"/>
      <c r="S900" s="804">
        <v>144767</v>
      </c>
      <c r="T900" s="805">
        <v>-6851</v>
      </c>
      <c r="U900" s="805">
        <v>137916</v>
      </c>
    </row>
    <row r="901" spans="1:21" x14ac:dyDescent="0.25">
      <c r="A901" s="800">
        <v>99921</v>
      </c>
      <c r="B901" s="801" t="s">
        <v>3537</v>
      </c>
      <c r="C901" s="807">
        <v>1.5129999999999999E-4</v>
      </c>
      <c r="D901" s="807">
        <v>1.3889999999999999E-4</v>
      </c>
      <c r="E901" s="803">
        <v>55802.77</v>
      </c>
      <c r="F901" s="803">
        <v>62337</v>
      </c>
      <c r="G901" s="808">
        <v>321109</v>
      </c>
      <c r="H901" s="808"/>
      <c r="I901" s="809">
        <v>6033</v>
      </c>
      <c r="J901" s="809">
        <v>281394</v>
      </c>
      <c r="K901" s="809">
        <v>21993</v>
      </c>
      <c r="L901" s="808">
        <v>4809</v>
      </c>
      <c r="M901" s="808"/>
      <c r="N901" s="809">
        <v>11252</v>
      </c>
      <c r="O901" s="809">
        <v>103861</v>
      </c>
      <c r="P901" s="809">
        <v>0</v>
      </c>
      <c r="Q901" s="808">
        <v>7353</v>
      </c>
      <c r="R901" s="808"/>
      <c r="S901" s="809">
        <v>85828</v>
      </c>
      <c r="T901" s="810">
        <v>-2145</v>
      </c>
      <c r="U901" s="810">
        <v>83683</v>
      </c>
    </row>
    <row r="902" spans="1:21" s="795" customFormat="1" x14ac:dyDescent="0.25">
      <c r="A902" s="800">
        <v>99931</v>
      </c>
      <c r="B902" s="811" t="s">
        <v>3538</v>
      </c>
      <c r="C902" s="812">
        <v>2.51E-5</v>
      </c>
      <c r="D902" s="812">
        <v>2.5700000000000001E-5</v>
      </c>
      <c r="E902" s="803">
        <v>9194.32</v>
      </c>
      <c r="F902" s="803">
        <v>11534</v>
      </c>
      <c r="G902" s="813">
        <v>53271</v>
      </c>
      <c r="H902" s="813"/>
      <c r="I902" s="813">
        <v>1000.8625</v>
      </c>
      <c r="J902" s="813">
        <v>46682</v>
      </c>
      <c r="K902" s="813">
        <v>3649</v>
      </c>
      <c r="L902" s="813">
        <v>0</v>
      </c>
      <c r="N902" s="813">
        <v>1867</v>
      </c>
      <c r="O902" s="813">
        <v>17230</v>
      </c>
      <c r="P902" s="814">
        <v>0</v>
      </c>
      <c r="Q902" s="813">
        <v>5581</v>
      </c>
      <c r="R902" s="813"/>
      <c r="S902" s="813">
        <v>14238</v>
      </c>
      <c r="T902" s="813">
        <v>-2038</v>
      </c>
      <c r="U902" s="813">
        <v>12201</v>
      </c>
    </row>
    <row r="903" spans="1:21" x14ac:dyDescent="0.25">
      <c r="A903" s="806">
        <v>99941</v>
      </c>
      <c r="B903" s="796" t="s">
        <v>3539</v>
      </c>
      <c r="C903" s="807">
        <v>7.8200000000000003E-5</v>
      </c>
      <c r="D903" s="807">
        <v>8.7899999999999995E-5</v>
      </c>
      <c r="E903" s="803">
        <v>27969.51</v>
      </c>
      <c r="F903" s="803">
        <v>39449</v>
      </c>
      <c r="G903" s="813">
        <v>165967</v>
      </c>
      <c r="H903" s="813"/>
      <c r="I903" s="813">
        <v>3118</v>
      </c>
      <c r="J903" s="813">
        <v>145440</v>
      </c>
      <c r="K903" s="813">
        <v>11367</v>
      </c>
      <c r="L903" s="813">
        <v>0</v>
      </c>
      <c r="N903" s="813">
        <v>5816</v>
      </c>
      <c r="O903" s="813">
        <v>53681</v>
      </c>
      <c r="P903" s="814">
        <v>0</v>
      </c>
      <c r="Q903" s="813">
        <v>11883</v>
      </c>
      <c r="R903" s="813"/>
      <c r="S903" s="813">
        <v>44360</v>
      </c>
      <c r="T903" s="813">
        <v>-3675</v>
      </c>
      <c r="U903" s="813">
        <v>40686</v>
      </c>
    </row>
    <row r="904" spans="1:21" x14ac:dyDescent="0.25">
      <c r="A904" s="806">
        <v>99991</v>
      </c>
      <c r="B904" s="796" t="s">
        <v>3540</v>
      </c>
      <c r="C904" s="807">
        <v>5.6990000000000003E-4</v>
      </c>
      <c r="D904" s="807">
        <v>5.1539999999999995E-4</v>
      </c>
      <c r="E904" s="803">
        <v>214761.88</v>
      </c>
      <c r="F904" s="803">
        <v>231308</v>
      </c>
      <c r="G904" s="813">
        <v>1209519</v>
      </c>
      <c r="H904" s="813"/>
      <c r="I904" s="813">
        <v>22725</v>
      </c>
      <c r="J904" s="813">
        <v>1059924</v>
      </c>
      <c r="K904" s="813">
        <v>82841</v>
      </c>
      <c r="L904" s="813">
        <v>48305</v>
      </c>
      <c r="N904" s="813">
        <v>42383</v>
      </c>
      <c r="O904" s="813">
        <v>391212</v>
      </c>
      <c r="P904" s="814">
        <v>0</v>
      </c>
      <c r="Q904" s="813">
        <v>0</v>
      </c>
      <c r="R904" s="813"/>
      <c r="S904" s="813">
        <v>323287</v>
      </c>
      <c r="T904" s="813">
        <v>19414</v>
      </c>
      <c r="U904" s="813">
        <v>342701</v>
      </c>
    </row>
    <row r="905" spans="1:21" x14ac:dyDescent="0.25">
      <c r="A905" s="806">
        <v>99999</v>
      </c>
      <c r="B905" s="796" t="s">
        <v>3541</v>
      </c>
      <c r="C905" s="807">
        <v>1.0101000000000001E-3</v>
      </c>
      <c r="D905" s="807">
        <v>9.3599999999999998E-4</v>
      </c>
      <c r="E905" s="803">
        <v>441362</v>
      </c>
      <c r="F905" s="803">
        <v>420071</v>
      </c>
      <c r="G905" s="813">
        <v>2143771</v>
      </c>
      <c r="H905" s="813"/>
      <c r="I905" s="813">
        <v>40278</v>
      </c>
      <c r="J905" s="813">
        <v>1878626</v>
      </c>
      <c r="K905" s="813">
        <v>146829</v>
      </c>
      <c r="L905" s="813">
        <v>111413</v>
      </c>
      <c r="N905" s="813">
        <v>75120</v>
      </c>
      <c r="O905" s="813">
        <v>693391</v>
      </c>
      <c r="P905" s="814">
        <v>0</v>
      </c>
      <c r="Q905" s="813">
        <v>43600.9</v>
      </c>
      <c r="R905" s="813"/>
      <c r="S905" s="813">
        <v>572998</v>
      </c>
      <c r="T905" s="813">
        <v>11793</v>
      </c>
      <c r="U905" s="813">
        <v>584791</v>
      </c>
    </row>
    <row r="906" spans="1:21" x14ac:dyDescent="0.25">
      <c r="A906" s="815" t="s">
        <v>2647</v>
      </c>
      <c r="B906" s="773" t="s">
        <v>2646</v>
      </c>
      <c r="C906" s="802">
        <v>2.3587E-3</v>
      </c>
      <c r="D906" s="802">
        <v>2.3326000000000002E-3</v>
      </c>
      <c r="E906" s="803">
        <v>908617.53</v>
      </c>
      <c r="F906" s="803">
        <v>1046857</v>
      </c>
      <c r="G906" s="803">
        <v>5005952</v>
      </c>
      <c r="H906" s="803"/>
      <c r="I906" s="804">
        <v>94053</v>
      </c>
      <c r="J906" s="804">
        <v>4386809</v>
      </c>
      <c r="K906" s="804">
        <v>342863</v>
      </c>
      <c r="L906" s="803">
        <v>35812.04</v>
      </c>
      <c r="M906" s="803"/>
      <c r="N906" s="804">
        <v>175414</v>
      </c>
      <c r="O906" s="804">
        <v>1619148</v>
      </c>
      <c r="P906" s="804">
        <v>0</v>
      </c>
      <c r="Q906" s="803">
        <v>44222</v>
      </c>
      <c r="R906" s="803"/>
      <c r="S906" s="804">
        <v>1338017</v>
      </c>
      <c r="T906" s="805">
        <v>5621</v>
      </c>
      <c r="U906" s="805">
        <v>1343639</v>
      </c>
    </row>
    <row r="907" spans="1:21" x14ac:dyDescent="0.25">
      <c r="B907" s="817" t="s">
        <v>2052</v>
      </c>
      <c r="C907" s="818">
        <f>SUM(C7:C905)</f>
        <v>1</v>
      </c>
      <c r="D907" s="818">
        <f>SUM(D7:D905)</f>
        <v>1</v>
      </c>
      <c r="E907" s="819">
        <f>SUM(E7:E905)</f>
        <v>411243363</v>
      </c>
      <c r="F907" s="819">
        <f>SUM(F7:F905)</f>
        <v>448793979</v>
      </c>
      <c r="G907" s="819">
        <f>SUM(G7:G905)</f>
        <v>2122335002</v>
      </c>
      <c r="H907" s="819"/>
      <c r="I907" s="819">
        <f>SUM(I7:I905)</f>
        <v>39875005</v>
      </c>
      <c r="J907" s="819">
        <f>SUM(J7:J905)</f>
        <v>1859842000</v>
      </c>
      <c r="K907" s="819">
        <f>SUM(K7:K905)</f>
        <v>145360990</v>
      </c>
      <c r="L907" s="819">
        <f>SUM(L7:L905)</f>
        <v>47059867</v>
      </c>
      <c r="M907" s="819"/>
      <c r="N907" s="819">
        <f>SUM(N7:N905)</f>
        <v>74369003</v>
      </c>
      <c r="O907" s="819">
        <f>SUM(O7:O905)</f>
        <v>686457998</v>
      </c>
      <c r="P907" s="819">
        <f>SUM(P7:P905)</f>
        <v>0</v>
      </c>
      <c r="Q907" s="819">
        <f>SUM(Q7:Q905)</f>
        <v>47059539</v>
      </c>
      <c r="R907" s="819"/>
      <c r="S907" s="819">
        <f>SUM(S7:S905)</f>
        <v>567268993</v>
      </c>
      <c r="T907" s="819">
        <f>SUM(T7:T905)</f>
        <v>95</v>
      </c>
      <c r="U907" s="819">
        <f>SUM(U7:U905)</f>
        <v>567269105</v>
      </c>
    </row>
    <row r="908" spans="1:21" x14ac:dyDescent="0.25">
      <c r="G908" s="820"/>
      <c r="H908" s="820"/>
      <c r="I908" s="820"/>
      <c r="J908" s="820"/>
      <c r="K908" s="820"/>
      <c r="L908" s="820"/>
      <c r="M908" s="820"/>
      <c r="N908" s="820"/>
      <c r="O908" s="820"/>
      <c r="P908" s="820"/>
      <c r="Q908" s="820"/>
      <c r="R908" s="820"/>
      <c r="S908" s="820"/>
      <c r="T908" s="820"/>
      <c r="U908" s="820"/>
    </row>
    <row r="909" spans="1:21" x14ac:dyDescent="0.25">
      <c r="G909" s="821"/>
      <c r="H909" s="821"/>
      <c r="I909" s="821"/>
      <c r="J909" s="821"/>
      <c r="K909" s="821"/>
      <c r="L909" s="821"/>
      <c r="M909" s="821"/>
      <c r="N909" s="821"/>
      <c r="O909" s="821"/>
      <c r="P909" s="821"/>
      <c r="Q909" s="821"/>
      <c r="R909" s="821"/>
      <c r="S909" s="821"/>
      <c r="T909" s="821"/>
      <c r="U909" s="821"/>
    </row>
    <row r="910" spans="1:21" x14ac:dyDescent="0.25">
      <c r="B910" s="796" t="s">
        <v>2112</v>
      </c>
      <c r="C910" s="798" t="s">
        <v>837</v>
      </c>
    </row>
    <row r="911" spans="1:21" x14ac:dyDescent="0.25">
      <c r="B911" s="796" t="s">
        <v>1728</v>
      </c>
      <c r="C911" s="800">
        <v>96331</v>
      </c>
    </row>
    <row r="912" spans="1:21" x14ac:dyDescent="0.25">
      <c r="B912" s="796" t="s">
        <v>1607</v>
      </c>
      <c r="C912" s="800">
        <v>94611</v>
      </c>
    </row>
    <row r="913" spans="2:21" x14ac:dyDescent="0.25">
      <c r="B913" s="796" t="s">
        <v>1489</v>
      </c>
      <c r="C913" s="800">
        <v>93402</v>
      </c>
      <c r="G913" s="795"/>
      <c r="H913" s="795"/>
      <c r="I913" s="795"/>
      <c r="J913" s="795"/>
      <c r="K913" s="795"/>
      <c r="L913" s="795"/>
      <c r="M913" s="795"/>
      <c r="N913" s="795"/>
      <c r="O913" s="795"/>
      <c r="P913" s="795"/>
      <c r="Q913" s="795"/>
      <c r="R913" s="795"/>
      <c r="S913" s="795"/>
      <c r="T913" s="795"/>
      <c r="U913" s="795"/>
    </row>
    <row r="914" spans="2:21" x14ac:dyDescent="0.25">
      <c r="B914" s="796" t="s">
        <v>1550</v>
      </c>
      <c r="C914" s="800">
        <v>94109</v>
      </c>
      <c r="D914" s="822"/>
      <c r="E914" s="822"/>
      <c r="F914" s="822"/>
    </row>
    <row r="915" spans="2:21" x14ac:dyDescent="0.25">
      <c r="B915" s="796" t="s">
        <v>1194</v>
      </c>
      <c r="C915" s="800">
        <v>90101</v>
      </c>
      <c r="D915" s="822"/>
      <c r="E915" s="822"/>
      <c r="F915" s="822"/>
    </row>
    <row r="916" spans="2:21" x14ac:dyDescent="0.25">
      <c r="B916" s="796" t="s">
        <v>3542</v>
      </c>
      <c r="C916" s="800">
        <v>90117</v>
      </c>
      <c r="D916" s="822"/>
      <c r="E916" s="822"/>
      <c r="F916" s="822"/>
    </row>
    <row r="917" spans="2:21" x14ac:dyDescent="0.25">
      <c r="B917" s="796" t="s">
        <v>1200</v>
      </c>
      <c r="C917" s="800">
        <v>90151</v>
      </c>
      <c r="D917" s="822"/>
      <c r="E917" s="822"/>
      <c r="F917" s="822"/>
    </row>
    <row r="918" spans="2:21" x14ac:dyDescent="0.25">
      <c r="B918" s="796" t="s">
        <v>1927</v>
      </c>
      <c r="C918" s="800">
        <v>98417</v>
      </c>
      <c r="D918" s="822"/>
      <c r="E918" s="822"/>
      <c r="F918" s="822"/>
    </row>
    <row r="919" spans="2:21" x14ac:dyDescent="0.25">
      <c r="B919" s="796" t="s">
        <v>1790</v>
      </c>
      <c r="C919" s="800">
        <v>97008</v>
      </c>
      <c r="D919" s="822"/>
      <c r="E919" s="822"/>
      <c r="F919" s="822"/>
    </row>
    <row r="920" spans="2:21" x14ac:dyDescent="0.25">
      <c r="B920" s="796" t="s">
        <v>1791</v>
      </c>
      <c r="C920" s="800">
        <v>97010</v>
      </c>
      <c r="D920" s="822"/>
      <c r="E920" s="822"/>
      <c r="F920" s="822"/>
    </row>
    <row r="921" spans="2:21" x14ac:dyDescent="0.25">
      <c r="B921" s="796" t="s">
        <v>3543</v>
      </c>
      <c r="C921" s="800">
        <v>90096</v>
      </c>
      <c r="D921" s="822"/>
      <c r="E921" s="822"/>
      <c r="F921" s="822"/>
    </row>
    <row r="922" spans="2:21" x14ac:dyDescent="0.25">
      <c r="B922" s="796" t="s">
        <v>1241</v>
      </c>
      <c r="C922" s="800">
        <v>90805</v>
      </c>
      <c r="D922" s="822"/>
      <c r="E922" s="822"/>
      <c r="F922" s="822"/>
    </row>
    <row r="923" spans="2:21" x14ac:dyDescent="0.25">
      <c r="B923" s="796" t="s">
        <v>1381</v>
      </c>
      <c r="C923" s="800">
        <v>92109</v>
      </c>
      <c r="D923" s="822"/>
      <c r="E923" s="822"/>
      <c r="F923" s="822"/>
    </row>
    <row r="924" spans="2:21" x14ac:dyDescent="0.25">
      <c r="B924" s="796" t="s">
        <v>1926</v>
      </c>
      <c r="C924" s="800">
        <v>98411</v>
      </c>
      <c r="D924" s="822"/>
      <c r="E924" s="822"/>
      <c r="F924" s="822"/>
    </row>
    <row r="925" spans="2:21" x14ac:dyDescent="0.25">
      <c r="B925" s="796" t="s">
        <v>1202</v>
      </c>
      <c r="C925" s="800">
        <v>90201</v>
      </c>
      <c r="D925" s="822"/>
      <c r="E925" s="822"/>
      <c r="F925" s="822"/>
    </row>
    <row r="926" spans="2:21" x14ac:dyDescent="0.25">
      <c r="B926" s="796" t="s">
        <v>1203</v>
      </c>
      <c r="C926" s="800">
        <v>90203</v>
      </c>
      <c r="D926" s="822"/>
      <c r="E926" s="822"/>
      <c r="F926" s="822"/>
    </row>
    <row r="927" spans="2:21" x14ac:dyDescent="0.25">
      <c r="B927" s="796" t="s">
        <v>1204</v>
      </c>
      <c r="C927" s="800">
        <v>90205</v>
      </c>
    </row>
    <row r="928" spans="2:21" x14ac:dyDescent="0.25">
      <c r="B928" s="796" t="s">
        <v>1205</v>
      </c>
      <c r="C928" s="800">
        <v>90206</v>
      </c>
      <c r="D928" s="822"/>
      <c r="E928" s="822"/>
      <c r="F928" s="822"/>
    </row>
    <row r="929" spans="2:6" x14ac:dyDescent="0.25">
      <c r="B929" s="796" t="s">
        <v>1207</v>
      </c>
      <c r="C929" s="800">
        <v>90301</v>
      </c>
    </row>
    <row r="930" spans="2:6" x14ac:dyDescent="0.25">
      <c r="B930" s="796" t="s">
        <v>1473</v>
      </c>
      <c r="C930" s="800">
        <v>93209</v>
      </c>
      <c r="D930" s="822"/>
      <c r="E930" s="822"/>
      <c r="F930" s="822"/>
    </row>
    <row r="931" spans="2:6" x14ac:dyDescent="0.25">
      <c r="B931" s="796" t="s">
        <v>1378</v>
      </c>
      <c r="C931" s="800">
        <v>92021</v>
      </c>
    </row>
    <row r="932" spans="2:6" x14ac:dyDescent="0.25">
      <c r="B932" s="796" t="s">
        <v>1581</v>
      </c>
      <c r="C932" s="800">
        <v>94347</v>
      </c>
    </row>
    <row r="933" spans="2:6" x14ac:dyDescent="0.25">
      <c r="B933" s="796" t="s">
        <v>1582</v>
      </c>
      <c r="C933" s="800">
        <v>94351</v>
      </c>
    </row>
    <row r="934" spans="2:6" x14ac:dyDescent="0.25">
      <c r="B934" s="796" t="s">
        <v>1210</v>
      </c>
      <c r="C934" s="800">
        <v>90401</v>
      </c>
    </row>
    <row r="935" spans="2:6" x14ac:dyDescent="0.25">
      <c r="B935" s="796" t="s">
        <v>1217</v>
      </c>
      <c r="C935" s="800">
        <v>90451</v>
      </c>
    </row>
    <row r="936" spans="2:6" x14ac:dyDescent="0.25">
      <c r="B936" s="796" t="s">
        <v>1995</v>
      </c>
      <c r="C936" s="800">
        <v>99271</v>
      </c>
    </row>
    <row r="937" spans="2:6" x14ac:dyDescent="0.25">
      <c r="B937" s="796" t="s">
        <v>1193</v>
      </c>
      <c r="C937" s="800">
        <v>90099</v>
      </c>
    </row>
    <row r="938" spans="2:6" x14ac:dyDescent="0.25">
      <c r="B938" s="796" t="s">
        <v>2030</v>
      </c>
      <c r="C938" s="800">
        <v>99705</v>
      </c>
    </row>
    <row r="939" spans="2:6" x14ac:dyDescent="0.25">
      <c r="B939" s="796" t="s">
        <v>1841</v>
      </c>
      <c r="C939" s="800">
        <v>97651</v>
      </c>
    </row>
    <row r="940" spans="2:6" x14ac:dyDescent="0.25">
      <c r="B940" s="796" t="s">
        <v>1636</v>
      </c>
      <c r="C940" s="800">
        <v>95106</v>
      </c>
    </row>
    <row r="941" spans="2:6" x14ac:dyDescent="0.25">
      <c r="B941" s="796" t="s">
        <v>1219</v>
      </c>
      <c r="C941" s="800">
        <v>90501</v>
      </c>
    </row>
    <row r="942" spans="2:6" x14ac:dyDescent="0.25">
      <c r="B942" s="796" t="s">
        <v>1832</v>
      </c>
      <c r="C942" s="800">
        <v>97607</v>
      </c>
    </row>
    <row r="943" spans="2:6" x14ac:dyDescent="0.25">
      <c r="B943" s="796" t="s">
        <v>1834</v>
      </c>
      <c r="C943" s="800">
        <v>97613</v>
      </c>
    </row>
    <row r="944" spans="2:6" x14ac:dyDescent="0.25">
      <c r="B944" s="796" t="s">
        <v>1833</v>
      </c>
      <c r="C944" s="800">
        <v>97611</v>
      </c>
    </row>
    <row r="945" spans="2:3" x14ac:dyDescent="0.25">
      <c r="B945" s="796" t="s">
        <v>1292</v>
      </c>
      <c r="C945" s="800">
        <v>91127</v>
      </c>
    </row>
    <row r="946" spans="2:3" x14ac:dyDescent="0.25">
      <c r="B946" s="796" t="s">
        <v>1293</v>
      </c>
      <c r="C946" s="800">
        <v>91128</v>
      </c>
    </row>
    <row r="947" spans="2:3" x14ac:dyDescent="0.25">
      <c r="B947" s="796" t="s">
        <v>1291</v>
      </c>
      <c r="C947" s="800">
        <v>91121</v>
      </c>
    </row>
    <row r="948" spans="2:3" x14ac:dyDescent="0.25">
      <c r="B948" s="796" t="s">
        <v>1348</v>
      </c>
      <c r="C948" s="800">
        <v>91681</v>
      </c>
    </row>
    <row r="949" spans="2:3" x14ac:dyDescent="0.25">
      <c r="B949" s="796" t="s">
        <v>1243</v>
      </c>
      <c r="C949" s="800">
        <v>90811</v>
      </c>
    </row>
    <row r="950" spans="2:3" x14ac:dyDescent="0.25">
      <c r="B950" s="796" t="s">
        <v>1235</v>
      </c>
      <c r="C950" s="800">
        <v>90721</v>
      </c>
    </row>
    <row r="951" spans="2:3" x14ac:dyDescent="0.25">
      <c r="B951" s="796" t="s">
        <v>1917</v>
      </c>
      <c r="C951" s="800">
        <v>98271</v>
      </c>
    </row>
    <row r="952" spans="2:3" x14ac:dyDescent="0.25">
      <c r="B952" s="796" t="s">
        <v>1223</v>
      </c>
      <c r="C952" s="800">
        <v>90601</v>
      </c>
    </row>
    <row r="953" spans="2:3" x14ac:dyDescent="0.25">
      <c r="B953" s="796" t="s">
        <v>2125</v>
      </c>
      <c r="C953" s="800">
        <v>90602</v>
      </c>
    </row>
    <row r="954" spans="2:3" x14ac:dyDescent="0.25">
      <c r="B954" s="796" t="s">
        <v>1224</v>
      </c>
      <c r="C954" s="800">
        <v>90605</v>
      </c>
    </row>
    <row r="955" spans="2:3" x14ac:dyDescent="0.25">
      <c r="B955" s="796" t="s">
        <v>1823</v>
      </c>
      <c r="C955" s="800">
        <v>97463</v>
      </c>
    </row>
    <row r="956" spans="2:3" x14ac:dyDescent="0.25">
      <c r="B956" s="796" t="s">
        <v>1822</v>
      </c>
      <c r="C956" s="800">
        <v>97461</v>
      </c>
    </row>
    <row r="957" spans="2:3" x14ac:dyDescent="0.25">
      <c r="B957" s="796" t="s">
        <v>1233</v>
      </c>
      <c r="C957" s="800">
        <v>90705</v>
      </c>
    </row>
    <row r="958" spans="2:3" x14ac:dyDescent="0.25">
      <c r="B958" s="796" t="s">
        <v>1932</v>
      </c>
      <c r="C958" s="800">
        <v>98451</v>
      </c>
    </row>
    <row r="959" spans="2:3" x14ac:dyDescent="0.25">
      <c r="B959" s="796" t="s">
        <v>1742</v>
      </c>
      <c r="C959" s="800">
        <v>96451</v>
      </c>
    </row>
    <row r="960" spans="2:3" x14ac:dyDescent="0.25">
      <c r="B960" s="796" t="s">
        <v>1712</v>
      </c>
      <c r="C960" s="800">
        <v>96121</v>
      </c>
    </row>
    <row r="961" spans="2:3" x14ac:dyDescent="0.25">
      <c r="B961" s="796" t="s">
        <v>1281</v>
      </c>
      <c r="C961" s="800">
        <v>91091</v>
      </c>
    </row>
    <row r="962" spans="2:3" x14ac:dyDescent="0.25">
      <c r="B962" s="796" t="s">
        <v>1225</v>
      </c>
      <c r="C962" s="800">
        <v>90611</v>
      </c>
    </row>
    <row r="963" spans="2:3" x14ac:dyDescent="0.25">
      <c r="B963" s="796" t="s">
        <v>1785</v>
      </c>
      <c r="C963" s="800">
        <v>96918</v>
      </c>
    </row>
    <row r="964" spans="2:3" x14ac:dyDescent="0.25">
      <c r="B964" s="796" t="s">
        <v>1783</v>
      </c>
      <c r="C964" s="800">
        <v>96911</v>
      </c>
    </row>
    <row r="965" spans="2:3" x14ac:dyDescent="0.25">
      <c r="B965" s="796" t="s">
        <v>1982</v>
      </c>
      <c r="C965" s="800">
        <v>99208</v>
      </c>
    </row>
    <row r="966" spans="2:3" x14ac:dyDescent="0.25">
      <c r="B966" s="796" t="s">
        <v>1231</v>
      </c>
      <c r="C966" s="800">
        <v>90701</v>
      </c>
    </row>
    <row r="967" spans="2:3" x14ac:dyDescent="0.25">
      <c r="B967" s="796" t="s">
        <v>1232</v>
      </c>
      <c r="C967" s="800">
        <v>90704</v>
      </c>
    </row>
    <row r="968" spans="2:3" x14ac:dyDescent="0.25">
      <c r="B968" s="796" t="s">
        <v>1343</v>
      </c>
      <c r="C968" s="800">
        <v>91633</v>
      </c>
    </row>
    <row r="969" spans="2:3" x14ac:dyDescent="0.25">
      <c r="B969" s="796" t="s">
        <v>1342</v>
      </c>
      <c r="C969" s="800">
        <v>91631</v>
      </c>
    </row>
    <row r="970" spans="2:3" x14ac:dyDescent="0.25">
      <c r="B970" s="796" t="s">
        <v>1228</v>
      </c>
      <c r="C970" s="800">
        <v>90631</v>
      </c>
    </row>
    <row r="971" spans="2:3" x14ac:dyDescent="0.25">
      <c r="B971" s="796" t="s">
        <v>1236</v>
      </c>
      <c r="C971" s="800">
        <v>90731</v>
      </c>
    </row>
    <row r="972" spans="2:3" x14ac:dyDescent="0.25">
      <c r="B972" s="796" t="s">
        <v>1515</v>
      </c>
      <c r="C972" s="800">
        <v>93623</v>
      </c>
    </row>
    <row r="973" spans="2:3" x14ac:dyDescent="0.25">
      <c r="B973" s="796" t="s">
        <v>1514</v>
      </c>
      <c r="C973" s="800">
        <v>93621</v>
      </c>
    </row>
    <row r="974" spans="2:3" x14ac:dyDescent="0.25">
      <c r="B974" s="796" t="s">
        <v>1266</v>
      </c>
      <c r="C974" s="800">
        <v>91020</v>
      </c>
    </row>
    <row r="975" spans="2:3" x14ac:dyDescent="0.25">
      <c r="B975" s="796" t="s">
        <v>1633</v>
      </c>
      <c r="C975" s="800">
        <v>95103</v>
      </c>
    </row>
    <row r="976" spans="2:3" x14ac:dyDescent="0.25">
      <c r="B976" s="796" t="s">
        <v>1643</v>
      </c>
      <c r="C976" s="800">
        <v>95141</v>
      </c>
    </row>
    <row r="977" spans="2:3" x14ac:dyDescent="0.25">
      <c r="B977" s="796" t="s">
        <v>1454</v>
      </c>
      <c r="C977" s="800">
        <v>93021</v>
      </c>
    </row>
    <row r="978" spans="2:3" x14ac:dyDescent="0.25">
      <c r="B978" s="796" t="s">
        <v>1239</v>
      </c>
      <c r="C978" s="800">
        <v>90801</v>
      </c>
    </row>
    <row r="979" spans="2:3" x14ac:dyDescent="0.25">
      <c r="B979" s="796" t="s">
        <v>1240</v>
      </c>
      <c r="C979" s="800">
        <v>90804</v>
      </c>
    </row>
    <row r="980" spans="2:3" x14ac:dyDescent="0.25">
      <c r="B980" s="796" t="s">
        <v>1242</v>
      </c>
      <c r="C980" s="800">
        <v>90808</v>
      </c>
    </row>
    <row r="981" spans="2:3" x14ac:dyDescent="0.25">
      <c r="B981" s="796" t="s">
        <v>1522</v>
      </c>
      <c r="C981" s="800">
        <v>93677</v>
      </c>
    </row>
    <row r="982" spans="2:3" x14ac:dyDescent="0.25">
      <c r="B982" s="796" t="s">
        <v>1521</v>
      </c>
      <c r="C982" s="800">
        <v>93671</v>
      </c>
    </row>
    <row r="983" spans="2:3" x14ac:dyDescent="0.25">
      <c r="B983" s="796" t="s">
        <v>1820</v>
      </c>
      <c r="C983" s="800">
        <v>97441</v>
      </c>
    </row>
    <row r="984" spans="2:3" x14ac:dyDescent="0.25">
      <c r="B984" s="796" t="s">
        <v>1458</v>
      </c>
      <c r="C984" s="800">
        <v>93111</v>
      </c>
    </row>
    <row r="985" spans="2:3" x14ac:dyDescent="0.25">
      <c r="B985" s="796" t="s">
        <v>1288</v>
      </c>
      <c r="C985" s="800">
        <v>91111</v>
      </c>
    </row>
    <row r="986" spans="2:3" x14ac:dyDescent="0.25">
      <c r="B986" s="796" t="s">
        <v>1717</v>
      </c>
      <c r="C986" s="800">
        <v>96231</v>
      </c>
    </row>
    <row r="987" spans="2:3" x14ac:dyDescent="0.25">
      <c r="B987" s="796" t="s">
        <v>2042</v>
      </c>
      <c r="C987" s="800">
        <v>99831</v>
      </c>
    </row>
    <row r="988" spans="2:3" x14ac:dyDescent="0.25">
      <c r="B988" s="796" t="s">
        <v>1298</v>
      </c>
      <c r="C988" s="800">
        <v>91154</v>
      </c>
    </row>
    <row r="989" spans="2:3" x14ac:dyDescent="0.25">
      <c r="B989" s="796" t="s">
        <v>1297</v>
      </c>
      <c r="C989" s="800">
        <v>91151</v>
      </c>
    </row>
    <row r="990" spans="2:3" x14ac:dyDescent="0.25">
      <c r="B990" s="796" t="s">
        <v>1247</v>
      </c>
      <c r="C990" s="800">
        <v>90901</v>
      </c>
    </row>
    <row r="991" spans="2:3" x14ac:dyDescent="0.25">
      <c r="B991" s="796" t="s">
        <v>1253</v>
      </c>
      <c r="C991" s="800">
        <v>90941</v>
      </c>
    </row>
    <row r="992" spans="2:3" x14ac:dyDescent="0.25">
      <c r="B992" s="796" t="s">
        <v>2015</v>
      </c>
      <c r="C992" s="800">
        <v>99527</v>
      </c>
    </row>
    <row r="993" spans="2:3" x14ac:dyDescent="0.25">
      <c r="B993" s="796" t="s">
        <v>2011</v>
      </c>
      <c r="C993" s="800">
        <v>99508</v>
      </c>
    </row>
    <row r="994" spans="2:3" x14ac:dyDescent="0.25">
      <c r="B994" s="796" t="s">
        <v>2014</v>
      </c>
      <c r="C994" s="800">
        <v>99521</v>
      </c>
    </row>
    <row r="995" spans="2:3" x14ac:dyDescent="0.25">
      <c r="B995" s="796" t="s">
        <v>1600</v>
      </c>
      <c r="C995" s="800">
        <v>94532</v>
      </c>
    </row>
    <row r="996" spans="2:3" x14ac:dyDescent="0.25">
      <c r="B996" s="796" t="s">
        <v>1279</v>
      </c>
      <c r="C996" s="800">
        <v>91077</v>
      </c>
    </row>
    <row r="997" spans="2:3" x14ac:dyDescent="0.25">
      <c r="B997" s="796" t="s">
        <v>1278</v>
      </c>
      <c r="C997" s="800">
        <v>91071</v>
      </c>
    </row>
    <row r="998" spans="2:3" x14ac:dyDescent="0.25">
      <c r="B998" s="796" t="s">
        <v>1391</v>
      </c>
      <c r="C998" s="800">
        <v>92331</v>
      </c>
    </row>
    <row r="999" spans="2:3" x14ac:dyDescent="0.25">
      <c r="B999" s="796" t="s">
        <v>2013</v>
      </c>
      <c r="C999" s="800">
        <v>99511</v>
      </c>
    </row>
    <row r="1000" spans="2:3" x14ac:dyDescent="0.25">
      <c r="B1000" s="796" t="s">
        <v>2049</v>
      </c>
      <c r="C1000" s="806">
        <v>99941</v>
      </c>
    </row>
    <row r="1001" spans="2:3" x14ac:dyDescent="0.25">
      <c r="B1001" s="796" t="s">
        <v>1737</v>
      </c>
      <c r="C1001" s="800">
        <v>96405</v>
      </c>
    </row>
    <row r="1002" spans="2:3" x14ac:dyDescent="0.25">
      <c r="B1002" s="796" t="s">
        <v>1953</v>
      </c>
      <c r="C1002" s="800">
        <v>98817</v>
      </c>
    </row>
    <row r="1003" spans="2:3" x14ac:dyDescent="0.25">
      <c r="B1003" s="796" t="s">
        <v>1952</v>
      </c>
      <c r="C1003" s="800">
        <v>98811</v>
      </c>
    </row>
    <row r="1004" spans="2:3" x14ac:dyDescent="0.25">
      <c r="B1004" s="796" t="s">
        <v>1417</v>
      </c>
      <c r="C1004" s="800">
        <v>92561</v>
      </c>
    </row>
    <row r="1005" spans="2:3" x14ac:dyDescent="0.25">
      <c r="B1005" s="796" t="s">
        <v>1896</v>
      </c>
      <c r="C1005" s="800">
        <v>98102</v>
      </c>
    </row>
    <row r="1006" spans="2:3" x14ac:dyDescent="0.25">
      <c r="B1006" s="796" t="s">
        <v>1657</v>
      </c>
      <c r="C1006" s="800">
        <v>95321</v>
      </c>
    </row>
    <row r="1007" spans="2:3" x14ac:dyDescent="0.25">
      <c r="B1007" s="796" t="s">
        <v>1364</v>
      </c>
      <c r="C1007" s="800">
        <v>91861</v>
      </c>
    </row>
    <row r="1008" spans="2:3" x14ac:dyDescent="0.25">
      <c r="B1008" s="796" t="s">
        <v>1254</v>
      </c>
      <c r="C1008" s="800">
        <v>91001</v>
      </c>
    </row>
    <row r="1009" spans="2:3" x14ac:dyDescent="0.25">
      <c r="B1009" s="796" t="s">
        <v>1257</v>
      </c>
      <c r="C1009" s="800">
        <v>91004</v>
      </c>
    </row>
    <row r="1010" spans="2:3" x14ac:dyDescent="0.25">
      <c r="B1010" s="796" t="s">
        <v>3544</v>
      </c>
      <c r="C1010" s="800">
        <v>91006</v>
      </c>
    </row>
    <row r="1011" spans="2:3" x14ac:dyDescent="0.25">
      <c r="B1011" s="796" t="s">
        <v>1256</v>
      </c>
      <c r="C1011" s="800">
        <v>91003</v>
      </c>
    </row>
    <row r="1012" spans="2:3" x14ac:dyDescent="0.25">
      <c r="B1012" s="796" t="s">
        <v>1260</v>
      </c>
      <c r="C1012" s="800">
        <v>91009</v>
      </c>
    </row>
    <row r="1013" spans="2:3" x14ac:dyDescent="0.25">
      <c r="B1013" s="796" t="s">
        <v>3545</v>
      </c>
      <c r="C1013" s="800">
        <v>91042</v>
      </c>
    </row>
    <row r="1014" spans="2:3" x14ac:dyDescent="0.25">
      <c r="B1014" s="796" t="s">
        <v>1399</v>
      </c>
      <c r="C1014" s="800">
        <v>92421</v>
      </c>
    </row>
    <row r="1015" spans="2:3" x14ac:dyDescent="0.25">
      <c r="B1015" s="796" t="s">
        <v>1950</v>
      </c>
      <c r="C1015" s="800">
        <v>98717</v>
      </c>
    </row>
    <row r="1016" spans="2:3" x14ac:dyDescent="0.25">
      <c r="B1016" s="796" t="s">
        <v>1949</v>
      </c>
      <c r="C1016" s="800">
        <v>98711</v>
      </c>
    </row>
    <row r="1017" spans="2:3" x14ac:dyDescent="0.25">
      <c r="B1017" s="796" t="s">
        <v>1282</v>
      </c>
      <c r="C1017" s="800">
        <v>91101</v>
      </c>
    </row>
    <row r="1018" spans="2:3" x14ac:dyDescent="0.25">
      <c r="B1018" s="796" t="s">
        <v>1506</v>
      </c>
      <c r="C1018" s="800">
        <v>93537</v>
      </c>
    </row>
    <row r="1019" spans="2:3" x14ac:dyDescent="0.25">
      <c r="B1019" s="796" t="s">
        <v>1505</v>
      </c>
      <c r="C1019" s="800">
        <v>93531</v>
      </c>
    </row>
    <row r="1020" spans="2:3" x14ac:dyDescent="0.25">
      <c r="B1020" s="796" t="s">
        <v>1799</v>
      </c>
      <c r="C1020" s="800">
        <v>97111</v>
      </c>
    </row>
    <row r="1021" spans="2:3" x14ac:dyDescent="0.25">
      <c r="B1021" s="796" t="s">
        <v>1301</v>
      </c>
      <c r="C1021" s="800">
        <v>91201</v>
      </c>
    </row>
    <row r="1022" spans="2:3" x14ac:dyDescent="0.25">
      <c r="B1022" s="796" t="s">
        <v>3546</v>
      </c>
      <c r="C1022" s="800">
        <v>91206</v>
      </c>
    </row>
    <row r="1023" spans="2:3" x14ac:dyDescent="0.25">
      <c r="B1023" s="796" t="s">
        <v>1303</v>
      </c>
      <c r="C1023" s="800">
        <v>91203</v>
      </c>
    </row>
    <row r="1024" spans="2:3" x14ac:dyDescent="0.25">
      <c r="B1024" s="796" t="s">
        <v>1304</v>
      </c>
      <c r="C1024" s="800">
        <v>91208</v>
      </c>
    </row>
    <row r="1025" spans="2:3" x14ac:dyDescent="0.25">
      <c r="B1025" s="796" t="s">
        <v>1302</v>
      </c>
      <c r="C1025" s="800">
        <v>91202</v>
      </c>
    </row>
    <row r="1026" spans="2:3" x14ac:dyDescent="0.25">
      <c r="B1026" s="796" t="s">
        <v>1195</v>
      </c>
      <c r="C1026" s="800">
        <v>90111</v>
      </c>
    </row>
    <row r="1027" spans="2:3" x14ac:dyDescent="0.25">
      <c r="B1027" s="796" t="s">
        <v>1190</v>
      </c>
      <c r="C1027" s="800">
        <v>90011</v>
      </c>
    </row>
    <row r="1028" spans="2:3" x14ac:dyDescent="0.25">
      <c r="B1028" s="796" t="s">
        <v>1539</v>
      </c>
      <c r="C1028" s="800">
        <v>93931</v>
      </c>
    </row>
    <row r="1029" spans="2:3" x14ac:dyDescent="0.25">
      <c r="B1029" s="796" t="s">
        <v>1317</v>
      </c>
      <c r="C1029" s="806">
        <v>91306</v>
      </c>
    </row>
    <row r="1030" spans="2:3" x14ac:dyDescent="0.25">
      <c r="B1030" s="796" t="s">
        <v>1318</v>
      </c>
      <c r="C1030" s="800">
        <v>91308</v>
      </c>
    </row>
    <row r="1031" spans="2:3" x14ac:dyDescent="0.25">
      <c r="B1031" s="796" t="s">
        <v>1315</v>
      </c>
      <c r="C1031" s="806">
        <v>91301</v>
      </c>
    </row>
    <row r="1032" spans="2:3" x14ac:dyDescent="0.25">
      <c r="B1032" s="796" t="s">
        <v>1334</v>
      </c>
      <c r="C1032" s="800">
        <v>91461</v>
      </c>
    </row>
    <row r="1033" spans="2:3" x14ac:dyDescent="0.25">
      <c r="B1033" s="796" t="s">
        <v>1258</v>
      </c>
      <c r="C1033" s="800">
        <v>91007</v>
      </c>
    </row>
    <row r="1034" spans="2:3" x14ac:dyDescent="0.25">
      <c r="B1034" s="796" t="s">
        <v>1261</v>
      </c>
      <c r="C1034" s="800">
        <v>91010</v>
      </c>
    </row>
    <row r="1035" spans="2:3" x14ac:dyDescent="0.25">
      <c r="B1035" s="796" t="s">
        <v>1325</v>
      </c>
      <c r="C1035" s="800">
        <v>91401</v>
      </c>
    </row>
    <row r="1036" spans="2:3" x14ac:dyDescent="0.25">
      <c r="B1036" s="796" t="s">
        <v>1467</v>
      </c>
      <c r="C1036" s="800">
        <v>93171</v>
      </c>
    </row>
    <row r="1037" spans="2:3" x14ac:dyDescent="0.25">
      <c r="B1037" s="796" t="s">
        <v>1335</v>
      </c>
      <c r="C1037" s="800">
        <v>91501</v>
      </c>
    </row>
    <row r="1038" spans="2:3" x14ac:dyDescent="0.25">
      <c r="B1038" s="796" t="s">
        <v>1336</v>
      </c>
      <c r="C1038" s="800">
        <v>91504</v>
      </c>
    </row>
    <row r="1039" spans="2:3" x14ac:dyDescent="0.25">
      <c r="B1039" s="796" t="s">
        <v>1726</v>
      </c>
      <c r="C1039" s="800">
        <v>96312</v>
      </c>
    </row>
    <row r="1040" spans="2:3" x14ac:dyDescent="0.25">
      <c r="B1040" s="796" t="s">
        <v>1718</v>
      </c>
      <c r="C1040" s="800">
        <v>96241</v>
      </c>
    </row>
    <row r="1041" spans="2:3" x14ac:dyDescent="0.25">
      <c r="B1041" s="796" t="s">
        <v>1592</v>
      </c>
      <c r="C1041" s="800">
        <v>94437</v>
      </c>
    </row>
    <row r="1042" spans="2:3" x14ac:dyDescent="0.25">
      <c r="B1042" s="796" t="s">
        <v>1591</v>
      </c>
      <c r="C1042" s="800">
        <v>94431</v>
      </c>
    </row>
    <row r="1043" spans="2:3" x14ac:dyDescent="0.25">
      <c r="B1043" s="796" t="s">
        <v>1347</v>
      </c>
      <c r="C1043" s="800">
        <v>91671</v>
      </c>
    </row>
    <row r="1044" spans="2:3" x14ac:dyDescent="0.25">
      <c r="B1044" s="796" t="s">
        <v>1259</v>
      </c>
      <c r="C1044" s="800">
        <v>91008</v>
      </c>
    </row>
    <row r="1045" spans="2:3" x14ac:dyDescent="0.25">
      <c r="B1045" s="796" t="s">
        <v>1751</v>
      </c>
      <c r="C1045" s="800">
        <v>96512</v>
      </c>
    </row>
    <row r="1046" spans="2:3" x14ac:dyDescent="0.25">
      <c r="B1046" s="796" t="s">
        <v>1748</v>
      </c>
      <c r="C1046" s="800">
        <v>96507</v>
      </c>
    </row>
    <row r="1047" spans="2:3" x14ac:dyDescent="0.25">
      <c r="B1047" s="796" t="s">
        <v>1753</v>
      </c>
      <c r="C1047" s="800">
        <v>96521</v>
      </c>
    </row>
    <row r="1048" spans="2:3" x14ac:dyDescent="0.25">
      <c r="B1048" s="796" t="s">
        <v>1268</v>
      </c>
      <c r="C1048" s="800">
        <v>91024</v>
      </c>
    </row>
    <row r="1049" spans="2:3" x14ac:dyDescent="0.25">
      <c r="B1049" s="796" t="s">
        <v>1780</v>
      </c>
      <c r="C1049" s="800">
        <v>96821</v>
      </c>
    </row>
    <row r="1050" spans="2:3" x14ac:dyDescent="0.25">
      <c r="B1050" s="796" t="s">
        <v>1337</v>
      </c>
      <c r="C1050" s="800">
        <v>91601</v>
      </c>
    </row>
    <row r="1051" spans="2:3" x14ac:dyDescent="0.25">
      <c r="B1051" s="796" t="s">
        <v>1338</v>
      </c>
      <c r="C1051" s="800">
        <v>91604</v>
      </c>
    </row>
    <row r="1052" spans="2:3" x14ac:dyDescent="0.25">
      <c r="B1052" s="796" t="s">
        <v>1734</v>
      </c>
      <c r="C1052" s="800">
        <v>96391</v>
      </c>
    </row>
    <row r="1053" spans="2:3" x14ac:dyDescent="0.25">
      <c r="B1053" s="796" t="s">
        <v>1988</v>
      </c>
      <c r="C1053" s="800">
        <v>99221</v>
      </c>
    </row>
    <row r="1054" spans="2:3" x14ac:dyDescent="0.25">
      <c r="B1054" s="796" t="s">
        <v>1274</v>
      </c>
      <c r="C1054" s="800">
        <v>91051</v>
      </c>
    </row>
    <row r="1055" spans="2:3" x14ac:dyDescent="0.25">
      <c r="B1055" s="796" t="s">
        <v>1350</v>
      </c>
      <c r="C1055" s="800">
        <v>91701</v>
      </c>
    </row>
    <row r="1056" spans="2:3" x14ac:dyDescent="0.25">
      <c r="B1056" s="796" t="s">
        <v>1351</v>
      </c>
      <c r="C1056" s="800">
        <v>91704</v>
      </c>
    </row>
    <row r="1057" spans="2:3" x14ac:dyDescent="0.25">
      <c r="B1057" s="796" t="s">
        <v>3547</v>
      </c>
      <c r="C1057" s="800">
        <v>91706</v>
      </c>
    </row>
    <row r="1058" spans="2:3" x14ac:dyDescent="0.25">
      <c r="B1058" s="796" t="s">
        <v>1353</v>
      </c>
      <c r="C1058" s="800">
        <v>91801</v>
      </c>
    </row>
    <row r="1059" spans="2:3" x14ac:dyDescent="0.25">
      <c r="B1059" s="796" t="s">
        <v>1354</v>
      </c>
      <c r="C1059" s="800">
        <v>91804</v>
      </c>
    </row>
    <row r="1060" spans="2:3" x14ac:dyDescent="0.25">
      <c r="B1060" s="796" t="s">
        <v>1366</v>
      </c>
      <c r="C1060" s="800">
        <v>91881</v>
      </c>
    </row>
    <row r="1061" spans="2:3" x14ac:dyDescent="0.25">
      <c r="B1061" s="796" t="s">
        <v>1349</v>
      </c>
      <c r="C1061" s="800">
        <v>91691</v>
      </c>
    </row>
    <row r="1062" spans="2:3" x14ac:dyDescent="0.25">
      <c r="B1062" s="796" t="s">
        <v>1989</v>
      </c>
      <c r="C1062" s="800">
        <v>99222</v>
      </c>
    </row>
    <row r="1063" spans="2:3" x14ac:dyDescent="0.25">
      <c r="B1063" s="796" t="s">
        <v>3548</v>
      </c>
      <c r="C1063" s="800">
        <v>93408</v>
      </c>
    </row>
    <row r="1064" spans="2:3" x14ac:dyDescent="0.25">
      <c r="B1064" s="796" t="s">
        <v>1699</v>
      </c>
      <c r="C1064" s="800">
        <v>96009</v>
      </c>
    </row>
    <row r="1065" spans="2:3" x14ac:dyDescent="0.25">
      <c r="B1065" s="796" t="s">
        <v>1402</v>
      </c>
      <c r="C1065" s="800">
        <v>92441</v>
      </c>
    </row>
    <row r="1066" spans="2:3" x14ac:dyDescent="0.25">
      <c r="B1066" s="796" t="s">
        <v>1779</v>
      </c>
      <c r="C1066" s="800">
        <v>96811</v>
      </c>
    </row>
    <row r="1067" spans="2:3" x14ac:dyDescent="0.25">
      <c r="B1067" s="796" t="s">
        <v>1695</v>
      </c>
      <c r="C1067" s="800">
        <v>96003</v>
      </c>
    </row>
    <row r="1068" spans="2:3" x14ac:dyDescent="0.25">
      <c r="B1068" s="796" t="s">
        <v>1701</v>
      </c>
      <c r="C1068" s="800">
        <v>96018</v>
      </c>
    </row>
    <row r="1069" spans="2:3" x14ac:dyDescent="0.25">
      <c r="B1069" s="796" t="s">
        <v>3549</v>
      </c>
      <c r="C1069" s="800">
        <v>96012</v>
      </c>
    </row>
    <row r="1070" spans="2:3" x14ac:dyDescent="0.25">
      <c r="B1070" s="796" t="s">
        <v>1700</v>
      </c>
      <c r="C1070" s="800">
        <v>96011</v>
      </c>
    </row>
    <row r="1071" spans="2:3" x14ac:dyDescent="0.25">
      <c r="B1071" s="796" t="s">
        <v>1697</v>
      </c>
      <c r="C1071" s="800">
        <v>96005</v>
      </c>
    </row>
    <row r="1072" spans="2:3" x14ac:dyDescent="0.25">
      <c r="B1072" s="796" t="s">
        <v>1367</v>
      </c>
      <c r="C1072" s="800">
        <v>91901</v>
      </c>
    </row>
    <row r="1073" spans="2:3" x14ac:dyDescent="0.25">
      <c r="B1073" s="796" t="s">
        <v>1369</v>
      </c>
      <c r="C1073" s="800">
        <v>91904</v>
      </c>
    </row>
    <row r="1074" spans="2:3" x14ac:dyDescent="0.25">
      <c r="B1074" s="796" t="s">
        <v>1368</v>
      </c>
      <c r="C1074" s="800">
        <v>91903</v>
      </c>
    </row>
    <row r="1075" spans="2:3" x14ac:dyDescent="0.25">
      <c r="B1075" s="796" t="s">
        <v>1374</v>
      </c>
      <c r="C1075" s="800">
        <v>92001</v>
      </c>
    </row>
    <row r="1076" spans="2:3" x14ac:dyDescent="0.25">
      <c r="B1076" s="796" t="s">
        <v>1518</v>
      </c>
      <c r="C1076" s="800">
        <v>93647</v>
      </c>
    </row>
    <row r="1077" spans="2:3" x14ac:dyDescent="0.25">
      <c r="B1077" s="796" t="s">
        <v>1517</v>
      </c>
      <c r="C1077" s="800">
        <v>93641</v>
      </c>
    </row>
    <row r="1078" spans="2:3" x14ac:dyDescent="0.25">
      <c r="B1078" s="796" t="s">
        <v>1889</v>
      </c>
      <c r="C1078" s="800">
        <v>98041</v>
      </c>
    </row>
    <row r="1079" spans="2:3" x14ac:dyDescent="0.25">
      <c r="B1079" s="796" t="s">
        <v>1759</v>
      </c>
      <c r="C1079" s="800">
        <v>96612</v>
      </c>
    </row>
    <row r="1080" spans="2:3" x14ac:dyDescent="0.25">
      <c r="B1080" s="796" t="s">
        <v>1238</v>
      </c>
      <c r="C1080" s="800">
        <v>90751</v>
      </c>
    </row>
    <row r="1081" spans="2:3" x14ac:dyDescent="0.25">
      <c r="B1081" s="796" t="s">
        <v>1379</v>
      </c>
      <c r="C1081" s="800">
        <v>92101</v>
      </c>
    </row>
    <row r="1082" spans="2:3" x14ac:dyDescent="0.25">
      <c r="B1082" s="796" t="s">
        <v>1380</v>
      </c>
      <c r="C1082" s="800">
        <v>92104</v>
      </c>
    </row>
    <row r="1083" spans="2:3" x14ac:dyDescent="0.25">
      <c r="B1083" s="796" t="s">
        <v>2040</v>
      </c>
      <c r="C1083" s="800">
        <v>99818</v>
      </c>
    </row>
    <row r="1084" spans="2:3" x14ac:dyDescent="0.25">
      <c r="B1084" s="796" t="s">
        <v>1360</v>
      </c>
      <c r="C1084" s="800">
        <v>91821</v>
      </c>
    </row>
    <row r="1085" spans="2:3" x14ac:dyDescent="0.25">
      <c r="B1085" s="796" t="s">
        <v>1252</v>
      </c>
      <c r="C1085" s="800">
        <v>90931</v>
      </c>
    </row>
    <row r="1086" spans="2:3" x14ac:dyDescent="0.25">
      <c r="B1086" s="796" t="s">
        <v>1384</v>
      </c>
      <c r="C1086" s="800">
        <v>92201</v>
      </c>
    </row>
    <row r="1087" spans="2:3" x14ac:dyDescent="0.25">
      <c r="B1087" s="796" t="s">
        <v>1642</v>
      </c>
      <c r="C1087" s="800">
        <v>95131</v>
      </c>
    </row>
    <row r="1088" spans="2:3" x14ac:dyDescent="0.25">
      <c r="B1088" s="796" t="s">
        <v>1496</v>
      </c>
      <c r="C1088" s="800">
        <v>93442</v>
      </c>
    </row>
    <row r="1089" spans="2:3" x14ac:dyDescent="0.25">
      <c r="B1089" s="796" t="s">
        <v>1495</v>
      </c>
      <c r="C1089" s="800">
        <v>93441</v>
      </c>
    </row>
    <row r="1090" spans="2:3" x14ac:dyDescent="0.25">
      <c r="B1090" s="796" t="s">
        <v>1385</v>
      </c>
      <c r="C1090" s="800">
        <v>92301</v>
      </c>
    </row>
    <row r="1091" spans="2:3" x14ac:dyDescent="0.25">
      <c r="B1091" s="796" t="s">
        <v>1386</v>
      </c>
      <c r="C1091" s="800">
        <v>92302</v>
      </c>
    </row>
    <row r="1092" spans="2:3" x14ac:dyDescent="0.25">
      <c r="B1092" s="796" t="s">
        <v>1894</v>
      </c>
      <c r="C1092" s="800">
        <v>98091</v>
      </c>
    </row>
    <row r="1093" spans="2:3" x14ac:dyDescent="0.25">
      <c r="B1093" s="796" t="s">
        <v>1910</v>
      </c>
      <c r="C1093" s="800">
        <v>98218</v>
      </c>
    </row>
    <row r="1094" spans="2:3" x14ac:dyDescent="0.25">
      <c r="B1094" s="796" t="s">
        <v>1909</v>
      </c>
      <c r="C1094" s="800">
        <v>98211</v>
      </c>
    </row>
    <row r="1095" spans="2:3" x14ac:dyDescent="0.25">
      <c r="B1095" s="796" t="s">
        <v>1752</v>
      </c>
      <c r="C1095" s="800">
        <v>96519</v>
      </c>
    </row>
    <row r="1096" spans="2:3" x14ac:dyDescent="0.25">
      <c r="B1096" s="796" t="s">
        <v>1411</v>
      </c>
      <c r="C1096" s="800">
        <v>92508</v>
      </c>
    </row>
    <row r="1097" spans="2:3" x14ac:dyDescent="0.25">
      <c r="B1097" s="796" t="s">
        <v>1580</v>
      </c>
      <c r="C1097" s="800">
        <v>94341</v>
      </c>
    </row>
    <row r="1098" spans="2:3" x14ac:dyDescent="0.25">
      <c r="B1098" s="796" t="s">
        <v>1610</v>
      </c>
      <c r="C1098" s="800">
        <v>94641</v>
      </c>
    </row>
    <row r="1099" spans="2:3" x14ac:dyDescent="0.25">
      <c r="B1099" s="796" t="s">
        <v>1245</v>
      </c>
      <c r="C1099" s="800">
        <v>90813</v>
      </c>
    </row>
    <row r="1100" spans="2:3" x14ac:dyDescent="0.25">
      <c r="B1100" s="796" t="s">
        <v>1561</v>
      </c>
      <c r="C1100" s="800">
        <v>94168</v>
      </c>
    </row>
    <row r="1101" spans="2:3" x14ac:dyDescent="0.25">
      <c r="B1101" s="796" t="s">
        <v>1956</v>
      </c>
      <c r="C1101" s="800">
        <v>98911</v>
      </c>
    </row>
    <row r="1102" spans="2:3" x14ac:dyDescent="0.25">
      <c r="B1102" s="796" t="s">
        <v>1394</v>
      </c>
      <c r="C1102" s="800">
        <v>92401</v>
      </c>
    </row>
    <row r="1103" spans="2:3" x14ac:dyDescent="0.25">
      <c r="B1103" s="796" t="s">
        <v>1829</v>
      </c>
      <c r="C1103" s="800">
        <v>97521</v>
      </c>
    </row>
    <row r="1104" spans="2:3" x14ac:dyDescent="0.25">
      <c r="B1104" s="796" t="s">
        <v>1320</v>
      </c>
      <c r="C1104" s="800">
        <v>91317</v>
      </c>
    </row>
    <row r="1105" spans="2:3" x14ac:dyDescent="0.25">
      <c r="B1105" s="796" t="s">
        <v>1319</v>
      </c>
      <c r="C1105" s="800">
        <v>91311</v>
      </c>
    </row>
    <row r="1106" spans="2:3" x14ac:dyDescent="0.25">
      <c r="B1106" s="796" t="s">
        <v>1314</v>
      </c>
      <c r="C1106" s="800">
        <v>91261</v>
      </c>
    </row>
    <row r="1107" spans="2:3" x14ac:dyDescent="0.25">
      <c r="B1107" s="796" t="s">
        <v>1363</v>
      </c>
      <c r="C1107" s="800">
        <v>91851</v>
      </c>
    </row>
    <row r="1108" spans="2:3" x14ac:dyDescent="0.25">
      <c r="B1108" s="796" t="s">
        <v>3550</v>
      </c>
      <c r="C1108" s="800">
        <v>97408</v>
      </c>
    </row>
    <row r="1109" spans="2:3" x14ac:dyDescent="0.25">
      <c r="B1109" s="796" t="s">
        <v>1762</v>
      </c>
      <c r="C1109" s="800">
        <v>96641</v>
      </c>
    </row>
    <row r="1110" spans="2:3" x14ac:dyDescent="0.25">
      <c r="B1110" s="796" t="s">
        <v>1455</v>
      </c>
      <c r="C1110" s="800">
        <v>93027</v>
      </c>
    </row>
    <row r="1111" spans="2:3" x14ac:dyDescent="0.25">
      <c r="B1111" s="796" t="s">
        <v>1456</v>
      </c>
      <c r="C1111" s="800">
        <v>93031</v>
      </c>
    </row>
    <row r="1112" spans="2:3" x14ac:dyDescent="0.25">
      <c r="B1112" s="796" t="s">
        <v>1705</v>
      </c>
      <c r="C1112" s="800">
        <v>96051</v>
      </c>
    </row>
    <row r="1113" spans="2:3" x14ac:dyDescent="0.25">
      <c r="B1113" s="796" t="s">
        <v>1418</v>
      </c>
      <c r="C1113" s="800">
        <v>92571</v>
      </c>
    </row>
    <row r="1114" spans="2:3" x14ac:dyDescent="0.25">
      <c r="B1114" s="796" t="s">
        <v>1516</v>
      </c>
      <c r="C1114" s="800">
        <v>93631</v>
      </c>
    </row>
    <row r="1115" spans="2:3" x14ac:dyDescent="0.25">
      <c r="B1115" s="796" t="s">
        <v>1405</v>
      </c>
      <c r="C1115" s="800">
        <v>92501</v>
      </c>
    </row>
    <row r="1116" spans="2:3" x14ac:dyDescent="0.25">
      <c r="B1116" s="796" t="s">
        <v>1407</v>
      </c>
      <c r="C1116" s="800">
        <v>92504</v>
      </c>
    </row>
    <row r="1117" spans="2:3" x14ac:dyDescent="0.25">
      <c r="B1117" s="796" t="s">
        <v>1409</v>
      </c>
      <c r="C1117" s="800">
        <v>92506</v>
      </c>
    </row>
    <row r="1118" spans="2:3" x14ac:dyDescent="0.25">
      <c r="B1118" s="796" t="s">
        <v>1408</v>
      </c>
      <c r="C1118" s="800">
        <v>92505</v>
      </c>
    </row>
    <row r="1119" spans="2:3" x14ac:dyDescent="0.25">
      <c r="B1119" s="796" t="s">
        <v>1538</v>
      </c>
      <c r="C1119" s="800">
        <v>93921</v>
      </c>
    </row>
    <row r="1120" spans="2:3" x14ac:dyDescent="0.25">
      <c r="B1120" s="796" t="s">
        <v>2008</v>
      </c>
      <c r="C1120" s="800">
        <v>99431</v>
      </c>
    </row>
    <row r="1121" spans="2:3" x14ac:dyDescent="0.25">
      <c r="B1121" s="796" t="s">
        <v>1419</v>
      </c>
      <c r="C1121" s="800">
        <v>92601</v>
      </c>
    </row>
    <row r="1122" spans="2:3" x14ac:dyDescent="0.25">
      <c r="B1122" s="796" t="s">
        <v>1421</v>
      </c>
      <c r="C1122" s="800">
        <v>92604</v>
      </c>
    </row>
    <row r="1123" spans="2:3" x14ac:dyDescent="0.25">
      <c r="B1123" s="796" t="s">
        <v>1422</v>
      </c>
      <c r="C1123" s="800">
        <v>92608</v>
      </c>
    </row>
    <row r="1124" spans="2:3" x14ac:dyDescent="0.25">
      <c r="B1124" s="796" t="s">
        <v>1433</v>
      </c>
      <c r="C1124" s="800">
        <v>92701</v>
      </c>
    </row>
    <row r="1125" spans="2:3" x14ac:dyDescent="0.25">
      <c r="B1125" s="796" t="s">
        <v>1434</v>
      </c>
      <c r="C1125" s="800">
        <v>92704</v>
      </c>
    </row>
    <row r="1126" spans="2:3" x14ac:dyDescent="0.25">
      <c r="B1126" s="796" t="s">
        <v>1519</v>
      </c>
      <c r="C1126" s="800">
        <v>93651</v>
      </c>
    </row>
    <row r="1127" spans="2:3" x14ac:dyDescent="0.25">
      <c r="B1127" s="796" t="s">
        <v>1435</v>
      </c>
      <c r="C1127" s="800">
        <v>92801</v>
      </c>
    </row>
    <row r="1128" spans="2:3" x14ac:dyDescent="0.25">
      <c r="B1128" s="796" t="s">
        <v>1437</v>
      </c>
      <c r="C1128" s="800">
        <v>92804</v>
      </c>
    </row>
    <row r="1129" spans="2:3" x14ac:dyDescent="0.25">
      <c r="B1129" s="796" t="s">
        <v>1436</v>
      </c>
      <c r="C1129" s="800">
        <v>92802</v>
      </c>
    </row>
    <row r="1130" spans="2:3" x14ac:dyDescent="0.25">
      <c r="B1130" s="796" t="s">
        <v>1444</v>
      </c>
      <c r="C1130" s="800">
        <v>92901</v>
      </c>
    </row>
    <row r="1131" spans="2:3" x14ac:dyDescent="0.25">
      <c r="B1131" s="796" t="s">
        <v>1708</v>
      </c>
      <c r="C1131" s="800">
        <v>96081</v>
      </c>
    </row>
    <row r="1132" spans="2:3" x14ac:dyDescent="0.25">
      <c r="B1132" s="796" t="s">
        <v>1451</v>
      </c>
      <c r="C1132" s="800">
        <v>93001</v>
      </c>
    </row>
    <row r="1133" spans="2:3" x14ac:dyDescent="0.25">
      <c r="B1133" s="796" t="s">
        <v>1452</v>
      </c>
      <c r="C1133" s="800">
        <v>93009</v>
      </c>
    </row>
    <row r="1134" spans="2:3" x14ac:dyDescent="0.25">
      <c r="B1134" s="796" t="s">
        <v>1448</v>
      </c>
      <c r="C1134" s="800">
        <v>92921</v>
      </c>
    </row>
    <row r="1135" spans="2:3" x14ac:dyDescent="0.25">
      <c r="B1135" s="796" t="s">
        <v>1943</v>
      </c>
      <c r="C1135" s="800">
        <v>98627</v>
      </c>
    </row>
    <row r="1136" spans="2:3" x14ac:dyDescent="0.25">
      <c r="B1136" s="796" t="s">
        <v>1942</v>
      </c>
      <c r="C1136" s="800">
        <v>98621</v>
      </c>
    </row>
    <row r="1137" spans="2:3" x14ac:dyDescent="0.25">
      <c r="B1137" s="796" t="s">
        <v>1309</v>
      </c>
      <c r="C1137" s="800">
        <v>91221</v>
      </c>
    </row>
    <row r="1138" spans="2:3" x14ac:dyDescent="0.25">
      <c r="B1138" s="796" t="s">
        <v>1443</v>
      </c>
      <c r="C1138" s="800">
        <v>92861</v>
      </c>
    </row>
    <row r="1139" spans="2:3" x14ac:dyDescent="0.25">
      <c r="B1139" s="796" t="s">
        <v>1577</v>
      </c>
      <c r="C1139" s="800">
        <v>94317</v>
      </c>
    </row>
    <row r="1140" spans="2:3" x14ac:dyDescent="0.25">
      <c r="B1140" s="796" t="s">
        <v>1576</v>
      </c>
      <c r="C1140" s="800">
        <v>94313</v>
      </c>
    </row>
    <row r="1141" spans="2:3" x14ac:dyDescent="0.25">
      <c r="B1141" s="796" t="s">
        <v>1575</v>
      </c>
      <c r="C1141" s="800">
        <v>94311</v>
      </c>
    </row>
    <row r="1142" spans="2:3" x14ac:dyDescent="0.25">
      <c r="B1142" s="796" t="s">
        <v>1457</v>
      </c>
      <c r="C1142" s="800">
        <v>93101</v>
      </c>
    </row>
    <row r="1143" spans="2:3" x14ac:dyDescent="0.25">
      <c r="B1143" s="796" t="s">
        <v>2126</v>
      </c>
      <c r="C1143" s="800">
        <v>93103</v>
      </c>
    </row>
    <row r="1144" spans="2:3" x14ac:dyDescent="0.25">
      <c r="B1144" s="796" t="s">
        <v>1475</v>
      </c>
      <c r="C1144" s="800">
        <v>93212</v>
      </c>
    </row>
    <row r="1145" spans="2:3" x14ac:dyDescent="0.25">
      <c r="B1145" s="796" t="s">
        <v>1470</v>
      </c>
      <c r="C1145" s="800">
        <v>93201</v>
      </c>
    </row>
    <row r="1146" spans="2:3" x14ac:dyDescent="0.25">
      <c r="B1146" s="796" t="s">
        <v>1472</v>
      </c>
      <c r="C1146" s="800">
        <v>93204</v>
      </c>
    </row>
    <row r="1147" spans="2:3" x14ac:dyDescent="0.25">
      <c r="B1147" s="796" t="s">
        <v>1985</v>
      </c>
      <c r="C1147" s="800">
        <v>99212</v>
      </c>
    </row>
    <row r="1148" spans="2:3" x14ac:dyDescent="0.25">
      <c r="B1148" s="796" t="s">
        <v>1474</v>
      </c>
      <c r="C1148" s="800">
        <v>93211</v>
      </c>
    </row>
    <row r="1149" spans="2:3" x14ac:dyDescent="0.25">
      <c r="B1149" s="796" t="s">
        <v>1789</v>
      </c>
      <c r="C1149" s="800">
        <v>97005</v>
      </c>
    </row>
    <row r="1150" spans="2:3" x14ac:dyDescent="0.25">
      <c r="B1150" s="796" t="s">
        <v>2048</v>
      </c>
      <c r="C1150" s="800">
        <v>99931</v>
      </c>
    </row>
    <row r="1151" spans="2:3" x14ac:dyDescent="0.25">
      <c r="B1151" s="796" t="s">
        <v>3551</v>
      </c>
      <c r="C1151" s="800">
        <v>92509</v>
      </c>
    </row>
    <row r="1152" spans="2:3" x14ac:dyDescent="0.25">
      <c r="B1152" s="796" t="s">
        <v>1887</v>
      </c>
      <c r="C1152" s="800">
        <v>98023</v>
      </c>
    </row>
    <row r="1153" spans="2:3" x14ac:dyDescent="0.25">
      <c r="B1153" s="796" t="s">
        <v>1886</v>
      </c>
      <c r="C1153" s="800">
        <v>98021</v>
      </c>
    </row>
    <row r="1154" spans="2:3" x14ac:dyDescent="0.25">
      <c r="B1154" s="796" t="s">
        <v>1184</v>
      </c>
      <c r="C1154" s="800">
        <v>70505</v>
      </c>
    </row>
    <row r="1155" spans="2:3" x14ac:dyDescent="0.25">
      <c r="B1155" s="796" t="s">
        <v>2019</v>
      </c>
      <c r="C1155" s="800">
        <v>99603</v>
      </c>
    </row>
    <row r="1156" spans="2:3" x14ac:dyDescent="0.25">
      <c r="B1156" s="796" t="s">
        <v>2022</v>
      </c>
      <c r="C1156" s="800">
        <v>99610</v>
      </c>
    </row>
    <row r="1157" spans="2:3" x14ac:dyDescent="0.25">
      <c r="B1157" s="796" t="s">
        <v>1432</v>
      </c>
      <c r="C1157" s="800">
        <v>92681</v>
      </c>
    </row>
    <row r="1158" spans="2:3" x14ac:dyDescent="0.25">
      <c r="B1158" s="796" t="s">
        <v>3552</v>
      </c>
      <c r="C1158" s="800">
        <v>93108</v>
      </c>
    </row>
    <row r="1159" spans="2:3" x14ac:dyDescent="0.25">
      <c r="B1159" s="796" t="s">
        <v>1879</v>
      </c>
      <c r="C1159" s="800">
        <v>97957</v>
      </c>
    </row>
    <row r="1160" spans="2:3" x14ac:dyDescent="0.25">
      <c r="B1160" s="796" t="s">
        <v>1878</v>
      </c>
      <c r="C1160" s="800">
        <v>97951</v>
      </c>
    </row>
    <row r="1161" spans="2:3" x14ac:dyDescent="0.25">
      <c r="B1161" s="796" t="s">
        <v>1382</v>
      </c>
      <c r="C1161" s="800">
        <v>92111</v>
      </c>
    </row>
    <row r="1162" spans="2:3" x14ac:dyDescent="0.25">
      <c r="B1162" s="796" t="s">
        <v>1477</v>
      </c>
      <c r="C1162" s="800">
        <v>93301</v>
      </c>
    </row>
    <row r="1163" spans="2:3" x14ac:dyDescent="0.25">
      <c r="B1163" s="796" t="s">
        <v>1478</v>
      </c>
      <c r="C1163" s="800">
        <v>93304</v>
      </c>
    </row>
    <row r="1164" spans="2:3" x14ac:dyDescent="0.25">
      <c r="B1164" s="796" t="s">
        <v>1479</v>
      </c>
      <c r="C1164" s="800">
        <v>93305</v>
      </c>
    </row>
    <row r="1165" spans="2:3" x14ac:dyDescent="0.25">
      <c r="B1165" s="796" t="s">
        <v>1983</v>
      </c>
      <c r="C1165" s="800">
        <v>99210</v>
      </c>
    </row>
    <row r="1166" spans="2:3" x14ac:dyDescent="0.25">
      <c r="B1166" s="796" t="s">
        <v>1792</v>
      </c>
      <c r="C1166" s="800">
        <v>97011</v>
      </c>
    </row>
    <row r="1167" spans="2:3" x14ac:dyDescent="0.25">
      <c r="B1167" s="796" t="s">
        <v>1794</v>
      </c>
      <c r="C1167" s="800">
        <v>97013</v>
      </c>
    </row>
    <row r="1168" spans="2:3" x14ac:dyDescent="0.25">
      <c r="B1168" s="796" t="s">
        <v>1793</v>
      </c>
      <c r="C1168" s="800">
        <v>97012</v>
      </c>
    </row>
    <row r="1169" spans="2:3" x14ac:dyDescent="0.25">
      <c r="B1169" s="796" t="s">
        <v>1796</v>
      </c>
      <c r="C1169" s="800">
        <v>97018</v>
      </c>
    </row>
    <row r="1170" spans="2:3" x14ac:dyDescent="0.25">
      <c r="B1170" s="796" t="s">
        <v>1249</v>
      </c>
      <c r="C1170" s="800">
        <v>90917</v>
      </c>
    </row>
    <row r="1171" spans="2:3" x14ac:dyDescent="0.25">
      <c r="B1171" s="796" t="s">
        <v>1248</v>
      </c>
      <c r="C1171" s="800">
        <v>90911</v>
      </c>
    </row>
    <row r="1172" spans="2:3" x14ac:dyDescent="0.25">
      <c r="B1172" s="796" t="s">
        <v>1229</v>
      </c>
      <c r="C1172" s="800">
        <v>90641</v>
      </c>
    </row>
    <row r="1173" spans="2:3" x14ac:dyDescent="0.25">
      <c r="B1173" s="796" t="s">
        <v>1947</v>
      </c>
      <c r="C1173" s="800">
        <v>98647</v>
      </c>
    </row>
    <row r="1174" spans="2:3" x14ac:dyDescent="0.25">
      <c r="B1174" s="796" t="s">
        <v>1946</v>
      </c>
      <c r="C1174" s="800">
        <v>98641</v>
      </c>
    </row>
    <row r="1175" spans="2:3" x14ac:dyDescent="0.25">
      <c r="B1175" s="796" t="s">
        <v>1906</v>
      </c>
      <c r="C1175" s="800">
        <v>98161</v>
      </c>
    </row>
    <row r="1176" spans="2:3" x14ac:dyDescent="0.25">
      <c r="B1176" s="796" t="s">
        <v>1850</v>
      </c>
      <c r="C1176" s="800">
        <v>97731</v>
      </c>
    </row>
    <row r="1177" spans="2:3" x14ac:dyDescent="0.25">
      <c r="B1177" s="796" t="s">
        <v>2044</v>
      </c>
      <c r="C1177" s="800">
        <v>99851</v>
      </c>
    </row>
    <row r="1178" spans="2:3" x14ac:dyDescent="0.25">
      <c r="B1178" s="796" t="s">
        <v>1198</v>
      </c>
      <c r="C1178" s="800">
        <v>90131</v>
      </c>
    </row>
    <row r="1179" spans="2:3" x14ac:dyDescent="0.25">
      <c r="B1179" s="796" t="s">
        <v>1345</v>
      </c>
      <c r="C1179" s="800">
        <v>91651</v>
      </c>
    </row>
    <row r="1180" spans="2:3" x14ac:dyDescent="0.25">
      <c r="B1180" s="796" t="s">
        <v>1568</v>
      </c>
      <c r="C1180" s="800">
        <v>94211</v>
      </c>
    </row>
    <row r="1181" spans="2:3" x14ac:dyDescent="0.25">
      <c r="B1181" s="796" t="s">
        <v>1579</v>
      </c>
      <c r="C1181" s="800">
        <v>94331</v>
      </c>
    </row>
    <row r="1182" spans="2:3" x14ac:dyDescent="0.25">
      <c r="B1182" s="796" t="s">
        <v>1401</v>
      </c>
      <c r="C1182" s="800">
        <v>92431</v>
      </c>
    </row>
    <row r="1183" spans="2:3" x14ac:dyDescent="0.25">
      <c r="B1183" s="796" t="s">
        <v>1859</v>
      </c>
      <c r="C1183" s="800">
        <v>97823</v>
      </c>
    </row>
    <row r="1184" spans="2:3" x14ac:dyDescent="0.25">
      <c r="B1184" s="796" t="s">
        <v>1858</v>
      </c>
      <c r="C1184" s="800">
        <v>97821</v>
      </c>
    </row>
    <row r="1185" spans="2:3" x14ac:dyDescent="0.25">
      <c r="B1185" s="796" t="s">
        <v>1463</v>
      </c>
      <c r="C1185" s="800">
        <v>93141</v>
      </c>
    </row>
    <row r="1186" spans="2:3" x14ac:dyDescent="0.25">
      <c r="B1186" s="796" t="s">
        <v>1893</v>
      </c>
      <c r="C1186" s="800">
        <v>98081</v>
      </c>
    </row>
    <row r="1187" spans="2:3" x14ac:dyDescent="0.25">
      <c r="B1187" s="796" t="s">
        <v>1431</v>
      </c>
      <c r="C1187" s="800">
        <v>92671</v>
      </c>
    </row>
    <row r="1188" spans="2:3" x14ac:dyDescent="0.25">
      <c r="B1188" s="796" t="s">
        <v>1818</v>
      </c>
      <c r="C1188" s="800">
        <v>97423</v>
      </c>
    </row>
    <row r="1189" spans="2:3" x14ac:dyDescent="0.25">
      <c r="B1189" s="796" t="s">
        <v>1817</v>
      </c>
      <c r="C1189" s="800">
        <v>97421</v>
      </c>
    </row>
    <row r="1190" spans="2:3" x14ac:dyDescent="0.25">
      <c r="B1190" s="796" t="s">
        <v>1424</v>
      </c>
      <c r="C1190" s="800">
        <v>92613</v>
      </c>
    </row>
    <row r="1191" spans="2:3" x14ac:dyDescent="0.25">
      <c r="B1191" s="796" t="s">
        <v>1425</v>
      </c>
      <c r="C1191" s="800">
        <v>92614</v>
      </c>
    </row>
    <row r="1192" spans="2:3" x14ac:dyDescent="0.25">
      <c r="B1192" s="796" t="s">
        <v>1423</v>
      </c>
      <c r="C1192" s="800">
        <v>92611</v>
      </c>
    </row>
    <row r="1193" spans="2:3" x14ac:dyDescent="0.25">
      <c r="B1193" s="796" t="s">
        <v>1406</v>
      </c>
      <c r="C1193" s="800">
        <v>92502</v>
      </c>
    </row>
    <row r="1194" spans="2:3" x14ac:dyDescent="0.25">
      <c r="B1194" s="796" t="s">
        <v>1599</v>
      </c>
      <c r="C1194" s="800">
        <v>94531</v>
      </c>
    </row>
    <row r="1195" spans="2:3" x14ac:dyDescent="0.25">
      <c r="B1195" s="796" t="s">
        <v>1602</v>
      </c>
      <c r="C1195" s="800">
        <v>94547</v>
      </c>
    </row>
    <row r="1196" spans="2:3" x14ac:dyDescent="0.25">
      <c r="B1196" s="796" t="s">
        <v>1601</v>
      </c>
      <c r="C1196" s="800">
        <v>94541</v>
      </c>
    </row>
    <row r="1197" spans="2:3" x14ac:dyDescent="0.25">
      <c r="B1197" s="796" t="s">
        <v>1628</v>
      </c>
      <c r="C1197" s="800">
        <v>95005</v>
      </c>
    </row>
    <row r="1198" spans="2:3" x14ac:dyDescent="0.25">
      <c r="B1198" s="796" t="s">
        <v>1900</v>
      </c>
      <c r="C1198" s="800">
        <v>98111</v>
      </c>
    </row>
    <row r="1199" spans="2:3" x14ac:dyDescent="0.25">
      <c r="B1199" s="796" t="s">
        <v>1898</v>
      </c>
      <c r="C1199" s="800">
        <v>98107</v>
      </c>
    </row>
    <row r="1200" spans="2:3" x14ac:dyDescent="0.25">
      <c r="B1200" s="796" t="s">
        <v>1901</v>
      </c>
      <c r="C1200" s="800">
        <v>98113</v>
      </c>
    </row>
    <row r="1201" spans="2:3" x14ac:dyDescent="0.25">
      <c r="B1201" s="796" t="s">
        <v>2018</v>
      </c>
      <c r="C1201" s="800">
        <v>99602</v>
      </c>
    </row>
    <row r="1202" spans="2:3" x14ac:dyDescent="0.25">
      <c r="B1202" s="796" t="s">
        <v>1488</v>
      </c>
      <c r="C1202" s="800">
        <v>93401</v>
      </c>
    </row>
    <row r="1203" spans="2:3" x14ac:dyDescent="0.25">
      <c r="B1203" s="796" t="s">
        <v>1826</v>
      </c>
      <c r="C1203" s="800">
        <v>97491</v>
      </c>
    </row>
    <row r="1204" spans="2:3" x14ac:dyDescent="0.25">
      <c r="B1204" s="796" t="s">
        <v>1644</v>
      </c>
      <c r="C1204" s="800">
        <v>95151</v>
      </c>
    </row>
    <row r="1205" spans="2:3" x14ac:dyDescent="0.25">
      <c r="B1205" s="796" t="s">
        <v>1733</v>
      </c>
      <c r="C1205" s="800">
        <v>96381</v>
      </c>
    </row>
    <row r="1206" spans="2:3" x14ac:dyDescent="0.25">
      <c r="B1206" s="796" t="s">
        <v>1500</v>
      </c>
      <c r="C1206" s="800">
        <v>93501</v>
      </c>
    </row>
    <row r="1207" spans="2:3" x14ac:dyDescent="0.25">
      <c r="B1207" s="796" t="s">
        <v>1673</v>
      </c>
      <c r="C1207" s="800">
        <v>95611</v>
      </c>
    </row>
    <row r="1208" spans="2:3" x14ac:dyDescent="0.25">
      <c r="B1208" s="796" t="s">
        <v>1502</v>
      </c>
      <c r="C1208" s="800">
        <v>93517</v>
      </c>
    </row>
    <row r="1209" spans="2:3" x14ac:dyDescent="0.25">
      <c r="B1209" s="796" t="s">
        <v>1501</v>
      </c>
      <c r="C1209" s="800">
        <v>93511</v>
      </c>
    </row>
    <row r="1210" spans="2:3" x14ac:dyDescent="0.25">
      <c r="B1210" s="796" t="s">
        <v>2026</v>
      </c>
      <c r="C1210" s="800">
        <v>99631</v>
      </c>
    </row>
    <row r="1211" spans="2:3" x14ac:dyDescent="0.25">
      <c r="B1211" s="796" t="s">
        <v>1994</v>
      </c>
      <c r="C1211" s="800">
        <v>99261</v>
      </c>
    </row>
    <row r="1212" spans="2:3" x14ac:dyDescent="0.25">
      <c r="B1212" s="796" t="s">
        <v>1914</v>
      </c>
      <c r="C1212" s="800">
        <v>98241</v>
      </c>
    </row>
    <row r="1213" spans="2:3" x14ac:dyDescent="0.25">
      <c r="B1213" s="796" t="s">
        <v>1993</v>
      </c>
      <c r="C1213" s="800">
        <v>99252</v>
      </c>
    </row>
    <row r="1214" spans="2:3" x14ac:dyDescent="0.25">
      <c r="B1214" s="796" t="s">
        <v>1992</v>
      </c>
      <c r="C1214" s="800">
        <v>99251</v>
      </c>
    </row>
    <row r="1215" spans="2:3" x14ac:dyDescent="0.25">
      <c r="B1215" s="796" t="s">
        <v>1761</v>
      </c>
      <c r="C1215" s="800">
        <v>96631</v>
      </c>
    </row>
    <row r="1216" spans="2:3" x14ac:dyDescent="0.25">
      <c r="B1216" s="796" t="s">
        <v>1513</v>
      </c>
      <c r="C1216" s="800">
        <v>93618</v>
      </c>
    </row>
    <row r="1217" spans="2:3" x14ac:dyDescent="0.25">
      <c r="B1217" s="796" t="s">
        <v>1508</v>
      </c>
      <c r="C1217" s="800">
        <v>93601</v>
      </c>
    </row>
    <row r="1218" spans="2:3" x14ac:dyDescent="0.25">
      <c r="B1218" s="796" t="s">
        <v>1763</v>
      </c>
      <c r="C1218" s="800">
        <v>96651</v>
      </c>
    </row>
    <row r="1219" spans="2:3" x14ac:dyDescent="0.25">
      <c r="B1219" s="796" t="s">
        <v>1512</v>
      </c>
      <c r="C1219" s="800">
        <v>93617</v>
      </c>
    </row>
    <row r="1220" spans="2:3" x14ac:dyDescent="0.25">
      <c r="B1220" s="796" t="s">
        <v>1511</v>
      </c>
      <c r="C1220" s="800">
        <v>93611</v>
      </c>
    </row>
    <row r="1221" spans="2:3" x14ac:dyDescent="0.25">
      <c r="B1221" s="796" t="s">
        <v>1525</v>
      </c>
      <c r="C1221" s="800">
        <v>93701</v>
      </c>
    </row>
    <row r="1222" spans="2:3" x14ac:dyDescent="0.25">
      <c r="B1222" s="796" t="s">
        <v>1526</v>
      </c>
      <c r="C1222" s="800">
        <v>93704</v>
      </c>
    </row>
    <row r="1223" spans="2:3" x14ac:dyDescent="0.25">
      <c r="B1223" s="796" t="s">
        <v>1924</v>
      </c>
      <c r="C1223" s="800">
        <v>98331</v>
      </c>
    </row>
    <row r="1224" spans="2:3" x14ac:dyDescent="0.25">
      <c r="B1224" s="796" t="s">
        <v>1559</v>
      </c>
      <c r="C1224" s="800">
        <v>94157</v>
      </c>
    </row>
    <row r="1225" spans="2:3" x14ac:dyDescent="0.25">
      <c r="B1225" s="796" t="s">
        <v>1558</v>
      </c>
      <c r="C1225" s="800">
        <v>94151</v>
      </c>
    </row>
    <row r="1226" spans="2:3" x14ac:dyDescent="0.25">
      <c r="B1226" s="796" t="s">
        <v>1312</v>
      </c>
      <c r="C1226" s="800">
        <v>91241</v>
      </c>
    </row>
    <row r="1227" spans="2:3" x14ac:dyDescent="0.25">
      <c r="B1227" s="796" t="s">
        <v>1662</v>
      </c>
      <c r="C1227" s="800">
        <v>95412</v>
      </c>
    </row>
    <row r="1228" spans="2:3" x14ac:dyDescent="0.25">
      <c r="B1228" s="796" t="s">
        <v>3553</v>
      </c>
      <c r="C1228" s="800">
        <v>99613</v>
      </c>
    </row>
    <row r="1229" spans="2:3" x14ac:dyDescent="0.25">
      <c r="B1229" s="796" t="s">
        <v>2023</v>
      </c>
      <c r="C1229" s="800">
        <v>99611</v>
      </c>
    </row>
    <row r="1230" spans="2:3" x14ac:dyDescent="0.25">
      <c r="B1230" s="796" t="s">
        <v>1370</v>
      </c>
      <c r="C1230" s="800">
        <v>91908</v>
      </c>
    </row>
    <row r="1231" spans="2:3" x14ac:dyDescent="0.25">
      <c r="B1231" s="796" t="s">
        <v>1527</v>
      </c>
      <c r="C1231" s="800">
        <v>93801</v>
      </c>
    </row>
    <row r="1232" spans="2:3" x14ac:dyDescent="0.25">
      <c r="B1232" s="796" t="s">
        <v>3554</v>
      </c>
      <c r="C1232" s="800">
        <v>93806</v>
      </c>
    </row>
    <row r="1233" spans="2:3" x14ac:dyDescent="0.25">
      <c r="B1233" s="796" t="s">
        <v>1528</v>
      </c>
      <c r="C1233" s="800">
        <v>93803</v>
      </c>
    </row>
    <row r="1234" spans="2:3" x14ac:dyDescent="0.25">
      <c r="B1234" s="796" t="s">
        <v>1197</v>
      </c>
      <c r="C1234" s="800">
        <v>90121</v>
      </c>
    </row>
    <row r="1235" spans="2:3" x14ac:dyDescent="0.25">
      <c r="B1235" s="796" t="s">
        <v>1327</v>
      </c>
      <c r="C1235" s="800">
        <v>91417</v>
      </c>
    </row>
    <row r="1236" spans="2:3" x14ac:dyDescent="0.25">
      <c r="B1236" s="796" t="s">
        <v>1326</v>
      </c>
      <c r="C1236" s="800">
        <v>91411</v>
      </c>
    </row>
    <row r="1237" spans="2:3" x14ac:dyDescent="0.25">
      <c r="B1237" s="796" t="s">
        <v>1891</v>
      </c>
      <c r="C1237" s="800">
        <v>98061</v>
      </c>
    </row>
    <row r="1238" spans="2:3" x14ac:dyDescent="0.25">
      <c r="B1238" s="796" t="s">
        <v>1530</v>
      </c>
      <c r="C1238" s="800">
        <v>93901</v>
      </c>
    </row>
    <row r="1239" spans="2:3" x14ac:dyDescent="0.25">
      <c r="B1239" s="796" t="s">
        <v>1531</v>
      </c>
      <c r="C1239" s="800">
        <v>93904</v>
      </c>
    </row>
    <row r="1240" spans="2:3" x14ac:dyDescent="0.25">
      <c r="B1240" s="796" t="s">
        <v>1532</v>
      </c>
      <c r="C1240" s="800">
        <v>93906</v>
      </c>
    </row>
    <row r="1241" spans="2:3" x14ac:dyDescent="0.25">
      <c r="B1241" s="796" t="s">
        <v>1533</v>
      </c>
      <c r="C1241" s="800">
        <v>93908</v>
      </c>
    </row>
    <row r="1242" spans="2:3" x14ac:dyDescent="0.25">
      <c r="B1242" s="796" t="s">
        <v>1618</v>
      </c>
      <c r="C1242" s="800">
        <v>94908</v>
      </c>
    </row>
    <row r="1243" spans="2:3" x14ac:dyDescent="0.25">
      <c r="B1243" s="796" t="s">
        <v>1201</v>
      </c>
      <c r="C1243" s="800">
        <v>90161</v>
      </c>
    </row>
    <row r="1244" spans="2:3" x14ac:dyDescent="0.25">
      <c r="B1244" s="796" t="s">
        <v>1540</v>
      </c>
      <c r="C1244" s="800">
        <v>94001</v>
      </c>
    </row>
    <row r="1245" spans="2:3" x14ac:dyDescent="0.25">
      <c r="B1245" s="796" t="s">
        <v>1542</v>
      </c>
      <c r="C1245" s="800">
        <v>94004</v>
      </c>
    </row>
    <row r="1246" spans="2:3" x14ac:dyDescent="0.25">
      <c r="B1246" s="796" t="s">
        <v>1553</v>
      </c>
      <c r="C1246" s="800">
        <v>94117</v>
      </c>
    </row>
    <row r="1247" spans="2:3" x14ac:dyDescent="0.25">
      <c r="B1247" s="796" t="s">
        <v>1551</v>
      </c>
      <c r="C1247" s="800">
        <v>94111</v>
      </c>
    </row>
    <row r="1248" spans="2:3" x14ac:dyDescent="0.25">
      <c r="B1248" s="796" t="s">
        <v>1816</v>
      </c>
      <c r="C1248" s="800">
        <v>97413</v>
      </c>
    </row>
    <row r="1249" spans="2:3" x14ac:dyDescent="0.25">
      <c r="B1249" s="796" t="s">
        <v>1815</v>
      </c>
      <c r="C1249" s="800">
        <v>97412</v>
      </c>
    </row>
    <row r="1250" spans="2:3" x14ac:dyDescent="0.25">
      <c r="B1250" s="796" t="s">
        <v>1814</v>
      </c>
      <c r="C1250" s="800">
        <v>97411</v>
      </c>
    </row>
    <row r="1251" spans="2:3" x14ac:dyDescent="0.25">
      <c r="B1251" s="796" t="s">
        <v>1819</v>
      </c>
      <c r="C1251" s="800">
        <v>97431</v>
      </c>
    </row>
    <row r="1252" spans="2:3" x14ac:dyDescent="0.25">
      <c r="B1252" s="796" t="s">
        <v>1824</v>
      </c>
      <c r="C1252" s="800">
        <v>97471</v>
      </c>
    </row>
    <row r="1253" spans="2:3" x14ac:dyDescent="0.25">
      <c r="B1253" s="796" t="s">
        <v>1393</v>
      </c>
      <c r="C1253" s="800">
        <v>92351</v>
      </c>
    </row>
    <row r="1254" spans="2:3" x14ac:dyDescent="0.25">
      <c r="B1254" s="796" t="s">
        <v>1554</v>
      </c>
      <c r="C1254" s="800">
        <v>94118</v>
      </c>
    </row>
    <row r="1255" spans="2:3" x14ac:dyDescent="0.25">
      <c r="B1255" s="796" t="s">
        <v>1547</v>
      </c>
      <c r="C1255" s="800">
        <v>94101</v>
      </c>
    </row>
    <row r="1256" spans="2:3" x14ac:dyDescent="0.25">
      <c r="B1256" s="796" t="s">
        <v>1548</v>
      </c>
      <c r="C1256" s="800">
        <v>94102</v>
      </c>
    </row>
    <row r="1257" spans="2:3" x14ac:dyDescent="0.25">
      <c r="B1257" s="796" t="s">
        <v>1564</v>
      </c>
      <c r="C1257" s="800">
        <v>94201</v>
      </c>
    </row>
    <row r="1258" spans="2:3" x14ac:dyDescent="0.25">
      <c r="B1258" s="796" t="s">
        <v>1565</v>
      </c>
      <c r="C1258" s="800">
        <v>94204</v>
      </c>
    </row>
    <row r="1259" spans="2:3" x14ac:dyDescent="0.25">
      <c r="B1259" s="796" t="s">
        <v>1566</v>
      </c>
      <c r="C1259" s="800">
        <v>94205</v>
      </c>
    </row>
    <row r="1260" spans="2:3" x14ac:dyDescent="0.25">
      <c r="B1260" s="796" t="s">
        <v>1686</v>
      </c>
      <c r="C1260" s="800">
        <v>95831</v>
      </c>
    </row>
    <row r="1261" spans="2:3" x14ac:dyDescent="0.25">
      <c r="B1261" s="796" t="s">
        <v>1847</v>
      </c>
      <c r="C1261" s="800">
        <v>97717</v>
      </c>
    </row>
    <row r="1262" spans="2:3" x14ac:dyDescent="0.25">
      <c r="B1262" s="796" t="s">
        <v>1848</v>
      </c>
      <c r="C1262" s="800">
        <v>97721</v>
      </c>
    </row>
    <row r="1263" spans="2:3" x14ac:dyDescent="0.25">
      <c r="B1263" s="796" t="s">
        <v>1574</v>
      </c>
      <c r="C1263" s="800">
        <v>94301</v>
      </c>
    </row>
    <row r="1264" spans="2:3" x14ac:dyDescent="0.25">
      <c r="B1264" s="796" t="s">
        <v>1331</v>
      </c>
      <c r="C1264" s="800">
        <v>91441</v>
      </c>
    </row>
    <row r="1265" spans="2:3" x14ac:dyDescent="0.25">
      <c r="B1265" s="796" t="s">
        <v>1414</v>
      </c>
      <c r="C1265" s="800">
        <v>92531</v>
      </c>
    </row>
    <row r="1266" spans="2:3" x14ac:dyDescent="0.25">
      <c r="B1266" s="796" t="s">
        <v>1199</v>
      </c>
      <c r="C1266" s="800">
        <v>90141</v>
      </c>
    </row>
    <row r="1267" spans="2:3" x14ac:dyDescent="0.25">
      <c r="B1267" s="796" t="s">
        <v>1583</v>
      </c>
      <c r="C1267" s="800">
        <v>94401</v>
      </c>
    </row>
    <row r="1268" spans="2:3" x14ac:dyDescent="0.25">
      <c r="B1268" s="796" t="s">
        <v>1584</v>
      </c>
      <c r="C1268" s="800">
        <v>94402</v>
      </c>
    </row>
    <row r="1269" spans="2:3" x14ac:dyDescent="0.25">
      <c r="B1269" s="796" t="s">
        <v>1593</v>
      </c>
      <c r="C1269" s="800">
        <v>94501</v>
      </c>
    </row>
    <row r="1270" spans="2:3" x14ac:dyDescent="0.25">
      <c r="B1270" s="796" t="s">
        <v>1975</v>
      </c>
      <c r="C1270" s="800">
        <v>99111</v>
      </c>
    </row>
    <row r="1271" spans="2:3" x14ac:dyDescent="0.25">
      <c r="B1271" s="796" t="s">
        <v>1596</v>
      </c>
      <c r="C1271" s="800">
        <v>94517</v>
      </c>
    </row>
    <row r="1272" spans="2:3" x14ac:dyDescent="0.25">
      <c r="B1272" s="796" t="s">
        <v>1595</v>
      </c>
      <c r="C1272" s="800">
        <v>94512</v>
      </c>
    </row>
    <row r="1273" spans="2:3" x14ac:dyDescent="0.25">
      <c r="B1273" s="796" t="s">
        <v>1594</v>
      </c>
      <c r="C1273" s="800">
        <v>94511</v>
      </c>
    </row>
    <row r="1274" spans="2:3" x14ac:dyDescent="0.25">
      <c r="B1274" s="796" t="s">
        <v>1805</v>
      </c>
      <c r="C1274" s="800">
        <v>97217</v>
      </c>
    </row>
    <row r="1275" spans="2:3" x14ac:dyDescent="0.25">
      <c r="B1275" s="796" t="s">
        <v>1604</v>
      </c>
      <c r="C1275" s="800">
        <v>94601</v>
      </c>
    </row>
    <row r="1276" spans="2:3" x14ac:dyDescent="0.25">
      <c r="B1276" s="796" t="s">
        <v>1605</v>
      </c>
      <c r="C1276" s="800">
        <v>94604</v>
      </c>
    </row>
    <row r="1277" spans="2:3" x14ac:dyDescent="0.25">
      <c r="B1277" s="796" t="s">
        <v>1606</v>
      </c>
      <c r="C1277" s="800">
        <v>94606</v>
      </c>
    </row>
    <row r="1278" spans="2:3" x14ac:dyDescent="0.25">
      <c r="B1278" s="796" t="s">
        <v>1804</v>
      </c>
      <c r="C1278" s="800">
        <v>97213</v>
      </c>
    </row>
    <row r="1279" spans="2:3" x14ac:dyDescent="0.25">
      <c r="B1279" s="796" t="s">
        <v>1803</v>
      </c>
      <c r="C1279" s="800">
        <v>97211</v>
      </c>
    </row>
    <row r="1280" spans="2:3" x14ac:dyDescent="0.25">
      <c r="B1280" s="796" t="s">
        <v>1357</v>
      </c>
      <c r="C1280" s="800">
        <v>91813</v>
      </c>
    </row>
    <row r="1281" spans="2:3" x14ac:dyDescent="0.25">
      <c r="B1281" s="796" t="s">
        <v>1355</v>
      </c>
      <c r="C1281" s="800">
        <v>91811</v>
      </c>
    </row>
    <row r="1282" spans="2:3" x14ac:dyDescent="0.25">
      <c r="B1282" s="796" t="s">
        <v>1356</v>
      </c>
      <c r="C1282" s="800">
        <v>91812</v>
      </c>
    </row>
    <row r="1283" spans="2:3" x14ac:dyDescent="0.25">
      <c r="B1283" s="796" t="s">
        <v>1226</v>
      </c>
      <c r="C1283" s="800">
        <v>90617</v>
      </c>
    </row>
    <row r="1284" spans="2:3" x14ac:dyDescent="0.25">
      <c r="B1284" s="796" t="s">
        <v>1556</v>
      </c>
      <c r="C1284" s="800">
        <v>94127</v>
      </c>
    </row>
    <row r="1285" spans="2:3" x14ac:dyDescent="0.25">
      <c r="B1285" s="796" t="s">
        <v>1555</v>
      </c>
      <c r="C1285" s="800">
        <v>94121</v>
      </c>
    </row>
    <row r="1286" spans="2:3" x14ac:dyDescent="0.25">
      <c r="B1286" s="796" t="s">
        <v>1674</v>
      </c>
      <c r="C1286" s="800">
        <v>95617</v>
      </c>
    </row>
    <row r="1287" spans="2:3" x14ac:dyDescent="0.25">
      <c r="B1287" s="796" t="s">
        <v>1675</v>
      </c>
      <c r="C1287" s="800">
        <v>95621</v>
      </c>
    </row>
    <row r="1288" spans="2:3" x14ac:dyDescent="0.25">
      <c r="B1288" s="796" t="s">
        <v>1313</v>
      </c>
      <c r="C1288" s="800">
        <v>91251</v>
      </c>
    </row>
    <row r="1289" spans="2:3" x14ac:dyDescent="0.25">
      <c r="B1289" s="796" t="s">
        <v>1781</v>
      </c>
      <c r="C1289" s="800">
        <v>96831</v>
      </c>
    </row>
    <row r="1290" spans="2:3" x14ac:dyDescent="0.25">
      <c r="B1290" s="796" t="s">
        <v>1572</v>
      </c>
      <c r="C1290" s="800">
        <v>94251</v>
      </c>
    </row>
    <row r="1291" spans="2:3" x14ac:dyDescent="0.25">
      <c r="B1291" s="796" t="s">
        <v>1611</v>
      </c>
      <c r="C1291" s="800">
        <v>94701</v>
      </c>
    </row>
    <row r="1292" spans="2:3" x14ac:dyDescent="0.25">
      <c r="B1292" s="796" t="s">
        <v>1612</v>
      </c>
      <c r="C1292" s="800">
        <v>94704</v>
      </c>
    </row>
    <row r="1293" spans="2:3" x14ac:dyDescent="0.25">
      <c r="B1293" s="796" t="s">
        <v>1264</v>
      </c>
      <c r="C1293" s="800">
        <v>91014</v>
      </c>
    </row>
    <row r="1294" spans="2:3" x14ac:dyDescent="0.25">
      <c r="B1294" s="796" t="s">
        <v>1773</v>
      </c>
      <c r="C1294" s="800">
        <v>96733</v>
      </c>
    </row>
    <row r="1295" spans="2:3" x14ac:dyDescent="0.25">
      <c r="B1295" s="796" t="s">
        <v>1772</v>
      </c>
      <c r="C1295" s="800">
        <v>96731</v>
      </c>
    </row>
    <row r="1296" spans="2:3" x14ac:dyDescent="0.25">
      <c r="B1296" s="796" t="s">
        <v>1977</v>
      </c>
      <c r="C1296" s="800">
        <v>99202</v>
      </c>
    </row>
    <row r="1297" spans="2:3" x14ac:dyDescent="0.25">
      <c r="B1297" s="796" t="s">
        <v>1544</v>
      </c>
      <c r="C1297" s="800">
        <v>94011</v>
      </c>
    </row>
    <row r="1298" spans="2:3" x14ac:dyDescent="0.25">
      <c r="B1298" s="796" t="s">
        <v>1427</v>
      </c>
      <c r="C1298" s="800">
        <v>92631</v>
      </c>
    </row>
    <row r="1299" spans="2:3" x14ac:dyDescent="0.25">
      <c r="B1299" s="796" t="s">
        <v>1679</v>
      </c>
      <c r="C1299" s="800">
        <v>95733</v>
      </c>
    </row>
    <row r="1300" spans="2:3" x14ac:dyDescent="0.25">
      <c r="B1300" s="796" t="s">
        <v>1330</v>
      </c>
      <c r="C1300" s="800">
        <v>91431</v>
      </c>
    </row>
    <row r="1301" spans="2:3" x14ac:dyDescent="0.25">
      <c r="B1301" s="796" t="s">
        <v>1704</v>
      </c>
      <c r="C1301" s="800">
        <v>96041</v>
      </c>
    </row>
    <row r="1302" spans="2:3" x14ac:dyDescent="0.25">
      <c r="B1302" s="796" t="s">
        <v>1614</v>
      </c>
      <c r="C1302" s="800">
        <v>94801</v>
      </c>
    </row>
    <row r="1303" spans="2:3" x14ac:dyDescent="0.25">
      <c r="B1303" s="796" t="s">
        <v>1615</v>
      </c>
      <c r="C1303" s="800">
        <v>94804</v>
      </c>
    </row>
    <row r="1304" spans="2:3" x14ac:dyDescent="0.25">
      <c r="B1304" s="796" t="s">
        <v>1346</v>
      </c>
      <c r="C1304" s="800">
        <v>91661</v>
      </c>
    </row>
    <row r="1305" spans="2:3" x14ac:dyDescent="0.25">
      <c r="B1305" s="796" t="s">
        <v>3555</v>
      </c>
      <c r="C1305" s="800">
        <v>99014</v>
      </c>
    </row>
    <row r="1306" spans="2:3" x14ac:dyDescent="0.25">
      <c r="B1306" s="796" t="s">
        <v>1966</v>
      </c>
      <c r="C1306" s="800">
        <v>99051</v>
      </c>
    </row>
    <row r="1307" spans="2:3" x14ac:dyDescent="0.25">
      <c r="B1307" s="796" t="s">
        <v>1617</v>
      </c>
      <c r="C1307" s="800">
        <v>94901</v>
      </c>
    </row>
    <row r="1308" spans="2:3" x14ac:dyDescent="0.25">
      <c r="B1308" s="796" t="s">
        <v>1899</v>
      </c>
      <c r="C1308" s="800">
        <v>98109</v>
      </c>
    </row>
    <row r="1309" spans="2:3" x14ac:dyDescent="0.25">
      <c r="B1309" s="796" t="s">
        <v>1908</v>
      </c>
      <c r="C1309" s="800">
        <v>98205</v>
      </c>
    </row>
    <row r="1310" spans="2:3" x14ac:dyDescent="0.25">
      <c r="B1310" s="796" t="s">
        <v>1626</v>
      </c>
      <c r="C1310" s="800">
        <v>95001</v>
      </c>
    </row>
    <row r="1311" spans="2:3" x14ac:dyDescent="0.25">
      <c r="B1311" s="796" t="s">
        <v>3556</v>
      </c>
      <c r="C1311" s="800">
        <v>95017</v>
      </c>
    </row>
    <row r="1312" spans="2:3" x14ac:dyDescent="0.25">
      <c r="B1312" s="796" t="s">
        <v>1764</v>
      </c>
      <c r="C1312" s="800">
        <v>96661</v>
      </c>
    </row>
    <row r="1313" spans="2:3" x14ac:dyDescent="0.25">
      <c r="B1313" s="796" t="s">
        <v>1770</v>
      </c>
      <c r="C1313" s="800">
        <v>96711</v>
      </c>
    </row>
    <row r="1314" spans="2:3" x14ac:dyDescent="0.25">
      <c r="B1314" s="796" t="s">
        <v>1557</v>
      </c>
      <c r="C1314" s="800">
        <v>94131</v>
      </c>
    </row>
    <row r="1315" spans="2:3" x14ac:dyDescent="0.25">
      <c r="B1315" s="796" t="s">
        <v>1687</v>
      </c>
      <c r="C1315" s="800">
        <v>95841</v>
      </c>
    </row>
    <row r="1316" spans="2:3" x14ac:dyDescent="0.25">
      <c r="B1316" s="796" t="s">
        <v>1221</v>
      </c>
      <c r="C1316" s="800">
        <v>90511</v>
      </c>
    </row>
    <row r="1317" spans="2:3" x14ac:dyDescent="0.25">
      <c r="B1317" s="796" t="s">
        <v>1632</v>
      </c>
      <c r="C1317" s="800">
        <v>95101</v>
      </c>
    </row>
    <row r="1318" spans="2:3" x14ac:dyDescent="0.25">
      <c r="B1318" s="796" t="s">
        <v>1634</v>
      </c>
      <c r="C1318" s="800">
        <v>95104</v>
      </c>
    </row>
    <row r="1319" spans="2:3" x14ac:dyDescent="0.25">
      <c r="B1319" s="796" t="s">
        <v>1635</v>
      </c>
      <c r="C1319" s="800">
        <v>95105</v>
      </c>
    </row>
    <row r="1320" spans="2:3" x14ac:dyDescent="0.25">
      <c r="B1320" s="796" t="s">
        <v>3557</v>
      </c>
      <c r="C1320" s="800">
        <v>95110</v>
      </c>
    </row>
    <row r="1321" spans="2:3" x14ac:dyDescent="0.25">
      <c r="B1321" s="796" t="s">
        <v>1649</v>
      </c>
      <c r="C1321" s="800">
        <v>95201</v>
      </c>
    </row>
    <row r="1322" spans="2:3" x14ac:dyDescent="0.25">
      <c r="B1322" s="796" t="s">
        <v>1650</v>
      </c>
      <c r="C1322" s="800">
        <v>95204</v>
      </c>
    </row>
    <row r="1323" spans="2:3" x14ac:dyDescent="0.25">
      <c r="B1323" s="796" t="s">
        <v>2047</v>
      </c>
      <c r="C1323" s="800">
        <v>99921</v>
      </c>
    </row>
    <row r="1324" spans="2:3" x14ac:dyDescent="0.25">
      <c r="B1324" s="796" t="s">
        <v>1585</v>
      </c>
      <c r="C1324" s="800">
        <v>94408</v>
      </c>
    </row>
    <row r="1325" spans="2:3" x14ac:dyDescent="0.25">
      <c r="B1325" s="796" t="s">
        <v>1323</v>
      </c>
      <c r="C1325" s="800">
        <v>91331</v>
      </c>
    </row>
    <row r="1326" spans="2:3" x14ac:dyDescent="0.25">
      <c r="B1326" s="796" t="s">
        <v>1460</v>
      </c>
      <c r="C1326" s="800">
        <v>93127</v>
      </c>
    </row>
    <row r="1327" spans="2:3" x14ac:dyDescent="0.25">
      <c r="B1327" s="796" t="s">
        <v>1459</v>
      </c>
      <c r="C1327" s="800">
        <v>93121</v>
      </c>
    </row>
    <row r="1328" spans="2:3" x14ac:dyDescent="0.25">
      <c r="B1328" s="796" t="s">
        <v>1646</v>
      </c>
      <c r="C1328" s="800">
        <v>95171</v>
      </c>
    </row>
    <row r="1329" spans="2:3" x14ac:dyDescent="0.25">
      <c r="B1329" s="796" t="s">
        <v>1493</v>
      </c>
      <c r="C1329" s="800">
        <v>93421</v>
      </c>
    </row>
    <row r="1330" spans="2:3" x14ac:dyDescent="0.25">
      <c r="B1330" s="796" t="s">
        <v>1974</v>
      </c>
      <c r="C1330" s="800">
        <v>99110</v>
      </c>
    </row>
    <row r="1331" spans="2:3" x14ac:dyDescent="0.25">
      <c r="B1331" s="796" t="s">
        <v>1973</v>
      </c>
      <c r="C1331" s="800">
        <v>99109</v>
      </c>
    </row>
    <row r="1332" spans="2:3" x14ac:dyDescent="0.25">
      <c r="B1332" s="796" t="s">
        <v>1439</v>
      </c>
      <c r="C1332" s="800">
        <v>92821</v>
      </c>
    </row>
    <row r="1333" spans="2:3" x14ac:dyDescent="0.25">
      <c r="B1333" s="796" t="s">
        <v>1937</v>
      </c>
      <c r="C1333" s="800">
        <v>98521</v>
      </c>
    </row>
    <row r="1334" spans="2:3" x14ac:dyDescent="0.25">
      <c r="B1334" s="796" t="s">
        <v>1390</v>
      </c>
      <c r="C1334" s="800">
        <v>92327</v>
      </c>
    </row>
    <row r="1335" spans="2:3" x14ac:dyDescent="0.25">
      <c r="B1335" s="796" t="s">
        <v>1389</v>
      </c>
      <c r="C1335" s="800">
        <v>92321</v>
      </c>
    </row>
    <row r="1336" spans="2:3" x14ac:dyDescent="0.25">
      <c r="B1336" s="796" t="s">
        <v>1663</v>
      </c>
      <c r="C1336" s="800">
        <v>95413</v>
      </c>
    </row>
    <row r="1337" spans="2:3" x14ac:dyDescent="0.25">
      <c r="B1337" s="796" t="s">
        <v>1661</v>
      </c>
      <c r="C1337" s="800">
        <v>95411</v>
      </c>
    </row>
    <row r="1338" spans="2:3" x14ac:dyDescent="0.25">
      <c r="B1338" s="796" t="s">
        <v>1664</v>
      </c>
      <c r="C1338" s="800">
        <v>95415</v>
      </c>
    </row>
    <row r="1339" spans="2:3" x14ac:dyDescent="0.25">
      <c r="B1339" s="796" t="s">
        <v>1442</v>
      </c>
      <c r="C1339" s="800">
        <v>92851</v>
      </c>
    </row>
    <row r="1340" spans="2:3" x14ac:dyDescent="0.25">
      <c r="B1340" s="796" t="s">
        <v>1997</v>
      </c>
      <c r="C1340" s="800">
        <v>99291</v>
      </c>
    </row>
    <row r="1341" spans="2:3" x14ac:dyDescent="0.25">
      <c r="B1341" s="796" t="s">
        <v>1755</v>
      </c>
      <c r="C1341" s="800">
        <v>96541</v>
      </c>
    </row>
    <row r="1342" spans="2:3" x14ac:dyDescent="0.25">
      <c r="B1342" s="796" t="s">
        <v>1666</v>
      </c>
      <c r="C1342" s="800">
        <v>95431</v>
      </c>
    </row>
    <row r="1343" spans="2:3" x14ac:dyDescent="0.25">
      <c r="B1343" s="796" t="s">
        <v>1903</v>
      </c>
      <c r="C1343" s="800">
        <v>98131</v>
      </c>
    </row>
    <row r="1344" spans="2:3" x14ac:dyDescent="0.25">
      <c r="B1344" s="796" t="s">
        <v>1400</v>
      </c>
      <c r="C1344" s="800">
        <v>92427</v>
      </c>
    </row>
    <row r="1345" spans="2:3" x14ac:dyDescent="0.25">
      <c r="B1345" s="796" t="s">
        <v>1404</v>
      </c>
      <c r="C1345" s="800">
        <v>92461</v>
      </c>
    </row>
    <row r="1346" spans="2:3" x14ac:dyDescent="0.25">
      <c r="B1346" s="796" t="s">
        <v>1890</v>
      </c>
      <c r="C1346" s="800">
        <v>98051</v>
      </c>
    </row>
    <row r="1347" spans="2:3" x14ac:dyDescent="0.25">
      <c r="B1347" s="796" t="s">
        <v>1283</v>
      </c>
      <c r="C1347" s="800">
        <v>91102</v>
      </c>
    </row>
    <row r="1348" spans="2:3" x14ac:dyDescent="0.25">
      <c r="B1348" s="796" t="s">
        <v>1598</v>
      </c>
      <c r="C1348" s="800">
        <v>94527</v>
      </c>
    </row>
    <row r="1349" spans="2:3" x14ac:dyDescent="0.25">
      <c r="B1349" s="796" t="s">
        <v>1597</v>
      </c>
      <c r="C1349" s="800">
        <v>94521</v>
      </c>
    </row>
    <row r="1350" spans="2:3" x14ac:dyDescent="0.25">
      <c r="B1350" s="796" t="s">
        <v>1922</v>
      </c>
      <c r="C1350" s="800">
        <v>98313</v>
      </c>
    </row>
    <row r="1351" spans="2:3" x14ac:dyDescent="0.25">
      <c r="B1351" s="796" t="s">
        <v>1921</v>
      </c>
      <c r="C1351" s="800">
        <v>98311</v>
      </c>
    </row>
    <row r="1352" spans="2:3" x14ac:dyDescent="0.25">
      <c r="B1352" s="796" t="s">
        <v>1920</v>
      </c>
      <c r="C1352" s="800">
        <v>98308</v>
      </c>
    </row>
    <row r="1353" spans="2:3" x14ac:dyDescent="0.25">
      <c r="B1353" s="796" t="s">
        <v>1392</v>
      </c>
      <c r="C1353" s="800">
        <v>92341</v>
      </c>
    </row>
    <row r="1354" spans="2:3" x14ac:dyDescent="0.25">
      <c r="B1354" s="796" t="s">
        <v>1654</v>
      </c>
      <c r="C1354" s="800">
        <v>95301</v>
      </c>
    </row>
    <row r="1355" spans="2:3" x14ac:dyDescent="0.25">
      <c r="B1355" s="796" t="s">
        <v>1255</v>
      </c>
      <c r="C1355" s="800">
        <v>91002</v>
      </c>
    </row>
    <row r="1356" spans="2:3" x14ac:dyDescent="0.25">
      <c r="B1356" s="796" t="s">
        <v>1333</v>
      </c>
      <c r="C1356" s="800">
        <v>91457</v>
      </c>
    </row>
    <row r="1357" spans="2:3" x14ac:dyDescent="0.25">
      <c r="B1357" s="796" t="s">
        <v>1658</v>
      </c>
      <c r="C1357" s="800">
        <v>95401</v>
      </c>
    </row>
    <row r="1358" spans="2:3" x14ac:dyDescent="0.25">
      <c r="B1358" s="796" t="s">
        <v>1659</v>
      </c>
      <c r="C1358" s="800">
        <v>95404</v>
      </c>
    </row>
    <row r="1359" spans="2:3" x14ac:dyDescent="0.25">
      <c r="B1359" s="796" t="s">
        <v>1329</v>
      </c>
      <c r="C1359" s="800">
        <v>91423</v>
      </c>
    </row>
    <row r="1360" spans="2:3" x14ac:dyDescent="0.25">
      <c r="B1360" s="796" t="s">
        <v>1332</v>
      </c>
      <c r="C1360" s="800">
        <v>91451</v>
      </c>
    </row>
    <row r="1361" spans="2:3" x14ac:dyDescent="0.25">
      <c r="B1361" s="796" t="s">
        <v>1246</v>
      </c>
      <c r="C1361" s="800">
        <v>90861</v>
      </c>
    </row>
    <row r="1362" spans="2:3" x14ac:dyDescent="0.25">
      <c r="B1362" s="796" t="s">
        <v>1497</v>
      </c>
      <c r="C1362" s="800">
        <v>93451</v>
      </c>
    </row>
    <row r="1363" spans="2:3" x14ac:dyDescent="0.25">
      <c r="B1363" s="796" t="s">
        <v>1447</v>
      </c>
      <c r="C1363" s="800">
        <v>92917</v>
      </c>
    </row>
    <row r="1364" spans="2:3" x14ac:dyDescent="0.25">
      <c r="B1364" s="796" t="s">
        <v>1449</v>
      </c>
      <c r="C1364" s="800">
        <v>92931</v>
      </c>
    </row>
    <row r="1365" spans="2:3" x14ac:dyDescent="0.25">
      <c r="B1365" s="796" t="s">
        <v>1839</v>
      </c>
      <c r="C1365" s="800">
        <v>97637</v>
      </c>
    </row>
    <row r="1366" spans="2:3" x14ac:dyDescent="0.25">
      <c r="B1366" s="796" t="s">
        <v>1838</v>
      </c>
      <c r="C1366" s="800">
        <v>97631</v>
      </c>
    </row>
    <row r="1367" spans="2:3" x14ac:dyDescent="0.25">
      <c r="B1367" s="796" t="s">
        <v>1214</v>
      </c>
      <c r="C1367" s="800">
        <v>90421</v>
      </c>
    </row>
    <row r="1368" spans="2:3" x14ac:dyDescent="0.25">
      <c r="B1368" s="796" t="s">
        <v>1578</v>
      </c>
      <c r="C1368" s="800">
        <v>94321</v>
      </c>
    </row>
    <row r="1369" spans="2:3" x14ac:dyDescent="0.25">
      <c r="B1369" s="796" t="s">
        <v>1667</v>
      </c>
      <c r="C1369" s="800">
        <v>95501</v>
      </c>
    </row>
    <row r="1370" spans="2:3" x14ac:dyDescent="0.25">
      <c r="B1370" s="796" t="s">
        <v>1668</v>
      </c>
      <c r="C1370" s="800">
        <v>95504</v>
      </c>
    </row>
    <row r="1371" spans="2:3" x14ac:dyDescent="0.25">
      <c r="B1371" s="796" t="s">
        <v>1671</v>
      </c>
      <c r="C1371" s="800">
        <v>95517</v>
      </c>
    </row>
    <row r="1372" spans="2:3" x14ac:dyDescent="0.25">
      <c r="B1372" s="796" t="s">
        <v>1670</v>
      </c>
      <c r="C1372" s="800">
        <v>95513</v>
      </c>
    </row>
    <row r="1373" spans="2:3" x14ac:dyDescent="0.25">
      <c r="B1373" s="796" t="s">
        <v>1669</v>
      </c>
      <c r="C1373" s="800">
        <v>95511</v>
      </c>
    </row>
    <row r="1374" spans="2:3" x14ac:dyDescent="0.25">
      <c r="B1374" s="796" t="s">
        <v>1429</v>
      </c>
      <c r="C1374" s="800">
        <v>92651</v>
      </c>
    </row>
    <row r="1375" spans="2:3" x14ac:dyDescent="0.25">
      <c r="B1375" s="796" t="s">
        <v>1573</v>
      </c>
      <c r="C1375" s="800">
        <v>94261</v>
      </c>
    </row>
    <row r="1376" spans="2:3" x14ac:dyDescent="0.25">
      <c r="B1376" s="796" t="s">
        <v>1930</v>
      </c>
      <c r="C1376" s="800">
        <v>98431</v>
      </c>
    </row>
    <row r="1377" spans="2:3" x14ac:dyDescent="0.25">
      <c r="B1377" s="796" t="s">
        <v>1362</v>
      </c>
      <c r="C1377" s="800">
        <v>91841</v>
      </c>
    </row>
    <row r="1378" spans="2:3" x14ac:dyDescent="0.25">
      <c r="B1378" s="796" t="s">
        <v>1504</v>
      </c>
      <c r="C1378" s="800">
        <v>93527</v>
      </c>
    </row>
    <row r="1379" spans="2:3" x14ac:dyDescent="0.25">
      <c r="B1379" s="796" t="s">
        <v>1503</v>
      </c>
      <c r="C1379" s="800">
        <v>93521</v>
      </c>
    </row>
    <row r="1380" spans="2:3" x14ac:dyDescent="0.25">
      <c r="B1380" s="796" t="s">
        <v>1520</v>
      </c>
      <c r="C1380" s="800">
        <v>93661</v>
      </c>
    </row>
    <row r="1381" spans="2:3" x14ac:dyDescent="0.25">
      <c r="B1381" s="796" t="s">
        <v>1749</v>
      </c>
      <c r="C1381" s="800">
        <v>96508</v>
      </c>
    </row>
    <row r="1382" spans="2:3" x14ac:dyDescent="0.25">
      <c r="B1382" s="796" t="s">
        <v>2043</v>
      </c>
      <c r="C1382" s="800">
        <v>99841</v>
      </c>
    </row>
    <row r="1383" spans="2:3" x14ac:dyDescent="0.25">
      <c r="B1383" s="796" t="s">
        <v>1852</v>
      </c>
      <c r="C1383" s="800">
        <v>97802</v>
      </c>
    </row>
    <row r="1384" spans="2:3" x14ac:dyDescent="0.25">
      <c r="B1384" s="796" t="s">
        <v>1856</v>
      </c>
      <c r="C1384" s="800">
        <v>97817</v>
      </c>
    </row>
    <row r="1385" spans="2:3" x14ac:dyDescent="0.25">
      <c r="B1385" s="796" t="s">
        <v>1857</v>
      </c>
      <c r="C1385" s="800">
        <v>97818</v>
      </c>
    </row>
    <row r="1386" spans="2:3" x14ac:dyDescent="0.25">
      <c r="B1386" s="796" t="s">
        <v>1855</v>
      </c>
      <c r="C1386" s="800">
        <v>97811</v>
      </c>
    </row>
    <row r="1387" spans="2:3" x14ac:dyDescent="0.25">
      <c r="B1387" s="796" t="s">
        <v>1486</v>
      </c>
      <c r="C1387" s="800">
        <v>93341</v>
      </c>
    </row>
    <row r="1388" spans="2:3" x14ac:dyDescent="0.25">
      <c r="B1388" s="796" t="s">
        <v>1672</v>
      </c>
      <c r="C1388" s="800">
        <v>95601</v>
      </c>
    </row>
    <row r="1389" spans="2:3" x14ac:dyDescent="0.25">
      <c r="B1389" s="796" t="s">
        <v>1876</v>
      </c>
      <c r="C1389" s="800">
        <v>97947</v>
      </c>
    </row>
    <row r="1390" spans="2:3" x14ac:dyDescent="0.25">
      <c r="B1390" s="796" t="s">
        <v>1676</v>
      </c>
      <c r="C1390" s="800">
        <v>95701</v>
      </c>
    </row>
    <row r="1391" spans="2:3" x14ac:dyDescent="0.25">
      <c r="B1391" s="796" t="s">
        <v>1875</v>
      </c>
      <c r="C1391" s="800">
        <v>97941</v>
      </c>
    </row>
    <row r="1392" spans="2:3" x14ac:dyDescent="0.25">
      <c r="B1392" s="796" t="s">
        <v>1877</v>
      </c>
      <c r="C1392" s="800">
        <v>97948</v>
      </c>
    </row>
    <row r="1393" spans="2:3" x14ac:dyDescent="0.25">
      <c r="B1393" s="796" t="s">
        <v>1589</v>
      </c>
      <c r="C1393" s="800">
        <v>94427</v>
      </c>
    </row>
    <row r="1394" spans="2:3" x14ac:dyDescent="0.25">
      <c r="B1394" s="796" t="s">
        <v>1590</v>
      </c>
      <c r="C1394" s="800">
        <v>94428</v>
      </c>
    </row>
    <row r="1395" spans="2:3" x14ac:dyDescent="0.25">
      <c r="B1395" s="796" t="s">
        <v>1588</v>
      </c>
      <c r="C1395" s="800">
        <v>94421</v>
      </c>
    </row>
    <row r="1396" spans="2:3" x14ac:dyDescent="0.25">
      <c r="B1396" s="796" t="s">
        <v>1469</v>
      </c>
      <c r="C1396" s="800">
        <v>93191</v>
      </c>
    </row>
    <row r="1397" spans="2:3" x14ac:dyDescent="0.25">
      <c r="B1397" s="796" t="s">
        <v>1361</v>
      </c>
      <c r="C1397" s="800">
        <v>91831</v>
      </c>
    </row>
    <row r="1398" spans="2:3" x14ac:dyDescent="0.25">
      <c r="B1398" s="796" t="s">
        <v>1440</v>
      </c>
      <c r="C1398" s="800">
        <v>92831</v>
      </c>
    </row>
    <row r="1399" spans="2:3" x14ac:dyDescent="0.25">
      <c r="B1399" s="796" t="s">
        <v>1692</v>
      </c>
      <c r="C1399" s="800">
        <v>95917</v>
      </c>
    </row>
    <row r="1400" spans="2:3" x14ac:dyDescent="0.25">
      <c r="B1400" s="796" t="s">
        <v>1691</v>
      </c>
      <c r="C1400" s="800">
        <v>95911</v>
      </c>
    </row>
    <row r="1401" spans="2:3" x14ac:dyDescent="0.25">
      <c r="B1401" s="796" t="s">
        <v>1677</v>
      </c>
      <c r="C1401" s="800">
        <v>95711</v>
      </c>
    </row>
    <row r="1402" spans="2:3" x14ac:dyDescent="0.25">
      <c r="B1402" s="796" t="s">
        <v>1678</v>
      </c>
      <c r="C1402" s="800">
        <v>95721</v>
      </c>
    </row>
    <row r="1403" spans="2:3" x14ac:dyDescent="0.25">
      <c r="B1403" s="796" t="s">
        <v>1961</v>
      </c>
      <c r="C1403" s="800">
        <v>99021</v>
      </c>
    </row>
    <row r="1404" spans="2:3" x14ac:dyDescent="0.25">
      <c r="B1404" s="796" t="s">
        <v>1680</v>
      </c>
      <c r="C1404" s="800">
        <v>95801</v>
      </c>
    </row>
    <row r="1405" spans="2:3" x14ac:dyDescent="0.25">
      <c r="B1405" s="796" t="s">
        <v>1682</v>
      </c>
      <c r="C1405" s="800">
        <v>95804</v>
      </c>
    </row>
    <row r="1406" spans="2:3" x14ac:dyDescent="0.25">
      <c r="B1406" s="796" t="s">
        <v>1681</v>
      </c>
      <c r="C1406" s="800">
        <v>95802</v>
      </c>
    </row>
    <row r="1407" spans="2:3" x14ac:dyDescent="0.25">
      <c r="B1407" s="796" t="s">
        <v>1191</v>
      </c>
      <c r="C1407" s="800">
        <v>90092</v>
      </c>
    </row>
    <row r="1408" spans="2:3" x14ac:dyDescent="0.25">
      <c r="B1408" s="796" t="s">
        <v>1969</v>
      </c>
      <c r="C1408" s="800">
        <v>99081</v>
      </c>
    </row>
    <row r="1409" spans="2:3" x14ac:dyDescent="0.25">
      <c r="B1409" s="796" t="s">
        <v>1707</v>
      </c>
      <c r="C1409" s="800">
        <v>96071</v>
      </c>
    </row>
    <row r="1410" spans="2:3" x14ac:dyDescent="0.25">
      <c r="B1410" s="796" t="s">
        <v>1541</v>
      </c>
      <c r="C1410" s="800">
        <v>94002</v>
      </c>
    </row>
    <row r="1411" spans="2:3" x14ac:dyDescent="0.25">
      <c r="B1411" s="796" t="s">
        <v>1863</v>
      </c>
      <c r="C1411" s="800">
        <v>97847</v>
      </c>
    </row>
    <row r="1412" spans="2:3" x14ac:dyDescent="0.25">
      <c r="B1412" s="796" t="s">
        <v>1862</v>
      </c>
      <c r="C1412" s="800">
        <v>97840</v>
      </c>
    </row>
    <row r="1413" spans="2:3" x14ac:dyDescent="0.25">
      <c r="B1413" s="796" t="s">
        <v>1873</v>
      </c>
      <c r="C1413" s="800">
        <v>97921</v>
      </c>
    </row>
    <row r="1414" spans="2:3" x14ac:dyDescent="0.25">
      <c r="B1414" s="796" t="s">
        <v>1653</v>
      </c>
      <c r="C1414" s="800">
        <v>95221</v>
      </c>
    </row>
    <row r="1415" spans="2:3" x14ac:dyDescent="0.25">
      <c r="B1415" s="796" t="s">
        <v>1510</v>
      </c>
      <c r="C1415" s="800">
        <v>93610</v>
      </c>
    </row>
    <row r="1416" spans="2:3" x14ac:dyDescent="0.25">
      <c r="B1416" s="796" t="s">
        <v>3558</v>
      </c>
      <c r="C1416" s="800">
        <v>95901</v>
      </c>
    </row>
    <row r="1417" spans="2:3" x14ac:dyDescent="0.25">
      <c r="B1417" s="796" t="s">
        <v>1196</v>
      </c>
      <c r="C1417" s="800">
        <v>90114</v>
      </c>
    </row>
    <row r="1418" spans="2:3" x14ac:dyDescent="0.25">
      <c r="B1418" s="796" t="s">
        <v>1694</v>
      </c>
      <c r="C1418" s="800">
        <v>96001</v>
      </c>
    </row>
    <row r="1419" spans="2:3" x14ac:dyDescent="0.25">
      <c r="B1419" s="796" t="s">
        <v>1696</v>
      </c>
      <c r="C1419" s="800">
        <v>96004</v>
      </c>
    </row>
    <row r="1420" spans="2:3" x14ac:dyDescent="0.25">
      <c r="B1420" s="796" t="s">
        <v>1698</v>
      </c>
      <c r="C1420" s="800">
        <v>96008</v>
      </c>
    </row>
    <row r="1421" spans="2:3" x14ac:dyDescent="0.25">
      <c r="B1421" s="796" t="s">
        <v>1286</v>
      </c>
      <c r="C1421" s="800">
        <v>91108</v>
      </c>
    </row>
    <row r="1422" spans="2:3" x14ac:dyDescent="0.25">
      <c r="B1422" s="796" t="s">
        <v>1625</v>
      </c>
      <c r="C1422" s="800">
        <v>94941</v>
      </c>
    </row>
    <row r="1423" spans="2:3" x14ac:dyDescent="0.25">
      <c r="B1423" s="796" t="s">
        <v>1640</v>
      </c>
      <c r="C1423" s="800">
        <v>95122</v>
      </c>
    </row>
    <row r="1424" spans="2:3" x14ac:dyDescent="0.25">
      <c r="B1424" s="796" t="s">
        <v>3559</v>
      </c>
      <c r="C1424" s="800">
        <v>92607</v>
      </c>
    </row>
    <row r="1425" spans="2:3" x14ac:dyDescent="0.25">
      <c r="B1425" s="796" t="s">
        <v>1740</v>
      </c>
      <c r="C1425" s="800">
        <v>96431</v>
      </c>
    </row>
    <row r="1426" spans="2:3" x14ac:dyDescent="0.25">
      <c r="B1426" s="796" t="s">
        <v>3560</v>
      </c>
      <c r="C1426" s="800">
        <v>90709</v>
      </c>
    </row>
    <row r="1427" spans="2:3" x14ac:dyDescent="0.25">
      <c r="B1427" s="796" t="s">
        <v>1324</v>
      </c>
      <c r="C1427" s="800">
        <v>91341</v>
      </c>
    </row>
    <row r="1428" spans="2:3" x14ac:dyDescent="0.25">
      <c r="B1428" s="796" t="s">
        <v>1603</v>
      </c>
      <c r="C1428" s="800">
        <v>94551</v>
      </c>
    </row>
    <row r="1429" spans="2:3" x14ac:dyDescent="0.25">
      <c r="B1429" s="796" t="s">
        <v>3561</v>
      </c>
      <c r="C1429" s="800">
        <v>99022</v>
      </c>
    </row>
    <row r="1430" spans="2:3" x14ac:dyDescent="0.25">
      <c r="B1430" s="796" t="s">
        <v>1703</v>
      </c>
      <c r="C1430" s="800">
        <v>96031</v>
      </c>
    </row>
    <row r="1431" spans="2:3" x14ac:dyDescent="0.25">
      <c r="B1431" s="796" t="s">
        <v>1185</v>
      </c>
      <c r="C1431" s="800">
        <v>71786</v>
      </c>
    </row>
    <row r="1432" spans="2:3" x14ac:dyDescent="0.25">
      <c r="B1432" s="796" t="s">
        <v>1709</v>
      </c>
      <c r="C1432" s="800">
        <v>96101</v>
      </c>
    </row>
    <row r="1433" spans="2:3" x14ac:dyDescent="0.25">
      <c r="B1433" s="796" t="s">
        <v>1710</v>
      </c>
      <c r="C1433" s="800">
        <v>96102</v>
      </c>
    </row>
    <row r="1434" spans="2:3" x14ac:dyDescent="0.25">
      <c r="B1434" s="796" t="s">
        <v>1453</v>
      </c>
      <c r="C1434" s="800">
        <v>93011</v>
      </c>
    </row>
    <row r="1435" spans="2:3" x14ac:dyDescent="0.25">
      <c r="B1435" s="796" t="s">
        <v>1960</v>
      </c>
      <c r="C1435" s="800">
        <v>99017</v>
      </c>
    </row>
    <row r="1436" spans="2:3" x14ac:dyDescent="0.25">
      <c r="B1436" s="796" t="s">
        <v>1959</v>
      </c>
      <c r="C1436" s="800">
        <v>99013</v>
      </c>
    </row>
    <row r="1437" spans="2:3" x14ac:dyDescent="0.25">
      <c r="B1437" s="796" t="s">
        <v>1958</v>
      </c>
      <c r="C1437" s="800">
        <v>99011</v>
      </c>
    </row>
    <row r="1438" spans="2:3" x14ac:dyDescent="0.25">
      <c r="B1438" s="796" t="s">
        <v>1713</v>
      </c>
      <c r="C1438" s="800">
        <v>96201</v>
      </c>
    </row>
    <row r="1439" spans="2:3" x14ac:dyDescent="0.25">
      <c r="B1439" s="796" t="s">
        <v>1714</v>
      </c>
      <c r="C1439" s="800">
        <v>96204</v>
      </c>
    </row>
    <row r="1440" spans="2:3" x14ac:dyDescent="0.25">
      <c r="B1440" s="796" t="s">
        <v>1299</v>
      </c>
      <c r="C1440" s="800">
        <v>91161</v>
      </c>
    </row>
    <row r="1441" spans="2:3" x14ac:dyDescent="0.25">
      <c r="B1441" s="796" t="s">
        <v>1720</v>
      </c>
      <c r="C1441" s="800">
        <v>96301</v>
      </c>
    </row>
    <row r="1442" spans="2:3" x14ac:dyDescent="0.25">
      <c r="B1442" s="796" t="s">
        <v>1722</v>
      </c>
      <c r="C1442" s="800">
        <v>96304</v>
      </c>
    </row>
    <row r="1443" spans="2:3" x14ac:dyDescent="0.25">
      <c r="B1443" s="796" t="s">
        <v>1724</v>
      </c>
      <c r="C1443" s="800">
        <v>96310</v>
      </c>
    </row>
    <row r="1444" spans="2:3" x14ac:dyDescent="0.25">
      <c r="B1444" s="796" t="s">
        <v>1723</v>
      </c>
      <c r="C1444" s="800">
        <v>96305</v>
      </c>
    </row>
    <row r="1445" spans="2:3" x14ac:dyDescent="0.25">
      <c r="B1445" s="796" t="s">
        <v>1623</v>
      </c>
      <c r="C1445" s="800">
        <v>94927</v>
      </c>
    </row>
    <row r="1446" spans="2:3" x14ac:dyDescent="0.25">
      <c r="B1446" s="796" t="s">
        <v>1622</v>
      </c>
      <c r="C1446" s="800">
        <v>94923</v>
      </c>
    </row>
    <row r="1447" spans="2:3" x14ac:dyDescent="0.25">
      <c r="B1447" s="796" t="s">
        <v>1621</v>
      </c>
      <c r="C1447" s="800">
        <v>94921</v>
      </c>
    </row>
    <row r="1448" spans="2:3" x14ac:dyDescent="0.25">
      <c r="B1448" s="796" t="s">
        <v>1340</v>
      </c>
      <c r="C1448" s="800">
        <v>91611</v>
      </c>
    </row>
    <row r="1449" spans="2:3" x14ac:dyDescent="0.25">
      <c r="B1449" s="796" t="s">
        <v>1308</v>
      </c>
      <c r="C1449" s="800">
        <v>91217</v>
      </c>
    </row>
    <row r="1450" spans="2:3" x14ac:dyDescent="0.25">
      <c r="B1450" s="796" t="s">
        <v>1311</v>
      </c>
      <c r="C1450" s="800">
        <v>91233</v>
      </c>
    </row>
    <row r="1451" spans="2:3" x14ac:dyDescent="0.25">
      <c r="B1451" s="796" t="s">
        <v>1310</v>
      </c>
      <c r="C1451" s="800">
        <v>91231</v>
      </c>
    </row>
    <row r="1452" spans="2:3" x14ac:dyDescent="0.25">
      <c r="B1452" s="796" t="s">
        <v>1980</v>
      </c>
      <c r="C1452" s="800">
        <v>99206</v>
      </c>
    </row>
    <row r="1453" spans="2:3" x14ac:dyDescent="0.25">
      <c r="B1453" s="796" t="s">
        <v>1218</v>
      </c>
      <c r="C1453" s="800">
        <v>90461</v>
      </c>
    </row>
    <row r="1454" spans="2:3" x14ac:dyDescent="0.25">
      <c r="B1454" s="796" t="s">
        <v>1944</v>
      </c>
      <c r="C1454" s="800">
        <v>98631</v>
      </c>
    </row>
    <row r="1455" spans="2:3" x14ac:dyDescent="0.25">
      <c r="B1455" s="796" t="s">
        <v>1719</v>
      </c>
      <c r="C1455" s="800">
        <v>96251</v>
      </c>
    </row>
    <row r="1456" spans="2:3" x14ac:dyDescent="0.25">
      <c r="B1456" s="796" t="s">
        <v>2025</v>
      </c>
      <c r="C1456" s="800">
        <v>99623</v>
      </c>
    </row>
    <row r="1457" spans="2:3" x14ac:dyDescent="0.25">
      <c r="B1457" s="796" t="s">
        <v>2024</v>
      </c>
      <c r="C1457" s="800">
        <v>99621</v>
      </c>
    </row>
    <row r="1458" spans="2:3" x14ac:dyDescent="0.25">
      <c r="B1458" s="796" t="s">
        <v>1321</v>
      </c>
      <c r="C1458" s="800">
        <v>91321</v>
      </c>
    </row>
    <row r="1459" spans="2:3" x14ac:dyDescent="0.25">
      <c r="B1459" s="796" t="s">
        <v>1945</v>
      </c>
      <c r="C1459" s="800">
        <v>98637</v>
      </c>
    </row>
    <row r="1460" spans="2:3" x14ac:dyDescent="0.25">
      <c r="B1460" s="796" t="s">
        <v>1524</v>
      </c>
      <c r="C1460" s="800">
        <v>93691</v>
      </c>
    </row>
    <row r="1461" spans="2:3" x14ac:dyDescent="0.25">
      <c r="B1461" s="796" t="s">
        <v>1322</v>
      </c>
      <c r="C1461" s="800">
        <v>91327</v>
      </c>
    </row>
    <row r="1462" spans="2:3" x14ac:dyDescent="0.25">
      <c r="B1462" s="796" t="s">
        <v>1608</v>
      </c>
      <c r="C1462" s="800">
        <v>94621</v>
      </c>
    </row>
    <row r="1463" spans="2:3" x14ac:dyDescent="0.25">
      <c r="B1463" s="796" t="s">
        <v>1377</v>
      </c>
      <c r="C1463" s="800">
        <v>92017</v>
      </c>
    </row>
    <row r="1464" spans="2:3" x14ac:dyDescent="0.25">
      <c r="B1464" s="796" t="s">
        <v>1376</v>
      </c>
      <c r="C1464" s="800">
        <v>92011</v>
      </c>
    </row>
    <row r="1465" spans="2:3" x14ac:dyDescent="0.25">
      <c r="B1465" s="796" t="s">
        <v>2050</v>
      </c>
      <c r="C1465" s="806">
        <v>99991</v>
      </c>
    </row>
    <row r="1466" spans="2:3" x14ac:dyDescent="0.25">
      <c r="B1466" s="796" t="s">
        <v>2051</v>
      </c>
      <c r="C1466" s="806">
        <v>99999</v>
      </c>
    </row>
    <row r="1467" spans="2:3" x14ac:dyDescent="0.25">
      <c r="B1467" s="796" t="s">
        <v>1438</v>
      </c>
      <c r="C1467" s="800">
        <v>92811</v>
      </c>
    </row>
    <row r="1468" spans="2:3" x14ac:dyDescent="0.25">
      <c r="B1468" s="796" t="s">
        <v>1375</v>
      </c>
      <c r="C1468" s="800">
        <v>92005</v>
      </c>
    </row>
    <row r="1469" spans="2:3" x14ac:dyDescent="0.25">
      <c r="B1469" s="796" t="s">
        <v>1735</v>
      </c>
      <c r="C1469" s="800">
        <v>96401</v>
      </c>
    </row>
    <row r="1470" spans="2:3" x14ac:dyDescent="0.25">
      <c r="B1470" s="796" t="s">
        <v>1736</v>
      </c>
      <c r="C1470" s="800">
        <v>96404</v>
      </c>
    </row>
    <row r="1471" spans="2:3" x14ac:dyDescent="0.25">
      <c r="B1471" s="796" t="s">
        <v>1739</v>
      </c>
      <c r="C1471" s="800">
        <v>96421</v>
      </c>
    </row>
    <row r="1472" spans="2:3" x14ac:dyDescent="0.25">
      <c r="B1472" s="796" t="s">
        <v>1660</v>
      </c>
      <c r="C1472" s="800">
        <v>95405</v>
      </c>
    </row>
    <row r="1473" spans="2:3" x14ac:dyDescent="0.25">
      <c r="B1473" s="796" t="s">
        <v>1543</v>
      </c>
      <c r="C1473" s="800">
        <v>94005</v>
      </c>
    </row>
    <row r="1474" spans="2:3" x14ac:dyDescent="0.25">
      <c r="B1474" s="796" t="s">
        <v>1651</v>
      </c>
      <c r="C1474" s="800">
        <v>95205</v>
      </c>
    </row>
    <row r="1475" spans="2:3" x14ac:dyDescent="0.25">
      <c r="B1475" s="796" t="s">
        <v>1410</v>
      </c>
      <c r="C1475" s="800">
        <v>92507</v>
      </c>
    </row>
    <row r="1476" spans="2:3" x14ac:dyDescent="0.25">
      <c r="B1476" s="796" t="s">
        <v>1412</v>
      </c>
      <c r="C1476" s="800">
        <v>92511</v>
      </c>
    </row>
    <row r="1477" spans="2:3" x14ac:dyDescent="0.25">
      <c r="B1477" s="796" t="s">
        <v>1745</v>
      </c>
      <c r="C1477" s="800">
        <v>96502</v>
      </c>
    </row>
    <row r="1478" spans="2:3" x14ac:dyDescent="0.25">
      <c r="B1478" s="796" t="s">
        <v>1744</v>
      </c>
      <c r="C1478" s="800">
        <v>96501</v>
      </c>
    </row>
    <row r="1479" spans="2:3" x14ac:dyDescent="0.25">
      <c r="B1479" s="796" t="s">
        <v>1747</v>
      </c>
      <c r="C1479" s="800">
        <v>96504</v>
      </c>
    </row>
    <row r="1480" spans="2:3" x14ac:dyDescent="0.25">
      <c r="B1480" s="796" t="s">
        <v>1871</v>
      </c>
      <c r="C1480" s="800">
        <v>97913</v>
      </c>
    </row>
    <row r="1481" spans="2:3" x14ac:dyDescent="0.25">
      <c r="B1481" s="796" t="s">
        <v>1227</v>
      </c>
      <c r="C1481" s="800">
        <v>90621</v>
      </c>
    </row>
    <row r="1482" spans="2:3" x14ac:dyDescent="0.25">
      <c r="B1482" s="796" t="s">
        <v>1341</v>
      </c>
      <c r="C1482" s="800">
        <v>91621</v>
      </c>
    </row>
    <row r="1483" spans="2:3" x14ac:dyDescent="0.25">
      <c r="B1483" s="796" t="s">
        <v>1912</v>
      </c>
      <c r="C1483" s="800">
        <v>98231</v>
      </c>
    </row>
    <row r="1484" spans="2:3" x14ac:dyDescent="0.25">
      <c r="B1484" s="796" t="s">
        <v>1365</v>
      </c>
      <c r="C1484" s="800">
        <v>91871</v>
      </c>
    </row>
    <row r="1485" spans="2:3" x14ac:dyDescent="0.25">
      <c r="B1485" s="796" t="s">
        <v>2000</v>
      </c>
      <c r="C1485" s="800">
        <v>99311</v>
      </c>
    </row>
    <row r="1486" spans="2:3" x14ac:dyDescent="0.25">
      <c r="B1486" s="796" t="s">
        <v>1775</v>
      </c>
      <c r="C1486" s="800">
        <v>96751</v>
      </c>
    </row>
    <row r="1487" spans="2:3" x14ac:dyDescent="0.25">
      <c r="B1487" s="796" t="s">
        <v>2032</v>
      </c>
      <c r="C1487" s="800">
        <v>99717</v>
      </c>
    </row>
    <row r="1488" spans="2:3" x14ac:dyDescent="0.25">
      <c r="B1488" s="796" t="s">
        <v>2031</v>
      </c>
      <c r="C1488" s="800">
        <v>99711</v>
      </c>
    </row>
    <row r="1489" spans="2:3" x14ac:dyDescent="0.25">
      <c r="B1489" s="796" t="s">
        <v>1756</v>
      </c>
      <c r="C1489" s="800">
        <v>96601</v>
      </c>
    </row>
    <row r="1490" spans="2:3" x14ac:dyDescent="0.25">
      <c r="B1490" s="796" t="s">
        <v>1757</v>
      </c>
      <c r="C1490" s="800">
        <v>96604</v>
      </c>
    </row>
    <row r="1491" spans="2:3" x14ac:dyDescent="0.25">
      <c r="B1491" s="796" t="s">
        <v>1263</v>
      </c>
      <c r="C1491" s="800">
        <v>91012</v>
      </c>
    </row>
    <row r="1492" spans="2:3" x14ac:dyDescent="0.25">
      <c r="B1492" s="796" t="s">
        <v>1208</v>
      </c>
      <c r="C1492" s="800">
        <v>90305</v>
      </c>
    </row>
    <row r="1493" spans="2:3" x14ac:dyDescent="0.25">
      <c r="B1493" s="796" t="s">
        <v>1929</v>
      </c>
      <c r="C1493" s="800">
        <v>98427</v>
      </c>
    </row>
    <row r="1494" spans="2:3" x14ac:dyDescent="0.25">
      <c r="B1494" s="796" t="s">
        <v>1928</v>
      </c>
      <c r="C1494" s="800">
        <v>98421</v>
      </c>
    </row>
    <row r="1495" spans="2:3" x14ac:dyDescent="0.25">
      <c r="B1495" s="796" t="s">
        <v>1685</v>
      </c>
      <c r="C1495" s="800">
        <v>95821</v>
      </c>
    </row>
    <row r="1496" spans="2:3" x14ac:dyDescent="0.25">
      <c r="B1496" s="796" t="s">
        <v>1270</v>
      </c>
      <c r="C1496" s="800">
        <v>91027</v>
      </c>
    </row>
    <row r="1497" spans="2:3" x14ac:dyDescent="0.25">
      <c r="B1497" s="796" t="s">
        <v>1267</v>
      </c>
      <c r="C1497" s="800">
        <v>91021</v>
      </c>
    </row>
    <row r="1498" spans="2:3" x14ac:dyDescent="0.25">
      <c r="B1498" s="796" t="s">
        <v>1560</v>
      </c>
      <c r="C1498" s="800">
        <v>94161</v>
      </c>
    </row>
    <row r="1499" spans="2:3" x14ac:dyDescent="0.25">
      <c r="B1499" s="796" t="s">
        <v>1931</v>
      </c>
      <c r="C1499" s="800">
        <v>98441</v>
      </c>
    </row>
    <row r="1500" spans="2:3" x14ac:dyDescent="0.25">
      <c r="B1500" s="796" t="s">
        <v>1277</v>
      </c>
      <c r="C1500" s="800">
        <v>91067</v>
      </c>
    </row>
    <row r="1501" spans="2:3" x14ac:dyDescent="0.25">
      <c r="B1501" s="796" t="s">
        <v>1276</v>
      </c>
      <c r="C1501" s="800">
        <v>91061</v>
      </c>
    </row>
    <row r="1502" spans="2:3" x14ac:dyDescent="0.25">
      <c r="B1502" s="796" t="s">
        <v>1616</v>
      </c>
      <c r="C1502" s="800">
        <v>94812</v>
      </c>
    </row>
    <row r="1503" spans="2:3" x14ac:dyDescent="0.25">
      <c r="B1503" s="796" t="s">
        <v>1693</v>
      </c>
      <c r="C1503" s="800">
        <v>95921</v>
      </c>
    </row>
    <row r="1504" spans="2:3" x14ac:dyDescent="0.25">
      <c r="B1504" s="796" t="s">
        <v>1767</v>
      </c>
      <c r="C1504" s="800">
        <v>96701</v>
      </c>
    </row>
    <row r="1505" spans="2:3" x14ac:dyDescent="0.25">
      <c r="B1505" s="796" t="s">
        <v>1768</v>
      </c>
      <c r="C1505" s="800">
        <v>96704</v>
      </c>
    </row>
    <row r="1506" spans="2:3" x14ac:dyDescent="0.25">
      <c r="B1506" s="796" t="s">
        <v>1769</v>
      </c>
      <c r="C1506" s="800">
        <v>96708</v>
      </c>
    </row>
    <row r="1507" spans="2:3" x14ac:dyDescent="0.25">
      <c r="B1507" s="796" t="s">
        <v>1776</v>
      </c>
      <c r="C1507" s="800">
        <v>96801</v>
      </c>
    </row>
    <row r="1508" spans="2:3" x14ac:dyDescent="0.25">
      <c r="B1508" s="796" t="s">
        <v>1777</v>
      </c>
      <c r="C1508" s="800">
        <v>96804</v>
      </c>
    </row>
    <row r="1509" spans="2:3" x14ac:dyDescent="0.25">
      <c r="B1509" s="796" t="s">
        <v>1778</v>
      </c>
      <c r="C1509" s="800">
        <v>96808</v>
      </c>
    </row>
    <row r="1510" spans="2:3" x14ac:dyDescent="0.25">
      <c r="B1510" s="796" t="s">
        <v>1784</v>
      </c>
      <c r="C1510" s="800">
        <v>96912</v>
      </c>
    </row>
    <row r="1511" spans="2:3" x14ac:dyDescent="0.25">
      <c r="B1511" s="796" t="s">
        <v>1536</v>
      </c>
      <c r="C1511" s="800">
        <v>93913</v>
      </c>
    </row>
    <row r="1512" spans="2:3" x14ac:dyDescent="0.25">
      <c r="B1512" s="796" t="s">
        <v>1535</v>
      </c>
      <c r="C1512" s="800">
        <v>93911</v>
      </c>
    </row>
    <row r="1513" spans="2:3" x14ac:dyDescent="0.25">
      <c r="B1513" s="796" t="s">
        <v>1782</v>
      </c>
      <c r="C1513" s="800">
        <v>96901</v>
      </c>
    </row>
    <row r="1514" spans="2:3" x14ac:dyDescent="0.25">
      <c r="B1514" s="796" t="s">
        <v>3562</v>
      </c>
      <c r="C1514" s="800">
        <v>97841</v>
      </c>
    </row>
    <row r="1515" spans="2:3" x14ac:dyDescent="0.25">
      <c r="B1515" s="796" t="s">
        <v>1471</v>
      </c>
      <c r="C1515" s="800">
        <v>93202</v>
      </c>
    </row>
    <row r="1516" spans="2:3" x14ac:dyDescent="0.25">
      <c r="B1516" s="796" t="s">
        <v>3563</v>
      </c>
      <c r="C1516" s="800">
        <v>93609</v>
      </c>
    </row>
    <row r="1517" spans="2:3" x14ac:dyDescent="0.25">
      <c r="B1517" s="796" t="s">
        <v>1786</v>
      </c>
      <c r="C1517" s="800">
        <v>97001</v>
      </c>
    </row>
    <row r="1518" spans="2:3" x14ac:dyDescent="0.25">
      <c r="B1518" s="796" t="s">
        <v>1788</v>
      </c>
      <c r="C1518" s="800">
        <v>97004</v>
      </c>
    </row>
    <row r="1519" spans="2:3" x14ac:dyDescent="0.25">
      <c r="B1519" s="796" t="s">
        <v>1787</v>
      </c>
      <c r="C1519" s="800">
        <v>97002</v>
      </c>
    </row>
    <row r="1520" spans="2:3" x14ac:dyDescent="0.25">
      <c r="B1520" s="796" t="s">
        <v>1795</v>
      </c>
      <c r="C1520" s="800">
        <v>97015</v>
      </c>
    </row>
    <row r="1521" spans="2:3" x14ac:dyDescent="0.25">
      <c r="B1521" s="796" t="s">
        <v>1216</v>
      </c>
      <c r="C1521" s="800">
        <v>90441</v>
      </c>
    </row>
    <row r="1522" spans="2:3" x14ac:dyDescent="0.25">
      <c r="B1522" s="796" t="s">
        <v>1865</v>
      </c>
      <c r="C1522" s="800">
        <v>97853</v>
      </c>
    </row>
    <row r="1523" spans="2:3" x14ac:dyDescent="0.25">
      <c r="B1523" s="796" t="s">
        <v>1864</v>
      </c>
      <c r="C1523" s="800">
        <v>97851</v>
      </c>
    </row>
    <row r="1524" spans="2:3" x14ac:dyDescent="0.25">
      <c r="B1524" s="796" t="s">
        <v>1797</v>
      </c>
      <c r="C1524" s="800">
        <v>97101</v>
      </c>
    </row>
    <row r="1525" spans="2:3" x14ac:dyDescent="0.25">
      <c r="B1525" s="796" t="s">
        <v>1798</v>
      </c>
      <c r="C1525" s="800">
        <v>97104</v>
      </c>
    </row>
    <row r="1526" spans="2:3" x14ac:dyDescent="0.25">
      <c r="B1526" s="796" t="s">
        <v>1802</v>
      </c>
      <c r="C1526" s="800">
        <v>97201</v>
      </c>
    </row>
    <row r="1527" spans="2:3" x14ac:dyDescent="0.25">
      <c r="B1527" s="796" t="s">
        <v>1807</v>
      </c>
      <c r="C1527" s="800">
        <v>97301</v>
      </c>
    </row>
    <row r="1528" spans="2:3" x14ac:dyDescent="0.25">
      <c r="B1528" s="796" t="s">
        <v>1808</v>
      </c>
      <c r="C1528" s="800">
        <v>97304</v>
      </c>
    </row>
    <row r="1529" spans="2:3" x14ac:dyDescent="0.25">
      <c r="B1529" s="796" t="s">
        <v>2004</v>
      </c>
      <c r="C1529" s="800">
        <v>99405</v>
      </c>
    </row>
    <row r="1530" spans="2:3" x14ac:dyDescent="0.25">
      <c r="B1530" s="796" t="s">
        <v>1186</v>
      </c>
      <c r="C1530" s="800">
        <v>72265</v>
      </c>
    </row>
    <row r="1531" spans="2:3" x14ac:dyDescent="0.25">
      <c r="B1531" s="796" t="s">
        <v>1490</v>
      </c>
      <c r="C1531" s="800">
        <v>93406</v>
      </c>
    </row>
    <row r="1532" spans="2:3" x14ac:dyDescent="0.25">
      <c r="B1532" s="796" t="s">
        <v>1552</v>
      </c>
      <c r="C1532" s="800">
        <v>94112</v>
      </c>
    </row>
    <row r="1533" spans="2:3" x14ac:dyDescent="0.25">
      <c r="B1533" s="796" t="s">
        <v>2027</v>
      </c>
      <c r="C1533" s="800">
        <v>99651</v>
      </c>
    </row>
    <row r="1534" spans="2:3" x14ac:dyDescent="0.25">
      <c r="B1534" s="796" t="s">
        <v>1939</v>
      </c>
      <c r="C1534" s="800">
        <v>98607</v>
      </c>
    </row>
    <row r="1535" spans="2:3" x14ac:dyDescent="0.25">
      <c r="B1535" s="796" t="s">
        <v>1941</v>
      </c>
      <c r="C1535" s="800">
        <v>98611</v>
      </c>
    </row>
    <row r="1536" spans="2:3" x14ac:dyDescent="0.25">
      <c r="B1536" s="796" t="s">
        <v>1344</v>
      </c>
      <c r="C1536" s="800">
        <v>91641</v>
      </c>
    </row>
    <row r="1537" spans="2:3" x14ac:dyDescent="0.25">
      <c r="B1537" s="796" t="s">
        <v>1645</v>
      </c>
      <c r="C1537" s="800">
        <v>95161</v>
      </c>
    </row>
    <row r="1538" spans="2:3" x14ac:dyDescent="0.25">
      <c r="B1538" s="796" t="s">
        <v>1731</v>
      </c>
      <c r="C1538" s="800">
        <v>96361</v>
      </c>
    </row>
    <row r="1539" spans="2:3" x14ac:dyDescent="0.25">
      <c r="B1539" s="796" t="s">
        <v>1549</v>
      </c>
      <c r="C1539" s="800">
        <v>94108</v>
      </c>
    </row>
    <row r="1540" spans="2:3" x14ac:dyDescent="0.25">
      <c r="B1540" s="796" t="s">
        <v>1730</v>
      </c>
      <c r="C1540" s="800">
        <v>96351</v>
      </c>
    </row>
    <row r="1541" spans="2:3" x14ac:dyDescent="0.25">
      <c r="B1541" s="796" t="s">
        <v>1484</v>
      </c>
      <c r="C1541" s="800">
        <v>93331</v>
      </c>
    </row>
    <row r="1542" spans="2:3" x14ac:dyDescent="0.25">
      <c r="B1542" s="796" t="s">
        <v>1702</v>
      </c>
      <c r="C1542" s="800">
        <v>96021</v>
      </c>
    </row>
    <row r="1543" spans="2:3" x14ac:dyDescent="0.25">
      <c r="B1543" s="796" t="s">
        <v>1665</v>
      </c>
      <c r="C1543" s="800">
        <v>95421</v>
      </c>
    </row>
    <row r="1544" spans="2:3" x14ac:dyDescent="0.25">
      <c r="B1544" s="796" t="s">
        <v>1810</v>
      </c>
      <c r="C1544" s="800">
        <v>97401</v>
      </c>
    </row>
    <row r="1545" spans="2:3" x14ac:dyDescent="0.25">
      <c r="B1545" s="796" t="s">
        <v>1812</v>
      </c>
      <c r="C1545" s="800">
        <v>97404</v>
      </c>
    </row>
    <row r="1546" spans="2:3" x14ac:dyDescent="0.25">
      <c r="B1546" s="796" t="s">
        <v>1811</v>
      </c>
      <c r="C1546" s="800">
        <v>97402</v>
      </c>
    </row>
    <row r="1547" spans="2:3" x14ac:dyDescent="0.25">
      <c r="B1547" s="796" t="s">
        <v>1373</v>
      </c>
      <c r="C1547" s="800">
        <v>91921</v>
      </c>
    </row>
    <row r="1548" spans="2:3" x14ac:dyDescent="0.25">
      <c r="B1548" s="796" t="s">
        <v>1690</v>
      </c>
      <c r="C1548" s="800">
        <v>95908</v>
      </c>
    </row>
    <row r="1549" spans="2:3" x14ac:dyDescent="0.25">
      <c r="B1549" s="796" t="s">
        <v>2006</v>
      </c>
      <c r="C1549" s="800">
        <v>99413</v>
      </c>
    </row>
    <row r="1550" spans="2:3" x14ac:dyDescent="0.25">
      <c r="B1550" s="796" t="s">
        <v>2005</v>
      </c>
      <c r="C1550" s="800">
        <v>99411</v>
      </c>
    </row>
    <row r="1551" spans="2:3" x14ac:dyDescent="0.25">
      <c r="B1551" s="796" t="s">
        <v>1827</v>
      </c>
      <c r="C1551" s="800">
        <v>97501</v>
      </c>
    </row>
    <row r="1552" spans="2:3" x14ac:dyDescent="0.25">
      <c r="B1552" s="796" t="s">
        <v>1215</v>
      </c>
      <c r="C1552" s="800">
        <v>90431</v>
      </c>
    </row>
    <row r="1553" spans="2:3" x14ac:dyDescent="0.25">
      <c r="B1553" s="796" t="s">
        <v>1652</v>
      </c>
      <c r="C1553" s="800">
        <v>95211</v>
      </c>
    </row>
    <row r="1554" spans="2:3" x14ac:dyDescent="0.25">
      <c r="B1554" s="796" t="s">
        <v>1647</v>
      </c>
      <c r="C1554" s="800">
        <v>95181</v>
      </c>
    </row>
    <row r="1555" spans="2:3" x14ac:dyDescent="0.25">
      <c r="B1555" s="796" t="s">
        <v>1487</v>
      </c>
      <c r="C1555" s="800">
        <v>93351</v>
      </c>
    </row>
    <row r="1556" spans="2:3" x14ac:dyDescent="0.25">
      <c r="B1556" s="796" t="s">
        <v>1613</v>
      </c>
      <c r="C1556" s="800">
        <v>94711</v>
      </c>
    </row>
    <row r="1557" spans="2:3" x14ac:dyDescent="0.25">
      <c r="B1557" s="796" t="s">
        <v>1986</v>
      </c>
      <c r="C1557" s="800">
        <v>99213</v>
      </c>
    </row>
    <row r="1558" spans="2:3" x14ac:dyDescent="0.25">
      <c r="B1558" s="796" t="s">
        <v>1984</v>
      </c>
      <c r="C1558" s="800">
        <v>99211</v>
      </c>
    </row>
    <row r="1559" spans="2:3" x14ac:dyDescent="0.25">
      <c r="B1559" s="796" t="s">
        <v>1987</v>
      </c>
      <c r="C1559" s="800">
        <v>99218</v>
      </c>
    </row>
    <row r="1560" spans="2:3" x14ac:dyDescent="0.25">
      <c r="B1560" s="796" t="s">
        <v>1840</v>
      </c>
      <c r="C1560" s="800">
        <v>97641</v>
      </c>
    </row>
    <row r="1561" spans="2:3" x14ac:dyDescent="0.25">
      <c r="B1561" s="796" t="s">
        <v>1837</v>
      </c>
      <c r="C1561" s="800">
        <v>97627</v>
      </c>
    </row>
    <row r="1562" spans="2:3" x14ac:dyDescent="0.25">
      <c r="B1562" s="796" t="s">
        <v>1836</v>
      </c>
      <c r="C1562" s="800">
        <v>97623</v>
      </c>
    </row>
    <row r="1563" spans="2:3" x14ac:dyDescent="0.25">
      <c r="B1563" s="796" t="s">
        <v>1835</v>
      </c>
      <c r="C1563" s="800">
        <v>97621</v>
      </c>
    </row>
    <row r="1564" spans="2:3" x14ac:dyDescent="0.25">
      <c r="B1564" s="796" t="s">
        <v>1831</v>
      </c>
      <c r="C1564" s="800">
        <v>97601</v>
      </c>
    </row>
    <row r="1565" spans="2:3" x14ac:dyDescent="0.25">
      <c r="B1565" s="796" t="s">
        <v>1523</v>
      </c>
      <c r="C1565" s="800">
        <v>93681</v>
      </c>
    </row>
    <row r="1566" spans="2:3" x14ac:dyDescent="0.25">
      <c r="B1566" s="796" t="s">
        <v>1868</v>
      </c>
      <c r="C1566" s="800">
        <v>97877</v>
      </c>
    </row>
    <row r="1567" spans="2:3" x14ac:dyDescent="0.25">
      <c r="B1567" s="796" t="s">
        <v>1867</v>
      </c>
      <c r="C1567" s="800">
        <v>97871</v>
      </c>
    </row>
    <row r="1568" spans="2:3" x14ac:dyDescent="0.25">
      <c r="B1568" s="796" t="s">
        <v>2010</v>
      </c>
      <c r="C1568" s="800">
        <v>99502</v>
      </c>
    </row>
    <row r="1569" spans="2:3" x14ac:dyDescent="0.25">
      <c r="B1569" s="796" t="s">
        <v>1872</v>
      </c>
      <c r="C1569" s="800">
        <v>97917</v>
      </c>
    </row>
    <row r="1570" spans="2:3" x14ac:dyDescent="0.25">
      <c r="B1570" s="796" t="s">
        <v>1870</v>
      </c>
      <c r="C1570" s="800">
        <v>97911</v>
      </c>
    </row>
    <row r="1571" spans="2:3" x14ac:dyDescent="0.25">
      <c r="B1571" s="796" t="s">
        <v>1758</v>
      </c>
      <c r="C1571" s="800">
        <v>96611</v>
      </c>
    </row>
    <row r="1572" spans="2:3" x14ac:dyDescent="0.25">
      <c r="B1572" s="796" t="s">
        <v>1774</v>
      </c>
      <c r="C1572" s="800">
        <v>96741</v>
      </c>
    </row>
    <row r="1573" spans="2:3" x14ac:dyDescent="0.25">
      <c r="B1573" s="796" t="s">
        <v>1843</v>
      </c>
      <c r="C1573" s="800">
        <v>97701</v>
      </c>
    </row>
    <row r="1574" spans="2:3" x14ac:dyDescent="0.25">
      <c r="B1574" s="796" t="s">
        <v>1415</v>
      </c>
      <c r="C1574" s="800">
        <v>92541</v>
      </c>
    </row>
    <row r="1575" spans="2:3" x14ac:dyDescent="0.25">
      <c r="B1575" s="796" t="s">
        <v>1567</v>
      </c>
      <c r="C1575" s="800">
        <v>94209</v>
      </c>
    </row>
    <row r="1576" spans="2:3" x14ac:dyDescent="0.25">
      <c r="B1576" s="796" t="s">
        <v>1569</v>
      </c>
      <c r="C1576" s="800">
        <v>94221</v>
      </c>
    </row>
    <row r="1577" spans="2:3" x14ac:dyDescent="0.25">
      <c r="B1577" s="796" t="s">
        <v>1729</v>
      </c>
      <c r="C1577" s="800">
        <v>96341</v>
      </c>
    </row>
    <row r="1578" spans="2:3" x14ac:dyDescent="0.25">
      <c r="B1578" s="796" t="s">
        <v>1529</v>
      </c>
      <c r="C1578" s="800">
        <v>93821</v>
      </c>
    </row>
    <row r="1579" spans="2:3" x14ac:dyDescent="0.25">
      <c r="B1579" s="796" t="s">
        <v>1689</v>
      </c>
      <c r="C1579" s="800">
        <v>95853</v>
      </c>
    </row>
    <row r="1580" spans="2:3" x14ac:dyDescent="0.25">
      <c r="B1580" s="796" t="s">
        <v>1688</v>
      </c>
      <c r="C1580" s="800">
        <v>95851</v>
      </c>
    </row>
    <row r="1581" spans="2:3" x14ac:dyDescent="0.25">
      <c r="B1581" s="796" t="s">
        <v>1851</v>
      </c>
      <c r="C1581" s="800">
        <v>97801</v>
      </c>
    </row>
    <row r="1582" spans="2:3" x14ac:dyDescent="0.25">
      <c r="B1582" s="796" t="s">
        <v>1853</v>
      </c>
      <c r="C1582" s="800">
        <v>97803</v>
      </c>
    </row>
    <row r="1583" spans="2:3" x14ac:dyDescent="0.25">
      <c r="B1583" s="796" t="s">
        <v>1854</v>
      </c>
      <c r="C1583" s="800">
        <v>97805</v>
      </c>
    </row>
    <row r="1584" spans="2:3" x14ac:dyDescent="0.25">
      <c r="B1584" s="796" t="s">
        <v>1849</v>
      </c>
      <c r="C1584" s="800">
        <v>97727</v>
      </c>
    </row>
    <row r="1585" spans="2:3" x14ac:dyDescent="0.25">
      <c r="B1585" s="796" t="s">
        <v>1869</v>
      </c>
      <c r="C1585" s="800">
        <v>97901</v>
      </c>
    </row>
    <row r="1586" spans="2:3" x14ac:dyDescent="0.25">
      <c r="B1586" s="796" t="s">
        <v>1846</v>
      </c>
      <c r="C1586" s="800">
        <v>97713</v>
      </c>
    </row>
    <row r="1587" spans="2:3" x14ac:dyDescent="0.25">
      <c r="B1587" s="796" t="s">
        <v>1845</v>
      </c>
      <c r="C1587" s="800">
        <v>97711</v>
      </c>
    </row>
    <row r="1588" spans="2:3" x14ac:dyDescent="0.25">
      <c r="B1588" s="796" t="s">
        <v>1892</v>
      </c>
      <c r="C1588" s="800">
        <v>98071</v>
      </c>
    </row>
    <row r="1589" spans="2:3" x14ac:dyDescent="0.25">
      <c r="B1589" s="796" t="s">
        <v>1485</v>
      </c>
      <c r="C1589" s="800">
        <v>93333</v>
      </c>
    </row>
    <row r="1590" spans="2:3" x14ac:dyDescent="0.25">
      <c r="B1590" s="796" t="s">
        <v>1482</v>
      </c>
      <c r="C1590" s="800">
        <v>93321</v>
      </c>
    </row>
    <row r="1591" spans="2:3" x14ac:dyDescent="0.25">
      <c r="B1591" s="796" t="s">
        <v>1483</v>
      </c>
      <c r="C1591" s="800">
        <v>93323</v>
      </c>
    </row>
    <row r="1592" spans="2:3" x14ac:dyDescent="0.25">
      <c r="B1592" s="796" t="s">
        <v>1978</v>
      </c>
      <c r="C1592" s="800">
        <v>99203</v>
      </c>
    </row>
    <row r="1593" spans="2:3" x14ac:dyDescent="0.25">
      <c r="B1593" s="796" t="s">
        <v>2007</v>
      </c>
      <c r="C1593" s="800">
        <v>99421</v>
      </c>
    </row>
    <row r="1594" spans="2:3" x14ac:dyDescent="0.25">
      <c r="B1594" s="796" t="s">
        <v>1466</v>
      </c>
      <c r="C1594" s="800">
        <v>93161</v>
      </c>
    </row>
    <row r="1595" spans="2:3" x14ac:dyDescent="0.25">
      <c r="B1595" s="796" t="s">
        <v>1913</v>
      </c>
      <c r="C1595" s="800">
        <v>98237</v>
      </c>
    </row>
    <row r="1596" spans="2:3" x14ac:dyDescent="0.25">
      <c r="B1596" s="796" t="s">
        <v>1916</v>
      </c>
      <c r="C1596" s="800">
        <v>98261</v>
      </c>
    </row>
    <row r="1597" spans="2:3" x14ac:dyDescent="0.25">
      <c r="B1597" s="796" t="s">
        <v>3564</v>
      </c>
      <c r="C1597" s="800">
        <v>98002</v>
      </c>
    </row>
    <row r="1598" spans="2:3" x14ac:dyDescent="0.25">
      <c r="B1598" s="796" t="s">
        <v>1880</v>
      </c>
      <c r="C1598" s="800">
        <v>98001</v>
      </c>
    </row>
    <row r="1599" spans="2:3" x14ac:dyDescent="0.25">
      <c r="B1599" s="796" t="s">
        <v>1882</v>
      </c>
      <c r="C1599" s="800">
        <v>98004</v>
      </c>
    </row>
    <row r="1600" spans="2:3" x14ac:dyDescent="0.25">
      <c r="B1600" s="796" t="s">
        <v>1881</v>
      </c>
      <c r="C1600" s="800">
        <v>98003</v>
      </c>
    </row>
    <row r="1601" spans="2:3" x14ac:dyDescent="0.25">
      <c r="B1601" s="796" t="s">
        <v>1883</v>
      </c>
      <c r="C1601" s="800">
        <v>98008</v>
      </c>
    </row>
    <row r="1602" spans="2:3" x14ac:dyDescent="0.25">
      <c r="B1602" s="796" t="s">
        <v>1866</v>
      </c>
      <c r="C1602" s="800">
        <v>97861</v>
      </c>
    </row>
    <row r="1603" spans="2:3" x14ac:dyDescent="0.25">
      <c r="B1603" s="796" t="s">
        <v>1809</v>
      </c>
      <c r="C1603" s="800">
        <v>97311</v>
      </c>
    </row>
    <row r="1604" spans="2:3" x14ac:dyDescent="0.25">
      <c r="B1604" s="796" t="s">
        <v>1494</v>
      </c>
      <c r="C1604" s="800">
        <v>93431</v>
      </c>
    </row>
    <row r="1605" spans="2:3" x14ac:dyDescent="0.25">
      <c r="B1605" s="796" t="s">
        <v>1307</v>
      </c>
      <c r="C1605" s="800">
        <v>91214</v>
      </c>
    </row>
    <row r="1606" spans="2:3" x14ac:dyDescent="0.25">
      <c r="B1606" s="796" t="s">
        <v>1895</v>
      </c>
      <c r="C1606" s="800">
        <v>98101</v>
      </c>
    </row>
    <row r="1607" spans="2:3" x14ac:dyDescent="0.25">
      <c r="B1607" s="796" t="s">
        <v>1897</v>
      </c>
      <c r="C1607" s="800">
        <v>98103</v>
      </c>
    </row>
    <row r="1608" spans="2:3" x14ac:dyDescent="0.25">
      <c r="B1608" s="796" t="s">
        <v>1905</v>
      </c>
      <c r="C1608" s="800">
        <v>98147</v>
      </c>
    </row>
    <row r="1609" spans="2:3" x14ac:dyDescent="0.25">
      <c r="B1609" s="796" t="s">
        <v>1904</v>
      </c>
      <c r="C1609" s="800">
        <v>98141</v>
      </c>
    </row>
    <row r="1610" spans="2:3" x14ac:dyDescent="0.25">
      <c r="B1610" s="796" t="s">
        <v>1861</v>
      </c>
      <c r="C1610" s="800">
        <v>97837</v>
      </c>
    </row>
    <row r="1611" spans="2:3" x14ac:dyDescent="0.25">
      <c r="B1611" s="796" t="s">
        <v>1911</v>
      </c>
      <c r="C1611" s="800">
        <v>98221</v>
      </c>
    </row>
    <row r="1612" spans="2:3" x14ac:dyDescent="0.25">
      <c r="B1612" s="796" t="s">
        <v>1885</v>
      </c>
      <c r="C1612" s="800">
        <v>98013</v>
      </c>
    </row>
    <row r="1613" spans="2:3" x14ac:dyDescent="0.25">
      <c r="B1613" s="796" t="s">
        <v>1884</v>
      </c>
      <c r="C1613" s="800">
        <v>98011</v>
      </c>
    </row>
    <row r="1614" spans="2:3" x14ac:dyDescent="0.25">
      <c r="B1614" s="796" t="s">
        <v>1830</v>
      </c>
      <c r="C1614" s="800">
        <v>97531</v>
      </c>
    </row>
    <row r="1615" spans="2:3" x14ac:dyDescent="0.25">
      <c r="B1615" s="796" t="s">
        <v>1907</v>
      </c>
      <c r="C1615" s="800">
        <v>98201</v>
      </c>
    </row>
    <row r="1616" spans="2:3" x14ac:dyDescent="0.25">
      <c r="B1616" s="796" t="s">
        <v>1844</v>
      </c>
      <c r="C1616" s="800">
        <v>97705</v>
      </c>
    </row>
    <row r="1617" spans="2:3" x14ac:dyDescent="0.25">
      <c r="B1617" s="796" t="s">
        <v>3565</v>
      </c>
      <c r="C1617" s="800">
        <v>96318</v>
      </c>
    </row>
    <row r="1618" spans="2:3" x14ac:dyDescent="0.25">
      <c r="B1618" s="796" t="s">
        <v>1656</v>
      </c>
      <c r="C1618" s="800">
        <v>95317</v>
      </c>
    </row>
    <row r="1619" spans="2:3" x14ac:dyDescent="0.25">
      <c r="B1619" s="796" t="s">
        <v>1655</v>
      </c>
      <c r="C1619" s="800">
        <v>95311</v>
      </c>
    </row>
    <row r="1620" spans="2:3" x14ac:dyDescent="0.25">
      <c r="B1620" s="796" t="s">
        <v>1328</v>
      </c>
      <c r="C1620" s="800">
        <v>91421</v>
      </c>
    </row>
    <row r="1621" spans="2:3" x14ac:dyDescent="0.25">
      <c r="B1621" s="796" t="s">
        <v>1918</v>
      </c>
      <c r="C1621" s="800">
        <v>98301</v>
      </c>
    </row>
    <row r="1622" spans="2:3" x14ac:dyDescent="0.25">
      <c r="B1622" s="796" t="s">
        <v>1919</v>
      </c>
      <c r="C1622" s="800">
        <v>98304</v>
      </c>
    </row>
    <row r="1623" spans="2:3" x14ac:dyDescent="0.25">
      <c r="B1623" s="796" t="s">
        <v>1571</v>
      </c>
      <c r="C1623" s="800">
        <v>94241</v>
      </c>
    </row>
    <row r="1624" spans="2:3" x14ac:dyDescent="0.25">
      <c r="B1624" s="796" t="s">
        <v>1766</v>
      </c>
      <c r="C1624" s="800">
        <v>96681</v>
      </c>
    </row>
    <row r="1625" spans="2:3" x14ac:dyDescent="0.25">
      <c r="B1625" s="796" t="s">
        <v>1641</v>
      </c>
      <c r="C1625" s="800">
        <v>95123</v>
      </c>
    </row>
    <row r="1626" spans="2:3" x14ac:dyDescent="0.25">
      <c r="B1626" s="796" t="s">
        <v>1639</v>
      </c>
      <c r="C1626" s="800">
        <v>95121</v>
      </c>
    </row>
    <row r="1627" spans="2:3" x14ac:dyDescent="0.25">
      <c r="B1627" s="796" t="s">
        <v>2016</v>
      </c>
      <c r="C1627" s="800">
        <v>99531</v>
      </c>
    </row>
    <row r="1628" spans="2:3" x14ac:dyDescent="0.25">
      <c r="B1628" s="796" t="s">
        <v>1765</v>
      </c>
      <c r="C1628" s="800">
        <v>96671</v>
      </c>
    </row>
    <row r="1629" spans="2:3" x14ac:dyDescent="0.25">
      <c r="B1629" s="796" t="s">
        <v>1275</v>
      </c>
      <c r="C1629" s="800">
        <v>91057</v>
      </c>
    </row>
    <row r="1630" spans="2:3" x14ac:dyDescent="0.25">
      <c r="B1630" s="796" t="s">
        <v>1280</v>
      </c>
      <c r="C1630" s="800">
        <v>91081</v>
      </c>
    </row>
    <row r="1631" spans="2:3" x14ac:dyDescent="0.25">
      <c r="B1631" s="796" t="s">
        <v>1743</v>
      </c>
      <c r="C1631" s="800">
        <v>96461</v>
      </c>
    </row>
    <row r="1632" spans="2:3" x14ac:dyDescent="0.25">
      <c r="B1632" s="796" t="s">
        <v>1388</v>
      </c>
      <c r="C1632" s="800">
        <v>92317</v>
      </c>
    </row>
    <row r="1633" spans="2:3" x14ac:dyDescent="0.25">
      <c r="B1633" s="796" t="s">
        <v>1387</v>
      </c>
      <c r="C1633" s="800">
        <v>92311</v>
      </c>
    </row>
    <row r="1634" spans="2:3" x14ac:dyDescent="0.25">
      <c r="B1634" s="796" t="s">
        <v>1813</v>
      </c>
      <c r="C1634" s="800">
        <v>97405</v>
      </c>
    </row>
    <row r="1635" spans="2:3" x14ac:dyDescent="0.25">
      <c r="B1635" s="796" t="s">
        <v>1372</v>
      </c>
      <c r="C1635" s="800">
        <v>91917</v>
      </c>
    </row>
    <row r="1636" spans="2:3" x14ac:dyDescent="0.25">
      <c r="B1636" s="796" t="s">
        <v>1371</v>
      </c>
      <c r="C1636" s="800">
        <v>91911</v>
      </c>
    </row>
    <row r="1637" spans="2:3" x14ac:dyDescent="0.25">
      <c r="B1637" s="796" t="s">
        <v>1825</v>
      </c>
      <c r="C1637" s="800">
        <v>97481</v>
      </c>
    </row>
    <row r="1638" spans="2:3" x14ac:dyDescent="0.25">
      <c r="B1638" s="796" t="s">
        <v>1294</v>
      </c>
      <c r="C1638" s="800">
        <v>91138</v>
      </c>
    </row>
    <row r="1639" spans="2:3" x14ac:dyDescent="0.25">
      <c r="B1639" s="796" t="s">
        <v>1638</v>
      </c>
      <c r="C1639" s="800">
        <v>95113</v>
      </c>
    </row>
    <row r="1640" spans="2:3" x14ac:dyDescent="0.25">
      <c r="B1640" s="796" t="s">
        <v>1637</v>
      </c>
      <c r="C1640" s="800">
        <v>95111</v>
      </c>
    </row>
    <row r="1641" spans="2:3" x14ac:dyDescent="0.25">
      <c r="B1641" s="796" t="s">
        <v>1630</v>
      </c>
      <c r="C1641" s="800">
        <v>95009</v>
      </c>
    </row>
    <row r="1642" spans="2:3" x14ac:dyDescent="0.25">
      <c r="B1642" s="796" t="s">
        <v>1545</v>
      </c>
      <c r="C1642" s="800">
        <v>94021</v>
      </c>
    </row>
    <row r="1643" spans="2:3" x14ac:dyDescent="0.25">
      <c r="B1643" s="796" t="s">
        <v>1534</v>
      </c>
      <c r="C1643" s="800">
        <v>93910</v>
      </c>
    </row>
    <row r="1644" spans="2:3" x14ac:dyDescent="0.25">
      <c r="B1644" s="796" t="s">
        <v>3566</v>
      </c>
      <c r="C1644" s="800">
        <v>91013</v>
      </c>
    </row>
    <row r="1645" spans="2:3" x14ac:dyDescent="0.25">
      <c r="B1645" s="796" t="s">
        <v>1250</v>
      </c>
      <c r="C1645" s="800">
        <v>90918</v>
      </c>
    </row>
    <row r="1646" spans="2:3" x14ac:dyDescent="0.25">
      <c r="B1646" s="796" t="s">
        <v>1725</v>
      </c>
      <c r="C1646" s="800">
        <v>96311</v>
      </c>
    </row>
    <row r="1647" spans="2:3" x14ac:dyDescent="0.25">
      <c r="B1647" s="796" t="s">
        <v>1441</v>
      </c>
      <c r="C1647" s="800">
        <v>92841</v>
      </c>
    </row>
    <row r="1648" spans="2:3" x14ac:dyDescent="0.25">
      <c r="B1648" s="796" t="s">
        <v>2021</v>
      </c>
      <c r="C1648" s="800">
        <v>99609</v>
      </c>
    </row>
    <row r="1649" spans="2:3" x14ac:dyDescent="0.25">
      <c r="B1649" s="796" t="s">
        <v>1265</v>
      </c>
      <c r="C1649" s="800">
        <v>91017</v>
      </c>
    </row>
    <row r="1650" spans="2:3" x14ac:dyDescent="0.25">
      <c r="B1650" s="796" t="s">
        <v>1262</v>
      </c>
      <c r="C1650" s="800">
        <v>91011</v>
      </c>
    </row>
    <row r="1651" spans="2:3" x14ac:dyDescent="0.25">
      <c r="B1651" s="796" t="s">
        <v>1629</v>
      </c>
      <c r="C1651" s="800">
        <v>95008</v>
      </c>
    </row>
    <row r="1652" spans="2:3" x14ac:dyDescent="0.25">
      <c r="B1652" s="796" t="s">
        <v>1209</v>
      </c>
      <c r="C1652" s="800">
        <v>90307</v>
      </c>
    </row>
    <row r="1653" spans="2:3" x14ac:dyDescent="0.25">
      <c r="B1653" s="796" t="s">
        <v>1187</v>
      </c>
      <c r="C1653" s="800">
        <v>72657</v>
      </c>
    </row>
    <row r="1654" spans="2:3" x14ac:dyDescent="0.25">
      <c r="B1654" s="796" t="s">
        <v>1888</v>
      </c>
      <c r="C1654" s="800">
        <v>98031</v>
      </c>
    </row>
    <row r="1655" spans="2:3" x14ac:dyDescent="0.25">
      <c r="B1655" s="796" t="s">
        <v>1902</v>
      </c>
      <c r="C1655" s="800">
        <v>98121</v>
      </c>
    </row>
    <row r="1656" spans="2:3" x14ac:dyDescent="0.25">
      <c r="B1656" s="796" t="s">
        <v>1738</v>
      </c>
      <c r="C1656" s="800">
        <v>96411</v>
      </c>
    </row>
    <row r="1657" spans="2:3" x14ac:dyDescent="0.25">
      <c r="B1657" s="796" t="s">
        <v>1430</v>
      </c>
      <c r="C1657" s="800">
        <v>92661</v>
      </c>
    </row>
    <row r="1658" spans="2:3" x14ac:dyDescent="0.25">
      <c r="B1658" s="796" t="s">
        <v>1711</v>
      </c>
      <c r="C1658" s="800">
        <v>96111</v>
      </c>
    </row>
    <row r="1659" spans="2:3" x14ac:dyDescent="0.25">
      <c r="B1659" s="796" t="s">
        <v>1271</v>
      </c>
      <c r="C1659" s="800">
        <v>91032</v>
      </c>
    </row>
    <row r="1660" spans="2:3" x14ac:dyDescent="0.25">
      <c r="B1660" s="796" t="s">
        <v>1860</v>
      </c>
      <c r="C1660" s="800">
        <v>97831</v>
      </c>
    </row>
    <row r="1661" spans="2:3" x14ac:dyDescent="0.25">
      <c r="B1661" s="796" t="s">
        <v>1706</v>
      </c>
      <c r="C1661" s="800">
        <v>96061</v>
      </c>
    </row>
    <row r="1662" spans="2:3" x14ac:dyDescent="0.25">
      <c r="B1662" s="796" t="s">
        <v>1933</v>
      </c>
      <c r="C1662" s="800">
        <v>98481</v>
      </c>
    </row>
    <row r="1663" spans="2:3" x14ac:dyDescent="0.25">
      <c r="B1663" s="796" t="s">
        <v>1509</v>
      </c>
      <c r="C1663" s="800">
        <v>93602</v>
      </c>
    </row>
    <row r="1664" spans="2:3" x14ac:dyDescent="0.25">
      <c r="B1664" s="796" t="s">
        <v>1925</v>
      </c>
      <c r="C1664" s="800">
        <v>98401</v>
      </c>
    </row>
    <row r="1665" spans="2:3" x14ac:dyDescent="0.25">
      <c r="B1665" s="796" t="s">
        <v>2041</v>
      </c>
      <c r="C1665" s="800">
        <v>99821</v>
      </c>
    </row>
    <row r="1666" spans="2:3" x14ac:dyDescent="0.25">
      <c r="B1666" s="796" t="s">
        <v>1715</v>
      </c>
      <c r="C1666" s="800">
        <v>96211</v>
      </c>
    </row>
    <row r="1667" spans="2:3" x14ac:dyDescent="0.25">
      <c r="B1667" s="796" t="s">
        <v>1620</v>
      </c>
      <c r="C1667" s="800">
        <v>94917</v>
      </c>
    </row>
    <row r="1668" spans="2:3" x14ac:dyDescent="0.25">
      <c r="B1668" s="796" t="s">
        <v>1619</v>
      </c>
      <c r="C1668" s="800">
        <v>94911</v>
      </c>
    </row>
    <row r="1669" spans="2:3" x14ac:dyDescent="0.25">
      <c r="B1669" s="796" t="s">
        <v>1426</v>
      </c>
      <c r="C1669" s="800">
        <v>92621</v>
      </c>
    </row>
    <row r="1670" spans="2:3" x14ac:dyDescent="0.25">
      <c r="B1670" s="796" t="s">
        <v>1934</v>
      </c>
      <c r="C1670" s="800">
        <v>98501</v>
      </c>
    </row>
    <row r="1671" spans="2:3" x14ac:dyDescent="0.25">
      <c r="B1671" s="796" t="s">
        <v>1874</v>
      </c>
      <c r="C1671" s="800">
        <v>97931</v>
      </c>
    </row>
    <row r="1672" spans="2:3" x14ac:dyDescent="0.25">
      <c r="B1672" s="796" t="s">
        <v>1537</v>
      </c>
      <c r="C1672" s="800">
        <v>93914</v>
      </c>
    </row>
    <row r="1673" spans="2:3" x14ac:dyDescent="0.25">
      <c r="B1673" s="796" t="s">
        <v>1230</v>
      </c>
      <c r="C1673" s="800">
        <v>90651</v>
      </c>
    </row>
    <row r="1674" spans="2:3" x14ac:dyDescent="0.25">
      <c r="B1674" s="796" t="s">
        <v>1563</v>
      </c>
      <c r="C1674" s="800">
        <v>94172</v>
      </c>
    </row>
    <row r="1675" spans="2:3" x14ac:dyDescent="0.25">
      <c r="B1675" s="796" t="s">
        <v>1562</v>
      </c>
      <c r="C1675" s="800">
        <v>94171</v>
      </c>
    </row>
    <row r="1676" spans="2:3" x14ac:dyDescent="0.25">
      <c r="B1676" s="796" t="s">
        <v>1273</v>
      </c>
      <c r="C1676" s="800">
        <v>91047</v>
      </c>
    </row>
    <row r="1677" spans="2:3" x14ac:dyDescent="0.25">
      <c r="B1677" s="796" t="s">
        <v>1272</v>
      </c>
      <c r="C1677" s="800">
        <v>91041</v>
      </c>
    </row>
    <row r="1678" spans="2:3" x14ac:dyDescent="0.25">
      <c r="B1678" s="796" t="s">
        <v>1801</v>
      </c>
      <c r="C1678" s="800">
        <v>97131</v>
      </c>
    </row>
    <row r="1679" spans="2:3" x14ac:dyDescent="0.25">
      <c r="B1679" s="796" t="s">
        <v>1938</v>
      </c>
      <c r="C1679" s="800">
        <v>98601</v>
      </c>
    </row>
    <row r="1680" spans="2:3" x14ac:dyDescent="0.25">
      <c r="B1680" s="796" t="s">
        <v>1948</v>
      </c>
      <c r="C1680" s="800">
        <v>98701</v>
      </c>
    </row>
    <row r="1681" spans="2:3" x14ac:dyDescent="0.25">
      <c r="B1681" s="796" t="s">
        <v>1771</v>
      </c>
      <c r="C1681" s="800">
        <v>96721</v>
      </c>
    </row>
    <row r="1682" spans="2:3" x14ac:dyDescent="0.25">
      <c r="B1682" s="796" t="s">
        <v>1631</v>
      </c>
      <c r="C1682" s="800">
        <v>95011</v>
      </c>
    </row>
    <row r="1683" spans="2:3" x14ac:dyDescent="0.25">
      <c r="B1683" s="796" t="s">
        <v>1403</v>
      </c>
      <c r="C1683" s="800">
        <v>92451</v>
      </c>
    </row>
    <row r="1684" spans="2:3" x14ac:dyDescent="0.25">
      <c r="B1684" s="796" t="s">
        <v>1481</v>
      </c>
      <c r="C1684" s="800">
        <v>93317</v>
      </c>
    </row>
    <row r="1685" spans="2:3" x14ac:dyDescent="0.25">
      <c r="B1685" s="796" t="s">
        <v>1480</v>
      </c>
      <c r="C1685" s="800">
        <v>93311</v>
      </c>
    </row>
    <row r="1686" spans="2:3" x14ac:dyDescent="0.25">
      <c r="B1686" s="796" t="s">
        <v>1206</v>
      </c>
      <c r="C1686" s="800">
        <v>90211</v>
      </c>
    </row>
    <row r="1687" spans="2:3" x14ac:dyDescent="0.25">
      <c r="B1687" s="796" t="s">
        <v>1721</v>
      </c>
      <c r="C1687" s="800">
        <v>96302</v>
      </c>
    </row>
    <row r="1688" spans="2:3" x14ac:dyDescent="0.25">
      <c r="B1688" s="796" t="s">
        <v>1468</v>
      </c>
      <c r="C1688" s="800">
        <v>93181</v>
      </c>
    </row>
    <row r="1689" spans="2:3" x14ac:dyDescent="0.25">
      <c r="B1689" s="796" t="s">
        <v>1383</v>
      </c>
      <c r="C1689" s="800">
        <v>92113</v>
      </c>
    </row>
    <row r="1690" spans="2:3" x14ac:dyDescent="0.25">
      <c r="B1690" s="796" t="s">
        <v>1446</v>
      </c>
      <c r="C1690" s="800">
        <v>92913</v>
      </c>
    </row>
    <row r="1691" spans="2:3" x14ac:dyDescent="0.25">
      <c r="B1691" s="796" t="s">
        <v>1445</v>
      </c>
      <c r="C1691" s="800">
        <v>92911</v>
      </c>
    </row>
    <row r="1692" spans="2:3" x14ac:dyDescent="0.25">
      <c r="B1692" s="796" t="s">
        <v>1499</v>
      </c>
      <c r="C1692" s="800">
        <v>93471</v>
      </c>
    </row>
    <row r="1693" spans="2:3" x14ac:dyDescent="0.25">
      <c r="B1693" s="796" t="s">
        <v>1192</v>
      </c>
      <c r="C1693" s="800">
        <v>90098</v>
      </c>
    </row>
    <row r="1694" spans="2:3" x14ac:dyDescent="0.25">
      <c r="B1694" s="796" t="s">
        <v>1800</v>
      </c>
      <c r="C1694" s="800">
        <v>97121</v>
      </c>
    </row>
    <row r="1695" spans="2:3" x14ac:dyDescent="0.25">
      <c r="B1695" s="796" t="s">
        <v>1397</v>
      </c>
      <c r="C1695" s="800">
        <v>92414</v>
      </c>
    </row>
    <row r="1696" spans="2:3" x14ac:dyDescent="0.25">
      <c r="B1696" s="796" t="s">
        <v>1450</v>
      </c>
      <c r="C1696" s="800">
        <v>92941</v>
      </c>
    </row>
    <row r="1697" spans="2:3" x14ac:dyDescent="0.25">
      <c r="B1697" s="796" t="s">
        <v>1269</v>
      </c>
      <c r="C1697" s="800">
        <v>91026</v>
      </c>
    </row>
    <row r="1698" spans="2:3" x14ac:dyDescent="0.25">
      <c r="B1698" s="796" t="s">
        <v>1951</v>
      </c>
      <c r="C1698" s="800">
        <v>98801</v>
      </c>
    </row>
    <row r="1699" spans="2:3" x14ac:dyDescent="0.25">
      <c r="B1699" s="796" t="s">
        <v>1413</v>
      </c>
      <c r="C1699" s="800">
        <v>92521</v>
      </c>
    </row>
    <row r="1700" spans="2:3" x14ac:dyDescent="0.25">
      <c r="B1700" s="796" t="s">
        <v>3567</v>
      </c>
      <c r="C1700" s="800">
        <v>93417</v>
      </c>
    </row>
    <row r="1701" spans="2:3" x14ac:dyDescent="0.25">
      <c r="B1701" s="796" t="s">
        <v>1476</v>
      </c>
      <c r="C1701" s="800">
        <v>93219</v>
      </c>
    </row>
    <row r="1702" spans="2:3" x14ac:dyDescent="0.25">
      <c r="B1702" s="796" t="s">
        <v>3568</v>
      </c>
      <c r="C1702" s="800">
        <v>92513</v>
      </c>
    </row>
    <row r="1703" spans="2:3" x14ac:dyDescent="0.25">
      <c r="B1703" s="796" t="s">
        <v>1842</v>
      </c>
      <c r="C1703" s="800">
        <v>97661</v>
      </c>
    </row>
    <row r="1704" spans="2:3" x14ac:dyDescent="0.25">
      <c r="B1704" s="796" t="s">
        <v>1624</v>
      </c>
      <c r="C1704" s="800">
        <v>94931</v>
      </c>
    </row>
    <row r="1705" spans="2:3" x14ac:dyDescent="0.25">
      <c r="B1705" s="796" t="s">
        <v>1716</v>
      </c>
      <c r="C1705" s="800">
        <v>96221</v>
      </c>
    </row>
    <row r="1706" spans="2:3" x14ac:dyDescent="0.25">
      <c r="B1706" s="796" t="s">
        <v>1828</v>
      </c>
      <c r="C1706" s="800">
        <v>97511</v>
      </c>
    </row>
    <row r="1707" spans="2:3" x14ac:dyDescent="0.25">
      <c r="B1707" s="796" t="s">
        <v>1627</v>
      </c>
      <c r="C1707" s="800">
        <v>95002</v>
      </c>
    </row>
    <row r="1708" spans="2:3" x14ac:dyDescent="0.25">
      <c r="B1708" s="796" t="s">
        <v>1915</v>
      </c>
      <c r="C1708" s="800">
        <v>98251</v>
      </c>
    </row>
    <row r="1709" spans="2:3" x14ac:dyDescent="0.25">
      <c r="B1709" s="796" t="s">
        <v>1954</v>
      </c>
      <c r="C1709" s="800">
        <v>98901</v>
      </c>
    </row>
    <row r="1710" spans="2:3" x14ac:dyDescent="0.25">
      <c r="B1710" s="796" t="s">
        <v>1955</v>
      </c>
      <c r="C1710" s="800">
        <v>98904</v>
      </c>
    </row>
    <row r="1711" spans="2:3" x14ac:dyDescent="0.25">
      <c r="B1711" s="796" t="s">
        <v>1957</v>
      </c>
      <c r="C1711" s="800">
        <v>99001</v>
      </c>
    </row>
    <row r="1712" spans="2:3" x14ac:dyDescent="0.25">
      <c r="B1712" s="796" t="s">
        <v>1967</v>
      </c>
      <c r="C1712" s="800">
        <v>99061</v>
      </c>
    </row>
    <row r="1713" spans="2:3" x14ac:dyDescent="0.25">
      <c r="B1713" s="796" t="s">
        <v>3569</v>
      </c>
      <c r="C1713" s="800">
        <v>93309</v>
      </c>
    </row>
    <row r="1714" spans="2:3" x14ac:dyDescent="0.25">
      <c r="B1714" s="796" t="s">
        <v>1306</v>
      </c>
      <c r="C1714" s="800">
        <v>91213</v>
      </c>
    </row>
    <row r="1715" spans="2:3" x14ac:dyDescent="0.25">
      <c r="B1715" s="796" t="s">
        <v>1305</v>
      </c>
      <c r="C1715" s="800">
        <v>91211</v>
      </c>
    </row>
    <row r="1716" spans="2:3" x14ac:dyDescent="0.25">
      <c r="B1716" s="796" t="s">
        <v>1971</v>
      </c>
      <c r="C1716" s="800">
        <v>99101</v>
      </c>
    </row>
    <row r="1717" spans="2:3" x14ac:dyDescent="0.25">
      <c r="B1717" s="796" t="s">
        <v>1972</v>
      </c>
      <c r="C1717" s="800">
        <v>99104</v>
      </c>
    </row>
    <row r="1718" spans="2:3" x14ac:dyDescent="0.25">
      <c r="B1718" s="796" t="s">
        <v>1416</v>
      </c>
      <c r="C1718" s="800">
        <v>92551</v>
      </c>
    </row>
    <row r="1719" spans="2:3" x14ac:dyDescent="0.25">
      <c r="B1719" s="796" t="s">
        <v>1727</v>
      </c>
      <c r="C1719" s="800">
        <v>96321</v>
      </c>
    </row>
    <row r="1720" spans="2:3" x14ac:dyDescent="0.25">
      <c r="B1720" s="796" t="s">
        <v>1428</v>
      </c>
      <c r="C1720" s="800">
        <v>92641</v>
      </c>
    </row>
    <row r="1721" spans="2:3" x14ac:dyDescent="0.25">
      <c r="B1721" s="796" t="s">
        <v>1213</v>
      </c>
      <c r="C1721" s="800">
        <v>90417</v>
      </c>
    </row>
    <row r="1722" spans="2:3" x14ac:dyDescent="0.25">
      <c r="B1722" s="796" t="s">
        <v>1212</v>
      </c>
      <c r="C1722" s="800">
        <v>90413</v>
      </c>
    </row>
    <row r="1723" spans="2:3" x14ac:dyDescent="0.25">
      <c r="B1723" s="796" t="s">
        <v>1211</v>
      </c>
      <c r="C1723" s="800">
        <v>90411</v>
      </c>
    </row>
    <row r="1724" spans="2:3" x14ac:dyDescent="0.25">
      <c r="B1724" s="796" t="s">
        <v>1923</v>
      </c>
      <c r="C1724" s="800">
        <v>98321</v>
      </c>
    </row>
    <row r="1725" spans="2:3" x14ac:dyDescent="0.25">
      <c r="B1725" s="796" t="s">
        <v>1976</v>
      </c>
      <c r="C1725" s="800">
        <v>99201</v>
      </c>
    </row>
    <row r="1726" spans="2:3" x14ac:dyDescent="0.25">
      <c r="B1726" s="796" t="s">
        <v>1979</v>
      </c>
      <c r="C1726" s="800">
        <v>99204</v>
      </c>
    </row>
    <row r="1727" spans="2:3" x14ac:dyDescent="0.25">
      <c r="B1727" s="796" t="s">
        <v>1981</v>
      </c>
      <c r="C1727" s="800">
        <v>99207</v>
      </c>
    </row>
    <row r="1728" spans="2:3" x14ac:dyDescent="0.25">
      <c r="B1728" s="796" t="s">
        <v>1996</v>
      </c>
      <c r="C1728" s="800">
        <v>99281</v>
      </c>
    </row>
    <row r="1729" spans="2:3" x14ac:dyDescent="0.25">
      <c r="B1729" s="796" t="s">
        <v>1498</v>
      </c>
      <c r="C1729" s="800">
        <v>93461</v>
      </c>
    </row>
    <row r="1730" spans="2:3" x14ac:dyDescent="0.25">
      <c r="B1730" s="796" t="s">
        <v>1465</v>
      </c>
      <c r="C1730" s="800">
        <v>93157</v>
      </c>
    </row>
    <row r="1731" spans="2:3" x14ac:dyDescent="0.25">
      <c r="B1731" s="796" t="s">
        <v>1464</v>
      </c>
      <c r="C1731" s="800">
        <v>93151</v>
      </c>
    </row>
    <row r="1732" spans="2:3" x14ac:dyDescent="0.25">
      <c r="B1732" s="796" t="s">
        <v>1936</v>
      </c>
      <c r="C1732" s="800">
        <v>98517</v>
      </c>
    </row>
    <row r="1733" spans="2:3" x14ac:dyDescent="0.25">
      <c r="B1733" s="796" t="s">
        <v>1935</v>
      </c>
      <c r="C1733" s="800">
        <v>98511</v>
      </c>
    </row>
    <row r="1734" spans="2:3" x14ac:dyDescent="0.25">
      <c r="B1734" s="796" t="s">
        <v>2028</v>
      </c>
      <c r="C1734" s="800">
        <v>99661</v>
      </c>
    </row>
    <row r="1735" spans="2:3" x14ac:dyDescent="0.25">
      <c r="B1735" s="796" t="s">
        <v>1546</v>
      </c>
      <c r="C1735" s="800">
        <v>94031</v>
      </c>
    </row>
    <row r="1736" spans="2:3" x14ac:dyDescent="0.25">
      <c r="B1736" s="796" t="s">
        <v>1998</v>
      </c>
      <c r="C1736" s="800">
        <v>99301</v>
      </c>
    </row>
    <row r="1737" spans="2:3" x14ac:dyDescent="0.25">
      <c r="B1737" s="796" t="s">
        <v>1999</v>
      </c>
      <c r="C1737" s="800">
        <v>99304</v>
      </c>
    </row>
    <row r="1738" spans="2:3" x14ac:dyDescent="0.25">
      <c r="B1738" s="796" t="s">
        <v>2001</v>
      </c>
      <c r="C1738" s="800">
        <v>99321</v>
      </c>
    </row>
    <row r="1739" spans="2:3" x14ac:dyDescent="0.25">
      <c r="B1739" s="796" t="s">
        <v>1462</v>
      </c>
      <c r="C1739" s="800">
        <v>93137</v>
      </c>
    </row>
    <row r="1740" spans="2:3" x14ac:dyDescent="0.25">
      <c r="B1740" s="796" t="s">
        <v>1461</v>
      </c>
      <c r="C1740" s="800">
        <v>93131</v>
      </c>
    </row>
    <row r="1741" spans="2:3" x14ac:dyDescent="0.25">
      <c r="B1741" s="796" t="s">
        <v>2002</v>
      </c>
      <c r="C1741" s="800">
        <v>99401</v>
      </c>
    </row>
    <row r="1742" spans="2:3" x14ac:dyDescent="0.25">
      <c r="B1742" s="796" t="s">
        <v>2003</v>
      </c>
      <c r="C1742" s="800">
        <v>99404</v>
      </c>
    </row>
    <row r="1743" spans="2:3" x14ac:dyDescent="0.25">
      <c r="B1743" s="796" t="s">
        <v>1237</v>
      </c>
      <c r="C1743" s="800">
        <v>90741</v>
      </c>
    </row>
    <row r="1744" spans="2:3" x14ac:dyDescent="0.25">
      <c r="B1744" s="796" t="s">
        <v>1234</v>
      </c>
      <c r="C1744" s="800">
        <v>90711</v>
      </c>
    </row>
    <row r="1745" spans="2:3" x14ac:dyDescent="0.25">
      <c r="B1745" s="796" t="s">
        <v>2009</v>
      </c>
      <c r="C1745" s="800">
        <v>99501</v>
      </c>
    </row>
    <row r="1746" spans="2:3" x14ac:dyDescent="0.25">
      <c r="B1746" s="796" t="s">
        <v>2012</v>
      </c>
      <c r="C1746" s="800">
        <v>99509</v>
      </c>
    </row>
    <row r="1747" spans="2:3" x14ac:dyDescent="0.25">
      <c r="B1747" s="796" t="s">
        <v>1316</v>
      </c>
      <c r="C1747" s="806">
        <v>91302</v>
      </c>
    </row>
    <row r="1748" spans="2:3" x14ac:dyDescent="0.25">
      <c r="B1748" s="796" t="s">
        <v>1965</v>
      </c>
      <c r="C1748" s="800">
        <v>99047</v>
      </c>
    </row>
    <row r="1749" spans="2:3" x14ac:dyDescent="0.25">
      <c r="B1749" s="796" t="s">
        <v>1964</v>
      </c>
      <c r="C1749" s="800">
        <v>99041</v>
      </c>
    </row>
    <row r="1750" spans="2:3" x14ac:dyDescent="0.25">
      <c r="B1750" s="796" t="s">
        <v>2017</v>
      </c>
      <c r="C1750" s="800">
        <v>99601</v>
      </c>
    </row>
    <row r="1751" spans="2:3" x14ac:dyDescent="0.25">
      <c r="B1751" s="796" t="s">
        <v>2020</v>
      </c>
      <c r="C1751" s="800">
        <v>99604</v>
      </c>
    </row>
    <row r="1752" spans="2:3" x14ac:dyDescent="0.25">
      <c r="B1752" s="796" t="s">
        <v>1587</v>
      </c>
      <c r="C1752" s="800">
        <v>94412</v>
      </c>
    </row>
    <row r="1753" spans="2:3" x14ac:dyDescent="0.25">
      <c r="B1753" s="796" t="s">
        <v>1586</v>
      </c>
      <c r="C1753" s="800">
        <v>94411</v>
      </c>
    </row>
    <row r="1754" spans="2:3" x14ac:dyDescent="0.25">
      <c r="B1754" s="796" t="s">
        <v>1296</v>
      </c>
      <c r="C1754" s="800">
        <v>91147</v>
      </c>
    </row>
    <row r="1755" spans="2:3" x14ac:dyDescent="0.25">
      <c r="B1755" s="796" t="s">
        <v>1295</v>
      </c>
      <c r="C1755" s="800">
        <v>91141</v>
      </c>
    </row>
    <row r="1756" spans="2:3" x14ac:dyDescent="0.25">
      <c r="B1756" s="796" t="s">
        <v>1968</v>
      </c>
      <c r="C1756" s="800">
        <v>99071</v>
      </c>
    </row>
    <row r="1757" spans="2:3" x14ac:dyDescent="0.25">
      <c r="B1757" s="796" t="s">
        <v>1570</v>
      </c>
      <c r="C1757" s="800">
        <v>94231</v>
      </c>
    </row>
    <row r="1758" spans="2:3" x14ac:dyDescent="0.25">
      <c r="B1758" s="796" t="s">
        <v>1990</v>
      </c>
      <c r="C1758" s="800">
        <v>99231</v>
      </c>
    </row>
    <row r="1759" spans="2:3" x14ac:dyDescent="0.25">
      <c r="B1759" s="796" t="s">
        <v>1970</v>
      </c>
      <c r="C1759" s="800">
        <v>99091</v>
      </c>
    </row>
    <row r="1760" spans="2:3" x14ac:dyDescent="0.25">
      <c r="B1760" s="796" t="s">
        <v>1290</v>
      </c>
      <c r="C1760" s="800">
        <v>91120</v>
      </c>
    </row>
    <row r="1761" spans="2:3" x14ac:dyDescent="0.25">
      <c r="B1761" s="796" t="s">
        <v>3570</v>
      </c>
      <c r="C1761" s="800">
        <v>92444</v>
      </c>
    </row>
    <row r="1762" spans="2:3" x14ac:dyDescent="0.25">
      <c r="B1762" s="796" t="s">
        <v>1220</v>
      </c>
      <c r="C1762" s="800">
        <v>90507</v>
      </c>
    </row>
    <row r="1763" spans="2:3" x14ac:dyDescent="0.25">
      <c r="B1763" s="796" t="s">
        <v>1222</v>
      </c>
      <c r="C1763" s="800">
        <v>90521</v>
      </c>
    </row>
    <row r="1764" spans="2:3" x14ac:dyDescent="0.25">
      <c r="B1764" s="796" t="s">
        <v>1420</v>
      </c>
      <c r="C1764" s="800">
        <v>92602</v>
      </c>
    </row>
    <row r="1765" spans="2:3" x14ac:dyDescent="0.25">
      <c r="B1765" s="796" t="s">
        <v>1339</v>
      </c>
      <c r="C1765" s="800">
        <v>91608</v>
      </c>
    </row>
    <row r="1766" spans="2:3" x14ac:dyDescent="0.25">
      <c r="B1766" s="796" t="s">
        <v>1289</v>
      </c>
      <c r="C1766" s="800">
        <v>91119</v>
      </c>
    </row>
    <row r="1767" spans="2:3" x14ac:dyDescent="0.25">
      <c r="B1767" s="796" t="s">
        <v>1285</v>
      </c>
      <c r="C1767" s="800">
        <v>91107</v>
      </c>
    </row>
    <row r="1768" spans="2:3" x14ac:dyDescent="0.25">
      <c r="B1768" s="796" t="s">
        <v>1358</v>
      </c>
      <c r="C1768" s="800">
        <v>91818</v>
      </c>
    </row>
    <row r="1769" spans="2:3" x14ac:dyDescent="0.25">
      <c r="B1769" s="796" t="s">
        <v>1359</v>
      </c>
      <c r="C1769" s="800">
        <v>91819</v>
      </c>
    </row>
    <row r="1770" spans="2:3" x14ac:dyDescent="0.25">
      <c r="B1770" s="796" t="s">
        <v>1732</v>
      </c>
      <c r="C1770" s="800">
        <v>96371</v>
      </c>
    </row>
    <row r="1771" spans="2:3" x14ac:dyDescent="0.25">
      <c r="B1771" s="796" t="s">
        <v>1741</v>
      </c>
      <c r="C1771" s="800">
        <v>96441</v>
      </c>
    </row>
    <row r="1772" spans="2:3" x14ac:dyDescent="0.25">
      <c r="B1772" s="796" t="s">
        <v>1251</v>
      </c>
      <c r="C1772" s="800">
        <v>90921</v>
      </c>
    </row>
    <row r="1773" spans="2:3" x14ac:dyDescent="0.25">
      <c r="B1773" s="796" t="s">
        <v>1398</v>
      </c>
      <c r="C1773" s="800">
        <v>92417</v>
      </c>
    </row>
    <row r="1774" spans="2:3" x14ac:dyDescent="0.25">
      <c r="B1774" s="796" t="s">
        <v>1395</v>
      </c>
      <c r="C1774" s="800">
        <v>92403</v>
      </c>
    </row>
    <row r="1775" spans="2:3" x14ac:dyDescent="0.25">
      <c r="B1775" s="796" t="s">
        <v>1396</v>
      </c>
      <c r="C1775" s="800">
        <v>92411</v>
      </c>
    </row>
    <row r="1776" spans="2:3" x14ac:dyDescent="0.25">
      <c r="B1776" s="796" t="s">
        <v>2029</v>
      </c>
      <c r="C1776" s="800">
        <v>99701</v>
      </c>
    </row>
    <row r="1777" spans="2:3" x14ac:dyDescent="0.25">
      <c r="B1777" s="796" t="s">
        <v>2034</v>
      </c>
      <c r="C1777" s="800">
        <v>99727</v>
      </c>
    </row>
    <row r="1778" spans="2:3" x14ac:dyDescent="0.25">
      <c r="B1778" s="796" t="s">
        <v>2033</v>
      </c>
      <c r="C1778" s="800">
        <v>99721</v>
      </c>
    </row>
    <row r="1779" spans="2:3" x14ac:dyDescent="0.25">
      <c r="B1779" s="796" t="s">
        <v>1684</v>
      </c>
      <c r="C1779" s="800">
        <v>95813</v>
      </c>
    </row>
    <row r="1780" spans="2:3" x14ac:dyDescent="0.25">
      <c r="B1780" s="796" t="s">
        <v>1683</v>
      </c>
      <c r="C1780" s="800">
        <v>95811</v>
      </c>
    </row>
    <row r="1781" spans="2:3" x14ac:dyDescent="0.25">
      <c r="B1781" s="796" t="s">
        <v>1746</v>
      </c>
      <c r="C1781" s="800">
        <v>96503</v>
      </c>
    </row>
    <row r="1782" spans="2:3" x14ac:dyDescent="0.25">
      <c r="B1782" s="796" t="s">
        <v>1754</v>
      </c>
      <c r="C1782" s="800">
        <v>96531</v>
      </c>
    </row>
    <row r="1783" spans="2:3" x14ac:dyDescent="0.25">
      <c r="B1783" s="796" t="s">
        <v>2035</v>
      </c>
      <c r="C1783" s="800">
        <v>99801</v>
      </c>
    </row>
    <row r="1784" spans="2:3" x14ac:dyDescent="0.25">
      <c r="B1784" s="796" t="s">
        <v>2037</v>
      </c>
      <c r="C1784" s="800">
        <v>99804</v>
      </c>
    </row>
    <row r="1785" spans="2:3" x14ac:dyDescent="0.25">
      <c r="B1785" s="796" t="s">
        <v>2036</v>
      </c>
      <c r="C1785" s="800">
        <v>99802</v>
      </c>
    </row>
    <row r="1786" spans="2:3" x14ac:dyDescent="0.25">
      <c r="B1786" s="796" t="s">
        <v>2039</v>
      </c>
      <c r="C1786" s="800">
        <v>99812</v>
      </c>
    </row>
    <row r="1787" spans="2:3" x14ac:dyDescent="0.25">
      <c r="B1787" s="796" t="s">
        <v>2038</v>
      </c>
      <c r="C1787" s="800">
        <v>99811</v>
      </c>
    </row>
    <row r="1788" spans="2:3" x14ac:dyDescent="0.25">
      <c r="B1788" s="796" t="s">
        <v>1648</v>
      </c>
      <c r="C1788" s="800">
        <v>95191</v>
      </c>
    </row>
    <row r="1789" spans="2:3" x14ac:dyDescent="0.25">
      <c r="B1789" s="796" t="s">
        <v>1244</v>
      </c>
      <c r="C1789" s="800">
        <v>90812</v>
      </c>
    </row>
    <row r="1790" spans="2:3" x14ac:dyDescent="0.25">
      <c r="B1790" s="796" t="s">
        <v>1806</v>
      </c>
      <c r="C1790" s="800">
        <v>97221</v>
      </c>
    </row>
    <row r="1791" spans="2:3" x14ac:dyDescent="0.25">
      <c r="B1791" s="796" t="s">
        <v>1963</v>
      </c>
      <c r="C1791" s="800">
        <v>99031</v>
      </c>
    </row>
    <row r="1792" spans="2:3" x14ac:dyDescent="0.25">
      <c r="B1792" s="796" t="s">
        <v>1492</v>
      </c>
      <c r="C1792" s="800">
        <v>93413</v>
      </c>
    </row>
    <row r="1793" spans="2:3" x14ac:dyDescent="0.25">
      <c r="B1793" s="796" t="s">
        <v>1491</v>
      </c>
      <c r="C1793" s="800">
        <v>93411</v>
      </c>
    </row>
    <row r="1794" spans="2:3" x14ac:dyDescent="0.25">
      <c r="B1794" s="796" t="s">
        <v>1821</v>
      </c>
      <c r="C1794" s="800">
        <v>97451</v>
      </c>
    </row>
    <row r="1795" spans="2:3" x14ac:dyDescent="0.25">
      <c r="B1795" s="796" t="s">
        <v>1609</v>
      </c>
      <c r="C1795" s="800">
        <v>94631</v>
      </c>
    </row>
    <row r="1796" spans="2:3" x14ac:dyDescent="0.25">
      <c r="B1796" s="796" t="s">
        <v>1284</v>
      </c>
      <c r="C1796" s="800">
        <v>91104</v>
      </c>
    </row>
    <row r="1797" spans="2:3" x14ac:dyDescent="0.25">
      <c r="B1797" s="796" t="s">
        <v>1287</v>
      </c>
      <c r="C1797" s="800">
        <v>91109</v>
      </c>
    </row>
    <row r="1798" spans="2:3" x14ac:dyDescent="0.25">
      <c r="B1798" s="796" t="s">
        <v>1300</v>
      </c>
      <c r="C1798" s="800">
        <v>91171</v>
      </c>
    </row>
    <row r="1799" spans="2:3" x14ac:dyDescent="0.25">
      <c r="B1799" s="796" t="s">
        <v>1760</v>
      </c>
      <c r="C1799" s="800">
        <v>96621</v>
      </c>
    </row>
    <row r="1800" spans="2:3" x14ac:dyDescent="0.25">
      <c r="B1800" s="796" t="s">
        <v>1750</v>
      </c>
      <c r="C1800" s="800">
        <v>96511</v>
      </c>
    </row>
    <row r="1801" spans="2:3" x14ac:dyDescent="0.25">
      <c r="B1801" s="796" t="s">
        <v>2045</v>
      </c>
      <c r="C1801" s="800">
        <v>99901</v>
      </c>
    </row>
    <row r="1802" spans="2:3" x14ac:dyDescent="0.25">
      <c r="B1802" s="796" t="s">
        <v>3571</v>
      </c>
      <c r="C1802" s="800">
        <v>98604</v>
      </c>
    </row>
    <row r="1803" spans="2:3" x14ac:dyDescent="0.25">
      <c r="B1803" s="796" t="s">
        <v>1940</v>
      </c>
      <c r="C1803" s="800">
        <v>98608</v>
      </c>
    </row>
    <row r="1804" spans="2:3" x14ac:dyDescent="0.25">
      <c r="B1804" s="796" t="s">
        <v>2046</v>
      </c>
      <c r="C1804" s="800">
        <v>99911</v>
      </c>
    </row>
    <row r="1805" spans="2:3" x14ac:dyDescent="0.25">
      <c r="B1805" s="796" t="s">
        <v>1188</v>
      </c>
      <c r="C1805" s="800">
        <v>90001</v>
      </c>
    </row>
    <row r="1806" spans="2:3" x14ac:dyDescent="0.25">
      <c r="B1806" s="796" t="s">
        <v>1189</v>
      </c>
      <c r="C1806" s="800">
        <v>90002</v>
      </c>
    </row>
    <row r="1807" spans="2:3" x14ac:dyDescent="0.25">
      <c r="B1807" s="796" t="s">
        <v>1352</v>
      </c>
      <c r="C1807" s="800">
        <v>91719</v>
      </c>
    </row>
    <row r="1808" spans="2:3" x14ac:dyDescent="0.25">
      <c r="B1808" s="796" t="s">
        <v>1507</v>
      </c>
      <c r="C1808" s="800">
        <v>93541</v>
      </c>
    </row>
    <row r="1809" spans="2:3" x14ac:dyDescent="0.25">
      <c r="B1809" s="796" t="s">
        <v>1991</v>
      </c>
      <c r="C1809" s="800">
        <v>99241</v>
      </c>
    </row>
    <row r="1810" spans="2:3" x14ac:dyDescent="0.25">
      <c r="B1810" s="796" t="s">
        <v>2646</v>
      </c>
      <c r="C1810" s="823" t="s">
        <v>2647</v>
      </c>
    </row>
  </sheetData>
  <conditionalFormatting sqref="V2:V3">
    <cfRule type="containsErrors" dxfId="34" priority="1">
      <formula>ISERROR(V2)</formula>
    </cfRule>
  </conditionalFormatting>
  <pageMargins left="0.25" right="0.25" top="0.5" bottom="0.5" header="0.3" footer="0.3"/>
  <pageSetup scale="46"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29C4B-9243-40B0-8F3A-B69E0B1B57DF}">
  <dimension ref="A1:U1812"/>
  <sheetViews>
    <sheetView workbookViewId="0">
      <selection activeCell="F914" sqref="F914"/>
    </sheetView>
  </sheetViews>
  <sheetFormatPr defaultColWidth="9.140625" defaultRowHeight="15" x14ac:dyDescent="0.25"/>
  <cols>
    <col min="1" max="1" width="10.5703125" style="959" customWidth="1"/>
    <col min="2" max="2" width="43.7109375" style="959" customWidth="1"/>
    <col min="3" max="4" width="13.85546875" style="959" customWidth="1"/>
    <col min="5" max="5" width="13.85546875" style="1007" customWidth="1"/>
    <col min="6" max="6" width="15.42578125" style="985" bestFit="1" customWidth="1"/>
    <col min="7" max="7" width="18.28515625" style="959" customWidth="1"/>
    <col min="8" max="8" width="3.85546875" style="959" customWidth="1"/>
    <col min="9" max="9" width="18.28515625" style="959" customWidth="1"/>
    <col min="10" max="10" width="20" style="959" customWidth="1"/>
    <col min="11" max="11" width="14.42578125" style="959" customWidth="1"/>
    <col min="12" max="12" width="19.42578125" style="959" customWidth="1"/>
    <col min="13" max="13" width="3.85546875" style="959" customWidth="1"/>
    <col min="14" max="15" width="18.28515625" style="959" customWidth="1"/>
    <col min="16" max="16" width="11.85546875" style="959" customWidth="1"/>
    <col min="17" max="17" width="19.42578125" style="959" customWidth="1"/>
    <col min="18" max="18" width="3.85546875" style="959" customWidth="1"/>
    <col min="19" max="19" width="13.85546875" style="959" customWidth="1"/>
    <col min="20" max="20" width="22.42578125" style="959" customWidth="1"/>
    <col min="21" max="21" width="14.85546875" style="959" bestFit="1" customWidth="1"/>
    <col min="22" max="16384" width="9.140625" style="959"/>
  </cols>
  <sheetData>
    <row r="1" spans="1:21" x14ac:dyDescent="0.25">
      <c r="A1" s="959" t="s">
        <v>4105</v>
      </c>
    </row>
    <row r="2" spans="1:21" x14ac:dyDescent="0.25">
      <c r="A2" s="959" t="s">
        <v>3678</v>
      </c>
    </row>
    <row r="3" spans="1:21" x14ac:dyDescent="0.25">
      <c r="C3" s="1171">
        <v>3</v>
      </c>
      <c r="D3" s="1171">
        <v>4</v>
      </c>
      <c r="E3" s="1171">
        <v>5</v>
      </c>
      <c r="F3" s="1171">
        <v>6</v>
      </c>
      <c r="G3" s="1171">
        <v>7</v>
      </c>
      <c r="H3" s="1171">
        <v>8</v>
      </c>
      <c r="I3" s="1171">
        <v>9</v>
      </c>
      <c r="J3" s="1173">
        <v>10</v>
      </c>
      <c r="K3" s="1173">
        <v>11</v>
      </c>
      <c r="L3" s="1173">
        <v>12</v>
      </c>
      <c r="M3" s="1173">
        <v>13</v>
      </c>
      <c r="N3" s="1173">
        <v>14</v>
      </c>
      <c r="O3" s="1173">
        <v>15</v>
      </c>
      <c r="P3" s="1173">
        <v>16</v>
      </c>
      <c r="Q3" s="1173">
        <v>17</v>
      </c>
      <c r="R3" s="1173">
        <v>18</v>
      </c>
      <c r="S3" s="1173">
        <v>19</v>
      </c>
      <c r="T3" s="1173">
        <v>20</v>
      </c>
      <c r="U3" s="1173">
        <v>21</v>
      </c>
    </row>
    <row r="4" spans="1:21" x14ac:dyDescent="0.25">
      <c r="I4" s="961" t="s">
        <v>1171</v>
      </c>
      <c r="J4" s="961"/>
      <c r="K4" s="961"/>
      <c r="L4" s="961"/>
      <c r="N4" s="961" t="s">
        <v>1172</v>
      </c>
      <c r="O4" s="961"/>
      <c r="P4" s="961"/>
      <c r="Q4" s="961"/>
      <c r="S4" s="961" t="s">
        <v>1173</v>
      </c>
      <c r="T4" s="961"/>
      <c r="U4" s="961"/>
    </row>
    <row r="5" spans="1:21" ht="120" x14ac:dyDescent="0.25">
      <c r="A5" s="963" t="s">
        <v>1174</v>
      </c>
      <c r="B5" s="963" t="s">
        <v>1175</v>
      </c>
      <c r="C5" s="963" t="s">
        <v>2113</v>
      </c>
      <c r="D5" s="963" t="s">
        <v>2114</v>
      </c>
      <c r="E5" s="1008" t="s">
        <v>3971</v>
      </c>
      <c r="F5" s="798" t="s">
        <v>2652</v>
      </c>
      <c r="G5" s="798" t="s">
        <v>1176</v>
      </c>
      <c r="H5" s="963"/>
      <c r="I5" s="963" t="s">
        <v>1177</v>
      </c>
      <c r="J5" s="963" t="s">
        <v>1178</v>
      </c>
      <c r="K5" s="963" t="s">
        <v>1179</v>
      </c>
      <c r="L5" s="963" t="s">
        <v>1180</v>
      </c>
      <c r="M5" s="963"/>
      <c r="N5" s="963" t="s">
        <v>1177</v>
      </c>
      <c r="O5" s="678" t="s">
        <v>1178</v>
      </c>
      <c r="P5" s="963" t="s">
        <v>1179</v>
      </c>
      <c r="Q5" s="963" t="s">
        <v>1180</v>
      </c>
      <c r="R5" s="963"/>
      <c r="S5" s="963" t="s">
        <v>1181</v>
      </c>
      <c r="T5" s="963" t="s">
        <v>1182</v>
      </c>
      <c r="U5" s="963" t="s">
        <v>1183</v>
      </c>
    </row>
    <row r="6" spans="1:21" x14ac:dyDescent="0.25">
      <c r="A6" s="965" t="s">
        <v>837</v>
      </c>
      <c r="B6" s="966" t="s">
        <v>2112</v>
      </c>
      <c r="C6" s="963"/>
      <c r="D6" s="963"/>
      <c r="E6" s="1008">
        <v>0</v>
      </c>
      <c r="F6" s="986"/>
      <c r="G6" s="963"/>
      <c r="H6" s="963"/>
      <c r="I6" s="963"/>
      <c r="J6" s="963"/>
      <c r="K6" s="963"/>
      <c r="L6" s="963"/>
      <c r="M6" s="963"/>
      <c r="N6" s="963"/>
      <c r="O6" s="963"/>
      <c r="P6" s="963"/>
      <c r="Q6" s="963"/>
      <c r="R6" s="963"/>
      <c r="S6" s="963"/>
      <c r="T6" s="963"/>
      <c r="U6" s="963"/>
    </row>
    <row r="7" spans="1:21" x14ac:dyDescent="0.25">
      <c r="A7" s="967">
        <v>70505</v>
      </c>
      <c r="B7" s="968" t="s">
        <v>2653</v>
      </c>
      <c r="C7" s="969">
        <v>3.6600000000000001E-4</v>
      </c>
      <c r="D7" s="969">
        <v>4.147E-4</v>
      </c>
      <c r="E7" s="1008">
        <v>199598</v>
      </c>
      <c r="F7" s="1011">
        <v>633547</v>
      </c>
      <c r="G7" s="970">
        <v>868277</v>
      </c>
      <c r="H7" s="970"/>
      <c r="I7" s="970">
        <v>133955</v>
      </c>
      <c r="J7" s="971">
        <v>119188</v>
      </c>
      <c r="K7" s="971">
        <v>230407</v>
      </c>
      <c r="L7" s="971">
        <v>0</v>
      </c>
      <c r="M7" s="971"/>
      <c r="N7" s="971">
        <v>4495</v>
      </c>
      <c r="O7" s="971">
        <v>0</v>
      </c>
      <c r="P7" s="971">
        <v>0</v>
      </c>
      <c r="Q7" s="971">
        <v>53689</v>
      </c>
      <c r="R7" s="971"/>
      <c r="S7" s="971">
        <v>241184</v>
      </c>
      <c r="T7" s="971">
        <v>-22825</v>
      </c>
      <c r="U7" s="971">
        <v>218359</v>
      </c>
    </row>
    <row r="8" spans="1:21" x14ac:dyDescent="0.25">
      <c r="A8" s="967">
        <v>72265</v>
      </c>
      <c r="B8" s="968" t="s">
        <v>2655</v>
      </c>
      <c r="C8" s="969">
        <v>1.538E-4</v>
      </c>
      <c r="D8" s="969">
        <v>1.4009999999999999E-4</v>
      </c>
      <c r="E8" s="1008">
        <v>73112</v>
      </c>
      <c r="F8" s="1011">
        <v>214034</v>
      </c>
      <c r="G8" s="970">
        <v>364866</v>
      </c>
      <c r="H8" s="970"/>
      <c r="I8" s="970">
        <v>56290</v>
      </c>
      <c r="J8" s="971">
        <v>50085</v>
      </c>
      <c r="K8" s="971">
        <v>96821</v>
      </c>
      <c r="L8" s="971">
        <v>10295</v>
      </c>
      <c r="M8" s="970"/>
      <c r="N8" s="971">
        <v>1889</v>
      </c>
      <c r="O8" s="971">
        <v>0</v>
      </c>
      <c r="P8" s="971">
        <v>0</v>
      </c>
      <c r="Q8" s="971">
        <v>2396</v>
      </c>
      <c r="R8" s="970"/>
      <c r="S8" s="971">
        <v>101350</v>
      </c>
      <c r="T8" s="971">
        <v>5014</v>
      </c>
      <c r="U8" s="971">
        <v>106364</v>
      </c>
    </row>
    <row r="9" spans="1:21" x14ac:dyDescent="0.25">
      <c r="A9" s="967">
        <v>72593</v>
      </c>
      <c r="B9" s="968" t="s">
        <v>3681</v>
      </c>
      <c r="C9" s="969">
        <v>6.0000000000000002E-6</v>
      </c>
      <c r="D9" s="969">
        <v>5.9000000000000003E-6</v>
      </c>
      <c r="E9" s="1008">
        <v>2109</v>
      </c>
      <c r="F9" s="1011">
        <v>9014</v>
      </c>
      <c r="G9" s="970">
        <v>14234</v>
      </c>
      <c r="H9" s="970"/>
      <c r="I9" s="970">
        <v>2196</v>
      </c>
      <c r="J9" s="971">
        <v>1954</v>
      </c>
      <c r="K9" s="971">
        <v>3777</v>
      </c>
      <c r="L9" s="971">
        <v>2261</v>
      </c>
      <c r="M9" s="970"/>
      <c r="N9" s="971">
        <v>74</v>
      </c>
      <c r="O9" s="971">
        <v>0</v>
      </c>
      <c r="P9" s="971">
        <v>0</v>
      </c>
      <c r="Q9" s="971">
        <v>590</v>
      </c>
      <c r="R9" s="970"/>
      <c r="S9" s="971">
        <v>3954</v>
      </c>
      <c r="T9" s="971">
        <v>605</v>
      </c>
      <c r="U9" s="971">
        <v>4559</v>
      </c>
    </row>
    <row r="10" spans="1:21" x14ac:dyDescent="0.25">
      <c r="A10" s="967">
        <v>72657</v>
      </c>
      <c r="B10" s="968" t="s">
        <v>2656</v>
      </c>
      <c r="C10" s="969">
        <v>3.9199999999999997E-5</v>
      </c>
      <c r="D10" s="969">
        <v>3.9900000000000001E-5</v>
      </c>
      <c r="E10" s="1008">
        <v>17249</v>
      </c>
      <c r="F10" s="1011">
        <v>60956</v>
      </c>
      <c r="G10" s="970">
        <v>92996</v>
      </c>
      <c r="H10" s="970"/>
      <c r="I10" s="970">
        <v>14347</v>
      </c>
      <c r="J10" s="971">
        <v>12765</v>
      </c>
      <c r="K10" s="971">
        <v>24677</v>
      </c>
      <c r="L10" s="971">
        <v>0</v>
      </c>
      <c r="M10" s="970"/>
      <c r="N10" s="971">
        <v>481</v>
      </c>
      <c r="O10" s="971">
        <v>0</v>
      </c>
      <c r="P10" s="971">
        <v>0</v>
      </c>
      <c r="Q10" s="971">
        <v>6011</v>
      </c>
      <c r="R10" s="970"/>
      <c r="S10" s="971">
        <v>25832</v>
      </c>
      <c r="T10" s="971">
        <v>356</v>
      </c>
      <c r="U10" s="971">
        <v>26188</v>
      </c>
    </row>
    <row r="11" spans="1:21" x14ac:dyDescent="0.25">
      <c r="A11" s="967">
        <v>90001</v>
      </c>
      <c r="B11" s="968" t="s">
        <v>2657</v>
      </c>
      <c r="C11" s="969">
        <v>8.61E-4</v>
      </c>
      <c r="D11" s="969">
        <v>8.6030000000000004E-4</v>
      </c>
      <c r="E11" s="1008">
        <v>422350</v>
      </c>
      <c r="F11" s="1011">
        <v>1314300</v>
      </c>
      <c r="G11" s="970">
        <v>2042586</v>
      </c>
      <c r="H11" s="970"/>
      <c r="I11" s="970">
        <v>315123</v>
      </c>
      <c r="J11" s="971">
        <v>280386</v>
      </c>
      <c r="K11" s="971">
        <v>542024</v>
      </c>
      <c r="L11" s="971">
        <v>7657</v>
      </c>
      <c r="M11" s="970"/>
      <c r="N11" s="971">
        <v>10574</v>
      </c>
      <c r="O11" s="971">
        <v>0</v>
      </c>
      <c r="P11" s="971">
        <v>0</v>
      </c>
      <c r="Q11" s="971">
        <v>10725</v>
      </c>
      <c r="R11" s="970"/>
      <c r="S11" s="971">
        <v>567376</v>
      </c>
      <c r="T11" s="971">
        <v>1195</v>
      </c>
      <c r="U11" s="971">
        <v>568571</v>
      </c>
    </row>
    <row r="12" spans="1:21" x14ac:dyDescent="0.25">
      <c r="A12" s="967">
        <v>90002</v>
      </c>
      <c r="B12" s="968" t="s">
        <v>2658</v>
      </c>
      <c r="C12" s="969">
        <v>9.5000000000000005E-6</v>
      </c>
      <c r="D12" s="969">
        <v>1.06E-5</v>
      </c>
      <c r="E12" s="1008">
        <v>6507</v>
      </c>
      <c r="F12" s="1011">
        <v>16194</v>
      </c>
      <c r="G12" s="970">
        <v>22537</v>
      </c>
      <c r="H12" s="970"/>
      <c r="I12" s="970">
        <v>3477</v>
      </c>
      <c r="J12" s="971">
        <v>3094</v>
      </c>
      <c r="K12" s="971">
        <v>5981</v>
      </c>
      <c r="L12" s="971">
        <v>1636</v>
      </c>
      <c r="M12" s="970"/>
      <c r="N12" s="971">
        <v>117</v>
      </c>
      <c r="O12" s="971">
        <v>0</v>
      </c>
      <c r="P12" s="971">
        <v>0</v>
      </c>
      <c r="Q12" s="971">
        <v>0</v>
      </c>
      <c r="R12" s="970"/>
      <c r="S12" s="971">
        <v>6260</v>
      </c>
      <c r="T12" s="971">
        <v>737</v>
      </c>
      <c r="U12" s="971">
        <v>6997</v>
      </c>
    </row>
    <row r="13" spans="1:21" x14ac:dyDescent="0.25">
      <c r="A13" s="967">
        <v>90011</v>
      </c>
      <c r="B13" s="968" t="s">
        <v>2659</v>
      </c>
      <c r="C13" s="969">
        <v>1.916E-4</v>
      </c>
      <c r="D13" s="969">
        <v>1.974E-4</v>
      </c>
      <c r="E13" s="1008">
        <v>89506</v>
      </c>
      <c r="F13" s="1011">
        <v>301573</v>
      </c>
      <c r="G13" s="970">
        <v>454541</v>
      </c>
      <c r="H13" s="970"/>
      <c r="I13" s="970">
        <v>70125</v>
      </c>
      <c r="J13" s="971">
        <v>62395</v>
      </c>
      <c r="K13" s="971">
        <v>120618</v>
      </c>
      <c r="L13" s="971">
        <v>0</v>
      </c>
      <c r="M13" s="970"/>
      <c r="N13" s="971">
        <v>2353</v>
      </c>
      <c r="O13" s="971">
        <v>0</v>
      </c>
      <c r="P13" s="971">
        <v>0</v>
      </c>
      <c r="Q13" s="971">
        <v>27708</v>
      </c>
      <c r="R13" s="970"/>
      <c r="S13" s="971">
        <v>126259</v>
      </c>
      <c r="T13" s="971">
        <v>-9526</v>
      </c>
      <c r="U13" s="971">
        <v>116733</v>
      </c>
    </row>
    <row r="14" spans="1:21" x14ac:dyDescent="0.25">
      <c r="A14" s="967">
        <v>90092</v>
      </c>
      <c r="B14" s="968" t="s">
        <v>2660</v>
      </c>
      <c r="C14" s="969">
        <v>3.547E-4</v>
      </c>
      <c r="D14" s="969">
        <v>3.5349999999999997E-4</v>
      </c>
      <c r="E14" s="1008">
        <v>190866</v>
      </c>
      <c r="F14" s="1011">
        <v>540050</v>
      </c>
      <c r="G14" s="970">
        <v>841470</v>
      </c>
      <c r="H14" s="970"/>
      <c r="I14" s="970">
        <v>129819</v>
      </c>
      <c r="J14" s="971">
        <v>115509</v>
      </c>
      <c r="K14" s="971">
        <v>223294</v>
      </c>
      <c r="L14" s="971">
        <v>14687</v>
      </c>
      <c r="M14" s="970"/>
      <c r="N14" s="971">
        <v>4356</v>
      </c>
      <c r="O14" s="971">
        <v>0</v>
      </c>
      <c r="P14" s="971">
        <v>0</v>
      </c>
      <c r="Q14" s="971">
        <v>40510</v>
      </c>
      <c r="R14" s="970"/>
      <c r="S14" s="971">
        <v>233738</v>
      </c>
      <c r="T14" s="971">
        <v>-38987</v>
      </c>
      <c r="U14" s="971">
        <v>194751</v>
      </c>
    </row>
    <row r="15" spans="1:21" x14ac:dyDescent="0.25">
      <c r="A15" s="967">
        <v>90096</v>
      </c>
      <c r="B15" s="968" t="s">
        <v>2661</v>
      </c>
      <c r="C15" s="969">
        <v>9.1730000000000002E-4</v>
      </c>
      <c r="D15" s="969">
        <v>9.7559999999999997E-4</v>
      </c>
      <c r="E15" s="1008">
        <v>544432</v>
      </c>
      <c r="F15" s="1011">
        <v>1490447</v>
      </c>
      <c r="G15" s="970">
        <v>2176149</v>
      </c>
      <c r="H15" s="970"/>
      <c r="I15" s="970">
        <v>335728</v>
      </c>
      <c r="J15" s="971">
        <v>298720</v>
      </c>
      <c r="K15" s="971">
        <v>577466</v>
      </c>
      <c r="L15" s="971">
        <v>43181</v>
      </c>
      <c r="M15" s="970"/>
      <c r="N15" s="971">
        <v>11265</v>
      </c>
      <c r="O15" s="971">
        <v>0</v>
      </c>
      <c r="P15" s="971">
        <v>0</v>
      </c>
      <c r="Q15" s="971">
        <v>175620</v>
      </c>
      <c r="R15" s="970"/>
      <c r="S15" s="971">
        <v>604476</v>
      </c>
      <c r="T15" s="971">
        <v>-19105</v>
      </c>
      <c r="U15" s="971">
        <v>585371</v>
      </c>
    </row>
    <row r="16" spans="1:21" x14ac:dyDescent="0.25">
      <c r="A16" s="967">
        <v>90098</v>
      </c>
      <c r="B16" s="968" t="s">
        <v>2662</v>
      </c>
      <c r="C16" s="969">
        <v>3.1510000000000002E-4</v>
      </c>
      <c r="D16" s="969">
        <v>2.9599999999999998E-4</v>
      </c>
      <c r="E16" s="1008">
        <v>156012</v>
      </c>
      <c r="F16" s="1011">
        <v>452206</v>
      </c>
      <c r="G16" s="970">
        <v>747525</v>
      </c>
      <c r="H16" s="970"/>
      <c r="I16" s="970">
        <v>115325</v>
      </c>
      <c r="J16" s="971">
        <v>102613</v>
      </c>
      <c r="K16" s="971">
        <v>198364</v>
      </c>
      <c r="L16" s="971">
        <v>19294</v>
      </c>
      <c r="M16" s="970"/>
      <c r="N16" s="971">
        <v>3870</v>
      </c>
      <c r="O16" s="971">
        <v>0</v>
      </c>
      <c r="P16" s="971">
        <v>0</v>
      </c>
      <c r="Q16" s="971">
        <v>58299</v>
      </c>
      <c r="R16" s="970"/>
      <c r="S16" s="971">
        <v>207642</v>
      </c>
      <c r="T16" s="971">
        <v>-47420</v>
      </c>
      <c r="U16" s="971">
        <v>160222</v>
      </c>
    </row>
    <row r="17" spans="1:21" x14ac:dyDescent="0.25">
      <c r="A17" s="967">
        <v>90099</v>
      </c>
      <c r="B17" s="968" t="s">
        <v>2663</v>
      </c>
      <c r="C17" s="969">
        <v>6.8800000000000003E-4</v>
      </c>
      <c r="D17" s="969">
        <v>6.6330000000000002E-4</v>
      </c>
      <c r="E17" s="1008">
        <v>309544</v>
      </c>
      <c r="F17" s="1011">
        <v>1013339</v>
      </c>
      <c r="G17" s="970">
        <v>1632171</v>
      </c>
      <c r="H17" s="970"/>
      <c r="I17" s="970">
        <v>251805</v>
      </c>
      <c r="J17" s="971">
        <v>224048</v>
      </c>
      <c r="K17" s="971">
        <v>433115</v>
      </c>
      <c r="L17" s="971">
        <v>65504</v>
      </c>
      <c r="M17" s="970"/>
      <c r="N17" s="971">
        <v>8449</v>
      </c>
      <c r="O17" s="971">
        <v>0</v>
      </c>
      <c r="P17" s="971">
        <v>0</v>
      </c>
      <c r="Q17" s="971">
        <v>31571</v>
      </c>
      <c r="R17" s="970"/>
      <c r="S17" s="971">
        <v>453373</v>
      </c>
      <c r="T17" s="971">
        <v>6742</v>
      </c>
      <c r="U17" s="971">
        <v>460115</v>
      </c>
    </row>
    <row r="18" spans="1:21" x14ac:dyDescent="0.25">
      <c r="A18" s="967">
        <v>90101</v>
      </c>
      <c r="B18" s="968" t="s">
        <v>2664</v>
      </c>
      <c r="C18" s="969">
        <v>6.4729000000000002E-3</v>
      </c>
      <c r="D18" s="969">
        <v>6.6312000000000003E-3</v>
      </c>
      <c r="E18" s="1008">
        <v>3133228</v>
      </c>
      <c r="F18" s="1011">
        <v>10130637</v>
      </c>
      <c r="G18" s="970">
        <v>15355933</v>
      </c>
      <c r="H18" s="970"/>
      <c r="I18" s="970">
        <v>2369056</v>
      </c>
      <c r="J18" s="971">
        <v>2107912</v>
      </c>
      <c r="K18" s="971">
        <v>4074872</v>
      </c>
      <c r="L18" s="971">
        <v>152067</v>
      </c>
      <c r="M18" s="970"/>
      <c r="N18" s="971">
        <v>79494</v>
      </c>
      <c r="O18" s="971">
        <v>0</v>
      </c>
      <c r="P18" s="971">
        <v>0</v>
      </c>
      <c r="Q18" s="971">
        <v>140729</v>
      </c>
      <c r="R18" s="970"/>
      <c r="S18" s="971">
        <v>4265466</v>
      </c>
      <c r="T18" s="971">
        <v>32971</v>
      </c>
      <c r="U18" s="971">
        <v>4298437</v>
      </c>
    </row>
    <row r="19" spans="1:21" x14ac:dyDescent="0.25">
      <c r="A19" s="967">
        <v>90111</v>
      </c>
      <c r="B19" s="968" t="s">
        <v>2665</v>
      </c>
      <c r="C19" s="969">
        <v>5.0667999999999998E-3</v>
      </c>
      <c r="D19" s="969">
        <v>4.9740000000000001E-3</v>
      </c>
      <c r="E19" s="1008">
        <v>2405333</v>
      </c>
      <c r="F19" s="1011">
        <v>7598894</v>
      </c>
      <c r="G19" s="970">
        <v>12020182</v>
      </c>
      <c r="H19" s="970"/>
      <c r="I19" s="970">
        <v>1854429</v>
      </c>
      <c r="J19" s="971">
        <v>1650013</v>
      </c>
      <c r="K19" s="971">
        <v>3189692</v>
      </c>
      <c r="L19" s="971">
        <v>18312</v>
      </c>
      <c r="M19" s="970"/>
      <c r="N19" s="971">
        <v>62225</v>
      </c>
      <c r="O19" s="971">
        <v>0</v>
      </c>
      <c r="P19" s="971">
        <v>0</v>
      </c>
      <c r="Q19" s="971">
        <v>49468</v>
      </c>
      <c r="R19" s="970"/>
      <c r="S19" s="971">
        <v>3338884</v>
      </c>
      <c r="T19" s="971">
        <v>-51615</v>
      </c>
      <c r="U19" s="971">
        <v>3287269</v>
      </c>
    </row>
    <row r="20" spans="1:21" x14ac:dyDescent="0.25">
      <c r="A20" s="967">
        <v>90114</v>
      </c>
      <c r="B20" s="968" t="s">
        <v>2666</v>
      </c>
      <c r="C20" s="969">
        <v>1.0735E-3</v>
      </c>
      <c r="D20" s="969">
        <v>1.0919E-3</v>
      </c>
      <c r="E20" s="1008">
        <v>1198987</v>
      </c>
      <c r="F20" s="1011">
        <v>1668121</v>
      </c>
      <c r="G20" s="970">
        <v>2546709</v>
      </c>
      <c r="H20" s="970"/>
      <c r="I20" s="970">
        <v>392897</v>
      </c>
      <c r="J20" s="971">
        <v>349588</v>
      </c>
      <c r="K20" s="971">
        <v>675798</v>
      </c>
      <c r="L20" s="971">
        <v>1231689</v>
      </c>
      <c r="M20" s="970"/>
      <c r="N20" s="971">
        <v>13184</v>
      </c>
      <c r="O20" s="971">
        <v>0</v>
      </c>
      <c r="P20" s="971">
        <v>0</v>
      </c>
      <c r="Q20" s="971">
        <v>0</v>
      </c>
      <c r="R20" s="970"/>
      <c r="S20" s="971">
        <v>707408</v>
      </c>
      <c r="T20" s="971">
        <v>502556</v>
      </c>
      <c r="U20" s="971">
        <v>1209964</v>
      </c>
    </row>
    <row r="21" spans="1:21" x14ac:dyDescent="0.25">
      <c r="A21" s="967">
        <v>90117</v>
      </c>
      <c r="B21" s="968" t="s">
        <v>2667</v>
      </c>
      <c r="C21" s="969">
        <v>1.36E-4</v>
      </c>
      <c r="D21" s="969">
        <v>1.407E-4</v>
      </c>
      <c r="E21" s="1008">
        <v>88275</v>
      </c>
      <c r="F21" s="1011">
        <v>214951</v>
      </c>
      <c r="G21" s="970">
        <v>322639</v>
      </c>
      <c r="H21" s="970"/>
      <c r="I21" s="970">
        <v>49775</v>
      </c>
      <c r="J21" s="971">
        <v>44288</v>
      </c>
      <c r="K21" s="971">
        <v>85616</v>
      </c>
      <c r="L21" s="971">
        <v>40224</v>
      </c>
      <c r="M21" s="970"/>
      <c r="N21" s="971">
        <v>1670</v>
      </c>
      <c r="O21" s="971">
        <v>0</v>
      </c>
      <c r="P21" s="971">
        <v>0</v>
      </c>
      <c r="Q21" s="971">
        <v>0</v>
      </c>
      <c r="R21" s="970"/>
      <c r="S21" s="971">
        <v>89620</v>
      </c>
      <c r="T21" s="971">
        <v>21821</v>
      </c>
      <c r="U21" s="971">
        <v>111441</v>
      </c>
    </row>
    <row r="22" spans="1:21" x14ac:dyDescent="0.25">
      <c r="A22" s="967">
        <v>90121</v>
      </c>
      <c r="B22" s="968" t="s">
        <v>2668</v>
      </c>
      <c r="C22" s="969">
        <v>1.0601E-3</v>
      </c>
      <c r="D22" s="969">
        <v>1.0991E-3</v>
      </c>
      <c r="E22" s="1008">
        <v>462401</v>
      </c>
      <c r="F22" s="1011">
        <v>1679120</v>
      </c>
      <c r="G22" s="970">
        <v>2514920</v>
      </c>
      <c r="H22" s="970"/>
      <c r="I22" s="970">
        <v>387992</v>
      </c>
      <c r="J22" s="971">
        <v>345223</v>
      </c>
      <c r="K22" s="971">
        <v>667363</v>
      </c>
      <c r="L22" s="971">
        <v>0</v>
      </c>
      <c r="M22" s="970"/>
      <c r="N22" s="971">
        <v>13019</v>
      </c>
      <c r="O22" s="971">
        <v>0</v>
      </c>
      <c r="P22" s="971">
        <v>0</v>
      </c>
      <c r="Q22" s="971">
        <v>126217</v>
      </c>
      <c r="R22" s="970"/>
      <c r="S22" s="971">
        <v>698577</v>
      </c>
      <c r="T22" s="971">
        <v>-43331</v>
      </c>
      <c r="U22" s="971">
        <v>655246</v>
      </c>
    </row>
    <row r="23" spans="1:21" x14ac:dyDescent="0.25">
      <c r="A23" s="967">
        <v>90131</v>
      </c>
      <c r="B23" s="968" t="s">
        <v>2669</v>
      </c>
      <c r="C23" s="969">
        <v>4.7830000000000003E-4</v>
      </c>
      <c r="D23" s="969">
        <v>4.7639999999999998E-4</v>
      </c>
      <c r="E23" s="1008">
        <v>219612</v>
      </c>
      <c r="F23" s="1011">
        <v>727807</v>
      </c>
      <c r="G23" s="970">
        <v>1134691</v>
      </c>
      <c r="H23" s="970"/>
      <c r="I23" s="970">
        <v>175056</v>
      </c>
      <c r="J23" s="971">
        <v>155759</v>
      </c>
      <c r="K23" s="971">
        <v>301103</v>
      </c>
      <c r="L23" s="971">
        <v>0</v>
      </c>
      <c r="M23" s="970"/>
      <c r="N23" s="971">
        <v>5874</v>
      </c>
      <c r="O23" s="971">
        <v>0</v>
      </c>
      <c r="P23" s="971">
        <v>0</v>
      </c>
      <c r="Q23" s="971">
        <v>36391</v>
      </c>
      <c r="R23" s="970"/>
      <c r="S23" s="971">
        <v>315187</v>
      </c>
      <c r="T23" s="971">
        <v>-18431</v>
      </c>
      <c r="U23" s="971">
        <v>296756</v>
      </c>
    </row>
    <row r="24" spans="1:21" x14ac:dyDescent="0.25">
      <c r="A24" s="967">
        <v>90141</v>
      </c>
      <c r="B24" s="968" t="s">
        <v>2670</v>
      </c>
      <c r="C24" s="969">
        <v>1.4770000000000001E-4</v>
      </c>
      <c r="D24" s="969">
        <v>1.4779999999999999E-4</v>
      </c>
      <c r="E24" s="1008">
        <v>68863</v>
      </c>
      <c r="F24" s="1011">
        <v>225797</v>
      </c>
      <c r="G24" s="970">
        <v>350395</v>
      </c>
      <c r="H24" s="970"/>
      <c r="I24" s="970">
        <v>54058</v>
      </c>
      <c r="J24" s="971">
        <v>48099</v>
      </c>
      <c r="K24" s="971">
        <v>92981</v>
      </c>
      <c r="L24" s="971">
        <v>5965</v>
      </c>
      <c r="M24" s="970"/>
      <c r="N24" s="971">
        <v>1814</v>
      </c>
      <c r="O24" s="971">
        <v>0</v>
      </c>
      <c r="P24" s="971">
        <v>0</v>
      </c>
      <c r="Q24" s="971">
        <v>9422</v>
      </c>
      <c r="R24" s="970"/>
      <c r="S24" s="971">
        <v>97330</v>
      </c>
      <c r="T24" s="971">
        <v>-1562</v>
      </c>
      <c r="U24" s="971">
        <v>95768</v>
      </c>
    </row>
    <row r="25" spans="1:21" x14ac:dyDescent="0.25">
      <c r="A25" s="967">
        <v>90151</v>
      </c>
      <c r="B25" s="968" t="s">
        <v>2671</v>
      </c>
      <c r="C25" s="969">
        <v>9.7000000000000003E-6</v>
      </c>
      <c r="D25" s="969">
        <v>9.9000000000000001E-6</v>
      </c>
      <c r="E25" s="1008">
        <v>3288</v>
      </c>
      <c r="F25" s="1011">
        <v>15124</v>
      </c>
      <c r="G25" s="970">
        <v>23012</v>
      </c>
      <c r="H25" s="970"/>
      <c r="I25" s="970">
        <v>3550</v>
      </c>
      <c r="J25" s="971">
        <v>3159</v>
      </c>
      <c r="K25" s="971">
        <v>6106</v>
      </c>
      <c r="L25" s="971">
        <v>0</v>
      </c>
      <c r="M25" s="970"/>
      <c r="N25" s="971">
        <v>119</v>
      </c>
      <c r="O25" s="971">
        <v>0</v>
      </c>
      <c r="P25" s="971">
        <v>0</v>
      </c>
      <c r="Q25" s="971">
        <v>2941</v>
      </c>
      <c r="R25" s="970"/>
      <c r="S25" s="971">
        <v>6392</v>
      </c>
      <c r="T25" s="971">
        <v>-1416</v>
      </c>
      <c r="U25" s="971">
        <v>4976</v>
      </c>
    </row>
    <row r="26" spans="1:21" x14ac:dyDescent="0.25">
      <c r="A26" s="967">
        <v>90161</v>
      </c>
      <c r="B26" s="968" t="s">
        <v>2672</v>
      </c>
      <c r="C26" s="969">
        <v>4.3999999999999999E-5</v>
      </c>
      <c r="D26" s="969">
        <v>3.4199999999999998E-5</v>
      </c>
      <c r="E26" s="1008">
        <v>16094</v>
      </c>
      <c r="F26" s="1011">
        <v>52248</v>
      </c>
      <c r="G26" s="970">
        <v>104383</v>
      </c>
      <c r="H26" s="970"/>
      <c r="I26" s="970">
        <v>16104</v>
      </c>
      <c r="J26" s="971">
        <v>14329</v>
      </c>
      <c r="K26" s="971">
        <v>27699</v>
      </c>
      <c r="L26" s="971">
        <v>4975</v>
      </c>
      <c r="M26" s="970"/>
      <c r="N26" s="971">
        <v>540</v>
      </c>
      <c r="O26" s="971">
        <v>0</v>
      </c>
      <c r="P26" s="971">
        <v>0</v>
      </c>
      <c r="Q26" s="971">
        <v>347</v>
      </c>
      <c r="R26" s="970"/>
      <c r="S26" s="971">
        <v>28995</v>
      </c>
      <c r="T26" s="971">
        <v>2254</v>
      </c>
      <c r="U26" s="971">
        <v>31249</v>
      </c>
    </row>
    <row r="27" spans="1:21" x14ac:dyDescent="0.25">
      <c r="A27" s="967">
        <v>90201</v>
      </c>
      <c r="B27" s="968" t="s">
        <v>2673</v>
      </c>
      <c r="C27" s="969">
        <v>1.1705999999999999E-3</v>
      </c>
      <c r="D27" s="969">
        <v>1.2126999999999999E-3</v>
      </c>
      <c r="E27" s="1008">
        <v>578317</v>
      </c>
      <c r="F27" s="1011">
        <v>1852670</v>
      </c>
      <c r="G27" s="970">
        <v>2777064</v>
      </c>
      <c r="H27" s="970"/>
      <c r="I27" s="970">
        <v>428435</v>
      </c>
      <c r="J27" s="971">
        <v>381209</v>
      </c>
      <c r="K27" s="971">
        <v>736925</v>
      </c>
      <c r="L27" s="971">
        <v>2854</v>
      </c>
      <c r="M27" s="970"/>
      <c r="N27" s="971">
        <v>14376</v>
      </c>
      <c r="O27" s="971">
        <v>0</v>
      </c>
      <c r="P27" s="971">
        <v>0</v>
      </c>
      <c r="Q27" s="971">
        <v>52999</v>
      </c>
      <c r="R27" s="970"/>
      <c r="S27" s="971">
        <v>771394</v>
      </c>
      <c r="T27" s="971">
        <v>18200</v>
      </c>
      <c r="U27" s="971">
        <v>789594</v>
      </c>
    </row>
    <row r="28" spans="1:21" x14ac:dyDescent="0.25">
      <c r="A28" s="967">
        <v>90203</v>
      </c>
      <c r="B28" s="968" t="s">
        <v>2674</v>
      </c>
      <c r="C28" s="969">
        <v>1.9909999999999999E-4</v>
      </c>
      <c r="D28" s="969">
        <v>1.994E-4</v>
      </c>
      <c r="E28" s="1008">
        <v>101603</v>
      </c>
      <c r="F28" s="1011">
        <v>304628</v>
      </c>
      <c r="G28" s="970">
        <v>472333</v>
      </c>
      <c r="H28" s="970"/>
      <c r="I28" s="970">
        <v>72870</v>
      </c>
      <c r="J28" s="971">
        <v>64837</v>
      </c>
      <c r="K28" s="971">
        <v>125339</v>
      </c>
      <c r="L28" s="971">
        <v>4091</v>
      </c>
      <c r="M28" s="970"/>
      <c r="N28" s="971">
        <v>2445</v>
      </c>
      <c r="O28" s="971">
        <v>0</v>
      </c>
      <c r="P28" s="971">
        <v>0</v>
      </c>
      <c r="Q28" s="971">
        <v>29936</v>
      </c>
      <c r="R28" s="970"/>
      <c r="S28" s="971">
        <v>131202</v>
      </c>
      <c r="T28" s="971">
        <v>-17176</v>
      </c>
      <c r="U28" s="971">
        <v>114026</v>
      </c>
    </row>
    <row r="29" spans="1:21" x14ac:dyDescent="0.25">
      <c r="A29" s="967">
        <v>90205</v>
      </c>
      <c r="B29" s="968" t="s">
        <v>2675</v>
      </c>
      <c r="C29" s="969">
        <v>3.2499999999999997E-5</v>
      </c>
      <c r="D29" s="969">
        <v>3.0000000000000001E-5</v>
      </c>
      <c r="E29" s="1008">
        <v>16633</v>
      </c>
      <c r="F29" s="1011">
        <v>45832</v>
      </c>
      <c r="G29" s="970">
        <v>77101</v>
      </c>
      <c r="H29" s="970"/>
      <c r="I29" s="970">
        <v>11895</v>
      </c>
      <c r="J29" s="971">
        <v>10583</v>
      </c>
      <c r="K29" s="971">
        <v>20460</v>
      </c>
      <c r="L29" s="971">
        <v>2535</v>
      </c>
      <c r="M29" s="970"/>
      <c r="N29" s="971">
        <v>399</v>
      </c>
      <c r="O29" s="971">
        <v>0</v>
      </c>
      <c r="P29" s="971">
        <v>0</v>
      </c>
      <c r="Q29" s="971">
        <v>1911</v>
      </c>
      <c r="R29" s="970"/>
      <c r="S29" s="971">
        <v>21417</v>
      </c>
      <c r="T29" s="971">
        <v>484</v>
      </c>
      <c r="U29" s="971">
        <v>21901</v>
      </c>
    </row>
    <row r="30" spans="1:21" x14ac:dyDescent="0.25">
      <c r="A30" s="967">
        <v>90206</v>
      </c>
      <c r="B30" s="968" t="s">
        <v>2676</v>
      </c>
      <c r="C30" s="969">
        <v>4.1950000000000001E-4</v>
      </c>
      <c r="D30" s="969">
        <v>4.2069999999999998E-4</v>
      </c>
      <c r="E30" s="1008">
        <v>199183</v>
      </c>
      <c r="F30" s="1011">
        <v>642713</v>
      </c>
      <c r="G30" s="970">
        <v>995197</v>
      </c>
      <c r="H30" s="970"/>
      <c r="I30" s="970">
        <v>153535</v>
      </c>
      <c r="J30" s="971">
        <v>136611</v>
      </c>
      <c r="K30" s="971">
        <v>264087</v>
      </c>
      <c r="L30" s="971">
        <v>0</v>
      </c>
      <c r="M30" s="970"/>
      <c r="N30" s="971">
        <v>5152</v>
      </c>
      <c r="O30" s="971">
        <v>0</v>
      </c>
      <c r="P30" s="971">
        <v>0</v>
      </c>
      <c r="Q30" s="971">
        <v>23372</v>
      </c>
      <c r="R30" s="970"/>
      <c r="S30" s="971">
        <v>276439</v>
      </c>
      <c r="T30" s="971">
        <v>-212</v>
      </c>
      <c r="U30" s="971">
        <v>276227</v>
      </c>
    </row>
    <row r="31" spans="1:21" x14ac:dyDescent="0.25">
      <c r="A31" s="967">
        <v>90211</v>
      </c>
      <c r="B31" s="968" t="s">
        <v>2677</v>
      </c>
      <c r="C31" s="969">
        <v>1.5330000000000001E-4</v>
      </c>
      <c r="D31" s="969">
        <v>1.4799999999999999E-4</v>
      </c>
      <c r="E31" s="1008">
        <v>79200</v>
      </c>
      <c r="F31" s="1011">
        <v>226103</v>
      </c>
      <c r="G31" s="970">
        <v>363680</v>
      </c>
      <c r="H31" s="970"/>
      <c r="I31" s="970">
        <v>56107</v>
      </c>
      <c r="J31" s="971">
        <v>49922</v>
      </c>
      <c r="K31" s="971">
        <v>96507</v>
      </c>
      <c r="L31" s="971">
        <v>7134</v>
      </c>
      <c r="M31" s="970"/>
      <c r="N31" s="971">
        <v>1883</v>
      </c>
      <c r="O31" s="971">
        <v>0</v>
      </c>
      <c r="P31" s="971">
        <v>0</v>
      </c>
      <c r="Q31" s="971">
        <v>9218</v>
      </c>
      <c r="R31" s="970"/>
      <c r="S31" s="971">
        <v>101021</v>
      </c>
      <c r="T31" s="971">
        <v>-4342</v>
      </c>
      <c r="U31" s="971">
        <v>96679</v>
      </c>
    </row>
    <row r="32" spans="1:21" x14ac:dyDescent="0.25">
      <c r="A32" s="967">
        <v>90301</v>
      </c>
      <c r="B32" s="968" t="s">
        <v>2678</v>
      </c>
      <c r="C32" s="969">
        <v>7.0640000000000004E-4</v>
      </c>
      <c r="D32" s="969">
        <v>6.7040000000000003E-4</v>
      </c>
      <c r="E32" s="1008">
        <v>305923</v>
      </c>
      <c r="F32" s="1011">
        <v>1024185</v>
      </c>
      <c r="G32" s="970">
        <v>1675822</v>
      </c>
      <c r="H32" s="970"/>
      <c r="I32" s="970">
        <v>258540</v>
      </c>
      <c r="J32" s="971">
        <v>230041</v>
      </c>
      <c r="K32" s="971">
        <v>444699</v>
      </c>
      <c r="L32" s="971">
        <v>1945</v>
      </c>
      <c r="M32" s="970"/>
      <c r="N32" s="971">
        <v>8675</v>
      </c>
      <c r="O32" s="971">
        <v>0</v>
      </c>
      <c r="P32" s="971">
        <v>0</v>
      </c>
      <c r="Q32" s="971">
        <v>11529</v>
      </c>
      <c r="R32" s="970"/>
      <c r="S32" s="971">
        <v>465499</v>
      </c>
      <c r="T32" s="971">
        <v>-7033</v>
      </c>
      <c r="U32" s="971">
        <v>458466</v>
      </c>
    </row>
    <row r="33" spans="1:21" x14ac:dyDescent="0.25">
      <c r="A33" s="967">
        <v>90305</v>
      </c>
      <c r="B33" s="968" t="s">
        <v>2679</v>
      </c>
      <c r="C33" s="969">
        <v>1.4909999999999999E-4</v>
      </c>
      <c r="D33" s="969">
        <v>1.617E-4</v>
      </c>
      <c r="E33" s="1008">
        <v>86245</v>
      </c>
      <c r="F33" s="1011">
        <v>247033</v>
      </c>
      <c r="G33" s="970">
        <v>353716</v>
      </c>
      <c r="H33" s="970"/>
      <c r="I33" s="970">
        <v>54570</v>
      </c>
      <c r="J33" s="971">
        <v>48554</v>
      </c>
      <c r="K33" s="971">
        <v>93863</v>
      </c>
      <c r="L33" s="971">
        <v>12323</v>
      </c>
      <c r="M33" s="970"/>
      <c r="N33" s="971">
        <v>1831</v>
      </c>
      <c r="O33" s="971">
        <v>0</v>
      </c>
      <c r="P33" s="971">
        <v>0</v>
      </c>
      <c r="Q33" s="971">
        <v>0</v>
      </c>
      <c r="R33" s="970"/>
      <c r="S33" s="971">
        <v>98253</v>
      </c>
      <c r="T33" s="971">
        <v>10409</v>
      </c>
      <c r="U33" s="971">
        <v>108662</v>
      </c>
    </row>
    <row r="34" spans="1:21" x14ac:dyDescent="0.25">
      <c r="A34" s="967">
        <v>90307</v>
      </c>
      <c r="B34" s="968" t="s">
        <v>2680</v>
      </c>
      <c r="C34" s="969">
        <v>6.6000000000000003E-6</v>
      </c>
      <c r="D34" s="969">
        <v>7.7999999999999999E-6</v>
      </c>
      <c r="E34" s="1008">
        <v>4263</v>
      </c>
      <c r="F34" s="1011">
        <v>11916</v>
      </c>
      <c r="G34" s="970">
        <v>15657</v>
      </c>
      <c r="H34" s="970"/>
      <c r="I34" s="970">
        <v>2416</v>
      </c>
      <c r="J34" s="971">
        <v>2149</v>
      </c>
      <c r="K34" s="971">
        <v>4155</v>
      </c>
      <c r="L34" s="971">
        <v>447</v>
      </c>
      <c r="M34" s="970"/>
      <c r="N34" s="971">
        <v>81</v>
      </c>
      <c r="O34" s="971">
        <v>0</v>
      </c>
      <c r="P34" s="971">
        <v>0</v>
      </c>
      <c r="Q34" s="971">
        <v>32</v>
      </c>
      <c r="R34" s="970"/>
      <c r="S34" s="971">
        <v>4349</v>
      </c>
      <c r="T34" s="971">
        <v>151</v>
      </c>
      <c r="U34" s="971">
        <v>4500</v>
      </c>
    </row>
    <row r="35" spans="1:21" x14ac:dyDescent="0.25">
      <c r="A35" s="967">
        <v>90401</v>
      </c>
      <c r="B35" s="968" t="s">
        <v>2681</v>
      </c>
      <c r="C35" s="969">
        <v>1.2583E-3</v>
      </c>
      <c r="D35" s="969">
        <v>1.3270999999999999E-3</v>
      </c>
      <c r="E35" s="1008">
        <v>665186</v>
      </c>
      <c r="F35" s="1011">
        <v>2027441</v>
      </c>
      <c r="G35" s="970">
        <v>2985118</v>
      </c>
      <c r="H35" s="970"/>
      <c r="I35" s="970">
        <v>460533</v>
      </c>
      <c r="J35" s="971">
        <v>409768</v>
      </c>
      <c r="K35" s="971">
        <v>792135</v>
      </c>
      <c r="L35" s="971">
        <v>17301</v>
      </c>
      <c r="M35" s="970"/>
      <c r="N35" s="971">
        <v>15453</v>
      </c>
      <c r="O35" s="971">
        <v>0</v>
      </c>
      <c r="P35" s="971">
        <v>0</v>
      </c>
      <c r="Q35" s="971">
        <v>18146</v>
      </c>
      <c r="R35" s="970"/>
      <c r="S35" s="971">
        <v>829186</v>
      </c>
      <c r="T35" s="971">
        <v>21476</v>
      </c>
      <c r="U35" s="971">
        <v>850662</v>
      </c>
    </row>
    <row r="36" spans="1:21" x14ac:dyDescent="0.25">
      <c r="A36" s="967">
        <v>90411</v>
      </c>
      <c r="B36" s="968" t="s">
        <v>2682</v>
      </c>
      <c r="C36" s="969">
        <v>3.5110000000000002E-4</v>
      </c>
      <c r="D36" s="969">
        <v>3.5100000000000002E-4</v>
      </c>
      <c r="E36" s="1008">
        <v>159557</v>
      </c>
      <c r="F36" s="1011">
        <v>536231</v>
      </c>
      <c r="G36" s="970">
        <v>832929</v>
      </c>
      <c r="H36" s="970"/>
      <c r="I36" s="970">
        <v>128501</v>
      </c>
      <c r="J36" s="971">
        <v>114336</v>
      </c>
      <c r="K36" s="971">
        <v>221027</v>
      </c>
      <c r="L36" s="971">
        <v>0</v>
      </c>
      <c r="M36" s="970"/>
      <c r="N36" s="971">
        <v>4312</v>
      </c>
      <c r="O36" s="971">
        <v>0</v>
      </c>
      <c r="P36" s="971">
        <v>0</v>
      </c>
      <c r="Q36" s="971">
        <v>35756</v>
      </c>
      <c r="R36" s="970"/>
      <c r="S36" s="971">
        <v>231365</v>
      </c>
      <c r="T36" s="971">
        <v>-18400</v>
      </c>
      <c r="U36" s="971">
        <v>212965</v>
      </c>
    </row>
    <row r="37" spans="1:21" x14ac:dyDescent="0.25">
      <c r="A37" s="967">
        <v>90413</v>
      </c>
      <c r="B37" s="968" t="s">
        <v>2683</v>
      </c>
      <c r="C37" s="969">
        <v>3.4700000000000003E-5</v>
      </c>
      <c r="D37" s="969">
        <v>3.4600000000000001E-5</v>
      </c>
      <c r="E37" s="1008">
        <v>19072</v>
      </c>
      <c r="F37" s="1011">
        <v>52859</v>
      </c>
      <c r="G37" s="970">
        <v>82320</v>
      </c>
      <c r="H37" s="970"/>
      <c r="I37" s="970">
        <v>12700</v>
      </c>
      <c r="J37" s="971">
        <v>11300</v>
      </c>
      <c r="K37" s="971">
        <v>21845</v>
      </c>
      <c r="L37" s="971">
        <v>4037</v>
      </c>
      <c r="M37" s="970"/>
      <c r="N37" s="971">
        <v>426</v>
      </c>
      <c r="O37" s="971">
        <v>0</v>
      </c>
      <c r="P37" s="971">
        <v>0</v>
      </c>
      <c r="Q37" s="971">
        <v>687</v>
      </c>
      <c r="R37" s="970"/>
      <c r="S37" s="971">
        <v>22866</v>
      </c>
      <c r="T37" s="971">
        <v>3839</v>
      </c>
      <c r="U37" s="971">
        <v>26705</v>
      </c>
    </row>
    <row r="38" spans="1:21" x14ac:dyDescent="0.25">
      <c r="A38" s="967">
        <v>90417</v>
      </c>
      <c r="B38" s="968" t="s">
        <v>2684</v>
      </c>
      <c r="C38" s="969">
        <v>1.19E-5</v>
      </c>
      <c r="D38" s="969">
        <v>1.17E-5</v>
      </c>
      <c r="E38" s="1008">
        <v>8909</v>
      </c>
      <c r="F38" s="1011">
        <v>17874</v>
      </c>
      <c r="G38" s="970">
        <v>28231</v>
      </c>
      <c r="H38" s="970"/>
      <c r="I38" s="970">
        <v>4355</v>
      </c>
      <c r="J38" s="971">
        <v>3875</v>
      </c>
      <c r="K38" s="971">
        <v>7491</v>
      </c>
      <c r="L38" s="971">
        <v>4872</v>
      </c>
      <c r="M38" s="970"/>
      <c r="N38" s="971">
        <v>146</v>
      </c>
      <c r="O38" s="971">
        <v>0</v>
      </c>
      <c r="P38" s="971">
        <v>0</v>
      </c>
      <c r="Q38" s="971">
        <v>0</v>
      </c>
      <c r="R38" s="970"/>
      <c r="S38" s="971">
        <v>7842</v>
      </c>
      <c r="T38" s="971">
        <v>1871</v>
      </c>
      <c r="U38" s="971">
        <v>9713</v>
      </c>
    </row>
    <row r="39" spans="1:21" x14ac:dyDescent="0.25">
      <c r="A39" s="967">
        <v>90421</v>
      </c>
      <c r="B39" s="968" t="s">
        <v>2685</v>
      </c>
      <c r="C39" s="969">
        <v>2.09E-5</v>
      </c>
      <c r="D39" s="969">
        <v>2.19E-5</v>
      </c>
      <c r="E39" s="1008">
        <v>8995</v>
      </c>
      <c r="F39" s="1011">
        <v>33457</v>
      </c>
      <c r="G39" s="970">
        <v>49582</v>
      </c>
      <c r="H39" s="970"/>
      <c r="I39" s="970">
        <v>7649</v>
      </c>
      <c r="J39" s="971">
        <v>6806</v>
      </c>
      <c r="K39" s="971">
        <v>13157</v>
      </c>
      <c r="L39" s="971">
        <v>0</v>
      </c>
      <c r="M39" s="970"/>
      <c r="N39" s="971">
        <v>257</v>
      </c>
      <c r="O39" s="971">
        <v>0</v>
      </c>
      <c r="P39" s="971">
        <v>0</v>
      </c>
      <c r="Q39" s="971">
        <v>4614</v>
      </c>
      <c r="R39" s="970"/>
      <c r="S39" s="971">
        <v>13773</v>
      </c>
      <c r="T39" s="971">
        <v>-2235</v>
      </c>
      <c r="U39" s="971">
        <v>11538</v>
      </c>
    </row>
    <row r="40" spans="1:21" x14ac:dyDescent="0.25">
      <c r="A40" s="967">
        <v>90431</v>
      </c>
      <c r="B40" s="968" t="s">
        <v>2686</v>
      </c>
      <c r="C40" s="969">
        <v>4.5099999999999998E-5</v>
      </c>
      <c r="D40" s="969">
        <v>4.8300000000000002E-5</v>
      </c>
      <c r="E40" s="1008">
        <v>23132</v>
      </c>
      <c r="F40" s="1011">
        <v>73789</v>
      </c>
      <c r="G40" s="970">
        <v>106993</v>
      </c>
      <c r="H40" s="970"/>
      <c r="I40" s="970">
        <v>16506</v>
      </c>
      <c r="J40" s="971">
        <v>14687</v>
      </c>
      <c r="K40" s="971">
        <v>28392</v>
      </c>
      <c r="L40" s="971">
        <v>4577</v>
      </c>
      <c r="M40" s="970"/>
      <c r="N40" s="971">
        <v>554</v>
      </c>
      <c r="O40" s="971">
        <v>0</v>
      </c>
      <c r="P40" s="971">
        <v>0</v>
      </c>
      <c r="Q40" s="971">
        <v>2267</v>
      </c>
      <c r="R40" s="970"/>
      <c r="S40" s="971">
        <v>29720</v>
      </c>
      <c r="T40" s="971">
        <v>3281</v>
      </c>
      <c r="U40" s="971">
        <v>33001</v>
      </c>
    </row>
    <row r="41" spans="1:21" x14ac:dyDescent="0.25">
      <c r="A41" s="967">
        <v>90441</v>
      </c>
      <c r="B41" s="968" t="s">
        <v>2687</v>
      </c>
      <c r="C41" s="969">
        <v>7.5000000000000002E-6</v>
      </c>
      <c r="D41" s="969">
        <v>8.3999999999999992E-6</v>
      </c>
      <c r="E41" s="1008">
        <v>5252</v>
      </c>
      <c r="F41" s="1011">
        <v>12833</v>
      </c>
      <c r="G41" s="970">
        <v>17793</v>
      </c>
      <c r="H41" s="970"/>
      <c r="I41" s="970">
        <v>2745</v>
      </c>
      <c r="J41" s="971">
        <v>2443</v>
      </c>
      <c r="K41" s="971">
        <v>4721</v>
      </c>
      <c r="L41" s="971">
        <v>827</v>
      </c>
      <c r="M41" s="970"/>
      <c r="N41" s="971">
        <v>92</v>
      </c>
      <c r="O41" s="971">
        <v>0</v>
      </c>
      <c r="P41" s="971">
        <v>0</v>
      </c>
      <c r="Q41" s="971">
        <v>58</v>
      </c>
      <c r="R41" s="970"/>
      <c r="S41" s="971">
        <v>4942</v>
      </c>
      <c r="T41" s="971">
        <v>771</v>
      </c>
      <c r="U41" s="971">
        <v>5713</v>
      </c>
    </row>
    <row r="42" spans="1:21" x14ac:dyDescent="0.25">
      <c r="A42" s="967">
        <v>90451</v>
      </c>
      <c r="B42" s="968" t="s">
        <v>2688</v>
      </c>
      <c r="C42" s="969">
        <v>2.05E-5</v>
      </c>
      <c r="D42" s="969">
        <v>1.6699999999999999E-5</v>
      </c>
      <c r="E42" s="1008">
        <v>9876</v>
      </c>
      <c r="F42" s="1011">
        <v>25513</v>
      </c>
      <c r="G42" s="970">
        <v>48633</v>
      </c>
      <c r="H42" s="970"/>
      <c r="I42" s="970">
        <v>7503</v>
      </c>
      <c r="J42" s="971">
        <v>6676</v>
      </c>
      <c r="K42" s="971">
        <v>12905</v>
      </c>
      <c r="L42" s="971">
        <v>3881</v>
      </c>
      <c r="M42" s="970"/>
      <c r="N42" s="971">
        <v>252</v>
      </c>
      <c r="O42" s="971">
        <v>0</v>
      </c>
      <c r="P42" s="971">
        <v>0</v>
      </c>
      <c r="Q42" s="971">
        <v>623</v>
      </c>
      <c r="R42" s="970"/>
      <c r="S42" s="971">
        <v>13509</v>
      </c>
      <c r="T42" s="971">
        <v>1281</v>
      </c>
      <c r="U42" s="971">
        <v>14790</v>
      </c>
    </row>
    <row r="43" spans="1:21" x14ac:dyDescent="0.25">
      <c r="A43" s="967">
        <v>90461</v>
      </c>
      <c r="B43" s="968" t="s">
        <v>2689</v>
      </c>
      <c r="C43" s="969">
        <v>5.5999999999999997E-6</v>
      </c>
      <c r="D43" s="969">
        <v>7.4000000000000003E-6</v>
      </c>
      <c r="E43" s="1008">
        <v>4462</v>
      </c>
      <c r="F43" s="1011">
        <v>11305</v>
      </c>
      <c r="G43" s="970">
        <v>13285</v>
      </c>
      <c r="H43" s="970"/>
      <c r="I43" s="970">
        <v>2050</v>
      </c>
      <c r="J43" s="971">
        <v>1823</v>
      </c>
      <c r="K43" s="971">
        <v>3525</v>
      </c>
      <c r="L43" s="971">
        <v>1470</v>
      </c>
      <c r="M43" s="970"/>
      <c r="N43" s="971">
        <v>69</v>
      </c>
      <c r="O43" s="971">
        <v>0</v>
      </c>
      <c r="P43" s="971">
        <v>0</v>
      </c>
      <c r="Q43" s="971">
        <v>4983</v>
      </c>
      <c r="R43" s="970"/>
      <c r="S43" s="971">
        <v>3690</v>
      </c>
      <c r="T43" s="971">
        <v>-968</v>
      </c>
      <c r="U43" s="971">
        <v>2722</v>
      </c>
    </row>
    <row r="44" spans="1:21" x14ac:dyDescent="0.25">
      <c r="A44" s="967">
        <v>90501</v>
      </c>
      <c r="B44" s="968" t="s">
        <v>2690</v>
      </c>
      <c r="C44" s="969">
        <v>1.3675E-3</v>
      </c>
      <c r="D44" s="969">
        <v>1.4176E-3</v>
      </c>
      <c r="E44" s="1008">
        <v>706560</v>
      </c>
      <c r="F44" s="1011">
        <v>2165700</v>
      </c>
      <c r="G44" s="970">
        <v>3244178</v>
      </c>
      <c r="H44" s="970"/>
      <c r="I44" s="970">
        <v>500500</v>
      </c>
      <c r="J44" s="971">
        <v>445329</v>
      </c>
      <c r="K44" s="971">
        <v>860880</v>
      </c>
      <c r="L44" s="971">
        <v>26910</v>
      </c>
      <c r="M44" s="970"/>
      <c r="N44" s="971">
        <v>16794</v>
      </c>
      <c r="O44" s="971">
        <v>0</v>
      </c>
      <c r="P44" s="971">
        <v>0</v>
      </c>
      <c r="Q44" s="971">
        <v>5948</v>
      </c>
      <c r="R44" s="970"/>
      <c r="S44" s="971">
        <v>901146</v>
      </c>
      <c r="T44" s="971">
        <v>25526</v>
      </c>
      <c r="U44" s="971">
        <v>926672</v>
      </c>
    </row>
    <row r="45" spans="1:21" x14ac:dyDescent="0.25">
      <c r="A45" s="967">
        <v>90507</v>
      </c>
      <c r="B45" s="968" t="s">
        <v>1220</v>
      </c>
      <c r="C45" s="969">
        <v>6.3999999999999997E-6</v>
      </c>
      <c r="D45" s="969">
        <v>6.6000000000000003E-6</v>
      </c>
      <c r="E45" s="1008">
        <v>10999</v>
      </c>
      <c r="F45" s="1011">
        <v>10083</v>
      </c>
      <c r="G45" s="970">
        <v>15183</v>
      </c>
      <c r="H45" s="970"/>
      <c r="I45" s="970">
        <v>2342</v>
      </c>
      <c r="J45" s="971">
        <v>2084</v>
      </c>
      <c r="K45" s="971">
        <v>4029</v>
      </c>
      <c r="L45" s="971">
        <v>13580</v>
      </c>
      <c r="M45" s="970"/>
      <c r="N45" s="971">
        <v>79</v>
      </c>
      <c r="O45" s="971">
        <v>0</v>
      </c>
      <c r="P45" s="971">
        <v>0</v>
      </c>
      <c r="Q45" s="971">
        <v>0</v>
      </c>
      <c r="R45" s="970"/>
      <c r="S45" s="971">
        <v>4217</v>
      </c>
      <c r="T45" s="971">
        <v>5652</v>
      </c>
      <c r="U45" s="971">
        <v>9869</v>
      </c>
    </row>
    <row r="46" spans="1:21" x14ac:dyDescent="0.25">
      <c r="A46" s="967">
        <v>90511</v>
      </c>
      <c r="B46" s="968" t="s">
        <v>2691</v>
      </c>
      <c r="C46" s="969">
        <v>8.25E-5</v>
      </c>
      <c r="D46" s="969">
        <v>8.7000000000000001E-5</v>
      </c>
      <c r="E46" s="1008">
        <v>54677</v>
      </c>
      <c r="F46" s="1011">
        <v>132912</v>
      </c>
      <c r="G46" s="970">
        <v>195718</v>
      </c>
      <c r="H46" s="970"/>
      <c r="I46" s="970">
        <v>30195</v>
      </c>
      <c r="J46" s="971">
        <v>26866</v>
      </c>
      <c r="K46" s="971">
        <v>51936</v>
      </c>
      <c r="L46" s="971">
        <v>16195</v>
      </c>
      <c r="M46" s="970"/>
      <c r="N46" s="971">
        <v>1013</v>
      </c>
      <c r="O46" s="971">
        <v>0</v>
      </c>
      <c r="P46" s="971">
        <v>0</v>
      </c>
      <c r="Q46" s="971">
        <v>0</v>
      </c>
      <c r="R46" s="970"/>
      <c r="S46" s="971">
        <v>54365</v>
      </c>
      <c r="T46" s="971">
        <v>8520</v>
      </c>
      <c r="U46" s="971">
        <v>62885</v>
      </c>
    </row>
    <row r="47" spans="1:21" x14ac:dyDescent="0.25">
      <c r="A47" s="967">
        <v>90521</v>
      </c>
      <c r="B47" s="968" t="s">
        <v>2692</v>
      </c>
      <c r="C47" s="969">
        <v>1.281E-4</v>
      </c>
      <c r="D47" s="969">
        <v>1.3880000000000001E-4</v>
      </c>
      <c r="E47" s="1008">
        <v>56165</v>
      </c>
      <c r="F47" s="1011">
        <v>212048</v>
      </c>
      <c r="G47" s="970">
        <v>303897</v>
      </c>
      <c r="H47" s="970"/>
      <c r="I47" s="970">
        <v>46884</v>
      </c>
      <c r="J47" s="971">
        <v>41717</v>
      </c>
      <c r="K47" s="971">
        <v>80643</v>
      </c>
      <c r="L47" s="971">
        <v>0</v>
      </c>
      <c r="M47" s="970"/>
      <c r="N47" s="971">
        <v>1573</v>
      </c>
      <c r="O47" s="971">
        <v>0</v>
      </c>
      <c r="P47" s="971">
        <v>0</v>
      </c>
      <c r="Q47" s="971">
        <v>24197</v>
      </c>
      <c r="R47" s="970"/>
      <c r="S47" s="971">
        <v>84414</v>
      </c>
      <c r="T47" s="971">
        <v>-10337</v>
      </c>
      <c r="U47" s="971">
        <v>74077</v>
      </c>
    </row>
    <row r="48" spans="1:21" x14ac:dyDescent="0.25">
      <c r="A48" s="967">
        <v>90601</v>
      </c>
      <c r="B48" s="968" t="s">
        <v>2693</v>
      </c>
      <c r="C48" s="969">
        <v>1.1383999999999999E-3</v>
      </c>
      <c r="D48" s="969">
        <v>1.1888000000000001E-3</v>
      </c>
      <c r="E48" s="1008">
        <v>569631</v>
      </c>
      <c r="F48" s="1011">
        <v>1816157</v>
      </c>
      <c r="G48" s="970">
        <v>2700674</v>
      </c>
      <c r="H48" s="970"/>
      <c r="I48" s="970">
        <v>416650</v>
      </c>
      <c r="J48" s="971">
        <v>370722</v>
      </c>
      <c r="K48" s="971">
        <v>716655</v>
      </c>
      <c r="L48" s="971">
        <v>5621</v>
      </c>
      <c r="M48" s="970"/>
      <c r="N48" s="971">
        <v>13981</v>
      </c>
      <c r="O48" s="971">
        <v>0</v>
      </c>
      <c r="P48" s="971">
        <v>0</v>
      </c>
      <c r="Q48" s="971">
        <v>38880</v>
      </c>
      <c r="R48" s="970"/>
      <c r="S48" s="971">
        <v>750175</v>
      </c>
      <c r="T48" s="971">
        <v>1751</v>
      </c>
      <c r="U48" s="971">
        <v>751926</v>
      </c>
    </row>
    <row r="49" spans="1:21" x14ac:dyDescent="0.25">
      <c r="A49" s="967">
        <v>90602</v>
      </c>
      <c r="B49" s="968" t="s">
        <v>2125</v>
      </c>
      <c r="C49" s="969">
        <v>6.3100000000000002E-5</v>
      </c>
      <c r="D49" s="969">
        <v>6.3899999999999995E-5</v>
      </c>
      <c r="E49" s="1008">
        <v>43993</v>
      </c>
      <c r="F49" s="1011">
        <v>97621</v>
      </c>
      <c r="G49" s="970">
        <v>149695</v>
      </c>
      <c r="H49" s="970"/>
      <c r="I49" s="970">
        <v>23094</v>
      </c>
      <c r="J49" s="971">
        <v>20549</v>
      </c>
      <c r="K49" s="971">
        <v>39723</v>
      </c>
      <c r="L49" s="971">
        <v>34569</v>
      </c>
      <c r="M49" s="970"/>
      <c r="N49" s="971">
        <v>775</v>
      </c>
      <c r="O49" s="971">
        <v>0</v>
      </c>
      <c r="P49" s="971">
        <v>0</v>
      </c>
      <c r="Q49" s="971">
        <v>0</v>
      </c>
      <c r="R49" s="970"/>
      <c r="S49" s="971">
        <v>41581</v>
      </c>
      <c r="T49" s="971">
        <v>16640</v>
      </c>
      <c r="U49" s="971">
        <v>58221</v>
      </c>
    </row>
    <row r="50" spans="1:21" x14ac:dyDescent="0.25">
      <c r="A50" s="967">
        <v>90605</v>
      </c>
      <c r="B50" s="968" t="s">
        <v>2694</v>
      </c>
      <c r="C50" s="969">
        <v>3.9199999999999997E-5</v>
      </c>
      <c r="D50" s="969">
        <v>4.1999999999999998E-5</v>
      </c>
      <c r="E50" s="1008">
        <v>27630</v>
      </c>
      <c r="F50" s="1011">
        <v>64164</v>
      </c>
      <c r="G50" s="970">
        <v>92996</v>
      </c>
      <c r="H50" s="970"/>
      <c r="I50" s="970">
        <v>14347</v>
      </c>
      <c r="J50" s="971">
        <v>12765</v>
      </c>
      <c r="K50" s="971">
        <v>24677</v>
      </c>
      <c r="L50" s="971">
        <v>14565</v>
      </c>
      <c r="M50" s="970"/>
      <c r="N50" s="971">
        <v>481</v>
      </c>
      <c r="O50" s="971">
        <v>0</v>
      </c>
      <c r="P50" s="971">
        <v>0</v>
      </c>
      <c r="Q50" s="971">
        <v>0</v>
      </c>
      <c r="R50" s="970"/>
      <c r="S50" s="971">
        <v>25832</v>
      </c>
      <c r="T50" s="971">
        <v>6805</v>
      </c>
      <c r="U50" s="971">
        <v>32637</v>
      </c>
    </row>
    <row r="51" spans="1:21" x14ac:dyDescent="0.25">
      <c r="A51" s="967">
        <v>90611</v>
      </c>
      <c r="B51" s="968" t="s">
        <v>2695</v>
      </c>
      <c r="C51" s="969">
        <v>1.4009999999999999E-4</v>
      </c>
      <c r="D51" s="969">
        <v>1.4880000000000001E-4</v>
      </c>
      <c r="E51" s="1008">
        <v>65699</v>
      </c>
      <c r="F51" s="1011">
        <v>227325</v>
      </c>
      <c r="G51" s="970">
        <v>332365</v>
      </c>
      <c r="H51" s="970"/>
      <c r="I51" s="970">
        <v>51276</v>
      </c>
      <c r="J51" s="971">
        <v>45624</v>
      </c>
      <c r="K51" s="971">
        <v>88197</v>
      </c>
      <c r="L51" s="971">
        <v>0</v>
      </c>
      <c r="M51" s="970"/>
      <c r="N51" s="971">
        <v>1721</v>
      </c>
      <c r="O51" s="971">
        <v>0</v>
      </c>
      <c r="P51" s="971">
        <v>0</v>
      </c>
      <c r="Q51" s="971">
        <v>20888</v>
      </c>
      <c r="R51" s="970"/>
      <c r="S51" s="971">
        <v>92322</v>
      </c>
      <c r="T51" s="971">
        <v>-5234</v>
      </c>
      <c r="U51" s="971">
        <v>87088</v>
      </c>
    </row>
    <row r="52" spans="1:21" x14ac:dyDescent="0.25">
      <c r="A52" s="967">
        <v>90617</v>
      </c>
      <c r="B52" s="968" t="s">
        <v>2696</v>
      </c>
      <c r="C52" s="969">
        <v>2.72E-5</v>
      </c>
      <c r="D52" s="969">
        <v>2.5999999999999998E-5</v>
      </c>
      <c r="E52" s="1008">
        <v>14673</v>
      </c>
      <c r="F52" s="1011">
        <v>39721</v>
      </c>
      <c r="G52" s="970">
        <v>64528</v>
      </c>
      <c r="H52" s="970"/>
      <c r="I52" s="970">
        <v>9955</v>
      </c>
      <c r="J52" s="971">
        <v>8857</v>
      </c>
      <c r="K52" s="971">
        <v>17123</v>
      </c>
      <c r="L52" s="971">
        <v>5515</v>
      </c>
      <c r="M52" s="970"/>
      <c r="N52" s="971">
        <v>334</v>
      </c>
      <c r="O52" s="971">
        <v>0</v>
      </c>
      <c r="P52" s="971">
        <v>0</v>
      </c>
      <c r="Q52" s="971">
        <v>0</v>
      </c>
      <c r="R52" s="970"/>
      <c r="S52" s="971">
        <v>17924</v>
      </c>
      <c r="T52" s="971">
        <v>4552</v>
      </c>
      <c r="U52" s="971">
        <v>22476</v>
      </c>
    </row>
    <row r="53" spans="1:21" x14ac:dyDescent="0.25">
      <c r="A53" s="967">
        <v>90621</v>
      </c>
      <c r="B53" s="968" t="s">
        <v>2697</v>
      </c>
      <c r="C53" s="969">
        <v>6.5699999999999998E-5</v>
      </c>
      <c r="D53" s="969">
        <v>6.3999999999999997E-5</v>
      </c>
      <c r="E53" s="1008">
        <v>27187</v>
      </c>
      <c r="F53" s="1011">
        <v>97774</v>
      </c>
      <c r="G53" s="970">
        <v>155863</v>
      </c>
      <c r="H53" s="970"/>
      <c r="I53" s="970">
        <v>24046</v>
      </c>
      <c r="J53" s="971">
        <v>21396</v>
      </c>
      <c r="K53" s="971">
        <v>41360</v>
      </c>
      <c r="L53" s="971">
        <v>0</v>
      </c>
      <c r="M53" s="970"/>
      <c r="N53" s="971">
        <v>807</v>
      </c>
      <c r="O53" s="971">
        <v>0</v>
      </c>
      <c r="P53" s="971">
        <v>0</v>
      </c>
      <c r="Q53" s="971">
        <v>15822</v>
      </c>
      <c r="R53" s="970"/>
      <c r="S53" s="971">
        <v>43295</v>
      </c>
      <c r="T53" s="971">
        <v>-6033</v>
      </c>
      <c r="U53" s="971">
        <v>37262</v>
      </c>
    </row>
    <row r="54" spans="1:21" x14ac:dyDescent="0.25">
      <c r="A54" s="967">
        <v>90631</v>
      </c>
      <c r="B54" s="968" t="s">
        <v>2698</v>
      </c>
      <c r="C54" s="969">
        <v>3.7120000000000002E-4</v>
      </c>
      <c r="D54" s="969">
        <v>3.9560000000000002E-4</v>
      </c>
      <c r="E54" s="1008">
        <v>183176</v>
      </c>
      <c r="F54" s="1011">
        <v>604367</v>
      </c>
      <c r="G54" s="970">
        <v>880613</v>
      </c>
      <c r="H54" s="970"/>
      <c r="I54" s="970">
        <v>135858</v>
      </c>
      <c r="J54" s="971">
        <v>120882</v>
      </c>
      <c r="K54" s="971">
        <v>233681</v>
      </c>
      <c r="L54" s="971">
        <v>12101</v>
      </c>
      <c r="M54" s="970"/>
      <c r="N54" s="971">
        <v>4559</v>
      </c>
      <c r="O54" s="971">
        <v>0</v>
      </c>
      <c r="P54" s="971">
        <v>0</v>
      </c>
      <c r="Q54" s="971">
        <v>18351</v>
      </c>
      <c r="R54" s="970"/>
      <c r="S54" s="971">
        <v>244611</v>
      </c>
      <c r="T54" s="971">
        <v>-4506</v>
      </c>
      <c r="U54" s="971">
        <v>240105</v>
      </c>
    </row>
    <row r="55" spans="1:21" x14ac:dyDescent="0.25">
      <c r="A55" s="967">
        <v>90641</v>
      </c>
      <c r="B55" s="968" t="s">
        <v>2699</v>
      </c>
      <c r="C55" s="969">
        <v>1.2999999999999999E-5</v>
      </c>
      <c r="D55" s="969">
        <v>1.38E-5</v>
      </c>
      <c r="E55" s="1008">
        <v>7184</v>
      </c>
      <c r="F55" s="1011">
        <v>21083</v>
      </c>
      <c r="G55" s="970">
        <v>30840</v>
      </c>
      <c r="H55" s="970"/>
      <c r="I55" s="970">
        <v>4758</v>
      </c>
      <c r="J55" s="971">
        <v>4233</v>
      </c>
      <c r="K55" s="971">
        <v>8184</v>
      </c>
      <c r="L55" s="971">
        <v>250</v>
      </c>
      <c r="M55" s="970"/>
      <c r="N55" s="971">
        <v>160</v>
      </c>
      <c r="O55" s="971">
        <v>0</v>
      </c>
      <c r="P55" s="971">
        <v>0</v>
      </c>
      <c r="Q55" s="971">
        <v>254</v>
      </c>
      <c r="R55" s="970"/>
      <c r="S55" s="971">
        <v>8567</v>
      </c>
      <c r="T55" s="971">
        <v>-102</v>
      </c>
      <c r="U55" s="971">
        <v>8465</v>
      </c>
    </row>
    <row r="56" spans="1:21" x14ac:dyDescent="0.25">
      <c r="A56" s="967">
        <v>90651</v>
      </c>
      <c r="B56" s="968" t="s">
        <v>2700</v>
      </c>
      <c r="C56" s="969">
        <v>1.064E-4</v>
      </c>
      <c r="D56" s="969">
        <v>1E-4</v>
      </c>
      <c r="E56" s="1008">
        <v>102654</v>
      </c>
      <c r="F56" s="1011">
        <v>152772</v>
      </c>
      <c r="G56" s="970">
        <v>252417</v>
      </c>
      <c r="H56" s="970"/>
      <c r="I56" s="970">
        <v>38942</v>
      </c>
      <c r="J56" s="971">
        <v>34650</v>
      </c>
      <c r="K56" s="971">
        <v>66982</v>
      </c>
      <c r="L56" s="971">
        <v>100554</v>
      </c>
      <c r="M56" s="970"/>
      <c r="N56" s="971">
        <v>1307</v>
      </c>
      <c r="O56" s="971">
        <v>0</v>
      </c>
      <c r="P56" s="971">
        <v>0</v>
      </c>
      <c r="Q56" s="971">
        <v>0</v>
      </c>
      <c r="R56" s="970"/>
      <c r="S56" s="971">
        <v>70115</v>
      </c>
      <c r="T56" s="971">
        <v>36979</v>
      </c>
      <c r="U56" s="971">
        <v>107094</v>
      </c>
    </row>
    <row r="57" spans="1:21" x14ac:dyDescent="0.25">
      <c r="A57" s="967">
        <v>90701</v>
      </c>
      <c r="B57" s="968" t="s">
        <v>3682</v>
      </c>
      <c r="C57" s="969">
        <v>2.6327999999999998E-3</v>
      </c>
      <c r="D57" s="969">
        <v>2.6581E-3</v>
      </c>
      <c r="E57" s="1008">
        <v>1197982</v>
      </c>
      <c r="F57" s="1011">
        <v>4060841</v>
      </c>
      <c r="G57" s="970">
        <v>6245902</v>
      </c>
      <c r="H57" s="970"/>
      <c r="I57" s="970">
        <v>963594</v>
      </c>
      <c r="J57" s="971">
        <v>857376</v>
      </c>
      <c r="K57" s="971">
        <v>1657421</v>
      </c>
      <c r="L57" s="971">
        <v>84751</v>
      </c>
      <c r="M57" s="970"/>
      <c r="N57" s="971">
        <v>32333</v>
      </c>
      <c r="O57" s="971">
        <v>0</v>
      </c>
      <c r="P57" s="971">
        <v>0</v>
      </c>
      <c r="Q57" s="971">
        <v>109908</v>
      </c>
      <c r="R57" s="970"/>
      <c r="S57" s="971">
        <v>1734944</v>
      </c>
      <c r="T57" s="971">
        <v>11083</v>
      </c>
      <c r="U57" s="971">
        <v>1746027</v>
      </c>
    </row>
    <row r="58" spans="1:21" x14ac:dyDescent="0.25">
      <c r="A58" s="967">
        <v>90704</v>
      </c>
      <c r="B58" s="968" t="s">
        <v>2702</v>
      </c>
      <c r="C58" s="969">
        <v>3.4100000000000002E-5</v>
      </c>
      <c r="D58" s="969">
        <v>3.3300000000000003E-5</v>
      </c>
      <c r="E58" s="1008">
        <v>27041</v>
      </c>
      <c r="F58" s="1011">
        <v>50873</v>
      </c>
      <c r="G58" s="970">
        <v>80897</v>
      </c>
      <c r="H58" s="970"/>
      <c r="I58" s="970">
        <v>12480</v>
      </c>
      <c r="J58" s="971">
        <v>11105</v>
      </c>
      <c r="K58" s="971">
        <v>21467</v>
      </c>
      <c r="L58" s="971">
        <v>17851</v>
      </c>
      <c r="M58" s="970"/>
      <c r="N58" s="971">
        <v>419</v>
      </c>
      <c r="O58" s="971">
        <v>0</v>
      </c>
      <c r="P58" s="971">
        <v>0</v>
      </c>
      <c r="Q58" s="971">
        <v>0</v>
      </c>
      <c r="R58" s="970"/>
      <c r="S58" s="971">
        <v>22471</v>
      </c>
      <c r="T58" s="971">
        <v>7847</v>
      </c>
      <c r="U58" s="971">
        <v>30318</v>
      </c>
    </row>
    <row r="59" spans="1:21" x14ac:dyDescent="0.25">
      <c r="A59" s="967">
        <v>90705</v>
      </c>
      <c r="B59" s="968" t="s">
        <v>2703</v>
      </c>
      <c r="C59" s="969">
        <v>3.6000000000000001E-5</v>
      </c>
      <c r="D59" s="969">
        <v>5.3000000000000001E-5</v>
      </c>
      <c r="E59" s="1008">
        <v>23512</v>
      </c>
      <c r="F59" s="1011">
        <v>80969</v>
      </c>
      <c r="G59" s="970">
        <v>85404</v>
      </c>
      <c r="H59" s="970"/>
      <c r="I59" s="970">
        <v>13176</v>
      </c>
      <c r="J59" s="971">
        <v>11723</v>
      </c>
      <c r="K59" s="971">
        <v>22663</v>
      </c>
      <c r="L59" s="971">
        <v>12180</v>
      </c>
      <c r="M59" s="970"/>
      <c r="N59" s="971">
        <v>442</v>
      </c>
      <c r="O59" s="971">
        <v>0</v>
      </c>
      <c r="P59" s="971">
        <v>0</v>
      </c>
      <c r="Q59" s="971">
        <v>7440</v>
      </c>
      <c r="R59" s="970"/>
      <c r="S59" s="971">
        <v>23723</v>
      </c>
      <c r="T59" s="971">
        <v>4327</v>
      </c>
      <c r="U59" s="971">
        <v>28050</v>
      </c>
    </row>
    <row r="60" spans="1:21" x14ac:dyDescent="0.25">
      <c r="A60" s="967">
        <v>90709</v>
      </c>
      <c r="B60" s="968" t="s">
        <v>2704</v>
      </c>
      <c r="C60" s="969">
        <v>1.683E-4</v>
      </c>
      <c r="D60" s="969">
        <v>1.2650000000000001E-4</v>
      </c>
      <c r="E60" s="1008">
        <v>93851</v>
      </c>
      <c r="F60" s="1011">
        <v>193257</v>
      </c>
      <c r="G60" s="970">
        <v>399265</v>
      </c>
      <c r="H60" s="970"/>
      <c r="I60" s="970">
        <v>61597</v>
      </c>
      <c r="J60" s="971">
        <v>54807</v>
      </c>
      <c r="K60" s="971">
        <v>105950</v>
      </c>
      <c r="L60" s="971">
        <v>39082</v>
      </c>
      <c r="M60" s="970"/>
      <c r="N60" s="971">
        <v>2067</v>
      </c>
      <c r="O60" s="971">
        <v>0</v>
      </c>
      <c r="P60" s="971">
        <v>0</v>
      </c>
      <c r="Q60" s="971">
        <v>28001</v>
      </c>
      <c r="R60" s="970"/>
      <c r="S60" s="971">
        <v>110905</v>
      </c>
      <c r="T60" s="971">
        <v>346</v>
      </c>
      <c r="U60" s="971">
        <v>111251</v>
      </c>
    </row>
    <row r="61" spans="1:21" x14ac:dyDescent="0.25">
      <c r="A61" s="967">
        <v>90711</v>
      </c>
      <c r="B61" s="968" t="s">
        <v>2705</v>
      </c>
      <c r="C61" s="969">
        <v>1.6165000000000001E-3</v>
      </c>
      <c r="D61" s="969">
        <v>1.6877000000000001E-3</v>
      </c>
      <c r="E61" s="1008">
        <v>779301</v>
      </c>
      <c r="F61" s="1011">
        <v>2578338</v>
      </c>
      <c r="G61" s="970">
        <v>3834891</v>
      </c>
      <c r="H61" s="970"/>
      <c r="I61" s="970">
        <v>591633</v>
      </c>
      <c r="J61" s="971">
        <v>526416</v>
      </c>
      <c r="K61" s="971">
        <v>1017632</v>
      </c>
      <c r="L61" s="971">
        <v>0</v>
      </c>
      <c r="M61" s="970"/>
      <c r="N61" s="971">
        <v>19852</v>
      </c>
      <c r="O61" s="971">
        <v>0</v>
      </c>
      <c r="P61" s="971">
        <v>0</v>
      </c>
      <c r="Q61" s="971">
        <v>152515</v>
      </c>
      <c r="R61" s="970"/>
      <c r="S61" s="971">
        <v>1065230</v>
      </c>
      <c r="T61" s="971">
        <v>-83743</v>
      </c>
      <c r="U61" s="971">
        <v>981487</v>
      </c>
    </row>
    <row r="62" spans="1:21" x14ac:dyDescent="0.25">
      <c r="A62" s="967">
        <v>90721</v>
      </c>
      <c r="B62" s="968" t="s">
        <v>2706</v>
      </c>
      <c r="C62" s="969">
        <v>2.8200000000000001E-5</v>
      </c>
      <c r="D62" s="969">
        <v>2.8600000000000001E-5</v>
      </c>
      <c r="E62" s="1008">
        <v>14421</v>
      </c>
      <c r="F62" s="1011">
        <v>43693</v>
      </c>
      <c r="G62" s="970">
        <v>66900</v>
      </c>
      <c r="H62" s="970"/>
      <c r="I62" s="970">
        <v>10321</v>
      </c>
      <c r="J62" s="971">
        <v>9183</v>
      </c>
      <c r="K62" s="971">
        <v>17753</v>
      </c>
      <c r="L62" s="971">
        <v>792</v>
      </c>
      <c r="M62" s="970"/>
      <c r="N62" s="971">
        <v>346</v>
      </c>
      <c r="O62" s="971">
        <v>0</v>
      </c>
      <c r="P62" s="971">
        <v>0</v>
      </c>
      <c r="Q62" s="971">
        <v>3624</v>
      </c>
      <c r="R62" s="970"/>
      <c r="S62" s="971">
        <v>18583</v>
      </c>
      <c r="T62" s="971">
        <v>1108</v>
      </c>
      <c r="U62" s="971">
        <v>19691</v>
      </c>
    </row>
    <row r="63" spans="1:21" x14ac:dyDescent="0.25">
      <c r="A63" s="967">
        <v>90731</v>
      </c>
      <c r="B63" s="968" t="s">
        <v>2707</v>
      </c>
      <c r="C63" s="969">
        <v>1.4919999999999999E-4</v>
      </c>
      <c r="D63" s="969">
        <v>1.741E-4</v>
      </c>
      <c r="E63" s="1008">
        <v>79076</v>
      </c>
      <c r="F63" s="1011">
        <v>265977</v>
      </c>
      <c r="G63" s="970">
        <v>353953</v>
      </c>
      <c r="H63" s="970"/>
      <c r="I63" s="970">
        <v>54607</v>
      </c>
      <c r="J63" s="971">
        <v>48587</v>
      </c>
      <c r="K63" s="971">
        <v>93926</v>
      </c>
      <c r="L63" s="971">
        <v>0</v>
      </c>
      <c r="M63" s="970"/>
      <c r="N63" s="971">
        <v>1832</v>
      </c>
      <c r="O63" s="971">
        <v>0</v>
      </c>
      <c r="P63" s="971">
        <v>0</v>
      </c>
      <c r="Q63" s="971">
        <v>24103</v>
      </c>
      <c r="R63" s="970"/>
      <c r="S63" s="971">
        <v>98319</v>
      </c>
      <c r="T63" s="971">
        <v>-10239</v>
      </c>
      <c r="U63" s="971">
        <v>88080</v>
      </c>
    </row>
    <row r="64" spans="1:21" x14ac:dyDescent="0.25">
      <c r="A64" s="967">
        <v>90741</v>
      </c>
      <c r="B64" s="968" t="s">
        <v>2708</v>
      </c>
      <c r="C64" s="969">
        <v>1.52E-5</v>
      </c>
      <c r="D64" s="969">
        <v>9.0999999999999993E-6</v>
      </c>
      <c r="E64" s="1008">
        <v>7000</v>
      </c>
      <c r="F64" s="1011">
        <v>13902</v>
      </c>
      <c r="G64" s="970">
        <v>36060</v>
      </c>
      <c r="H64" s="970"/>
      <c r="I64" s="970">
        <v>5563</v>
      </c>
      <c r="J64" s="971">
        <v>4950</v>
      </c>
      <c r="K64" s="971">
        <v>9569</v>
      </c>
      <c r="L64" s="971">
        <v>5141</v>
      </c>
      <c r="M64" s="970"/>
      <c r="N64" s="971">
        <v>187</v>
      </c>
      <c r="O64" s="971">
        <v>0</v>
      </c>
      <c r="P64" s="971">
        <v>0</v>
      </c>
      <c r="Q64" s="971">
        <v>155</v>
      </c>
      <c r="R64" s="970"/>
      <c r="S64" s="971">
        <v>10016</v>
      </c>
      <c r="T64" s="971">
        <v>1246</v>
      </c>
      <c r="U64" s="971">
        <v>11262</v>
      </c>
    </row>
    <row r="65" spans="1:21" x14ac:dyDescent="0.25">
      <c r="A65" s="967">
        <v>90751</v>
      </c>
      <c r="B65" s="968" t="s">
        <v>2709</v>
      </c>
      <c r="C65" s="969">
        <v>7.9499999999999994E-5</v>
      </c>
      <c r="D65" s="969">
        <v>6.8700000000000003E-5</v>
      </c>
      <c r="E65" s="1008">
        <v>32337</v>
      </c>
      <c r="F65" s="1011">
        <v>104955</v>
      </c>
      <c r="G65" s="970">
        <v>188601</v>
      </c>
      <c r="H65" s="970"/>
      <c r="I65" s="970">
        <v>29097</v>
      </c>
      <c r="J65" s="971">
        <v>25890</v>
      </c>
      <c r="K65" s="971">
        <v>50047</v>
      </c>
      <c r="L65" s="971">
        <v>3763</v>
      </c>
      <c r="M65" s="970"/>
      <c r="N65" s="971">
        <v>976</v>
      </c>
      <c r="O65" s="971">
        <v>0</v>
      </c>
      <c r="P65" s="971">
        <v>0</v>
      </c>
      <c r="Q65" s="971">
        <v>810</v>
      </c>
      <c r="R65" s="970"/>
      <c r="S65" s="971">
        <v>52388</v>
      </c>
      <c r="T65" s="971">
        <v>3994</v>
      </c>
      <c r="U65" s="971">
        <v>56382</v>
      </c>
    </row>
    <row r="66" spans="1:21" x14ac:dyDescent="0.25">
      <c r="A66" s="967">
        <v>90801</v>
      </c>
      <c r="B66" s="968" t="s">
        <v>2710</v>
      </c>
      <c r="C66" s="969">
        <v>1.338E-3</v>
      </c>
      <c r="D66" s="969">
        <v>1.3064000000000001E-3</v>
      </c>
      <c r="E66" s="1008">
        <v>563452</v>
      </c>
      <c r="F66" s="1011">
        <v>1995817</v>
      </c>
      <c r="G66" s="970">
        <v>3174194</v>
      </c>
      <c r="H66" s="970"/>
      <c r="I66" s="970">
        <v>489703</v>
      </c>
      <c r="J66" s="971">
        <v>435722</v>
      </c>
      <c r="K66" s="971">
        <v>842308</v>
      </c>
      <c r="L66" s="971">
        <v>86295</v>
      </c>
      <c r="M66" s="970"/>
      <c r="N66" s="971">
        <v>16432</v>
      </c>
      <c r="O66" s="971">
        <v>0</v>
      </c>
      <c r="P66" s="971">
        <v>0</v>
      </c>
      <c r="Q66" s="971">
        <v>50464</v>
      </c>
      <c r="R66" s="970"/>
      <c r="S66" s="971">
        <v>881706</v>
      </c>
      <c r="T66" s="971">
        <v>52732</v>
      </c>
      <c r="U66" s="971">
        <v>934438</v>
      </c>
    </row>
    <row r="67" spans="1:21" x14ac:dyDescent="0.25">
      <c r="A67" s="967">
        <v>90804</v>
      </c>
      <c r="B67" s="968" t="s">
        <v>2711</v>
      </c>
      <c r="C67" s="969">
        <v>6.0000000000000002E-6</v>
      </c>
      <c r="D67" s="969">
        <v>6.1999999999999999E-6</v>
      </c>
      <c r="E67" s="1008">
        <v>2846</v>
      </c>
      <c r="F67" s="1011">
        <v>9472</v>
      </c>
      <c r="G67" s="970">
        <v>14234</v>
      </c>
      <c r="H67" s="970"/>
      <c r="I67" s="970">
        <v>2196</v>
      </c>
      <c r="J67" s="971">
        <v>1954</v>
      </c>
      <c r="K67" s="971">
        <v>3777</v>
      </c>
      <c r="L67" s="971">
        <v>574</v>
      </c>
      <c r="M67" s="970"/>
      <c r="N67" s="971">
        <v>74</v>
      </c>
      <c r="O67" s="971">
        <v>0</v>
      </c>
      <c r="P67" s="971">
        <v>0</v>
      </c>
      <c r="Q67" s="971">
        <v>215</v>
      </c>
      <c r="R67" s="970"/>
      <c r="S67" s="971">
        <v>3954</v>
      </c>
      <c r="T67" s="971">
        <v>834</v>
      </c>
      <c r="U67" s="971">
        <v>4788</v>
      </c>
    </row>
    <row r="68" spans="1:21" x14ac:dyDescent="0.25">
      <c r="A68" s="967">
        <v>90805</v>
      </c>
      <c r="B68" s="968" t="s">
        <v>2712</v>
      </c>
      <c r="C68" s="969">
        <v>6.6600000000000006E-5</v>
      </c>
      <c r="D68" s="969">
        <v>5.1900000000000001E-5</v>
      </c>
      <c r="E68" s="1008">
        <v>40885</v>
      </c>
      <c r="F68" s="1011">
        <v>79289</v>
      </c>
      <c r="G68" s="970">
        <v>157998</v>
      </c>
      <c r="H68" s="970"/>
      <c r="I68" s="970">
        <v>24375</v>
      </c>
      <c r="J68" s="971">
        <v>21688</v>
      </c>
      <c r="K68" s="971">
        <v>41927</v>
      </c>
      <c r="L68" s="971">
        <v>29750</v>
      </c>
      <c r="M68" s="970"/>
      <c r="N68" s="971">
        <v>818</v>
      </c>
      <c r="O68" s="971">
        <v>0</v>
      </c>
      <c r="P68" s="971">
        <v>0</v>
      </c>
      <c r="Q68" s="971">
        <v>0</v>
      </c>
      <c r="R68" s="970"/>
      <c r="S68" s="971">
        <v>43888</v>
      </c>
      <c r="T68" s="971">
        <v>13705</v>
      </c>
      <c r="U68" s="971">
        <v>57593</v>
      </c>
    </row>
    <row r="69" spans="1:21" x14ac:dyDescent="0.25">
      <c r="A69" s="967">
        <v>90808</v>
      </c>
      <c r="B69" s="968" t="s">
        <v>2713</v>
      </c>
      <c r="C69" s="969">
        <v>1.0119999999999999E-4</v>
      </c>
      <c r="D69" s="969">
        <v>1.131E-4</v>
      </c>
      <c r="E69" s="1008">
        <v>59800</v>
      </c>
      <c r="F69" s="1011">
        <v>172785</v>
      </c>
      <c r="G69" s="970">
        <v>240081</v>
      </c>
      <c r="H69" s="970"/>
      <c r="I69" s="970">
        <v>37039</v>
      </c>
      <c r="J69" s="971">
        <v>32956</v>
      </c>
      <c r="K69" s="971">
        <v>63708</v>
      </c>
      <c r="L69" s="971">
        <v>3985</v>
      </c>
      <c r="M69" s="970"/>
      <c r="N69" s="971">
        <v>1243</v>
      </c>
      <c r="O69" s="971">
        <v>0</v>
      </c>
      <c r="P69" s="971">
        <v>0</v>
      </c>
      <c r="Q69" s="971">
        <v>1338</v>
      </c>
      <c r="R69" s="970"/>
      <c r="S69" s="971">
        <v>66688</v>
      </c>
      <c r="T69" s="971">
        <v>662</v>
      </c>
      <c r="U69" s="971">
        <v>67350</v>
      </c>
    </row>
    <row r="70" spans="1:21" x14ac:dyDescent="0.25">
      <c r="A70" s="967">
        <v>90811</v>
      </c>
      <c r="B70" s="968" t="s">
        <v>2714</v>
      </c>
      <c r="C70" s="969">
        <v>3.6199999999999999E-5</v>
      </c>
      <c r="D70" s="969">
        <v>3.3599999999999997E-5</v>
      </c>
      <c r="E70" s="1008">
        <v>11840</v>
      </c>
      <c r="F70" s="1011">
        <v>51331</v>
      </c>
      <c r="G70" s="970">
        <v>85879</v>
      </c>
      <c r="H70" s="970"/>
      <c r="I70" s="970">
        <v>13249</v>
      </c>
      <c r="J70" s="971">
        <v>11789</v>
      </c>
      <c r="K70" s="971">
        <v>22789</v>
      </c>
      <c r="L70" s="971">
        <v>0</v>
      </c>
      <c r="M70" s="970"/>
      <c r="N70" s="971">
        <v>445</v>
      </c>
      <c r="O70" s="971">
        <v>0</v>
      </c>
      <c r="P70" s="971">
        <v>0</v>
      </c>
      <c r="Q70" s="971">
        <v>9224</v>
      </c>
      <c r="R70" s="970"/>
      <c r="S70" s="971">
        <v>23855</v>
      </c>
      <c r="T70" s="971">
        <v>-2702</v>
      </c>
      <c r="U70" s="971">
        <v>21153</v>
      </c>
    </row>
    <row r="71" spans="1:21" x14ac:dyDescent="0.25">
      <c r="A71" s="967">
        <v>90812</v>
      </c>
      <c r="B71" s="968" t="s">
        <v>2715</v>
      </c>
      <c r="C71" s="969">
        <v>2.2489999999999999E-4</v>
      </c>
      <c r="D71" s="969">
        <v>2.2900000000000001E-4</v>
      </c>
      <c r="E71" s="1008">
        <v>108049</v>
      </c>
      <c r="F71" s="1011">
        <v>349849</v>
      </c>
      <c r="G71" s="970">
        <v>533540</v>
      </c>
      <c r="H71" s="970"/>
      <c r="I71" s="970">
        <v>82313</v>
      </c>
      <c r="J71" s="971">
        <v>73239</v>
      </c>
      <c r="K71" s="971">
        <v>141581</v>
      </c>
      <c r="L71" s="971">
        <v>8319</v>
      </c>
      <c r="M71" s="970"/>
      <c r="N71" s="971">
        <v>2762</v>
      </c>
      <c r="O71" s="971">
        <v>0</v>
      </c>
      <c r="P71" s="971">
        <v>0</v>
      </c>
      <c r="Q71" s="971">
        <v>11401</v>
      </c>
      <c r="R71" s="970"/>
      <c r="S71" s="971">
        <v>148203</v>
      </c>
      <c r="T71" s="971">
        <v>1945</v>
      </c>
      <c r="U71" s="971">
        <v>150148</v>
      </c>
    </row>
    <row r="72" spans="1:21" x14ac:dyDescent="0.25">
      <c r="A72" s="967">
        <v>90813</v>
      </c>
      <c r="B72" s="968" t="s">
        <v>2716</v>
      </c>
      <c r="C72" s="969">
        <v>5.0000000000000004E-6</v>
      </c>
      <c r="D72" s="969">
        <v>5.3000000000000001E-6</v>
      </c>
      <c r="E72" s="1008">
        <v>2203</v>
      </c>
      <c r="F72" s="1011">
        <v>8097</v>
      </c>
      <c r="G72" s="970">
        <v>11862</v>
      </c>
      <c r="H72" s="970"/>
      <c r="I72" s="970">
        <v>1830</v>
      </c>
      <c r="J72" s="971">
        <v>1628</v>
      </c>
      <c r="K72" s="971">
        <v>3148</v>
      </c>
      <c r="L72" s="971">
        <v>0</v>
      </c>
      <c r="M72" s="970"/>
      <c r="N72" s="971">
        <v>61</v>
      </c>
      <c r="O72" s="971">
        <v>0</v>
      </c>
      <c r="P72" s="971">
        <v>0</v>
      </c>
      <c r="Q72" s="971">
        <v>1028</v>
      </c>
      <c r="R72" s="970"/>
      <c r="S72" s="971">
        <v>3295</v>
      </c>
      <c r="T72" s="971">
        <v>-607</v>
      </c>
      <c r="U72" s="971">
        <v>2688</v>
      </c>
    </row>
    <row r="73" spans="1:21" x14ac:dyDescent="0.25">
      <c r="A73" s="967">
        <v>90861</v>
      </c>
      <c r="B73" s="968" t="s">
        <v>2717</v>
      </c>
      <c r="C73" s="969">
        <v>7.7999999999999999E-6</v>
      </c>
      <c r="D73" s="969">
        <v>4.1999999999999996E-6</v>
      </c>
      <c r="E73" s="1008">
        <v>6398</v>
      </c>
      <c r="F73" s="1011">
        <v>6416</v>
      </c>
      <c r="G73" s="970">
        <v>18504</v>
      </c>
      <c r="H73" s="970"/>
      <c r="I73" s="970">
        <v>2855</v>
      </c>
      <c r="J73" s="971">
        <v>2540</v>
      </c>
      <c r="K73" s="971">
        <v>4910</v>
      </c>
      <c r="L73" s="971">
        <v>6531</v>
      </c>
      <c r="M73" s="970"/>
      <c r="N73" s="971">
        <v>96</v>
      </c>
      <c r="O73" s="971">
        <v>0</v>
      </c>
      <c r="P73" s="971">
        <v>0</v>
      </c>
      <c r="Q73" s="971">
        <v>0</v>
      </c>
      <c r="R73" s="970"/>
      <c r="S73" s="971">
        <v>5140</v>
      </c>
      <c r="T73" s="971">
        <v>1362</v>
      </c>
      <c r="U73" s="971">
        <v>6502</v>
      </c>
    </row>
    <row r="74" spans="1:21" x14ac:dyDescent="0.25">
      <c r="A74" s="967">
        <v>90901</v>
      </c>
      <c r="B74" s="968" t="s">
        <v>2718</v>
      </c>
      <c r="C74" s="969">
        <v>2.1440000000000001E-3</v>
      </c>
      <c r="D74" s="969">
        <v>2.1814999999999998E-3</v>
      </c>
      <c r="E74" s="1008">
        <v>1076136</v>
      </c>
      <c r="F74" s="1011">
        <v>3332728</v>
      </c>
      <c r="G74" s="970">
        <v>5086301</v>
      </c>
      <c r="H74" s="970"/>
      <c r="I74" s="970">
        <v>784695</v>
      </c>
      <c r="J74" s="971">
        <v>698198</v>
      </c>
      <c r="K74" s="971">
        <v>1349708</v>
      </c>
      <c r="L74" s="971">
        <v>13390</v>
      </c>
      <c r="M74" s="970"/>
      <c r="N74" s="971">
        <v>26330</v>
      </c>
      <c r="O74" s="971">
        <v>0</v>
      </c>
      <c r="P74" s="971">
        <v>0</v>
      </c>
      <c r="Q74" s="971">
        <v>28266</v>
      </c>
      <c r="R74" s="970"/>
      <c r="S74" s="971">
        <v>1412838</v>
      </c>
      <c r="T74" s="971">
        <v>-7333</v>
      </c>
      <c r="U74" s="971">
        <v>1405505</v>
      </c>
    </row>
    <row r="75" spans="1:21" x14ac:dyDescent="0.25">
      <c r="A75" s="967">
        <v>90911</v>
      </c>
      <c r="B75" s="968" t="s">
        <v>2719</v>
      </c>
      <c r="C75" s="969">
        <v>4.037E-4</v>
      </c>
      <c r="D75" s="969">
        <v>3.9780000000000002E-4</v>
      </c>
      <c r="E75" s="1008">
        <v>172044</v>
      </c>
      <c r="F75" s="1011">
        <v>607728</v>
      </c>
      <c r="G75" s="970">
        <v>957714</v>
      </c>
      <c r="H75" s="970"/>
      <c r="I75" s="970">
        <v>147753</v>
      </c>
      <c r="J75" s="971">
        <v>131466</v>
      </c>
      <c r="K75" s="971">
        <v>254140</v>
      </c>
      <c r="L75" s="971">
        <v>5104</v>
      </c>
      <c r="M75" s="970"/>
      <c r="N75" s="971">
        <v>4958</v>
      </c>
      <c r="O75" s="971">
        <v>0</v>
      </c>
      <c r="P75" s="971">
        <v>0</v>
      </c>
      <c r="Q75" s="971">
        <v>27769</v>
      </c>
      <c r="R75" s="970"/>
      <c r="S75" s="971">
        <v>266027</v>
      </c>
      <c r="T75" s="971">
        <v>-22253</v>
      </c>
      <c r="U75" s="971">
        <v>243774</v>
      </c>
    </row>
    <row r="76" spans="1:21" x14ac:dyDescent="0.25">
      <c r="A76" s="967">
        <v>90917</v>
      </c>
      <c r="B76" s="968" t="s">
        <v>2720</v>
      </c>
      <c r="C76" s="969">
        <v>1.1800000000000001E-5</v>
      </c>
      <c r="D76" s="969">
        <v>1.4399999999999999E-5</v>
      </c>
      <c r="E76" s="1008">
        <v>6378</v>
      </c>
      <c r="F76" s="1011">
        <v>21999</v>
      </c>
      <c r="G76" s="970">
        <v>27994</v>
      </c>
      <c r="H76" s="970"/>
      <c r="I76" s="970">
        <v>4319</v>
      </c>
      <c r="J76" s="971">
        <v>3843</v>
      </c>
      <c r="K76" s="971">
        <v>7428</v>
      </c>
      <c r="L76" s="971">
        <v>910</v>
      </c>
      <c r="M76" s="970"/>
      <c r="N76" s="971">
        <v>145</v>
      </c>
      <c r="O76" s="971">
        <v>0</v>
      </c>
      <c r="P76" s="971">
        <v>0</v>
      </c>
      <c r="Q76" s="971">
        <v>1772</v>
      </c>
      <c r="R76" s="970"/>
      <c r="S76" s="971">
        <v>7776</v>
      </c>
      <c r="T76" s="971">
        <v>-363</v>
      </c>
      <c r="U76" s="971">
        <v>7413</v>
      </c>
    </row>
    <row r="77" spans="1:21" x14ac:dyDescent="0.25">
      <c r="A77" s="967">
        <v>90918</v>
      </c>
      <c r="B77" s="968" t="s">
        <v>2721</v>
      </c>
      <c r="C77" s="969">
        <v>1.13E-5</v>
      </c>
      <c r="D77" s="969">
        <v>1.19E-5</v>
      </c>
      <c r="E77" s="1008">
        <v>5036</v>
      </c>
      <c r="F77" s="1011">
        <v>18180</v>
      </c>
      <c r="G77" s="970">
        <v>26807</v>
      </c>
      <c r="H77" s="970"/>
      <c r="I77" s="970">
        <v>4136</v>
      </c>
      <c r="J77" s="971">
        <v>3680</v>
      </c>
      <c r="K77" s="971">
        <v>7114</v>
      </c>
      <c r="L77" s="971">
        <v>0</v>
      </c>
      <c r="M77" s="970"/>
      <c r="N77" s="971">
        <v>139</v>
      </c>
      <c r="O77" s="971">
        <v>0</v>
      </c>
      <c r="P77" s="971">
        <v>0</v>
      </c>
      <c r="Q77" s="971">
        <v>2292</v>
      </c>
      <c r="R77" s="970"/>
      <c r="S77" s="971">
        <v>7446</v>
      </c>
      <c r="T77" s="971">
        <v>-1290</v>
      </c>
      <c r="U77" s="971">
        <v>6156</v>
      </c>
    </row>
    <row r="78" spans="1:21" x14ac:dyDescent="0.25">
      <c r="A78" s="967">
        <v>90921</v>
      </c>
      <c r="B78" s="968" t="s">
        <v>2722</v>
      </c>
      <c r="C78" s="969">
        <v>1.2789999999999999E-4</v>
      </c>
      <c r="D78" s="969">
        <v>1.2970000000000001E-4</v>
      </c>
      <c r="E78" s="1008">
        <v>62915</v>
      </c>
      <c r="F78" s="1011">
        <v>198146</v>
      </c>
      <c r="G78" s="970">
        <v>303423</v>
      </c>
      <c r="H78" s="970"/>
      <c r="I78" s="970">
        <v>46811</v>
      </c>
      <c r="J78" s="971">
        <v>41651</v>
      </c>
      <c r="K78" s="971">
        <v>80517</v>
      </c>
      <c r="L78" s="971">
        <v>22540</v>
      </c>
      <c r="M78" s="970"/>
      <c r="N78" s="971">
        <v>1571</v>
      </c>
      <c r="O78" s="971">
        <v>0</v>
      </c>
      <c r="P78" s="971">
        <v>0</v>
      </c>
      <c r="Q78" s="971">
        <v>4483</v>
      </c>
      <c r="R78" s="970"/>
      <c r="S78" s="971">
        <v>84283</v>
      </c>
      <c r="T78" s="971">
        <v>4862</v>
      </c>
      <c r="U78" s="971">
        <v>89145</v>
      </c>
    </row>
    <row r="79" spans="1:21" x14ac:dyDescent="0.25">
      <c r="A79" s="967">
        <v>90931</v>
      </c>
      <c r="B79" s="968" t="s">
        <v>2723</v>
      </c>
      <c r="C79" s="969">
        <v>3.8099999999999998E-5</v>
      </c>
      <c r="D79" s="969">
        <v>4.07E-5</v>
      </c>
      <c r="E79" s="1008">
        <v>16353</v>
      </c>
      <c r="F79" s="1011">
        <v>62178</v>
      </c>
      <c r="G79" s="970">
        <v>90386</v>
      </c>
      <c r="H79" s="970"/>
      <c r="I79" s="970">
        <v>13944</v>
      </c>
      <c r="J79" s="971">
        <v>12407</v>
      </c>
      <c r="K79" s="971">
        <v>23985</v>
      </c>
      <c r="L79" s="971">
        <v>1061</v>
      </c>
      <c r="M79" s="970"/>
      <c r="N79" s="971">
        <v>468</v>
      </c>
      <c r="O79" s="971">
        <v>0</v>
      </c>
      <c r="P79" s="971">
        <v>0</v>
      </c>
      <c r="Q79" s="971">
        <v>13836</v>
      </c>
      <c r="R79" s="970"/>
      <c r="S79" s="971">
        <v>25107</v>
      </c>
      <c r="T79" s="971">
        <v>-2235</v>
      </c>
      <c r="U79" s="971">
        <v>22872</v>
      </c>
    </row>
    <row r="80" spans="1:21" x14ac:dyDescent="0.25">
      <c r="A80" s="967">
        <v>90941</v>
      </c>
      <c r="B80" s="968" t="s">
        <v>2724</v>
      </c>
      <c r="C80" s="969">
        <v>8.2000000000000001E-5</v>
      </c>
      <c r="D80" s="969">
        <v>7.0300000000000001E-5</v>
      </c>
      <c r="E80" s="1008">
        <v>39056</v>
      </c>
      <c r="F80" s="1011">
        <v>107399</v>
      </c>
      <c r="G80" s="970">
        <v>194532</v>
      </c>
      <c r="H80" s="970"/>
      <c r="I80" s="970">
        <v>30012</v>
      </c>
      <c r="J80" s="971">
        <v>26704</v>
      </c>
      <c r="K80" s="971">
        <v>51621</v>
      </c>
      <c r="L80" s="971">
        <v>8606</v>
      </c>
      <c r="M80" s="970"/>
      <c r="N80" s="971">
        <v>1007</v>
      </c>
      <c r="O80" s="971">
        <v>0</v>
      </c>
      <c r="P80" s="971">
        <v>0</v>
      </c>
      <c r="Q80" s="971">
        <v>10455</v>
      </c>
      <c r="R80" s="970"/>
      <c r="S80" s="971">
        <v>54036</v>
      </c>
      <c r="T80" s="971">
        <v>-3109</v>
      </c>
      <c r="U80" s="971">
        <v>50927</v>
      </c>
    </row>
    <row r="81" spans="1:21" x14ac:dyDescent="0.25">
      <c r="A81" s="967">
        <v>91001</v>
      </c>
      <c r="B81" s="968" t="s">
        <v>2725</v>
      </c>
      <c r="C81" s="969">
        <v>6.6366999999999997E-3</v>
      </c>
      <c r="D81" s="969">
        <v>6.6703999999999999E-3</v>
      </c>
      <c r="E81" s="1008">
        <v>3090374</v>
      </c>
      <c r="F81" s="1011">
        <v>10190523</v>
      </c>
      <c r="G81" s="970">
        <v>15744522</v>
      </c>
      <c r="H81" s="970"/>
      <c r="I81" s="970">
        <v>2429006</v>
      </c>
      <c r="J81" s="971">
        <v>2161254</v>
      </c>
      <c r="K81" s="971">
        <v>4177988</v>
      </c>
      <c r="L81" s="971">
        <v>0</v>
      </c>
      <c r="M81" s="970"/>
      <c r="N81" s="971">
        <v>81505</v>
      </c>
      <c r="O81" s="971">
        <v>0</v>
      </c>
      <c r="P81" s="971">
        <v>0</v>
      </c>
      <c r="Q81" s="971">
        <v>332799</v>
      </c>
      <c r="R81" s="970"/>
      <c r="S81" s="971">
        <v>4373406</v>
      </c>
      <c r="T81" s="971">
        <v>-87933</v>
      </c>
      <c r="U81" s="971">
        <v>4285473</v>
      </c>
    </row>
    <row r="82" spans="1:21" x14ac:dyDescent="0.25">
      <c r="A82" s="967">
        <v>91002</v>
      </c>
      <c r="B82" s="968" t="s">
        <v>2726</v>
      </c>
      <c r="C82" s="969">
        <v>9.4410000000000002E-4</v>
      </c>
      <c r="D82" s="969">
        <v>6.8860000000000004E-4</v>
      </c>
      <c r="E82" s="1008">
        <v>407170</v>
      </c>
      <c r="F82" s="1011">
        <v>1051990</v>
      </c>
      <c r="G82" s="970">
        <v>2239728</v>
      </c>
      <c r="H82" s="970"/>
      <c r="I82" s="970">
        <v>345537</v>
      </c>
      <c r="J82" s="971">
        <v>307448</v>
      </c>
      <c r="K82" s="971">
        <v>594337</v>
      </c>
      <c r="L82" s="971">
        <v>166396</v>
      </c>
      <c r="M82" s="970"/>
      <c r="N82" s="971">
        <v>11594</v>
      </c>
      <c r="O82" s="971">
        <v>0</v>
      </c>
      <c r="P82" s="971">
        <v>0</v>
      </c>
      <c r="Q82" s="971">
        <v>27902</v>
      </c>
      <c r="R82" s="970"/>
      <c r="S82" s="971">
        <v>622136</v>
      </c>
      <c r="T82" s="971">
        <v>25830</v>
      </c>
      <c r="U82" s="971">
        <v>647966</v>
      </c>
    </row>
    <row r="83" spans="1:21" x14ac:dyDescent="0.25">
      <c r="A83" s="967">
        <v>91003</v>
      </c>
      <c r="B83" s="968" t="s">
        <v>2727</v>
      </c>
      <c r="C83" s="969">
        <v>5.354E-4</v>
      </c>
      <c r="D83" s="969">
        <v>5.7260000000000004E-4</v>
      </c>
      <c r="E83" s="1008">
        <v>270617</v>
      </c>
      <c r="F83" s="1011">
        <v>874774</v>
      </c>
      <c r="G83" s="970">
        <v>1270152</v>
      </c>
      <c r="H83" s="970"/>
      <c r="I83" s="970">
        <v>195954</v>
      </c>
      <c r="J83" s="971">
        <v>174354</v>
      </c>
      <c r="K83" s="971">
        <v>337049</v>
      </c>
      <c r="L83" s="971">
        <v>10600</v>
      </c>
      <c r="M83" s="970"/>
      <c r="N83" s="971">
        <v>6575</v>
      </c>
      <c r="O83" s="971">
        <v>0</v>
      </c>
      <c r="P83" s="971">
        <v>0</v>
      </c>
      <c r="Q83" s="971">
        <v>38265</v>
      </c>
      <c r="R83" s="970"/>
      <c r="S83" s="971">
        <v>352814</v>
      </c>
      <c r="T83" s="971">
        <v>2232</v>
      </c>
      <c r="U83" s="971">
        <v>355046</v>
      </c>
    </row>
    <row r="84" spans="1:21" x14ac:dyDescent="0.25">
      <c r="A84" s="967">
        <v>91004</v>
      </c>
      <c r="B84" s="968" t="s">
        <v>2728</v>
      </c>
      <c r="C84" s="969">
        <v>3.6600000000000002E-5</v>
      </c>
      <c r="D84" s="969">
        <v>2.58E-5</v>
      </c>
      <c r="E84" s="1008">
        <v>17387</v>
      </c>
      <c r="F84" s="1011">
        <v>39415</v>
      </c>
      <c r="G84" s="970">
        <v>86828</v>
      </c>
      <c r="H84" s="970"/>
      <c r="I84" s="970">
        <v>13395</v>
      </c>
      <c r="J84" s="971">
        <v>11919</v>
      </c>
      <c r="K84" s="971">
        <v>23041</v>
      </c>
      <c r="L84" s="971">
        <v>15071</v>
      </c>
      <c r="M84" s="970"/>
      <c r="N84" s="971">
        <v>449</v>
      </c>
      <c r="O84" s="971">
        <v>0</v>
      </c>
      <c r="P84" s="971">
        <v>0</v>
      </c>
      <c r="Q84" s="971">
        <v>0</v>
      </c>
      <c r="R84" s="970"/>
      <c r="S84" s="971">
        <v>24118</v>
      </c>
      <c r="T84" s="971">
        <v>6104</v>
      </c>
      <c r="U84" s="971">
        <v>30222</v>
      </c>
    </row>
    <row r="85" spans="1:21" x14ac:dyDescent="0.25">
      <c r="A85" s="967">
        <v>91006</v>
      </c>
      <c r="B85" s="968" t="s">
        <v>2729</v>
      </c>
      <c r="C85" s="969">
        <v>1.0660999999999999E-3</v>
      </c>
      <c r="D85" s="969">
        <v>1.0317E-3</v>
      </c>
      <c r="E85" s="1008">
        <v>473853</v>
      </c>
      <c r="F85" s="1011">
        <v>1576152</v>
      </c>
      <c r="G85" s="970">
        <v>2529154</v>
      </c>
      <c r="H85" s="970"/>
      <c r="I85" s="970">
        <v>390188</v>
      </c>
      <c r="J85" s="971">
        <v>347177</v>
      </c>
      <c r="K85" s="971">
        <v>671140</v>
      </c>
      <c r="L85" s="971">
        <v>7631</v>
      </c>
      <c r="M85" s="970"/>
      <c r="N85" s="971">
        <v>13093</v>
      </c>
      <c r="O85" s="971">
        <v>0</v>
      </c>
      <c r="P85" s="971">
        <v>0</v>
      </c>
      <c r="Q85" s="971">
        <v>29301</v>
      </c>
      <c r="R85" s="970"/>
      <c r="S85" s="971">
        <v>702531</v>
      </c>
      <c r="T85" s="971">
        <v>-205</v>
      </c>
      <c r="U85" s="971">
        <v>702326</v>
      </c>
    </row>
    <row r="86" spans="1:21" x14ac:dyDescent="0.25">
      <c r="A86" s="967">
        <v>91007</v>
      </c>
      <c r="B86" s="968" t="s">
        <v>2730</v>
      </c>
      <c r="C86" s="969">
        <v>8.4999999999999999E-6</v>
      </c>
      <c r="D86" s="969">
        <v>9.5000000000000005E-6</v>
      </c>
      <c r="E86" s="1008">
        <v>5145</v>
      </c>
      <c r="F86" s="1011">
        <v>14513</v>
      </c>
      <c r="G86" s="970">
        <v>20165</v>
      </c>
      <c r="H86" s="970"/>
      <c r="I86" s="970">
        <v>3111</v>
      </c>
      <c r="J86" s="971">
        <v>2768</v>
      </c>
      <c r="K86" s="971">
        <v>5351</v>
      </c>
      <c r="L86" s="971">
        <v>4888</v>
      </c>
      <c r="M86" s="970"/>
      <c r="N86" s="971">
        <v>104</v>
      </c>
      <c r="O86" s="971">
        <v>0</v>
      </c>
      <c r="P86" s="971">
        <v>0</v>
      </c>
      <c r="Q86" s="971">
        <v>0</v>
      </c>
      <c r="R86" s="970"/>
      <c r="S86" s="971">
        <v>5601</v>
      </c>
      <c r="T86" s="971">
        <v>2173</v>
      </c>
      <c r="U86" s="971">
        <v>7774</v>
      </c>
    </row>
    <row r="87" spans="1:21" x14ac:dyDescent="0.25">
      <c r="A87" s="967">
        <v>91008</v>
      </c>
      <c r="B87" s="968" t="s">
        <v>2731</v>
      </c>
      <c r="C87" s="969">
        <v>1.3909999999999999E-4</v>
      </c>
      <c r="D87" s="969">
        <v>1.236E-4</v>
      </c>
      <c r="E87" s="1008">
        <v>75095</v>
      </c>
      <c r="F87" s="1011">
        <v>188827</v>
      </c>
      <c r="G87" s="970">
        <v>329993</v>
      </c>
      <c r="H87" s="970"/>
      <c r="I87" s="970">
        <v>50910</v>
      </c>
      <c r="J87" s="971">
        <v>45298</v>
      </c>
      <c r="K87" s="971">
        <v>87567</v>
      </c>
      <c r="L87" s="971">
        <v>36233</v>
      </c>
      <c r="M87" s="970"/>
      <c r="N87" s="971">
        <v>1708</v>
      </c>
      <c r="O87" s="971">
        <v>0</v>
      </c>
      <c r="P87" s="971">
        <v>0</v>
      </c>
      <c r="Q87" s="971">
        <v>0</v>
      </c>
      <c r="R87" s="970"/>
      <c r="S87" s="971">
        <v>91663</v>
      </c>
      <c r="T87" s="971">
        <v>21688</v>
      </c>
      <c r="U87" s="971">
        <v>113351</v>
      </c>
    </row>
    <row r="88" spans="1:21" x14ac:dyDescent="0.25">
      <c r="A88" s="967">
        <v>91009</v>
      </c>
      <c r="B88" s="968" t="s">
        <v>2732</v>
      </c>
      <c r="C88" s="969">
        <v>1.59E-5</v>
      </c>
      <c r="D88" s="969">
        <v>1.7499999999999998E-5</v>
      </c>
      <c r="E88" s="1008">
        <v>11581</v>
      </c>
      <c r="F88" s="1011">
        <v>26735</v>
      </c>
      <c r="G88" s="970">
        <v>37720</v>
      </c>
      <c r="H88" s="970"/>
      <c r="I88" s="970">
        <v>5819</v>
      </c>
      <c r="J88" s="971">
        <v>5178</v>
      </c>
      <c r="K88" s="971">
        <v>10009</v>
      </c>
      <c r="L88" s="971">
        <v>5304</v>
      </c>
      <c r="M88" s="970"/>
      <c r="N88" s="971">
        <v>195</v>
      </c>
      <c r="O88" s="971">
        <v>0</v>
      </c>
      <c r="P88" s="971">
        <v>0</v>
      </c>
      <c r="Q88" s="971">
        <v>1101</v>
      </c>
      <c r="R88" s="970"/>
      <c r="S88" s="971">
        <v>10478</v>
      </c>
      <c r="T88" s="971">
        <v>660</v>
      </c>
      <c r="U88" s="971">
        <v>11138</v>
      </c>
    </row>
    <row r="89" spans="1:21" x14ac:dyDescent="0.25">
      <c r="A89" s="967">
        <v>91010</v>
      </c>
      <c r="B89" s="968" t="s">
        <v>2733</v>
      </c>
      <c r="C89" s="969">
        <v>5.8699999999999997E-5</v>
      </c>
      <c r="D89" s="969">
        <v>7.0099999999999996E-5</v>
      </c>
      <c r="E89" s="1008">
        <v>30525</v>
      </c>
      <c r="F89" s="1011">
        <v>107093</v>
      </c>
      <c r="G89" s="970">
        <v>139256</v>
      </c>
      <c r="H89" s="970"/>
      <c r="I89" s="970">
        <v>21484</v>
      </c>
      <c r="J89" s="971">
        <v>19115</v>
      </c>
      <c r="K89" s="971">
        <v>36953</v>
      </c>
      <c r="L89" s="971">
        <v>2787</v>
      </c>
      <c r="M89" s="970"/>
      <c r="N89" s="971">
        <v>721</v>
      </c>
      <c r="O89" s="971">
        <v>0</v>
      </c>
      <c r="P89" s="971">
        <v>0</v>
      </c>
      <c r="Q89" s="971">
        <v>6905</v>
      </c>
      <c r="R89" s="970"/>
      <c r="S89" s="971">
        <v>38682</v>
      </c>
      <c r="T89" s="971">
        <v>3034</v>
      </c>
      <c r="U89" s="971">
        <v>41716</v>
      </c>
    </row>
    <row r="90" spans="1:21" x14ac:dyDescent="0.25">
      <c r="A90" s="967">
        <v>91011</v>
      </c>
      <c r="B90" s="968" t="s">
        <v>2734</v>
      </c>
      <c r="C90" s="969">
        <v>3.6509999999999998E-4</v>
      </c>
      <c r="D90" s="969">
        <v>3.5760000000000002E-4</v>
      </c>
      <c r="E90" s="1008">
        <v>170094</v>
      </c>
      <c r="F90" s="1011">
        <v>546314</v>
      </c>
      <c r="G90" s="970">
        <v>866142</v>
      </c>
      <c r="H90" s="970"/>
      <c r="I90" s="970">
        <v>133625</v>
      </c>
      <c r="J90" s="971">
        <v>118896</v>
      </c>
      <c r="K90" s="971">
        <v>229841</v>
      </c>
      <c r="L90" s="971">
        <v>27536</v>
      </c>
      <c r="M90" s="970"/>
      <c r="N90" s="971">
        <v>4484</v>
      </c>
      <c r="O90" s="971">
        <v>0</v>
      </c>
      <c r="P90" s="971">
        <v>0</v>
      </c>
      <c r="Q90" s="971">
        <v>1497</v>
      </c>
      <c r="R90" s="970"/>
      <c r="S90" s="971">
        <v>240591</v>
      </c>
      <c r="T90" s="971">
        <v>15734</v>
      </c>
      <c r="U90" s="971">
        <v>256325</v>
      </c>
    </row>
    <row r="91" spans="1:21" x14ac:dyDescent="0.25">
      <c r="A91" s="967">
        <v>91012</v>
      </c>
      <c r="B91" s="968" t="s">
        <v>2735</v>
      </c>
      <c r="C91" s="969">
        <v>1.42E-5</v>
      </c>
      <c r="D91" s="969">
        <v>1.9300000000000002E-5</v>
      </c>
      <c r="E91" s="1008">
        <v>7629</v>
      </c>
      <c r="F91" s="1011">
        <v>29485</v>
      </c>
      <c r="G91" s="970">
        <v>33687</v>
      </c>
      <c r="H91" s="970"/>
      <c r="I91" s="970">
        <v>5197</v>
      </c>
      <c r="J91" s="971">
        <v>4624</v>
      </c>
      <c r="K91" s="971">
        <v>8939</v>
      </c>
      <c r="L91" s="971">
        <v>3786</v>
      </c>
      <c r="M91" s="970"/>
      <c r="N91" s="971">
        <v>174</v>
      </c>
      <c r="O91" s="971">
        <v>0</v>
      </c>
      <c r="P91" s="971">
        <v>0</v>
      </c>
      <c r="Q91" s="971">
        <v>3306</v>
      </c>
      <c r="R91" s="970"/>
      <c r="S91" s="971">
        <v>9357</v>
      </c>
      <c r="T91" s="971">
        <v>-1418</v>
      </c>
      <c r="U91" s="971">
        <v>7939</v>
      </c>
    </row>
    <row r="92" spans="1:21" x14ac:dyDescent="0.25">
      <c r="A92" s="967">
        <v>91013</v>
      </c>
      <c r="B92" s="968" t="s">
        <v>2736</v>
      </c>
      <c r="C92" s="969">
        <v>1.9899999999999999E-5</v>
      </c>
      <c r="D92" s="969">
        <v>2.34E-5</v>
      </c>
      <c r="E92" s="1008">
        <v>33973</v>
      </c>
      <c r="F92" s="1011">
        <v>35749</v>
      </c>
      <c r="G92" s="970">
        <v>47210</v>
      </c>
      <c r="H92" s="970"/>
      <c r="I92" s="970">
        <v>7283</v>
      </c>
      <c r="J92" s="971">
        <v>6481</v>
      </c>
      <c r="K92" s="971">
        <v>12528</v>
      </c>
      <c r="L92" s="971">
        <v>39132</v>
      </c>
      <c r="M92" s="970"/>
      <c r="N92" s="971">
        <v>244</v>
      </c>
      <c r="O92" s="971">
        <v>0</v>
      </c>
      <c r="P92" s="971">
        <v>0</v>
      </c>
      <c r="Q92" s="971">
        <v>0</v>
      </c>
      <c r="R92" s="970"/>
      <c r="S92" s="971">
        <v>13114</v>
      </c>
      <c r="T92" s="971">
        <v>13739</v>
      </c>
      <c r="U92" s="971">
        <v>26853</v>
      </c>
    </row>
    <row r="93" spans="1:21" x14ac:dyDescent="0.25">
      <c r="A93" s="967">
        <v>91014</v>
      </c>
      <c r="B93" s="968" t="s">
        <v>2737</v>
      </c>
      <c r="C93" s="969">
        <v>2.02E-4</v>
      </c>
      <c r="D93" s="969">
        <v>2.22E-4</v>
      </c>
      <c r="E93" s="1008">
        <v>98530</v>
      </c>
      <c r="F93" s="1011">
        <v>339155</v>
      </c>
      <c r="G93" s="970">
        <v>479213</v>
      </c>
      <c r="H93" s="970"/>
      <c r="I93" s="970">
        <v>73931</v>
      </c>
      <c r="J93" s="971">
        <v>65782</v>
      </c>
      <c r="K93" s="971">
        <v>127165</v>
      </c>
      <c r="L93" s="971">
        <v>986</v>
      </c>
      <c r="M93" s="970"/>
      <c r="N93" s="971">
        <v>2481</v>
      </c>
      <c r="O93" s="971">
        <v>0</v>
      </c>
      <c r="P93" s="971">
        <v>0</v>
      </c>
      <c r="Q93" s="971">
        <v>19420</v>
      </c>
      <c r="R93" s="970"/>
      <c r="S93" s="971">
        <v>133113</v>
      </c>
      <c r="T93" s="971">
        <v>-9738</v>
      </c>
      <c r="U93" s="971">
        <v>123375</v>
      </c>
    </row>
    <row r="94" spans="1:21" x14ac:dyDescent="0.25">
      <c r="A94" s="967">
        <v>91017</v>
      </c>
      <c r="B94" s="968" t="s">
        <v>2738</v>
      </c>
      <c r="C94" s="969">
        <v>2.3499999999999999E-5</v>
      </c>
      <c r="D94" s="969">
        <v>2.4300000000000001E-5</v>
      </c>
      <c r="E94" s="1008">
        <v>13123</v>
      </c>
      <c r="F94" s="1011">
        <v>37124</v>
      </c>
      <c r="G94" s="970">
        <v>55750</v>
      </c>
      <c r="H94" s="970"/>
      <c r="I94" s="970">
        <v>8601</v>
      </c>
      <c r="J94" s="971">
        <v>7653</v>
      </c>
      <c r="K94" s="971">
        <v>14794</v>
      </c>
      <c r="L94" s="971">
        <v>6947</v>
      </c>
      <c r="M94" s="970"/>
      <c r="N94" s="971">
        <v>289</v>
      </c>
      <c r="O94" s="971">
        <v>0</v>
      </c>
      <c r="P94" s="971">
        <v>0</v>
      </c>
      <c r="Q94" s="971">
        <v>0</v>
      </c>
      <c r="R94" s="970"/>
      <c r="S94" s="971">
        <v>15486</v>
      </c>
      <c r="T94" s="971">
        <v>4203</v>
      </c>
      <c r="U94" s="971">
        <v>19689</v>
      </c>
    </row>
    <row r="95" spans="1:21" x14ac:dyDescent="0.25">
      <c r="A95" s="967">
        <v>91020</v>
      </c>
      <c r="B95" s="968" t="s">
        <v>2739</v>
      </c>
      <c r="C95" s="969">
        <v>2.9200000000000002E-5</v>
      </c>
      <c r="D95" s="969">
        <v>2.27E-5</v>
      </c>
      <c r="E95" s="1008">
        <v>13715</v>
      </c>
      <c r="F95" s="1011">
        <v>34679</v>
      </c>
      <c r="G95" s="970">
        <v>69272</v>
      </c>
      <c r="H95" s="970"/>
      <c r="I95" s="970">
        <v>10687</v>
      </c>
      <c r="J95" s="971">
        <v>9509</v>
      </c>
      <c r="K95" s="971">
        <v>18382</v>
      </c>
      <c r="L95" s="971">
        <v>6791</v>
      </c>
      <c r="M95" s="970"/>
      <c r="N95" s="971">
        <v>359</v>
      </c>
      <c r="O95" s="971">
        <v>0</v>
      </c>
      <c r="P95" s="971">
        <v>0</v>
      </c>
      <c r="Q95" s="971">
        <v>170</v>
      </c>
      <c r="R95" s="970"/>
      <c r="S95" s="971">
        <v>19242</v>
      </c>
      <c r="T95" s="971">
        <v>2303</v>
      </c>
      <c r="U95" s="971">
        <v>21545</v>
      </c>
    </row>
    <row r="96" spans="1:21" x14ac:dyDescent="0.25">
      <c r="A96" s="967">
        <v>91021</v>
      </c>
      <c r="B96" s="968" t="s">
        <v>2740</v>
      </c>
      <c r="C96" s="969">
        <v>8.8009999999999998E-4</v>
      </c>
      <c r="D96" s="969">
        <v>8.6450000000000003E-4</v>
      </c>
      <c r="E96" s="1008">
        <v>437294</v>
      </c>
      <c r="F96" s="1011">
        <v>1320717</v>
      </c>
      <c r="G96" s="970">
        <v>2087898</v>
      </c>
      <c r="H96" s="970"/>
      <c r="I96" s="970">
        <v>322113</v>
      </c>
      <c r="J96" s="971">
        <v>286606</v>
      </c>
      <c r="K96" s="971">
        <v>554048</v>
      </c>
      <c r="L96" s="971">
        <v>16435</v>
      </c>
      <c r="M96" s="970"/>
      <c r="N96" s="971">
        <v>10809</v>
      </c>
      <c r="O96" s="971">
        <v>0</v>
      </c>
      <c r="P96" s="971">
        <v>0</v>
      </c>
      <c r="Q96" s="971">
        <v>34261</v>
      </c>
      <c r="R96" s="970"/>
      <c r="S96" s="971">
        <v>579962</v>
      </c>
      <c r="T96" s="971">
        <v>-44308</v>
      </c>
      <c r="U96" s="971">
        <v>535654</v>
      </c>
    </row>
    <row r="97" spans="1:21" x14ac:dyDescent="0.25">
      <c r="A97" s="967">
        <v>91024</v>
      </c>
      <c r="B97" s="968" t="s">
        <v>2741</v>
      </c>
      <c r="C97" s="969">
        <v>9.3800000000000003E-5</v>
      </c>
      <c r="D97" s="969">
        <v>7.2999999999999999E-5</v>
      </c>
      <c r="E97" s="1008">
        <v>47199</v>
      </c>
      <c r="F97" s="1011">
        <v>111524</v>
      </c>
      <c r="G97" s="970">
        <v>222526</v>
      </c>
      <c r="H97" s="970"/>
      <c r="I97" s="970">
        <v>34330</v>
      </c>
      <c r="J97" s="971">
        <v>30546</v>
      </c>
      <c r="K97" s="971">
        <v>59050</v>
      </c>
      <c r="L97" s="971">
        <v>29168</v>
      </c>
      <c r="M97" s="970"/>
      <c r="N97" s="971">
        <v>1152</v>
      </c>
      <c r="O97" s="971">
        <v>0</v>
      </c>
      <c r="P97" s="971">
        <v>0</v>
      </c>
      <c r="Q97" s="971">
        <v>0</v>
      </c>
      <c r="R97" s="970"/>
      <c r="S97" s="971">
        <v>61812</v>
      </c>
      <c r="T97" s="971">
        <v>14801</v>
      </c>
      <c r="U97" s="971">
        <v>76613</v>
      </c>
    </row>
    <row r="98" spans="1:21" x14ac:dyDescent="0.25">
      <c r="A98" s="967">
        <v>91026</v>
      </c>
      <c r="B98" s="968" t="s">
        <v>1269</v>
      </c>
      <c r="C98" s="969">
        <v>4.5599999999999997E-5</v>
      </c>
      <c r="D98" s="969">
        <v>4.18E-5</v>
      </c>
      <c r="E98" s="1008">
        <v>47236</v>
      </c>
      <c r="F98" s="1011">
        <v>63859</v>
      </c>
      <c r="G98" s="970">
        <v>108179</v>
      </c>
      <c r="H98" s="970"/>
      <c r="I98" s="970">
        <v>16689</v>
      </c>
      <c r="J98" s="971">
        <v>14849</v>
      </c>
      <c r="K98" s="971">
        <v>28706</v>
      </c>
      <c r="L98" s="971">
        <v>42442</v>
      </c>
      <c r="M98" s="970"/>
      <c r="N98" s="971">
        <v>560</v>
      </c>
      <c r="O98" s="971">
        <v>0</v>
      </c>
      <c r="P98" s="971">
        <v>0</v>
      </c>
      <c r="Q98" s="971">
        <v>0</v>
      </c>
      <c r="R98" s="970"/>
      <c r="S98" s="971">
        <v>30049</v>
      </c>
      <c r="T98" s="971">
        <v>17241</v>
      </c>
      <c r="U98" s="971">
        <v>47290</v>
      </c>
    </row>
    <row r="99" spans="1:21" x14ac:dyDescent="0.25">
      <c r="A99" s="967">
        <v>91027</v>
      </c>
      <c r="B99" s="968" t="s">
        <v>2742</v>
      </c>
      <c r="C99" s="969">
        <v>1.6699999999999999E-5</v>
      </c>
      <c r="D99" s="969">
        <v>1.4E-5</v>
      </c>
      <c r="E99" s="1008">
        <v>14496</v>
      </c>
      <c r="F99" s="1011">
        <v>21388</v>
      </c>
      <c r="G99" s="970">
        <v>39618</v>
      </c>
      <c r="H99" s="970"/>
      <c r="I99" s="970">
        <v>6112</v>
      </c>
      <c r="J99" s="971">
        <v>5439</v>
      </c>
      <c r="K99" s="971">
        <v>10513</v>
      </c>
      <c r="L99" s="971">
        <v>16743</v>
      </c>
      <c r="M99" s="970"/>
      <c r="N99" s="971">
        <v>205</v>
      </c>
      <c r="O99" s="971">
        <v>0</v>
      </c>
      <c r="P99" s="971">
        <v>0</v>
      </c>
      <c r="Q99" s="971">
        <v>0</v>
      </c>
      <c r="R99" s="970"/>
      <c r="S99" s="971">
        <v>11005</v>
      </c>
      <c r="T99" s="971">
        <v>8336</v>
      </c>
      <c r="U99" s="971">
        <v>19341</v>
      </c>
    </row>
    <row r="100" spans="1:21" x14ac:dyDescent="0.25">
      <c r="A100" s="967">
        <v>91032</v>
      </c>
      <c r="B100" s="968" t="s">
        <v>2743</v>
      </c>
      <c r="C100" s="969">
        <v>1.6399999999999999E-5</v>
      </c>
      <c r="D100" s="969">
        <v>1.8E-5</v>
      </c>
      <c r="E100" s="1008">
        <v>19390</v>
      </c>
      <c r="F100" s="1011">
        <v>27499</v>
      </c>
      <c r="G100" s="970">
        <v>38906</v>
      </c>
      <c r="H100" s="970"/>
      <c r="I100" s="970">
        <v>6002</v>
      </c>
      <c r="J100" s="971">
        <v>5341</v>
      </c>
      <c r="K100" s="971">
        <v>10324</v>
      </c>
      <c r="L100" s="971">
        <v>16497</v>
      </c>
      <c r="M100" s="970"/>
      <c r="N100" s="971">
        <v>201</v>
      </c>
      <c r="O100" s="971">
        <v>0</v>
      </c>
      <c r="P100" s="971">
        <v>0</v>
      </c>
      <c r="Q100" s="971">
        <v>0</v>
      </c>
      <c r="R100" s="970"/>
      <c r="S100" s="971">
        <v>10807</v>
      </c>
      <c r="T100" s="971">
        <v>8433</v>
      </c>
      <c r="U100" s="971">
        <v>19240</v>
      </c>
    </row>
    <row r="101" spans="1:21" x14ac:dyDescent="0.25">
      <c r="A101" s="967">
        <v>91041</v>
      </c>
      <c r="B101" s="968" t="s">
        <v>2744</v>
      </c>
      <c r="C101" s="969">
        <v>4.373E-4</v>
      </c>
      <c r="D101" s="969">
        <v>4.0400000000000001E-4</v>
      </c>
      <c r="E101" s="1008">
        <v>178640</v>
      </c>
      <c r="F101" s="1011">
        <v>617200</v>
      </c>
      <c r="G101" s="970">
        <v>1037425</v>
      </c>
      <c r="H101" s="970"/>
      <c r="I101" s="970">
        <v>160050</v>
      </c>
      <c r="J101" s="971">
        <v>142408</v>
      </c>
      <c r="K101" s="971">
        <v>275293</v>
      </c>
      <c r="L101" s="971">
        <v>0</v>
      </c>
      <c r="M101" s="970"/>
      <c r="N101" s="971">
        <v>5370</v>
      </c>
      <c r="O101" s="971">
        <v>0</v>
      </c>
      <c r="P101" s="971">
        <v>0</v>
      </c>
      <c r="Q101" s="971">
        <v>74844</v>
      </c>
      <c r="R101" s="970"/>
      <c r="S101" s="971">
        <v>288169</v>
      </c>
      <c r="T101" s="971">
        <v>-40195</v>
      </c>
      <c r="U101" s="971">
        <v>247974</v>
      </c>
    </row>
    <row r="102" spans="1:21" x14ac:dyDescent="0.25">
      <c r="A102" s="967">
        <v>91042</v>
      </c>
      <c r="B102" s="968" t="s">
        <v>2745</v>
      </c>
      <c r="C102" s="969">
        <v>2.6630000000000002E-4</v>
      </c>
      <c r="D102" s="969">
        <v>2.3360000000000001E-4</v>
      </c>
      <c r="E102" s="1008">
        <v>115346</v>
      </c>
      <c r="F102" s="1011">
        <v>356876</v>
      </c>
      <c r="G102" s="970">
        <v>631755</v>
      </c>
      <c r="H102" s="970"/>
      <c r="I102" s="970">
        <v>97465</v>
      </c>
      <c r="J102" s="971">
        <v>86722</v>
      </c>
      <c r="K102" s="971">
        <v>167643</v>
      </c>
      <c r="L102" s="971">
        <v>20600</v>
      </c>
      <c r="M102" s="970"/>
      <c r="N102" s="971">
        <v>3270</v>
      </c>
      <c r="O102" s="971">
        <v>0</v>
      </c>
      <c r="P102" s="971">
        <v>0</v>
      </c>
      <c r="Q102" s="971">
        <v>4544</v>
      </c>
      <c r="R102" s="970"/>
      <c r="S102" s="971">
        <v>175485</v>
      </c>
      <c r="T102" s="971">
        <v>3567</v>
      </c>
      <c r="U102" s="971">
        <v>179052</v>
      </c>
    </row>
    <row r="103" spans="1:21" x14ac:dyDescent="0.25">
      <c r="A103" s="967">
        <v>91047</v>
      </c>
      <c r="B103" s="968" t="s">
        <v>2746</v>
      </c>
      <c r="C103" s="969">
        <v>1.24E-5</v>
      </c>
      <c r="D103" s="969">
        <v>1.31E-5</v>
      </c>
      <c r="E103" s="1008">
        <v>18028</v>
      </c>
      <c r="F103" s="1011">
        <v>20013</v>
      </c>
      <c r="G103" s="970">
        <v>29417</v>
      </c>
      <c r="H103" s="970"/>
      <c r="I103" s="970">
        <v>4538</v>
      </c>
      <c r="J103" s="971">
        <v>4038</v>
      </c>
      <c r="K103" s="971">
        <v>7806</v>
      </c>
      <c r="L103" s="971">
        <v>22020</v>
      </c>
      <c r="M103" s="970"/>
      <c r="N103" s="971">
        <v>152</v>
      </c>
      <c r="O103" s="971">
        <v>0</v>
      </c>
      <c r="P103" s="971">
        <v>0</v>
      </c>
      <c r="Q103" s="971">
        <v>0</v>
      </c>
      <c r="R103" s="970"/>
      <c r="S103" s="971">
        <v>8171</v>
      </c>
      <c r="T103" s="971">
        <v>9821</v>
      </c>
      <c r="U103" s="971">
        <v>17992</v>
      </c>
    </row>
    <row r="104" spans="1:21" x14ac:dyDescent="0.25">
      <c r="A104" s="967">
        <v>91051</v>
      </c>
      <c r="B104" s="968" t="s">
        <v>2747</v>
      </c>
      <c r="C104" s="969">
        <v>6.7999999999999999E-5</v>
      </c>
      <c r="D104" s="969">
        <v>6.6400000000000001E-5</v>
      </c>
      <c r="E104" s="1008">
        <v>33300</v>
      </c>
      <c r="F104" s="1011">
        <v>101441</v>
      </c>
      <c r="G104" s="970">
        <v>161319</v>
      </c>
      <c r="H104" s="970"/>
      <c r="I104" s="970">
        <v>24888</v>
      </c>
      <c r="J104" s="971">
        <v>22144</v>
      </c>
      <c r="K104" s="971">
        <v>42808</v>
      </c>
      <c r="L104" s="971">
        <v>1891</v>
      </c>
      <c r="M104" s="970"/>
      <c r="N104" s="971">
        <v>835</v>
      </c>
      <c r="O104" s="971">
        <v>0</v>
      </c>
      <c r="P104" s="971">
        <v>0</v>
      </c>
      <c r="Q104" s="971">
        <v>5967</v>
      </c>
      <c r="R104" s="970"/>
      <c r="S104" s="971">
        <v>44810</v>
      </c>
      <c r="T104" s="971">
        <v>-1282</v>
      </c>
      <c r="U104" s="971">
        <v>43528</v>
      </c>
    </row>
    <row r="105" spans="1:21" x14ac:dyDescent="0.25">
      <c r="A105" s="967">
        <v>91057</v>
      </c>
      <c r="B105" s="968" t="s">
        <v>2748</v>
      </c>
      <c r="C105" s="969">
        <v>1.3699999999999999E-5</v>
      </c>
      <c r="D105" s="969">
        <v>1.4399999999999999E-5</v>
      </c>
      <c r="E105" s="1008">
        <v>10701</v>
      </c>
      <c r="F105" s="1011">
        <v>21999</v>
      </c>
      <c r="G105" s="970">
        <v>32501</v>
      </c>
      <c r="H105" s="970"/>
      <c r="I105" s="970">
        <v>5014</v>
      </c>
      <c r="J105" s="971">
        <v>4461</v>
      </c>
      <c r="K105" s="971">
        <v>8625</v>
      </c>
      <c r="L105" s="971">
        <v>6313</v>
      </c>
      <c r="M105" s="970"/>
      <c r="N105" s="971">
        <v>168</v>
      </c>
      <c r="O105" s="971">
        <v>0</v>
      </c>
      <c r="P105" s="971">
        <v>0</v>
      </c>
      <c r="Q105" s="971">
        <v>0</v>
      </c>
      <c r="R105" s="970"/>
      <c r="S105" s="971">
        <v>9028</v>
      </c>
      <c r="T105" s="971">
        <v>2864</v>
      </c>
      <c r="U105" s="971">
        <v>11892</v>
      </c>
    </row>
    <row r="106" spans="1:21" x14ac:dyDescent="0.25">
      <c r="A106" s="967">
        <v>91061</v>
      </c>
      <c r="B106" s="968" t="s">
        <v>2749</v>
      </c>
      <c r="C106" s="969">
        <v>3.657E-4</v>
      </c>
      <c r="D106" s="969">
        <v>4.104E-4</v>
      </c>
      <c r="E106" s="1008">
        <v>185818</v>
      </c>
      <c r="F106" s="1011">
        <v>626978</v>
      </c>
      <c r="G106" s="970">
        <v>867565</v>
      </c>
      <c r="H106" s="970"/>
      <c r="I106" s="970">
        <v>133845</v>
      </c>
      <c r="J106" s="971">
        <v>119091</v>
      </c>
      <c r="K106" s="971">
        <v>230218</v>
      </c>
      <c r="L106" s="971">
        <v>13475</v>
      </c>
      <c r="M106" s="970"/>
      <c r="N106" s="971">
        <v>4491</v>
      </c>
      <c r="O106" s="971">
        <v>0</v>
      </c>
      <c r="P106" s="971">
        <v>0</v>
      </c>
      <c r="Q106" s="971">
        <v>35188</v>
      </c>
      <c r="R106" s="970"/>
      <c r="S106" s="971">
        <v>240986</v>
      </c>
      <c r="T106" s="971">
        <v>-19918</v>
      </c>
      <c r="U106" s="971">
        <v>221068</v>
      </c>
    </row>
    <row r="107" spans="1:21" x14ac:dyDescent="0.25">
      <c r="A107" s="967">
        <v>91067</v>
      </c>
      <c r="B107" s="968" t="s">
        <v>2750</v>
      </c>
      <c r="C107" s="969">
        <v>1.6900000000000001E-5</v>
      </c>
      <c r="D107" s="969">
        <v>1.5699999999999999E-5</v>
      </c>
      <c r="E107" s="1008">
        <v>9146</v>
      </c>
      <c r="F107" s="1011">
        <v>23985</v>
      </c>
      <c r="G107" s="970">
        <v>40093</v>
      </c>
      <c r="H107" s="970"/>
      <c r="I107" s="970">
        <v>6185</v>
      </c>
      <c r="J107" s="971">
        <v>5503</v>
      </c>
      <c r="K107" s="971">
        <v>10639</v>
      </c>
      <c r="L107" s="971">
        <v>2715</v>
      </c>
      <c r="M107" s="970"/>
      <c r="N107" s="971">
        <v>208</v>
      </c>
      <c r="O107" s="971">
        <v>0</v>
      </c>
      <c r="P107" s="971">
        <v>0</v>
      </c>
      <c r="Q107" s="971">
        <v>305</v>
      </c>
      <c r="R107" s="970"/>
      <c r="S107" s="971">
        <v>11137</v>
      </c>
      <c r="T107" s="971">
        <v>1543</v>
      </c>
      <c r="U107" s="971">
        <v>12680</v>
      </c>
    </row>
    <row r="108" spans="1:21" x14ac:dyDescent="0.25">
      <c r="A108" s="967">
        <v>91071</v>
      </c>
      <c r="B108" s="968" t="s">
        <v>2751</v>
      </c>
      <c r="C108" s="969">
        <v>2.354E-4</v>
      </c>
      <c r="D108" s="969">
        <v>2.2770000000000001E-4</v>
      </c>
      <c r="E108" s="1008">
        <v>107390</v>
      </c>
      <c r="F108" s="1011">
        <v>347863</v>
      </c>
      <c r="G108" s="970">
        <v>558449</v>
      </c>
      <c r="H108" s="970"/>
      <c r="I108" s="970">
        <v>86155</v>
      </c>
      <c r="J108" s="971">
        <v>76659</v>
      </c>
      <c r="K108" s="971">
        <v>148191</v>
      </c>
      <c r="L108" s="971">
        <v>0</v>
      </c>
      <c r="M108" s="970"/>
      <c r="N108" s="971">
        <v>2891</v>
      </c>
      <c r="O108" s="971">
        <v>0</v>
      </c>
      <c r="P108" s="971">
        <v>0</v>
      </c>
      <c r="Q108" s="971">
        <v>17112</v>
      </c>
      <c r="R108" s="970"/>
      <c r="S108" s="971">
        <v>155122</v>
      </c>
      <c r="T108" s="971">
        <v>2083</v>
      </c>
      <c r="U108" s="971">
        <v>157205</v>
      </c>
    </row>
    <row r="109" spans="1:21" x14ac:dyDescent="0.25">
      <c r="A109" s="967">
        <v>91077</v>
      </c>
      <c r="B109" s="968" t="s">
        <v>2752</v>
      </c>
      <c r="C109" s="969">
        <v>3.1E-6</v>
      </c>
      <c r="D109" s="969">
        <v>3.5999999999999998E-6</v>
      </c>
      <c r="E109" s="1008">
        <v>2845</v>
      </c>
      <c r="F109" s="1011">
        <v>5500</v>
      </c>
      <c r="G109" s="970">
        <v>7354</v>
      </c>
      <c r="H109" s="970"/>
      <c r="I109" s="970">
        <v>1135</v>
      </c>
      <c r="J109" s="971">
        <v>1009</v>
      </c>
      <c r="K109" s="971">
        <v>1952</v>
      </c>
      <c r="L109" s="971">
        <v>1928</v>
      </c>
      <c r="M109" s="970"/>
      <c r="N109" s="971">
        <v>38</v>
      </c>
      <c r="O109" s="971">
        <v>0</v>
      </c>
      <c r="P109" s="971">
        <v>0</v>
      </c>
      <c r="Q109" s="971">
        <v>0</v>
      </c>
      <c r="R109" s="970"/>
      <c r="S109" s="971">
        <v>2043</v>
      </c>
      <c r="T109" s="971">
        <v>728</v>
      </c>
      <c r="U109" s="971">
        <v>2771</v>
      </c>
    </row>
    <row r="110" spans="1:21" x14ac:dyDescent="0.25">
      <c r="A110" s="967">
        <v>91081</v>
      </c>
      <c r="B110" s="968" t="s">
        <v>2753</v>
      </c>
      <c r="C110" s="969">
        <v>3.8870000000000002E-4</v>
      </c>
      <c r="D110" s="969">
        <v>3.6240000000000003E-4</v>
      </c>
      <c r="E110" s="1008">
        <v>190608</v>
      </c>
      <c r="F110" s="1011">
        <v>553647</v>
      </c>
      <c r="G110" s="970">
        <v>922129</v>
      </c>
      <c r="H110" s="970"/>
      <c r="I110" s="970">
        <v>142263</v>
      </c>
      <c r="J110" s="971">
        <v>126581</v>
      </c>
      <c r="K110" s="971">
        <v>244698</v>
      </c>
      <c r="L110" s="971">
        <v>20151</v>
      </c>
      <c r="M110" s="970"/>
      <c r="N110" s="971">
        <v>4774</v>
      </c>
      <c r="O110" s="971">
        <v>0</v>
      </c>
      <c r="P110" s="971">
        <v>0</v>
      </c>
      <c r="Q110" s="971">
        <v>0</v>
      </c>
      <c r="R110" s="970"/>
      <c r="S110" s="971">
        <v>256143</v>
      </c>
      <c r="T110" s="971">
        <v>-8184</v>
      </c>
      <c r="U110" s="971">
        <v>247959</v>
      </c>
    </row>
    <row r="111" spans="1:21" x14ac:dyDescent="0.25">
      <c r="A111" s="967">
        <v>91091</v>
      </c>
      <c r="B111" s="968" t="s">
        <v>2754</v>
      </c>
      <c r="C111" s="969">
        <v>5.0319999999999998E-4</v>
      </c>
      <c r="D111" s="969">
        <v>5.3790000000000001E-4</v>
      </c>
      <c r="E111" s="1008">
        <v>242147</v>
      </c>
      <c r="F111" s="1011">
        <v>821762</v>
      </c>
      <c r="G111" s="970">
        <v>1193762</v>
      </c>
      <c r="H111" s="970"/>
      <c r="I111" s="970">
        <v>184169</v>
      </c>
      <c r="J111" s="971">
        <v>163868</v>
      </c>
      <c r="K111" s="971">
        <v>316778</v>
      </c>
      <c r="L111" s="971">
        <v>0</v>
      </c>
      <c r="M111" s="970"/>
      <c r="N111" s="971">
        <v>6180</v>
      </c>
      <c r="O111" s="971">
        <v>0</v>
      </c>
      <c r="P111" s="971">
        <v>0</v>
      </c>
      <c r="Q111" s="971">
        <v>63597</v>
      </c>
      <c r="R111" s="970"/>
      <c r="S111" s="971">
        <v>331595</v>
      </c>
      <c r="T111" s="971">
        <v>-37735</v>
      </c>
      <c r="U111" s="971">
        <v>293860</v>
      </c>
    </row>
    <row r="112" spans="1:21" x14ac:dyDescent="0.25">
      <c r="A112" s="967">
        <v>91101</v>
      </c>
      <c r="B112" s="968" t="s">
        <v>2755</v>
      </c>
      <c r="C112" s="969">
        <v>1.3608800000000001E-2</v>
      </c>
      <c r="D112" s="969">
        <v>1.35581E-2</v>
      </c>
      <c r="E112" s="1008">
        <v>6369472</v>
      </c>
      <c r="F112" s="1011">
        <v>20713021</v>
      </c>
      <c r="G112" s="970">
        <v>32284728</v>
      </c>
      <c r="H112" s="970"/>
      <c r="I112" s="970">
        <v>4980766</v>
      </c>
      <c r="J112" s="971">
        <v>4431733</v>
      </c>
      <c r="K112" s="971">
        <v>8567121</v>
      </c>
      <c r="L112" s="971">
        <v>153266</v>
      </c>
      <c r="M112" s="970"/>
      <c r="N112" s="971">
        <v>167130</v>
      </c>
      <c r="O112" s="971">
        <v>0</v>
      </c>
      <c r="P112" s="971">
        <v>0</v>
      </c>
      <c r="Q112" s="971">
        <v>611807</v>
      </c>
      <c r="R112" s="970"/>
      <c r="S112" s="971">
        <v>8967832</v>
      </c>
      <c r="T112" s="971">
        <v>97540</v>
      </c>
      <c r="U112" s="971">
        <v>9065372</v>
      </c>
    </row>
    <row r="113" spans="1:21" x14ac:dyDescent="0.25">
      <c r="A113" s="967">
        <v>91102</v>
      </c>
      <c r="B113" s="968" t="s">
        <v>2756</v>
      </c>
      <c r="C113" s="969">
        <v>3.2509999999999999E-4</v>
      </c>
      <c r="D113" s="969">
        <v>3.2919999999999998E-4</v>
      </c>
      <c r="E113" s="1008">
        <v>161218</v>
      </c>
      <c r="F113" s="1011">
        <v>502926</v>
      </c>
      <c r="G113" s="970">
        <v>771248</v>
      </c>
      <c r="H113" s="970"/>
      <c r="I113" s="970">
        <v>118985</v>
      </c>
      <c r="J113" s="971">
        <v>105870</v>
      </c>
      <c r="K113" s="971">
        <v>204660</v>
      </c>
      <c r="L113" s="971">
        <v>24895</v>
      </c>
      <c r="M113" s="970"/>
      <c r="N113" s="971">
        <v>3993</v>
      </c>
      <c r="O113" s="971">
        <v>0</v>
      </c>
      <c r="P113" s="971">
        <v>0</v>
      </c>
      <c r="Q113" s="971">
        <v>16541</v>
      </c>
      <c r="R113" s="970"/>
      <c r="S113" s="971">
        <v>214232</v>
      </c>
      <c r="T113" s="971">
        <v>-8634</v>
      </c>
      <c r="U113" s="971">
        <v>205598</v>
      </c>
    </row>
    <row r="114" spans="1:21" x14ac:dyDescent="0.25">
      <c r="A114" s="967">
        <v>91104</v>
      </c>
      <c r="B114" s="968" t="s">
        <v>2757</v>
      </c>
      <c r="C114" s="969">
        <v>6.9999999999999999E-6</v>
      </c>
      <c r="D114" s="969">
        <v>7.9000000000000006E-6</v>
      </c>
      <c r="E114" s="1008">
        <v>7842</v>
      </c>
      <c r="F114" s="1011">
        <v>12069</v>
      </c>
      <c r="G114" s="970">
        <v>16606</v>
      </c>
      <c r="H114" s="970"/>
      <c r="I114" s="970">
        <v>2562</v>
      </c>
      <c r="J114" s="971">
        <v>2279</v>
      </c>
      <c r="K114" s="971">
        <v>4407</v>
      </c>
      <c r="L114" s="971">
        <v>4377</v>
      </c>
      <c r="M114" s="970"/>
      <c r="N114" s="971">
        <v>86</v>
      </c>
      <c r="O114" s="971">
        <v>0</v>
      </c>
      <c r="P114" s="971">
        <v>0</v>
      </c>
      <c r="Q114" s="971">
        <v>0</v>
      </c>
      <c r="R114" s="970"/>
      <c r="S114" s="971">
        <v>4613</v>
      </c>
      <c r="T114" s="971">
        <v>1311</v>
      </c>
      <c r="U114" s="971">
        <v>5924</v>
      </c>
    </row>
    <row r="115" spans="1:21" x14ac:dyDescent="0.25">
      <c r="A115" s="967">
        <v>91107</v>
      </c>
      <c r="B115" s="968" t="s">
        <v>3683</v>
      </c>
      <c r="C115" s="969">
        <v>5.8999999999999998E-5</v>
      </c>
      <c r="D115" s="969">
        <v>7.08E-5</v>
      </c>
      <c r="E115" s="1008">
        <v>35657</v>
      </c>
      <c r="F115" s="1011">
        <v>108163</v>
      </c>
      <c r="G115" s="970">
        <v>139968</v>
      </c>
      <c r="H115" s="970"/>
      <c r="I115" s="970">
        <v>21594</v>
      </c>
      <c r="J115" s="971">
        <v>19214</v>
      </c>
      <c r="K115" s="971">
        <v>37142</v>
      </c>
      <c r="L115" s="971">
        <v>7995</v>
      </c>
      <c r="M115" s="970"/>
      <c r="N115" s="971">
        <v>725</v>
      </c>
      <c r="O115" s="971">
        <v>0</v>
      </c>
      <c r="P115" s="971">
        <v>0</v>
      </c>
      <c r="Q115" s="971">
        <v>3010</v>
      </c>
      <c r="R115" s="970"/>
      <c r="S115" s="971">
        <v>38879</v>
      </c>
      <c r="T115" s="971">
        <v>4395</v>
      </c>
      <c r="U115" s="971">
        <v>43274</v>
      </c>
    </row>
    <row r="116" spans="1:21" x14ac:dyDescent="0.25">
      <c r="A116" s="967">
        <v>91108</v>
      </c>
      <c r="B116" s="968" t="s">
        <v>2759</v>
      </c>
      <c r="C116" s="969">
        <v>1.2019000000000001E-3</v>
      </c>
      <c r="D116" s="969">
        <v>1.2413999999999999E-3</v>
      </c>
      <c r="E116" s="1008">
        <v>653593</v>
      </c>
      <c r="F116" s="1011">
        <v>1896515</v>
      </c>
      <c r="G116" s="970">
        <v>2851318</v>
      </c>
      <c r="H116" s="970"/>
      <c r="I116" s="970">
        <v>439891</v>
      </c>
      <c r="J116" s="971">
        <v>391401</v>
      </c>
      <c r="K116" s="971">
        <v>756630</v>
      </c>
      <c r="L116" s="971">
        <v>64196</v>
      </c>
      <c r="M116" s="970"/>
      <c r="N116" s="971">
        <v>14761</v>
      </c>
      <c r="O116" s="971">
        <v>0</v>
      </c>
      <c r="P116" s="971">
        <v>0</v>
      </c>
      <c r="Q116" s="971">
        <v>0</v>
      </c>
      <c r="R116" s="970"/>
      <c r="S116" s="971">
        <v>792020</v>
      </c>
      <c r="T116" s="971">
        <v>40803</v>
      </c>
      <c r="U116" s="971">
        <v>832823</v>
      </c>
    </row>
    <row r="117" spans="1:21" x14ac:dyDescent="0.25">
      <c r="A117" s="967">
        <v>91109</v>
      </c>
      <c r="B117" s="968" t="s">
        <v>2760</v>
      </c>
      <c r="C117" s="969">
        <v>1E-4</v>
      </c>
      <c r="D117" s="969">
        <v>9.9599999999999995E-5</v>
      </c>
      <c r="E117" s="1008">
        <v>52821</v>
      </c>
      <c r="F117" s="1011">
        <v>152161</v>
      </c>
      <c r="G117" s="970">
        <v>237234</v>
      </c>
      <c r="H117" s="970"/>
      <c r="I117" s="970">
        <v>36600</v>
      </c>
      <c r="J117" s="971">
        <v>32565</v>
      </c>
      <c r="K117" s="971">
        <v>62953</v>
      </c>
      <c r="L117" s="971">
        <v>7411</v>
      </c>
      <c r="M117" s="970"/>
      <c r="N117" s="971">
        <v>1228</v>
      </c>
      <c r="O117" s="971">
        <v>0</v>
      </c>
      <c r="P117" s="971">
        <v>0</v>
      </c>
      <c r="Q117" s="971">
        <v>235</v>
      </c>
      <c r="R117" s="970"/>
      <c r="S117" s="971">
        <v>65897</v>
      </c>
      <c r="T117" s="971">
        <v>2068</v>
      </c>
      <c r="U117" s="971">
        <v>67965</v>
      </c>
    </row>
    <row r="118" spans="1:21" x14ac:dyDescent="0.25">
      <c r="A118" s="967">
        <v>91111</v>
      </c>
      <c r="B118" s="968" t="s">
        <v>2761</v>
      </c>
      <c r="C118" s="969">
        <v>2.3499999999999999E-4</v>
      </c>
      <c r="D118" s="969">
        <v>2.2719999999999999E-4</v>
      </c>
      <c r="E118" s="1008">
        <v>113814</v>
      </c>
      <c r="F118" s="1011">
        <v>347099</v>
      </c>
      <c r="G118" s="970">
        <v>557500</v>
      </c>
      <c r="H118" s="970"/>
      <c r="I118" s="970">
        <v>86009</v>
      </c>
      <c r="J118" s="971">
        <v>76528</v>
      </c>
      <c r="K118" s="971">
        <v>147939</v>
      </c>
      <c r="L118" s="971">
        <v>19329</v>
      </c>
      <c r="M118" s="970"/>
      <c r="N118" s="971">
        <v>2886</v>
      </c>
      <c r="O118" s="971">
        <v>0</v>
      </c>
      <c r="P118" s="971">
        <v>0</v>
      </c>
      <c r="Q118" s="971">
        <v>0</v>
      </c>
      <c r="R118" s="970"/>
      <c r="S118" s="971">
        <v>154859</v>
      </c>
      <c r="T118" s="971">
        <v>11947</v>
      </c>
      <c r="U118" s="971">
        <v>166806</v>
      </c>
    </row>
    <row r="119" spans="1:21" x14ac:dyDescent="0.25">
      <c r="A119" s="967">
        <v>91119</v>
      </c>
      <c r="B119" s="968" t="s">
        <v>1289</v>
      </c>
      <c r="C119" s="969">
        <v>0</v>
      </c>
      <c r="D119" s="969">
        <v>0</v>
      </c>
      <c r="E119" s="1008">
        <v>0</v>
      </c>
      <c r="F119" s="1011">
        <v>0</v>
      </c>
      <c r="G119" s="970">
        <v>0</v>
      </c>
      <c r="H119" s="970"/>
      <c r="I119" s="970">
        <v>0</v>
      </c>
      <c r="J119" s="971">
        <v>0</v>
      </c>
      <c r="K119" s="971">
        <v>0</v>
      </c>
      <c r="L119" s="971">
        <v>0</v>
      </c>
      <c r="M119" s="970"/>
      <c r="N119" s="971">
        <v>0</v>
      </c>
      <c r="O119" s="971">
        <v>0</v>
      </c>
      <c r="P119" s="971">
        <v>0</v>
      </c>
      <c r="Q119" s="971">
        <v>0</v>
      </c>
      <c r="R119" s="970"/>
      <c r="S119" s="971">
        <v>0</v>
      </c>
      <c r="T119" s="971">
        <v>-321091</v>
      </c>
      <c r="U119" s="971">
        <v>-321091</v>
      </c>
    </row>
    <row r="120" spans="1:21" x14ac:dyDescent="0.25">
      <c r="A120" s="967">
        <v>91120</v>
      </c>
      <c r="B120" s="968" t="s">
        <v>2762</v>
      </c>
      <c r="C120" s="969">
        <v>1.2679999999999999E-4</v>
      </c>
      <c r="D120" s="969">
        <v>1.3019999999999999E-4</v>
      </c>
      <c r="E120" s="1008">
        <v>51467</v>
      </c>
      <c r="F120" s="1011">
        <v>198910</v>
      </c>
      <c r="G120" s="970">
        <v>300813</v>
      </c>
      <c r="H120" s="970"/>
      <c r="I120" s="970">
        <v>46408</v>
      </c>
      <c r="J120" s="971">
        <v>41293</v>
      </c>
      <c r="K120" s="971">
        <v>79824</v>
      </c>
      <c r="L120" s="971">
        <v>0</v>
      </c>
      <c r="M120" s="970"/>
      <c r="N120" s="971">
        <v>1557</v>
      </c>
      <c r="O120" s="971">
        <v>0</v>
      </c>
      <c r="P120" s="971">
        <v>0</v>
      </c>
      <c r="Q120" s="971">
        <v>20743</v>
      </c>
      <c r="R120" s="970"/>
      <c r="S120" s="971">
        <v>83558</v>
      </c>
      <c r="T120" s="971">
        <v>-14819</v>
      </c>
      <c r="U120" s="971">
        <v>68739</v>
      </c>
    </row>
    <row r="121" spans="1:21" x14ac:dyDescent="0.25">
      <c r="A121" s="967">
        <v>91121</v>
      </c>
      <c r="B121" s="968" t="s">
        <v>2763</v>
      </c>
      <c r="C121" s="969">
        <v>1.02925E-2</v>
      </c>
      <c r="D121" s="969">
        <v>9.9927999999999996E-3</v>
      </c>
      <c r="E121" s="1008">
        <v>4668215</v>
      </c>
      <c r="F121" s="1011">
        <v>15266230</v>
      </c>
      <c r="G121" s="970">
        <v>24417330</v>
      </c>
      <c r="H121" s="970"/>
      <c r="I121" s="970">
        <v>3767014</v>
      </c>
      <c r="J121" s="971">
        <v>3351774</v>
      </c>
      <c r="K121" s="971">
        <v>6479417</v>
      </c>
      <c r="L121" s="971">
        <v>0</v>
      </c>
      <c r="M121" s="970"/>
      <c r="N121" s="971">
        <v>126402</v>
      </c>
      <c r="O121" s="971">
        <v>0</v>
      </c>
      <c r="P121" s="971">
        <v>0</v>
      </c>
      <c r="Q121" s="971">
        <v>408831</v>
      </c>
      <c r="R121" s="970"/>
      <c r="S121" s="971">
        <v>6782480</v>
      </c>
      <c r="T121" s="971">
        <v>-342903</v>
      </c>
      <c r="U121" s="971">
        <v>6439577</v>
      </c>
    </row>
    <row r="122" spans="1:21" x14ac:dyDescent="0.25">
      <c r="A122" s="967">
        <v>91127</v>
      </c>
      <c r="B122" s="968" t="s">
        <v>2764</v>
      </c>
      <c r="C122" s="969">
        <v>2.8370000000000001E-4</v>
      </c>
      <c r="D122" s="969">
        <v>2.6879999999999997E-4</v>
      </c>
      <c r="E122" s="1008">
        <v>160012</v>
      </c>
      <c r="F122" s="1011">
        <v>410652</v>
      </c>
      <c r="G122" s="970">
        <v>673033</v>
      </c>
      <c r="H122" s="970"/>
      <c r="I122" s="970">
        <v>103833</v>
      </c>
      <c r="J122" s="971">
        <v>92387</v>
      </c>
      <c r="K122" s="971">
        <v>178597</v>
      </c>
      <c r="L122" s="971">
        <v>49510</v>
      </c>
      <c r="M122" s="970"/>
      <c r="N122" s="971">
        <v>3484</v>
      </c>
      <c r="O122" s="971">
        <v>0</v>
      </c>
      <c r="P122" s="971">
        <v>0</v>
      </c>
      <c r="Q122" s="971">
        <v>0</v>
      </c>
      <c r="R122" s="970"/>
      <c r="S122" s="971">
        <v>186951</v>
      </c>
      <c r="T122" s="971">
        <v>31849</v>
      </c>
      <c r="U122" s="971">
        <v>218800</v>
      </c>
    </row>
    <row r="123" spans="1:21" x14ac:dyDescent="0.25">
      <c r="A123" s="967">
        <v>91128</v>
      </c>
      <c r="B123" s="968" t="s">
        <v>2765</v>
      </c>
      <c r="C123" s="969">
        <v>5.1060000000000005E-4</v>
      </c>
      <c r="D123" s="969">
        <v>5.2380000000000005E-4</v>
      </c>
      <c r="E123" s="1008">
        <v>247627</v>
      </c>
      <c r="F123" s="1011">
        <v>800221</v>
      </c>
      <c r="G123" s="970">
        <v>1211318</v>
      </c>
      <c r="H123" s="970"/>
      <c r="I123" s="970">
        <v>186878</v>
      </c>
      <c r="J123" s="971">
        <v>166278</v>
      </c>
      <c r="K123" s="971">
        <v>321437</v>
      </c>
      <c r="L123" s="971">
        <v>9519</v>
      </c>
      <c r="M123" s="970"/>
      <c r="N123" s="971">
        <v>6271</v>
      </c>
      <c r="O123" s="971">
        <v>0</v>
      </c>
      <c r="P123" s="971">
        <v>0</v>
      </c>
      <c r="Q123" s="971">
        <v>11235</v>
      </c>
      <c r="R123" s="970"/>
      <c r="S123" s="971">
        <v>336472</v>
      </c>
      <c r="T123" s="971">
        <v>-3424</v>
      </c>
      <c r="U123" s="971">
        <v>333048</v>
      </c>
    </row>
    <row r="124" spans="1:21" x14ac:dyDescent="0.25">
      <c r="A124" s="967">
        <v>91138</v>
      </c>
      <c r="B124" s="968" t="s">
        <v>2766</v>
      </c>
      <c r="C124" s="969">
        <v>4.8819999999999999E-4</v>
      </c>
      <c r="D124" s="969">
        <v>6.2629999999999999E-4</v>
      </c>
      <c r="E124" s="1008">
        <v>195823</v>
      </c>
      <c r="F124" s="1011">
        <v>956813</v>
      </c>
      <c r="G124" s="970">
        <v>1158177</v>
      </c>
      <c r="H124" s="970"/>
      <c r="I124" s="970">
        <v>178679</v>
      </c>
      <c r="J124" s="971">
        <v>158983</v>
      </c>
      <c r="K124" s="971">
        <v>307336</v>
      </c>
      <c r="L124" s="971">
        <v>0</v>
      </c>
      <c r="M124" s="970"/>
      <c r="N124" s="971">
        <v>5996</v>
      </c>
      <c r="O124" s="971">
        <v>0</v>
      </c>
      <c r="P124" s="971">
        <v>0</v>
      </c>
      <c r="Q124" s="971">
        <v>212777</v>
      </c>
      <c r="R124" s="970"/>
      <c r="S124" s="971">
        <v>321711</v>
      </c>
      <c r="T124" s="971">
        <v>-81735</v>
      </c>
      <c r="U124" s="971">
        <v>239976</v>
      </c>
    </row>
    <row r="125" spans="1:21" x14ac:dyDescent="0.25">
      <c r="A125" s="967">
        <v>91141</v>
      </c>
      <c r="B125" s="968" t="s">
        <v>2767</v>
      </c>
      <c r="C125" s="969">
        <v>5.5960000000000005E-4</v>
      </c>
      <c r="D125" s="969">
        <v>5.7569999999999995E-4</v>
      </c>
      <c r="E125" s="1008">
        <v>259024</v>
      </c>
      <c r="F125" s="1011">
        <v>879510</v>
      </c>
      <c r="G125" s="970">
        <v>1327563</v>
      </c>
      <c r="H125" s="970"/>
      <c r="I125" s="970">
        <v>204811</v>
      </c>
      <c r="J125" s="971">
        <v>182235</v>
      </c>
      <c r="K125" s="971">
        <v>352284</v>
      </c>
      <c r="L125" s="971">
        <v>0</v>
      </c>
      <c r="M125" s="970"/>
      <c r="N125" s="971">
        <v>6872</v>
      </c>
      <c r="O125" s="971">
        <v>0</v>
      </c>
      <c r="P125" s="971">
        <v>0</v>
      </c>
      <c r="Q125" s="971">
        <v>65730</v>
      </c>
      <c r="R125" s="970"/>
      <c r="S125" s="971">
        <v>368761</v>
      </c>
      <c r="T125" s="971">
        <v>-43880</v>
      </c>
      <c r="U125" s="971">
        <v>324881</v>
      </c>
    </row>
    <row r="126" spans="1:21" x14ac:dyDescent="0.25">
      <c r="A126" s="967">
        <v>91147</v>
      </c>
      <c r="B126" s="968" t="s">
        <v>2768</v>
      </c>
      <c r="C126" s="969">
        <v>2.87E-5</v>
      </c>
      <c r="D126" s="969">
        <v>2.6699999999999998E-5</v>
      </c>
      <c r="E126" s="1008">
        <v>14429</v>
      </c>
      <c r="F126" s="1011">
        <v>40790</v>
      </c>
      <c r="G126" s="970">
        <v>68086</v>
      </c>
      <c r="H126" s="970"/>
      <c r="I126" s="970">
        <v>10504</v>
      </c>
      <c r="J126" s="971">
        <v>9346</v>
      </c>
      <c r="K126" s="971">
        <v>18067</v>
      </c>
      <c r="L126" s="971">
        <v>5905</v>
      </c>
      <c r="M126" s="970"/>
      <c r="N126" s="971">
        <v>352</v>
      </c>
      <c r="O126" s="971">
        <v>0</v>
      </c>
      <c r="P126" s="971">
        <v>0</v>
      </c>
      <c r="Q126" s="971">
        <v>0</v>
      </c>
      <c r="R126" s="970"/>
      <c r="S126" s="971">
        <v>18913</v>
      </c>
      <c r="T126" s="971">
        <v>4757</v>
      </c>
      <c r="U126" s="971">
        <v>23670</v>
      </c>
    </row>
    <row r="127" spans="1:21" x14ac:dyDescent="0.25">
      <c r="A127" s="967">
        <v>91151</v>
      </c>
      <c r="B127" s="968" t="s">
        <v>2769</v>
      </c>
      <c r="C127" s="969">
        <v>6.2589999999999998E-4</v>
      </c>
      <c r="D127" s="969">
        <v>6.3409999999999996E-4</v>
      </c>
      <c r="E127" s="1008">
        <v>265564</v>
      </c>
      <c r="F127" s="1011">
        <v>968729</v>
      </c>
      <c r="G127" s="970">
        <v>1484849</v>
      </c>
      <c r="H127" s="970"/>
      <c r="I127" s="970">
        <v>229077</v>
      </c>
      <c r="J127" s="971">
        <v>203826</v>
      </c>
      <c r="K127" s="971">
        <v>394022</v>
      </c>
      <c r="L127" s="971">
        <v>3112</v>
      </c>
      <c r="M127" s="970"/>
      <c r="N127" s="971">
        <v>7687</v>
      </c>
      <c r="O127" s="971">
        <v>0</v>
      </c>
      <c r="P127" s="971">
        <v>0</v>
      </c>
      <c r="Q127" s="971">
        <v>68725</v>
      </c>
      <c r="R127" s="970"/>
      <c r="S127" s="971">
        <v>412451</v>
      </c>
      <c r="T127" s="971">
        <v>-24854</v>
      </c>
      <c r="U127" s="971">
        <v>387597</v>
      </c>
    </row>
    <row r="128" spans="1:21" x14ac:dyDescent="0.25">
      <c r="A128" s="967">
        <v>91154</v>
      </c>
      <c r="B128" s="968" t="s">
        <v>2770</v>
      </c>
      <c r="C128" s="969">
        <v>2.41E-5</v>
      </c>
      <c r="D128" s="969">
        <v>2.6299999999999999E-5</v>
      </c>
      <c r="E128" s="1008">
        <v>11032</v>
      </c>
      <c r="F128" s="1011">
        <v>40179</v>
      </c>
      <c r="G128" s="970">
        <v>57173</v>
      </c>
      <c r="H128" s="970"/>
      <c r="I128" s="970">
        <v>8821</v>
      </c>
      <c r="J128" s="971">
        <v>7848</v>
      </c>
      <c r="K128" s="971">
        <v>15172</v>
      </c>
      <c r="L128" s="971">
        <v>4369</v>
      </c>
      <c r="M128" s="970"/>
      <c r="N128" s="971">
        <v>296</v>
      </c>
      <c r="O128" s="971">
        <v>0</v>
      </c>
      <c r="P128" s="971">
        <v>0</v>
      </c>
      <c r="Q128" s="971">
        <v>2182</v>
      </c>
      <c r="R128" s="970"/>
      <c r="S128" s="971">
        <v>15881</v>
      </c>
      <c r="T128" s="971">
        <v>2411</v>
      </c>
      <c r="U128" s="971">
        <v>18292</v>
      </c>
    </row>
    <row r="129" spans="1:21" x14ac:dyDescent="0.25">
      <c r="A129" s="967">
        <v>91161</v>
      </c>
      <c r="B129" s="968" t="s">
        <v>2771</v>
      </c>
      <c r="C129" s="969">
        <v>7.9699999999999999E-5</v>
      </c>
      <c r="D129" s="969">
        <v>9.2600000000000001E-5</v>
      </c>
      <c r="E129" s="1008">
        <v>39613</v>
      </c>
      <c r="F129" s="1011">
        <v>141467</v>
      </c>
      <c r="G129" s="970">
        <v>189076</v>
      </c>
      <c r="H129" s="970"/>
      <c r="I129" s="970">
        <v>29170</v>
      </c>
      <c r="J129" s="971">
        <v>25954</v>
      </c>
      <c r="K129" s="971">
        <v>50173</v>
      </c>
      <c r="L129" s="971">
        <v>2466</v>
      </c>
      <c r="M129" s="970"/>
      <c r="N129" s="971">
        <v>979</v>
      </c>
      <c r="O129" s="971">
        <v>0</v>
      </c>
      <c r="P129" s="971">
        <v>0</v>
      </c>
      <c r="Q129" s="971">
        <v>9902</v>
      </c>
      <c r="R129" s="970"/>
      <c r="S129" s="971">
        <v>52520</v>
      </c>
      <c r="T129" s="971">
        <v>-1236</v>
      </c>
      <c r="U129" s="971">
        <v>51284</v>
      </c>
    </row>
    <row r="130" spans="1:21" x14ac:dyDescent="0.25">
      <c r="A130" s="967">
        <v>91171</v>
      </c>
      <c r="B130" s="968" t="s">
        <v>2772</v>
      </c>
      <c r="C130" s="969">
        <v>2.3790000000000001E-4</v>
      </c>
      <c r="D130" s="969">
        <v>1.95E-4</v>
      </c>
      <c r="E130" s="1008">
        <v>108457</v>
      </c>
      <c r="F130" s="1011">
        <v>297906</v>
      </c>
      <c r="G130" s="970">
        <v>564380</v>
      </c>
      <c r="H130" s="970"/>
      <c r="I130" s="970">
        <v>87070</v>
      </c>
      <c r="J130" s="971">
        <v>77473</v>
      </c>
      <c r="K130" s="971">
        <v>149765</v>
      </c>
      <c r="L130" s="971">
        <v>24306</v>
      </c>
      <c r="M130" s="970"/>
      <c r="N130" s="971">
        <v>2922</v>
      </c>
      <c r="O130" s="971">
        <v>0</v>
      </c>
      <c r="P130" s="971">
        <v>0</v>
      </c>
      <c r="Q130" s="971">
        <v>36666</v>
      </c>
      <c r="R130" s="970"/>
      <c r="S130" s="971">
        <v>156770</v>
      </c>
      <c r="T130" s="971">
        <v>-15275</v>
      </c>
      <c r="U130" s="971">
        <v>141495</v>
      </c>
    </row>
    <row r="131" spans="1:21" x14ac:dyDescent="0.25">
      <c r="A131" s="967">
        <v>91201</v>
      </c>
      <c r="B131" s="968" t="s">
        <v>2773</v>
      </c>
      <c r="C131" s="969">
        <v>2.2587000000000002E-3</v>
      </c>
      <c r="D131" s="969">
        <v>2.2878E-3</v>
      </c>
      <c r="E131" s="1008">
        <v>1055635</v>
      </c>
      <c r="F131" s="1011">
        <v>3495125</v>
      </c>
      <c r="G131" s="970">
        <v>5358409</v>
      </c>
      <c r="H131" s="970"/>
      <c r="I131" s="970">
        <v>826675</v>
      </c>
      <c r="J131" s="971">
        <v>735550</v>
      </c>
      <c r="K131" s="971">
        <v>1421915</v>
      </c>
      <c r="L131" s="971">
        <v>15312</v>
      </c>
      <c r="M131" s="970"/>
      <c r="N131" s="971">
        <v>27739</v>
      </c>
      <c r="O131" s="971">
        <v>0</v>
      </c>
      <c r="P131" s="971">
        <v>0</v>
      </c>
      <c r="Q131" s="971">
        <v>131332</v>
      </c>
      <c r="R131" s="970"/>
      <c r="S131" s="971">
        <v>1488422</v>
      </c>
      <c r="T131" s="971">
        <v>-15775</v>
      </c>
      <c r="U131" s="971">
        <v>1472647</v>
      </c>
    </row>
    <row r="132" spans="1:21" x14ac:dyDescent="0.25">
      <c r="A132" s="967">
        <v>91202</v>
      </c>
      <c r="B132" s="968" t="s">
        <v>2774</v>
      </c>
      <c r="C132" s="969">
        <v>1.9579999999999999E-4</v>
      </c>
      <c r="D132" s="969">
        <v>1.9330000000000001E-4</v>
      </c>
      <c r="E132" s="1008">
        <v>98484</v>
      </c>
      <c r="F132" s="1011">
        <v>295309</v>
      </c>
      <c r="G132" s="970">
        <v>464505</v>
      </c>
      <c r="H132" s="970"/>
      <c r="I132" s="970">
        <v>71662</v>
      </c>
      <c r="J132" s="971">
        <v>63762</v>
      </c>
      <c r="K132" s="971">
        <v>123262</v>
      </c>
      <c r="L132" s="971">
        <v>19480</v>
      </c>
      <c r="M132" s="970"/>
      <c r="N132" s="971">
        <v>2405</v>
      </c>
      <c r="O132" s="971">
        <v>0</v>
      </c>
      <c r="P132" s="971">
        <v>0</v>
      </c>
      <c r="Q132" s="971">
        <v>0</v>
      </c>
      <c r="R132" s="970"/>
      <c r="S132" s="971">
        <v>129027</v>
      </c>
      <c r="T132" s="971">
        <v>13312</v>
      </c>
      <c r="U132" s="971">
        <v>142339</v>
      </c>
    </row>
    <row r="133" spans="1:21" x14ac:dyDescent="0.25">
      <c r="A133" s="967">
        <v>91203</v>
      </c>
      <c r="B133" s="968" t="s">
        <v>2775</v>
      </c>
      <c r="C133" s="969">
        <v>2.3000000000000001E-4</v>
      </c>
      <c r="D133" s="969">
        <v>2.1939999999999999E-4</v>
      </c>
      <c r="E133" s="1008">
        <v>137099</v>
      </c>
      <c r="F133" s="1011">
        <v>335182</v>
      </c>
      <c r="G133" s="970">
        <v>545639</v>
      </c>
      <c r="H133" s="970"/>
      <c r="I133" s="970">
        <v>84179</v>
      </c>
      <c r="J133" s="971">
        <v>74900</v>
      </c>
      <c r="K133" s="971">
        <v>144791</v>
      </c>
      <c r="L133" s="971">
        <v>39994</v>
      </c>
      <c r="M133" s="970"/>
      <c r="N133" s="971">
        <v>2825</v>
      </c>
      <c r="O133" s="971">
        <v>0</v>
      </c>
      <c r="P133" s="971">
        <v>0</v>
      </c>
      <c r="Q133" s="971">
        <v>0</v>
      </c>
      <c r="R133" s="970"/>
      <c r="S133" s="971">
        <v>151564</v>
      </c>
      <c r="T133" s="971">
        <v>19261</v>
      </c>
      <c r="U133" s="971">
        <v>170825</v>
      </c>
    </row>
    <row r="134" spans="1:21" x14ac:dyDescent="0.25">
      <c r="A134" s="967">
        <v>91206</v>
      </c>
      <c r="B134" s="968" t="s">
        <v>2776</v>
      </c>
      <c r="C134" s="969">
        <v>9.0660000000000003E-4</v>
      </c>
      <c r="D134" s="969">
        <v>8.6450000000000003E-4</v>
      </c>
      <c r="E134" s="1008">
        <v>441655</v>
      </c>
      <c r="F134" s="1011">
        <v>1320717</v>
      </c>
      <c r="G134" s="970">
        <v>2150765</v>
      </c>
      <c r="H134" s="970"/>
      <c r="I134" s="970">
        <v>331812</v>
      </c>
      <c r="J134" s="971">
        <v>295237</v>
      </c>
      <c r="K134" s="971">
        <v>570730</v>
      </c>
      <c r="L134" s="971">
        <v>45439</v>
      </c>
      <c r="M134" s="970"/>
      <c r="N134" s="971">
        <v>11134</v>
      </c>
      <c r="O134" s="971">
        <v>0</v>
      </c>
      <c r="P134" s="971">
        <v>0</v>
      </c>
      <c r="Q134" s="971">
        <v>736</v>
      </c>
      <c r="R134" s="970"/>
      <c r="S134" s="971">
        <v>597425</v>
      </c>
      <c r="T134" s="971">
        <v>22732</v>
      </c>
      <c r="U134" s="971">
        <v>620157</v>
      </c>
    </row>
    <row r="135" spans="1:21" x14ac:dyDescent="0.25">
      <c r="A135" s="967">
        <v>91208</v>
      </c>
      <c r="B135" s="968" t="s">
        <v>2777</v>
      </c>
      <c r="C135" s="969">
        <v>1.3200000000000001E-5</v>
      </c>
      <c r="D135" s="969">
        <v>1.42E-5</v>
      </c>
      <c r="E135" s="1008">
        <v>6701</v>
      </c>
      <c r="F135" s="1011">
        <v>21694</v>
      </c>
      <c r="G135" s="970">
        <v>31315</v>
      </c>
      <c r="H135" s="970"/>
      <c r="I135" s="970">
        <v>4831</v>
      </c>
      <c r="J135" s="971">
        <v>4299</v>
      </c>
      <c r="K135" s="971">
        <v>8310</v>
      </c>
      <c r="L135" s="971">
        <v>529</v>
      </c>
      <c r="M135" s="970"/>
      <c r="N135" s="971">
        <v>162</v>
      </c>
      <c r="O135" s="971">
        <v>0</v>
      </c>
      <c r="P135" s="971">
        <v>0</v>
      </c>
      <c r="Q135" s="971">
        <v>522</v>
      </c>
      <c r="R135" s="970"/>
      <c r="S135" s="971">
        <v>8698</v>
      </c>
      <c r="T135" s="971">
        <v>3299</v>
      </c>
      <c r="U135" s="971">
        <v>11997</v>
      </c>
    </row>
    <row r="136" spans="1:21" x14ac:dyDescent="0.25">
      <c r="A136" s="967">
        <v>91211</v>
      </c>
      <c r="B136" s="968" t="s">
        <v>2778</v>
      </c>
      <c r="C136" s="969">
        <v>4.526E-4</v>
      </c>
      <c r="D136" s="969">
        <v>4.5530000000000001E-4</v>
      </c>
      <c r="E136" s="1008">
        <v>205268</v>
      </c>
      <c r="F136" s="1011">
        <v>695572</v>
      </c>
      <c r="G136" s="970">
        <v>1073722</v>
      </c>
      <c r="H136" s="970"/>
      <c r="I136" s="970">
        <v>165650</v>
      </c>
      <c r="J136" s="971">
        <v>147390</v>
      </c>
      <c r="K136" s="971">
        <v>284924</v>
      </c>
      <c r="L136" s="971">
        <v>3586</v>
      </c>
      <c r="M136" s="970"/>
      <c r="N136" s="971">
        <v>5558</v>
      </c>
      <c r="O136" s="971">
        <v>0</v>
      </c>
      <c r="P136" s="971">
        <v>0</v>
      </c>
      <c r="Q136" s="971">
        <v>16402</v>
      </c>
      <c r="R136" s="970"/>
      <c r="S136" s="971">
        <v>298251</v>
      </c>
      <c r="T136" s="971">
        <v>-2389</v>
      </c>
      <c r="U136" s="971">
        <v>295862</v>
      </c>
    </row>
    <row r="137" spans="1:21" x14ac:dyDescent="0.25">
      <c r="A137" s="967">
        <v>91213</v>
      </c>
      <c r="B137" s="968" t="s">
        <v>2779</v>
      </c>
      <c r="C137" s="969">
        <v>2.4700000000000001E-5</v>
      </c>
      <c r="D137" s="969">
        <v>3.2499999999999997E-5</v>
      </c>
      <c r="E137" s="1008">
        <v>11721</v>
      </c>
      <c r="F137" s="1011">
        <v>49651</v>
      </c>
      <c r="G137" s="970">
        <v>58597</v>
      </c>
      <c r="H137" s="970"/>
      <c r="I137" s="970">
        <v>9040</v>
      </c>
      <c r="J137" s="971">
        <v>8043</v>
      </c>
      <c r="K137" s="971">
        <v>15549</v>
      </c>
      <c r="L137" s="971">
        <v>0</v>
      </c>
      <c r="M137" s="970"/>
      <c r="N137" s="971">
        <v>303</v>
      </c>
      <c r="O137" s="971">
        <v>0</v>
      </c>
      <c r="P137" s="971">
        <v>0</v>
      </c>
      <c r="Q137" s="971">
        <v>10895</v>
      </c>
      <c r="R137" s="970"/>
      <c r="S137" s="971">
        <v>16277</v>
      </c>
      <c r="T137" s="971">
        <v>-4124</v>
      </c>
      <c r="U137" s="971">
        <v>12153</v>
      </c>
    </row>
    <row r="138" spans="1:21" x14ac:dyDescent="0.25">
      <c r="A138" s="967">
        <v>91214</v>
      </c>
      <c r="B138" s="968" t="s">
        <v>2780</v>
      </c>
      <c r="C138" s="969">
        <v>3.0499999999999999E-5</v>
      </c>
      <c r="D138" s="969">
        <v>2.9300000000000001E-5</v>
      </c>
      <c r="E138" s="1008">
        <v>11807</v>
      </c>
      <c r="F138" s="1011">
        <v>44762</v>
      </c>
      <c r="G138" s="970">
        <v>72356</v>
      </c>
      <c r="H138" s="970"/>
      <c r="I138" s="970">
        <v>11163</v>
      </c>
      <c r="J138" s="971">
        <v>9932</v>
      </c>
      <c r="K138" s="971">
        <v>19201</v>
      </c>
      <c r="L138" s="971">
        <v>530</v>
      </c>
      <c r="M138" s="970"/>
      <c r="N138" s="971">
        <v>375</v>
      </c>
      <c r="O138" s="971">
        <v>0</v>
      </c>
      <c r="P138" s="971">
        <v>0</v>
      </c>
      <c r="Q138" s="971">
        <v>4250</v>
      </c>
      <c r="R138" s="970"/>
      <c r="S138" s="971">
        <v>20099</v>
      </c>
      <c r="T138" s="971">
        <v>-694</v>
      </c>
      <c r="U138" s="971">
        <v>19405</v>
      </c>
    </row>
    <row r="139" spans="1:21" x14ac:dyDescent="0.25">
      <c r="A139" s="967">
        <v>91217</v>
      </c>
      <c r="B139" s="968" t="s">
        <v>2781</v>
      </c>
      <c r="C139" s="969">
        <v>1.77E-5</v>
      </c>
      <c r="D139" s="969">
        <v>2.8799999999999999E-5</v>
      </c>
      <c r="E139" s="1008">
        <v>14532</v>
      </c>
      <c r="F139" s="1011">
        <v>43998</v>
      </c>
      <c r="G139" s="970">
        <v>41990</v>
      </c>
      <c r="H139" s="970"/>
      <c r="I139" s="970">
        <v>6478</v>
      </c>
      <c r="J139" s="971">
        <v>5764</v>
      </c>
      <c r="K139" s="971">
        <v>11143</v>
      </c>
      <c r="L139" s="971">
        <v>6480</v>
      </c>
      <c r="M139" s="970"/>
      <c r="N139" s="971">
        <v>217</v>
      </c>
      <c r="O139" s="971">
        <v>0</v>
      </c>
      <c r="P139" s="971">
        <v>0</v>
      </c>
      <c r="Q139" s="971">
        <v>3242</v>
      </c>
      <c r="R139" s="970"/>
      <c r="S139" s="971">
        <v>11664</v>
      </c>
      <c r="T139" s="971">
        <v>3494</v>
      </c>
      <c r="U139" s="971">
        <v>15158</v>
      </c>
    </row>
    <row r="140" spans="1:21" x14ac:dyDescent="0.25">
      <c r="A140" s="967">
        <v>91221</v>
      </c>
      <c r="B140" s="968" t="s">
        <v>2782</v>
      </c>
      <c r="C140" s="969">
        <v>1.2329999999999999E-4</v>
      </c>
      <c r="D140" s="969">
        <v>1.3359999999999999E-4</v>
      </c>
      <c r="E140" s="1008">
        <v>57644</v>
      </c>
      <c r="F140" s="1011">
        <v>204104</v>
      </c>
      <c r="G140" s="970">
        <v>292510</v>
      </c>
      <c r="H140" s="970"/>
      <c r="I140" s="970">
        <v>45127</v>
      </c>
      <c r="J140" s="971">
        <v>40153</v>
      </c>
      <c r="K140" s="971">
        <v>77621</v>
      </c>
      <c r="L140" s="971">
        <v>981</v>
      </c>
      <c r="M140" s="970"/>
      <c r="N140" s="971">
        <v>1514</v>
      </c>
      <c r="O140" s="971">
        <v>0</v>
      </c>
      <c r="P140" s="971">
        <v>0</v>
      </c>
      <c r="Q140" s="971">
        <v>13939</v>
      </c>
      <c r="R140" s="970"/>
      <c r="S140" s="971">
        <v>81251</v>
      </c>
      <c r="T140" s="971">
        <v>-1021</v>
      </c>
      <c r="U140" s="971">
        <v>80230</v>
      </c>
    </row>
    <row r="141" spans="1:21" x14ac:dyDescent="0.25">
      <c r="A141" s="967">
        <v>91231</v>
      </c>
      <c r="B141" s="968" t="s">
        <v>2783</v>
      </c>
      <c r="C141" s="969">
        <v>1.8527000000000001E-3</v>
      </c>
      <c r="D141" s="969">
        <v>1.8856000000000001E-3</v>
      </c>
      <c r="E141" s="1008">
        <v>907952</v>
      </c>
      <c r="F141" s="1011">
        <v>2880674</v>
      </c>
      <c r="G141" s="970">
        <v>4395238</v>
      </c>
      <c r="H141" s="970"/>
      <c r="I141" s="970">
        <v>678081</v>
      </c>
      <c r="J141" s="971">
        <v>603336</v>
      </c>
      <c r="K141" s="971">
        <v>1166327</v>
      </c>
      <c r="L141" s="971">
        <v>0</v>
      </c>
      <c r="M141" s="970"/>
      <c r="N141" s="971">
        <v>22753</v>
      </c>
      <c r="O141" s="971">
        <v>0</v>
      </c>
      <c r="P141" s="971">
        <v>0</v>
      </c>
      <c r="Q141" s="971">
        <v>112717</v>
      </c>
      <c r="R141" s="970"/>
      <c r="S141" s="971">
        <v>1220879</v>
      </c>
      <c r="T141" s="971">
        <v>-37802</v>
      </c>
      <c r="U141" s="971">
        <v>1183077</v>
      </c>
    </row>
    <row r="142" spans="1:21" x14ac:dyDescent="0.25">
      <c r="A142" s="967">
        <v>91233</v>
      </c>
      <c r="B142" s="968" t="s">
        <v>2784</v>
      </c>
      <c r="C142" s="969">
        <v>5.3499999999999999E-5</v>
      </c>
      <c r="D142" s="969">
        <v>5.8100000000000003E-5</v>
      </c>
      <c r="E142" s="1008">
        <v>22382</v>
      </c>
      <c r="F142" s="1011">
        <v>88761</v>
      </c>
      <c r="G142" s="970">
        <v>126920</v>
      </c>
      <c r="H142" s="970"/>
      <c r="I142" s="970">
        <v>19581</v>
      </c>
      <c r="J142" s="971">
        <v>17422</v>
      </c>
      <c r="K142" s="971">
        <v>33680</v>
      </c>
      <c r="L142" s="971">
        <v>5224</v>
      </c>
      <c r="M142" s="970"/>
      <c r="N142" s="971">
        <v>657</v>
      </c>
      <c r="O142" s="971">
        <v>0</v>
      </c>
      <c r="P142" s="971">
        <v>0</v>
      </c>
      <c r="Q142" s="971">
        <v>6405</v>
      </c>
      <c r="R142" s="970"/>
      <c r="S142" s="971">
        <v>35255</v>
      </c>
      <c r="T142" s="971">
        <v>2697</v>
      </c>
      <c r="U142" s="971">
        <v>37952</v>
      </c>
    </row>
    <row r="143" spans="1:21" x14ac:dyDescent="0.25">
      <c r="A143" s="967">
        <v>91241</v>
      </c>
      <c r="B143" s="968" t="s">
        <v>2785</v>
      </c>
      <c r="C143" s="969">
        <v>4.3099999999999997E-5</v>
      </c>
      <c r="D143" s="969">
        <v>3.5500000000000002E-5</v>
      </c>
      <c r="E143" s="1008">
        <v>29020</v>
      </c>
      <c r="F143" s="1011">
        <v>54234</v>
      </c>
      <c r="G143" s="970">
        <v>102248</v>
      </c>
      <c r="H143" s="970"/>
      <c r="I143" s="970">
        <v>15774</v>
      </c>
      <c r="J143" s="971">
        <v>14035</v>
      </c>
      <c r="K143" s="971">
        <v>27133</v>
      </c>
      <c r="L143" s="971">
        <v>11777</v>
      </c>
      <c r="M143" s="970"/>
      <c r="N143" s="971">
        <v>529</v>
      </c>
      <c r="O143" s="971">
        <v>0</v>
      </c>
      <c r="P143" s="971">
        <v>0</v>
      </c>
      <c r="Q143" s="971">
        <v>1842</v>
      </c>
      <c r="R143" s="970"/>
      <c r="S143" s="971">
        <v>28402</v>
      </c>
      <c r="T143" s="971">
        <v>394</v>
      </c>
      <c r="U143" s="971">
        <v>28796</v>
      </c>
    </row>
    <row r="144" spans="1:21" x14ac:dyDescent="0.25">
      <c r="A144" s="967">
        <v>91251</v>
      </c>
      <c r="B144" s="968" t="s">
        <v>2786</v>
      </c>
      <c r="C144" s="969">
        <v>2.9499999999999999E-5</v>
      </c>
      <c r="D144" s="969">
        <v>1.9899999999999999E-5</v>
      </c>
      <c r="E144" s="1008">
        <v>17208</v>
      </c>
      <c r="F144" s="1011">
        <v>30402</v>
      </c>
      <c r="G144" s="970">
        <v>69984</v>
      </c>
      <c r="H144" s="970"/>
      <c r="I144" s="970">
        <v>10797</v>
      </c>
      <c r="J144" s="971">
        <v>9607</v>
      </c>
      <c r="K144" s="971">
        <v>18571</v>
      </c>
      <c r="L144" s="971">
        <v>9082</v>
      </c>
      <c r="M144" s="970"/>
      <c r="N144" s="971">
        <v>362</v>
      </c>
      <c r="O144" s="971">
        <v>0</v>
      </c>
      <c r="P144" s="971">
        <v>0</v>
      </c>
      <c r="Q144" s="971">
        <v>2515</v>
      </c>
      <c r="R144" s="970"/>
      <c r="S144" s="971">
        <v>19440</v>
      </c>
      <c r="T144" s="971">
        <v>3588</v>
      </c>
      <c r="U144" s="971">
        <v>23028</v>
      </c>
    </row>
    <row r="145" spans="1:21" x14ac:dyDescent="0.25">
      <c r="A145" s="967">
        <v>91261</v>
      </c>
      <c r="B145" s="968" t="s">
        <v>2787</v>
      </c>
      <c r="C145" s="969">
        <v>1.06E-5</v>
      </c>
      <c r="D145" s="969">
        <v>1.03E-5</v>
      </c>
      <c r="E145" s="1008">
        <v>4922</v>
      </c>
      <c r="F145" s="1011">
        <v>15736</v>
      </c>
      <c r="G145" s="970">
        <v>25147</v>
      </c>
      <c r="H145" s="970"/>
      <c r="I145" s="970">
        <v>3880</v>
      </c>
      <c r="J145" s="971">
        <v>3452</v>
      </c>
      <c r="K145" s="971">
        <v>6673</v>
      </c>
      <c r="L145" s="971">
        <v>939</v>
      </c>
      <c r="M145" s="970"/>
      <c r="N145" s="971">
        <v>130</v>
      </c>
      <c r="O145" s="971">
        <v>0</v>
      </c>
      <c r="P145" s="971">
        <v>0</v>
      </c>
      <c r="Q145" s="971">
        <v>0</v>
      </c>
      <c r="R145" s="970"/>
      <c r="S145" s="971">
        <v>6985</v>
      </c>
      <c r="T145" s="971">
        <v>848</v>
      </c>
      <c r="U145" s="971">
        <v>7833</v>
      </c>
    </row>
    <row r="146" spans="1:21" x14ac:dyDescent="0.25">
      <c r="A146" s="967">
        <v>91301</v>
      </c>
      <c r="B146" s="968" t="s">
        <v>2788</v>
      </c>
      <c r="C146" s="969">
        <v>7.7812000000000003E-3</v>
      </c>
      <c r="D146" s="969">
        <v>7.6985999999999999E-3</v>
      </c>
      <c r="E146" s="1008">
        <v>3634284</v>
      </c>
      <c r="F146" s="1011">
        <v>11761328</v>
      </c>
      <c r="G146" s="970">
        <v>18459668</v>
      </c>
      <c r="H146" s="970"/>
      <c r="I146" s="970">
        <v>2847888</v>
      </c>
      <c r="J146" s="971">
        <v>2533963</v>
      </c>
      <c r="K146" s="971">
        <v>4898483</v>
      </c>
      <c r="L146" s="971">
        <v>12950</v>
      </c>
      <c r="M146" s="970"/>
      <c r="N146" s="971">
        <v>95561</v>
      </c>
      <c r="O146" s="971">
        <v>0</v>
      </c>
      <c r="P146" s="971">
        <v>0</v>
      </c>
      <c r="Q146" s="971">
        <v>224172</v>
      </c>
      <c r="R146" s="970"/>
      <c r="S146" s="971">
        <v>5127601</v>
      </c>
      <c r="T146" s="971">
        <v>-118489</v>
      </c>
      <c r="U146" s="971">
        <v>5009112</v>
      </c>
    </row>
    <row r="147" spans="1:21" x14ac:dyDescent="0.25">
      <c r="A147" s="974">
        <v>91302</v>
      </c>
      <c r="B147" s="968" t="s">
        <v>3684</v>
      </c>
      <c r="C147" s="969">
        <v>5.4440000000000001E-4</v>
      </c>
      <c r="D147" s="969">
        <v>6.0300000000000002E-4</v>
      </c>
      <c r="E147" s="1008">
        <v>256040</v>
      </c>
      <c r="F147" s="1011">
        <v>921217</v>
      </c>
      <c r="G147" s="970">
        <v>1291503</v>
      </c>
      <c r="H147" s="970"/>
      <c r="I147" s="970">
        <v>199248</v>
      </c>
      <c r="J147" s="971">
        <v>177285</v>
      </c>
      <c r="K147" s="971">
        <v>342715</v>
      </c>
      <c r="L147" s="971">
        <v>12855</v>
      </c>
      <c r="M147" s="970"/>
      <c r="N147" s="971">
        <v>6686</v>
      </c>
      <c r="O147" s="971">
        <v>0</v>
      </c>
      <c r="P147" s="971">
        <v>0</v>
      </c>
      <c r="Q147" s="971">
        <v>55205</v>
      </c>
      <c r="R147" s="970"/>
      <c r="S147" s="971">
        <v>358745</v>
      </c>
      <c r="T147" s="971">
        <v>5826</v>
      </c>
      <c r="U147" s="971">
        <v>364571</v>
      </c>
    </row>
    <row r="148" spans="1:21" x14ac:dyDescent="0.25">
      <c r="A148" s="974">
        <v>91306</v>
      </c>
      <c r="B148" s="968" t="s">
        <v>2790</v>
      </c>
      <c r="C148" s="969">
        <v>1.8347000000000001E-3</v>
      </c>
      <c r="D148" s="969">
        <v>1.6412E-3</v>
      </c>
      <c r="E148" s="1008">
        <v>913944</v>
      </c>
      <c r="F148" s="1011">
        <v>2507299</v>
      </c>
      <c r="G148" s="970">
        <v>4352536</v>
      </c>
      <c r="H148" s="970"/>
      <c r="I148" s="970">
        <v>671493</v>
      </c>
      <c r="J148" s="971">
        <v>597473</v>
      </c>
      <c r="K148" s="971">
        <v>1154995</v>
      </c>
      <c r="L148" s="971">
        <v>204148</v>
      </c>
      <c r="M148" s="970"/>
      <c r="N148" s="971">
        <v>22532</v>
      </c>
      <c r="O148" s="971">
        <v>0</v>
      </c>
      <c r="P148" s="971">
        <v>0</v>
      </c>
      <c r="Q148" s="971">
        <v>5325</v>
      </c>
      <c r="R148" s="970"/>
      <c r="S148" s="971">
        <v>1209018</v>
      </c>
      <c r="T148" s="971">
        <v>96839</v>
      </c>
      <c r="U148" s="971">
        <v>1305857</v>
      </c>
    </row>
    <row r="149" spans="1:21" x14ac:dyDescent="0.25">
      <c r="A149" s="974">
        <v>91308</v>
      </c>
      <c r="B149" s="968" t="s">
        <v>2791</v>
      </c>
      <c r="C149" s="969">
        <v>1.7149999999999999E-4</v>
      </c>
      <c r="D149" s="969">
        <v>1.8009999999999999E-4</v>
      </c>
      <c r="E149" s="1008">
        <v>81846</v>
      </c>
      <c r="F149" s="1011">
        <v>275143</v>
      </c>
      <c r="G149" s="970">
        <v>406857</v>
      </c>
      <c r="H149" s="970"/>
      <c r="I149" s="970">
        <v>62768</v>
      </c>
      <c r="J149" s="971">
        <v>55849</v>
      </c>
      <c r="K149" s="971">
        <v>107964</v>
      </c>
      <c r="L149" s="971">
        <v>117</v>
      </c>
      <c r="M149" s="970"/>
      <c r="N149" s="971">
        <v>2106</v>
      </c>
      <c r="O149" s="971">
        <v>0</v>
      </c>
      <c r="P149" s="971">
        <v>0</v>
      </c>
      <c r="Q149" s="971">
        <v>22928</v>
      </c>
      <c r="R149" s="970"/>
      <c r="S149" s="971">
        <v>113014</v>
      </c>
      <c r="T149" s="971">
        <v>-5660</v>
      </c>
      <c r="U149" s="971">
        <v>107354</v>
      </c>
    </row>
    <row r="150" spans="1:21" x14ac:dyDescent="0.25">
      <c r="A150" s="967">
        <v>91311</v>
      </c>
      <c r="B150" s="968" t="s">
        <v>2792</v>
      </c>
      <c r="C150" s="969">
        <v>7.7199E-3</v>
      </c>
      <c r="D150" s="969">
        <v>7.6685E-3</v>
      </c>
      <c r="E150" s="1008">
        <v>3635420</v>
      </c>
      <c r="F150" s="1011">
        <v>11715344</v>
      </c>
      <c r="G150" s="970">
        <v>18314243</v>
      </c>
      <c r="H150" s="970"/>
      <c r="I150" s="970">
        <v>2825453</v>
      </c>
      <c r="J150" s="971">
        <v>2514000</v>
      </c>
      <c r="K150" s="971">
        <v>4859893</v>
      </c>
      <c r="L150" s="971">
        <v>35298</v>
      </c>
      <c r="M150" s="970"/>
      <c r="N150" s="971">
        <v>94808</v>
      </c>
      <c r="O150" s="971">
        <v>0</v>
      </c>
      <c r="P150" s="971">
        <v>0</v>
      </c>
      <c r="Q150" s="971">
        <v>364413</v>
      </c>
      <c r="R150" s="970"/>
      <c r="S150" s="971">
        <v>5087206</v>
      </c>
      <c r="T150" s="971">
        <v>-205799</v>
      </c>
      <c r="U150" s="971">
        <v>4881407</v>
      </c>
    </row>
    <row r="151" spans="1:21" x14ac:dyDescent="0.25">
      <c r="A151" s="967">
        <v>91317</v>
      </c>
      <c r="B151" s="968" t="s">
        <v>2793</v>
      </c>
      <c r="C151" s="969">
        <v>1.004E-4</v>
      </c>
      <c r="D151" s="969">
        <v>1.016E-4</v>
      </c>
      <c r="E151" s="1008">
        <v>55268</v>
      </c>
      <c r="F151" s="1011">
        <v>155217</v>
      </c>
      <c r="G151" s="970">
        <v>238183</v>
      </c>
      <c r="H151" s="970"/>
      <c r="I151" s="970">
        <v>36746</v>
      </c>
      <c r="J151" s="971">
        <v>32696</v>
      </c>
      <c r="K151" s="971">
        <v>63205</v>
      </c>
      <c r="L151" s="971">
        <v>13218</v>
      </c>
      <c r="M151" s="970"/>
      <c r="N151" s="971">
        <v>1233</v>
      </c>
      <c r="O151" s="971">
        <v>0</v>
      </c>
      <c r="P151" s="971">
        <v>0</v>
      </c>
      <c r="Q151" s="971">
        <v>602</v>
      </c>
      <c r="R151" s="970"/>
      <c r="S151" s="971">
        <v>66161</v>
      </c>
      <c r="T151" s="971">
        <v>3844</v>
      </c>
      <c r="U151" s="971">
        <v>70005</v>
      </c>
    </row>
    <row r="152" spans="1:21" x14ac:dyDescent="0.25">
      <c r="A152" s="967">
        <v>91321</v>
      </c>
      <c r="B152" s="968" t="s">
        <v>2794</v>
      </c>
      <c r="C152" s="969">
        <v>4.5899999999999998E-5</v>
      </c>
      <c r="D152" s="969">
        <v>4.2799999999999997E-5</v>
      </c>
      <c r="E152" s="1008">
        <v>46431</v>
      </c>
      <c r="F152" s="1011">
        <v>65387</v>
      </c>
      <c r="G152" s="970">
        <v>108890</v>
      </c>
      <c r="H152" s="970"/>
      <c r="I152" s="970">
        <v>16799</v>
      </c>
      <c r="J152" s="971">
        <v>14947</v>
      </c>
      <c r="K152" s="971">
        <v>28895</v>
      </c>
      <c r="L152" s="971">
        <v>34886</v>
      </c>
      <c r="M152" s="970"/>
      <c r="N152" s="971">
        <v>564</v>
      </c>
      <c r="O152" s="971">
        <v>0</v>
      </c>
      <c r="P152" s="971">
        <v>0</v>
      </c>
      <c r="Q152" s="971">
        <v>1694</v>
      </c>
      <c r="R152" s="970"/>
      <c r="S152" s="971">
        <v>30247</v>
      </c>
      <c r="T152" s="971">
        <v>8780</v>
      </c>
      <c r="U152" s="971">
        <v>39027</v>
      </c>
    </row>
    <row r="153" spans="1:21" x14ac:dyDescent="0.25">
      <c r="A153" s="967">
        <v>91327</v>
      </c>
      <c r="B153" s="968" t="s">
        <v>2795</v>
      </c>
      <c r="C153" s="969">
        <v>7.7000000000000008E-6</v>
      </c>
      <c r="D153" s="969">
        <v>8.1999999999999994E-6</v>
      </c>
      <c r="E153" s="1008">
        <v>4873</v>
      </c>
      <c r="F153" s="1011">
        <v>12527</v>
      </c>
      <c r="G153" s="970">
        <v>18267</v>
      </c>
      <c r="H153" s="970"/>
      <c r="I153" s="970">
        <v>2818</v>
      </c>
      <c r="J153" s="971">
        <v>2507</v>
      </c>
      <c r="K153" s="971">
        <v>4847</v>
      </c>
      <c r="L153" s="971">
        <v>526</v>
      </c>
      <c r="M153" s="970"/>
      <c r="N153" s="971">
        <v>95</v>
      </c>
      <c r="O153" s="971">
        <v>0</v>
      </c>
      <c r="P153" s="971">
        <v>0</v>
      </c>
      <c r="Q153" s="971">
        <v>1045</v>
      </c>
      <c r="R153" s="970"/>
      <c r="S153" s="971">
        <v>5074</v>
      </c>
      <c r="T153" s="971">
        <v>-349</v>
      </c>
      <c r="U153" s="971">
        <v>4725</v>
      </c>
    </row>
    <row r="154" spans="1:21" x14ac:dyDescent="0.25">
      <c r="A154" s="967">
        <v>91331</v>
      </c>
      <c r="B154" s="968" t="s">
        <v>2796</v>
      </c>
      <c r="C154" s="969">
        <v>3.0000000000000001E-3</v>
      </c>
      <c r="D154" s="969">
        <v>3.0033E-3</v>
      </c>
      <c r="E154" s="1008">
        <v>1293706</v>
      </c>
      <c r="F154" s="1011">
        <v>4588210</v>
      </c>
      <c r="G154" s="970">
        <v>7117026</v>
      </c>
      <c r="H154" s="970"/>
      <c r="I154" s="970">
        <v>1097988</v>
      </c>
      <c r="J154" s="971">
        <v>976956</v>
      </c>
      <c r="K154" s="971">
        <v>1888584</v>
      </c>
      <c r="L154" s="971">
        <v>0</v>
      </c>
      <c r="M154" s="970"/>
      <c r="N154" s="971">
        <v>36843</v>
      </c>
      <c r="O154" s="971">
        <v>0</v>
      </c>
      <c r="P154" s="971">
        <v>0</v>
      </c>
      <c r="Q154" s="971">
        <v>309037</v>
      </c>
      <c r="R154" s="970"/>
      <c r="S154" s="971">
        <v>1976919</v>
      </c>
      <c r="T154" s="971">
        <v>-211269</v>
      </c>
      <c r="U154" s="971">
        <v>1765650</v>
      </c>
    </row>
    <row r="155" spans="1:21" x14ac:dyDescent="0.25">
      <c r="A155" s="967">
        <v>91341</v>
      </c>
      <c r="B155" s="968" t="s">
        <v>2797</v>
      </c>
      <c r="C155" s="969">
        <v>2.44E-5</v>
      </c>
      <c r="D155" s="969">
        <v>2.51E-5</v>
      </c>
      <c r="E155" s="1008">
        <v>14438</v>
      </c>
      <c r="F155" s="1011">
        <v>38346</v>
      </c>
      <c r="G155" s="970">
        <v>57885</v>
      </c>
      <c r="H155" s="970"/>
      <c r="I155" s="970">
        <v>8930</v>
      </c>
      <c r="J155" s="971">
        <v>7946</v>
      </c>
      <c r="K155" s="971">
        <v>15360</v>
      </c>
      <c r="L155" s="971">
        <v>5509</v>
      </c>
      <c r="M155" s="970"/>
      <c r="N155" s="971">
        <v>300</v>
      </c>
      <c r="O155" s="971">
        <v>0</v>
      </c>
      <c r="P155" s="971">
        <v>0</v>
      </c>
      <c r="Q155" s="971">
        <v>1144</v>
      </c>
      <c r="R155" s="970"/>
      <c r="S155" s="971">
        <v>16079</v>
      </c>
      <c r="T155" s="971">
        <v>1311</v>
      </c>
      <c r="U155" s="971">
        <v>17390</v>
      </c>
    </row>
    <row r="156" spans="1:21" x14ac:dyDescent="0.25">
      <c r="A156" s="967">
        <v>91401</v>
      </c>
      <c r="B156" s="968" t="s">
        <v>2798</v>
      </c>
      <c r="C156" s="969">
        <v>3.5492000000000002E-3</v>
      </c>
      <c r="D156" s="969">
        <v>3.5885000000000001E-3</v>
      </c>
      <c r="E156" s="1008">
        <v>1665858</v>
      </c>
      <c r="F156" s="1011">
        <v>5482234</v>
      </c>
      <c r="G156" s="970">
        <v>8419916</v>
      </c>
      <c r="H156" s="970"/>
      <c r="I156" s="970">
        <v>1298993</v>
      </c>
      <c r="J156" s="971">
        <v>1155804</v>
      </c>
      <c r="K156" s="971">
        <v>2234321</v>
      </c>
      <c r="L156" s="971">
        <v>4118</v>
      </c>
      <c r="M156" s="970"/>
      <c r="N156" s="971">
        <v>43588</v>
      </c>
      <c r="O156" s="971">
        <v>0</v>
      </c>
      <c r="P156" s="971">
        <v>0</v>
      </c>
      <c r="Q156" s="971">
        <v>191268</v>
      </c>
      <c r="R156" s="970"/>
      <c r="S156" s="971">
        <v>2338827</v>
      </c>
      <c r="T156" s="971">
        <v>-44473</v>
      </c>
      <c r="U156" s="971">
        <v>2294354</v>
      </c>
    </row>
    <row r="157" spans="1:21" x14ac:dyDescent="0.25">
      <c r="A157" s="967">
        <v>91411</v>
      </c>
      <c r="B157" s="968" t="s">
        <v>2799</v>
      </c>
      <c r="C157" s="969">
        <v>3.8479999999999997E-4</v>
      </c>
      <c r="D157" s="969">
        <v>3.7829999999999998E-4</v>
      </c>
      <c r="E157" s="1008">
        <v>184235</v>
      </c>
      <c r="F157" s="1011">
        <v>577938</v>
      </c>
      <c r="G157" s="970">
        <v>912877</v>
      </c>
      <c r="H157" s="970"/>
      <c r="I157" s="970">
        <v>140835</v>
      </c>
      <c r="J157" s="971">
        <v>125311</v>
      </c>
      <c r="K157" s="971">
        <v>242242</v>
      </c>
      <c r="L157" s="971">
        <v>20796</v>
      </c>
      <c r="M157" s="970"/>
      <c r="N157" s="971">
        <v>4726</v>
      </c>
      <c r="O157" s="971">
        <v>0</v>
      </c>
      <c r="P157" s="971">
        <v>0</v>
      </c>
      <c r="Q157" s="971">
        <v>0</v>
      </c>
      <c r="R157" s="970"/>
      <c r="S157" s="971">
        <v>253573</v>
      </c>
      <c r="T157" s="971">
        <v>8126</v>
      </c>
      <c r="U157" s="971">
        <v>261699</v>
      </c>
    </row>
    <row r="158" spans="1:21" x14ac:dyDescent="0.25">
      <c r="A158" s="967">
        <v>91417</v>
      </c>
      <c r="B158" s="968" t="s">
        <v>2800</v>
      </c>
      <c r="C158" s="969">
        <v>8.3999999999999992E-6</v>
      </c>
      <c r="D158" s="969">
        <v>9.3000000000000007E-6</v>
      </c>
      <c r="E158" s="1008">
        <v>5524</v>
      </c>
      <c r="F158" s="1011">
        <v>14208</v>
      </c>
      <c r="G158" s="970">
        <v>19928</v>
      </c>
      <c r="H158" s="970"/>
      <c r="I158" s="970">
        <v>3074</v>
      </c>
      <c r="J158" s="971">
        <v>2735</v>
      </c>
      <c r="K158" s="971">
        <v>5288</v>
      </c>
      <c r="L158" s="971">
        <v>1077</v>
      </c>
      <c r="M158" s="970"/>
      <c r="N158" s="971">
        <v>103</v>
      </c>
      <c r="O158" s="971">
        <v>0</v>
      </c>
      <c r="P158" s="971">
        <v>0</v>
      </c>
      <c r="Q158" s="971">
        <v>0</v>
      </c>
      <c r="R158" s="970"/>
      <c r="S158" s="971">
        <v>5535</v>
      </c>
      <c r="T158" s="971">
        <v>1921</v>
      </c>
      <c r="U158" s="971">
        <v>7456</v>
      </c>
    </row>
    <row r="159" spans="1:21" x14ac:dyDescent="0.25">
      <c r="A159" s="967">
        <v>91421</v>
      </c>
      <c r="B159" s="968" t="s">
        <v>2801</v>
      </c>
      <c r="C159" s="969">
        <v>7.2299999999999996E-5</v>
      </c>
      <c r="D159" s="969">
        <v>6.9499999999999995E-5</v>
      </c>
      <c r="E159" s="1008">
        <v>38841</v>
      </c>
      <c r="F159" s="1011">
        <v>106177</v>
      </c>
      <c r="G159" s="970">
        <v>171520</v>
      </c>
      <c r="H159" s="970"/>
      <c r="I159" s="970">
        <v>26462</v>
      </c>
      <c r="J159" s="971">
        <v>23545</v>
      </c>
      <c r="K159" s="971">
        <v>45515</v>
      </c>
      <c r="L159" s="971">
        <v>7066</v>
      </c>
      <c r="M159" s="970"/>
      <c r="N159" s="971">
        <v>888</v>
      </c>
      <c r="O159" s="971">
        <v>0</v>
      </c>
      <c r="P159" s="971">
        <v>0</v>
      </c>
      <c r="Q159" s="971">
        <v>1453</v>
      </c>
      <c r="R159" s="970"/>
      <c r="S159" s="971">
        <v>47644</v>
      </c>
      <c r="T159" s="971">
        <v>1546</v>
      </c>
      <c r="U159" s="971">
        <v>49190</v>
      </c>
    </row>
    <row r="160" spans="1:21" x14ac:dyDescent="0.25">
      <c r="A160" s="967">
        <v>91423</v>
      </c>
      <c r="B160" s="968" t="s">
        <v>2802</v>
      </c>
      <c r="C160" s="969">
        <v>4.88E-5</v>
      </c>
      <c r="D160" s="969">
        <v>5.38E-5</v>
      </c>
      <c r="E160" s="1008">
        <v>19786</v>
      </c>
      <c r="F160" s="1011">
        <v>82191</v>
      </c>
      <c r="G160" s="970">
        <v>115770</v>
      </c>
      <c r="H160" s="970"/>
      <c r="I160" s="970">
        <v>17861</v>
      </c>
      <c r="J160" s="971">
        <v>15892</v>
      </c>
      <c r="K160" s="971">
        <v>30721</v>
      </c>
      <c r="L160" s="971">
        <v>8202</v>
      </c>
      <c r="M160" s="970"/>
      <c r="N160" s="971">
        <v>599</v>
      </c>
      <c r="O160" s="971">
        <v>0</v>
      </c>
      <c r="P160" s="971">
        <v>0</v>
      </c>
      <c r="Q160" s="971">
        <v>6851</v>
      </c>
      <c r="R160" s="970"/>
      <c r="S160" s="971">
        <v>32158</v>
      </c>
      <c r="T160" s="971">
        <v>1514</v>
      </c>
      <c r="U160" s="971">
        <v>33672</v>
      </c>
    </row>
    <row r="161" spans="1:21" x14ac:dyDescent="0.25">
      <c r="A161" s="967">
        <v>91431</v>
      </c>
      <c r="B161" s="968" t="s">
        <v>2803</v>
      </c>
      <c r="C161" s="969">
        <v>1.6229999999999999E-4</v>
      </c>
      <c r="D161" s="969">
        <v>1.562E-4</v>
      </c>
      <c r="E161" s="1008">
        <v>88726</v>
      </c>
      <c r="F161" s="1011">
        <v>238630</v>
      </c>
      <c r="G161" s="970">
        <v>385031</v>
      </c>
      <c r="H161" s="970"/>
      <c r="I161" s="970">
        <v>59401</v>
      </c>
      <c r="J161" s="971">
        <v>52853</v>
      </c>
      <c r="K161" s="971">
        <v>102172</v>
      </c>
      <c r="L161" s="971">
        <v>24735</v>
      </c>
      <c r="M161" s="970"/>
      <c r="N161" s="971">
        <v>1993</v>
      </c>
      <c r="O161" s="971">
        <v>0</v>
      </c>
      <c r="P161" s="971">
        <v>0</v>
      </c>
      <c r="Q161" s="971">
        <v>1035</v>
      </c>
      <c r="R161" s="970"/>
      <c r="S161" s="971">
        <v>106951</v>
      </c>
      <c r="T161" s="971">
        <v>6979</v>
      </c>
      <c r="U161" s="971">
        <v>113930</v>
      </c>
    </row>
    <row r="162" spans="1:21" x14ac:dyDescent="0.25">
      <c r="A162" s="967">
        <v>91441</v>
      </c>
      <c r="B162" s="968" t="s">
        <v>2804</v>
      </c>
      <c r="C162" s="969">
        <v>9.4680000000000003E-4</v>
      </c>
      <c r="D162" s="969">
        <v>9.5140000000000003E-4</v>
      </c>
      <c r="E162" s="1008">
        <v>350488</v>
      </c>
      <c r="F162" s="1011">
        <v>1453476</v>
      </c>
      <c r="G162" s="970">
        <v>2246133</v>
      </c>
      <c r="H162" s="970"/>
      <c r="I162" s="970">
        <v>346525</v>
      </c>
      <c r="J162" s="971">
        <v>308327</v>
      </c>
      <c r="K162" s="971">
        <v>596037</v>
      </c>
      <c r="L162" s="971">
        <v>35215</v>
      </c>
      <c r="M162" s="970"/>
      <c r="N162" s="971">
        <v>11628</v>
      </c>
      <c r="O162" s="971">
        <v>0</v>
      </c>
      <c r="P162" s="971">
        <v>0</v>
      </c>
      <c r="Q162" s="971">
        <v>145358</v>
      </c>
      <c r="R162" s="970"/>
      <c r="S162" s="971">
        <v>623916</v>
      </c>
      <c r="T162" s="971">
        <v>-63164</v>
      </c>
      <c r="U162" s="971">
        <v>560752</v>
      </c>
    </row>
    <row r="163" spans="1:21" x14ac:dyDescent="0.25">
      <c r="A163" s="967">
        <v>91451</v>
      </c>
      <c r="B163" s="968" t="s">
        <v>2805</v>
      </c>
      <c r="C163" s="969">
        <v>1.4832000000000001E-3</v>
      </c>
      <c r="D163" s="969">
        <v>1.4760000000000001E-3</v>
      </c>
      <c r="E163" s="1008">
        <v>719186</v>
      </c>
      <c r="F163" s="1011">
        <v>2254919</v>
      </c>
      <c r="G163" s="970">
        <v>3518658</v>
      </c>
      <c r="H163" s="970"/>
      <c r="I163" s="970">
        <v>542845</v>
      </c>
      <c r="J163" s="971">
        <v>483007</v>
      </c>
      <c r="K163" s="971">
        <v>933716</v>
      </c>
      <c r="L163" s="971">
        <v>0</v>
      </c>
      <c r="M163" s="970"/>
      <c r="N163" s="971">
        <v>18215</v>
      </c>
      <c r="O163" s="971">
        <v>0</v>
      </c>
      <c r="P163" s="971">
        <v>0</v>
      </c>
      <c r="Q163" s="971">
        <v>115272</v>
      </c>
      <c r="R163" s="970"/>
      <c r="S163" s="971">
        <v>977389</v>
      </c>
      <c r="T163" s="971">
        <v>-84871</v>
      </c>
      <c r="U163" s="971">
        <v>892518</v>
      </c>
    </row>
    <row r="164" spans="1:21" x14ac:dyDescent="0.25">
      <c r="A164" s="967">
        <v>91457</v>
      </c>
      <c r="B164" s="968" t="s">
        <v>2806</v>
      </c>
      <c r="C164" s="969">
        <v>2.2099999999999998E-5</v>
      </c>
      <c r="D164" s="969">
        <v>2.23E-5</v>
      </c>
      <c r="E164" s="1008">
        <v>29815</v>
      </c>
      <c r="F164" s="1011">
        <v>34068</v>
      </c>
      <c r="G164" s="970">
        <v>52429</v>
      </c>
      <c r="H164" s="970"/>
      <c r="I164" s="970">
        <v>8089</v>
      </c>
      <c r="J164" s="971">
        <v>7197</v>
      </c>
      <c r="K164" s="971">
        <v>13913</v>
      </c>
      <c r="L164" s="971">
        <v>34989</v>
      </c>
      <c r="M164" s="970"/>
      <c r="N164" s="971">
        <v>271</v>
      </c>
      <c r="O164" s="971">
        <v>0</v>
      </c>
      <c r="P164" s="971">
        <v>0</v>
      </c>
      <c r="Q164" s="971">
        <v>0</v>
      </c>
      <c r="R164" s="970"/>
      <c r="S164" s="971">
        <v>14563</v>
      </c>
      <c r="T164" s="971">
        <v>14690</v>
      </c>
      <c r="U164" s="971">
        <v>29253</v>
      </c>
    </row>
    <row r="165" spans="1:21" x14ac:dyDescent="0.25">
      <c r="A165" s="967">
        <v>91461</v>
      </c>
      <c r="B165" s="968" t="s">
        <v>2807</v>
      </c>
      <c r="C165" s="969">
        <v>9.5999999999999996E-6</v>
      </c>
      <c r="D165" s="969">
        <v>9.3999999999999998E-6</v>
      </c>
      <c r="E165" s="1008">
        <v>3124</v>
      </c>
      <c r="F165" s="1011">
        <v>14361</v>
      </c>
      <c r="G165" s="970">
        <v>22774</v>
      </c>
      <c r="H165" s="970"/>
      <c r="I165" s="970">
        <v>3514</v>
      </c>
      <c r="J165" s="971">
        <v>3126</v>
      </c>
      <c r="K165" s="971">
        <v>6043</v>
      </c>
      <c r="L165" s="971">
        <v>951</v>
      </c>
      <c r="M165" s="970"/>
      <c r="N165" s="971">
        <v>118</v>
      </c>
      <c r="O165" s="971">
        <v>0</v>
      </c>
      <c r="P165" s="971">
        <v>0</v>
      </c>
      <c r="Q165" s="971">
        <v>1594</v>
      </c>
      <c r="R165" s="970"/>
      <c r="S165" s="971">
        <v>6326</v>
      </c>
      <c r="T165" s="971">
        <v>664</v>
      </c>
      <c r="U165" s="971">
        <v>6990</v>
      </c>
    </row>
    <row r="166" spans="1:21" x14ac:dyDescent="0.25">
      <c r="A166" s="967">
        <v>91501</v>
      </c>
      <c r="B166" s="968" t="s">
        <v>2808</v>
      </c>
      <c r="C166" s="969">
        <v>4.6460000000000002E-4</v>
      </c>
      <c r="D166" s="969">
        <v>4.9700000000000005E-4</v>
      </c>
      <c r="E166" s="1008">
        <v>236942</v>
      </c>
      <c r="F166" s="1011">
        <v>759278</v>
      </c>
      <c r="G166" s="970">
        <v>1102190</v>
      </c>
      <c r="H166" s="970"/>
      <c r="I166" s="970">
        <v>170042</v>
      </c>
      <c r="J166" s="971">
        <v>151298</v>
      </c>
      <c r="K166" s="971">
        <v>292479</v>
      </c>
      <c r="L166" s="971">
        <v>7231</v>
      </c>
      <c r="M166" s="970"/>
      <c r="N166" s="971">
        <v>5706</v>
      </c>
      <c r="O166" s="971">
        <v>0</v>
      </c>
      <c r="P166" s="971">
        <v>0</v>
      </c>
      <c r="Q166" s="971">
        <v>20696</v>
      </c>
      <c r="R166" s="970"/>
      <c r="S166" s="971">
        <v>306159</v>
      </c>
      <c r="T166" s="971">
        <v>11595</v>
      </c>
      <c r="U166" s="971">
        <v>317754</v>
      </c>
    </row>
    <row r="167" spans="1:21" x14ac:dyDescent="0.25">
      <c r="A167" s="967">
        <v>91504</v>
      </c>
      <c r="B167" s="968" t="s">
        <v>2809</v>
      </c>
      <c r="C167" s="969">
        <v>9.7999999999999993E-6</v>
      </c>
      <c r="D167" s="969">
        <v>9.7000000000000003E-6</v>
      </c>
      <c r="E167" s="1008">
        <v>6939</v>
      </c>
      <c r="F167" s="1011">
        <v>14819</v>
      </c>
      <c r="G167" s="970">
        <v>23249</v>
      </c>
      <c r="H167" s="970"/>
      <c r="I167" s="970">
        <v>3587</v>
      </c>
      <c r="J167" s="971">
        <v>3191</v>
      </c>
      <c r="K167" s="971">
        <v>6169</v>
      </c>
      <c r="L167" s="971">
        <v>4807</v>
      </c>
      <c r="M167" s="970"/>
      <c r="N167" s="971">
        <v>120</v>
      </c>
      <c r="O167" s="971">
        <v>0</v>
      </c>
      <c r="P167" s="971">
        <v>0</v>
      </c>
      <c r="Q167" s="971">
        <v>0</v>
      </c>
      <c r="R167" s="970"/>
      <c r="S167" s="971">
        <v>6458</v>
      </c>
      <c r="T167" s="971">
        <v>3045</v>
      </c>
      <c r="U167" s="971">
        <v>9503</v>
      </c>
    </row>
    <row r="168" spans="1:21" x14ac:dyDescent="0.25">
      <c r="A168" s="967">
        <v>91601</v>
      </c>
      <c r="B168" s="968" t="s">
        <v>2810</v>
      </c>
      <c r="C168" s="969">
        <v>2.7648E-3</v>
      </c>
      <c r="D168" s="969">
        <v>2.8040000000000001E-3</v>
      </c>
      <c r="E168" s="1008">
        <v>1390328</v>
      </c>
      <c r="F168" s="1011">
        <v>4283735</v>
      </c>
      <c r="G168" s="970">
        <v>6559051</v>
      </c>
      <c r="H168" s="970"/>
      <c r="I168" s="970">
        <v>1011906</v>
      </c>
      <c r="J168" s="971">
        <v>900363</v>
      </c>
      <c r="K168" s="971">
        <v>1740519</v>
      </c>
      <c r="L168" s="971">
        <v>84439</v>
      </c>
      <c r="M168" s="970"/>
      <c r="N168" s="971">
        <v>33955</v>
      </c>
      <c r="O168" s="971">
        <v>0</v>
      </c>
      <c r="P168" s="971">
        <v>0</v>
      </c>
      <c r="Q168" s="971">
        <v>30275</v>
      </c>
      <c r="R168" s="970"/>
      <c r="S168" s="971">
        <v>1821929</v>
      </c>
      <c r="T168" s="971">
        <v>76277</v>
      </c>
      <c r="U168" s="971">
        <v>1898206</v>
      </c>
    </row>
    <row r="169" spans="1:21" x14ac:dyDescent="0.25">
      <c r="A169" s="967">
        <v>91604</v>
      </c>
      <c r="B169" s="968" t="s">
        <v>2811</v>
      </c>
      <c r="C169" s="969">
        <v>8.5000000000000006E-5</v>
      </c>
      <c r="D169" s="969">
        <v>8.8499999999999996E-5</v>
      </c>
      <c r="E169" s="1008">
        <v>55839</v>
      </c>
      <c r="F169" s="1011">
        <v>135203</v>
      </c>
      <c r="G169" s="970">
        <v>201649</v>
      </c>
      <c r="H169" s="970"/>
      <c r="I169" s="970">
        <v>31110</v>
      </c>
      <c r="J169" s="971">
        <v>27680</v>
      </c>
      <c r="K169" s="971">
        <v>53510</v>
      </c>
      <c r="L169" s="971">
        <v>22196</v>
      </c>
      <c r="M169" s="970"/>
      <c r="N169" s="971">
        <v>1044</v>
      </c>
      <c r="O169" s="971">
        <v>0</v>
      </c>
      <c r="P169" s="971">
        <v>0</v>
      </c>
      <c r="Q169" s="971">
        <v>0</v>
      </c>
      <c r="R169" s="970"/>
      <c r="S169" s="971">
        <v>56013</v>
      </c>
      <c r="T169" s="971">
        <v>9895</v>
      </c>
      <c r="U169" s="971">
        <v>65908</v>
      </c>
    </row>
    <row r="170" spans="1:21" x14ac:dyDescent="0.25">
      <c r="A170" s="967">
        <v>91608</v>
      </c>
      <c r="B170" s="968" t="s">
        <v>2812</v>
      </c>
      <c r="C170" s="969">
        <v>1.5909999999999999E-4</v>
      </c>
      <c r="D170" s="969">
        <v>1.5349999999999999E-4</v>
      </c>
      <c r="E170" s="1008">
        <v>52379</v>
      </c>
      <c r="F170" s="1011">
        <v>234505</v>
      </c>
      <c r="G170" s="970">
        <v>377440</v>
      </c>
      <c r="H170" s="970"/>
      <c r="I170" s="970">
        <v>58230</v>
      </c>
      <c r="J170" s="971">
        <v>51811</v>
      </c>
      <c r="K170" s="971">
        <v>100158</v>
      </c>
      <c r="L170" s="971">
        <v>1169</v>
      </c>
      <c r="M170" s="970"/>
      <c r="N170" s="971">
        <v>1954</v>
      </c>
      <c r="O170" s="971">
        <v>0</v>
      </c>
      <c r="P170" s="971">
        <v>0</v>
      </c>
      <c r="Q170" s="971">
        <v>30984</v>
      </c>
      <c r="R170" s="970"/>
      <c r="S170" s="971">
        <v>104843</v>
      </c>
      <c r="T170" s="971">
        <v>-16992</v>
      </c>
      <c r="U170" s="971">
        <v>87851</v>
      </c>
    </row>
    <row r="171" spans="1:21" x14ac:dyDescent="0.25">
      <c r="A171" s="967">
        <v>91611</v>
      </c>
      <c r="B171" s="968" t="s">
        <v>2813</v>
      </c>
      <c r="C171" s="969">
        <v>1.4744000000000001E-3</v>
      </c>
      <c r="D171" s="969">
        <v>1.4708E-3</v>
      </c>
      <c r="E171" s="1008">
        <v>614656</v>
      </c>
      <c r="F171" s="1011">
        <v>2246975</v>
      </c>
      <c r="G171" s="970">
        <v>3497781</v>
      </c>
      <c r="H171" s="970"/>
      <c r="I171" s="970">
        <v>539625</v>
      </c>
      <c r="J171" s="971">
        <v>480141</v>
      </c>
      <c r="K171" s="971">
        <v>928176</v>
      </c>
      <c r="L171" s="971">
        <v>2046</v>
      </c>
      <c r="M171" s="970"/>
      <c r="N171" s="971">
        <v>18107</v>
      </c>
      <c r="O171" s="971">
        <v>0</v>
      </c>
      <c r="P171" s="971">
        <v>0</v>
      </c>
      <c r="Q171" s="971">
        <v>121302</v>
      </c>
      <c r="R171" s="970"/>
      <c r="S171" s="971">
        <v>971590</v>
      </c>
      <c r="T171" s="971">
        <v>-18398</v>
      </c>
      <c r="U171" s="971">
        <v>953192</v>
      </c>
    </row>
    <row r="172" spans="1:21" x14ac:dyDescent="0.25">
      <c r="A172" s="967">
        <v>91621</v>
      </c>
      <c r="B172" s="968" t="s">
        <v>2814</v>
      </c>
      <c r="C172" s="969">
        <v>2.6800000000000001E-4</v>
      </c>
      <c r="D172" s="969">
        <v>2.7050000000000002E-4</v>
      </c>
      <c r="E172" s="1008">
        <v>124283</v>
      </c>
      <c r="F172" s="1011">
        <v>413249</v>
      </c>
      <c r="G172" s="970">
        <v>635788</v>
      </c>
      <c r="H172" s="970"/>
      <c r="I172" s="970">
        <v>98087</v>
      </c>
      <c r="J172" s="971">
        <v>87275</v>
      </c>
      <c r="K172" s="971">
        <v>168714</v>
      </c>
      <c r="L172" s="971">
        <v>5973</v>
      </c>
      <c r="M172" s="970"/>
      <c r="N172" s="971">
        <v>3291</v>
      </c>
      <c r="O172" s="971">
        <v>0</v>
      </c>
      <c r="P172" s="971">
        <v>0</v>
      </c>
      <c r="Q172" s="971">
        <v>10529</v>
      </c>
      <c r="R172" s="970"/>
      <c r="S172" s="971">
        <v>176605</v>
      </c>
      <c r="T172" s="971">
        <v>-5908</v>
      </c>
      <c r="U172" s="971">
        <v>170697</v>
      </c>
    </row>
    <row r="173" spans="1:21" x14ac:dyDescent="0.25">
      <c r="A173" s="967">
        <v>91631</v>
      </c>
      <c r="B173" s="968" t="s">
        <v>2815</v>
      </c>
      <c r="C173" s="969">
        <v>5.509E-4</v>
      </c>
      <c r="D173" s="969">
        <v>5.2249999999999996E-4</v>
      </c>
      <c r="E173" s="1008">
        <v>239433</v>
      </c>
      <c r="F173" s="1011">
        <v>798235</v>
      </c>
      <c r="G173" s="970">
        <v>1306923</v>
      </c>
      <c r="H173" s="970"/>
      <c r="I173" s="970">
        <v>201627</v>
      </c>
      <c r="J173" s="971">
        <v>179401</v>
      </c>
      <c r="K173" s="971">
        <v>346807</v>
      </c>
      <c r="L173" s="971">
        <v>0</v>
      </c>
      <c r="M173" s="970"/>
      <c r="N173" s="971">
        <v>6766</v>
      </c>
      <c r="O173" s="971">
        <v>0</v>
      </c>
      <c r="P173" s="971">
        <v>0</v>
      </c>
      <c r="Q173" s="971">
        <v>39359</v>
      </c>
      <c r="R173" s="970"/>
      <c r="S173" s="971">
        <v>363028</v>
      </c>
      <c r="T173" s="971">
        <v>-17688</v>
      </c>
      <c r="U173" s="971">
        <v>345340</v>
      </c>
    </row>
    <row r="174" spans="1:21" x14ac:dyDescent="0.25">
      <c r="A174" s="967">
        <v>91633</v>
      </c>
      <c r="B174" s="968" t="s">
        <v>2816</v>
      </c>
      <c r="C174" s="969">
        <v>1.8600000000000001E-5</v>
      </c>
      <c r="D174" s="969">
        <v>2.51E-5</v>
      </c>
      <c r="E174" s="1008">
        <v>10219</v>
      </c>
      <c r="F174" s="1011">
        <v>38346</v>
      </c>
      <c r="G174" s="970">
        <v>44126</v>
      </c>
      <c r="H174" s="970"/>
      <c r="I174" s="970">
        <v>6808</v>
      </c>
      <c r="J174" s="971">
        <v>6058</v>
      </c>
      <c r="K174" s="971">
        <v>11709</v>
      </c>
      <c r="L174" s="971">
        <v>1031</v>
      </c>
      <c r="M174" s="970"/>
      <c r="N174" s="971">
        <v>228</v>
      </c>
      <c r="O174" s="971">
        <v>0</v>
      </c>
      <c r="P174" s="971">
        <v>0</v>
      </c>
      <c r="Q174" s="971">
        <v>5120</v>
      </c>
      <c r="R174" s="970"/>
      <c r="S174" s="971">
        <v>12257</v>
      </c>
      <c r="T174" s="971">
        <v>-2305</v>
      </c>
      <c r="U174" s="971">
        <v>9952</v>
      </c>
    </row>
    <row r="175" spans="1:21" x14ac:dyDescent="0.25">
      <c r="A175" s="967">
        <v>91641</v>
      </c>
      <c r="B175" s="968" t="s">
        <v>2817</v>
      </c>
      <c r="C175" s="969">
        <v>2.652E-4</v>
      </c>
      <c r="D175" s="969">
        <v>3.1139999999999998E-4</v>
      </c>
      <c r="E175" s="1008">
        <v>115065</v>
      </c>
      <c r="F175" s="1011">
        <v>475733</v>
      </c>
      <c r="G175" s="970">
        <v>629145</v>
      </c>
      <c r="H175" s="970"/>
      <c r="I175" s="970">
        <v>97062</v>
      </c>
      <c r="J175" s="971">
        <v>86363</v>
      </c>
      <c r="K175" s="971">
        <v>166951</v>
      </c>
      <c r="L175" s="971">
        <v>0</v>
      </c>
      <c r="M175" s="970"/>
      <c r="N175" s="971">
        <v>3257</v>
      </c>
      <c r="O175" s="971">
        <v>0</v>
      </c>
      <c r="P175" s="971">
        <v>0</v>
      </c>
      <c r="Q175" s="971">
        <v>74135</v>
      </c>
      <c r="R175" s="970"/>
      <c r="S175" s="971">
        <v>174760</v>
      </c>
      <c r="T175" s="971">
        <v>-37016</v>
      </c>
      <c r="U175" s="971">
        <v>137744</v>
      </c>
    </row>
    <row r="176" spans="1:21" x14ac:dyDescent="0.25">
      <c r="A176" s="967">
        <v>91651</v>
      </c>
      <c r="B176" s="968" t="s">
        <v>2818</v>
      </c>
      <c r="C176" s="969">
        <v>4.73E-4</v>
      </c>
      <c r="D176" s="969">
        <v>4.4440000000000001E-4</v>
      </c>
      <c r="E176" s="1008">
        <v>238247</v>
      </c>
      <c r="F176" s="1011">
        <v>678920</v>
      </c>
      <c r="G176" s="970">
        <v>1122118</v>
      </c>
      <c r="H176" s="970"/>
      <c r="I176" s="970">
        <v>173116</v>
      </c>
      <c r="J176" s="971">
        <v>154033</v>
      </c>
      <c r="K176" s="971">
        <v>297767</v>
      </c>
      <c r="L176" s="971">
        <v>25871</v>
      </c>
      <c r="M176" s="970"/>
      <c r="N176" s="971">
        <v>5809</v>
      </c>
      <c r="O176" s="971">
        <v>0</v>
      </c>
      <c r="P176" s="971">
        <v>0</v>
      </c>
      <c r="Q176" s="971">
        <v>18310</v>
      </c>
      <c r="R176" s="970"/>
      <c r="S176" s="971">
        <v>311694</v>
      </c>
      <c r="T176" s="971">
        <v>-5917</v>
      </c>
      <c r="U176" s="971">
        <v>305777</v>
      </c>
    </row>
    <row r="177" spans="1:21" x14ac:dyDescent="0.25">
      <c r="A177" s="967">
        <v>91661</v>
      </c>
      <c r="B177" s="968" t="s">
        <v>2819</v>
      </c>
      <c r="C177" s="969">
        <v>1.8259999999999999E-4</v>
      </c>
      <c r="D177" s="969">
        <v>1.673E-4</v>
      </c>
      <c r="E177" s="1008">
        <v>66914</v>
      </c>
      <c r="F177" s="1011">
        <v>255588</v>
      </c>
      <c r="G177" s="970">
        <v>433190</v>
      </c>
      <c r="H177" s="970"/>
      <c r="I177" s="970">
        <v>66831</v>
      </c>
      <c r="J177" s="971">
        <v>59464</v>
      </c>
      <c r="K177" s="971">
        <v>114952</v>
      </c>
      <c r="L177" s="971">
        <v>0</v>
      </c>
      <c r="M177" s="970"/>
      <c r="N177" s="971">
        <v>2243</v>
      </c>
      <c r="O177" s="971">
        <v>0</v>
      </c>
      <c r="P177" s="971">
        <v>0</v>
      </c>
      <c r="Q177" s="971">
        <v>36351</v>
      </c>
      <c r="R177" s="970"/>
      <c r="S177" s="971">
        <v>120328</v>
      </c>
      <c r="T177" s="971">
        <v>-17938</v>
      </c>
      <c r="U177" s="971">
        <v>102390</v>
      </c>
    </row>
    <row r="178" spans="1:21" x14ac:dyDescent="0.25">
      <c r="A178" s="967">
        <v>91671</v>
      </c>
      <c r="B178" s="968" t="s">
        <v>2820</v>
      </c>
      <c r="C178" s="969">
        <v>1.132E-4</v>
      </c>
      <c r="D178" s="969">
        <v>9.6700000000000006E-5</v>
      </c>
      <c r="E178" s="1008">
        <v>47245</v>
      </c>
      <c r="F178" s="1011">
        <v>147731</v>
      </c>
      <c r="G178" s="970">
        <v>268549</v>
      </c>
      <c r="H178" s="970"/>
      <c r="I178" s="970">
        <v>41431</v>
      </c>
      <c r="J178" s="971">
        <v>36864</v>
      </c>
      <c r="K178" s="971">
        <v>71263</v>
      </c>
      <c r="L178" s="971">
        <v>10756</v>
      </c>
      <c r="M178" s="970"/>
      <c r="N178" s="971">
        <v>1390</v>
      </c>
      <c r="O178" s="971">
        <v>0</v>
      </c>
      <c r="P178" s="971">
        <v>0</v>
      </c>
      <c r="Q178" s="971">
        <v>898</v>
      </c>
      <c r="R178" s="970"/>
      <c r="S178" s="971">
        <v>74596</v>
      </c>
      <c r="T178" s="971">
        <v>7037</v>
      </c>
      <c r="U178" s="971">
        <v>81633</v>
      </c>
    </row>
    <row r="179" spans="1:21" x14ac:dyDescent="0.25">
      <c r="A179" s="967">
        <v>91681</v>
      </c>
      <c r="B179" s="968" t="s">
        <v>2821</v>
      </c>
      <c r="C179" s="969">
        <v>4.6460000000000002E-4</v>
      </c>
      <c r="D179" s="969">
        <v>4.728E-4</v>
      </c>
      <c r="E179" s="1008">
        <v>400102</v>
      </c>
      <c r="F179" s="1011">
        <v>722307</v>
      </c>
      <c r="G179" s="970">
        <v>1102190</v>
      </c>
      <c r="H179" s="970"/>
      <c r="I179" s="970">
        <v>170042</v>
      </c>
      <c r="J179" s="971">
        <v>151298</v>
      </c>
      <c r="K179" s="971">
        <v>292479</v>
      </c>
      <c r="L179" s="971">
        <v>312404</v>
      </c>
      <c r="M179" s="970"/>
      <c r="N179" s="971">
        <v>5706</v>
      </c>
      <c r="O179" s="971">
        <v>0</v>
      </c>
      <c r="P179" s="971">
        <v>0</v>
      </c>
      <c r="Q179" s="971">
        <v>0</v>
      </c>
      <c r="R179" s="970"/>
      <c r="S179" s="971">
        <v>306159</v>
      </c>
      <c r="T179" s="971">
        <v>122769</v>
      </c>
      <c r="U179" s="971">
        <v>428928</v>
      </c>
    </row>
    <row r="180" spans="1:21" x14ac:dyDescent="0.25">
      <c r="A180" s="967">
        <v>91691</v>
      </c>
      <c r="B180" s="968" t="s">
        <v>2822</v>
      </c>
      <c r="C180" s="969">
        <v>2.26E-5</v>
      </c>
      <c r="D180" s="969">
        <v>2.3200000000000001E-5</v>
      </c>
      <c r="E180" s="1008">
        <v>11106</v>
      </c>
      <c r="F180" s="1011">
        <v>35443</v>
      </c>
      <c r="G180" s="970">
        <v>53615</v>
      </c>
      <c r="H180" s="970"/>
      <c r="I180" s="970">
        <v>8272</v>
      </c>
      <c r="J180" s="971">
        <v>7360</v>
      </c>
      <c r="K180" s="971">
        <v>14227</v>
      </c>
      <c r="L180" s="971">
        <v>1115</v>
      </c>
      <c r="M180" s="970"/>
      <c r="N180" s="971">
        <v>278</v>
      </c>
      <c r="O180" s="971">
        <v>0</v>
      </c>
      <c r="P180" s="971">
        <v>0</v>
      </c>
      <c r="Q180" s="971">
        <v>1387</v>
      </c>
      <c r="R180" s="970"/>
      <c r="S180" s="971">
        <v>14893</v>
      </c>
      <c r="T180" s="971">
        <v>30</v>
      </c>
      <c r="U180" s="971">
        <v>14923</v>
      </c>
    </row>
    <row r="181" spans="1:21" x14ac:dyDescent="0.25">
      <c r="A181" s="967">
        <v>91701</v>
      </c>
      <c r="B181" s="968" t="s">
        <v>2823</v>
      </c>
      <c r="C181" s="969">
        <v>1.2348999999999999E-3</v>
      </c>
      <c r="D181" s="969">
        <v>1.2451999999999999E-3</v>
      </c>
      <c r="E181" s="1008">
        <v>564447</v>
      </c>
      <c r="F181" s="1011">
        <v>1902321</v>
      </c>
      <c r="G181" s="970">
        <v>2929605</v>
      </c>
      <c r="H181" s="970"/>
      <c r="I181" s="970">
        <v>451968</v>
      </c>
      <c r="J181" s="971">
        <v>402148</v>
      </c>
      <c r="K181" s="971">
        <v>777404</v>
      </c>
      <c r="L181" s="971">
        <v>70220</v>
      </c>
      <c r="M181" s="970"/>
      <c r="N181" s="971">
        <v>15166</v>
      </c>
      <c r="O181" s="971">
        <v>0</v>
      </c>
      <c r="P181" s="971">
        <v>0</v>
      </c>
      <c r="Q181" s="971">
        <v>39266</v>
      </c>
      <c r="R181" s="970"/>
      <c r="S181" s="971">
        <v>813766</v>
      </c>
      <c r="T181" s="971">
        <v>8978</v>
      </c>
      <c r="U181" s="971">
        <v>822744</v>
      </c>
    </row>
    <row r="182" spans="1:21" x14ac:dyDescent="0.25">
      <c r="A182" s="967">
        <v>91704</v>
      </c>
      <c r="B182" s="968" t="s">
        <v>2824</v>
      </c>
      <c r="C182" s="969">
        <v>1.73E-5</v>
      </c>
      <c r="D182" s="969">
        <v>1.73E-5</v>
      </c>
      <c r="E182" s="1008">
        <v>8608</v>
      </c>
      <c r="F182" s="1011">
        <v>26430</v>
      </c>
      <c r="G182" s="970">
        <v>41042</v>
      </c>
      <c r="H182" s="970"/>
      <c r="I182" s="970">
        <v>6332</v>
      </c>
      <c r="J182" s="971">
        <v>5634</v>
      </c>
      <c r="K182" s="971">
        <v>10891</v>
      </c>
      <c r="L182" s="971">
        <v>560</v>
      </c>
      <c r="M182" s="970"/>
      <c r="N182" s="971">
        <v>212</v>
      </c>
      <c r="O182" s="971">
        <v>0</v>
      </c>
      <c r="P182" s="971">
        <v>0</v>
      </c>
      <c r="Q182" s="971">
        <v>0</v>
      </c>
      <c r="R182" s="970"/>
      <c r="S182" s="971">
        <v>11400</v>
      </c>
      <c r="T182" s="971">
        <v>666</v>
      </c>
      <c r="U182" s="971">
        <v>12066</v>
      </c>
    </row>
    <row r="183" spans="1:21" x14ac:dyDescent="0.25">
      <c r="A183" s="967">
        <v>91706</v>
      </c>
      <c r="B183" s="968" t="s">
        <v>2825</v>
      </c>
      <c r="C183" s="969">
        <v>2.2139999999999999E-4</v>
      </c>
      <c r="D183" s="969">
        <v>2.4340000000000001E-4</v>
      </c>
      <c r="E183" s="1008">
        <v>166002</v>
      </c>
      <c r="F183" s="1011">
        <v>371848</v>
      </c>
      <c r="G183" s="970">
        <v>525237</v>
      </c>
      <c r="H183" s="970"/>
      <c r="I183" s="970">
        <v>81032</v>
      </c>
      <c r="J183" s="971">
        <v>72099</v>
      </c>
      <c r="K183" s="971">
        <v>139377</v>
      </c>
      <c r="L183" s="971">
        <v>37061</v>
      </c>
      <c r="M183" s="970"/>
      <c r="N183" s="971">
        <v>2719</v>
      </c>
      <c r="O183" s="971">
        <v>0</v>
      </c>
      <c r="P183" s="971">
        <v>0</v>
      </c>
      <c r="Q183" s="971">
        <v>1775</v>
      </c>
      <c r="R183" s="970"/>
      <c r="S183" s="971">
        <v>145897</v>
      </c>
      <c r="T183" s="971">
        <v>3534</v>
      </c>
      <c r="U183" s="971">
        <v>149431</v>
      </c>
    </row>
    <row r="184" spans="1:21" x14ac:dyDescent="0.25">
      <c r="A184" s="967">
        <v>91719</v>
      </c>
      <c r="B184" s="968" t="s">
        <v>2826</v>
      </c>
      <c r="C184" s="969">
        <v>5.6799999999999998E-5</v>
      </c>
      <c r="D184" s="969">
        <v>4.9700000000000002E-5</v>
      </c>
      <c r="E184" s="1008">
        <v>22116</v>
      </c>
      <c r="F184" s="1011">
        <v>75928</v>
      </c>
      <c r="G184" s="970">
        <v>134749</v>
      </c>
      <c r="H184" s="970"/>
      <c r="I184" s="970">
        <v>20789</v>
      </c>
      <c r="J184" s="971">
        <v>18497</v>
      </c>
      <c r="K184" s="971">
        <v>35757</v>
      </c>
      <c r="L184" s="971">
        <v>2513</v>
      </c>
      <c r="M184" s="970"/>
      <c r="N184" s="971">
        <v>698</v>
      </c>
      <c r="O184" s="971">
        <v>0</v>
      </c>
      <c r="P184" s="971">
        <v>0</v>
      </c>
      <c r="Q184" s="971">
        <v>2058</v>
      </c>
      <c r="R184" s="970"/>
      <c r="S184" s="971">
        <v>37430</v>
      </c>
      <c r="T184" s="971">
        <v>186</v>
      </c>
      <c r="U184" s="971">
        <v>37616</v>
      </c>
    </row>
    <row r="185" spans="1:21" x14ac:dyDescent="0.25">
      <c r="A185" s="967">
        <v>91801</v>
      </c>
      <c r="B185" s="968" t="s">
        <v>2827</v>
      </c>
      <c r="C185" s="969">
        <v>7.9632999999999995E-3</v>
      </c>
      <c r="D185" s="969">
        <v>8.0961000000000002E-3</v>
      </c>
      <c r="E185" s="1008">
        <v>3845158</v>
      </c>
      <c r="F185" s="1011">
        <v>12368598</v>
      </c>
      <c r="G185" s="970">
        <v>18891671</v>
      </c>
      <c r="H185" s="970"/>
      <c r="I185" s="970">
        <v>2914536</v>
      </c>
      <c r="J185" s="971">
        <v>2593265</v>
      </c>
      <c r="K185" s="971">
        <v>5013120</v>
      </c>
      <c r="L185" s="971">
        <v>0</v>
      </c>
      <c r="M185" s="970"/>
      <c r="N185" s="971">
        <v>97797</v>
      </c>
      <c r="O185" s="971">
        <v>0</v>
      </c>
      <c r="P185" s="971">
        <v>0</v>
      </c>
      <c r="Q185" s="971">
        <v>291905</v>
      </c>
      <c r="R185" s="970"/>
      <c r="S185" s="971">
        <v>5247600</v>
      </c>
      <c r="T185" s="971">
        <v>-120864</v>
      </c>
      <c r="U185" s="971">
        <v>5126736</v>
      </c>
    </row>
    <row r="186" spans="1:21" x14ac:dyDescent="0.25">
      <c r="A186" s="967">
        <v>91804</v>
      </c>
      <c r="B186" s="968" t="s">
        <v>2828</v>
      </c>
      <c r="C186" s="969">
        <v>1.4770000000000001E-4</v>
      </c>
      <c r="D186" s="969">
        <v>1.3439999999999999E-4</v>
      </c>
      <c r="E186" s="1008">
        <v>105465</v>
      </c>
      <c r="F186" s="1011">
        <v>205326</v>
      </c>
      <c r="G186" s="970">
        <v>350395</v>
      </c>
      <c r="H186" s="970"/>
      <c r="I186" s="970">
        <v>54058</v>
      </c>
      <c r="J186" s="971">
        <v>48099</v>
      </c>
      <c r="K186" s="971">
        <v>92981</v>
      </c>
      <c r="L186" s="971">
        <v>68194</v>
      </c>
      <c r="M186" s="970"/>
      <c r="N186" s="971">
        <v>1814</v>
      </c>
      <c r="O186" s="971">
        <v>0</v>
      </c>
      <c r="P186" s="971">
        <v>0</v>
      </c>
      <c r="Q186" s="971">
        <v>0</v>
      </c>
      <c r="R186" s="970"/>
      <c r="S186" s="971">
        <v>97330</v>
      </c>
      <c r="T186" s="971">
        <v>32579</v>
      </c>
      <c r="U186" s="971">
        <v>129909</v>
      </c>
    </row>
    <row r="187" spans="1:21" x14ac:dyDescent="0.25">
      <c r="A187" s="967">
        <v>91811</v>
      </c>
      <c r="B187" s="968" t="s">
        <v>2829</v>
      </c>
      <c r="C187" s="969">
        <v>4.4413999999999999E-3</v>
      </c>
      <c r="D187" s="969">
        <v>4.5555999999999999E-3</v>
      </c>
      <c r="E187" s="1008">
        <v>2056779</v>
      </c>
      <c r="F187" s="1011">
        <v>6959695</v>
      </c>
      <c r="G187" s="970">
        <v>10536520</v>
      </c>
      <c r="H187" s="970"/>
      <c r="I187" s="970">
        <v>1625535</v>
      </c>
      <c r="J187" s="971">
        <v>1446350</v>
      </c>
      <c r="K187" s="971">
        <v>2795986</v>
      </c>
      <c r="L187" s="971">
        <v>0</v>
      </c>
      <c r="M187" s="970"/>
      <c r="N187" s="971">
        <v>54545</v>
      </c>
      <c r="O187" s="971">
        <v>0</v>
      </c>
      <c r="P187" s="971">
        <v>0</v>
      </c>
      <c r="Q187" s="971">
        <v>497047</v>
      </c>
      <c r="R187" s="970"/>
      <c r="S187" s="971">
        <v>2926763</v>
      </c>
      <c r="T187" s="971">
        <v>-241160</v>
      </c>
      <c r="U187" s="971">
        <v>2685603</v>
      </c>
    </row>
    <row r="188" spans="1:21" x14ac:dyDescent="0.25">
      <c r="A188" s="967">
        <v>91812</v>
      </c>
      <c r="B188" s="968" t="s">
        <v>2830</v>
      </c>
      <c r="C188" s="969">
        <v>5.3600000000000002E-5</v>
      </c>
      <c r="D188" s="969">
        <v>5.0800000000000002E-5</v>
      </c>
      <c r="E188" s="1008">
        <v>28370</v>
      </c>
      <c r="F188" s="1011">
        <v>77608</v>
      </c>
      <c r="G188" s="970">
        <v>127158</v>
      </c>
      <c r="H188" s="970"/>
      <c r="I188" s="970">
        <v>19617</v>
      </c>
      <c r="J188" s="971">
        <v>17455</v>
      </c>
      <c r="K188" s="971">
        <v>33743</v>
      </c>
      <c r="L188" s="971">
        <v>9789</v>
      </c>
      <c r="M188" s="970"/>
      <c r="N188" s="971">
        <v>658</v>
      </c>
      <c r="O188" s="971">
        <v>0</v>
      </c>
      <c r="P188" s="971">
        <v>0</v>
      </c>
      <c r="Q188" s="971">
        <v>2033</v>
      </c>
      <c r="R188" s="970"/>
      <c r="S188" s="971">
        <v>35321</v>
      </c>
      <c r="T188" s="971">
        <v>5503</v>
      </c>
      <c r="U188" s="971">
        <v>40824</v>
      </c>
    </row>
    <row r="189" spans="1:21" x14ac:dyDescent="0.25">
      <c r="A189" s="967">
        <v>91813</v>
      </c>
      <c r="B189" s="968" t="s">
        <v>2831</v>
      </c>
      <c r="C189" s="969">
        <v>8.1299999999999997E-5</v>
      </c>
      <c r="D189" s="969">
        <v>8.6100000000000006E-5</v>
      </c>
      <c r="E189" s="1008">
        <v>41693</v>
      </c>
      <c r="F189" s="1011">
        <v>131537</v>
      </c>
      <c r="G189" s="970">
        <v>192871</v>
      </c>
      <c r="H189" s="970"/>
      <c r="I189" s="970">
        <v>29755</v>
      </c>
      <c r="J189" s="971">
        <v>26476</v>
      </c>
      <c r="K189" s="971">
        <v>51181</v>
      </c>
      <c r="L189" s="971">
        <v>5758</v>
      </c>
      <c r="M189" s="970"/>
      <c r="N189" s="971">
        <v>998</v>
      </c>
      <c r="O189" s="971">
        <v>0</v>
      </c>
      <c r="P189" s="971">
        <v>0</v>
      </c>
      <c r="Q189" s="971">
        <v>10114</v>
      </c>
      <c r="R189" s="970"/>
      <c r="S189" s="971">
        <v>53575</v>
      </c>
      <c r="T189" s="971">
        <v>-606</v>
      </c>
      <c r="U189" s="971">
        <v>52969</v>
      </c>
    </row>
    <row r="190" spans="1:21" x14ac:dyDescent="0.25">
      <c r="A190" s="967">
        <v>91818</v>
      </c>
      <c r="B190" s="968" t="s">
        <v>2832</v>
      </c>
      <c r="C190" s="969">
        <v>3.9429999999999999E-4</v>
      </c>
      <c r="D190" s="969">
        <v>4.0079999999999998E-4</v>
      </c>
      <c r="E190" s="1008">
        <v>468317</v>
      </c>
      <c r="F190" s="1011">
        <v>612311</v>
      </c>
      <c r="G190" s="970">
        <v>935414</v>
      </c>
      <c r="H190" s="970"/>
      <c r="I190" s="970">
        <v>144312</v>
      </c>
      <c r="J190" s="971">
        <v>128404</v>
      </c>
      <c r="K190" s="971">
        <v>248223</v>
      </c>
      <c r="L190" s="971">
        <v>524689</v>
      </c>
      <c r="M190" s="970"/>
      <c r="N190" s="971">
        <v>4842</v>
      </c>
      <c r="O190" s="971">
        <v>0</v>
      </c>
      <c r="P190" s="971">
        <v>0</v>
      </c>
      <c r="Q190" s="971">
        <v>0</v>
      </c>
      <c r="R190" s="970"/>
      <c r="S190" s="971">
        <v>259833</v>
      </c>
      <c r="T190" s="971">
        <v>209067</v>
      </c>
      <c r="U190" s="971">
        <v>468900</v>
      </c>
    </row>
    <row r="191" spans="1:21" x14ac:dyDescent="0.25">
      <c r="A191" s="967">
        <v>91819</v>
      </c>
      <c r="B191" s="968" t="s">
        <v>2833</v>
      </c>
      <c r="C191" s="969">
        <v>3.0469999999999998E-4</v>
      </c>
      <c r="D191" s="969">
        <v>2.8489999999999999E-4</v>
      </c>
      <c r="E191" s="1008">
        <v>156994</v>
      </c>
      <c r="F191" s="1011">
        <v>435248</v>
      </c>
      <c r="G191" s="970">
        <v>722853</v>
      </c>
      <c r="H191" s="970"/>
      <c r="I191" s="970">
        <v>111519</v>
      </c>
      <c r="J191" s="971">
        <v>99226</v>
      </c>
      <c r="K191" s="971">
        <v>191817</v>
      </c>
      <c r="L191" s="971">
        <v>26641</v>
      </c>
      <c r="M191" s="970"/>
      <c r="N191" s="971">
        <v>3742</v>
      </c>
      <c r="O191" s="971">
        <v>0</v>
      </c>
      <c r="P191" s="971">
        <v>0</v>
      </c>
      <c r="Q191" s="971">
        <v>4590</v>
      </c>
      <c r="R191" s="970"/>
      <c r="S191" s="971">
        <v>200789</v>
      </c>
      <c r="T191" s="971">
        <v>10326</v>
      </c>
      <c r="U191" s="971">
        <v>211115</v>
      </c>
    </row>
    <row r="192" spans="1:21" x14ac:dyDescent="0.25">
      <c r="A192" s="967">
        <v>91821</v>
      </c>
      <c r="B192" s="968" t="s">
        <v>2834</v>
      </c>
      <c r="C192" s="969">
        <v>1.671E-4</v>
      </c>
      <c r="D192" s="969">
        <v>1.7330000000000001E-4</v>
      </c>
      <c r="E192" s="1008">
        <v>75807</v>
      </c>
      <c r="F192" s="1011">
        <v>264754</v>
      </c>
      <c r="G192" s="970">
        <v>396418</v>
      </c>
      <c r="H192" s="970"/>
      <c r="I192" s="970">
        <v>61158</v>
      </c>
      <c r="J192" s="971">
        <v>54416</v>
      </c>
      <c r="K192" s="971">
        <v>105194</v>
      </c>
      <c r="L192" s="971">
        <v>487</v>
      </c>
      <c r="M192" s="970"/>
      <c r="N192" s="971">
        <v>2052</v>
      </c>
      <c r="O192" s="971">
        <v>0</v>
      </c>
      <c r="P192" s="971">
        <v>0</v>
      </c>
      <c r="Q192" s="971">
        <v>9930</v>
      </c>
      <c r="R192" s="970"/>
      <c r="S192" s="971">
        <v>110114</v>
      </c>
      <c r="T192" s="971">
        <v>-745</v>
      </c>
      <c r="U192" s="971">
        <v>109369</v>
      </c>
    </row>
    <row r="193" spans="1:21" x14ac:dyDescent="0.25">
      <c r="A193" s="967">
        <v>91831</v>
      </c>
      <c r="B193" s="968" t="s">
        <v>2835</v>
      </c>
      <c r="C193" s="969">
        <v>3.7740000000000001E-4</v>
      </c>
      <c r="D193" s="969">
        <v>3.366E-4</v>
      </c>
      <c r="E193" s="1008">
        <v>165489</v>
      </c>
      <c r="F193" s="1011">
        <v>514232</v>
      </c>
      <c r="G193" s="970">
        <v>895322</v>
      </c>
      <c r="H193" s="970"/>
      <c r="I193" s="970">
        <v>138127</v>
      </c>
      <c r="J193" s="971">
        <v>122901</v>
      </c>
      <c r="K193" s="971">
        <v>237584</v>
      </c>
      <c r="L193" s="971">
        <v>17106</v>
      </c>
      <c r="M193" s="970"/>
      <c r="N193" s="971">
        <v>4635</v>
      </c>
      <c r="O193" s="971">
        <v>0</v>
      </c>
      <c r="P193" s="971">
        <v>0</v>
      </c>
      <c r="Q193" s="971">
        <v>9431</v>
      </c>
      <c r="R193" s="970"/>
      <c r="S193" s="971">
        <v>248696</v>
      </c>
      <c r="T193" s="971">
        <v>3967</v>
      </c>
      <c r="U193" s="971">
        <v>252663</v>
      </c>
    </row>
    <row r="194" spans="1:21" x14ac:dyDescent="0.25">
      <c r="A194" s="967">
        <v>91841</v>
      </c>
      <c r="B194" s="968" t="s">
        <v>2836</v>
      </c>
      <c r="C194" s="969">
        <v>2.6479999999999999E-4</v>
      </c>
      <c r="D194" s="969">
        <v>2.5339999999999998E-4</v>
      </c>
      <c r="E194" s="1008">
        <v>125258</v>
      </c>
      <c r="F194" s="1011">
        <v>387125</v>
      </c>
      <c r="G194" s="970">
        <v>628196</v>
      </c>
      <c r="H194" s="970"/>
      <c r="I194" s="970">
        <v>96916</v>
      </c>
      <c r="J194" s="971">
        <v>86233</v>
      </c>
      <c r="K194" s="971">
        <v>166699</v>
      </c>
      <c r="L194" s="971">
        <v>5951</v>
      </c>
      <c r="M194" s="970"/>
      <c r="N194" s="971">
        <v>3252</v>
      </c>
      <c r="O194" s="971">
        <v>0</v>
      </c>
      <c r="P194" s="971">
        <v>0</v>
      </c>
      <c r="Q194" s="971">
        <v>4615</v>
      </c>
      <c r="R194" s="970"/>
      <c r="S194" s="971">
        <v>174496</v>
      </c>
      <c r="T194" s="971">
        <v>-8503</v>
      </c>
      <c r="U194" s="971">
        <v>165993</v>
      </c>
    </row>
    <row r="195" spans="1:21" x14ac:dyDescent="0.25">
      <c r="A195" s="967">
        <v>91851</v>
      </c>
      <c r="B195" s="968" t="s">
        <v>2837</v>
      </c>
      <c r="C195" s="969">
        <v>7.3039999999999997E-4</v>
      </c>
      <c r="D195" s="969">
        <v>7.4910000000000005E-4</v>
      </c>
      <c r="E195" s="1008">
        <v>362201</v>
      </c>
      <c r="F195" s="1011">
        <v>1144417</v>
      </c>
      <c r="G195" s="970">
        <v>1732759</v>
      </c>
      <c r="H195" s="970"/>
      <c r="I195" s="970">
        <v>267323</v>
      </c>
      <c r="J195" s="971">
        <v>237856</v>
      </c>
      <c r="K195" s="971">
        <v>459807</v>
      </c>
      <c r="L195" s="971">
        <v>4093</v>
      </c>
      <c r="M195" s="970"/>
      <c r="N195" s="971">
        <v>8970</v>
      </c>
      <c r="O195" s="971">
        <v>0</v>
      </c>
      <c r="P195" s="971">
        <v>0</v>
      </c>
      <c r="Q195" s="971">
        <v>35449</v>
      </c>
      <c r="R195" s="970"/>
      <c r="S195" s="971">
        <v>481314</v>
      </c>
      <c r="T195" s="971">
        <v>-15851</v>
      </c>
      <c r="U195" s="971">
        <v>465463</v>
      </c>
    </row>
    <row r="196" spans="1:21" x14ac:dyDescent="0.25">
      <c r="A196" s="967">
        <v>91861</v>
      </c>
      <c r="B196" s="968" t="s">
        <v>2838</v>
      </c>
      <c r="C196" s="969">
        <v>1.1800000000000001E-5</v>
      </c>
      <c r="D196" s="969">
        <v>1.9700000000000001E-5</v>
      </c>
      <c r="E196" s="1008">
        <v>7333</v>
      </c>
      <c r="F196" s="1011">
        <v>30096</v>
      </c>
      <c r="G196" s="970">
        <v>27994</v>
      </c>
      <c r="H196" s="970"/>
      <c r="I196" s="970">
        <v>4319</v>
      </c>
      <c r="J196" s="971">
        <v>3843</v>
      </c>
      <c r="K196" s="971">
        <v>7428</v>
      </c>
      <c r="L196" s="971">
        <v>1009</v>
      </c>
      <c r="M196" s="970"/>
      <c r="N196" s="971">
        <v>145</v>
      </c>
      <c r="O196" s="971">
        <v>0</v>
      </c>
      <c r="P196" s="971">
        <v>0</v>
      </c>
      <c r="Q196" s="971">
        <v>5115</v>
      </c>
      <c r="R196" s="970"/>
      <c r="S196" s="971">
        <v>7776</v>
      </c>
      <c r="T196" s="971">
        <v>-408</v>
      </c>
      <c r="U196" s="971">
        <v>7368</v>
      </c>
    </row>
    <row r="197" spans="1:21" x14ac:dyDescent="0.25">
      <c r="A197" s="967">
        <v>91871</v>
      </c>
      <c r="B197" s="968" t="s">
        <v>2839</v>
      </c>
      <c r="C197" s="969">
        <v>1.3219E-3</v>
      </c>
      <c r="D197" s="969">
        <v>1.3319E-3</v>
      </c>
      <c r="E197" s="1008">
        <v>615146</v>
      </c>
      <c r="F197" s="1011">
        <v>2034774</v>
      </c>
      <c r="G197" s="970">
        <v>3135999</v>
      </c>
      <c r="H197" s="970"/>
      <c r="I197" s="970">
        <v>483810</v>
      </c>
      <c r="J197" s="971">
        <v>430480</v>
      </c>
      <c r="K197" s="971">
        <v>832173</v>
      </c>
      <c r="L197" s="971">
        <v>16903</v>
      </c>
      <c r="M197" s="970"/>
      <c r="N197" s="971">
        <v>16234</v>
      </c>
      <c r="O197" s="971">
        <v>0</v>
      </c>
      <c r="P197" s="971">
        <v>0</v>
      </c>
      <c r="Q197" s="971">
        <v>71958</v>
      </c>
      <c r="R197" s="970"/>
      <c r="S197" s="971">
        <v>871096</v>
      </c>
      <c r="T197" s="971">
        <v>-36895</v>
      </c>
      <c r="U197" s="971">
        <v>834201</v>
      </c>
    </row>
    <row r="198" spans="1:21" x14ac:dyDescent="0.25">
      <c r="A198" s="967">
        <v>91881</v>
      </c>
      <c r="B198" s="968" t="s">
        <v>2840</v>
      </c>
      <c r="C198" s="969">
        <v>8.1000000000000004E-6</v>
      </c>
      <c r="D198" s="969">
        <v>9.3000000000000007E-6</v>
      </c>
      <c r="E198" s="1008">
        <v>5099</v>
      </c>
      <c r="F198" s="1011">
        <v>14208</v>
      </c>
      <c r="G198" s="970">
        <v>19216</v>
      </c>
      <c r="H198" s="970"/>
      <c r="I198" s="970">
        <v>2965</v>
      </c>
      <c r="J198" s="971">
        <v>2638</v>
      </c>
      <c r="K198" s="971">
        <v>5099</v>
      </c>
      <c r="L198" s="971">
        <v>917</v>
      </c>
      <c r="M198" s="970"/>
      <c r="N198" s="971">
        <v>99</v>
      </c>
      <c r="O198" s="971">
        <v>0</v>
      </c>
      <c r="P198" s="971">
        <v>0</v>
      </c>
      <c r="Q198" s="971">
        <v>2944</v>
      </c>
      <c r="R198" s="970"/>
      <c r="S198" s="971">
        <v>5338</v>
      </c>
      <c r="T198" s="971">
        <v>-5564</v>
      </c>
      <c r="U198" s="971">
        <v>-226</v>
      </c>
    </row>
    <row r="199" spans="1:21" x14ac:dyDescent="0.25">
      <c r="A199" s="967">
        <v>91901</v>
      </c>
      <c r="B199" s="968" t="s">
        <v>2841</v>
      </c>
      <c r="C199" s="969">
        <v>3.6922000000000001E-3</v>
      </c>
      <c r="D199" s="969">
        <v>3.6706999999999998E-3</v>
      </c>
      <c r="E199" s="1008">
        <v>1743894</v>
      </c>
      <c r="F199" s="1011">
        <v>5607813</v>
      </c>
      <c r="G199" s="970">
        <v>8759161</v>
      </c>
      <c r="H199" s="970"/>
      <c r="I199" s="970">
        <v>1351330</v>
      </c>
      <c r="J199" s="971">
        <v>1202373</v>
      </c>
      <c r="K199" s="971">
        <v>2324343</v>
      </c>
      <c r="L199" s="971">
        <v>32174</v>
      </c>
      <c r="M199" s="970"/>
      <c r="N199" s="971">
        <v>45344</v>
      </c>
      <c r="O199" s="971">
        <v>0</v>
      </c>
      <c r="P199" s="971">
        <v>0</v>
      </c>
      <c r="Q199" s="971">
        <v>47401</v>
      </c>
      <c r="R199" s="970"/>
      <c r="S199" s="971">
        <v>2433060</v>
      </c>
      <c r="T199" s="971">
        <v>44660</v>
      </c>
      <c r="U199" s="971">
        <v>2477720</v>
      </c>
    </row>
    <row r="200" spans="1:21" x14ac:dyDescent="0.25">
      <c r="A200" s="967">
        <v>91903</v>
      </c>
      <c r="B200" s="968" t="s">
        <v>2842</v>
      </c>
      <c r="C200" s="969">
        <v>8.8000000000000004E-6</v>
      </c>
      <c r="D200" s="969">
        <v>8.6999999999999997E-6</v>
      </c>
      <c r="E200" s="1008">
        <v>6537</v>
      </c>
      <c r="F200" s="1011">
        <v>13291</v>
      </c>
      <c r="G200" s="970">
        <v>20877</v>
      </c>
      <c r="H200" s="970"/>
      <c r="I200" s="970">
        <v>3221</v>
      </c>
      <c r="J200" s="971">
        <v>2866</v>
      </c>
      <c r="K200" s="971">
        <v>5540</v>
      </c>
      <c r="L200" s="971">
        <v>3278</v>
      </c>
      <c r="M200" s="970"/>
      <c r="N200" s="971">
        <v>108</v>
      </c>
      <c r="O200" s="971">
        <v>0</v>
      </c>
      <c r="P200" s="971">
        <v>0</v>
      </c>
      <c r="Q200" s="971">
        <v>0</v>
      </c>
      <c r="R200" s="970"/>
      <c r="S200" s="971">
        <v>5799</v>
      </c>
      <c r="T200" s="971">
        <v>-1932</v>
      </c>
      <c r="U200" s="971">
        <v>3867</v>
      </c>
    </row>
    <row r="201" spans="1:21" x14ac:dyDescent="0.25">
      <c r="A201" s="967">
        <v>91904</v>
      </c>
      <c r="B201" s="968" t="s">
        <v>2843</v>
      </c>
      <c r="C201" s="969">
        <v>3.1399999999999998E-5</v>
      </c>
      <c r="D201" s="969">
        <v>3.3399999999999999E-5</v>
      </c>
      <c r="E201" s="1008">
        <v>16612</v>
      </c>
      <c r="F201" s="1011">
        <v>51026</v>
      </c>
      <c r="G201" s="970">
        <v>74492</v>
      </c>
      <c r="H201" s="970"/>
      <c r="I201" s="970">
        <v>11492</v>
      </c>
      <c r="J201" s="971">
        <v>10225</v>
      </c>
      <c r="K201" s="971">
        <v>19767</v>
      </c>
      <c r="L201" s="971">
        <v>6870</v>
      </c>
      <c r="M201" s="970"/>
      <c r="N201" s="971">
        <v>386</v>
      </c>
      <c r="O201" s="971">
        <v>0</v>
      </c>
      <c r="P201" s="971">
        <v>0</v>
      </c>
      <c r="Q201" s="971">
        <v>434</v>
      </c>
      <c r="R201" s="970"/>
      <c r="S201" s="971">
        <v>20692</v>
      </c>
      <c r="T201" s="971">
        <v>4213</v>
      </c>
      <c r="U201" s="971">
        <v>24905</v>
      </c>
    </row>
    <row r="202" spans="1:21" x14ac:dyDescent="0.25">
      <c r="A202" s="967">
        <v>91908</v>
      </c>
      <c r="B202" s="968" t="s">
        <v>2844</v>
      </c>
      <c r="C202" s="969">
        <v>1.5299999999999999E-5</v>
      </c>
      <c r="D202" s="969">
        <v>1.6900000000000001E-5</v>
      </c>
      <c r="E202" s="1008">
        <v>5167</v>
      </c>
      <c r="F202" s="1011">
        <v>25819</v>
      </c>
      <c r="G202" s="970">
        <v>36297</v>
      </c>
      <c r="H202" s="970"/>
      <c r="I202" s="970">
        <v>5600</v>
      </c>
      <c r="J202" s="971">
        <v>4983</v>
      </c>
      <c r="K202" s="971">
        <v>9632</v>
      </c>
      <c r="L202" s="971">
        <v>106</v>
      </c>
      <c r="M202" s="970"/>
      <c r="N202" s="971">
        <v>188</v>
      </c>
      <c r="O202" s="971">
        <v>0</v>
      </c>
      <c r="P202" s="971">
        <v>0</v>
      </c>
      <c r="Q202" s="971">
        <v>4660</v>
      </c>
      <c r="R202" s="970"/>
      <c r="S202" s="971">
        <v>10082</v>
      </c>
      <c r="T202" s="971">
        <v>-814</v>
      </c>
      <c r="U202" s="971">
        <v>9268</v>
      </c>
    </row>
    <row r="203" spans="1:21" x14ac:dyDescent="0.25">
      <c r="A203" s="967">
        <v>91911</v>
      </c>
      <c r="B203" s="968" t="s">
        <v>2845</v>
      </c>
      <c r="C203" s="969">
        <v>4.8529999999999998E-4</v>
      </c>
      <c r="D203" s="969">
        <v>4.5580000000000002E-4</v>
      </c>
      <c r="E203" s="1008">
        <v>231599</v>
      </c>
      <c r="F203" s="1011">
        <v>696336</v>
      </c>
      <c r="G203" s="970">
        <v>1151298</v>
      </c>
      <c r="H203" s="970"/>
      <c r="I203" s="970">
        <v>177618</v>
      </c>
      <c r="J203" s="971">
        <v>158038</v>
      </c>
      <c r="K203" s="971">
        <v>305510</v>
      </c>
      <c r="L203" s="971">
        <v>25824</v>
      </c>
      <c r="M203" s="970"/>
      <c r="N203" s="971">
        <v>5960</v>
      </c>
      <c r="O203" s="971">
        <v>0</v>
      </c>
      <c r="P203" s="971">
        <v>0</v>
      </c>
      <c r="Q203" s="971">
        <v>1556</v>
      </c>
      <c r="R203" s="970"/>
      <c r="S203" s="971">
        <v>319800</v>
      </c>
      <c r="T203" s="971">
        <v>4709</v>
      </c>
      <c r="U203" s="971">
        <v>324509</v>
      </c>
    </row>
    <row r="204" spans="1:21" x14ac:dyDescent="0.25">
      <c r="A204" s="967">
        <v>91917</v>
      </c>
      <c r="B204" s="968" t="s">
        <v>2846</v>
      </c>
      <c r="C204" s="969">
        <v>1.04E-5</v>
      </c>
      <c r="D204" s="969">
        <v>1.22E-5</v>
      </c>
      <c r="E204" s="1008">
        <v>6945</v>
      </c>
      <c r="F204" s="1011">
        <v>18638</v>
      </c>
      <c r="G204" s="970">
        <v>24672</v>
      </c>
      <c r="H204" s="970"/>
      <c r="I204" s="970">
        <v>3806</v>
      </c>
      <c r="J204" s="971">
        <v>3387</v>
      </c>
      <c r="K204" s="971">
        <v>6547</v>
      </c>
      <c r="L204" s="971">
        <v>521</v>
      </c>
      <c r="M204" s="970"/>
      <c r="N204" s="971">
        <v>128</v>
      </c>
      <c r="O204" s="971">
        <v>0</v>
      </c>
      <c r="P204" s="971">
        <v>0</v>
      </c>
      <c r="Q204" s="971">
        <v>233</v>
      </c>
      <c r="R204" s="970"/>
      <c r="S204" s="971">
        <v>6853</v>
      </c>
      <c r="T204" s="971">
        <v>175</v>
      </c>
      <c r="U204" s="971">
        <v>7028</v>
      </c>
    </row>
    <row r="205" spans="1:21" x14ac:dyDescent="0.25">
      <c r="A205" s="967">
        <v>91921</v>
      </c>
      <c r="B205" s="968" t="s">
        <v>2847</v>
      </c>
      <c r="C205" s="969">
        <v>3.5619999999999998E-4</v>
      </c>
      <c r="D205" s="969">
        <v>3.769E-4</v>
      </c>
      <c r="E205" s="1008">
        <v>166029</v>
      </c>
      <c r="F205" s="1011">
        <v>575799</v>
      </c>
      <c r="G205" s="970">
        <v>845028</v>
      </c>
      <c r="H205" s="970"/>
      <c r="I205" s="970">
        <v>130368</v>
      </c>
      <c r="J205" s="971">
        <v>115997</v>
      </c>
      <c r="K205" s="971">
        <v>224238</v>
      </c>
      <c r="L205" s="971">
        <v>0</v>
      </c>
      <c r="M205" s="970"/>
      <c r="N205" s="971">
        <v>4374</v>
      </c>
      <c r="O205" s="971">
        <v>0</v>
      </c>
      <c r="P205" s="971">
        <v>0</v>
      </c>
      <c r="Q205" s="971">
        <v>26775</v>
      </c>
      <c r="R205" s="970"/>
      <c r="S205" s="971">
        <v>234726</v>
      </c>
      <c r="T205" s="971">
        <v>-10664</v>
      </c>
      <c r="U205" s="971">
        <v>224062</v>
      </c>
    </row>
    <row r="206" spans="1:21" x14ac:dyDescent="0.25">
      <c r="A206" s="967">
        <v>92001</v>
      </c>
      <c r="B206" s="968" t="s">
        <v>2848</v>
      </c>
      <c r="C206" s="969">
        <v>1.8332999999999999E-3</v>
      </c>
      <c r="D206" s="969">
        <v>1.8143E-3</v>
      </c>
      <c r="E206" s="1008">
        <v>863075</v>
      </c>
      <c r="F206" s="1011">
        <v>2771748</v>
      </c>
      <c r="G206" s="970">
        <v>4349215</v>
      </c>
      <c r="H206" s="970"/>
      <c r="I206" s="970">
        <v>670980</v>
      </c>
      <c r="J206" s="971">
        <v>597017</v>
      </c>
      <c r="K206" s="971">
        <v>1154114</v>
      </c>
      <c r="L206" s="971">
        <v>30924</v>
      </c>
      <c r="M206" s="970"/>
      <c r="N206" s="971">
        <v>22515</v>
      </c>
      <c r="O206" s="971">
        <v>0</v>
      </c>
      <c r="P206" s="971">
        <v>0</v>
      </c>
      <c r="Q206" s="971">
        <v>112538</v>
      </c>
      <c r="R206" s="970"/>
      <c r="S206" s="971">
        <v>1208095</v>
      </c>
      <c r="T206" s="971">
        <v>-45166</v>
      </c>
      <c r="U206" s="971">
        <v>1162929</v>
      </c>
    </row>
    <row r="207" spans="1:21" x14ac:dyDescent="0.25">
      <c r="A207" s="967">
        <v>92005</v>
      </c>
      <c r="B207" s="968" t="s">
        <v>2849</v>
      </c>
      <c r="C207" s="969">
        <v>4.2700000000000001E-5</v>
      </c>
      <c r="D207" s="969">
        <v>4.1399999999999997E-5</v>
      </c>
      <c r="E207" s="1008">
        <v>23808</v>
      </c>
      <c r="F207" s="1011">
        <v>63248</v>
      </c>
      <c r="G207" s="970">
        <v>101299</v>
      </c>
      <c r="H207" s="970"/>
      <c r="I207" s="970">
        <v>15628</v>
      </c>
      <c r="J207" s="971">
        <v>13906</v>
      </c>
      <c r="K207" s="971">
        <v>26881</v>
      </c>
      <c r="L207" s="971">
        <v>4118</v>
      </c>
      <c r="M207" s="970"/>
      <c r="N207" s="971">
        <v>524</v>
      </c>
      <c r="O207" s="971">
        <v>0</v>
      </c>
      <c r="P207" s="971">
        <v>0</v>
      </c>
      <c r="Q207" s="971">
        <v>1571</v>
      </c>
      <c r="R207" s="970"/>
      <c r="S207" s="971">
        <v>28138</v>
      </c>
      <c r="T207" s="971">
        <v>1018</v>
      </c>
      <c r="U207" s="971">
        <v>29156</v>
      </c>
    </row>
    <row r="208" spans="1:21" x14ac:dyDescent="0.25">
      <c r="A208" s="967">
        <v>92011</v>
      </c>
      <c r="B208" s="968" t="s">
        <v>2850</v>
      </c>
      <c r="C208" s="969">
        <v>1.916E-4</v>
      </c>
      <c r="D208" s="969">
        <v>2.0049999999999999E-4</v>
      </c>
      <c r="E208" s="1008">
        <v>94487</v>
      </c>
      <c r="F208" s="1011">
        <v>306308</v>
      </c>
      <c r="G208" s="970">
        <v>454541</v>
      </c>
      <c r="H208" s="970"/>
      <c r="I208" s="970">
        <v>70125</v>
      </c>
      <c r="J208" s="971">
        <v>62395</v>
      </c>
      <c r="K208" s="971">
        <v>120618</v>
      </c>
      <c r="L208" s="971">
        <v>7900</v>
      </c>
      <c r="M208" s="970"/>
      <c r="N208" s="971">
        <v>2353</v>
      </c>
      <c r="O208" s="971">
        <v>0</v>
      </c>
      <c r="P208" s="971">
        <v>0</v>
      </c>
      <c r="Q208" s="971">
        <v>5785</v>
      </c>
      <c r="R208" s="970"/>
      <c r="S208" s="971">
        <v>126259</v>
      </c>
      <c r="T208" s="971">
        <v>8269</v>
      </c>
      <c r="U208" s="971">
        <v>134528</v>
      </c>
    </row>
    <row r="209" spans="1:21" x14ac:dyDescent="0.25">
      <c r="A209" s="967">
        <v>92017</v>
      </c>
      <c r="B209" s="968" t="s">
        <v>2851</v>
      </c>
      <c r="C209" s="969">
        <v>3.3200000000000001E-5</v>
      </c>
      <c r="D209" s="969">
        <v>3.4199999999999998E-5</v>
      </c>
      <c r="E209" s="1008">
        <v>18378</v>
      </c>
      <c r="F209" s="1011">
        <v>52248</v>
      </c>
      <c r="G209" s="970">
        <v>78762</v>
      </c>
      <c r="H209" s="970"/>
      <c r="I209" s="970">
        <v>12151</v>
      </c>
      <c r="J209" s="971">
        <v>10811</v>
      </c>
      <c r="K209" s="971">
        <v>20900</v>
      </c>
      <c r="L209" s="971">
        <v>1396</v>
      </c>
      <c r="M209" s="970"/>
      <c r="N209" s="971">
        <v>408</v>
      </c>
      <c r="O209" s="971">
        <v>0</v>
      </c>
      <c r="P209" s="971">
        <v>0</v>
      </c>
      <c r="Q209" s="971">
        <v>361</v>
      </c>
      <c r="R209" s="970"/>
      <c r="S209" s="971">
        <v>21878</v>
      </c>
      <c r="T209" s="971">
        <v>-415</v>
      </c>
      <c r="U209" s="971">
        <v>21463</v>
      </c>
    </row>
    <row r="210" spans="1:21" x14ac:dyDescent="0.25">
      <c r="A210" s="967">
        <v>92021</v>
      </c>
      <c r="B210" s="968" t="s">
        <v>2852</v>
      </c>
      <c r="C210" s="969">
        <v>1.451E-4</v>
      </c>
      <c r="D210" s="969">
        <v>1.5779999999999999E-4</v>
      </c>
      <c r="E210" s="1008">
        <v>56798</v>
      </c>
      <c r="F210" s="1011">
        <v>241075</v>
      </c>
      <c r="G210" s="970">
        <v>344227</v>
      </c>
      <c r="H210" s="970"/>
      <c r="I210" s="970">
        <v>53106</v>
      </c>
      <c r="J210" s="971">
        <v>47253</v>
      </c>
      <c r="K210" s="971">
        <v>91345</v>
      </c>
      <c r="L210" s="971">
        <v>20876</v>
      </c>
      <c r="M210" s="970"/>
      <c r="N210" s="971">
        <v>1782</v>
      </c>
      <c r="O210" s="971">
        <v>0</v>
      </c>
      <c r="P210" s="971">
        <v>0</v>
      </c>
      <c r="Q210" s="971">
        <v>23774</v>
      </c>
      <c r="R210" s="970"/>
      <c r="S210" s="971">
        <v>95617</v>
      </c>
      <c r="T210" s="971">
        <v>-3302</v>
      </c>
      <c r="U210" s="971">
        <v>92315</v>
      </c>
    </row>
    <row r="211" spans="1:21" x14ac:dyDescent="0.25">
      <c r="A211" s="967">
        <v>92101</v>
      </c>
      <c r="B211" s="968" t="s">
        <v>2853</v>
      </c>
      <c r="C211" s="969">
        <v>8.183E-4</v>
      </c>
      <c r="D211" s="969">
        <v>8.5209999999999995E-4</v>
      </c>
      <c r="E211" s="1008">
        <v>385403</v>
      </c>
      <c r="F211" s="1011">
        <v>1301773</v>
      </c>
      <c r="G211" s="970">
        <v>1941287</v>
      </c>
      <c r="H211" s="970"/>
      <c r="I211" s="970">
        <v>299495</v>
      </c>
      <c r="J211" s="971">
        <v>266481</v>
      </c>
      <c r="K211" s="971">
        <v>515143</v>
      </c>
      <c r="L211" s="971">
        <v>575</v>
      </c>
      <c r="M211" s="970"/>
      <c r="N211" s="971">
        <v>10050</v>
      </c>
      <c r="O211" s="971">
        <v>0</v>
      </c>
      <c r="P211" s="971">
        <v>0</v>
      </c>
      <c r="Q211" s="971">
        <v>80217</v>
      </c>
      <c r="R211" s="970"/>
      <c r="S211" s="971">
        <v>539238</v>
      </c>
      <c r="T211" s="971">
        <v>-19299</v>
      </c>
      <c r="U211" s="971">
        <v>519939</v>
      </c>
    </row>
    <row r="212" spans="1:21" x14ac:dyDescent="0.25">
      <c r="A212" s="967">
        <v>92104</v>
      </c>
      <c r="B212" s="968" t="s">
        <v>2854</v>
      </c>
      <c r="C212" s="969">
        <v>8.3999999999999992E-6</v>
      </c>
      <c r="D212" s="969">
        <v>8.6000000000000007E-6</v>
      </c>
      <c r="E212" s="1008">
        <v>5363</v>
      </c>
      <c r="F212" s="1011">
        <v>13138</v>
      </c>
      <c r="G212" s="970">
        <v>19928</v>
      </c>
      <c r="H212" s="970"/>
      <c r="I212" s="970">
        <v>3074</v>
      </c>
      <c r="J212" s="971">
        <v>2735</v>
      </c>
      <c r="K212" s="971">
        <v>5288</v>
      </c>
      <c r="L212" s="971">
        <v>2394</v>
      </c>
      <c r="M212" s="970"/>
      <c r="N212" s="971">
        <v>103</v>
      </c>
      <c r="O212" s="971">
        <v>0</v>
      </c>
      <c r="P212" s="971">
        <v>0</v>
      </c>
      <c r="Q212" s="971">
        <v>0</v>
      </c>
      <c r="R212" s="970"/>
      <c r="S212" s="971">
        <v>5535</v>
      </c>
      <c r="T212" s="971">
        <v>2056</v>
      </c>
      <c r="U212" s="971">
        <v>7591</v>
      </c>
    </row>
    <row r="213" spans="1:21" x14ac:dyDescent="0.25">
      <c r="A213" s="967">
        <v>92109</v>
      </c>
      <c r="B213" s="968" t="s">
        <v>2855</v>
      </c>
      <c r="C213" s="969">
        <v>1.7239999999999999E-4</v>
      </c>
      <c r="D213" s="969">
        <v>1.8809999999999999E-4</v>
      </c>
      <c r="E213" s="1008">
        <v>81664</v>
      </c>
      <c r="F213" s="1011">
        <v>287365</v>
      </c>
      <c r="G213" s="970">
        <v>408992</v>
      </c>
      <c r="H213" s="970"/>
      <c r="I213" s="970">
        <v>63098</v>
      </c>
      <c r="J213" s="971">
        <v>56142</v>
      </c>
      <c r="K213" s="971">
        <v>108531</v>
      </c>
      <c r="L213" s="971">
        <v>547</v>
      </c>
      <c r="M213" s="970"/>
      <c r="N213" s="971">
        <v>2117</v>
      </c>
      <c r="O213" s="971">
        <v>0</v>
      </c>
      <c r="P213" s="971">
        <v>0</v>
      </c>
      <c r="Q213" s="971">
        <v>19072</v>
      </c>
      <c r="R213" s="970"/>
      <c r="S213" s="971">
        <v>113607</v>
      </c>
      <c r="T213" s="971">
        <v>-8757</v>
      </c>
      <c r="U213" s="971">
        <v>104850</v>
      </c>
    </row>
    <row r="214" spans="1:21" x14ac:dyDescent="0.25">
      <c r="A214" s="967">
        <v>92111</v>
      </c>
      <c r="B214" s="968" t="s">
        <v>2856</v>
      </c>
      <c r="C214" s="969">
        <v>5.2209999999999995E-4</v>
      </c>
      <c r="D214" s="969">
        <v>5.0460000000000001E-4</v>
      </c>
      <c r="E214" s="1008">
        <v>241524</v>
      </c>
      <c r="F214" s="1011">
        <v>770889</v>
      </c>
      <c r="G214" s="970">
        <v>1238600</v>
      </c>
      <c r="H214" s="970"/>
      <c r="I214" s="970">
        <v>191087</v>
      </c>
      <c r="J214" s="971">
        <v>170023</v>
      </c>
      <c r="K214" s="971">
        <v>328677</v>
      </c>
      <c r="L214" s="971">
        <v>4892</v>
      </c>
      <c r="M214" s="970"/>
      <c r="N214" s="971">
        <v>6412</v>
      </c>
      <c r="O214" s="971">
        <v>0</v>
      </c>
      <c r="P214" s="971">
        <v>0</v>
      </c>
      <c r="Q214" s="971">
        <v>8630</v>
      </c>
      <c r="R214" s="970"/>
      <c r="S214" s="971">
        <v>344050</v>
      </c>
      <c r="T214" s="971">
        <v>2737</v>
      </c>
      <c r="U214" s="971">
        <v>346787</v>
      </c>
    </row>
    <row r="215" spans="1:21" x14ac:dyDescent="0.25">
      <c r="A215" s="967">
        <v>92113</v>
      </c>
      <c r="B215" s="968" t="s">
        <v>2857</v>
      </c>
      <c r="C215" s="969">
        <v>1.56E-5</v>
      </c>
      <c r="D215" s="969">
        <v>1.4399999999999999E-5</v>
      </c>
      <c r="E215" s="1008">
        <v>12477</v>
      </c>
      <c r="F215" s="1011">
        <v>21999</v>
      </c>
      <c r="G215" s="970">
        <v>37009</v>
      </c>
      <c r="H215" s="970"/>
      <c r="I215" s="970">
        <v>5710</v>
      </c>
      <c r="J215" s="971">
        <v>5080</v>
      </c>
      <c r="K215" s="971">
        <v>9821</v>
      </c>
      <c r="L215" s="971">
        <v>14622</v>
      </c>
      <c r="M215" s="970"/>
      <c r="N215" s="971">
        <v>192</v>
      </c>
      <c r="O215" s="971">
        <v>0</v>
      </c>
      <c r="P215" s="971">
        <v>0</v>
      </c>
      <c r="Q215" s="971">
        <v>1633</v>
      </c>
      <c r="R215" s="970"/>
      <c r="S215" s="971">
        <v>10280</v>
      </c>
      <c r="T215" s="971">
        <v>8352</v>
      </c>
      <c r="U215" s="971">
        <v>18632</v>
      </c>
    </row>
    <row r="216" spans="1:21" x14ac:dyDescent="0.25">
      <c r="A216" s="967">
        <v>92201</v>
      </c>
      <c r="B216" s="968" t="s">
        <v>2858</v>
      </c>
      <c r="C216" s="969">
        <v>9.1100000000000003E-4</v>
      </c>
      <c r="D216" s="969">
        <v>9.3389999999999999E-4</v>
      </c>
      <c r="E216" s="1008">
        <v>466556</v>
      </c>
      <c r="F216" s="1011">
        <v>1426741</v>
      </c>
      <c r="G216" s="970">
        <v>2161204</v>
      </c>
      <c r="H216" s="970"/>
      <c r="I216" s="970">
        <v>333422</v>
      </c>
      <c r="J216" s="971">
        <v>296669</v>
      </c>
      <c r="K216" s="971">
        <v>573500</v>
      </c>
      <c r="L216" s="971">
        <v>13246</v>
      </c>
      <c r="M216" s="970"/>
      <c r="N216" s="971">
        <v>11188</v>
      </c>
      <c r="O216" s="971">
        <v>0</v>
      </c>
      <c r="P216" s="971">
        <v>0</v>
      </c>
      <c r="Q216" s="971">
        <v>32516</v>
      </c>
      <c r="R216" s="970"/>
      <c r="S216" s="971">
        <v>600324</v>
      </c>
      <c r="T216" s="971">
        <v>12990</v>
      </c>
      <c r="U216" s="971">
        <v>613314</v>
      </c>
    </row>
    <row r="217" spans="1:21" x14ac:dyDescent="0.25">
      <c r="A217" s="967">
        <v>92301</v>
      </c>
      <c r="B217" s="968" t="s">
        <v>2859</v>
      </c>
      <c r="C217" s="969">
        <v>5.1875999999999997E-3</v>
      </c>
      <c r="D217" s="969">
        <v>5.2129999999999998E-3</v>
      </c>
      <c r="E217" s="1008">
        <v>2605918</v>
      </c>
      <c r="F217" s="1011">
        <v>7964020</v>
      </c>
      <c r="G217" s="970">
        <v>12306761</v>
      </c>
      <c r="H217" s="970"/>
      <c r="I217" s="970">
        <v>1898641</v>
      </c>
      <c r="J217" s="971">
        <v>1689353</v>
      </c>
      <c r="K217" s="971">
        <v>3265739</v>
      </c>
      <c r="L217" s="971">
        <v>65564</v>
      </c>
      <c r="M217" s="970"/>
      <c r="N217" s="971">
        <v>63709</v>
      </c>
      <c r="O217" s="971">
        <v>0</v>
      </c>
      <c r="P217" s="971">
        <v>0</v>
      </c>
      <c r="Q217" s="971">
        <v>24051</v>
      </c>
      <c r="R217" s="970"/>
      <c r="S217" s="971">
        <v>3418488</v>
      </c>
      <c r="T217" s="971">
        <v>16356</v>
      </c>
      <c r="U217" s="971">
        <v>3434844</v>
      </c>
    </row>
    <row r="218" spans="1:21" x14ac:dyDescent="0.25">
      <c r="A218" s="967">
        <v>92302</v>
      </c>
      <c r="B218" s="968" t="s">
        <v>3685</v>
      </c>
      <c r="C218" s="969">
        <v>3.2410000000000002E-4</v>
      </c>
      <c r="D218" s="969">
        <v>2.9740000000000002E-4</v>
      </c>
      <c r="E218" s="1008">
        <v>142815</v>
      </c>
      <c r="F218" s="1011">
        <v>454345</v>
      </c>
      <c r="G218" s="970">
        <v>768876</v>
      </c>
      <c r="H218" s="970"/>
      <c r="I218" s="970">
        <v>118619</v>
      </c>
      <c r="J218" s="971">
        <v>105543</v>
      </c>
      <c r="K218" s="971">
        <v>204030</v>
      </c>
      <c r="L218" s="971">
        <v>6461</v>
      </c>
      <c r="M218" s="970"/>
      <c r="N218" s="971">
        <v>3980</v>
      </c>
      <c r="O218" s="971">
        <v>0</v>
      </c>
      <c r="P218" s="971">
        <v>0</v>
      </c>
      <c r="Q218" s="971">
        <v>18923</v>
      </c>
      <c r="R218" s="970"/>
      <c r="S218" s="971">
        <v>213573</v>
      </c>
      <c r="T218" s="971">
        <v>-8101</v>
      </c>
      <c r="U218" s="971">
        <v>205472</v>
      </c>
    </row>
    <row r="219" spans="1:21" x14ac:dyDescent="0.25">
      <c r="A219" s="967">
        <v>92311</v>
      </c>
      <c r="B219" s="968" t="s">
        <v>2861</v>
      </c>
      <c r="C219" s="969">
        <v>2.2258999999999998E-3</v>
      </c>
      <c r="D219" s="969">
        <v>2.2504999999999999E-3</v>
      </c>
      <c r="E219" s="1008">
        <v>1034115</v>
      </c>
      <c r="F219" s="1011">
        <v>3438141</v>
      </c>
      <c r="G219" s="970">
        <v>5280596</v>
      </c>
      <c r="H219" s="970"/>
      <c r="I219" s="970">
        <v>814670</v>
      </c>
      <c r="J219" s="971">
        <v>724869</v>
      </c>
      <c r="K219" s="971">
        <v>1401266</v>
      </c>
      <c r="L219" s="971">
        <v>6268</v>
      </c>
      <c r="M219" s="970"/>
      <c r="N219" s="971">
        <v>27336</v>
      </c>
      <c r="O219" s="971">
        <v>0</v>
      </c>
      <c r="P219" s="971">
        <v>0</v>
      </c>
      <c r="Q219" s="971">
        <v>77605</v>
      </c>
      <c r="R219" s="970"/>
      <c r="S219" s="971">
        <v>1466808</v>
      </c>
      <c r="T219" s="971">
        <v>-51715</v>
      </c>
      <c r="U219" s="971">
        <v>1415093</v>
      </c>
    </row>
    <row r="220" spans="1:21" x14ac:dyDescent="0.25">
      <c r="A220" s="967">
        <v>92317</v>
      </c>
      <c r="B220" s="968" t="s">
        <v>2862</v>
      </c>
      <c r="C220" s="969">
        <v>2.1800000000000001E-5</v>
      </c>
      <c r="D220" s="969">
        <v>2.94E-5</v>
      </c>
      <c r="E220" s="1008">
        <v>22934</v>
      </c>
      <c r="F220" s="1011">
        <v>44915</v>
      </c>
      <c r="G220" s="970">
        <v>51717</v>
      </c>
      <c r="H220" s="970"/>
      <c r="I220" s="970">
        <v>7979</v>
      </c>
      <c r="J220" s="971">
        <v>7099</v>
      </c>
      <c r="K220" s="971">
        <v>13724</v>
      </c>
      <c r="L220" s="971">
        <v>13785</v>
      </c>
      <c r="M220" s="970"/>
      <c r="N220" s="971">
        <v>268</v>
      </c>
      <c r="O220" s="971">
        <v>0</v>
      </c>
      <c r="P220" s="971">
        <v>0</v>
      </c>
      <c r="Q220" s="971">
        <v>0</v>
      </c>
      <c r="R220" s="970"/>
      <c r="S220" s="971">
        <v>14366</v>
      </c>
      <c r="T220" s="971">
        <v>7302</v>
      </c>
      <c r="U220" s="971">
        <v>21668</v>
      </c>
    </row>
    <row r="221" spans="1:21" x14ac:dyDescent="0.25">
      <c r="A221" s="967">
        <v>92321</v>
      </c>
      <c r="B221" s="968" t="s">
        <v>2863</v>
      </c>
      <c r="C221" s="969">
        <v>1.2386000000000001E-3</v>
      </c>
      <c r="D221" s="969">
        <v>1.1773E-3</v>
      </c>
      <c r="E221" s="1008">
        <v>602728</v>
      </c>
      <c r="F221" s="1011">
        <v>1798588</v>
      </c>
      <c r="G221" s="970">
        <v>2938383</v>
      </c>
      <c r="H221" s="970"/>
      <c r="I221" s="970">
        <v>453323</v>
      </c>
      <c r="J221" s="971">
        <v>403353</v>
      </c>
      <c r="K221" s="971">
        <v>779733</v>
      </c>
      <c r="L221" s="971">
        <v>50947</v>
      </c>
      <c r="M221" s="970"/>
      <c r="N221" s="971">
        <v>15211</v>
      </c>
      <c r="O221" s="971">
        <v>0</v>
      </c>
      <c r="P221" s="971">
        <v>0</v>
      </c>
      <c r="Q221" s="971">
        <v>15403</v>
      </c>
      <c r="R221" s="970"/>
      <c r="S221" s="971">
        <v>816204</v>
      </c>
      <c r="T221" s="971">
        <v>30637</v>
      </c>
      <c r="U221" s="971">
        <v>846841</v>
      </c>
    </row>
    <row r="222" spans="1:21" x14ac:dyDescent="0.25">
      <c r="A222" s="967">
        <v>92327</v>
      </c>
      <c r="B222" s="968" t="s">
        <v>2864</v>
      </c>
      <c r="C222" s="969">
        <v>6.8000000000000001E-6</v>
      </c>
      <c r="D222" s="969">
        <v>5.6999999999999996E-6</v>
      </c>
      <c r="E222" s="1008">
        <v>7042</v>
      </c>
      <c r="F222" s="1011">
        <v>8708</v>
      </c>
      <c r="G222" s="970">
        <v>16132</v>
      </c>
      <c r="H222" s="970"/>
      <c r="I222" s="970">
        <v>2489</v>
      </c>
      <c r="J222" s="971">
        <v>2215</v>
      </c>
      <c r="K222" s="971">
        <v>4281</v>
      </c>
      <c r="L222" s="971">
        <v>5548</v>
      </c>
      <c r="M222" s="970"/>
      <c r="N222" s="971">
        <v>84</v>
      </c>
      <c r="O222" s="971">
        <v>0</v>
      </c>
      <c r="P222" s="971">
        <v>0</v>
      </c>
      <c r="Q222" s="971">
        <v>0</v>
      </c>
      <c r="R222" s="970"/>
      <c r="S222" s="971">
        <v>4481</v>
      </c>
      <c r="T222" s="971">
        <v>2080</v>
      </c>
      <c r="U222" s="971">
        <v>6561</v>
      </c>
    </row>
    <row r="223" spans="1:21" x14ac:dyDescent="0.25">
      <c r="A223" s="967">
        <v>92331</v>
      </c>
      <c r="B223" s="968" t="s">
        <v>2865</v>
      </c>
      <c r="C223" s="969">
        <v>1.315E-4</v>
      </c>
      <c r="D223" s="969">
        <v>1.3970000000000001E-4</v>
      </c>
      <c r="E223" s="1008">
        <v>66231</v>
      </c>
      <c r="F223" s="1011">
        <v>213423</v>
      </c>
      <c r="G223" s="970">
        <v>311963</v>
      </c>
      <c r="H223" s="970"/>
      <c r="I223" s="970">
        <v>48128</v>
      </c>
      <c r="J223" s="971">
        <v>42823</v>
      </c>
      <c r="K223" s="971">
        <v>82783</v>
      </c>
      <c r="L223" s="971">
        <v>427</v>
      </c>
      <c r="M223" s="970"/>
      <c r="N223" s="971">
        <v>1615</v>
      </c>
      <c r="O223" s="971">
        <v>0</v>
      </c>
      <c r="P223" s="971">
        <v>0</v>
      </c>
      <c r="Q223" s="971">
        <v>9509</v>
      </c>
      <c r="R223" s="970"/>
      <c r="S223" s="971">
        <v>86655</v>
      </c>
      <c r="T223" s="971">
        <v>-1856</v>
      </c>
      <c r="U223" s="971">
        <v>84799</v>
      </c>
    </row>
    <row r="224" spans="1:21" x14ac:dyDescent="0.25">
      <c r="A224" s="967">
        <v>92341</v>
      </c>
      <c r="B224" s="968" t="s">
        <v>2866</v>
      </c>
      <c r="C224" s="969">
        <v>9.2E-6</v>
      </c>
      <c r="D224" s="969">
        <v>9.7999999999999993E-6</v>
      </c>
      <c r="E224" s="1008">
        <v>3268</v>
      </c>
      <c r="F224" s="1011">
        <v>14972</v>
      </c>
      <c r="G224" s="970">
        <v>21826</v>
      </c>
      <c r="H224" s="970"/>
      <c r="I224" s="970">
        <v>3367</v>
      </c>
      <c r="J224" s="971">
        <v>2996</v>
      </c>
      <c r="K224" s="971">
        <v>5792</v>
      </c>
      <c r="L224" s="971">
        <v>297</v>
      </c>
      <c r="M224" s="970"/>
      <c r="N224" s="971">
        <v>113</v>
      </c>
      <c r="O224" s="971">
        <v>0</v>
      </c>
      <c r="P224" s="971">
        <v>0</v>
      </c>
      <c r="Q224" s="971">
        <v>2308</v>
      </c>
      <c r="R224" s="970"/>
      <c r="S224" s="971">
        <v>6063</v>
      </c>
      <c r="T224" s="971">
        <v>-1214</v>
      </c>
      <c r="U224" s="971">
        <v>4849</v>
      </c>
    </row>
    <row r="225" spans="1:21" x14ac:dyDescent="0.25">
      <c r="A225" s="967">
        <v>92351</v>
      </c>
      <c r="B225" s="968" t="s">
        <v>2867</v>
      </c>
      <c r="C225" s="969">
        <v>1.9400000000000001E-5</v>
      </c>
      <c r="D225" s="969">
        <v>1.8600000000000001E-5</v>
      </c>
      <c r="E225" s="1008">
        <v>12789</v>
      </c>
      <c r="F225" s="1011">
        <v>28416</v>
      </c>
      <c r="G225" s="970">
        <v>46023</v>
      </c>
      <c r="H225" s="970"/>
      <c r="I225" s="970">
        <v>7100</v>
      </c>
      <c r="J225" s="971">
        <v>6317</v>
      </c>
      <c r="K225" s="971">
        <v>12213</v>
      </c>
      <c r="L225" s="971">
        <v>3336</v>
      </c>
      <c r="M225" s="970"/>
      <c r="N225" s="971">
        <v>238</v>
      </c>
      <c r="O225" s="971">
        <v>0</v>
      </c>
      <c r="P225" s="971">
        <v>0</v>
      </c>
      <c r="Q225" s="971">
        <v>2532</v>
      </c>
      <c r="R225" s="970"/>
      <c r="S225" s="971">
        <v>12784</v>
      </c>
      <c r="T225" s="971">
        <v>-213</v>
      </c>
      <c r="U225" s="971">
        <v>12571</v>
      </c>
    </row>
    <row r="226" spans="1:21" x14ac:dyDescent="0.25">
      <c r="A226" s="967">
        <v>92401</v>
      </c>
      <c r="B226" s="968" t="s">
        <v>2868</v>
      </c>
      <c r="C226" s="969">
        <v>2.4808E-3</v>
      </c>
      <c r="D226" s="969">
        <v>2.6890999999999998E-3</v>
      </c>
      <c r="E226" s="1008">
        <v>1332379</v>
      </c>
      <c r="F226" s="1011">
        <v>4108200</v>
      </c>
      <c r="G226" s="970">
        <v>5885306</v>
      </c>
      <c r="H226" s="970"/>
      <c r="I226" s="970">
        <v>907963</v>
      </c>
      <c r="J226" s="971">
        <v>807877</v>
      </c>
      <c r="K226" s="971">
        <v>1561733</v>
      </c>
      <c r="L226" s="971">
        <v>14194</v>
      </c>
      <c r="M226" s="970"/>
      <c r="N226" s="971">
        <v>30467</v>
      </c>
      <c r="O226" s="971">
        <v>0</v>
      </c>
      <c r="P226" s="971">
        <v>0</v>
      </c>
      <c r="Q226" s="971">
        <v>55822</v>
      </c>
      <c r="R226" s="970"/>
      <c r="S226" s="971">
        <v>1634780</v>
      </c>
      <c r="T226" s="971">
        <v>5281</v>
      </c>
      <c r="U226" s="971">
        <v>1640061</v>
      </c>
    </row>
    <row r="227" spans="1:21" x14ac:dyDescent="0.25">
      <c r="A227" s="967">
        <v>92403</v>
      </c>
      <c r="B227" s="968" t="s">
        <v>2869</v>
      </c>
      <c r="C227" s="969">
        <v>1.0200000000000001E-5</v>
      </c>
      <c r="D227" s="969">
        <v>1.11E-5</v>
      </c>
      <c r="E227" s="1008">
        <v>6224</v>
      </c>
      <c r="F227" s="1011">
        <v>16958</v>
      </c>
      <c r="G227" s="970">
        <v>24198</v>
      </c>
      <c r="H227" s="970"/>
      <c r="I227" s="970">
        <v>3733</v>
      </c>
      <c r="J227" s="971">
        <v>3321</v>
      </c>
      <c r="K227" s="971">
        <v>6421</v>
      </c>
      <c r="L227" s="971">
        <v>1611</v>
      </c>
      <c r="M227" s="970"/>
      <c r="N227" s="971">
        <v>125</v>
      </c>
      <c r="O227" s="971">
        <v>0</v>
      </c>
      <c r="P227" s="971">
        <v>0</v>
      </c>
      <c r="Q227" s="971">
        <v>851</v>
      </c>
      <c r="R227" s="970"/>
      <c r="S227" s="971">
        <v>6722</v>
      </c>
      <c r="T227" s="971">
        <v>220</v>
      </c>
      <c r="U227" s="971">
        <v>6942</v>
      </c>
    </row>
    <row r="228" spans="1:21" x14ac:dyDescent="0.25">
      <c r="A228" s="967">
        <v>92411</v>
      </c>
      <c r="B228" s="968" t="s">
        <v>2870</v>
      </c>
      <c r="C228" s="969">
        <v>4.4569999999999999E-4</v>
      </c>
      <c r="D228" s="969">
        <v>5.0469999999999996E-4</v>
      </c>
      <c r="E228" s="1008">
        <v>212765</v>
      </c>
      <c r="F228" s="1011">
        <v>771042</v>
      </c>
      <c r="G228" s="970">
        <v>1057353</v>
      </c>
      <c r="H228" s="970"/>
      <c r="I228" s="970">
        <v>163124</v>
      </c>
      <c r="J228" s="971">
        <v>145143</v>
      </c>
      <c r="K228" s="971">
        <v>280581</v>
      </c>
      <c r="L228" s="971">
        <v>165</v>
      </c>
      <c r="M228" s="970"/>
      <c r="N228" s="971">
        <v>5474</v>
      </c>
      <c r="O228" s="971">
        <v>0</v>
      </c>
      <c r="P228" s="971">
        <v>0</v>
      </c>
      <c r="Q228" s="971">
        <v>72580</v>
      </c>
      <c r="R228" s="970"/>
      <c r="S228" s="971">
        <v>293704</v>
      </c>
      <c r="T228" s="971">
        <v>-29467</v>
      </c>
      <c r="U228" s="971">
        <v>264237</v>
      </c>
    </row>
    <row r="229" spans="1:21" x14ac:dyDescent="0.25">
      <c r="A229" s="967">
        <v>92414</v>
      </c>
      <c r="B229" s="968" t="s">
        <v>1397</v>
      </c>
      <c r="C229" s="969">
        <v>0</v>
      </c>
      <c r="D229" s="969">
        <v>0</v>
      </c>
      <c r="E229" s="1008">
        <v>0</v>
      </c>
      <c r="F229" s="1011">
        <v>0</v>
      </c>
      <c r="G229" s="970">
        <v>0</v>
      </c>
      <c r="H229" s="970"/>
      <c r="I229" s="970">
        <v>0</v>
      </c>
      <c r="J229" s="971">
        <v>0</v>
      </c>
      <c r="K229" s="971">
        <v>0</v>
      </c>
      <c r="L229" s="971">
        <v>0</v>
      </c>
      <c r="M229" s="970"/>
      <c r="N229" s="971">
        <v>0</v>
      </c>
      <c r="O229" s="971">
        <v>0</v>
      </c>
      <c r="P229" s="971">
        <v>0</v>
      </c>
      <c r="Q229" s="971">
        <v>3269</v>
      </c>
      <c r="R229" s="970"/>
      <c r="S229" s="971">
        <v>0</v>
      </c>
      <c r="T229" s="971">
        <v>-2443</v>
      </c>
      <c r="U229" s="971">
        <v>-2443</v>
      </c>
    </row>
    <row r="230" spans="1:21" x14ac:dyDescent="0.25">
      <c r="A230" s="967">
        <v>92417</v>
      </c>
      <c r="B230" s="968" t="s">
        <v>2871</v>
      </c>
      <c r="C230" s="969">
        <v>1.8600000000000001E-5</v>
      </c>
      <c r="D230" s="969">
        <v>1.8300000000000001E-5</v>
      </c>
      <c r="E230" s="1008">
        <v>6522</v>
      </c>
      <c r="F230" s="1011">
        <v>27957</v>
      </c>
      <c r="G230" s="970">
        <v>44126</v>
      </c>
      <c r="H230" s="970"/>
      <c r="I230" s="970">
        <v>6808</v>
      </c>
      <c r="J230" s="971">
        <v>6058</v>
      </c>
      <c r="K230" s="971">
        <v>11709</v>
      </c>
      <c r="L230" s="971">
        <v>0</v>
      </c>
      <c r="M230" s="970"/>
      <c r="N230" s="971">
        <v>228</v>
      </c>
      <c r="O230" s="971">
        <v>0</v>
      </c>
      <c r="P230" s="971">
        <v>0</v>
      </c>
      <c r="Q230" s="971">
        <v>3682</v>
      </c>
      <c r="R230" s="970"/>
      <c r="S230" s="971">
        <v>12257</v>
      </c>
      <c r="T230" s="971">
        <v>-1356</v>
      </c>
      <c r="U230" s="971">
        <v>10901</v>
      </c>
    </row>
    <row r="231" spans="1:21" x14ac:dyDescent="0.25">
      <c r="A231" s="967">
        <v>92421</v>
      </c>
      <c r="B231" s="968" t="s">
        <v>2872</v>
      </c>
      <c r="C231" s="969">
        <v>8.6999999999999997E-6</v>
      </c>
      <c r="D231" s="969">
        <v>8.8000000000000004E-6</v>
      </c>
      <c r="E231" s="1008">
        <v>9320</v>
      </c>
      <c r="F231" s="1011">
        <v>13444</v>
      </c>
      <c r="G231" s="970">
        <v>20639</v>
      </c>
      <c r="H231" s="970"/>
      <c r="I231" s="970">
        <v>3184</v>
      </c>
      <c r="J231" s="971">
        <v>2833</v>
      </c>
      <c r="K231" s="971">
        <v>5477</v>
      </c>
      <c r="L231" s="971">
        <v>6193</v>
      </c>
      <c r="M231" s="970"/>
      <c r="N231" s="971">
        <v>107</v>
      </c>
      <c r="O231" s="971">
        <v>0</v>
      </c>
      <c r="P231" s="971">
        <v>0</v>
      </c>
      <c r="Q231" s="971">
        <v>746</v>
      </c>
      <c r="R231" s="970"/>
      <c r="S231" s="971">
        <v>5733</v>
      </c>
      <c r="T231" s="971">
        <v>1925</v>
      </c>
      <c r="U231" s="971">
        <v>7658</v>
      </c>
    </row>
    <row r="232" spans="1:21" x14ac:dyDescent="0.25">
      <c r="A232" s="967">
        <v>92427</v>
      </c>
      <c r="B232" s="968" t="s">
        <v>2873</v>
      </c>
      <c r="C232" s="969">
        <v>1.9999999999999999E-6</v>
      </c>
      <c r="D232" s="969">
        <v>3.9999999999999998E-7</v>
      </c>
      <c r="E232" s="1008">
        <v>1693</v>
      </c>
      <c r="F232" s="1011">
        <v>611</v>
      </c>
      <c r="G232" s="970">
        <v>4745</v>
      </c>
      <c r="H232" s="970"/>
      <c r="I232" s="970">
        <v>732</v>
      </c>
      <c r="J232" s="971">
        <v>651</v>
      </c>
      <c r="K232" s="971">
        <v>1259</v>
      </c>
      <c r="L232" s="971">
        <v>2874</v>
      </c>
      <c r="M232" s="970"/>
      <c r="N232" s="971">
        <v>25</v>
      </c>
      <c r="O232" s="971">
        <v>0</v>
      </c>
      <c r="P232" s="971">
        <v>0</v>
      </c>
      <c r="Q232" s="971">
        <v>0</v>
      </c>
      <c r="R232" s="970"/>
      <c r="S232" s="971">
        <v>1318</v>
      </c>
      <c r="T232" s="971">
        <v>1269</v>
      </c>
      <c r="U232" s="971">
        <v>2587</v>
      </c>
    </row>
    <row r="233" spans="1:21" x14ac:dyDescent="0.25">
      <c r="A233" s="967">
        <v>92431</v>
      </c>
      <c r="B233" s="968" t="s">
        <v>2874</v>
      </c>
      <c r="C233" s="969">
        <v>2.1999999999999999E-5</v>
      </c>
      <c r="D233" s="969">
        <v>3.0800000000000003E-5</v>
      </c>
      <c r="E233" s="1008">
        <v>16533</v>
      </c>
      <c r="F233" s="1011">
        <v>47054</v>
      </c>
      <c r="G233" s="970">
        <v>52192</v>
      </c>
      <c r="H233" s="970"/>
      <c r="I233" s="970">
        <v>8052</v>
      </c>
      <c r="J233" s="971">
        <v>7164</v>
      </c>
      <c r="K233" s="971">
        <v>13850</v>
      </c>
      <c r="L233" s="971">
        <v>12947</v>
      </c>
      <c r="M233" s="970"/>
      <c r="N233" s="971">
        <v>270</v>
      </c>
      <c r="O233" s="971">
        <v>0</v>
      </c>
      <c r="P233" s="971">
        <v>0</v>
      </c>
      <c r="Q233" s="971">
        <v>3712</v>
      </c>
      <c r="R233" s="970"/>
      <c r="S233" s="971">
        <v>14497</v>
      </c>
      <c r="T233" s="971">
        <v>3732</v>
      </c>
      <c r="U233" s="971">
        <v>18229</v>
      </c>
    </row>
    <row r="234" spans="1:21" x14ac:dyDescent="0.25">
      <c r="A234" s="967">
        <v>92441</v>
      </c>
      <c r="B234" s="968" t="s">
        <v>2875</v>
      </c>
      <c r="C234" s="969">
        <v>1.002E-4</v>
      </c>
      <c r="D234" s="969">
        <v>7.7999999999999999E-5</v>
      </c>
      <c r="E234" s="1008">
        <v>48364</v>
      </c>
      <c r="F234" s="1011">
        <v>119162</v>
      </c>
      <c r="G234" s="970">
        <v>237709</v>
      </c>
      <c r="H234" s="970"/>
      <c r="I234" s="970">
        <v>36673</v>
      </c>
      <c r="J234" s="971">
        <v>32630</v>
      </c>
      <c r="K234" s="971">
        <v>63079</v>
      </c>
      <c r="L234" s="971">
        <v>15338</v>
      </c>
      <c r="M234" s="970"/>
      <c r="N234" s="971">
        <v>1231</v>
      </c>
      <c r="O234" s="971">
        <v>0</v>
      </c>
      <c r="P234" s="971">
        <v>0</v>
      </c>
      <c r="Q234" s="971">
        <v>8352</v>
      </c>
      <c r="R234" s="970"/>
      <c r="S234" s="971">
        <v>66029</v>
      </c>
      <c r="T234" s="971">
        <v>-3122</v>
      </c>
      <c r="U234" s="971">
        <v>62907</v>
      </c>
    </row>
    <row r="235" spans="1:21" x14ac:dyDescent="0.25">
      <c r="A235" s="967">
        <v>92444</v>
      </c>
      <c r="B235" s="968" t="s">
        <v>2876</v>
      </c>
      <c r="C235" s="969">
        <v>1.7E-6</v>
      </c>
      <c r="D235" s="969">
        <v>1.7999999999999999E-6</v>
      </c>
      <c r="E235" s="1008">
        <v>3182</v>
      </c>
      <c r="F235" s="1011">
        <v>2750</v>
      </c>
      <c r="G235" s="970">
        <v>4033</v>
      </c>
      <c r="H235" s="970"/>
      <c r="I235" s="970">
        <v>622</v>
      </c>
      <c r="J235" s="971">
        <v>553</v>
      </c>
      <c r="K235" s="971">
        <v>1070</v>
      </c>
      <c r="L235" s="971">
        <v>3193</v>
      </c>
      <c r="M235" s="970"/>
      <c r="N235" s="971">
        <v>21</v>
      </c>
      <c r="O235" s="971">
        <v>0</v>
      </c>
      <c r="P235" s="971">
        <v>0</v>
      </c>
      <c r="Q235" s="971">
        <v>0</v>
      </c>
      <c r="R235" s="970"/>
      <c r="S235" s="971">
        <v>1120</v>
      </c>
      <c r="T235" s="971">
        <v>1642</v>
      </c>
      <c r="U235" s="971">
        <v>2762</v>
      </c>
    </row>
    <row r="236" spans="1:21" x14ac:dyDescent="0.25">
      <c r="A236" s="967">
        <v>92451</v>
      </c>
      <c r="B236" s="968" t="s">
        <v>2877</v>
      </c>
      <c r="C236" s="969">
        <v>1.2650000000000001E-4</v>
      </c>
      <c r="D236" s="969">
        <v>1.3070000000000001E-4</v>
      </c>
      <c r="E236" s="1008">
        <v>79860</v>
      </c>
      <c r="F236" s="1011">
        <v>199673</v>
      </c>
      <c r="G236" s="970">
        <v>300101</v>
      </c>
      <c r="H236" s="970"/>
      <c r="I236" s="970">
        <v>46298</v>
      </c>
      <c r="J236" s="971">
        <v>41195</v>
      </c>
      <c r="K236" s="971">
        <v>79635</v>
      </c>
      <c r="L236" s="971">
        <v>28275</v>
      </c>
      <c r="M236" s="970"/>
      <c r="N236" s="971">
        <v>1554</v>
      </c>
      <c r="O236" s="971">
        <v>0</v>
      </c>
      <c r="P236" s="971">
        <v>0</v>
      </c>
      <c r="Q236" s="971">
        <v>0</v>
      </c>
      <c r="R236" s="970"/>
      <c r="S236" s="971">
        <v>83360</v>
      </c>
      <c r="T236" s="971">
        <v>15181</v>
      </c>
      <c r="U236" s="971">
        <v>98541</v>
      </c>
    </row>
    <row r="237" spans="1:21" x14ac:dyDescent="0.25">
      <c r="A237" s="967">
        <v>92461</v>
      </c>
      <c r="B237" s="968" t="s">
        <v>2878</v>
      </c>
      <c r="C237" s="969">
        <v>6.7500000000000001E-5</v>
      </c>
      <c r="D237" s="969">
        <v>7.1099999999999994E-5</v>
      </c>
      <c r="E237" s="1008">
        <v>43081</v>
      </c>
      <c r="F237" s="1011">
        <v>108621</v>
      </c>
      <c r="G237" s="970">
        <v>160133</v>
      </c>
      <c r="H237" s="970"/>
      <c r="I237" s="970">
        <v>24705</v>
      </c>
      <c r="J237" s="971">
        <v>21982</v>
      </c>
      <c r="K237" s="971">
        <v>42493</v>
      </c>
      <c r="L237" s="971">
        <v>14437</v>
      </c>
      <c r="M237" s="970"/>
      <c r="N237" s="971">
        <v>829</v>
      </c>
      <c r="O237" s="971">
        <v>0</v>
      </c>
      <c r="P237" s="971">
        <v>0</v>
      </c>
      <c r="Q237" s="971">
        <v>2116</v>
      </c>
      <c r="R237" s="970"/>
      <c r="S237" s="971">
        <v>44481</v>
      </c>
      <c r="T237" s="971">
        <v>2527</v>
      </c>
      <c r="U237" s="971">
        <v>47008</v>
      </c>
    </row>
    <row r="238" spans="1:21" x14ac:dyDescent="0.25">
      <c r="A238" s="967">
        <v>92501</v>
      </c>
      <c r="B238" s="968" t="s">
        <v>2879</v>
      </c>
      <c r="C238" s="969">
        <v>3.7823000000000002E-3</v>
      </c>
      <c r="D238" s="969">
        <v>3.8252E-3</v>
      </c>
      <c r="E238" s="1008">
        <v>2001122</v>
      </c>
      <c r="F238" s="1011">
        <v>5843846</v>
      </c>
      <c r="G238" s="970">
        <v>8972909</v>
      </c>
      <c r="H238" s="970"/>
      <c r="I238" s="970">
        <v>1384307</v>
      </c>
      <c r="J238" s="971">
        <v>1231713</v>
      </c>
      <c r="K238" s="971">
        <v>2381064</v>
      </c>
      <c r="L238" s="971">
        <v>177147</v>
      </c>
      <c r="M238" s="970"/>
      <c r="N238" s="971">
        <v>46450</v>
      </c>
      <c r="O238" s="971">
        <v>0</v>
      </c>
      <c r="P238" s="971">
        <v>0</v>
      </c>
      <c r="Q238" s="971">
        <v>4069</v>
      </c>
      <c r="R238" s="970"/>
      <c r="S238" s="971">
        <v>2492434</v>
      </c>
      <c r="T238" s="971">
        <v>67545</v>
      </c>
      <c r="U238" s="971">
        <v>2559979</v>
      </c>
    </row>
    <row r="239" spans="1:21" x14ac:dyDescent="0.25">
      <c r="A239" s="967">
        <v>92502</v>
      </c>
      <c r="B239" s="968" t="s">
        <v>2880</v>
      </c>
      <c r="C239" s="969">
        <v>2.5700000000000001E-5</v>
      </c>
      <c r="D239" s="969">
        <v>2.7500000000000001E-5</v>
      </c>
      <c r="E239" s="1008">
        <v>15229</v>
      </c>
      <c r="F239" s="1011">
        <v>42012</v>
      </c>
      <c r="G239" s="970">
        <v>60969</v>
      </c>
      <c r="H239" s="970"/>
      <c r="I239" s="970">
        <v>9406</v>
      </c>
      <c r="J239" s="971">
        <v>8369</v>
      </c>
      <c r="K239" s="971">
        <v>16179</v>
      </c>
      <c r="L239" s="971">
        <v>3432</v>
      </c>
      <c r="M239" s="970"/>
      <c r="N239" s="971">
        <v>316</v>
      </c>
      <c r="O239" s="971">
        <v>0</v>
      </c>
      <c r="P239" s="971">
        <v>0</v>
      </c>
      <c r="Q239" s="971">
        <v>803</v>
      </c>
      <c r="R239" s="970"/>
      <c r="S239" s="971">
        <v>16936</v>
      </c>
      <c r="T239" s="971">
        <v>200</v>
      </c>
      <c r="U239" s="971">
        <v>17136</v>
      </c>
    </row>
    <row r="240" spans="1:21" x14ac:dyDescent="0.25">
      <c r="A240" s="967">
        <v>92504</v>
      </c>
      <c r="B240" s="968" t="s">
        <v>2881</v>
      </c>
      <c r="C240" s="969">
        <v>7.86E-5</v>
      </c>
      <c r="D240" s="969">
        <v>8.4300000000000003E-5</v>
      </c>
      <c r="E240" s="1008">
        <v>50660</v>
      </c>
      <c r="F240" s="1011">
        <v>128787</v>
      </c>
      <c r="G240" s="970">
        <v>186466</v>
      </c>
      <c r="H240" s="970"/>
      <c r="I240" s="970">
        <v>28767</v>
      </c>
      <c r="J240" s="971">
        <v>25596</v>
      </c>
      <c r="K240" s="971">
        <v>49481</v>
      </c>
      <c r="L240" s="971">
        <v>24679</v>
      </c>
      <c r="M240" s="970"/>
      <c r="N240" s="971">
        <v>965</v>
      </c>
      <c r="O240" s="971">
        <v>0</v>
      </c>
      <c r="P240" s="971">
        <v>0</v>
      </c>
      <c r="Q240" s="971">
        <v>0</v>
      </c>
      <c r="R240" s="970"/>
      <c r="S240" s="971">
        <v>51795</v>
      </c>
      <c r="T240" s="971">
        <v>11445</v>
      </c>
      <c r="U240" s="971">
        <v>63240</v>
      </c>
    </row>
    <row r="241" spans="1:21" x14ac:dyDescent="0.25">
      <c r="A241" s="967">
        <v>92505</v>
      </c>
      <c r="B241" s="968" t="s">
        <v>2882</v>
      </c>
      <c r="C241" s="969">
        <v>1.8330000000000001E-4</v>
      </c>
      <c r="D241" s="969">
        <v>1.9239999999999999E-4</v>
      </c>
      <c r="E241" s="1008">
        <v>127842</v>
      </c>
      <c r="F241" s="1011">
        <v>293934</v>
      </c>
      <c r="G241" s="970">
        <v>434850</v>
      </c>
      <c r="H241" s="970"/>
      <c r="I241" s="970">
        <v>67087</v>
      </c>
      <c r="J241" s="971">
        <v>59692</v>
      </c>
      <c r="K241" s="971">
        <v>115392</v>
      </c>
      <c r="L241" s="971">
        <v>59838</v>
      </c>
      <c r="M241" s="970"/>
      <c r="N241" s="971">
        <v>2251</v>
      </c>
      <c r="O241" s="971">
        <v>0</v>
      </c>
      <c r="P241" s="971">
        <v>0</v>
      </c>
      <c r="Q241" s="971">
        <v>0</v>
      </c>
      <c r="R241" s="970"/>
      <c r="S241" s="971">
        <v>120790</v>
      </c>
      <c r="T241" s="971">
        <v>29276</v>
      </c>
      <c r="U241" s="971">
        <v>150066</v>
      </c>
    </row>
    <row r="242" spans="1:21" x14ac:dyDescent="0.25">
      <c r="A242" s="967">
        <v>92506</v>
      </c>
      <c r="B242" s="968" t="s">
        <v>2883</v>
      </c>
      <c r="C242" s="969">
        <v>6.05E-5</v>
      </c>
      <c r="D242" s="969">
        <v>4.7500000000000003E-5</v>
      </c>
      <c r="E242" s="1008">
        <v>34610</v>
      </c>
      <c r="F242" s="1011">
        <v>72567</v>
      </c>
      <c r="G242" s="970">
        <v>143527</v>
      </c>
      <c r="H242" s="970"/>
      <c r="I242" s="970">
        <v>22143</v>
      </c>
      <c r="J242" s="971">
        <v>19702</v>
      </c>
      <c r="K242" s="971">
        <v>38086</v>
      </c>
      <c r="L242" s="971">
        <v>23804</v>
      </c>
      <c r="M242" s="970"/>
      <c r="N242" s="971">
        <v>743</v>
      </c>
      <c r="O242" s="971">
        <v>0</v>
      </c>
      <c r="P242" s="971">
        <v>0</v>
      </c>
      <c r="Q242" s="971">
        <v>0</v>
      </c>
      <c r="R242" s="970"/>
      <c r="S242" s="971">
        <v>39868</v>
      </c>
      <c r="T242" s="971">
        <v>10713</v>
      </c>
      <c r="U242" s="971">
        <v>50581</v>
      </c>
    </row>
    <row r="243" spans="1:21" x14ac:dyDescent="0.25">
      <c r="A243" s="967">
        <v>92507</v>
      </c>
      <c r="B243" s="968" t="s">
        <v>2884</v>
      </c>
      <c r="C243" s="969">
        <v>9.2800000000000006E-5</v>
      </c>
      <c r="D243" s="969">
        <v>9.5699999999999995E-5</v>
      </c>
      <c r="E243" s="1008">
        <v>38661</v>
      </c>
      <c r="F243" s="1011">
        <v>146203</v>
      </c>
      <c r="G243" s="970">
        <v>220153</v>
      </c>
      <c r="H243" s="970"/>
      <c r="I243" s="970">
        <v>33964</v>
      </c>
      <c r="J243" s="971">
        <v>30220</v>
      </c>
      <c r="K243" s="971">
        <v>58420</v>
      </c>
      <c r="L243" s="971">
        <v>7696</v>
      </c>
      <c r="M243" s="970"/>
      <c r="N243" s="971">
        <v>1140</v>
      </c>
      <c r="O243" s="971">
        <v>0</v>
      </c>
      <c r="P243" s="971">
        <v>0</v>
      </c>
      <c r="Q243" s="971">
        <v>13640</v>
      </c>
      <c r="R243" s="970"/>
      <c r="S243" s="971">
        <v>61153</v>
      </c>
      <c r="T243" s="971">
        <v>-7333</v>
      </c>
      <c r="U243" s="971">
        <v>53820</v>
      </c>
    </row>
    <row r="244" spans="1:21" x14ac:dyDescent="0.25">
      <c r="A244" s="967">
        <v>92508</v>
      </c>
      <c r="B244" s="968" t="s">
        <v>2885</v>
      </c>
      <c r="C244" s="969">
        <v>3.076E-4</v>
      </c>
      <c r="D244" s="969">
        <v>3.1E-4</v>
      </c>
      <c r="E244" s="1008">
        <v>159816</v>
      </c>
      <c r="F244" s="1011">
        <v>473594</v>
      </c>
      <c r="G244" s="970">
        <v>729732</v>
      </c>
      <c r="H244" s="970"/>
      <c r="I244" s="970">
        <v>112580</v>
      </c>
      <c r="J244" s="971">
        <v>100171</v>
      </c>
      <c r="K244" s="971">
        <v>193643</v>
      </c>
      <c r="L244" s="971">
        <v>7720</v>
      </c>
      <c r="M244" s="970"/>
      <c r="N244" s="971">
        <v>3778</v>
      </c>
      <c r="O244" s="971">
        <v>0</v>
      </c>
      <c r="P244" s="971">
        <v>0</v>
      </c>
      <c r="Q244" s="971">
        <v>915</v>
      </c>
      <c r="R244" s="970"/>
      <c r="S244" s="971">
        <v>202700</v>
      </c>
      <c r="T244" s="971">
        <v>4814</v>
      </c>
      <c r="U244" s="971">
        <v>207514</v>
      </c>
    </row>
    <row r="245" spans="1:21" x14ac:dyDescent="0.25">
      <c r="A245" s="967">
        <v>92511</v>
      </c>
      <c r="B245" s="968" t="s">
        <v>2887</v>
      </c>
      <c r="C245" s="969">
        <v>3.3249999999999998E-3</v>
      </c>
      <c r="D245" s="969">
        <v>3.3240000000000001E-3</v>
      </c>
      <c r="E245" s="1008">
        <v>1640991</v>
      </c>
      <c r="F245" s="1011">
        <v>5078151</v>
      </c>
      <c r="G245" s="970">
        <v>7888037</v>
      </c>
      <c r="H245" s="970"/>
      <c r="I245" s="970">
        <v>1216937</v>
      </c>
      <c r="J245" s="971">
        <v>1082793</v>
      </c>
      <c r="K245" s="971">
        <v>2093181</v>
      </c>
      <c r="L245" s="971">
        <v>11784</v>
      </c>
      <c r="M245" s="970"/>
      <c r="N245" s="971">
        <v>40834</v>
      </c>
      <c r="O245" s="971">
        <v>0</v>
      </c>
      <c r="P245" s="971">
        <v>0</v>
      </c>
      <c r="Q245" s="971">
        <v>152525</v>
      </c>
      <c r="R245" s="970"/>
      <c r="S245" s="971">
        <v>2191085</v>
      </c>
      <c r="T245" s="971">
        <v>-70016</v>
      </c>
      <c r="U245" s="971">
        <v>2121069</v>
      </c>
    </row>
    <row r="246" spans="1:21" x14ac:dyDescent="0.25">
      <c r="A246" s="967">
        <v>92513</v>
      </c>
      <c r="B246" s="968" t="s">
        <v>2888</v>
      </c>
      <c r="C246" s="969">
        <v>3.9129000000000004E-3</v>
      </c>
      <c r="D246" s="969">
        <v>4.0328999999999999E-3</v>
      </c>
      <c r="E246" s="1008">
        <v>1761601</v>
      </c>
      <c r="F246" s="1011">
        <v>6161154</v>
      </c>
      <c r="G246" s="970">
        <v>9282737</v>
      </c>
      <c r="H246" s="970"/>
      <c r="I246" s="970">
        <v>1432106</v>
      </c>
      <c r="J246" s="971">
        <v>1274244</v>
      </c>
      <c r="K246" s="971">
        <v>2463280</v>
      </c>
      <c r="L246" s="971">
        <v>996926</v>
      </c>
      <c r="M246" s="970"/>
      <c r="N246" s="971">
        <v>48054</v>
      </c>
      <c r="O246" s="971">
        <v>0</v>
      </c>
      <c r="P246" s="971">
        <v>0</v>
      </c>
      <c r="Q246" s="971">
        <v>1301441</v>
      </c>
      <c r="R246" s="970"/>
      <c r="S246" s="971">
        <v>2578495</v>
      </c>
      <c r="T246" s="971">
        <v>110788</v>
      </c>
      <c r="U246" s="971">
        <v>2689283</v>
      </c>
    </row>
    <row r="247" spans="1:21" x14ac:dyDescent="0.25">
      <c r="A247" s="967">
        <v>92521</v>
      </c>
      <c r="B247" s="968" t="s">
        <v>2889</v>
      </c>
      <c r="C247" s="969">
        <v>8.6799999999999996E-5</v>
      </c>
      <c r="D247" s="969">
        <v>8.6899999999999998E-5</v>
      </c>
      <c r="E247" s="1008">
        <v>40373</v>
      </c>
      <c r="F247" s="1011">
        <v>132759</v>
      </c>
      <c r="G247" s="970">
        <v>205919</v>
      </c>
      <c r="H247" s="970"/>
      <c r="I247" s="970">
        <v>31768</v>
      </c>
      <c r="J247" s="971">
        <v>28267</v>
      </c>
      <c r="K247" s="971">
        <v>54643</v>
      </c>
      <c r="L247" s="971">
        <v>1428</v>
      </c>
      <c r="M247" s="970"/>
      <c r="N247" s="971">
        <v>1066</v>
      </c>
      <c r="O247" s="971">
        <v>0</v>
      </c>
      <c r="P247" s="971">
        <v>0</v>
      </c>
      <c r="Q247" s="971">
        <v>8085</v>
      </c>
      <c r="R247" s="970"/>
      <c r="S247" s="971">
        <v>57199</v>
      </c>
      <c r="T247" s="971">
        <v>-2979</v>
      </c>
      <c r="U247" s="971">
        <v>54220</v>
      </c>
    </row>
    <row r="248" spans="1:21" x14ac:dyDescent="0.25">
      <c r="A248" s="967">
        <v>92531</v>
      </c>
      <c r="B248" s="968" t="s">
        <v>2890</v>
      </c>
      <c r="C248" s="969">
        <v>8.4360000000000001E-4</v>
      </c>
      <c r="D248" s="969">
        <v>8.6490000000000004E-4</v>
      </c>
      <c r="E248" s="1008">
        <v>370927</v>
      </c>
      <c r="F248" s="1011">
        <v>1321328</v>
      </c>
      <c r="G248" s="970">
        <v>2001308</v>
      </c>
      <c r="H248" s="970"/>
      <c r="I248" s="970">
        <v>308754</v>
      </c>
      <c r="J248" s="971">
        <v>274720</v>
      </c>
      <c r="K248" s="971">
        <v>531070</v>
      </c>
      <c r="L248" s="971">
        <v>0</v>
      </c>
      <c r="M248" s="970"/>
      <c r="N248" s="971">
        <v>10360</v>
      </c>
      <c r="O248" s="971">
        <v>0</v>
      </c>
      <c r="P248" s="971">
        <v>0</v>
      </c>
      <c r="Q248" s="971">
        <v>111598</v>
      </c>
      <c r="R248" s="970"/>
      <c r="S248" s="971">
        <v>555910</v>
      </c>
      <c r="T248" s="971">
        <v>-73390</v>
      </c>
      <c r="U248" s="971">
        <v>482520</v>
      </c>
    </row>
    <row r="249" spans="1:21" x14ac:dyDescent="0.25">
      <c r="A249" s="967">
        <v>92541</v>
      </c>
      <c r="B249" s="968" t="s">
        <v>2891</v>
      </c>
      <c r="C249" s="969">
        <v>1.2459999999999999E-4</v>
      </c>
      <c r="D249" s="969">
        <v>1.4469999999999999E-4</v>
      </c>
      <c r="E249" s="1008">
        <v>60143</v>
      </c>
      <c r="F249" s="1011">
        <v>221062</v>
      </c>
      <c r="G249" s="970">
        <v>295594</v>
      </c>
      <c r="H249" s="970"/>
      <c r="I249" s="970">
        <v>45603</v>
      </c>
      <c r="J249" s="971">
        <v>40576</v>
      </c>
      <c r="K249" s="971">
        <v>78439</v>
      </c>
      <c r="L249" s="971">
        <v>2741</v>
      </c>
      <c r="M249" s="970"/>
      <c r="N249" s="971">
        <v>1530</v>
      </c>
      <c r="O249" s="971">
        <v>0</v>
      </c>
      <c r="P249" s="971">
        <v>0</v>
      </c>
      <c r="Q249" s="971">
        <v>19775</v>
      </c>
      <c r="R249" s="970"/>
      <c r="S249" s="971">
        <v>82108</v>
      </c>
      <c r="T249" s="971">
        <v>-1772</v>
      </c>
      <c r="U249" s="971">
        <v>80336</v>
      </c>
    </row>
    <row r="250" spans="1:21" x14ac:dyDescent="0.25">
      <c r="A250" s="967">
        <v>92551</v>
      </c>
      <c r="B250" s="968" t="s">
        <v>2892</v>
      </c>
      <c r="C250" s="969">
        <v>4.3399999999999998E-5</v>
      </c>
      <c r="D250" s="969">
        <v>5.3300000000000001E-5</v>
      </c>
      <c r="E250" s="1008">
        <v>21254</v>
      </c>
      <c r="F250" s="1011">
        <v>81428</v>
      </c>
      <c r="G250" s="970">
        <v>102960</v>
      </c>
      <c r="H250" s="970"/>
      <c r="I250" s="970">
        <v>15884</v>
      </c>
      <c r="J250" s="971">
        <v>14134</v>
      </c>
      <c r="K250" s="971">
        <v>27322</v>
      </c>
      <c r="L250" s="971">
        <v>3097</v>
      </c>
      <c r="M250" s="970"/>
      <c r="N250" s="971">
        <v>533</v>
      </c>
      <c r="O250" s="971">
        <v>0</v>
      </c>
      <c r="P250" s="971">
        <v>0</v>
      </c>
      <c r="Q250" s="971">
        <v>11920</v>
      </c>
      <c r="R250" s="970"/>
      <c r="S250" s="971">
        <v>28599</v>
      </c>
      <c r="T250" s="971">
        <v>-841</v>
      </c>
      <c r="U250" s="971">
        <v>27758</v>
      </c>
    </row>
    <row r="251" spans="1:21" x14ac:dyDescent="0.25">
      <c r="A251" s="967">
        <v>92561</v>
      </c>
      <c r="B251" s="968" t="s">
        <v>2893</v>
      </c>
      <c r="C251" s="969">
        <v>2.1399999999999998E-5</v>
      </c>
      <c r="D251" s="969">
        <v>2.2200000000000001E-5</v>
      </c>
      <c r="E251" s="1008">
        <v>11018</v>
      </c>
      <c r="F251" s="1011">
        <v>33915</v>
      </c>
      <c r="G251" s="970">
        <v>50768</v>
      </c>
      <c r="H251" s="970"/>
      <c r="I251" s="970">
        <v>7832</v>
      </c>
      <c r="J251" s="971">
        <v>6969</v>
      </c>
      <c r="K251" s="971">
        <v>13472</v>
      </c>
      <c r="L251" s="971">
        <v>2739</v>
      </c>
      <c r="M251" s="970"/>
      <c r="N251" s="971">
        <v>263</v>
      </c>
      <c r="O251" s="971">
        <v>0</v>
      </c>
      <c r="P251" s="971">
        <v>0</v>
      </c>
      <c r="Q251" s="971">
        <v>135</v>
      </c>
      <c r="R251" s="970"/>
      <c r="S251" s="971">
        <v>14102</v>
      </c>
      <c r="T251" s="971">
        <v>2596</v>
      </c>
      <c r="U251" s="971">
        <v>16698</v>
      </c>
    </row>
    <row r="252" spans="1:21" x14ac:dyDescent="0.25">
      <c r="A252" s="967">
        <v>92571</v>
      </c>
      <c r="B252" s="968" t="s">
        <v>2894</v>
      </c>
      <c r="C252" s="969">
        <v>8.1000000000000004E-6</v>
      </c>
      <c r="D252" s="969">
        <v>1.01E-5</v>
      </c>
      <c r="E252" s="1008">
        <v>7102</v>
      </c>
      <c r="F252" s="1011">
        <v>15430</v>
      </c>
      <c r="G252" s="970">
        <v>19216</v>
      </c>
      <c r="H252" s="970"/>
      <c r="I252" s="970">
        <v>2965</v>
      </c>
      <c r="J252" s="971">
        <v>2638</v>
      </c>
      <c r="K252" s="971">
        <v>5099</v>
      </c>
      <c r="L252" s="971">
        <v>7660</v>
      </c>
      <c r="M252" s="970"/>
      <c r="N252" s="971">
        <v>99</v>
      </c>
      <c r="O252" s="971">
        <v>0</v>
      </c>
      <c r="P252" s="971">
        <v>0</v>
      </c>
      <c r="Q252" s="971">
        <v>0</v>
      </c>
      <c r="R252" s="970"/>
      <c r="S252" s="971">
        <v>5338</v>
      </c>
      <c r="T252" s="971">
        <v>2958</v>
      </c>
      <c r="U252" s="971">
        <v>8296</v>
      </c>
    </row>
    <row r="253" spans="1:21" x14ac:dyDescent="0.25">
      <c r="A253" s="967">
        <v>92601</v>
      </c>
      <c r="B253" s="968" t="s">
        <v>2895</v>
      </c>
      <c r="C253" s="969">
        <v>1.34308E-2</v>
      </c>
      <c r="D253" s="969">
        <v>1.51874E-2</v>
      </c>
      <c r="E253" s="1008">
        <v>6697594</v>
      </c>
      <c r="F253" s="1011">
        <v>23202140</v>
      </c>
      <c r="G253" s="970">
        <v>31862451</v>
      </c>
      <c r="H253" s="970"/>
      <c r="I253" s="970">
        <v>4915619</v>
      </c>
      <c r="J253" s="971">
        <v>4373767</v>
      </c>
      <c r="K253" s="971">
        <v>8455065</v>
      </c>
      <c r="L253" s="971">
        <v>12367</v>
      </c>
      <c r="M253" s="970"/>
      <c r="N253" s="971">
        <v>164944</v>
      </c>
      <c r="O253" s="971">
        <v>0</v>
      </c>
      <c r="P253" s="971">
        <v>0</v>
      </c>
      <c r="Q253" s="971">
        <v>1190672</v>
      </c>
      <c r="R253" s="970"/>
      <c r="S253" s="971">
        <v>8850535</v>
      </c>
      <c r="T253" s="971">
        <v>-178107</v>
      </c>
      <c r="U253" s="971">
        <v>8672428</v>
      </c>
    </row>
    <row r="254" spans="1:21" x14ac:dyDescent="0.25">
      <c r="A254" s="967">
        <v>92602</v>
      </c>
      <c r="B254" s="968" t="s">
        <v>2896</v>
      </c>
      <c r="C254" s="969">
        <v>6.3999999999999997E-6</v>
      </c>
      <c r="D254" s="969">
        <v>8.3000000000000002E-6</v>
      </c>
      <c r="E254" s="1008">
        <v>2450</v>
      </c>
      <c r="F254" s="1011">
        <v>12680</v>
      </c>
      <c r="G254" s="970">
        <v>15183</v>
      </c>
      <c r="H254" s="970"/>
      <c r="I254" s="970">
        <v>2342</v>
      </c>
      <c r="J254" s="971">
        <v>2084</v>
      </c>
      <c r="K254" s="971">
        <v>4029</v>
      </c>
      <c r="L254" s="971">
        <v>0</v>
      </c>
      <c r="M254" s="970"/>
      <c r="N254" s="971">
        <v>79</v>
      </c>
      <c r="O254" s="971">
        <v>0</v>
      </c>
      <c r="P254" s="971">
        <v>0</v>
      </c>
      <c r="Q254" s="971">
        <v>2377</v>
      </c>
      <c r="R254" s="970"/>
      <c r="S254" s="971">
        <v>4217</v>
      </c>
      <c r="T254" s="971">
        <v>-578</v>
      </c>
      <c r="U254" s="971">
        <v>3639</v>
      </c>
    </row>
    <row r="255" spans="1:21" x14ac:dyDescent="0.25">
      <c r="A255" s="967">
        <v>92604</v>
      </c>
      <c r="B255" s="968" t="s">
        <v>2897</v>
      </c>
      <c r="C255" s="969">
        <v>3.3560000000000003E-4</v>
      </c>
      <c r="D255" s="969">
        <v>3.4099999999999999E-4</v>
      </c>
      <c r="E255" s="1008">
        <v>193974</v>
      </c>
      <c r="F255" s="1011">
        <v>520954</v>
      </c>
      <c r="G255" s="970">
        <v>796158</v>
      </c>
      <c r="H255" s="970"/>
      <c r="I255" s="970">
        <v>122828</v>
      </c>
      <c r="J255" s="971">
        <v>109289</v>
      </c>
      <c r="K255" s="971">
        <v>211270</v>
      </c>
      <c r="L255" s="971">
        <v>48811</v>
      </c>
      <c r="M255" s="970"/>
      <c r="N255" s="971">
        <v>4122</v>
      </c>
      <c r="O255" s="971">
        <v>0</v>
      </c>
      <c r="P255" s="971">
        <v>0</v>
      </c>
      <c r="Q255" s="971">
        <v>0</v>
      </c>
      <c r="R255" s="970"/>
      <c r="S255" s="971">
        <v>221151</v>
      </c>
      <c r="T255" s="971">
        <v>28864</v>
      </c>
      <c r="U255" s="971">
        <v>250015</v>
      </c>
    </row>
    <row r="256" spans="1:21" x14ac:dyDescent="0.25">
      <c r="A256" s="967">
        <v>92607</v>
      </c>
      <c r="B256" s="968" t="s">
        <v>2898</v>
      </c>
      <c r="C256" s="969">
        <v>6.1699999999999995E-5</v>
      </c>
      <c r="D256" s="969">
        <v>6.6400000000000001E-5</v>
      </c>
      <c r="E256" s="1008">
        <v>40699</v>
      </c>
      <c r="F256" s="1011">
        <v>101441</v>
      </c>
      <c r="G256" s="970">
        <v>146374</v>
      </c>
      <c r="H256" s="970"/>
      <c r="I256" s="970">
        <v>22582</v>
      </c>
      <c r="J256" s="971">
        <v>20093</v>
      </c>
      <c r="K256" s="971">
        <v>38842</v>
      </c>
      <c r="L256" s="971">
        <v>9704</v>
      </c>
      <c r="M256" s="970"/>
      <c r="N256" s="971">
        <v>758</v>
      </c>
      <c r="O256" s="971">
        <v>0</v>
      </c>
      <c r="P256" s="971">
        <v>0</v>
      </c>
      <c r="Q256" s="971">
        <v>0</v>
      </c>
      <c r="R256" s="970"/>
      <c r="S256" s="971">
        <v>40659</v>
      </c>
      <c r="T256" s="971">
        <v>6018</v>
      </c>
      <c r="U256" s="971">
        <v>46677</v>
      </c>
    </row>
    <row r="257" spans="1:21" x14ac:dyDescent="0.25">
      <c r="A257" s="967">
        <v>92608</v>
      </c>
      <c r="B257" s="968" t="s">
        <v>2899</v>
      </c>
      <c r="C257" s="969">
        <v>0</v>
      </c>
      <c r="D257" s="969">
        <v>0</v>
      </c>
      <c r="E257" s="1008">
        <v>0</v>
      </c>
      <c r="F257" s="1011">
        <v>0</v>
      </c>
      <c r="G257" s="970">
        <v>0</v>
      </c>
      <c r="H257" s="970"/>
      <c r="I257" s="970">
        <v>0</v>
      </c>
      <c r="J257" s="971">
        <v>0</v>
      </c>
      <c r="K257" s="971">
        <v>0</v>
      </c>
      <c r="L257" s="971">
        <v>0</v>
      </c>
      <c r="M257" s="970"/>
      <c r="N257" s="971">
        <v>0</v>
      </c>
      <c r="O257" s="971">
        <v>0</v>
      </c>
      <c r="P257" s="971">
        <v>0</v>
      </c>
      <c r="Q257" s="971">
        <v>752</v>
      </c>
      <c r="R257" s="970"/>
      <c r="S257" s="971">
        <v>0</v>
      </c>
      <c r="T257" s="971">
        <v>-69182</v>
      </c>
      <c r="U257" s="971">
        <v>-69182</v>
      </c>
    </row>
    <row r="258" spans="1:21" x14ac:dyDescent="0.25">
      <c r="A258" s="967">
        <v>92611</v>
      </c>
      <c r="B258" s="968" t="s">
        <v>2900</v>
      </c>
      <c r="C258" s="969">
        <v>1.26649E-2</v>
      </c>
      <c r="D258" s="969">
        <v>1.3080899999999999E-2</v>
      </c>
      <c r="E258" s="1008">
        <v>5875982</v>
      </c>
      <c r="F258" s="1011">
        <v>19983992</v>
      </c>
      <c r="G258" s="970">
        <v>30045474</v>
      </c>
      <c r="H258" s="970"/>
      <c r="I258" s="970">
        <v>4635303</v>
      </c>
      <c r="J258" s="971">
        <v>4124350</v>
      </c>
      <c r="K258" s="971">
        <v>7972909</v>
      </c>
      <c r="L258" s="971">
        <v>0</v>
      </c>
      <c r="M258" s="970"/>
      <c r="N258" s="971">
        <v>155538</v>
      </c>
      <c r="O258" s="971">
        <v>0</v>
      </c>
      <c r="P258" s="971">
        <v>0</v>
      </c>
      <c r="Q258" s="971">
        <v>1208188</v>
      </c>
      <c r="R258" s="970"/>
      <c r="S258" s="971">
        <v>8345827</v>
      </c>
      <c r="T258" s="971">
        <v>-451976</v>
      </c>
      <c r="U258" s="971">
        <v>7893851</v>
      </c>
    </row>
    <row r="259" spans="1:21" x14ac:dyDescent="0.25">
      <c r="A259" s="967">
        <v>92613</v>
      </c>
      <c r="B259" s="968" t="s">
        <v>2901</v>
      </c>
      <c r="C259" s="969">
        <v>2.3599999999999999E-4</v>
      </c>
      <c r="D259" s="969">
        <v>2.6439999999999998E-4</v>
      </c>
      <c r="E259" s="1008">
        <v>139519</v>
      </c>
      <c r="F259" s="1011">
        <v>403930</v>
      </c>
      <c r="G259" s="970">
        <v>559873</v>
      </c>
      <c r="H259" s="970"/>
      <c r="I259" s="970">
        <v>86375</v>
      </c>
      <c r="J259" s="971">
        <v>76854</v>
      </c>
      <c r="K259" s="971">
        <v>148569</v>
      </c>
      <c r="L259" s="971">
        <v>42032</v>
      </c>
      <c r="M259" s="970"/>
      <c r="N259" s="971">
        <v>2898</v>
      </c>
      <c r="O259" s="971">
        <v>0</v>
      </c>
      <c r="P259" s="971">
        <v>0</v>
      </c>
      <c r="Q259" s="971">
        <v>1086</v>
      </c>
      <c r="R259" s="970"/>
      <c r="S259" s="971">
        <v>155518</v>
      </c>
      <c r="T259" s="971">
        <v>41245</v>
      </c>
      <c r="U259" s="971">
        <v>196763</v>
      </c>
    </row>
    <row r="260" spans="1:21" x14ac:dyDescent="0.25">
      <c r="A260" s="967">
        <v>92614</v>
      </c>
      <c r="B260" s="968" t="s">
        <v>2902</v>
      </c>
      <c r="C260" s="969">
        <v>5.5757000000000003E-3</v>
      </c>
      <c r="D260" s="969">
        <v>5.7273000000000003E-3</v>
      </c>
      <c r="E260" s="1008">
        <v>4938041</v>
      </c>
      <c r="F260" s="1011">
        <v>8749728</v>
      </c>
      <c r="G260" s="970">
        <v>13227467</v>
      </c>
      <c r="H260" s="970"/>
      <c r="I260" s="970">
        <v>2040684</v>
      </c>
      <c r="J260" s="971">
        <v>1815737</v>
      </c>
      <c r="K260" s="971">
        <v>3510059</v>
      </c>
      <c r="L260" s="971">
        <v>4152143</v>
      </c>
      <c r="M260" s="970"/>
      <c r="N260" s="971">
        <v>68475</v>
      </c>
      <c r="O260" s="971">
        <v>0</v>
      </c>
      <c r="P260" s="971">
        <v>0</v>
      </c>
      <c r="Q260" s="971">
        <v>0</v>
      </c>
      <c r="R260" s="970"/>
      <c r="S260" s="971">
        <v>3674236</v>
      </c>
      <c r="T260" s="971">
        <v>1829865</v>
      </c>
      <c r="U260" s="971">
        <v>5504101</v>
      </c>
    </row>
    <row r="261" spans="1:21" x14ac:dyDescent="0.25">
      <c r="A261" s="967">
        <v>92621</v>
      </c>
      <c r="B261" s="968" t="s">
        <v>2903</v>
      </c>
      <c r="C261" s="969">
        <v>2.4600000000000002E-5</v>
      </c>
      <c r="D261" s="969">
        <v>2.72E-5</v>
      </c>
      <c r="E261" s="1008">
        <v>13553</v>
      </c>
      <c r="F261" s="1011">
        <v>41554</v>
      </c>
      <c r="G261" s="970">
        <v>58360</v>
      </c>
      <c r="H261" s="970"/>
      <c r="I261" s="970">
        <v>9004</v>
      </c>
      <c r="J261" s="971">
        <v>8011</v>
      </c>
      <c r="K261" s="971">
        <v>15486</v>
      </c>
      <c r="L261" s="971">
        <v>393</v>
      </c>
      <c r="M261" s="970"/>
      <c r="N261" s="971">
        <v>302</v>
      </c>
      <c r="O261" s="971">
        <v>0</v>
      </c>
      <c r="P261" s="971">
        <v>0</v>
      </c>
      <c r="Q261" s="971">
        <v>4712</v>
      </c>
      <c r="R261" s="970"/>
      <c r="S261" s="971">
        <v>16211</v>
      </c>
      <c r="T261" s="971">
        <v>-2140</v>
      </c>
      <c r="U261" s="971">
        <v>14071</v>
      </c>
    </row>
    <row r="262" spans="1:21" x14ac:dyDescent="0.25">
      <c r="A262" s="967">
        <v>92631</v>
      </c>
      <c r="B262" s="968" t="s">
        <v>2904</v>
      </c>
      <c r="C262" s="969">
        <v>9.0030000000000004E-4</v>
      </c>
      <c r="D262" s="969">
        <v>9.2710000000000004E-4</v>
      </c>
      <c r="E262" s="1008">
        <v>416153</v>
      </c>
      <c r="F262" s="1011">
        <v>1416352</v>
      </c>
      <c r="G262" s="970">
        <v>2135820</v>
      </c>
      <c r="H262" s="970"/>
      <c r="I262" s="970">
        <v>329506</v>
      </c>
      <c r="J262" s="971">
        <v>293184</v>
      </c>
      <c r="K262" s="971">
        <v>566764</v>
      </c>
      <c r="L262" s="971">
        <v>0</v>
      </c>
      <c r="M262" s="970"/>
      <c r="N262" s="971">
        <v>11057</v>
      </c>
      <c r="O262" s="971">
        <v>0</v>
      </c>
      <c r="P262" s="971">
        <v>0</v>
      </c>
      <c r="Q262" s="971">
        <v>135840</v>
      </c>
      <c r="R262" s="970"/>
      <c r="S262" s="971">
        <v>593273</v>
      </c>
      <c r="T262" s="971">
        <v>-59375</v>
      </c>
      <c r="U262" s="971">
        <v>533898</v>
      </c>
    </row>
    <row r="263" spans="1:21" x14ac:dyDescent="0.25">
      <c r="A263" s="967">
        <v>92641</v>
      </c>
      <c r="B263" s="968" t="s">
        <v>2905</v>
      </c>
      <c r="C263" s="969">
        <v>9.7000000000000003E-6</v>
      </c>
      <c r="D263" s="969">
        <v>1.0200000000000001E-5</v>
      </c>
      <c r="E263" s="1008">
        <v>6992</v>
      </c>
      <c r="F263" s="1011">
        <v>15583</v>
      </c>
      <c r="G263" s="970">
        <v>23012</v>
      </c>
      <c r="H263" s="970"/>
      <c r="I263" s="970">
        <v>3550</v>
      </c>
      <c r="J263" s="971">
        <v>3159</v>
      </c>
      <c r="K263" s="971">
        <v>6106</v>
      </c>
      <c r="L263" s="971">
        <v>2866</v>
      </c>
      <c r="M263" s="970"/>
      <c r="N263" s="971">
        <v>119</v>
      </c>
      <c r="O263" s="971">
        <v>0</v>
      </c>
      <c r="P263" s="971">
        <v>0</v>
      </c>
      <c r="Q263" s="971">
        <v>0</v>
      </c>
      <c r="R263" s="970"/>
      <c r="S263" s="971">
        <v>6392</v>
      </c>
      <c r="T263" s="971">
        <v>543</v>
      </c>
      <c r="U263" s="971">
        <v>6935</v>
      </c>
    </row>
    <row r="264" spans="1:21" x14ac:dyDescent="0.25">
      <c r="A264" s="967">
        <v>92651</v>
      </c>
      <c r="B264" s="968" t="s">
        <v>2906</v>
      </c>
      <c r="C264" s="969">
        <v>4.4000000000000002E-6</v>
      </c>
      <c r="D264" s="969">
        <v>2.6000000000000001E-6</v>
      </c>
      <c r="E264" s="1008">
        <v>2541</v>
      </c>
      <c r="F264" s="1011">
        <v>3972</v>
      </c>
      <c r="G264" s="970">
        <v>10438</v>
      </c>
      <c r="H264" s="970"/>
      <c r="I264" s="970">
        <v>1610</v>
      </c>
      <c r="J264" s="971">
        <v>1433</v>
      </c>
      <c r="K264" s="971">
        <v>2770</v>
      </c>
      <c r="L264" s="971">
        <v>3690</v>
      </c>
      <c r="M264" s="970"/>
      <c r="N264" s="971">
        <v>54</v>
      </c>
      <c r="O264" s="971">
        <v>0</v>
      </c>
      <c r="P264" s="971">
        <v>0</v>
      </c>
      <c r="Q264" s="971">
        <v>0</v>
      </c>
      <c r="R264" s="970"/>
      <c r="S264" s="971">
        <v>2899</v>
      </c>
      <c r="T264" s="971">
        <v>1740</v>
      </c>
      <c r="U264" s="971">
        <v>4639</v>
      </c>
    </row>
    <row r="265" spans="1:21" x14ac:dyDescent="0.25">
      <c r="A265" s="967">
        <v>92661</v>
      </c>
      <c r="B265" s="968" t="s">
        <v>2907</v>
      </c>
      <c r="C265" s="969">
        <v>6.334E-4</v>
      </c>
      <c r="D265" s="969">
        <v>6.9999999999999999E-4</v>
      </c>
      <c r="E265" s="1008">
        <v>546522</v>
      </c>
      <c r="F265" s="1011">
        <v>1069406</v>
      </c>
      <c r="G265" s="970">
        <v>1502641</v>
      </c>
      <c r="H265" s="970"/>
      <c r="I265" s="970">
        <v>231822</v>
      </c>
      <c r="J265" s="971">
        <v>206268</v>
      </c>
      <c r="K265" s="971">
        <v>398743</v>
      </c>
      <c r="L265" s="971">
        <v>441125</v>
      </c>
      <c r="M265" s="970"/>
      <c r="N265" s="971">
        <v>7779</v>
      </c>
      <c r="O265" s="971">
        <v>0</v>
      </c>
      <c r="P265" s="971">
        <v>0</v>
      </c>
      <c r="Q265" s="971">
        <v>0</v>
      </c>
      <c r="R265" s="970"/>
      <c r="S265" s="971">
        <v>417393</v>
      </c>
      <c r="T265" s="971">
        <v>165863</v>
      </c>
      <c r="U265" s="971">
        <v>583256</v>
      </c>
    </row>
    <row r="266" spans="1:21" x14ac:dyDescent="0.25">
      <c r="A266" s="967">
        <v>92671</v>
      </c>
      <c r="B266" s="968" t="s">
        <v>2908</v>
      </c>
      <c r="C266" s="969">
        <v>2.3999999999999999E-6</v>
      </c>
      <c r="D266" s="969">
        <v>2.6000000000000001E-6</v>
      </c>
      <c r="E266" s="1008">
        <v>5417</v>
      </c>
      <c r="F266" s="1011">
        <v>3972</v>
      </c>
      <c r="G266" s="970">
        <v>5694</v>
      </c>
      <c r="H266" s="970"/>
      <c r="I266" s="970">
        <v>878</v>
      </c>
      <c r="J266" s="971">
        <v>781</v>
      </c>
      <c r="K266" s="971">
        <v>1511</v>
      </c>
      <c r="L266" s="971">
        <v>7284</v>
      </c>
      <c r="M266" s="970"/>
      <c r="N266" s="971">
        <v>29</v>
      </c>
      <c r="O266" s="971">
        <v>0</v>
      </c>
      <c r="P266" s="971">
        <v>0</v>
      </c>
      <c r="Q266" s="971">
        <v>0</v>
      </c>
      <c r="R266" s="970"/>
      <c r="S266" s="971">
        <v>1582</v>
      </c>
      <c r="T266" s="971">
        <v>3016</v>
      </c>
      <c r="U266" s="971">
        <v>4598</v>
      </c>
    </row>
    <row r="267" spans="1:21" x14ac:dyDescent="0.25">
      <c r="A267" s="967">
        <v>92681</v>
      </c>
      <c r="B267" s="968" t="s">
        <v>2909</v>
      </c>
      <c r="C267" s="969">
        <v>1.1800000000000001E-5</v>
      </c>
      <c r="D267" s="969">
        <v>1.17E-5</v>
      </c>
      <c r="E267" s="1008">
        <v>12159</v>
      </c>
      <c r="F267" s="1011">
        <v>17874</v>
      </c>
      <c r="G267" s="970">
        <v>27994</v>
      </c>
      <c r="H267" s="970"/>
      <c r="I267" s="970">
        <v>4319</v>
      </c>
      <c r="J267" s="971">
        <v>3843</v>
      </c>
      <c r="K267" s="971">
        <v>7428</v>
      </c>
      <c r="L267" s="971">
        <v>13847</v>
      </c>
      <c r="M267" s="970"/>
      <c r="N267" s="971">
        <v>145</v>
      </c>
      <c r="O267" s="971">
        <v>0</v>
      </c>
      <c r="P267" s="971">
        <v>0</v>
      </c>
      <c r="Q267" s="971">
        <v>0</v>
      </c>
      <c r="R267" s="970"/>
      <c r="S267" s="971">
        <v>7776</v>
      </c>
      <c r="T267" s="971">
        <v>6248</v>
      </c>
      <c r="U267" s="971">
        <v>14024</v>
      </c>
    </row>
    <row r="268" spans="1:21" x14ac:dyDescent="0.25">
      <c r="A268" s="967">
        <v>92701</v>
      </c>
      <c r="B268" s="968" t="s">
        <v>2910</v>
      </c>
      <c r="C268" s="969">
        <v>2.8871000000000001E-3</v>
      </c>
      <c r="D268" s="969">
        <v>3.0777000000000001E-3</v>
      </c>
      <c r="E268" s="1008">
        <v>1394894</v>
      </c>
      <c r="F268" s="1011">
        <v>4701873</v>
      </c>
      <c r="G268" s="970">
        <v>6849189</v>
      </c>
      <c r="H268" s="970"/>
      <c r="I268" s="970">
        <v>1056667</v>
      </c>
      <c r="J268" s="971">
        <v>940190</v>
      </c>
      <c r="K268" s="971">
        <v>1817510</v>
      </c>
      <c r="L268" s="971">
        <v>35473</v>
      </c>
      <c r="M268" s="970"/>
      <c r="N268" s="971">
        <v>35456</v>
      </c>
      <c r="O268" s="971">
        <v>0</v>
      </c>
      <c r="P268" s="971">
        <v>0</v>
      </c>
      <c r="Q268" s="971">
        <v>155267</v>
      </c>
      <c r="R268" s="970"/>
      <c r="S268" s="971">
        <v>1902521</v>
      </c>
      <c r="T268" s="971">
        <v>-62476</v>
      </c>
      <c r="U268" s="971">
        <v>1840045</v>
      </c>
    </row>
    <row r="269" spans="1:21" x14ac:dyDescent="0.25">
      <c r="A269" s="967">
        <v>92704</v>
      </c>
      <c r="B269" s="968" t="s">
        <v>2911</v>
      </c>
      <c r="C269" s="969">
        <v>3.9400000000000002E-5</v>
      </c>
      <c r="D269" s="969">
        <v>4.1600000000000002E-5</v>
      </c>
      <c r="E269" s="1008">
        <v>19607</v>
      </c>
      <c r="F269" s="1011">
        <v>63553</v>
      </c>
      <c r="G269" s="970">
        <v>93470</v>
      </c>
      <c r="H269" s="970"/>
      <c r="I269" s="970">
        <v>14420</v>
      </c>
      <c r="J269" s="971">
        <v>12831</v>
      </c>
      <c r="K269" s="971">
        <v>24803</v>
      </c>
      <c r="L269" s="971">
        <v>703</v>
      </c>
      <c r="M269" s="970"/>
      <c r="N269" s="971">
        <v>484</v>
      </c>
      <c r="O269" s="971">
        <v>0</v>
      </c>
      <c r="P269" s="971">
        <v>0</v>
      </c>
      <c r="Q269" s="971">
        <v>5422</v>
      </c>
      <c r="R269" s="970"/>
      <c r="S269" s="971">
        <v>25964</v>
      </c>
      <c r="T269" s="971">
        <v>-1035</v>
      </c>
      <c r="U269" s="971">
        <v>24929</v>
      </c>
    </row>
    <row r="270" spans="1:21" x14ac:dyDescent="0.25">
      <c r="A270" s="967">
        <v>92801</v>
      </c>
      <c r="B270" s="968" t="s">
        <v>2912</v>
      </c>
      <c r="C270" s="969">
        <v>5.2335999999999997E-3</v>
      </c>
      <c r="D270" s="969">
        <v>5.0951E-3</v>
      </c>
      <c r="E270" s="1008">
        <v>2645231</v>
      </c>
      <c r="F270" s="1011">
        <v>7783901</v>
      </c>
      <c r="G270" s="970">
        <v>12415889</v>
      </c>
      <c r="H270" s="970"/>
      <c r="I270" s="970">
        <v>1915477</v>
      </c>
      <c r="J270" s="971">
        <v>1704333</v>
      </c>
      <c r="K270" s="971">
        <v>3294698</v>
      </c>
      <c r="L270" s="971">
        <v>237901</v>
      </c>
      <c r="M270" s="970"/>
      <c r="N270" s="971">
        <v>64274</v>
      </c>
      <c r="O270" s="971">
        <v>0</v>
      </c>
      <c r="P270" s="971">
        <v>0</v>
      </c>
      <c r="Q270" s="971">
        <v>0</v>
      </c>
      <c r="R270" s="970"/>
      <c r="S270" s="971">
        <v>3448801</v>
      </c>
      <c r="T270" s="971">
        <v>122866</v>
      </c>
      <c r="U270" s="971">
        <v>3571667</v>
      </c>
    </row>
    <row r="271" spans="1:21" x14ac:dyDescent="0.25">
      <c r="A271" s="967">
        <v>92802</v>
      </c>
      <c r="B271" s="968" t="s">
        <v>2913</v>
      </c>
      <c r="C271" s="969">
        <v>1.2799999999999999E-4</v>
      </c>
      <c r="D271" s="969">
        <v>1.2970000000000001E-4</v>
      </c>
      <c r="E271" s="1008">
        <v>57706</v>
      </c>
      <c r="F271" s="1011">
        <v>198146</v>
      </c>
      <c r="G271" s="970">
        <v>303660</v>
      </c>
      <c r="H271" s="970"/>
      <c r="I271" s="970">
        <v>46847</v>
      </c>
      <c r="J271" s="971">
        <v>41684</v>
      </c>
      <c r="K271" s="971">
        <v>80580</v>
      </c>
      <c r="L271" s="971">
        <v>0</v>
      </c>
      <c r="M271" s="970"/>
      <c r="N271" s="971">
        <v>1572</v>
      </c>
      <c r="O271" s="971">
        <v>0</v>
      </c>
      <c r="P271" s="971">
        <v>0</v>
      </c>
      <c r="Q271" s="971">
        <v>15754</v>
      </c>
      <c r="R271" s="970"/>
      <c r="S271" s="971">
        <v>84349</v>
      </c>
      <c r="T271" s="971">
        <v>-8217</v>
      </c>
      <c r="U271" s="971">
        <v>76132</v>
      </c>
    </row>
    <row r="272" spans="1:21" x14ac:dyDescent="0.25">
      <c r="A272" s="967">
        <v>92804</v>
      </c>
      <c r="B272" s="968" t="s">
        <v>2914</v>
      </c>
      <c r="C272" s="969">
        <v>1.4990000000000001E-4</v>
      </c>
      <c r="D272" s="969">
        <v>1.36E-4</v>
      </c>
      <c r="E272" s="1008">
        <v>66559</v>
      </c>
      <c r="F272" s="1011">
        <v>207770</v>
      </c>
      <c r="G272" s="970">
        <v>355614</v>
      </c>
      <c r="H272" s="970"/>
      <c r="I272" s="970">
        <v>54863</v>
      </c>
      <c r="J272" s="971">
        <v>48815</v>
      </c>
      <c r="K272" s="971">
        <v>94366</v>
      </c>
      <c r="L272" s="971">
        <v>9289</v>
      </c>
      <c r="M272" s="970"/>
      <c r="N272" s="971">
        <v>1841</v>
      </c>
      <c r="O272" s="971">
        <v>0</v>
      </c>
      <c r="P272" s="971">
        <v>0</v>
      </c>
      <c r="Q272" s="971">
        <v>8327</v>
      </c>
      <c r="R272" s="970"/>
      <c r="S272" s="971">
        <v>98780</v>
      </c>
      <c r="T272" s="971">
        <v>967</v>
      </c>
      <c r="U272" s="971">
        <v>99747</v>
      </c>
    </row>
    <row r="273" spans="1:21" x14ac:dyDescent="0.25">
      <c r="A273" s="967">
        <v>92811</v>
      </c>
      <c r="B273" s="968" t="s">
        <v>2915</v>
      </c>
      <c r="C273" s="969">
        <v>9.6909999999999997E-4</v>
      </c>
      <c r="D273" s="969">
        <v>1.0036000000000001E-3</v>
      </c>
      <c r="E273" s="1008">
        <v>479569</v>
      </c>
      <c r="F273" s="1011">
        <v>1533223</v>
      </c>
      <c r="G273" s="970">
        <v>2299037</v>
      </c>
      <c r="H273" s="970"/>
      <c r="I273" s="970">
        <v>354687</v>
      </c>
      <c r="J273" s="971">
        <v>315589</v>
      </c>
      <c r="K273" s="971">
        <v>610076</v>
      </c>
      <c r="L273" s="971">
        <v>0</v>
      </c>
      <c r="M273" s="970"/>
      <c r="N273" s="971">
        <v>11902</v>
      </c>
      <c r="O273" s="971">
        <v>0</v>
      </c>
      <c r="P273" s="971">
        <v>0</v>
      </c>
      <c r="Q273" s="971">
        <v>69119</v>
      </c>
      <c r="R273" s="970"/>
      <c r="S273" s="971">
        <v>638611</v>
      </c>
      <c r="T273" s="971">
        <v>-41669</v>
      </c>
      <c r="U273" s="971">
        <v>596942</v>
      </c>
    </row>
    <row r="274" spans="1:21" x14ac:dyDescent="0.25">
      <c r="A274" s="967">
        <v>92821</v>
      </c>
      <c r="B274" s="968" t="s">
        <v>2916</v>
      </c>
      <c r="C274" s="969">
        <v>1.0001999999999999E-3</v>
      </c>
      <c r="D274" s="969">
        <v>9.9400000000000009E-4</v>
      </c>
      <c r="E274" s="1008">
        <v>501804</v>
      </c>
      <c r="F274" s="1011">
        <v>1518557</v>
      </c>
      <c r="G274" s="970">
        <v>2372816</v>
      </c>
      <c r="H274" s="970"/>
      <c r="I274" s="970">
        <v>366069</v>
      </c>
      <c r="J274" s="971">
        <v>325717</v>
      </c>
      <c r="K274" s="971">
        <v>629654</v>
      </c>
      <c r="L274" s="971">
        <v>28694</v>
      </c>
      <c r="M274" s="970"/>
      <c r="N274" s="971">
        <v>12283</v>
      </c>
      <c r="O274" s="971">
        <v>0</v>
      </c>
      <c r="P274" s="971">
        <v>0</v>
      </c>
      <c r="Q274" s="971">
        <v>0</v>
      </c>
      <c r="R274" s="970"/>
      <c r="S274" s="971">
        <v>659105</v>
      </c>
      <c r="T274" s="971">
        <v>14053</v>
      </c>
      <c r="U274" s="971">
        <v>673158</v>
      </c>
    </row>
    <row r="275" spans="1:21" x14ac:dyDescent="0.25">
      <c r="A275" s="967">
        <v>92831</v>
      </c>
      <c r="B275" s="968" t="s">
        <v>2917</v>
      </c>
      <c r="C275" s="969">
        <v>2.3580000000000001E-4</v>
      </c>
      <c r="D275" s="969">
        <v>2.1829999999999999E-4</v>
      </c>
      <c r="E275" s="1008">
        <v>134108</v>
      </c>
      <c r="F275" s="1011">
        <v>333502</v>
      </c>
      <c r="G275" s="970">
        <v>559398</v>
      </c>
      <c r="H275" s="970"/>
      <c r="I275" s="970">
        <v>86302</v>
      </c>
      <c r="J275" s="971">
        <v>76789</v>
      </c>
      <c r="K275" s="971">
        <v>148443</v>
      </c>
      <c r="L275" s="971">
        <v>36641</v>
      </c>
      <c r="M275" s="970"/>
      <c r="N275" s="971">
        <v>2896</v>
      </c>
      <c r="O275" s="971">
        <v>0</v>
      </c>
      <c r="P275" s="971">
        <v>0</v>
      </c>
      <c r="Q275" s="971">
        <v>1618</v>
      </c>
      <c r="R275" s="970"/>
      <c r="S275" s="971">
        <v>155386</v>
      </c>
      <c r="T275" s="971">
        <v>16332</v>
      </c>
      <c r="U275" s="971">
        <v>171718</v>
      </c>
    </row>
    <row r="276" spans="1:21" x14ac:dyDescent="0.25">
      <c r="A276" s="967">
        <v>92841</v>
      </c>
      <c r="B276" s="968" t="s">
        <v>2918</v>
      </c>
      <c r="C276" s="969">
        <v>2.5769999999999998E-4</v>
      </c>
      <c r="D276" s="969">
        <v>2.7809999999999998E-4</v>
      </c>
      <c r="E276" s="1008">
        <v>125072</v>
      </c>
      <c r="F276" s="1011">
        <v>424860</v>
      </c>
      <c r="G276" s="970">
        <v>611353</v>
      </c>
      <c r="H276" s="970"/>
      <c r="I276" s="970">
        <v>94317</v>
      </c>
      <c r="J276" s="971">
        <v>83921</v>
      </c>
      <c r="K276" s="971">
        <v>162229</v>
      </c>
      <c r="L276" s="971">
        <v>0</v>
      </c>
      <c r="M276" s="970"/>
      <c r="N276" s="971">
        <v>3165</v>
      </c>
      <c r="O276" s="971">
        <v>0</v>
      </c>
      <c r="P276" s="971">
        <v>0</v>
      </c>
      <c r="Q276" s="971">
        <v>24975</v>
      </c>
      <c r="R276" s="970"/>
      <c r="S276" s="971">
        <v>169817</v>
      </c>
      <c r="T276" s="971">
        <v>-1626</v>
      </c>
      <c r="U276" s="971">
        <v>168191</v>
      </c>
    </row>
    <row r="277" spans="1:21" x14ac:dyDescent="0.25">
      <c r="A277" s="967">
        <v>92851</v>
      </c>
      <c r="B277" s="968" t="s">
        <v>2919</v>
      </c>
      <c r="C277" s="969">
        <v>4.3899999999999999E-4</v>
      </c>
      <c r="D277" s="969">
        <v>4.6079999999999998E-4</v>
      </c>
      <c r="E277" s="1008">
        <v>192126</v>
      </c>
      <c r="F277" s="1011">
        <v>703975</v>
      </c>
      <c r="G277" s="970">
        <v>1041458</v>
      </c>
      <c r="H277" s="970"/>
      <c r="I277" s="970">
        <v>160672</v>
      </c>
      <c r="J277" s="971">
        <v>142961</v>
      </c>
      <c r="K277" s="971">
        <v>276363</v>
      </c>
      <c r="L277" s="971">
        <v>0</v>
      </c>
      <c r="M277" s="970"/>
      <c r="N277" s="971">
        <v>5391</v>
      </c>
      <c r="O277" s="971">
        <v>0</v>
      </c>
      <c r="P277" s="971">
        <v>0</v>
      </c>
      <c r="Q277" s="971">
        <v>61052</v>
      </c>
      <c r="R277" s="970"/>
      <c r="S277" s="971">
        <v>289289</v>
      </c>
      <c r="T277" s="971">
        <v>-43806</v>
      </c>
      <c r="U277" s="971">
        <v>245483</v>
      </c>
    </row>
    <row r="278" spans="1:21" x14ac:dyDescent="0.25">
      <c r="A278" s="967">
        <v>92861</v>
      </c>
      <c r="B278" s="968" t="s">
        <v>2920</v>
      </c>
      <c r="C278" s="969">
        <v>3.7629999999999999E-4</v>
      </c>
      <c r="D278" s="969">
        <v>3.6010000000000003E-4</v>
      </c>
      <c r="E278" s="1008">
        <v>135765</v>
      </c>
      <c r="F278" s="1011">
        <v>550133</v>
      </c>
      <c r="G278" s="970">
        <v>892712</v>
      </c>
      <c r="H278" s="970"/>
      <c r="I278" s="970">
        <v>137724</v>
      </c>
      <c r="J278" s="971">
        <v>122543</v>
      </c>
      <c r="K278" s="971">
        <v>236891</v>
      </c>
      <c r="L278" s="971">
        <v>0</v>
      </c>
      <c r="M278" s="970"/>
      <c r="N278" s="971">
        <v>4621</v>
      </c>
      <c r="O278" s="971">
        <v>0</v>
      </c>
      <c r="P278" s="971">
        <v>0</v>
      </c>
      <c r="Q278" s="971">
        <v>73406</v>
      </c>
      <c r="R278" s="970"/>
      <c r="S278" s="971">
        <v>247972</v>
      </c>
      <c r="T278" s="971">
        <v>-43591</v>
      </c>
      <c r="U278" s="971">
        <v>204381</v>
      </c>
    </row>
    <row r="279" spans="1:21" x14ac:dyDescent="0.25">
      <c r="A279" s="967">
        <v>92901</v>
      </c>
      <c r="B279" s="968" t="s">
        <v>2921</v>
      </c>
      <c r="C279" s="969">
        <v>5.4257999999999997E-3</v>
      </c>
      <c r="D279" s="969">
        <v>5.5082999999999998E-3</v>
      </c>
      <c r="E279" s="1008">
        <v>2725234</v>
      </c>
      <c r="F279" s="1011">
        <v>8415157</v>
      </c>
      <c r="G279" s="970">
        <v>12871853</v>
      </c>
      <c r="H279" s="970"/>
      <c r="I279" s="970">
        <v>1985821</v>
      </c>
      <c r="J279" s="971">
        <v>1766922</v>
      </c>
      <c r="K279" s="971">
        <v>3415693</v>
      </c>
      <c r="L279" s="971">
        <v>22983</v>
      </c>
      <c r="M279" s="970"/>
      <c r="N279" s="971">
        <v>66634</v>
      </c>
      <c r="O279" s="971">
        <v>0</v>
      </c>
      <c r="P279" s="971">
        <v>0</v>
      </c>
      <c r="Q279" s="971">
        <v>91593</v>
      </c>
      <c r="R279" s="970"/>
      <c r="S279" s="971">
        <v>3575456</v>
      </c>
      <c r="T279" s="971">
        <v>5628</v>
      </c>
      <c r="U279" s="971">
        <v>3581084</v>
      </c>
    </row>
    <row r="280" spans="1:21" x14ac:dyDescent="0.25">
      <c r="A280" s="967">
        <v>92911</v>
      </c>
      <c r="B280" s="968" t="s">
        <v>2922</v>
      </c>
      <c r="C280" s="969">
        <v>1.9322E-3</v>
      </c>
      <c r="D280" s="969">
        <v>1.9548999999999999E-3</v>
      </c>
      <c r="E280" s="1008">
        <v>988075</v>
      </c>
      <c r="F280" s="1011">
        <v>2986546</v>
      </c>
      <c r="G280" s="970">
        <v>4583839</v>
      </c>
      <c r="H280" s="970"/>
      <c r="I280" s="970">
        <v>707177</v>
      </c>
      <c r="J280" s="971">
        <v>629224</v>
      </c>
      <c r="K280" s="971">
        <v>1216374</v>
      </c>
      <c r="L280" s="971">
        <v>39110</v>
      </c>
      <c r="M280" s="970"/>
      <c r="N280" s="971">
        <v>23729</v>
      </c>
      <c r="O280" s="971">
        <v>0</v>
      </c>
      <c r="P280" s="971">
        <v>0</v>
      </c>
      <c r="Q280" s="971">
        <v>51551</v>
      </c>
      <c r="R280" s="970"/>
      <c r="S280" s="971">
        <v>1273268</v>
      </c>
      <c r="T280" s="971">
        <v>-50417</v>
      </c>
      <c r="U280" s="971">
        <v>1222851</v>
      </c>
    </row>
    <row r="281" spans="1:21" x14ac:dyDescent="0.25">
      <c r="A281" s="967">
        <v>92913</v>
      </c>
      <c r="B281" s="968" t="s">
        <v>2923</v>
      </c>
      <c r="C281" s="969">
        <v>2.1500000000000001E-5</v>
      </c>
      <c r="D281" s="969">
        <v>2.1999999999999999E-5</v>
      </c>
      <c r="E281" s="1008">
        <v>56980</v>
      </c>
      <c r="F281" s="1011">
        <v>33610</v>
      </c>
      <c r="G281" s="970">
        <v>51005</v>
      </c>
      <c r="H281" s="970"/>
      <c r="I281" s="970">
        <v>7869</v>
      </c>
      <c r="J281" s="971">
        <v>7001</v>
      </c>
      <c r="K281" s="971">
        <v>13535</v>
      </c>
      <c r="L281" s="971">
        <v>88672</v>
      </c>
      <c r="M281" s="970"/>
      <c r="N281" s="971">
        <v>264</v>
      </c>
      <c r="O281" s="971">
        <v>0</v>
      </c>
      <c r="P281" s="971">
        <v>0</v>
      </c>
      <c r="Q281" s="971">
        <v>0</v>
      </c>
      <c r="R281" s="970"/>
      <c r="S281" s="971">
        <v>14168</v>
      </c>
      <c r="T281" s="971">
        <v>34736</v>
      </c>
      <c r="U281" s="971">
        <v>48904</v>
      </c>
    </row>
    <row r="282" spans="1:21" x14ac:dyDescent="0.25">
      <c r="A282" s="967">
        <v>92914</v>
      </c>
      <c r="B282" s="968" t="s">
        <v>3686</v>
      </c>
      <c r="C282" s="969">
        <v>2.4899999999999999E-5</v>
      </c>
      <c r="D282" s="969">
        <v>2.8900000000000001E-5</v>
      </c>
      <c r="E282" s="1008">
        <v>14202</v>
      </c>
      <c r="F282" s="1011">
        <v>44151</v>
      </c>
      <c r="G282" s="970">
        <v>59071</v>
      </c>
      <c r="H282" s="970"/>
      <c r="I282" s="970">
        <v>9113</v>
      </c>
      <c r="J282" s="971">
        <v>8109</v>
      </c>
      <c r="K282" s="971">
        <v>15675</v>
      </c>
      <c r="L282" s="971">
        <v>12880</v>
      </c>
      <c r="M282" s="970"/>
      <c r="N282" s="971">
        <v>306</v>
      </c>
      <c r="O282" s="971">
        <v>0</v>
      </c>
      <c r="P282" s="971">
        <v>0</v>
      </c>
      <c r="Q282" s="971">
        <v>1246</v>
      </c>
      <c r="R282" s="970"/>
      <c r="S282" s="971">
        <v>16408</v>
      </c>
      <c r="T282" s="971">
        <v>3981</v>
      </c>
      <c r="U282" s="971">
        <v>20389</v>
      </c>
    </row>
    <row r="283" spans="1:21" x14ac:dyDescent="0.25">
      <c r="A283" s="967">
        <v>92917</v>
      </c>
      <c r="B283" s="968" t="s">
        <v>2924</v>
      </c>
      <c r="C283" s="969">
        <v>1.6099999999999998E-5</v>
      </c>
      <c r="D283" s="969">
        <v>1.4800000000000001E-5</v>
      </c>
      <c r="E283" s="1008">
        <v>16094</v>
      </c>
      <c r="F283" s="1011">
        <v>22610</v>
      </c>
      <c r="G283" s="970">
        <v>38195</v>
      </c>
      <c r="H283" s="970"/>
      <c r="I283" s="970">
        <v>5893</v>
      </c>
      <c r="J283" s="971">
        <v>5243</v>
      </c>
      <c r="K283" s="971">
        <v>10135</v>
      </c>
      <c r="L283" s="971">
        <v>14400</v>
      </c>
      <c r="M283" s="970"/>
      <c r="N283" s="971">
        <v>198</v>
      </c>
      <c r="O283" s="971">
        <v>0</v>
      </c>
      <c r="P283" s="971">
        <v>0</v>
      </c>
      <c r="Q283" s="971">
        <v>0</v>
      </c>
      <c r="R283" s="970"/>
      <c r="S283" s="971">
        <v>10609</v>
      </c>
      <c r="T283" s="971">
        <v>8201</v>
      </c>
      <c r="U283" s="971">
        <v>18810</v>
      </c>
    </row>
    <row r="284" spans="1:21" x14ac:dyDescent="0.25">
      <c r="A284" s="967">
        <v>92921</v>
      </c>
      <c r="B284" s="968" t="s">
        <v>2925</v>
      </c>
      <c r="C284" s="969">
        <v>9.2499999999999999E-5</v>
      </c>
      <c r="D284" s="969">
        <v>7.4400000000000006E-5</v>
      </c>
      <c r="E284" s="1008">
        <v>47486</v>
      </c>
      <c r="F284" s="1011">
        <v>113663</v>
      </c>
      <c r="G284" s="970">
        <v>219442</v>
      </c>
      <c r="H284" s="970"/>
      <c r="I284" s="970">
        <v>33855</v>
      </c>
      <c r="J284" s="971">
        <v>30123</v>
      </c>
      <c r="K284" s="971">
        <v>58231</v>
      </c>
      <c r="L284" s="971">
        <v>24651</v>
      </c>
      <c r="M284" s="970"/>
      <c r="N284" s="971">
        <v>1136</v>
      </c>
      <c r="O284" s="971">
        <v>0</v>
      </c>
      <c r="P284" s="971">
        <v>0</v>
      </c>
      <c r="Q284" s="971">
        <v>1659</v>
      </c>
      <c r="R284" s="970"/>
      <c r="S284" s="971">
        <v>60955</v>
      </c>
      <c r="T284" s="971">
        <v>819</v>
      </c>
      <c r="U284" s="971">
        <v>61774</v>
      </c>
    </row>
    <row r="285" spans="1:21" x14ac:dyDescent="0.25">
      <c r="A285" s="967">
        <v>92931</v>
      </c>
      <c r="B285" s="968" t="s">
        <v>2926</v>
      </c>
      <c r="C285" s="969">
        <v>2.4600999999999998E-3</v>
      </c>
      <c r="D285" s="969">
        <v>2.3996E-3</v>
      </c>
      <c r="E285" s="1008">
        <v>1185079</v>
      </c>
      <c r="F285" s="1011">
        <v>3665924</v>
      </c>
      <c r="G285" s="970">
        <v>5836199</v>
      </c>
      <c r="H285" s="970"/>
      <c r="I285" s="970">
        <v>900387</v>
      </c>
      <c r="J285" s="971">
        <v>801137</v>
      </c>
      <c r="K285" s="971">
        <v>1548702</v>
      </c>
      <c r="L285" s="971">
        <v>28206</v>
      </c>
      <c r="M285" s="970"/>
      <c r="N285" s="971">
        <v>30212</v>
      </c>
      <c r="O285" s="971">
        <v>0</v>
      </c>
      <c r="P285" s="971">
        <v>0</v>
      </c>
      <c r="Q285" s="971">
        <v>98782</v>
      </c>
      <c r="R285" s="970"/>
      <c r="S285" s="971">
        <v>1621139</v>
      </c>
      <c r="T285" s="971">
        <v>-34302</v>
      </c>
      <c r="U285" s="971">
        <v>1586837</v>
      </c>
    </row>
    <row r="286" spans="1:21" x14ac:dyDescent="0.25">
      <c r="A286" s="967">
        <v>92941</v>
      </c>
      <c r="B286" s="968" t="s">
        <v>1450</v>
      </c>
      <c r="C286" s="969">
        <v>4.3000000000000003E-6</v>
      </c>
      <c r="D286" s="969">
        <v>1.2300000000000001E-5</v>
      </c>
      <c r="E286" s="1008">
        <v>5800</v>
      </c>
      <c r="F286" s="1011">
        <v>18791</v>
      </c>
      <c r="G286" s="970">
        <v>10201</v>
      </c>
      <c r="H286" s="970"/>
      <c r="I286" s="970">
        <v>1574</v>
      </c>
      <c r="J286" s="971">
        <v>1400</v>
      </c>
      <c r="K286" s="971">
        <v>2707</v>
      </c>
      <c r="L286" s="971">
        <v>3011</v>
      </c>
      <c r="M286" s="970"/>
      <c r="N286" s="971">
        <v>53</v>
      </c>
      <c r="O286" s="971">
        <v>0</v>
      </c>
      <c r="P286" s="971">
        <v>0</v>
      </c>
      <c r="Q286" s="971">
        <v>4092</v>
      </c>
      <c r="R286" s="970"/>
      <c r="S286" s="971">
        <v>2834</v>
      </c>
      <c r="T286" s="971">
        <v>2468</v>
      </c>
      <c r="U286" s="971">
        <v>5302</v>
      </c>
    </row>
    <row r="287" spans="1:21" x14ac:dyDescent="0.25">
      <c r="A287" s="967">
        <v>93001</v>
      </c>
      <c r="B287" s="968" t="s">
        <v>2927</v>
      </c>
      <c r="C287" s="969">
        <v>2.2772000000000001E-3</v>
      </c>
      <c r="D287" s="969">
        <v>2.2227000000000002E-3</v>
      </c>
      <c r="E287" s="1008">
        <v>1079124</v>
      </c>
      <c r="F287" s="1011">
        <v>3395670</v>
      </c>
      <c r="G287" s="970">
        <v>5402297</v>
      </c>
      <c r="H287" s="970"/>
      <c r="I287" s="970">
        <v>833446</v>
      </c>
      <c r="J287" s="971">
        <v>741575</v>
      </c>
      <c r="K287" s="971">
        <v>1433561</v>
      </c>
      <c r="L287" s="971">
        <v>14691</v>
      </c>
      <c r="M287" s="970"/>
      <c r="N287" s="971">
        <v>27966</v>
      </c>
      <c r="O287" s="971">
        <v>0</v>
      </c>
      <c r="P287" s="971">
        <v>0</v>
      </c>
      <c r="Q287" s="971">
        <v>61962</v>
      </c>
      <c r="R287" s="970"/>
      <c r="S287" s="971">
        <v>1500613</v>
      </c>
      <c r="T287" s="971">
        <v>-54280</v>
      </c>
      <c r="U287" s="971">
        <v>1446333</v>
      </c>
    </row>
    <row r="288" spans="1:21" x14ac:dyDescent="0.25">
      <c r="A288" s="967">
        <v>93009</v>
      </c>
      <c r="B288" s="968" t="s">
        <v>2928</v>
      </c>
      <c r="C288" s="969">
        <v>1.38E-5</v>
      </c>
      <c r="D288" s="969">
        <v>1.47E-5</v>
      </c>
      <c r="E288" s="1008">
        <v>5770</v>
      </c>
      <c r="F288" s="1011">
        <v>22458</v>
      </c>
      <c r="G288" s="970">
        <v>32738</v>
      </c>
      <c r="H288" s="970"/>
      <c r="I288" s="970">
        <v>5051</v>
      </c>
      <c r="J288" s="971">
        <v>4494</v>
      </c>
      <c r="K288" s="971">
        <v>8687</v>
      </c>
      <c r="L288" s="971">
        <v>0</v>
      </c>
      <c r="M288" s="970"/>
      <c r="N288" s="971">
        <v>169</v>
      </c>
      <c r="O288" s="971">
        <v>0</v>
      </c>
      <c r="P288" s="971">
        <v>0</v>
      </c>
      <c r="Q288" s="971">
        <v>3798</v>
      </c>
      <c r="R288" s="970"/>
      <c r="S288" s="971">
        <v>9094</v>
      </c>
      <c r="T288" s="971">
        <v>-2270</v>
      </c>
      <c r="U288" s="971">
        <v>6824</v>
      </c>
    </row>
    <row r="289" spans="1:21" x14ac:dyDescent="0.25">
      <c r="A289" s="967">
        <v>93011</v>
      </c>
      <c r="B289" s="968" t="s">
        <v>2929</v>
      </c>
      <c r="C289" s="969">
        <v>2.7599999999999999E-4</v>
      </c>
      <c r="D289" s="969">
        <v>2.2699999999999999E-4</v>
      </c>
      <c r="E289" s="1008">
        <v>154958</v>
      </c>
      <c r="F289" s="1011">
        <v>346793</v>
      </c>
      <c r="G289" s="970">
        <v>654766</v>
      </c>
      <c r="H289" s="970"/>
      <c r="I289" s="970">
        <v>101015</v>
      </c>
      <c r="J289" s="971">
        <v>89880</v>
      </c>
      <c r="K289" s="971">
        <v>173750</v>
      </c>
      <c r="L289" s="971">
        <v>51648</v>
      </c>
      <c r="M289" s="970"/>
      <c r="N289" s="971">
        <v>3390</v>
      </c>
      <c r="O289" s="971">
        <v>0</v>
      </c>
      <c r="P289" s="971">
        <v>0</v>
      </c>
      <c r="Q289" s="971">
        <v>10320</v>
      </c>
      <c r="R289" s="970"/>
      <c r="S289" s="971">
        <v>181877</v>
      </c>
      <c r="T289" s="971">
        <v>8885</v>
      </c>
      <c r="U289" s="971">
        <v>190762</v>
      </c>
    </row>
    <row r="290" spans="1:21" x14ac:dyDescent="0.25">
      <c r="A290" s="967">
        <v>93021</v>
      </c>
      <c r="B290" s="968" t="s">
        <v>2930</v>
      </c>
      <c r="C290" s="969">
        <v>3.3399999999999999E-5</v>
      </c>
      <c r="D290" s="969">
        <v>3.4199999999999998E-5</v>
      </c>
      <c r="E290" s="1008">
        <v>13963</v>
      </c>
      <c r="F290" s="1011">
        <v>52248</v>
      </c>
      <c r="G290" s="970">
        <v>79236</v>
      </c>
      <c r="H290" s="970"/>
      <c r="I290" s="970">
        <v>12224</v>
      </c>
      <c r="J290" s="971">
        <v>10877</v>
      </c>
      <c r="K290" s="971">
        <v>21026</v>
      </c>
      <c r="L290" s="971">
        <v>1795</v>
      </c>
      <c r="M290" s="970"/>
      <c r="N290" s="971">
        <v>410</v>
      </c>
      <c r="O290" s="971">
        <v>0</v>
      </c>
      <c r="P290" s="971">
        <v>0</v>
      </c>
      <c r="Q290" s="971">
        <v>5715</v>
      </c>
      <c r="R290" s="970"/>
      <c r="S290" s="971">
        <v>22010</v>
      </c>
      <c r="T290" s="971">
        <v>-366</v>
      </c>
      <c r="U290" s="971">
        <v>21644</v>
      </c>
    </row>
    <row r="291" spans="1:21" x14ac:dyDescent="0.25">
      <c r="A291" s="967">
        <v>93027</v>
      </c>
      <c r="B291" s="968" t="s">
        <v>2931</v>
      </c>
      <c r="C291" s="969">
        <v>1.5E-5</v>
      </c>
      <c r="D291" s="969">
        <v>1.6699999999999999E-5</v>
      </c>
      <c r="E291" s="1008">
        <v>6211</v>
      </c>
      <c r="F291" s="1011">
        <v>25513</v>
      </c>
      <c r="G291" s="970">
        <v>35585</v>
      </c>
      <c r="H291" s="970"/>
      <c r="I291" s="970">
        <v>5490</v>
      </c>
      <c r="J291" s="971">
        <v>4885</v>
      </c>
      <c r="K291" s="971">
        <v>9443</v>
      </c>
      <c r="L291" s="971">
        <v>796</v>
      </c>
      <c r="M291" s="970"/>
      <c r="N291" s="971">
        <v>184</v>
      </c>
      <c r="O291" s="971">
        <v>0</v>
      </c>
      <c r="P291" s="971">
        <v>0</v>
      </c>
      <c r="Q291" s="971">
        <v>2296</v>
      </c>
      <c r="R291" s="970"/>
      <c r="S291" s="971">
        <v>9885</v>
      </c>
      <c r="T291" s="971">
        <v>-833</v>
      </c>
      <c r="U291" s="971">
        <v>9052</v>
      </c>
    </row>
    <row r="292" spans="1:21" x14ac:dyDescent="0.25">
      <c r="A292" s="967">
        <v>93031</v>
      </c>
      <c r="B292" s="968" t="s">
        <v>2932</v>
      </c>
      <c r="C292" s="969">
        <v>1.26E-5</v>
      </c>
      <c r="D292" s="969">
        <v>2.1699999999999999E-5</v>
      </c>
      <c r="E292" s="1008">
        <v>23729</v>
      </c>
      <c r="F292" s="1011">
        <v>33152</v>
      </c>
      <c r="G292" s="970">
        <v>29892</v>
      </c>
      <c r="H292" s="970"/>
      <c r="I292" s="970">
        <v>4612</v>
      </c>
      <c r="J292" s="971">
        <v>4103</v>
      </c>
      <c r="K292" s="971">
        <v>7932</v>
      </c>
      <c r="L292" s="971">
        <v>20350</v>
      </c>
      <c r="M292" s="970"/>
      <c r="N292" s="971">
        <v>155</v>
      </c>
      <c r="O292" s="971">
        <v>0</v>
      </c>
      <c r="P292" s="971">
        <v>0</v>
      </c>
      <c r="Q292" s="971">
        <v>0</v>
      </c>
      <c r="R292" s="970"/>
      <c r="S292" s="971">
        <v>8303</v>
      </c>
      <c r="T292" s="971">
        <v>7768</v>
      </c>
      <c r="U292" s="971">
        <v>16071</v>
      </c>
    </row>
    <row r="293" spans="1:21" x14ac:dyDescent="0.25">
      <c r="A293" s="967">
        <v>93101</v>
      </c>
      <c r="B293" s="968" t="s">
        <v>2933</v>
      </c>
      <c r="C293" s="969">
        <v>3.2376000000000002E-3</v>
      </c>
      <c r="D293" s="969">
        <v>3.5159000000000002E-3</v>
      </c>
      <c r="E293" s="1008">
        <v>1558581</v>
      </c>
      <c r="F293" s="1011">
        <v>5371321</v>
      </c>
      <c r="G293" s="970">
        <v>7680694</v>
      </c>
      <c r="H293" s="970"/>
      <c r="I293" s="970">
        <v>1184949</v>
      </c>
      <c r="J293" s="971">
        <v>1054330</v>
      </c>
      <c r="K293" s="971">
        <v>2038160</v>
      </c>
      <c r="L293" s="971">
        <v>36350</v>
      </c>
      <c r="M293" s="970"/>
      <c r="N293" s="971">
        <v>39761</v>
      </c>
      <c r="O293" s="971">
        <v>0</v>
      </c>
      <c r="P293" s="971">
        <v>0</v>
      </c>
      <c r="Q293" s="971">
        <v>306148</v>
      </c>
      <c r="R293" s="970"/>
      <c r="S293" s="971">
        <v>2133491</v>
      </c>
      <c r="T293" s="971">
        <v>-15838</v>
      </c>
      <c r="U293" s="971">
        <v>2117653</v>
      </c>
    </row>
    <row r="294" spans="1:21" x14ac:dyDescent="0.25">
      <c r="A294" s="967">
        <v>93103</v>
      </c>
      <c r="B294" s="968" t="s">
        <v>2126</v>
      </c>
      <c r="C294" s="969">
        <v>1.6699999999999999E-5</v>
      </c>
      <c r="D294" s="969">
        <v>1.7099999999999999E-5</v>
      </c>
      <c r="E294" s="1008">
        <v>6012</v>
      </c>
      <c r="F294" s="1011">
        <v>26124</v>
      </c>
      <c r="G294" s="970">
        <v>39618</v>
      </c>
      <c r="H294" s="970"/>
      <c r="I294" s="970">
        <v>6112</v>
      </c>
      <c r="J294" s="971">
        <v>5439</v>
      </c>
      <c r="K294" s="971">
        <v>10513</v>
      </c>
      <c r="L294" s="971">
        <v>4185</v>
      </c>
      <c r="M294" s="970"/>
      <c r="N294" s="971">
        <v>205</v>
      </c>
      <c r="O294" s="971">
        <v>0</v>
      </c>
      <c r="P294" s="971">
        <v>0</v>
      </c>
      <c r="Q294" s="971">
        <v>3362</v>
      </c>
      <c r="R294" s="970"/>
      <c r="S294" s="971">
        <v>11005</v>
      </c>
      <c r="T294" s="971">
        <v>1580</v>
      </c>
      <c r="U294" s="971">
        <v>12585</v>
      </c>
    </row>
    <row r="295" spans="1:21" x14ac:dyDescent="0.25">
      <c r="A295" s="967">
        <v>93108</v>
      </c>
      <c r="B295" s="968" t="s">
        <v>2934</v>
      </c>
      <c r="C295" s="969">
        <v>2.4109999999999999E-3</v>
      </c>
      <c r="D295" s="969">
        <v>2.6624999999999999E-3</v>
      </c>
      <c r="E295" s="1008">
        <v>1177629</v>
      </c>
      <c r="F295" s="1011">
        <v>4067562</v>
      </c>
      <c r="G295" s="970">
        <v>5719717</v>
      </c>
      <c r="H295" s="970"/>
      <c r="I295" s="970">
        <v>882416</v>
      </c>
      <c r="J295" s="971">
        <v>785147</v>
      </c>
      <c r="K295" s="971">
        <v>1517792</v>
      </c>
      <c r="L295" s="971">
        <v>86396</v>
      </c>
      <c r="M295" s="970"/>
      <c r="N295" s="971">
        <v>29609</v>
      </c>
      <c r="O295" s="971">
        <v>0</v>
      </c>
      <c r="P295" s="971">
        <v>0</v>
      </c>
      <c r="Q295" s="971">
        <v>181635</v>
      </c>
      <c r="R295" s="970"/>
      <c r="S295" s="971">
        <v>1588784</v>
      </c>
      <c r="T295" s="971">
        <v>143056</v>
      </c>
      <c r="U295" s="971">
        <v>1731840</v>
      </c>
    </row>
    <row r="296" spans="1:21" x14ac:dyDescent="0.25">
      <c r="A296" s="967">
        <v>93111</v>
      </c>
      <c r="B296" s="968" t="s">
        <v>2935</v>
      </c>
      <c r="C296" s="969">
        <v>6.1500000000000004E-5</v>
      </c>
      <c r="D296" s="969">
        <v>5.8499999999999999E-5</v>
      </c>
      <c r="E296" s="1008">
        <v>28175</v>
      </c>
      <c r="F296" s="1011">
        <v>89372</v>
      </c>
      <c r="G296" s="970">
        <v>145899</v>
      </c>
      <c r="H296" s="970"/>
      <c r="I296" s="970">
        <v>22509</v>
      </c>
      <c r="J296" s="971">
        <v>20027</v>
      </c>
      <c r="K296" s="971">
        <v>38716</v>
      </c>
      <c r="L296" s="971">
        <v>609</v>
      </c>
      <c r="M296" s="970"/>
      <c r="N296" s="971">
        <v>755</v>
      </c>
      <c r="O296" s="971">
        <v>0</v>
      </c>
      <c r="P296" s="971">
        <v>0</v>
      </c>
      <c r="Q296" s="971">
        <v>9926</v>
      </c>
      <c r="R296" s="970"/>
      <c r="S296" s="971">
        <v>40527</v>
      </c>
      <c r="T296" s="971">
        <v>-5384</v>
      </c>
      <c r="U296" s="971">
        <v>35143</v>
      </c>
    </row>
    <row r="297" spans="1:21" x14ac:dyDescent="0.25">
      <c r="A297" s="967">
        <v>93121</v>
      </c>
      <c r="B297" s="968" t="s">
        <v>2936</v>
      </c>
      <c r="C297" s="969">
        <v>5.3300000000000001E-5</v>
      </c>
      <c r="D297" s="969">
        <v>6.2299999999999996E-5</v>
      </c>
      <c r="E297" s="1008">
        <v>31033</v>
      </c>
      <c r="F297" s="1011">
        <v>95177</v>
      </c>
      <c r="G297" s="970">
        <v>126446</v>
      </c>
      <c r="H297" s="970"/>
      <c r="I297" s="970">
        <v>19508</v>
      </c>
      <c r="J297" s="971">
        <v>17358</v>
      </c>
      <c r="K297" s="971">
        <v>33554</v>
      </c>
      <c r="L297" s="971">
        <v>1532</v>
      </c>
      <c r="M297" s="970"/>
      <c r="N297" s="971">
        <v>655</v>
      </c>
      <c r="O297" s="971">
        <v>0</v>
      </c>
      <c r="P297" s="971">
        <v>0</v>
      </c>
      <c r="Q297" s="971">
        <v>7485</v>
      </c>
      <c r="R297" s="970"/>
      <c r="S297" s="971">
        <v>35123</v>
      </c>
      <c r="T297" s="971">
        <v>-4157</v>
      </c>
      <c r="U297" s="971">
        <v>30966</v>
      </c>
    </row>
    <row r="298" spans="1:21" x14ac:dyDescent="0.25">
      <c r="A298" s="967">
        <v>93127</v>
      </c>
      <c r="B298" s="968" t="s">
        <v>2937</v>
      </c>
      <c r="C298" s="969">
        <v>6.8000000000000001E-6</v>
      </c>
      <c r="D298" s="969">
        <v>6.9E-6</v>
      </c>
      <c r="E298" s="1008">
        <v>3230</v>
      </c>
      <c r="F298" s="1011">
        <v>10541</v>
      </c>
      <c r="G298" s="970">
        <v>16132</v>
      </c>
      <c r="H298" s="970"/>
      <c r="I298" s="970">
        <v>2489</v>
      </c>
      <c r="J298" s="971">
        <v>2215</v>
      </c>
      <c r="K298" s="971">
        <v>4281</v>
      </c>
      <c r="L298" s="971">
        <v>93</v>
      </c>
      <c r="M298" s="970"/>
      <c r="N298" s="971">
        <v>84</v>
      </c>
      <c r="O298" s="971">
        <v>0</v>
      </c>
      <c r="P298" s="971">
        <v>0</v>
      </c>
      <c r="Q298" s="971">
        <v>482</v>
      </c>
      <c r="R298" s="970"/>
      <c r="S298" s="971">
        <v>4481</v>
      </c>
      <c r="T298" s="971">
        <v>-405</v>
      </c>
      <c r="U298" s="971">
        <v>4076</v>
      </c>
    </row>
    <row r="299" spans="1:21" x14ac:dyDescent="0.25">
      <c r="A299" s="967">
        <v>93131</v>
      </c>
      <c r="B299" s="968" t="s">
        <v>2938</v>
      </c>
      <c r="C299" s="969">
        <v>2.0129999999999999E-4</v>
      </c>
      <c r="D299" s="969">
        <v>2.218E-4</v>
      </c>
      <c r="E299" s="1008">
        <v>93827</v>
      </c>
      <c r="F299" s="1011">
        <v>338849</v>
      </c>
      <c r="G299" s="970">
        <v>477552</v>
      </c>
      <c r="H299" s="970"/>
      <c r="I299" s="970">
        <v>73675</v>
      </c>
      <c r="J299" s="971">
        <v>65554</v>
      </c>
      <c r="K299" s="971">
        <v>126724</v>
      </c>
      <c r="L299" s="971">
        <v>2495</v>
      </c>
      <c r="M299" s="970"/>
      <c r="N299" s="971">
        <v>2472</v>
      </c>
      <c r="O299" s="971">
        <v>0</v>
      </c>
      <c r="P299" s="971">
        <v>0</v>
      </c>
      <c r="Q299" s="971">
        <v>34365</v>
      </c>
      <c r="R299" s="970"/>
      <c r="S299" s="971">
        <v>132651</v>
      </c>
      <c r="T299" s="971">
        <v>-5155</v>
      </c>
      <c r="U299" s="971">
        <v>127496</v>
      </c>
    </row>
    <row r="300" spans="1:21" x14ac:dyDescent="0.25">
      <c r="A300" s="967">
        <v>93137</v>
      </c>
      <c r="B300" s="968" t="s">
        <v>2939</v>
      </c>
      <c r="C300" s="969">
        <v>4.7999999999999998E-6</v>
      </c>
      <c r="D300" s="969">
        <v>3.3000000000000002E-6</v>
      </c>
      <c r="E300" s="1008">
        <v>2953</v>
      </c>
      <c r="F300" s="1011">
        <v>5041</v>
      </c>
      <c r="G300" s="970">
        <v>11387</v>
      </c>
      <c r="H300" s="970"/>
      <c r="I300" s="970">
        <v>1757</v>
      </c>
      <c r="J300" s="971">
        <v>1563</v>
      </c>
      <c r="K300" s="971">
        <v>3022</v>
      </c>
      <c r="L300" s="971">
        <v>3426</v>
      </c>
      <c r="M300" s="970"/>
      <c r="N300" s="971">
        <v>59</v>
      </c>
      <c r="O300" s="971">
        <v>0</v>
      </c>
      <c r="P300" s="971">
        <v>0</v>
      </c>
      <c r="Q300" s="971">
        <v>0</v>
      </c>
      <c r="R300" s="970"/>
      <c r="S300" s="971">
        <v>3163</v>
      </c>
      <c r="T300" s="971">
        <v>1228</v>
      </c>
      <c r="U300" s="971">
        <v>4391</v>
      </c>
    </row>
    <row r="301" spans="1:21" x14ac:dyDescent="0.25">
      <c r="A301" s="967">
        <v>93141</v>
      </c>
      <c r="B301" s="968" t="s">
        <v>2940</v>
      </c>
      <c r="C301" s="969">
        <v>3.2299999999999999E-5</v>
      </c>
      <c r="D301" s="969">
        <v>4.1100000000000003E-5</v>
      </c>
      <c r="E301" s="1008">
        <v>16088</v>
      </c>
      <c r="F301" s="1011">
        <v>62789</v>
      </c>
      <c r="G301" s="970">
        <v>76627</v>
      </c>
      <c r="H301" s="970"/>
      <c r="I301" s="970">
        <v>11822</v>
      </c>
      <c r="J301" s="971">
        <v>10519</v>
      </c>
      <c r="K301" s="971">
        <v>20334</v>
      </c>
      <c r="L301" s="971">
        <v>0</v>
      </c>
      <c r="M301" s="970"/>
      <c r="N301" s="971">
        <v>397</v>
      </c>
      <c r="O301" s="971">
        <v>0</v>
      </c>
      <c r="P301" s="971">
        <v>0</v>
      </c>
      <c r="Q301" s="971">
        <v>11022</v>
      </c>
      <c r="R301" s="970"/>
      <c r="S301" s="971">
        <v>21285</v>
      </c>
      <c r="T301" s="971">
        <v>-1889</v>
      </c>
      <c r="U301" s="971">
        <v>19396</v>
      </c>
    </row>
    <row r="302" spans="1:21" x14ac:dyDescent="0.25">
      <c r="A302" s="967">
        <v>93151</v>
      </c>
      <c r="B302" s="968" t="s">
        <v>2941</v>
      </c>
      <c r="C302" s="969">
        <v>3.2410000000000002E-4</v>
      </c>
      <c r="D302" s="969">
        <v>3.4279999999999998E-4</v>
      </c>
      <c r="E302" s="1008">
        <v>160776</v>
      </c>
      <c r="F302" s="1011">
        <v>523703</v>
      </c>
      <c r="G302" s="970">
        <v>768876</v>
      </c>
      <c r="H302" s="970"/>
      <c r="I302" s="970">
        <v>118619</v>
      </c>
      <c r="J302" s="971">
        <v>105543</v>
      </c>
      <c r="K302" s="971">
        <v>204030</v>
      </c>
      <c r="L302" s="971">
        <v>1711</v>
      </c>
      <c r="M302" s="970"/>
      <c r="N302" s="971">
        <v>3980</v>
      </c>
      <c r="O302" s="971">
        <v>0</v>
      </c>
      <c r="P302" s="971">
        <v>0</v>
      </c>
      <c r="Q302" s="971">
        <v>25198</v>
      </c>
      <c r="R302" s="970"/>
      <c r="S302" s="971">
        <v>213573</v>
      </c>
      <c r="T302" s="971">
        <v>-7249</v>
      </c>
      <c r="U302" s="971">
        <v>206324</v>
      </c>
    </row>
    <row r="303" spans="1:21" x14ac:dyDescent="0.25">
      <c r="A303" s="967">
        <v>93157</v>
      </c>
      <c r="B303" s="968" t="s">
        <v>2942</v>
      </c>
      <c r="C303" s="969">
        <v>3.4999999999999999E-6</v>
      </c>
      <c r="D303" s="969">
        <v>3.5999999999999998E-6</v>
      </c>
      <c r="E303" s="1008">
        <v>6823</v>
      </c>
      <c r="F303" s="1011">
        <v>5500</v>
      </c>
      <c r="G303" s="970">
        <v>8303</v>
      </c>
      <c r="H303" s="970"/>
      <c r="I303" s="970">
        <v>1281</v>
      </c>
      <c r="J303" s="971">
        <v>1140</v>
      </c>
      <c r="K303" s="971">
        <v>2203</v>
      </c>
      <c r="L303" s="971">
        <v>7990</v>
      </c>
      <c r="M303" s="970"/>
      <c r="N303" s="971">
        <v>43</v>
      </c>
      <c r="O303" s="971">
        <v>0</v>
      </c>
      <c r="P303" s="971">
        <v>0</v>
      </c>
      <c r="Q303" s="971">
        <v>152</v>
      </c>
      <c r="R303" s="970"/>
      <c r="S303" s="971">
        <v>2306</v>
      </c>
      <c r="T303" s="971">
        <v>3773</v>
      </c>
      <c r="U303" s="971">
        <v>6079</v>
      </c>
    </row>
    <row r="304" spans="1:21" x14ac:dyDescent="0.25">
      <c r="A304" s="967">
        <v>93161</v>
      </c>
      <c r="B304" s="968" t="s">
        <v>2943</v>
      </c>
      <c r="C304" s="969">
        <v>1.105E-4</v>
      </c>
      <c r="D304" s="969">
        <v>1.038E-4</v>
      </c>
      <c r="E304" s="1008">
        <v>51773</v>
      </c>
      <c r="F304" s="1011">
        <v>158578</v>
      </c>
      <c r="G304" s="970">
        <v>262144</v>
      </c>
      <c r="H304" s="970"/>
      <c r="I304" s="970">
        <v>40443</v>
      </c>
      <c r="J304" s="971">
        <v>35984</v>
      </c>
      <c r="K304" s="971">
        <v>69563</v>
      </c>
      <c r="L304" s="971">
        <v>25987</v>
      </c>
      <c r="M304" s="970"/>
      <c r="N304" s="971">
        <v>1357</v>
      </c>
      <c r="O304" s="971">
        <v>0</v>
      </c>
      <c r="P304" s="971">
        <v>0</v>
      </c>
      <c r="Q304" s="971">
        <v>0</v>
      </c>
      <c r="R304" s="970"/>
      <c r="S304" s="971">
        <v>72817</v>
      </c>
      <c r="T304" s="971">
        <v>13692</v>
      </c>
      <c r="U304" s="971">
        <v>86509</v>
      </c>
    </row>
    <row r="305" spans="1:21" x14ac:dyDescent="0.25">
      <c r="A305" s="967">
        <v>93171</v>
      </c>
      <c r="B305" s="968" t="s">
        <v>2944</v>
      </c>
      <c r="C305" s="969">
        <v>2.7E-6</v>
      </c>
      <c r="D305" s="969">
        <v>5.2000000000000002E-6</v>
      </c>
      <c r="E305" s="1008">
        <v>2322</v>
      </c>
      <c r="F305" s="1011">
        <v>7944</v>
      </c>
      <c r="G305" s="970">
        <v>6405</v>
      </c>
      <c r="H305" s="970"/>
      <c r="I305" s="970">
        <v>988</v>
      </c>
      <c r="J305" s="971">
        <v>879</v>
      </c>
      <c r="K305" s="971">
        <v>1700</v>
      </c>
      <c r="L305" s="971">
        <v>1171</v>
      </c>
      <c r="M305" s="970"/>
      <c r="N305" s="971">
        <v>33</v>
      </c>
      <c r="O305" s="971">
        <v>0</v>
      </c>
      <c r="P305" s="971">
        <v>0</v>
      </c>
      <c r="Q305" s="971">
        <v>987</v>
      </c>
      <c r="R305" s="970"/>
      <c r="S305" s="971">
        <v>1779</v>
      </c>
      <c r="T305" s="971">
        <v>542</v>
      </c>
      <c r="U305" s="971">
        <v>2321</v>
      </c>
    </row>
    <row r="306" spans="1:21" x14ac:dyDescent="0.25">
      <c r="A306" s="967">
        <v>93181</v>
      </c>
      <c r="B306" s="968" t="s">
        <v>2945</v>
      </c>
      <c r="C306" s="969">
        <v>1.1E-5</v>
      </c>
      <c r="D306" s="969">
        <v>1.13E-5</v>
      </c>
      <c r="E306" s="1008">
        <v>5787</v>
      </c>
      <c r="F306" s="1011">
        <v>17263</v>
      </c>
      <c r="G306" s="970">
        <v>26096</v>
      </c>
      <c r="H306" s="970"/>
      <c r="I306" s="970">
        <v>4026</v>
      </c>
      <c r="J306" s="971">
        <v>3582</v>
      </c>
      <c r="K306" s="971">
        <v>6925</v>
      </c>
      <c r="L306" s="971">
        <v>457</v>
      </c>
      <c r="M306" s="970"/>
      <c r="N306" s="971">
        <v>135</v>
      </c>
      <c r="O306" s="971">
        <v>0</v>
      </c>
      <c r="P306" s="971">
        <v>0</v>
      </c>
      <c r="Q306" s="971">
        <v>12</v>
      </c>
      <c r="R306" s="970"/>
      <c r="S306" s="971">
        <v>7249</v>
      </c>
      <c r="T306" s="971">
        <v>435</v>
      </c>
      <c r="U306" s="971">
        <v>7684</v>
      </c>
    </row>
    <row r="307" spans="1:21" x14ac:dyDescent="0.25">
      <c r="A307" s="967">
        <v>93191</v>
      </c>
      <c r="B307" s="968" t="s">
        <v>2946</v>
      </c>
      <c r="C307" s="969">
        <v>2.2500000000000001E-5</v>
      </c>
      <c r="D307" s="969">
        <v>2.4600000000000002E-5</v>
      </c>
      <c r="E307" s="1008">
        <v>16585</v>
      </c>
      <c r="F307" s="1011">
        <v>37582</v>
      </c>
      <c r="G307" s="970">
        <v>53378</v>
      </c>
      <c r="H307" s="970"/>
      <c r="I307" s="970">
        <v>8235</v>
      </c>
      <c r="J307" s="971">
        <v>7328</v>
      </c>
      <c r="K307" s="971">
        <v>14164</v>
      </c>
      <c r="L307" s="971">
        <v>3738</v>
      </c>
      <c r="M307" s="970"/>
      <c r="N307" s="971">
        <v>276</v>
      </c>
      <c r="O307" s="971">
        <v>0</v>
      </c>
      <c r="P307" s="971">
        <v>0</v>
      </c>
      <c r="Q307" s="971">
        <v>1346</v>
      </c>
      <c r="R307" s="970"/>
      <c r="S307" s="971">
        <v>14827</v>
      </c>
      <c r="T307" s="971">
        <v>577</v>
      </c>
      <c r="U307" s="971">
        <v>15404</v>
      </c>
    </row>
    <row r="308" spans="1:21" x14ac:dyDescent="0.25">
      <c r="A308" s="967">
        <v>93201</v>
      </c>
      <c r="B308" s="968" t="s">
        <v>2947</v>
      </c>
      <c r="C308" s="969">
        <v>1.5763099999999999E-2</v>
      </c>
      <c r="D308" s="969">
        <v>1.5517E-2</v>
      </c>
      <c r="E308" s="1008">
        <v>7788678</v>
      </c>
      <c r="F308" s="1011">
        <v>23705678</v>
      </c>
      <c r="G308" s="970">
        <v>37395464</v>
      </c>
      <c r="H308" s="970"/>
      <c r="I308" s="970">
        <v>5769232</v>
      </c>
      <c r="J308" s="971">
        <v>5133286</v>
      </c>
      <c r="K308" s="971">
        <v>9923313</v>
      </c>
      <c r="L308" s="971">
        <v>597239</v>
      </c>
      <c r="M308" s="970"/>
      <c r="N308" s="971">
        <v>193587</v>
      </c>
      <c r="O308" s="971">
        <v>0</v>
      </c>
      <c r="P308" s="971">
        <v>0</v>
      </c>
      <c r="Q308" s="971">
        <v>154811</v>
      </c>
      <c r="R308" s="970"/>
      <c r="S308" s="971">
        <v>10387457</v>
      </c>
      <c r="T308" s="971">
        <v>455365</v>
      </c>
      <c r="U308" s="971">
        <v>10842822</v>
      </c>
    </row>
    <row r="309" spans="1:21" x14ac:dyDescent="0.25">
      <c r="A309" s="967">
        <v>93202</v>
      </c>
      <c r="B309" s="968" t="s">
        <v>2948</v>
      </c>
      <c r="C309" s="969">
        <v>0</v>
      </c>
      <c r="D309" s="969">
        <v>0</v>
      </c>
      <c r="E309" s="1008">
        <v>0</v>
      </c>
      <c r="F309" s="1011">
        <v>0</v>
      </c>
      <c r="G309" s="970">
        <v>0</v>
      </c>
      <c r="H309" s="970"/>
      <c r="I309" s="970">
        <v>0</v>
      </c>
      <c r="J309" s="971">
        <v>0</v>
      </c>
      <c r="K309" s="971">
        <v>0</v>
      </c>
      <c r="L309" s="971">
        <v>0</v>
      </c>
      <c r="M309" s="970"/>
      <c r="N309" s="971">
        <v>0</v>
      </c>
      <c r="O309" s="971">
        <v>0</v>
      </c>
      <c r="P309" s="971">
        <v>0</v>
      </c>
      <c r="Q309" s="971">
        <v>103181</v>
      </c>
      <c r="R309" s="970"/>
      <c r="S309" s="971">
        <v>0</v>
      </c>
      <c r="T309" s="971">
        <v>-109337</v>
      </c>
      <c r="U309" s="971">
        <v>-109337</v>
      </c>
    </row>
    <row r="310" spans="1:21" x14ac:dyDescent="0.25">
      <c r="A310" s="967">
        <v>93204</v>
      </c>
      <c r="B310" s="968" t="s">
        <v>2949</v>
      </c>
      <c r="C310" s="969">
        <v>3.28E-4</v>
      </c>
      <c r="D310" s="969">
        <v>3.0279999999999999E-4</v>
      </c>
      <c r="E310" s="1008">
        <v>169804</v>
      </c>
      <c r="F310" s="1011">
        <v>462595</v>
      </c>
      <c r="G310" s="970">
        <v>778128</v>
      </c>
      <c r="H310" s="970"/>
      <c r="I310" s="970">
        <v>120047</v>
      </c>
      <c r="J310" s="971">
        <v>106813</v>
      </c>
      <c r="K310" s="971">
        <v>206485</v>
      </c>
      <c r="L310" s="971">
        <v>42387</v>
      </c>
      <c r="M310" s="970"/>
      <c r="N310" s="971">
        <v>4028</v>
      </c>
      <c r="O310" s="971">
        <v>0</v>
      </c>
      <c r="P310" s="971">
        <v>0</v>
      </c>
      <c r="Q310" s="971">
        <v>3051</v>
      </c>
      <c r="R310" s="970"/>
      <c r="S310" s="971">
        <v>216143</v>
      </c>
      <c r="T310" s="971">
        <v>7193</v>
      </c>
      <c r="U310" s="971">
        <v>223336</v>
      </c>
    </row>
    <row r="311" spans="1:21" x14ac:dyDescent="0.25">
      <c r="A311" s="967">
        <v>93209</v>
      </c>
      <c r="B311" s="968" t="s">
        <v>2950</v>
      </c>
      <c r="C311" s="969">
        <v>5.1598E-3</v>
      </c>
      <c r="D311" s="969">
        <v>4.6693999999999998E-3</v>
      </c>
      <c r="E311" s="1008">
        <v>2328065</v>
      </c>
      <c r="F311" s="1011">
        <v>7133550</v>
      </c>
      <c r="G311" s="970">
        <v>12240810</v>
      </c>
      <c r="H311" s="970"/>
      <c r="I311" s="970">
        <v>1888466</v>
      </c>
      <c r="J311" s="971">
        <v>1680299</v>
      </c>
      <c r="K311" s="971">
        <v>3248239</v>
      </c>
      <c r="L311" s="971">
        <v>484024</v>
      </c>
      <c r="M311" s="970"/>
      <c r="N311" s="971">
        <v>63368</v>
      </c>
      <c r="O311" s="971">
        <v>0</v>
      </c>
      <c r="P311" s="971">
        <v>0</v>
      </c>
      <c r="Q311" s="971">
        <v>0</v>
      </c>
      <c r="R311" s="970"/>
      <c r="S311" s="971">
        <v>3400169</v>
      </c>
      <c r="T311" s="971">
        <v>595668</v>
      </c>
      <c r="U311" s="971">
        <v>3995837</v>
      </c>
    </row>
    <row r="312" spans="1:21" x14ac:dyDescent="0.25">
      <c r="A312" s="967">
        <v>93211</v>
      </c>
      <c r="B312" s="968" t="s">
        <v>2951</v>
      </c>
      <c r="C312" s="969">
        <v>2.1090299999999999E-2</v>
      </c>
      <c r="D312" s="969">
        <v>2.0374099999999999E-2</v>
      </c>
      <c r="E312" s="1008">
        <v>10204404</v>
      </c>
      <c r="F312" s="1011">
        <v>31125981</v>
      </c>
      <c r="G312" s="970">
        <v>50033404</v>
      </c>
      <c r="H312" s="970"/>
      <c r="I312" s="970">
        <v>7718965</v>
      </c>
      <c r="J312" s="971">
        <v>6868098</v>
      </c>
      <c r="K312" s="971">
        <v>13276934</v>
      </c>
      <c r="L312" s="971">
        <v>418893</v>
      </c>
      <c r="M312" s="970"/>
      <c r="N312" s="971">
        <v>259010</v>
      </c>
      <c r="O312" s="971">
        <v>0</v>
      </c>
      <c r="P312" s="971">
        <v>0</v>
      </c>
      <c r="Q312" s="971">
        <v>485736</v>
      </c>
      <c r="R312" s="970"/>
      <c r="S312" s="971">
        <v>13897938</v>
      </c>
      <c r="T312" s="971">
        <v>-400564</v>
      </c>
      <c r="U312" s="971">
        <v>13497374</v>
      </c>
    </row>
    <row r="313" spans="1:21" x14ac:dyDescent="0.25">
      <c r="A313" s="967">
        <v>93212</v>
      </c>
      <c r="B313" s="968" t="s">
        <v>2952</v>
      </c>
      <c r="C313" s="969">
        <v>2.7540000000000003E-4</v>
      </c>
      <c r="D313" s="969">
        <v>2.2130000000000001E-4</v>
      </c>
      <c r="E313" s="1008">
        <v>244862</v>
      </c>
      <c r="F313" s="1011">
        <v>338085</v>
      </c>
      <c r="G313" s="970">
        <v>653343</v>
      </c>
      <c r="H313" s="970"/>
      <c r="I313" s="970">
        <v>100795</v>
      </c>
      <c r="J313" s="971">
        <v>89685</v>
      </c>
      <c r="K313" s="971">
        <v>173372</v>
      </c>
      <c r="L313" s="971">
        <v>231765</v>
      </c>
      <c r="M313" s="970"/>
      <c r="N313" s="971">
        <v>3382</v>
      </c>
      <c r="O313" s="971">
        <v>0</v>
      </c>
      <c r="P313" s="971">
        <v>0</v>
      </c>
      <c r="Q313" s="971">
        <v>0</v>
      </c>
      <c r="R313" s="970"/>
      <c r="S313" s="971">
        <v>181481</v>
      </c>
      <c r="T313" s="971">
        <v>85113</v>
      </c>
      <c r="U313" s="971">
        <v>266594</v>
      </c>
    </row>
    <row r="314" spans="1:21" x14ac:dyDescent="0.25">
      <c r="A314" s="967">
        <v>93219</v>
      </c>
      <c r="B314" s="968" t="s">
        <v>2953</v>
      </c>
      <c r="C314" s="969">
        <v>2.5329999999999998E-4</v>
      </c>
      <c r="D314" s="969">
        <v>2.6289999999999999E-4</v>
      </c>
      <c r="E314" s="1008">
        <v>129471</v>
      </c>
      <c r="F314" s="1011">
        <v>401638</v>
      </c>
      <c r="G314" s="970">
        <v>600914</v>
      </c>
      <c r="H314" s="970"/>
      <c r="I314" s="970">
        <v>92707</v>
      </c>
      <c r="J314" s="971">
        <v>82487</v>
      </c>
      <c r="K314" s="971">
        <v>159459</v>
      </c>
      <c r="L314" s="971">
        <v>16940</v>
      </c>
      <c r="M314" s="970"/>
      <c r="N314" s="971">
        <v>3111</v>
      </c>
      <c r="O314" s="971">
        <v>0</v>
      </c>
      <c r="P314" s="971">
        <v>0</v>
      </c>
      <c r="Q314" s="971">
        <v>7235</v>
      </c>
      <c r="R314" s="970"/>
      <c r="S314" s="971">
        <v>166918</v>
      </c>
      <c r="T314" s="971">
        <v>841</v>
      </c>
      <c r="U314" s="971">
        <v>167759</v>
      </c>
    </row>
    <row r="315" spans="1:21" x14ac:dyDescent="0.25">
      <c r="A315" s="967">
        <v>93301</v>
      </c>
      <c r="B315" s="968" t="s">
        <v>2954</v>
      </c>
      <c r="C315" s="969">
        <v>2.3299000000000002E-3</v>
      </c>
      <c r="D315" s="969">
        <v>2.5243000000000002E-3</v>
      </c>
      <c r="E315" s="1008">
        <v>1097553</v>
      </c>
      <c r="F315" s="1011">
        <v>3856431</v>
      </c>
      <c r="G315" s="970">
        <v>5527320</v>
      </c>
      <c r="H315" s="970"/>
      <c r="I315" s="970">
        <v>852734</v>
      </c>
      <c r="J315" s="971">
        <v>758737</v>
      </c>
      <c r="K315" s="971">
        <v>1466737</v>
      </c>
      <c r="L315" s="971">
        <v>30807</v>
      </c>
      <c r="M315" s="970"/>
      <c r="N315" s="971">
        <v>28614</v>
      </c>
      <c r="O315" s="971">
        <v>0</v>
      </c>
      <c r="P315" s="971">
        <v>0</v>
      </c>
      <c r="Q315" s="971">
        <v>198572</v>
      </c>
      <c r="R315" s="970"/>
      <c r="S315" s="971">
        <v>1535341</v>
      </c>
      <c r="T315" s="971">
        <v>-62950</v>
      </c>
      <c r="U315" s="971">
        <v>1472391</v>
      </c>
    </row>
    <row r="316" spans="1:21" x14ac:dyDescent="0.25">
      <c r="A316" s="967">
        <v>93304</v>
      </c>
      <c r="B316" s="968" t="s">
        <v>2955</v>
      </c>
      <c r="C316" s="969">
        <v>3.3399999999999999E-5</v>
      </c>
      <c r="D316" s="969">
        <v>3.0300000000000001E-5</v>
      </c>
      <c r="E316" s="1008">
        <v>20871</v>
      </c>
      <c r="F316" s="1011">
        <v>46290</v>
      </c>
      <c r="G316" s="970">
        <v>79236</v>
      </c>
      <c r="H316" s="970"/>
      <c r="I316" s="970">
        <v>12224</v>
      </c>
      <c r="J316" s="971">
        <v>10877</v>
      </c>
      <c r="K316" s="971">
        <v>21026</v>
      </c>
      <c r="L316" s="971">
        <v>10139</v>
      </c>
      <c r="M316" s="970"/>
      <c r="N316" s="971">
        <v>410</v>
      </c>
      <c r="O316" s="971">
        <v>0</v>
      </c>
      <c r="P316" s="971">
        <v>0</v>
      </c>
      <c r="Q316" s="971">
        <v>0</v>
      </c>
      <c r="R316" s="970"/>
      <c r="S316" s="971">
        <v>22010</v>
      </c>
      <c r="T316" s="971">
        <v>6577</v>
      </c>
      <c r="U316" s="971">
        <v>28587</v>
      </c>
    </row>
    <row r="317" spans="1:21" x14ac:dyDescent="0.25">
      <c r="A317" s="967">
        <v>93305</v>
      </c>
      <c r="B317" s="968" t="s">
        <v>2956</v>
      </c>
      <c r="C317" s="969">
        <v>4.4799999999999998E-5</v>
      </c>
      <c r="D317" s="969">
        <v>4.6999999999999997E-5</v>
      </c>
      <c r="E317" s="1008">
        <v>20943</v>
      </c>
      <c r="F317" s="1011">
        <v>71803</v>
      </c>
      <c r="G317" s="970">
        <v>106281</v>
      </c>
      <c r="H317" s="970"/>
      <c r="I317" s="970">
        <v>16397</v>
      </c>
      <c r="J317" s="971">
        <v>14590</v>
      </c>
      <c r="K317" s="971">
        <v>28203</v>
      </c>
      <c r="L317" s="971">
        <v>0</v>
      </c>
      <c r="M317" s="970"/>
      <c r="N317" s="971">
        <v>550</v>
      </c>
      <c r="O317" s="971">
        <v>0</v>
      </c>
      <c r="P317" s="971">
        <v>0</v>
      </c>
      <c r="Q317" s="971">
        <v>6061</v>
      </c>
      <c r="R317" s="970"/>
      <c r="S317" s="971">
        <v>29522</v>
      </c>
      <c r="T317" s="971">
        <v>-2514</v>
      </c>
      <c r="U317" s="971">
        <v>27008</v>
      </c>
    </row>
    <row r="318" spans="1:21" x14ac:dyDescent="0.25">
      <c r="A318" s="967">
        <v>93309</v>
      </c>
      <c r="B318" s="968" t="s">
        <v>2957</v>
      </c>
      <c r="C318" s="969">
        <v>1.6430000000000001E-4</v>
      </c>
      <c r="D318" s="969">
        <v>1.63E-4</v>
      </c>
      <c r="E318" s="1008">
        <v>99538</v>
      </c>
      <c r="F318" s="1011">
        <v>249019</v>
      </c>
      <c r="G318" s="970">
        <v>389776</v>
      </c>
      <c r="H318" s="970"/>
      <c r="I318" s="970">
        <v>60133</v>
      </c>
      <c r="J318" s="971">
        <v>53504</v>
      </c>
      <c r="K318" s="971">
        <v>103431</v>
      </c>
      <c r="L318" s="971">
        <v>30559</v>
      </c>
      <c r="M318" s="970"/>
      <c r="N318" s="971">
        <v>2018</v>
      </c>
      <c r="O318" s="971">
        <v>0</v>
      </c>
      <c r="P318" s="971">
        <v>0</v>
      </c>
      <c r="Q318" s="971">
        <v>0</v>
      </c>
      <c r="R318" s="970"/>
      <c r="S318" s="971">
        <v>108269</v>
      </c>
      <c r="T318" s="971">
        <v>11215</v>
      </c>
      <c r="U318" s="971">
        <v>119484</v>
      </c>
    </row>
    <row r="319" spans="1:21" x14ac:dyDescent="0.25">
      <c r="A319" s="967">
        <v>93311</v>
      </c>
      <c r="B319" s="968" t="s">
        <v>2958</v>
      </c>
      <c r="C319" s="969">
        <v>1.2439E-3</v>
      </c>
      <c r="D319" s="969">
        <v>1.1665E-3</v>
      </c>
      <c r="E319" s="1008">
        <v>566417</v>
      </c>
      <c r="F319" s="1011">
        <v>1782089</v>
      </c>
      <c r="G319" s="970">
        <v>2950956</v>
      </c>
      <c r="H319" s="970"/>
      <c r="I319" s="970">
        <v>455262</v>
      </c>
      <c r="J319" s="971">
        <v>405079</v>
      </c>
      <c r="K319" s="971">
        <v>783070</v>
      </c>
      <c r="L319" s="971">
        <v>22773</v>
      </c>
      <c r="M319" s="970"/>
      <c r="N319" s="971">
        <v>15276</v>
      </c>
      <c r="O319" s="971">
        <v>0</v>
      </c>
      <c r="P319" s="971">
        <v>0</v>
      </c>
      <c r="Q319" s="971">
        <v>45734</v>
      </c>
      <c r="R319" s="970"/>
      <c r="S319" s="971">
        <v>819697</v>
      </c>
      <c r="T319" s="971">
        <v>-32212</v>
      </c>
      <c r="U319" s="971">
        <v>787485</v>
      </c>
    </row>
    <row r="320" spans="1:21" x14ac:dyDescent="0.25">
      <c r="A320" s="967">
        <v>93317</v>
      </c>
      <c r="B320" s="968" t="s">
        <v>2959</v>
      </c>
      <c r="C320" s="969">
        <v>4.8300000000000002E-5</v>
      </c>
      <c r="D320" s="969">
        <v>5.0099999999999998E-5</v>
      </c>
      <c r="E320" s="1008">
        <v>21798</v>
      </c>
      <c r="F320" s="1011">
        <v>76539</v>
      </c>
      <c r="G320" s="970">
        <v>114584</v>
      </c>
      <c r="H320" s="970"/>
      <c r="I320" s="970">
        <v>17678</v>
      </c>
      <c r="J320" s="971">
        <v>15729</v>
      </c>
      <c r="K320" s="971">
        <v>30406</v>
      </c>
      <c r="L320" s="971">
        <v>550</v>
      </c>
      <c r="M320" s="970"/>
      <c r="N320" s="971">
        <v>593</v>
      </c>
      <c r="O320" s="971">
        <v>0</v>
      </c>
      <c r="P320" s="971">
        <v>0</v>
      </c>
      <c r="Q320" s="971">
        <v>2758</v>
      </c>
      <c r="R320" s="970"/>
      <c r="S320" s="971">
        <v>31828</v>
      </c>
      <c r="T320" s="971">
        <v>-711</v>
      </c>
      <c r="U320" s="971">
        <v>31117</v>
      </c>
    </row>
    <row r="321" spans="1:21" x14ac:dyDescent="0.25">
      <c r="A321" s="967">
        <v>93321</v>
      </c>
      <c r="B321" s="968" t="s">
        <v>2960</v>
      </c>
      <c r="C321" s="969">
        <v>7.0657000000000003E-3</v>
      </c>
      <c r="D321" s="969">
        <v>7.3600000000000002E-3</v>
      </c>
      <c r="E321" s="1008">
        <v>3382415</v>
      </c>
      <c r="F321" s="1011">
        <v>11244041</v>
      </c>
      <c r="G321" s="970">
        <v>16762257</v>
      </c>
      <c r="H321" s="970"/>
      <c r="I321" s="970">
        <v>2586018</v>
      </c>
      <c r="J321" s="971">
        <v>2300960</v>
      </c>
      <c r="K321" s="971">
        <v>4448056</v>
      </c>
      <c r="L321" s="971">
        <v>0</v>
      </c>
      <c r="M321" s="970"/>
      <c r="N321" s="971">
        <v>86774</v>
      </c>
      <c r="O321" s="971">
        <v>0</v>
      </c>
      <c r="P321" s="971">
        <v>0</v>
      </c>
      <c r="Q321" s="971">
        <v>623798</v>
      </c>
      <c r="R321" s="970"/>
      <c r="S321" s="971">
        <v>4656106</v>
      </c>
      <c r="T321" s="971">
        <v>-396274</v>
      </c>
      <c r="U321" s="971">
        <v>4259832</v>
      </c>
    </row>
    <row r="322" spans="1:21" x14ac:dyDescent="0.25">
      <c r="A322" s="967">
        <v>93323</v>
      </c>
      <c r="B322" s="968" t="s">
        <v>2961</v>
      </c>
      <c r="C322" s="969">
        <v>1.9300000000000002E-5</v>
      </c>
      <c r="D322" s="969">
        <v>2.19E-5</v>
      </c>
      <c r="E322" s="1008">
        <v>9435</v>
      </c>
      <c r="F322" s="1011">
        <v>33457</v>
      </c>
      <c r="G322" s="970">
        <v>45786</v>
      </c>
      <c r="H322" s="970"/>
      <c r="I322" s="970">
        <v>7064</v>
      </c>
      <c r="J322" s="971">
        <v>6286</v>
      </c>
      <c r="K322" s="971">
        <v>12150</v>
      </c>
      <c r="L322" s="971">
        <v>5709</v>
      </c>
      <c r="M322" s="970"/>
      <c r="N322" s="971">
        <v>237</v>
      </c>
      <c r="O322" s="971">
        <v>0</v>
      </c>
      <c r="P322" s="971">
        <v>0</v>
      </c>
      <c r="Q322" s="971">
        <v>2583</v>
      </c>
      <c r="R322" s="970"/>
      <c r="S322" s="971">
        <v>12718</v>
      </c>
      <c r="T322" s="971">
        <v>2046</v>
      </c>
      <c r="U322" s="971">
        <v>14764</v>
      </c>
    </row>
    <row r="323" spans="1:21" x14ac:dyDescent="0.25">
      <c r="A323" s="967">
        <v>93331</v>
      </c>
      <c r="B323" s="968" t="s">
        <v>2962</v>
      </c>
      <c r="C323" s="969">
        <v>1.22E-4</v>
      </c>
      <c r="D323" s="969">
        <v>1.208E-4</v>
      </c>
      <c r="E323" s="1008">
        <v>65251</v>
      </c>
      <c r="F323" s="1011">
        <v>184549</v>
      </c>
      <c r="G323" s="970">
        <v>289426</v>
      </c>
      <c r="H323" s="970"/>
      <c r="I323" s="970">
        <v>44652</v>
      </c>
      <c r="J323" s="971">
        <v>39730</v>
      </c>
      <c r="K323" s="971">
        <v>76802</v>
      </c>
      <c r="L323" s="971">
        <v>5671</v>
      </c>
      <c r="M323" s="970"/>
      <c r="N323" s="971">
        <v>1498</v>
      </c>
      <c r="O323" s="971">
        <v>0</v>
      </c>
      <c r="P323" s="971">
        <v>0</v>
      </c>
      <c r="Q323" s="971">
        <v>6870</v>
      </c>
      <c r="R323" s="970"/>
      <c r="S323" s="971">
        <v>80395</v>
      </c>
      <c r="T323" s="971">
        <v>-1201</v>
      </c>
      <c r="U323" s="971">
        <v>79194</v>
      </c>
    </row>
    <row r="324" spans="1:21" x14ac:dyDescent="0.25">
      <c r="A324" s="967">
        <v>93333</v>
      </c>
      <c r="B324" s="968" t="s">
        <v>2963</v>
      </c>
      <c r="C324" s="969">
        <v>1.685E-4</v>
      </c>
      <c r="D324" s="969">
        <v>1.796E-4</v>
      </c>
      <c r="E324" s="1008">
        <v>102857</v>
      </c>
      <c r="F324" s="1011">
        <v>274379</v>
      </c>
      <c r="G324" s="970">
        <v>399740</v>
      </c>
      <c r="H324" s="970"/>
      <c r="I324" s="970">
        <v>61670</v>
      </c>
      <c r="J324" s="971">
        <v>54872</v>
      </c>
      <c r="K324" s="971">
        <v>106075</v>
      </c>
      <c r="L324" s="971">
        <v>128475</v>
      </c>
      <c r="M324" s="970"/>
      <c r="N324" s="971">
        <v>2069</v>
      </c>
      <c r="O324" s="971">
        <v>0</v>
      </c>
      <c r="P324" s="971">
        <v>0</v>
      </c>
      <c r="Q324" s="971">
        <v>0</v>
      </c>
      <c r="R324" s="970"/>
      <c r="S324" s="971">
        <v>111037</v>
      </c>
      <c r="T324" s="971">
        <v>76738</v>
      </c>
      <c r="U324" s="971">
        <v>187775</v>
      </c>
    </row>
    <row r="325" spans="1:21" x14ac:dyDescent="0.25">
      <c r="A325" s="967">
        <v>93341</v>
      </c>
      <c r="B325" s="968" t="s">
        <v>2964</v>
      </c>
      <c r="C325" s="969">
        <v>2.7500000000000001E-5</v>
      </c>
      <c r="D325" s="969">
        <v>2.34E-5</v>
      </c>
      <c r="E325" s="1008">
        <v>14256</v>
      </c>
      <c r="F325" s="1011">
        <v>35749</v>
      </c>
      <c r="G325" s="970">
        <v>65239</v>
      </c>
      <c r="H325" s="970"/>
      <c r="I325" s="970">
        <v>10065</v>
      </c>
      <c r="J325" s="971">
        <v>8955</v>
      </c>
      <c r="K325" s="971">
        <v>17312</v>
      </c>
      <c r="L325" s="971">
        <v>4514</v>
      </c>
      <c r="M325" s="970"/>
      <c r="N325" s="971">
        <v>338</v>
      </c>
      <c r="O325" s="971">
        <v>0</v>
      </c>
      <c r="P325" s="971">
        <v>0</v>
      </c>
      <c r="Q325" s="971">
        <v>647</v>
      </c>
      <c r="R325" s="970"/>
      <c r="S325" s="971">
        <v>18122</v>
      </c>
      <c r="T325" s="971">
        <v>1598</v>
      </c>
      <c r="U325" s="971">
        <v>19720</v>
      </c>
    </row>
    <row r="326" spans="1:21" x14ac:dyDescent="0.25">
      <c r="A326" s="967">
        <v>93351</v>
      </c>
      <c r="B326" s="968" t="s">
        <v>2965</v>
      </c>
      <c r="C326" s="969">
        <v>1.7600000000000001E-5</v>
      </c>
      <c r="D326" s="969">
        <v>3.4E-5</v>
      </c>
      <c r="E326" s="1008">
        <v>9872</v>
      </c>
      <c r="F326" s="1011">
        <v>51943</v>
      </c>
      <c r="G326" s="970">
        <v>41753</v>
      </c>
      <c r="H326" s="970"/>
      <c r="I326" s="970">
        <v>6442</v>
      </c>
      <c r="J326" s="971">
        <v>5731</v>
      </c>
      <c r="K326" s="971">
        <v>11080</v>
      </c>
      <c r="L326" s="971">
        <v>13531</v>
      </c>
      <c r="M326" s="970"/>
      <c r="N326" s="971">
        <v>216</v>
      </c>
      <c r="O326" s="971">
        <v>0</v>
      </c>
      <c r="P326" s="971">
        <v>0</v>
      </c>
      <c r="Q326" s="971">
        <v>12460</v>
      </c>
      <c r="R326" s="970"/>
      <c r="S326" s="971">
        <v>11598</v>
      </c>
      <c r="T326" s="971">
        <v>228</v>
      </c>
      <c r="U326" s="971">
        <v>11826</v>
      </c>
    </row>
    <row r="327" spans="1:21" x14ac:dyDescent="0.25">
      <c r="A327" s="967">
        <v>93401</v>
      </c>
      <c r="B327" s="968" t="s">
        <v>2966</v>
      </c>
      <c r="C327" s="969">
        <v>1.40187E-2</v>
      </c>
      <c r="D327" s="969">
        <v>1.3834900000000001E-2</v>
      </c>
      <c r="E327" s="1008">
        <v>6853482</v>
      </c>
      <c r="F327" s="1011">
        <v>21135895</v>
      </c>
      <c r="G327" s="970">
        <v>33257151</v>
      </c>
      <c r="H327" s="970"/>
      <c r="I327" s="970">
        <v>5130788</v>
      </c>
      <c r="J327" s="971">
        <v>4565217</v>
      </c>
      <c r="K327" s="971">
        <v>8825164</v>
      </c>
      <c r="L327" s="971">
        <v>179357</v>
      </c>
      <c r="M327" s="970"/>
      <c r="N327" s="971">
        <v>172164</v>
      </c>
      <c r="O327" s="971">
        <v>0</v>
      </c>
      <c r="P327" s="971">
        <v>0</v>
      </c>
      <c r="Q327" s="971">
        <v>63750</v>
      </c>
      <c r="R327" s="970"/>
      <c r="S327" s="971">
        <v>9237945</v>
      </c>
      <c r="T327" s="971">
        <v>-44240</v>
      </c>
      <c r="U327" s="971">
        <v>9193705</v>
      </c>
    </row>
    <row r="328" spans="1:21" x14ac:dyDescent="0.25">
      <c r="A328" s="967">
        <v>93402</v>
      </c>
      <c r="B328" s="968" t="s">
        <v>2967</v>
      </c>
      <c r="C328" s="969">
        <v>9.6399999999999999E-5</v>
      </c>
      <c r="D328" s="969">
        <v>9.8800000000000003E-5</v>
      </c>
      <c r="E328" s="1008">
        <v>39485</v>
      </c>
      <c r="F328" s="1011">
        <v>150939</v>
      </c>
      <c r="G328" s="970">
        <v>228694</v>
      </c>
      <c r="H328" s="970"/>
      <c r="I328" s="970">
        <v>35282</v>
      </c>
      <c r="J328" s="971">
        <v>31393</v>
      </c>
      <c r="K328" s="971">
        <v>60686</v>
      </c>
      <c r="L328" s="971">
        <v>1484</v>
      </c>
      <c r="M328" s="970"/>
      <c r="N328" s="971">
        <v>1184</v>
      </c>
      <c r="O328" s="971">
        <v>0</v>
      </c>
      <c r="P328" s="971">
        <v>0</v>
      </c>
      <c r="Q328" s="971">
        <v>10261</v>
      </c>
      <c r="R328" s="970"/>
      <c r="S328" s="971">
        <v>63525</v>
      </c>
      <c r="T328" s="971">
        <v>1040</v>
      </c>
      <c r="U328" s="971">
        <v>64565</v>
      </c>
    </row>
    <row r="329" spans="1:21" x14ac:dyDescent="0.25">
      <c r="A329" s="967">
        <v>93406</v>
      </c>
      <c r="B329" s="968" t="s">
        <v>2968</v>
      </c>
      <c r="C329" s="969">
        <v>5.0830000000000005E-4</v>
      </c>
      <c r="D329" s="969">
        <v>6.5059999999999998E-4</v>
      </c>
      <c r="E329" s="1008">
        <v>258773</v>
      </c>
      <c r="F329" s="1011">
        <v>993937</v>
      </c>
      <c r="G329" s="970">
        <v>1205861</v>
      </c>
      <c r="H329" s="970"/>
      <c r="I329" s="970">
        <v>186036</v>
      </c>
      <c r="J329" s="971">
        <v>165529</v>
      </c>
      <c r="K329" s="971">
        <v>319989</v>
      </c>
      <c r="L329" s="971">
        <v>7137</v>
      </c>
      <c r="M329" s="970"/>
      <c r="N329" s="971">
        <v>6242</v>
      </c>
      <c r="O329" s="971">
        <v>0</v>
      </c>
      <c r="P329" s="971">
        <v>0</v>
      </c>
      <c r="Q329" s="971">
        <v>129835</v>
      </c>
      <c r="R329" s="970"/>
      <c r="S329" s="971">
        <v>334956</v>
      </c>
      <c r="T329" s="971">
        <v>-16548</v>
      </c>
      <c r="U329" s="971">
        <v>318408</v>
      </c>
    </row>
    <row r="330" spans="1:21" x14ac:dyDescent="0.25">
      <c r="A330" s="967">
        <v>93408</v>
      </c>
      <c r="B330" s="968" t="s">
        <v>2969</v>
      </c>
      <c r="C330" s="969">
        <v>0</v>
      </c>
      <c r="D330" s="969">
        <v>0</v>
      </c>
      <c r="E330" s="1008">
        <v>0</v>
      </c>
      <c r="F330" s="1011">
        <v>0</v>
      </c>
      <c r="G330" s="970">
        <v>0</v>
      </c>
      <c r="H330" s="970"/>
      <c r="I330" s="970">
        <v>0</v>
      </c>
      <c r="J330" s="971">
        <v>0</v>
      </c>
      <c r="K330" s="971">
        <v>0</v>
      </c>
      <c r="L330" s="971">
        <v>26519</v>
      </c>
      <c r="M330" s="970"/>
      <c r="N330" s="971">
        <v>0</v>
      </c>
      <c r="O330" s="971">
        <v>0</v>
      </c>
      <c r="P330" s="971">
        <v>0</v>
      </c>
      <c r="Q330" s="971">
        <v>1164660</v>
      </c>
      <c r="R330" s="970"/>
      <c r="S330" s="971">
        <v>0</v>
      </c>
      <c r="T330" s="971">
        <v>-293308</v>
      </c>
      <c r="U330" s="971">
        <v>-293308</v>
      </c>
    </row>
    <row r="331" spans="1:21" x14ac:dyDescent="0.25">
      <c r="A331" s="967">
        <v>93411</v>
      </c>
      <c r="B331" s="968" t="s">
        <v>2970</v>
      </c>
      <c r="C331" s="969">
        <v>1.8113199999999999E-2</v>
      </c>
      <c r="D331" s="969">
        <v>1.7454999999999998E-2</v>
      </c>
      <c r="E331" s="1008">
        <v>8965259</v>
      </c>
      <c r="F331" s="1011">
        <v>26666405</v>
      </c>
      <c r="G331" s="970">
        <v>42970705</v>
      </c>
      <c r="H331" s="970"/>
      <c r="I331" s="970">
        <v>6629359</v>
      </c>
      <c r="J331" s="971">
        <v>5898600</v>
      </c>
      <c r="K331" s="971">
        <v>11402767</v>
      </c>
      <c r="L331" s="971">
        <v>739661</v>
      </c>
      <c r="M331" s="970"/>
      <c r="N331" s="971">
        <v>222448</v>
      </c>
      <c r="O331" s="971">
        <v>0</v>
      </c>
      <c r="P331" s="971">
        <v>0</v>
      </c>
      <c r="Q331" s="971">
        <v>227877</v>
      </c>
      <c r="R331" s="970"/>
      <c r="S331" s="971">
        <v>11936110</v>
      </c>
      <c r="T331" s="971">
        <v>-166296</v>
      </c>
      <c r="U331" s="971">
        <v>11769814</v>
      </c>
    </row>
    <row r="332" spans="1:21" x14ac:dyDescent="0.25">
      <c r="A332" s="967">
        <v>93413</v>
      </c>
      <c r="B332" s="968" t="s">
        <v>2971</v>
      </c>
      <c r="C332" s="969">
        <v>7.1969999999999998E-4</v>
      </c>
      <c r="D332" s="969">
        <v>7.7070000000000003E-4</v>
      </c>
      <c r="E332" s="1008">
        <v>379793</v>
      </c>
      <c r="F332" s="1011">
        <v>1177416</v>
      </c>
      <c r="G332" s="970">
        <v>1707375</v>
      </c>
      <c r="H332" s="970"/>
      <c r="I332" s="970">
        <v>263407</v>
      </c>
      <c r="J332" s="971">
        <v>234372</v>
      </c>
      <c r="K332" s="971">
        <v>453071</v>
      </c>
      <c r="L332" s="971">
        <v>0</v>
      </c>
      <c r="M332" s="970"/>
      <c r="N332" s="971">
        <v>8839</v>
      </c>
      <c r="O332" s="971">
        <v>0</v>
      </c>
      <c r="P332" s="971">
        <v>0</v>
      </c>
      <c r="Q332" s="971">
        <v>32288</v>
      </c>
      <c r="R332" s="970"/>
      <c r="S332" s="971">
        <v>474263</v>
      </c>
      <c r="T332" s="971">
        <v>-21077</v>
      </c>
      <c r="U332" s="971">
        <v>453186</v>
      </c>
    </row>
    <row r="333" spans="1:21" x14ac:dyDescent="0.25">
      <c r="A333" s="967">
        <v>93417</v>
      </c>
      <c r="B333" s="968" t="s">
        <v>2972</v>
      </c>
      <c r="C333" s="969">
        <v>3.279E-4</v>
      </c>
      <c r="D333" s="969">
        <v>3.4430000000000002E-4</v>
      </c>
      <c r="E333" s="1008">
        <v>186966</v>
      </c>
      <c r="F333" s="1011">
        <v>525995</v>
      </c>
      <c r="G333" s="970">
        <v>777891</v>
      </c>
      <c r="H333" s="970"/>
      <c r="I333" s="970">
        <v>120010</v>
      </c>
      <c r="J333" s="971">
        <v>106782</v>
      </c>
      <c r="K333" s="971">
        <v>206422</v>
      </c>
      <c r="L333" s="971">
        <v>10888</v>
      </c>
      <c r="M333" s="970"/>
      <c r="N333" s="971">
        <v>4027</v>
      </c>
      <c r="O333" s="971">
        <v>0</v>
      </c>
      <c r="P333" s="971">
        <v>0</v>
      </c>
      <c r="Q333" s="971">
        <v>24803</v>
      </c>
      <c r="R333" s="970"/>
      <c r="S333" s="971">
        <v>216077</v>
      </c>
      <c r="T333" s="971">
        <v>8121</v>
      </c>
      <c r="U333" s="971">
        <v>224198</v>
      </c>
    </row>
    <row r="334" spans="1:21" x14ac:dyDescent="0.25">
      <c r="A334" s="967">
        <v>93421</v>
      </c>
      <c r="B334" s="968" t="s">
        <v>2973</v>
      </c>
      <c r="C334" s="969">
        <v>2.1354999999999998E-3</v>
      </c>
      <c r="D334" s="969">
        <v>2.1294999999999999E-3</v>
      </c>
      <c r="E334" s="1008">
        <v>954135</v>
      </c>
      <c r="F334" s="1011">
        <v>3253286</v>
      </c>
      <c r="G334" s="970">
        <v>5066136</v>
      </c>
      <c r="H334" s="970"/>
      <c r="I334" s="970">
        <v>781584</v>
      </c>
      <c r="J334" s="971">
        <v>695430</v>
      </c>
      <c r="K334" s="971">
        <v>1344357</v>
      </c>
      <c r="L334" s="971">
        <v>0</v>
      </c>
      <c r="M334" s="970"/>
      <c r="N334" s="971">
        <v>26226</v>
      </c>
      <c r="O334" s="971">
        <v>0</v>
      </c>
      <c r="P334" s="971">
        <v>0</v>
      </c>
      <c r="Q334" s="971">
        <v>215571</v>
      </c>
      <c r="R334" s="970"/>
      <c r="S334" s="971">
        <v>1407237</v>
      </c>
      <c r="T334" s="971">
        <v>-143206</v>
      </c>
      <c r="U334" s="971">
        <v>1264031</v>
      </c>
    </row>
    <row r="335" spans="1:21" x14ac:dyDescent="0.25">
      <c r="A335" s="967">
        <v>93431</v>
      </c>
      <c r="B335" s="968" t="s">
        <v>2974</v>
      </c>
      <c r="C335" s="969">
        <v>1.393E-4</v>
      </c>
      <c r="D335" s="969">
        <v>1.2689999999999999E-4</v>
      </c>
      <c r="E335" s="1008">
        <v>68107</v>
      </c>
      <c r="F335" s="1011">
        <v>193868</v>
      </c>
      <c r="G335" s="970">
        <v>330467</v>
      </c>
      <c r="H335" s="970"/>
      <c r="I335" s="970">
        <v>50983</v>
      </c>
      <c r="J335" s="971">
        <v>45363</v>
      </c>
      <c r="K335" s="971">
        <v>87693</v>
      </c>
      <c r="L335" s="971">
        <v>17651</v>
      </c>
      <c r="M335" s="970"/>
      <c r="N335" s="971">
        <v>1711</v>
      </c>
      <c r="O335" s="971">
        <v>0</v>
      </c>
      <c r="P335" s="971">
        <v>0</v>
      </c>
      <c r="Q335" s="971">
        <v>3344</v>
      </c>
      <c r="R335" s="970"/>
      <c r="S335" s="971">
        <v>91795</v>
      </c>
      <c r="T335" s="971">
        <v>3930</v>
      </c>
      <c r="U335" s="971">
        <v>95725</v>
      </c>
    </row>
    <row r="336" spans="1:21" x14ac:dyDescent="0.25">
      <c r="A336" s="967">
        <v>93441</v>
      </c>
      <c r="B336" s="968" t="s">
        <v>2975</v>
      </c>
      <c r="C336" s="969">
        <v>1.651E-4</v>
      </c>
      <c r="D336" s="969">
        <v>1.54E-4</v>
      </c>
      <c r="E336" s="1008">
        <v>78286</v>
      </c>
      <c r="F336" s="1011">
        <v>235269</v>
      </c>
      <c r="G336" s="970">
        <v>391674</v>
      </c>
      <c r="H336" s="970"/>
      <c r="I336" s="970">
        <v>60426</v>
      </c>
      <c r="J336" s="971">
        <v>53765</v>
      </c>
      <c r="K336" s="971">
        <v>103935</v>
      </c>
      <c r="L336" s="971">
        <v>21962</v>
      </c>
      <c r="M336" s="970"/>
      <c r="N336" s="971">
        <v>2028</v>
      </c>
      <c r="O336" s="971">
        <v>0</v>
      </c>
      <c r="P336" s="971">
        <v>0</v>
      </c>
      <c r="Q336" s="971">
        <v>0</v>
      </c>
      <c r="R336" s="970"/>
      <c r="S336" s="971">
        <v>108796</v>
      </c>
      <c r="T336" s="971">
        <v>16238</v>
      </c>
      <c r="U336" s="971">
        <v>125034</v>
      </c>
    </row>
    <row r="337" spans="1:21" x14ac:dyDescent="0.25">
      <c r="A337" s="967">
        <v>93442</v>
      </c>
      <c r="B337" s="968" t="s">
        <v>2976</v>
      </c>
      <c r="C337" s="969">
        <v>1.5139999999999999E-4</v>
      </c>
      <c r="D337" s="969">
        <v>1.505E-4</v>
      </c>
      <c r="E337" s="1008">
        <v>65679</v>
      </c>
      <c r="F337" s="1011">
        <v>229922</v>
      </c>
      <c r="G337" s="970">
        <v>359173</v>
      </c>
      <c r="H337" s="970"/>
      <c r="I337" s="970">
        <v>55412</v>
      </c>
      <c r="J337" s="971">
        <v>49304</v>
      </c>
      <c r="K337" s="971">
        <v>95311</v>
      </c>
      <c r="L337" s="971">
        <v>2596</v>
      </c>
      <c r="M337" s="970"/>
      <c r="N337" s="971">
        <v>1859</v>
      </c>
      <c r="O337" s="971">
        <v>0</v>
      </c>
      <c r="P337" s="971">
        <v>0</v>
      </c>
      <c r="Q337" s="971">
        <v>18150</v>
      </c>
      <c r="R337" s="970"/>
      <c r="S337" s="971">
        <v>99769</v>
      </c>
      <c r="T337" s="971">
        <v>-7850</v>
      </c>
      <c r="U337" s="971">
        <v>91919</v>
      </c>
    </row>
    <row r="338" spans="1:21" x14ac:dyDescent="0.25">
      <c r="A338" s="967">
        <v>93451</v>
      </c>
      <c r="B338" s="968" t="s">
        <v>2977</v>
      </c>
      <c r="C338" s="969">
        <v>7.9599999999999997E-5</v>
      </c>
      <c r="D338" s="969">
        <v>7.0900000000000002E-5</v>
      </c>
      <c r="E338" s="1008">
        <v>45716</v>
      </c>
      <c r="F338" s="1011">
        <v>108316</v>
      </c>
      <c r="G338" s="970">
        <v>188838</v>
      </c>
      <c r="H338" s="970"/>
      <c r="I338" s="970">
        <v>29133</v>
      </c>
      <c r="J338" s="971">
        <v>25922</v>
      </c>
      <c r="K338" s="971">
        <v>50110</v>
      </c>
      <c r="L338" s="971">
        <v>21182</v>
      </c>
      <c r="M338" s="970"/>
      <c r="N338" s="971">
        <v>978</v>
      </c>
      <c r="O338" s="971">
        <v>0</v>
      </c>
      <c r="P338" s="971">
        <v>0</v>
      </c>
      <c r="Q338" s="971">
        <v>0</v>
      </c>
      <c r="R338" s="970"/>
      <c r="S338" s="971">
        <v>52454</v>
      </c>
      <c r="T338" s="971">
        <v>8104</v>
      </c>
      <c r="U338" s="971">
        <v>60558</v>
      </c>
    </row>
    <row r="339" spans="1:21" x14ac:dyDescent="0.25">
      <c r="A339" s="967">
        <v>93461</v>
      </c>
      <c r="B339" s="968" t="s">
        <v>2978</v>
      </c>
      <c r="C339" s="969">
        <v>1.6200000000000001E-5</v>
      </c>
      <c r="D339" s="969">
        <v>1.66E-5</v>
      </c>
      <c r="E339" s="1008">
        <v>8764</v>
      </c>
      <c r="F339" s="1011">
        <v>25360</v>
      </c>
      <c r="G339" s="970">
        <v>38432</v>
      </c>
      <c r="H339" s="970"/>
      <c r="I339" s="970">
        <v>5929</v>
      </c>
      <c r="J339" s="971">
        <v>5275</v>
      </c>
      <c r="K339" s="971">
        <v>10198</v>
      </c>
      <c r="L339" s="971">
        <v>707</v>
      </c>
      <c r="M339" s="970"/>
      <c r="N339" s="971">
        <v>199</v>
      </c>
      <c r="O339" s="971">
        <v>0</v>
      </c>
      <c r="P339" s="971">
        <v>0</v>
      </c>
      <c r="Q339" s="971">
        <v>0</v>
      </c>
      <c r="R339" s="970"/>
      <c r="S339" s="971">
        <v>10675</v>
      </c>
      <c r="T339" s="971">
        <v>351</v>
      </c>
      <c r="U339" s="971">
        <v>11026</v>
      </c>
    </row>
    <row r="340" spans="1:21" x14ac:dyDescent="0.25">
      <c r="A340" s="967">
        <v>93471</v>
      </c>
      <c r="B340" s="968" t="s">
        <v>2979</v>
      </c>
      <c r="C340" s="969">
        <v>1.15E-5</v>
      </c>
      <c r="D340" s="969">
        <v>1.31E-5</v>
      </c>
      <c r="E340" s="1008">
        <v>8892</v>
      </c>
      <c r="F340" s="1011">
        <v>20013</v>
      </c>
      <c r="G340" s="970">
        <v>27282</v>
      </c>
      <c r="H340" s="970"/>
      <c r="I340" s="970">
        <v>4209</v>
      </c>
      <c r="J340" s="971">
        <v>3745</v>
      </c>
      <c r="K340" s="971">
        <v>7240</v>
      </c>
      <c r="L340" s="971">
        <v>4442</v>
      </c>
      <c r="M340" s="970"/>
      <c r="N340" s="971">
        <v>141</v>
      </c>
      <c r="O340" s="971">
        <v>0</v>
      </c>
      <c r="P340" s="971">
        <v>0</v>
      </c>
      <c r="Q340" s="971">
        <v>0</v>
      </c>
      <c r="R340" s="970"/>
      <c r="S340" s="971">
        <v>7578</v>
      </c>
      <c r="T340" s="971">
        <v>1610</v>
      </c>
      <c r="U340" s="971">
        <v>9188</v>
      </c>
    </row>
    <row r="341" spans="1:21" x14ac:dyDescent="0.25">
      <c r="A341" s="967">
        <v>93501</v>
      </c>
      <c r="B341" s="968" t="s">
        <v>2980</v>
      </c>
      <c r="C341" s="969">
        <v>3.6803000000000001E-3</v>
      </c>
      <c r="D341" s="969">
        <v>3.6113999999999999E-3</v>
      </c>
      <c r="E341" s="1008">
        <v>1804127</v>
      </c>
      <c r="F341" s="1011">
        <v>5517219</v>
      </c>
      <c r="G341" s="970">
        <v>8730930</v>
      </c>
      <c r="H341" s="970"/>
      <c r="I341" s="970">
        <v>1346975</v>
      </c>
      <c r="J341" s="971">
        <v>1198497</v>
      </c>
      <c r="K341" s="971">
        <v>2316852</v>
      </c>
      <c r="L341" s="971">
        <v>177586</v>
      </c>
      <c r="M341" s="970"/>
      <c r="N341" s="971">
        <v>45198</v>
      </c>
      <c r="O341" s="971">
        <v>0</v>
      </c>
      <c r="P341" s="971">
        <v>0</v>
      </c>
      <c r="Q341" s="971">
        <v>37454</v>
      </c>
      <c r="R341" s="970"/>
      <c r="S341" s="971">
        <v>2425218</v>
      </c>
      <c r="T341" s="971">
        <v>100778</v>
      </c>
      <c r="U341" s="971">
        <v>2525996</v>
      </c>
    </row>
    <row r="342" spans="1:21" x14ac:dyDescent="0.25">
      <c r="A342" s="967">
        <v>93511</v>
      </c>
      <c r="B342" s="968" t="s">
        <v>2981</v>
      </c>
      <c r="C342" s="969">
        <v>8.8800000000000004E-5</v>
      </c>
      <c r="D342" s="969">
        <v>8.8300000000000005E-5</v>
      </c>
      <c r="E342" s="1008">
        <v>50010</v>
      </c>
      <c r="F342" s="1011">
        <v>134898</v>
      </c>
      <c r="G342" s="970">
        <v>210664</v>
      </c>
      <c r="H342" s="970"/>
      <c r="I342" s="970">
        <v>32500</v>
      </c>
      <c r="J342" s="971">
        <v>28917</v>
      </c>
      <c r="K342" s="971">
        <v>55902</v>
      </c>
      <c r="L342" s="971">
        <v>5601</v>
      </c>
      <c r="M342" s="970"/>
      <c r="N342" s="971">
        <v>1091</v>
      </c>
      <c r="O342" s="971">
        <v>0</v>
      </c>
      <c r="P342" s="971">
        <v>0</v>
      </c>
      <c r="Q342" s="971">
        <v>8503</v>
      </c>
      <c r="R342" s="970"/>
      <c r="S342" s="971">
        <v>58517</v>
      </c>
      <c r="T342" s="971">
        <v>-1309</v>
      </c>
      <c r="U342" s="971">
        <v>57208</v>
      </c>
    </row>
    <row r="343" spans="1:21" x14ac:dyDescent="0.25">
      <c r="A343" s="967">
        <v>93517</v>
      </c>
      <c r="B343" s="968" t="s">
        <v>2982</v>
      </c>
      <c r="C343" s="969">
        <v>5.0000000000000004E-6</v>
      </c>
      <c r="D343" s="969">
        <v>6.0000000000000002E-6</v>
      </c>
      <c r="E343" s="1008">
        <v>4539</v>
      </c>
      <c r="F343" s="1011">
        <v>9166</v>
      </c>
      <c r="G343" s="970">
        <v>11862</v>
      </c>
      <c r="H343" s="970"/>
      <c r="I343" s="970">
        <v>1830</v>
      </c>
      <c r="J343" s="971">
        <v>1628</v>
      </c>
      <c r="K343" s="971">
        <v>3148</v>
      </c>
      <c r="L343" s="971">
        <v>2812</v>
      </c>
      <c r="M343" s="970"/>
      <c r="N343" s="971">
        <v>61</v>
      </c>
      <c r="O343" s="971">
        <v>0</v>
      </c>
      <c r="P343" s="971">
        <v>0</v>
      </c>
      <c r="Q343" s="971">
        <v>0</v>
      </c>
      <c r="R343" s="970"/>
      <c r="S343" s="971">
        <v>3295</v>
      </c>
      <c r="T343" s="971">
        <v>1016</v>
      </c>
      <c r="U343" s="971">
        <v>4311</v>
      </c>
    </row>
    <row r="344" spans="1:21" x14ac:dyDescent="0.25">
      <c r="A344" s="967">
        <v>93521</v>
      </c>
      <c r="B344" s="968" t="s">
        <v>2983</v>
      </c>
      <c r="C344" s="969">
        <v>4.639E-4</v>
      </c>
      <c r="D344" s="969">
        <v>4.5649999999999998E-4</v>
      </c>
      <c r="E344" s="1008">
        <v>223247</v>
      </c>
      <c r="F344" s="1011">
        <v>697406</v>
      </c>
      <c r="G344" s="970">
        <v>1100529</v>
      </c>
      <c r="H344" s="970"/>
      <c r="I344" s="970">
        <v>169786</v>
      </c>
      <c r="J344" s="971">
        <v>151070</v>
      </c>
      <c r="K344" s="971">
        <v>292038</v>
      </c>
      <c r="L344" s="971">
        <v>6931</v>
      </c>
      <c r="M344" s="970"/>
      <c r="N344" s="971">
        <v>5697</v>
      </c>
      <c r="O344" s="971">
        <v>0</v>
      </c>
      <c r="P344" s="971">
        <v>0</v>
      </c>
      <c r="Q344" s="971">
        <v>52279</v>
      </c>
      <c r="R344" s="970"/>
      <c r="S344" s="971">
        <v>305698</v>
      </c>
      <c r="T344" s="971">
        <v>-19233</v>
      </c>
      <c r="U344" s="971">
        <v>286465</v>
      </c>
    </row>
    <row r="345" spans="1:21" x14ac:dyDescent="0.25">
      <c r="A345" s="967">
        <v>93527</v>
      </c>
      <c r="B345" s="968" t="s">
        <v>2984</v>
      </c>
      <c r="C345" s="969">
        <v>1.2799999999999999E-5</v>
      </c>
      <c r="D345" s="969">
        <v>1.2099999999999999E-5</v>
      </c>
      <c r="E345" s="1008">
        <v>11036</v>
      </c>
      <c r="F345" s="1011">
        <v>18485</v>
      </c>
      <c r="G345" s="970">
        <v>30366</v>
      </c>
      <c r="H345" s="970"/>
      <c r="I345" s="970">
        <v>4685</v>
      </c>
      <c r="J345" s="971">
        <v>4168</v>
      </c>
      <c r="K345" s="971">
        <v>8058</v>
      </c>
      <c r="L345" s="971">
        <v>13477</v>
      </c>
      <c r="M345" s="970"/>
      <c r="N345" s="971">
        <v>157</v>
      </c>
      <c r="O345" s="971">
        <v>0</v>
      </c>
      <c r="P345" s="971">
        <v>0</v>
      </c>
      <c r="Q345" s="971">
        <v>0</v>
      </c>
      <c r="R345" s="970"/>
      <c r="S345" s="971">
        <v>8435</v>
      </c>
      <c r="T345" s="971">
        <v>6937</v>
      </c>
      <c r="U345" s="971">
        <v>15372</v>
      </c>
    </row>
    <row r="346" spans="1:21" x14ac:dyDescent="0.25">
      <c r="A346" s="967">
        <v>93531</v>
      </c>
      <c r="B346" s="968" t="s">
        <v>2985</v>
      </c>
      <c r="C346" s="969">
        <v>3.0700000000000001E-5</v>
      </c>
      <c r="D346" s="969">
        <v>1.7E-5</v>
      </c>
      <c r="E346" s="1008">
        <v>11788</v>
      </c>
      <c r="F346" s="1011">
        <v>25971</v>
      </c>
      <c r="G346" s="970">
        <v>72831</v>
      </c>
      <c r="H346" s="970"/>
      <c r="I346" s="970">
        <v>11236</v>
      </c>
      <c r="J346" s="971">
        <v>9997</v>
      </c>
      <c r="K346" s="971">
        <v>19327</v>
      </c>
      <c r="L346" s="971">
        <v>7722</v>
      </c>
      <c r="M346" s="970"/>
      <c r="N346" s="971">
        <v>377</v>
      </c>
      <c r="O346" s="971">
        <v>0</v>
      </c>
      <c r="P346" s="971">
        <v>0</v>
      </c>
      <c r="Q346" s="971">
        <v>1264</v>
      </c>
      <c r="R346" s="970"/>
      <c r="S346" s="971">
        <v>20230</v>
      </c>
      <c r="T346" s="971">
        <v>601</v>
      </c>
      <c r="U346" s="971">
        <v>20831</v>
      </c>
    </row>
    <row r="347" spans="1:21" x14ac:dyDescent="0.25">
      <c r="A347" s="967">
        <v>93537</v>
      </c>
      <c r="B347" s="968" t="s">
        <v>2986</v>
      </c>
      <c r="C347" s="969">
        <v>1.1E-5</v>
      </c>
      <c r="D347" s="969">
        <v>1.1199999999999999E-5</v>
      </c>
      <c r="E347" s="1008">
        <v>4242</v>
      </c>
      <c r="F347" s="1011">
        <v>17110</v>
      </c>
      <c r="G347" s="970">
        <v>26096</v>
      </c>
      <c r="H347" s="970"/>
      <c r="I347" s="970">
        <v>4026</v>
      </c>
      <c r="J347" s="971">
        <v>3582</v>
      </c>
      <c r="K347" s="971">
        <v>6925</v>
      </c>
      <c r="L347" s="971">
        <v>0</v>
      </c>
      <c r="M347" s="970"/>
      <c r="N347" s="971">
        <v>135</v>
      </c>
      <c r="O347" s="971">
        <v>0</v>
      </c>
      <c r="P347" s="971">
        <v>0</v>
      </c>
      <c r="Q347" s="971">
        <v>2378</v>
      </c>
      <c r="R347" s="970"/>
      <c r="S347" s="971">
        <v>7249</v>
      </c>
      <c r="T347" s="971">
        <v>-840</v>
      </c>
      <c r="U347" s="971">
        <v>6409</v>
      </c>
    </row>
    <row r="348" spans="1:21" x14ac:dyDescent="0.25">
      <c r="A348" s="967">
        <v>93541</v>
      </c>
      <c r="B348" s="968" t="s">
        <v>2987</v>
      </c>
      <c r="C348" s="969">
        <v>8.9800000000000001E-5</v>
      </c>
      <c r="D348" s="969">
        <v>1.0560000000000001E-4</v>
      </c>
      <c r="E348" s="1008">
        <v>52146</v>
      </c>
      <c r="F348" s="1011">
        <v>161328</v>
      </c>
      <c r="G348" s="970">
        <v>213036</v>
      </c>
      <c r="H348" s="970"/>
      <c r="I348" s="970">
        <v>32866</v>
      </c>
      <c r="J348" s="971">
        <v>29244</v>
      </c>
      <c r="K348" s="971">
        <v>56532</v>
      </c>
      <c r="L348" s="971">
        <v>226</v>
      </c>
      <c r="M348" s="970"/>
      <c r="N348" s="971">
        <v>1103</v>
      </c>
      <c r="O348" s="971">
        <v>0</v>
      </c>
      <c r="P348" s="971">
        <v>0</v>
      </c>
      <c r="Q348" s="971">
        <v>5147</v>
      </c>
      <c r="R348" s="970"/>
      <c r="S348" s="971">
        <v>59176</v>
      </c>
      <c r="T348" s="971">
        <v>2777</v>
      </c>
      <c r="U348" s="971">
        <v>61953</v>
      </c>
    </row>
    <row r="349" spans="1:21" x14ac:dyDescent="0.25">
      <c r="A349" s="967">
        <v>93601</v>
      </c>
      <c r="B349" s="968" t="s">
        <v>2988</v>
      </c>
      <c r="C349" s="969">
        <v>1.11494E-2</v>
      </c>
      <c r="D349" s="969">
        <v>1.0721400000000001E-2</v>
      </c>
      <c r="E349" s="1008">
        <v>5558465</v>
      </c>
      <c r="F349" s="1011">
        <v>16379329</v>
      </c>
      <c r="G349" s="970">
        <v>26450190</v>
      </c>
      <c r="H349" s="970"/>
      <c r="I349" s="970">
        <v>4080636</v>
      </c>
      <c r="J349" s="971">
        <v>3630824</v>
      </c>
      <c r="K349" s="971">
        <v>7018859</v>
      </c>
      <c r="L349" s="971">
        <v>430627</v>
      </c>
      <c r="M349" s="970"/>
      <c r="N349" s="971">
        <v>136926</v>
      </c>
      <c r="O349" s="971">
        <v>0</v>
      </c>
      <c r="P349" s="971">
        <v>0</v>
      </c>
      <c r="Q349" s="971">
        <v>172766</v>
      </c>
      <c r="R349" s="970"/>
      <c r="S349" s="971">
        <v>7347154</v>
      </c>
      <c r="T349" s="971">
        <v>9789</v>
      </c>
      <c r="U349" s="971">
        <v>7356943</v>
      </c>
    </row>
    <row r="350" spans="1:21" x14ac:dyDescent="0.25">
      <c r="A350" s="967">
        <v>93602</v>
      </c>
      <c r="B350" s="968" t="s">
        <v>2989</v>
      </c>
      <c r="C350" s="969">
        <v>1.8340000000000001E-4</v>
      </c>
      <c r="D350" s="969">
        <v>1.7540000000000001E-4</v>
      </c>
      <c r="E350" s="1008">
        <v>91454</v>
      </c>
      <c r="F350" s="1011">
        <v>267963</v>
      </c>
      <c r="G350" s="970">
        <v>435088</v>
      </c>
      <c r="H350" s="970"/>
      <c r="I350" s="970">
        <v>67124</v>
      </c>
      <c r="J350" s="971">
        <v>59724</v>
      </c>
      <c r="K350" s="971">
        <v>115455</v>
      </c>
      <c r="L350" s="971">
        <v>10138</v>
      </c>
      <c r="M350" s="970"/>
      <c r="N350" s="971">
        <v>2252</v>
      </c>
      <c r="O350" s="971">
        <v>0</v>
      </c>
      <c r="P350" s="971">
        <v>0</v>
      </c>
      <c r="Q350" s="971">
        <v>6076</v>
      </c>
      <c r="R350" s="970"/>
      <c r="S350" s="971">
        <v>120856</v>
      </c>
      <c r="T350" s="971">
        <v>-1090</v>
      </c>
      <c r="U350" s="971">
        <v>119766</v>
      </c>
    </row>
    <row r="351" spans="1:21" x14ac:dyDescent="0.25">
      <c r="A351" s="967">
        <v>93609</v>
      </c>
      <c r="B351" s="968" t="s">
        <v>2990</v>
      </c>
      <c r="C351" s="969">
        <v>3.9097000000000003E-3</v>
      </c>
      <c r="D351" s="969">
        <v>3.7629999999999999E-3</v>
      </c>
      <c r="E351" s="1008">
        <v>1828678</v>
      </c>
      <c r="F351" s="1011">
        <v>5748822</v>
      </c>
      <c r="G351" s="970">
        <v>9275146</v>
      </c>
      <c r="H351" s="970"/>
      <c r="I351" s="970">
        <v>1430935</v>
      </c>
      <c r="J351" s="971">
        <v>1273202</v>
      </c>
      <c r="K351" s="971">
        <v>2461266</v>
      </c>
      <c r="L351" s="971">
        <v>502120</v>
      </c>
      <c r="M351" s="970"/>
      <c r="N351" s="971">
        <v>48015</v>
      </c>
      <c r="O351" s="971">
        <v>0</v>
      </c>
      <c r="P351" s="971">
        <v>0</v>
      </c>
      <c r="Q351" s="971">
        <v>0</v>
      </c>
      <c r="R351" s="970"/>
      <c r="S351" s="971">
        <v>2576387</v>
      </c>
      <c r="T351" s="971">
        <v>367709</v>
      </c>
      <c r="U351" s="971">
        <v>2944096</v>
      </c>
    </row>
    <row r="352" spans="1:21" x14ac:dyDescent="0.25">
      <c r="A352" s="967">
        <v>93610</v>
      </c>
      <c r="B352" s="968" t="s">
        <v>2991</v>
      </c>
      <c r="C352" s="969">
        <v>1.5500000000000001E-5</v>
      </c>
      <c r="D352" s="969">
        <v>1.33E-5</v>
      </c>
      <c r="E352" s="1008">
        <v>6459</v>
      </c>
      <c r="F352" s="1011">
        <v>20319</v>
      </c>
      <c r="G352" s="970">
        <v>36771</v>
      </c>
      <c r="H352" s="970"/>
      <c r="I352" s="970">
        <v>5673</v>
      </c>
      <c r="J352" s="971">
        <v>5047</v>
      </c>
      <c r="K352" s="971">
        <v>9758</v>
      </c>
      <c r="L352" s="971">
        <v>4558</v>
      </c>
      <c r="M352" s="970"/>
      <c r="N352" s="971">
        <v>190</v>
      </c>
      <c r="O352" s="971">
        <v>0</v>
      </c>
      <c r="P352" s="971">
        <v>0</v>
      </c>
      <c r="Q352" s="971">
        <v>2193</v>
      </c>
      <c r="R352" s="970"/>
      <c r="S352" s="971">
        <v>10214</v>
      </c>
      <c r="T352" s="971">
        <v>1404</v>
      </c>
      <c r="U352" s="971">
        <v>11618</v>
      </c>
    </row>
    <row r="353" spans="1:21" x14ac:dyDescent="0.25">
      <c r="A353" s="967">
        <v>93611</v>
      </c>
      <c r="B353" s="968" t="s">
        <v>2992</v>
      </c>
      <c r="C353" s="969">
        <v>6.9170000000000004E-3</v>
      </c>
      <c r="D353" s="969">
        <v>6.9544000000000003E-3</v>
      </c>
      <c r="E353" s="1008">
        <v>3375520</v>
      </c>
      <c r="F353" s="1011">
        <v>10624397</v>
      </c>
      <c r="G353" s="970">
        <v>16409490</v>
      </c>
      <c r="H353" s="970"/>
      <c r="I353" s="970">
        <v>2531594</v>
      </c>
      <c r="J353" s="971">
        <v>2252535</v>
      </c>
      <c r="K353" s="971">
        <v>4354445</v>
      </c>
      <c r="L353" s="971">
        <v>45861</v>
      </c>
      <c r="M353" s="970"/>
      <c r="N353" s="971">
        <v>84948</v>
      </c>
      <c r="O353" s="971">
        <v>0</v>
      </c>
      <c r="P353" s="971">
        <v>0</v>
      </c>
      <c r="Q353" s="971">
        <v>74749</v>
      </c>
      <c r="R353" s="970"/>
      <c r="S353" s="971">
        <v>4558116</v>
      </c>
      <c r="T353" s="971">
        <v>-105909</v>
      </c>
      <c r="U353" s="971">
        <v>4452207</v>
      </c>
    </row>
    <row r="354" spans="1:21" x14ac:dyDescent="0.25">
      <c r="A354" s="967">
        <v>93617</v>
      </c>
      <c r="B354" s="968" t="s">
        <v>2993</v>
      </c>
      <c r="C354" s="969">
        <v>8.7499999999999999E-5</v>
      </c>
      <c r="D354" s="969">
        <v>8.2799999999999993E-5</v>
      </c>
      <c r="E354" s="1008">
        <v>53913</v>
      </c>
      <c r="F354" s="1011">
        <v>126495</v>
      </c>
      <c r="G354" s="970">
        <v>207580</v>
      </c>
      <c r="H354" s="970"/>
      <c r="I354" s="970">
        <v>32025</v>
      </c>
      <c r="J354" s="971">
        <v>28494</v>
      </c>
      <c r="K354" s="971">
        <v>55084</v>
      </c>
      <c r="L354" s="971">
        <v>21712</v>
      </c>
      <c r="M354" s="970"/>
      <c r="N354" s="971">
        <v>1075</v>
      </c>
      <c r="O354" s="971">
        <v>0</v>
      </c>
      <c r="P354" s="971">
        <v>0</v>
      </c>
      <c r="Q354" s="971">
        <v>0</v>
      </c>
      <c r="R354" s="970"/>
      <c r="S354" s="971">
        <v>57660</v>
      </c>
      <c r="T354" s="971">
        <v>13203</v>
      </c>
      <c r="U354" s="971">
        <v>70863</v>
      </c>
    </row>
    <row r="355" spans="1:21" x14ac:dyDescent="0.25">
      <c r="A355" s="967">
        <v>93618</v>
      </c>
      <c r="B355" s="968" t="s">
        <v>2994</v>
      </c>
      <c r="C355" s="969">
        <v>1.03E-5</v>
      </c>
      <c r="D355" s="969">
        <v>1.11E-5</v>
      </c>
      <c r="E355" s="1008">
        <v>25051</v>
      </c>
      <c r="F355" s="1011">
        <v>16958</v>
      </c>
      <c r="G355" s="970">
        <v>24435</v>
      </c>
      <c r="H355" s="970"/>
      <c r="I355" s="970">
        <v>3770</v>
      </c>
      <c r="J355" s="971">
        <v>3354</v>
      </c>
      <c r="K355" s="971">
        <v>6484</v>
      </c>
      <c r="L355" s="971">
        <v>36884</v>
      </c>
      <c r="M355" s="970"/>
      <c r="N355" s="971">
        <v>126</v>
      </c>
      <c r="O355" s="971">
        <v>0</v>
      </c>
      <c r="P355" s="971">
        <v>0</v>
      </c>
      <c r="Q355" s="971">
        <v>0</v>
      </c>
      <c r="R355" s="970"/>
      <c r="S355" s="971">
        <v>6787</v>
      </c>
      <c r="T355" s="971">
        <v>16035</v>
      </c>
      <c r="U355" s="971">
        <v>22822</v>
      </c>
    </row>
    <row r="356" spans="1:21" x14ac:dyDescent="0.25">
      <c r="A356" s="967">
        <v>93621</v>
      </c>
      <c r="B356" s="968" t="s">
        <v>2995</v>
      </c>
      <c r="C356" s="969">
        <v>1.0273000000000001E-3</v>
      </c>
      <c r="D356" s="969">
        <v>9.5719999999999996E-4</v>
      </c>
      <c r="E356" s="1008">
        <v>458651</v>
      </c>
      <c r="F356" s="1011">
        <v>1462336</v>
      </c>
      <c r="G356" s="970">
        <v>2437107</v>
      </c>
      <c r="H356" s="970"/>
      <c r="I356" s="970">
        <v>375988</v>
      </c>
      <c r="J356" s="971">
        <v>334542</v>
      </c>
      <c r="K356" s="971">
        <v>646714</v>
      </c>
      <c r="L356" s="971">
        <v>51082</v>
      </c>
      <c r="M356" s="970"/>
      <c r="N356" s="971">
        <v>12616</v>
      </c>
      <c r="O356" s="971">
        <v>0</v>
      </c>
      <c r="P356" s="971">
        <v>0</v>
      </c>
      <c r="Q356" s="971">
        <v>41250</v>
      </c>
      <c r="R356" s="970"/>
      <c r="S356" s="971">
        <v>676963</v>
      </c>
      <c r="T356" s="971">
        <v>-22728</v>
      </c>
      <c r="U356" s="971">
        <v>654235</v>
      </c>
    </row>
    <row r="357" spans="1:21" x14ac:dyDescent="0.25">
      <c r="A357" s="967">
        <v>93623</v>
      </c>
      <c r="B357" s="968" t="s">
        <v>2996</v>
      </c>
      <c r="C357" s="969">
        <v>1.2E-5</v>
      </c>
      <c r="D357" s="969">
        <v>1.2799999999999999E-5</v>
      </c>
      <c r="E357" s="1008">
        <v>8366</v>
      </c>
      <c r="F357" s="1011">
        <v>19555</v>
      </c>
      <c r="G357" s="970">
        <v>28468</v>
      </c>
      <c r="H357" s="970"/>
      <c r="I357" s="970">
        <v>4392</v>
      </c>
      <c r="J357" s="971">
        <v>3908</v>
      </c>
      <c r="K357" s="971">
        <v>7554</v>
      </c>
      <c r="L357" s="971">
        <v>5015</v>
      </c>
      <c r="M357" s="970"/>
      <c r="N357" s="971">
        <v>147</v>
      </c>
      <c r="O357" s="971">
        <v>0</v>
      </c>
      <c r="P357" s="971">
        <v>0</v>
      </c>
      <c r="Q357" s="971">
        <v>0</v>
      </c>
      <c r="R357" s="970"/>
      <c r="S357" s="971">
        <v>7908</v>
      </c>
      <c r="T357" s="971">
        <v>2264</v>
      </c>
      <c r="U357" s="971">
        <v>10172</v>
      </c>
    </row>
    <row r="358" spans="1:21" x14ac:dyDescent="0.25">
      <c r="A358" s="967">
        <v>93631</v>
      </c>
      <c r="B358" s="968" t="s">
        <v>2997</v>
      </c>
      <c r="C358" s="969">
        <v>2.232E-4</v>
      </c>
      <c r="D358" s="969">
        <v>2.252E-4</v>
      </c>
      <c r="E358" s="1008">
        <v>105757</v>
      </c>
      <c r="F358" s="1011">
        <v>344043</v>
      </c>
      <c r="G358" s="970">
        <v>529507</v>
      </c>
      <c r="H358" s="970"/>
      <c r="I358" s="970">
        <v>81690</v>
      </c>
      <c r="J358" s="971">
        <v>72685</v>
      </c>
      <c r="K358" s="971">
        <v>140511</v>
      </c>
      <c r="L358" s="971">
        <v>0</v>
      </c>
      <c r="M358" s="970"/>
      <c r="N358" s="971">
        <v>2741</v>
      </c>
      <c r="O358" s="971">
        <v>0</v>
      </c>
      <c r="P358" s="971">
        <v>0</v>
      </c>
      <c r="Q358" s="971">
        <v>17227</v>
      </c>
      <c r="R358" s="970"/>
      <c r="S358" s="971">
        <v>147083</v>
      </c>
      <c r="T358" s="971">
        <v>-8056</v>
      </c>
      <c r="U358" s="971">
        <v>139027</v>
      </c>
    </row>
    <row r="359" spans="1:21" x14ac:dyDescent="0.25">
      <c r="A359" s="967">
        <v>93641</v>
      </c>
      <c r="B359" s="968" t="s">
        <v>2998</v>
      </c>
      <c r="C359" s="969">
        <v>3.724E-4</v>
      </c>
      <c r="D359" s="969">
        <v>4.0450000000000002E-4</v>
      </c>
      <c r="E359" s="1008">
        <v>208216</v>
      </c>
      <c r="F359" s="1011">
        <v>617964</v>
      </c>
      <c r="G359" s="970">
        <v>883460</v>
      </c>
      <c r="H359" s="970"/>
      <c r="I359" s="970">
        <v>136297</v>
      </c>
      <c r="J359" s="971">
        <v>121273</v>
      </c>
      <c r="K359" s="971">
        <v>234436</v>
      </c>
      <c r="L359" s="971">
        <v>6510</v>
      </c>
      <c r="M359" s="970"/>
      <c r="N359" s="971">
        <v>4573</v>
      </c>
      <c r="O359" s="971">
        <v>0</v>
      </c>
      <c r="P359" s="971">
        <v>0</v>
      </c>
      <c r="Q359" s="971">
        <v>10470</v>
      </c>
      <c r="R359" s="970"/>
      <c r="S359" s="971">
        <v>245402</v>
      </c>
      <c r="T359" s="971">
        <v>4214</v>
      </c>
      <c r="U359" s="971">
        <v>249616</v>
      </c>
    </row>
    <row r="360" spans="1:21" x14ac:dyDescent="0.25">
      <c r="A360" s="967">
        <v>93647</v>
      </c>
      <c r="B360" s="968" t="s">
        <v>2999</v>
      </c>
      <c r="C360" s="969">
        <v>6.1E-6</v>
      </c>
      <c r="D360" s="969">
        <v>6.0000000000000002E-6</v>
      </c>
      <c r="E360" s="1008">
        <v>9827</v>
      </c>
      <c r="F360" s="1011">
        <v>9166</v>
      </c>
      <c r="G360" s="970">
        <v>14471</v>
      </c>
      <c r="H360" s="970"/>
      <c r="I360" s="970">
        <v>2233</v>
      </c>
      <c r="J360" s="971">
        <v>1987</v>
      </c>
      <c r="K360" s="971">
        <v>3840</v>
      </c>
      <c r="L360" s="971">
        <v>12946</v>
      </c>
      <c r="M360" s="970"/>
      <c r="N360" s="971">
        <v>75</v>
      </c>
      <c r="O360" s="971">
        <v>0</v>
      </c>
      <c r="P360" s="971">
        <v>0</v>
      </c>
      <c r="Q360" s="971">
        <v>0</v>
      </c>
      <c r="R360" s="970"/>
      <c r="S360" s="971">
        <v>4020</v>
      </c>
      <c r="T360" s="971">
        <v>6024</v>
      </c>
      <c r="U360" s="971">
        <v>10044</v>
      </c>
    </row>
    <row r="361" spans="1:21" x14ac:dyDescent="0.25">
      <c r="A361" s="967">
        <v>93651</v>
      </c>
      <c r="B361" s="968" t="s">
        <v>3000</v>
      </c>
      <c r="C361" s="969">
        <v>4.507E-4</v>
      </c>
      <c r="D361" s="969">
        <v>4.3800000000000002E-4</v>
      </c>
      <c r="E361" s="1008">
        <v>203987</v>
      </c>
      <c r="F361" s="1011">
        <v>669143</v>
      </c>
      <c r="G361" s="970">
        <v>1069215</v>
      </c>
      <c r="H361" s="970"/>
      <c r="I361" s="970">
        <v>164954</v>
      </c>
      <c r="J361" s="971">
        <v>146771</v>
      </c>
      <c r="K361" s="971">
        <v>283728</v>
      </c>
      <c r="L361" s="971">
        <v>2626</v>
      </c>
      <c r="M361" s="970"/>
      <c r="N361" s="971">
        <v>5535</v>
      </c>
      <c r="O361" s="971">
        <v>0</v>
      </c>
      <c r="P361" s="971">
        <v>0</v>
      </c>
      <c r="Q361" s="971">
        <v>13366</v>
      </c>
      <c r="R361" s="970"/>
      <c r="S361" s="971">
        <v>296999</v>
      </c>
      <c r="T361" s="971">
        <v>-2560</v>
      </c>
      <c r="U361" s="971">
        <v>294439</v>
      </c>
    </row>
    <row r="362" spans="1:21" x14ac:dyDescent="0.25">
      <c r="A362" s="967">
        <v>93661</v>
      </c>
      <c r="B362" s="968" t="s">
        <v>3001</v>
      </c>
      <c r="C362" s="969">
        <v>1.4449999999999999E-4</v>
      </c>
      <c r="D362" s="969">
        <v>1.3410000000000001E-4</v>
      </c>
      <c r="E362" s="1008">
        <v>66948</v>
      </c>
      <c r="F362" s="1011">
        <v>204868</v>
      </c>
      <c r="G362" s="970">
        <v>342803</v>
      </c>
      <c r="H362" s="970"/>
      <c r="I362" s="970">
        <v>52886</v>
      </c>
      <c r="J362" s="971">
        <v>47056</v>
      </c>
      <c r="K362" s="971">
        <v>90967</v>
      </c>
      <c r="L362" s="971">
        <v>11364</v>
      </c>
      <c r="M362" s="970"/>
      <c r="N362" s="971">
        <v>1775</v>
      </c>
      <c r="O362" s="971">
        <v>0</v>
      </c>
      <c r="P362" s="971">
        <v>0</v>
      </c>
      <c r="Q362" s="971">
        <v>0</v>
      </c>
      <c r="R362" s="970"/>
      <c r="S362" s="971">
        <v>95222</v>
      </c>
      <c r="T362" s="971">
        <v>5935</v>
      </c>
      <c r="U362" s="971">
        <v>101157</v>
      </c>
    </row>
    <row r="363" spans="1:21" x14ac:dyDescent="0.25">
      <c r="A363" s="967">
        <v>93671</v>
      </c>
      <c r="B363" s="968" t="s">
        <v>3002</v>
      </c>
      <c r="C363" s="969">
        <v>3.3950000000000001E-4</v>
      </c>
      <c r="D363" s="969">
        <v>3.5530000000000002E-4</v>
      </c>
      <c r="E363" s="1008">
        <v>187843</v>
      </c>
      <c r="F363" s="1011">
        <v>542800</v>
      </c>
      <c r="G363" s="970">
        <v>805410</v>
      </c>
      <c r="H363" s="970"/>
      <c r="I363" s="970">
        <v>124256</v>
      </c>
      <c r="J363" s="971">
        <v>110559</v>
      </c>
      <c r="K363" s="971">
        <v>213725</v>
      </c>
      <c r="L363" s="971">
        <v>15579</v>
      </c>
      <c r="M363" s="970"/>
      <c r="N363" s="971">
        <v>4169</v>
      </c>
      <c r="O363" s="971">
        <v>0</v>
      </c>
      <c r="P363" s="971">
        <v>0</v>
      </c>
      <c r="Q363" s="971">
        <v>2038</v>
      </c>
      <c r="R363" s="970"/>
      <c r="S363" s="971">
        <v>223721</v>
      </c>
      <c r="T363" s="971">
        <v>29805</v>
      </c>
      <c r="U363" s="971">
        <v>253526</v>
      </c>
    </row>
    <row r="364" spans="1:21" x14ac:dyDescent="0.25">
      <c r="A364" s="967">
        <v>93677</v>
      </c>
      <c r="B364" s="968" t="s">
        <v>1522</v>
      </c>
      <c r="C364" s="969">
        <v>0</v>
      </c>
      <c r="D364" s="969">
        <v>0</v>
      </c>
      <c r="E364" s="1008">
        <v>0</v>
      </c>
      <c r="F364" s="1011">
        <v>0</v>
      </c>
      <c r="G364" s="970">
        <v>0</v>
      </c>
      <c r="H364" s="970"/>
      <c r="I364" s="970">
        <v>0</v>
      </c>
      <c r="J364" s="971">
        <v>0</v>
      </c>
      <c r="K364" s="971">
        <v>0</v>
      </c>
      <c r="L364" s="971">
        <v>0</v>
      </c>
      <c r="M364" s="970"/>
      <c r="N364" s="971">
        <v>0</v>
      </c>
      <c r="O364" s="971">
        <v>0</v>
      </c>
      <c r="P364" s="971">
        <v>0</v>
      </c>
      <c r="Q364" s="971">
        <v>0</v>
      </c>
      <c r="R364" s="970"/>
      <c r="S364" s="971">
        <v>0</v>
      </c>
      <c r="T364" s="971">
        <v>-718</v>
      </c>
      <c r="U364" s="971">
        <v>-718</v>
      </c>
    </row>
    <row r="365" spans="1:21" x14ac:dyDescent="0.25">
      <c r="A365" s="967">
        <v>93681</v>
      </c>
      <c r="B365" s="968" t="s">
        <v>3003</v>
      </c>
      <c r="C365" s="969">
        <v>1.211E-4</v>
      </c>
      <c r="D365" s="969">
        <v>1.1179999999999999E-4</v>
      </c>
      <c r="E365" s="1008">
        <v>59051</v>
      </c>
      <c r="F365" s="1011">
        <v>170799</v>
      </c>
      <c r="G365" s="970">
        <v>287291</v>
      </c>
      <c r="H365" s="970"/>
      <c r="I365" s="970">
        <v>44322</v>
      </c>
      <c r="J365" s="971">
        <v>39436</v>
      </c>
      <c r="K365" s="971">
        <v>76236</v>
      </c>
      <c r="L365" s="971">
        <v>6600</v>
      </c>
      <c r="M365" s="970"/>
      <c r="N365" s="971">
        <v>1487</v>
      </c>
      <c r="O365" s="971">
        <v>0</v>
      </c>
      <c r="P365" s="971">
        <v>0</v>
      </c>
      <c r="Q365" s="971">
        <v>6023</v>
      </c>
      <c r="R365" s="970"/>
      <c r="S365" s="971">
        <v>79802</v>
      </c>
      <c r="T365" s="971">
        <v>-4842</v>
      </c>
      <c r="U365" s="971">
        <v>74960</v>
      </c>
    </row>
    <row r="366" spans="1:21" x14ac:dyDescent="0.25">
      <c r="A366" s="967">
        <v>93691</v>
      </c>
      <c r="B366" s="968" t="s">
        <v>3004</v>
      </c>
      <c r="C366" s="969">
        <v>1.0357999999999999E-3</v>
      </c>
      <c r="D366" s="969">
        <v>1.0858E-3</v>
      </c>
      <c r="E366" s="1008">
        <v>498870</v>
      </c>
      <c r="F366" s="1011">
        <v>1658802</v>
      </c>
      <c r="G366" s="970">
        <v>2457272</v>
      </c>
      <c r="H366" s="970"/>
      <c r="I366" s="970">
        <v>379099</v>
      </c>
      <c r="J366" s="971">
        <v>337310</v>
      </c>
      <c r="K366" s="971">
        <v>652065</v>
      </c>
      <c r="L366" s="971">
        <v>0</v>
      </c>
      <c r="M366" s="970"/>
      <c r="N366" s="971">
        <v>12721</v>
      </c>
      <c r="O366" s="971">
        <v>0</v>
      </c>
      <c r="P366" s="971">
        <v>0</v>
      </c>
      <c r="Q366" s="971">
        <v>115243</v>
      </c>
      <c r="R366" s="970"/>
      <c r="S366" s="971">
        <v>682564</v>
      </c>
      <c r="T366" s="971">
        <v>-52906</v>
      </c>
      <c r="U366" s="971">
        <v>629658</v>
      </c>
    </row>
    <row r="367" spans="1:21" x14ac:dyDescent="0.25">
      <c r="A367" s="967">
        <v>93701</v>
      </c>
      <c r="B367" s="968" t="s">
        <v>3687</v>
      </c>
      <c r="C367" s="969">
        <v>4.6779999999999999E-4</v>
      </c>
      <c r="D367" s="969">
        <v>4.5800000000000002E-4</v>
      </c>
      <c r="E367" s="1008">
        <v>219011</v>
      </c>
      <c r="F367" s="1011">
        <v>699697</v>
      </c>
      <c r="G367" s="970">
        <v>1109782</v>
      </c>
      <c r="H367" s="970"/>
      <c r="I367" s="970">
        <v>171213</v>
      </c>
      <c r="J367" s="971">
        <v>152340</v>
      </c>
      <c r="K367" s="971">
        <v>294493</v>
      </c>
      <c r="L367" s="971">
        <v>2163</v>
      </c>
      <c r="M367" s="970"/>
      <c r="N367" s="971">
        <v>5745</v>
      </c>
      <c r="O367" s="971">
        <v>0</v>
      </c>
      <c r="P367" s="971">
        <v>0</v>
      </c>
      <c r="Q367" s="971">
        <v>13331</v>
      </c>
      <c r="R367" s="970"/>
      <c r="S367" s="971">
        <v>308268</v>
      </c>
      <c r="T367" s="971">
        <v>304</v>
      </c>
      <c r="U367" s="971">
        <v>308572</v>
      </c>
    </row>
    <row r="368" spans="1:21" x14ac:dyDescent="0.25">
      <c r="A368" s="967">
        <v>93704</v>
      </c>
      <c r="B368" s="968" t="s">
        <v>3006</v>
      </c>
      <c r="C368" s="969">
        <v>2.7E-6</v>
      </c>
      <c r="D368" s="969">
        <v>3.0000000000000001E-6</v>
      </c>
      <c r="E368" s="1008">
        <v>2030</v>
      </c>
      <c r="F368" s="1011">
        <v>4583</v>
      </c>
      <c r="G368" s="970">
        <v>6405</v>
      </c>
      <c r="H368" s="970"/>
      <c r="I368" s="970">
        <v>988</v>
      </c>
      <c r="J368" s="971">
        <v>879</v>
      </c>
      <c r="K368" s="971">
        <v>1700</v>
      </c>
      <c r="L368" s="971">
        <v>747</v>
      </c>
      <c r="M368" s="970"/>
      <c r="N368" s="971">
        <v>33</v>
      </c>
      <c r="O368" s="971">
        <v>0</v>
      </c>
      <c r="P368" s="971">
        <v>0</v>
      </c>
      <c r="Q368" s="971">
        <v>0</v>
      </c>
      <c r="R368" s="970"/>
      <c r="S368" s="971">
        <v>1779</v>
      </c>
      <c r="T368" s="971">
        <v>224</v>
      </c>
      <c r="U368" s="971">
        <v>2003</v>
      </c>
    </row>
    <row r="369" spans="1:21" x14ac:dyDescent="0.25">
      <c r="A369" s="967">
        <v>93801</v>
      </c>
      <c r="B369" s="968" t="s">
        <v>3007</v>
      </c>
      <c r="C369" s="969">
        <v>4.3570000000000002E-4</v>
      </c>
      <c r="D369" s="969">
        <v>4.7889999999999999E-4</v>
      </c>
      <c r="E369" s="1008">
        <v>205695</v>
      </c>
      <c r="F369" s="1011">
        <v>731627</v>
      </c>
      <c r="G369" s="970">
        <v>1033629</v>
      </c>
      <c r="H369" s="970"/>
      <c r="I369" s="970">
        <v>159464</v>
      </c>
      <c r="J369" s="971">
        <v>141886</v>
      </c>
      <c r="K369" s="971">
        <v>274285</v>
      </c>
      <c r="L369" s="971">
        <v>70779</v>
      </c>
      <c r="M369" s="970"/>
      <c r="N369" s="971">
        <v>5351</v>
      </c>
      <c r="O369" s="971">
        <v>0</v>
      </c>
      <c r="P369" s="971">
        <v>0</v>
      </c>
      <c r="Q369" s="971">
        <v>76863</v>
      </c>
      <c r="R369" s="970"/>
      <c r="S369" s="971">
        <v>287115</v>
      </c>
      <c r="T369" s="971">
        <v>18841</v>
      </c>
      <c r="U369" s="971">
        <v>305956</v>
      </c>
    </row>
    <row r="370" spans="1:21" x14ac:dyDescent="0.25">
      <c r="A370" s="967">
        <v>93803</v>
      </c>
      <c r="B370" s="968" t="s">
        <v>3008</v>
      </c>
      <c r="C370" s="969">
        <v>1.122E-4</v>
      </c>
      <c r="D370" s="969">
        <v>1.1900000000000001E-4</v>
      </c>
      <c r="E370" s="1008">
        <v>48472</v>
      </c>
      <c r="F370" s="1011">
        <v>181799</v>
      </c>
      <c r="G370" s="970">
        <v>266177</v>
      </c>
      <c r="H370" s="970"/>
      <c r="I370" s="970">
        <v>41065</v>
      </c>
      <c r="J370" s="971">
        <v>36538</v>
      </c>
      <c r="K370" s="971">
        <v>70633</v>
      </c>
      <c r="L370" s="971">
        <v>0</v>
      </c>
      <c r="M370" s="970"/>
      <c r="N370" s="971">
        <v>1378</v>
      </c>
      <c r="O370" s="971">
        <v>0</v>
      </c>
      <c r="P370" s="971">
        <v>0</v>
      </c>
      <c r="Q370" s="971">
        <v>35149</v>
      </c>
      <c r="R370" s="970"/>
      <c r="S370" s="971">
        <v>73937</v>
      </c>
      <c r="T370" s="971">
        <v>-19959</v>
      </c>
      <c r="U370" s="971">
        <v>53978</v>
      </c>
    </row>
    <row r="371" spans="1:21" x14ac:dyDescent="0.25">
      <c r="A371" s="967">
        <v>93806</v>
      </c>
      <c r="B371" s="968" t="s">
        <v>3009</v>
      </c>
      <c r="C371" s="969">
        <v>7.6100000000000007E-5</v>
      </c>
      <c r="D371" s="969">
        <v>9.3900000000000006E-5</v>
      </c>
      <c r="E371" s="1008">
        <v>42552</v>
      </c>
      <c r="F371" s="1011">
        <v>143453</v>
      </c>
      <c r="G371" s="970">
        <v>180535</v>
      </c>
      <c r="H371" s="970"/>
      <c r="I371" s="970">
        <v>27852</v>
      </c>
      <c r="J371" s="971">
        <v>24782</v>
      </c>
      <c r="K371" s="971">
        <v>47907</v>
      </c>
      <c r="L371" s="971">
        <v>9616</v>
      </c>
      <c r="M371" s="970"/>
      <c r="N371" s="971">
        <v>935</v>
      </c>
      <c r="O371" s="971">
        <v>0</v>
      </c>
      <c r="P371" s="971">
        <v>0</v>
      </c>
      <c r="Q371" s="971">
        <v>8835</v>
      </c>
      <c r="R371" s="970"/>
      <c r="S371" s="971">
        <v>50148</v>
      </c>
      <c r="T371" s="971">
        <v>-8146</v>
      </c>
      <c r="U371" s="971">
        <v>42002</v>
      </c>
    </row>
    <row r="372" spans="1:21" x14ac:dyDescent="0.25">
      <c r="A372" s="967">
        <v>93821</v>
      </c>
      <c r="B372" s="968" t="s">
        <v>3010</v>
      </c>
      <c r="C372" s="969">
        <v>5.6799999999999998E-5</v>
      </c>
      <c r="D372" s="969">
        <v>2.9899999999999998E-5</v>
      </c>
      <c r="E372" s="1008">
        <v>54685</v>
      </c>
      <c r="F372" s="1011">
        <v>45679</v>
      </c>
      <c r="G372" s="970">
        <v>134749</v>
      </c>
      <c r="H372" s="970"/>
      <c r="I372" s="970">
        <v>20789</v>
      </c>
      <c r="J372" s="971">
        <v>18497</v>
      </c>
      <c r="K372" s="971">
        <v>35757</v>
      </c>
      <c r="L372" s="971">
        <v>51463</v>
      </c>
      <c r="M372" s="970"/>
      <c r="N372" s="971">
        <v>698</v>
      </c>
      <c r="O372" s="971">
        <v>0</v>
      </c>
      <c r="P372" s="971">
        <v>0</v>
      </c>
      <c r="Q372" s="971">
        <v>258</v>
      </c>
      <c r="R372" s="970"/>
      <c r="S372" s="971">
        <v>37430</v>
      </c>
      <c r="T372" s="971">
        <v>17809</v>
      </c>
      <c r="U372" s="971">
        <v>55239</v>
      </c>
    </row>
    <row r="373" spans="1:21" x14ac:dyDescent="0.25">
      <c r="A373" s="967">
        <v>93901</v>
      </c>
      <c r="B373" s="968" t="s">
        <v>3011</v>
      </c>
      <c r="C373" s="969">
        <v>1.7718E-3</v>
      </c>
      <c r="D373" s="969">
        <v>1.7974E-3</v>
      </c>
      <c r="E373" s="1008">
        <v>959407</v>
      </c>
      <c r="F373" s="1011">
        <v>2745929</v>
      </c>
      <c r="G373" s="970">
        <v>4203316</v>
      </c>
      <c r="H373" s="970"/>
      <c r="I373" s="970">
        <v>648472</v>
      </c>
      <c r="J373" s="971">
        <v>576990</v>
      </c>
      <c r="K373" s="971">
        <v>1115398</v>
      </c>
      <c r="L373" s="971">
        <v>112021</v>
      </c>
      <c r="M373" s="970"/>
      <c r="N373" s="971">
        <v>21759</v>
      </c>
      <c r="O373" s="971">
        <v>0</v>
      </c>
      <c r="P373" s="971">
        <v>0</v>
      </c>
      <c r="Q373" s="971">
        <v>0</v>
      </c>
      <c r="R373" s="970"/>
      <c r="S373" s="971">
        <v>1167568</v>
      </c>
      <c r="T373" s="971">
        <v>46506</v>
      </c>
      <c r="U373" s="971">
        <v>1214074</v>
      </c>
    </row>
    <row r="374" spans="1:21" x14ac:dyDescent="0.25">
      <c r="A374" s="967">
        <v>93904</v>
      </c>
      <c r="B374" s="968" t="s">
        <v>3012</v>
      </c>
      <c r="C374" s="969">
        <v>3.3099999999999998E-5</v>
      </c>
      <c r="D374" s="969">
        <v>3.0000000000000001E-5</v>
      </c>
      <c r="E374" s="1008">
        <v>20649</v>
      </c>
      <c r="F374" s="1011">
        <v>45832</v>
      </c>
      <c r="G374" s="970">
        <v>78525</v>
      </c>
      <c r="H374" s="970"/>
      <c r="I374" s="970">
        <v>12114</v>
      </c>
      <c r="J374" s="971">
        <v>10779</v>
      </c>
      <c r="K374" s="971">
        <v>20837</v>
      </c>
      <c r="L374" s="971">
        <v>12315</v>
      </c>
      <c r="M374" s="970"/>
      <c r="N374" s="971">
        <v>407</v>
      </c>
      <c r="O374" s="971">
        <v>0</v>
      </c>
      <c r="P374" s="971">
        <v>0</v>
      </c>
      <c r="Q374" s="971">
        <v>0</v>
      </c>
      <c r="R374" s="970"/>
      <c r="S374" s="971">
        <v>21812</v>
      </c>
      <c r="T374" s="971">
        <v>4588</v>
      </c>
      <c r="U374" s="971">
        <v>26400</v>
      </c>
    </row>
    <row r="375" spans="1:21" x14ac:dyDescent="0.25">
      <c r="A375" s="967">
        <v>93906</v>
      </c>
      <c r="B375" s="968" t="s">
        <v>3013</v>
      </c>
      <c r="C375" s="969">
        <v>3.1683000000000002E-3</v>
      </c>
      <c r="D375" s="969">
        <v>3.3882000000000001E-3</v>
      </c>
      <c r="E375" s="1008">
        <v>1531380</v>
      </c>
      <c r="F375" s="1011">
        <v>5176231</v>
      </c>
      <c r="G375" s="970">
        <v>7516291</v>
      </c>
      <c r="H375" s="970"/>
      <c r="I375" s="970">
        <v>1159585</v>
      </c>
      <c r="J375" s="971">
        <v>1031763</v>
      </c>
      <c r="K375" s="971">
        <v>1994534</v>
      </c>
      <c r="L375" s="971">
        <v>0</v>
      </c>
      <c r="M375" s="970"/>
      <c r="N375" s="971">
        <v>38910</v>
      </c>
      <c r="O375" s="971">
        <v>0</v>
      </c>
      <c r="P375" s="971">
        <v>0</v>
      </c>
      <c r="Q375" s="971">
        <v>309182</v>
      </c>
      <c r="R375" s="970"/>
      <c r="S375" s="971">
        <v>2087824</v>
      </c>
      <c r="T375" s="971">
        <v>-113805</v>
      </c>
      <c r="U375" s="971">
        <v>1974019</v>
      </c>
    </row>
    <row r="376" spans="1:21" x14ac:dyDescent="0.25">
      <c r="A376" s="967">
        <v>93908</v>
      </c>
      <c r="B376" s="968" t="s">
        <v>3688</v>
      </c>
      <c r="C376" s="969">
        <v>4.6920000000000002E-4</v>
      </c>
      <c r="D376" s="969">
        <v>5.1219999999999998E-4</v>
      </c>
      <c r="E376" s="1008">
        <v>243683</v>
      </c>
      <c r="F376" s="1011">
        <v>782500</v>
      </c>
      <c r="G376" s="970">
        <v>1113103</v>
      </c>
      <c r="H376" s="970"/>
      <c r="I376" s="970">
        <v>171725</v>
      </c>
      <c r="J376" s="971">
        <v>152796</v>
      </c>
      <c r="K376" s="971">
        <v>295375</v>
      </c>
      <c r="L376" s="971">
        <v>6110</v>
      </c>
      <c r="M376" s="970"/>
      <c r="N376" s="971">
        <v>5762</v>
      </c>
      <c r="O376" s="971">
        <v>0</v>
      </c>
      <c r="P376" s="971">
        <v>0</v>
      </c>
      <c r="Q376" s="971">
        <v>27396</v>
      </c>
      <c r="R376" s="970"/>
      <c r="S376" s="971">
        <v>309190</v>
      </c>
      <c r="T376" s="971">
        <v>-7217</v>
      </c>
      <c r="U376" s="971">
        <v>301973</v>
      </c>
    </row>
    <row r="377" spans="1:21" x14ac:dyDescent="0.25">
      <c r="A377" s="967">
        <v>93910</v>
      </c>
      <c r="B377" s="968" t="s">
        <v>3015</v>
      </c>
      <c r="C377" s="969">
        <v>2.5769999999999998E-4</v>
      </c>
      <c r="D377" s="969">
        <v>2.786E-4</v>
      </c>
      <c r="E377" s="1008">
        <v>124944</v>
      </c>
      <c r="F377" s="1011">
        <v>425624</v>
      </c>
      <c r="G377" s="970">
        <v>611353</v>
      </c>
      <c r="H377" s="970"/>
      <c r="I377" s="970">
        <v>94317</v>
      </c>
      <c r="J377" s="971">
        <v>83921</v>
      </c>
      <c r="K377" s="971">
        <v>162229</v>
      </c>
      <c r="L377" s="971">
        <v>0</v>
      </c>
      <c r="M377" s="970"/>
      <c r="N377" s="971">
        <v>3165</v>
      </c>
      <c r="O377" s="971">
        <v>0</v>
      </c>
      <c r="P377" s="971">
        <v>0</v>
      </c>
      <c r="Q377" s="971">
        <v>35418</v>
      </c>
      <c r="R377" s="970"/>
      <c r="S377" s="971">
        <v>169817</v>
      </c>
      <c r="T377" s="971">
        <v>-18432</v>
      </c>
      <c r="U377" s="971">
        <v>151385</v>
      </c>
    </row>
    <row r="378" spans="1:21" x14ac:dyDescent="0.25">
      <c r="A378" s="967">
        <v>93911</v>
      </c>
      <c r="B378" s="968" t="s">
        <v>3016</v>
      </c>
      <c r="C378" s="969">
        <v>6.5010000000000003E-4</v>
      </c>
      <c r="D378" s="969">
        <v>6.3429999999999997E-4</v>
      </c>
      <c r="E378" s="1008">
        <v>321853</v>
      </c>
      <c r="F378" s="1011">
        <v>969035</v>
      </c>
      <c r="G378" s="970">
        <v>1542260</v>
      </c>
      <c r="H378" s="970"/>
      <c r="I378" s="970">
        <v>237934</v>
      </c>
      <c r="J378" s="971">
        <v>211706</v>
      </c>
      <c r="K378" s="971">
        <v>409256</v>
      </c>
      <c r="L378" s="971">
        <v>18849</v>
      </c>
      <c r="M378" s="970"/>
      <c r="N378" s="971">
        <v>7984</v>
      </c>
      <c r="O378" s="971">
        <v>0</v>
      </c>
      <c r="P378" s="971">
        <v>0</v>
      </c>
      <c r="Q378" s="971">
        <v>38804</v>
      </c>
      <c r="R378" s="970"/>
      <c r="S378" s="971">
        <v>428398</v>
      </c>
      <c r="T378" s="971">
        <v>-3385</v>
      </c>
      <c r="U378" s="971">
        <v>425013</v>
      </c>
    </row>
    <row r="379" spans="1:21" x14ac:dyDescent="0.25">
      <c r="A379" s="967">
        <v>93913</v>
      </c>
      <c r="B379" s="968" t="s">
        <v>3017</v>
      </c>
      <c r="C379" s="969">
        <v>5.8799999999999999E-5</v>
      </c>
      <c r="D379" s="969">
        <v>5.8799999999999999E-5</v>
      </c>
      <c r="E379" s="1008">
        <v>32428</v>
      </c>
      <c r="F379" s="1011">
        <v>89830</v>
      </c>
      <c r="G379" s="970">
        <v>139494</v>
      </c>
      <c r="H379" s="970"/>
      <c r="I379" s="970">
        <v>21521</v>
      </c>
      <c r="J379" s="971">
        <v>19148</v>
      </c>
      <c r="K379" s="971">
        <v>37016</v>
      </c>
      <c r="L379" s="971">
        <v>4809</v>
      </c>
      <c r="M379" s="970"/>
      <c r="N379" s="971">
        <v>722</v>
      </c>
      <c r="O379" s="971">
        <v>0</v>
      </c>
      <c r="P379" s="971">
        <v>0</v>
      </c>
      <c r="Q379" s="971">
        <v>526</v>
      </c>
      <c r="R379" s="970"/>
      <c r="S379" s="971">
        <v>38748</v>
      </c>
      <c r="T379" s="971">
        <v>1207</v>
      </c>
      <c r="U379" s="971">
        <v>39955</v>
      </c>
    </row>
    <row r="380" spans="1:21" x14ac:dyDescent="0.25">
      <c r="A380" s="967">
        <v>93914</v>
      </c>
      <c r="B380" s="968" t="s">
        <v>3018</v>
      </c>
      <c r="C380" s="969">
        <v>7.1999999999999997E-6</v>
      </c>
      <c r="D380" s="969">
        <v>8.1000000000000004E-6</v>
      </c>
      <c r="E380" s="1008">
        <v>6762</v>
      </c>
      <c r="F380" s="1011">
        <v>12375</v>
      </c>
      <c r="G380" s="970">
        <v>17081</v>
      </c>
      <c r="H380" s="970"/>
      <c r="I380" s="970">
        <v>2635</v>
      </c>
      <c r="J380" s="971">
        <v>2345</v>
      </c>
      <c r="K380" s="971">
        <v>4533</v>
      </c>
      <c r="L380" s="971">
        <v>4000</v>
      </c>
      <c r="M380" s="970"/>
      <c r="N380" s="971">
        <v>88</v>
      </c>
      <c r="O380" s="971">
        <v>0</v>
      </c>
      <c r="P380" s="971">
        <v>0</v>
      </c>
      <c r="Q380" s="971">
        <v>0</v>
      </c>
      <c r="R380" s="970"/>
      <c r="S380" s="971">
        <v>4745</v>
      </c>
      <c r="T380" s="971">
        <v>2002</v>
      </c>
      <c r="U380" s="971">
        <v>6747</v>
      </c>
    </row>
    <row r="381" spans="1:21" x14ac:dyDescent="0.25">
      <c r="A381" s="967">
        <v>93921</v>
      </c>
      <c r="B381" s="968" t="s">
        <v>3019</v>
      </c>
      <c r="C381" s="969">
        <v>2.8259999999999998E-4</v>
      </c>
      <c r="D381" s="969">
        <v>2.9020000000000001E-4</v>
      </c>
      <c r="E381" s="1008">
        <v>137543</v>
      </c>
      <c r="F381" s="1011">
        <v>443345</v>
      </c>
      <c r="G381" s="970">
        <v>670424</v>
      </c>
      <c r="H381" s="970"/>
      <c r="I381" s="970">
        <v>103430</v>
      </c>
      <c r="J381" s="971">
        <v>92030</v>
      </c>
      <c r="K381" s="971">
        <v>177905</v>
      </c>
      <c r="L381" s="971">
        <v>8166</v>
      </c>
      <c r="M381" s="970"/>
      <c r="N381" s="971">
        <v>3471</v>
      </c>
      <c r="O381" s="971">
        <v>0</v>
      </c>
      <c r="P381" s="971">
        <v>0</v>
      </c>
      <c r="Q381" s="971">
        <v>9312</v>
      </c>
      <c r="R381" s="970"/>
      <c r="S381" s="971">
        <v>186226</v>
      </c>
      <c r="T381" s="971">
        <v>4786</v>
      </c>
      <c r="U381" s="971">
        <v>191012</v>
      </c>
    </row>
    <row r="382" spans="1:21" x14ac:dyDescent="0.25">
      <c r="A382" s="967">
        <v>93931</v>
      </c>
      <c r="B382" s="968" t="s">
        <v>3020</v>
      </c>
      <c r="C382" s="969">
        <v>5.4460000000000001E-4</v>
      </c>
      <c r="D382" s="969">
        <v>5.0029999999999996E-4</v>
      </c>
      <c r="E382" s="1008">
        <v>238502</v>
      </c>
      <c r="F382" s="1011">
        <v>764320</v>
      </c>
      <c r="G382" s="970">
        <v>1291977</v>
      </c>
      <c r="H382" s="970"/>
      <c r="I382" s="970">
        <v>199321</v>
      </c>
      <c r="J382" s="971">
        <v>177350</v>
      </c>
      <c r="K382" s="971">
        <v>342841</v>
      </c>
      <c r="L382" s="971">
        <v>27595</v>
      </c>
      <c r="M382" s="970"/>
      <c r="N382" s="971">
        <v>6688</v>
      </c>
      <c r="O382" s="971">
        <v>0</v>
      </c>
      <c r="P382" s="971">
        <v>0</v>
      </c>
      <c r="Q382" s="971">
        <v>28225</v>
      </c>
      <c r="R382" s="970"/>
      <c r="S382" s="971">
        <v>358877</v>
      </c>
      <c r="T382" s="971">
        <v>80772</v>
      </c>
      <c r="U382" s="971">
        <v>439649</v>
      </c>
    </row>
    <row r="383" spans="1:21" x14ac:dyDescent="0.25">
      <c r="A383" s="967">
        <v>94001</v>
      </c>
      <c r="B383" s="968" t="s">
        <v>3021</v>
      </c>
      <c r="C383" s="969">
        <v>9.366E-4</v>
      </c>
      <c r="D383" s="969">
        <v>9.209E-4</v>
      </c>
      <c r="E383" s="1008">
        <v>461320</v>
      </c>
      <c r="F383" s="1011">
        <v>1406880</v>
      </c>
      <c r="G383" s="970">
        <v>2221936</v>
      </c>
      <c r="H383" s="970"/>
      <c r="I383" s="970">
        <v>342792</v>
      </c>
      <c r="J383" s="971">
        <v>305006</v>
      </c>
      <c r="K383" s="971">
        <v>589616</v>
      </c>
      <c r="L383" s="971">
        <v>45071</v>
      </c>
      <c r="M383" s="970"/>
      <c r="N383" s="971">
        <v>11502</v>
      </c>
      <c r="O383" s="971">
        <v>0</v>
      </c>
      <c r="P383" s="971">
        <v>0</v>
      </c>
      <c r="Q383" s="971">
        <v>944</v>
      </c>
      <c r="R383" s="970"/>
      <c r="S383" s="971">
        <v>617194</v>
      </c>
      <c r="T383" s="971">
        <v>-8755</v>
      </c>
      <c r="U383" s="971">
        <v>608439</v>
      </c>
    </row>
    <row r="384" spans="1:21" x14ac:dyDescent="0.25">
      <c r="A384" s="967">
        <v>94002</v>
      </c>
      <c r="B384" s="968" t="s">
        <v>3022</v>
      </c>
      <c r="C384" s="969">
        <v>5.9000000000000003E-6</v>
      </c>
      <c r="D384" s="969">
        <v>7.0999999999999998E-6</v>
      </c>
      <c r="E384" s="1008">
        <v>4786</v>
      </c>
      <c r="F384" s="1011">
        <v>10847</v>
      </c>
      <c r="G384" s="970">
        <v>13997</v>
      </c>
      <c r="H384" s="970"/>
      <c r="I384" s="970">
        <v>2159</v>
      </c>
      <c r="J384" s="971">
        <v>1921</v>
      </c>
      <c r="K384" s="971">
        <v>3714</v>
      </c>
      <c r="L384" s="971">
        <v>1637</v>
      </c>
      <c r="M384" s="970"/>
      <c r="N384" s="971">
        <v>72</v>
      </c>
      <c r="O384" s="971">
        <v>0</v>
      </c>
      <c r="P384" s="971">
        <v>0</v>
      </c>
      <c r="Q384" s="971">
        <v>0</v>
      </c>
      <c r="R384" s="970"/>
      <c r="S384" s="971">
        <v>3888</v>
      </c>
      <c r="T384" s="971">
        <v>404</v>
      </c>
      <c r="U384" s="971">
        <v>4292</v>
      </c>
    </row>
    <row r="385" spans="1:21" x14ac:dyDescent="0.25">
      <c r="A385" s="967">
        <v>94004</v>
      </c>
      <c r="B385" s="968" t="s">
        <v>3023</v>
      </c>
      <c r="C385" s="969">
        <v>7.3000000000000004E-6</v>
      </c>
      <c r="D385" s="969">
        <v>7.3000000000000004E-6</v>
      </c>
      <c r="E385" s="1008">
        <v>4601</v>
      </c>
      <c r="F385" s="1011">
        <v>11152</v>
      </c>
      <c r="G385" s="970">
        <v>17318</v>
      </c>
      <c r="H385" s="970"/>
      <c r="I385" s="970">
        <v>2672</v>
      </c>
      <c r="J385" s="971">
        <v>2377</v>
      </c>
      <c r="K385" s="971">
        <v>4596</v>
      </c>
      <c r="L385" s="971">
        <v>4289</v>
      </c>
      <c r="M385" s="970"/>
      <c r="N385" s="971">
        <v>90</v>
      </c>
      <c r="O385" s="971">
        <v>0</v>
      </c>
      <c r="P385" s="971">
        <v>0</v>
      </c>
      <c r="Q385" s="971">
        <v>35</v>
      </c>
      <c r="R385" s="970"/>
      <c r="S385" s="971">
        <v>4811</v>
      </c>
      <c r="T385" s="971">
        <v>918</v>
      </c>
      <c r="U385" s="971">
        <v>5729</v>
      </c>
    </row>
    <row r="386" spans="1:21" x14ac:dyDescent="0.25">
      <c r="A386" s="967">
        <v>94005</v>
      </c>
      <c r="B386" s="968" t="s">
        <v>3024</v>
      </c>
      <c r="C386" s="969">
        <v>4.6999999999999999E-6</v>
      </c>
      <c r="D386" s="969">
        <v>0</v>
      </c>
      <c r="E386" s="1008">
        <v>2453</v>
      </c>
      <c r="F386" s="1011">
        <v>0</v>
      </c>
      <c r="G386" s="970">
        <v>11150</v>
      </c>
      <c r="H386" s="970"/>
      <c r="I386" s="970">
        <v>1720</v>
      </c>
      <c r="J386" s="971">
        <v>1531</v>
      </c>
      <c r="K386" s="971">
        <v>2959</v>
      </c>
      <c r="L386" s="971">
        <v>3483</v>
      </c>
      <c r="M386" s="970"/>
      <c r="N386" s="971">
        <v>58</v>
      </c>
      <c r="O386" s="971">
        <v>0</v>
      </c>
      <c r="P386" s="971">
        <v>0</v>
      </c>
      <c r="Q386" s="971">
        <v>3881</v>
      </c>
      <c r="R386" s="970"/>
      <c r="S386" s="971">
        <v>3097</v>
      </c>
      <c r="T386" s="971">
        <v>-1112</v>
      </c>
      <c r="U386" s="971">
        <v>1985</v>
      </c>
    </row>
    <row r="387" spans="1:21" x14ac:dyDescent="0.25">
      <c r="A387" s="967">
        <v>94011</v>
      </c>
      <c r="B387" s="968" t="s">
        <v>3025</v>
      </c>
      <c r="C387" s="969">
        <v>2.8399999999999999E-5</v>
      </c>
      <c r="D387" s="969">
        <v>2.3600000000000001E-5</v>
      </c>
      <c r="E387" s="1008">
        <v>11858</v>
      </c>
      <c r="F387" s="1011">
        <v>36054</v>
      </c>
      <c r="G387" s="970">
        <v>67375</v>
      </c>
      <c r="H387" s="970"/>
      <c r="I387" s="970">
        <v>10394</v>
      </c>
      <c r="J387" s="971">
        <v>9249</v>
      </c>
      <c r="K387" s="971">
        <v>17879</v>
      </c>
      <c r="L387" s="971">
        <v>3892</v>
      </c>
      <c r="M387" s="970"/>
      <c r="N387" s="971">
        <v>349</v>
      </c>
      <c r="O387" s="971">
        <v>0</v>
      </c>
      <c r="P387" s="971">
        <v>0</v>
      </c>
      <c r="Q387" s="971">
        <v>2020</v>
      </c>
      <c r="R387" s="970"/>
      <c r="S387" s="971">
        <v>18715</v>
      </c>
      <c r="T387" s="971">
        <v>438</v>
      </c>
      <c r="U387" s="971">
        <v>19153</v>
      </c>
    </row>
    <row r="388" spans="1:21" x14ac:dyDescent="0.25">
      <c r="A388" s="967">
        <v>94021</v>
      </c>
      <c r="B388" s="968" t="s">
        <v>3026</v>
      </c>
      <c r="C388" s="969">
        <v>8.8800000000000004E-5</v>
      </c>
      <c r="D388" s="969">
        <v>9.3399999999999993E-5</v>
      </c>
      <c r="E388" s="1008">
        <v>48100</v>
      </c>
      <c r="F388" s="1011">
        <v>142689</v>
      </c>
      <c r="G388" s="970">
        <v>210664</v>
      </c>
      <c r="H388" s="970"/>
      <c r="I388" s="970">
        <v>32500</v>
      </c>
      <c r="J388" s="971">
        <v>28917</v>
      </c>
      <c r="K388" s="971">
        <v>55902</v>
      </c>
      <c r="L388" s="971">
        <v>11919</v>
      </c>
      <c r="M388" s="970"/>
      <c r="N388" s="971">
        <v>1091</v>
      </c>
      <c r="O388" s="971">
        <v>0</v>
      </c>
      <c r="P388" s="971">
        <v>0</v>
      </c>
      <c r="Q388" s="971">
        <v>0</v>
      </c>
      <c r="R388" s="970"/>
      <c r="S388" s="971">
        <v>58517</v>
      </c>
      <c r="T388" s="971">
        <v>8639</v>
      </c>
      <c r="U388" s="971">
        <v>67156</v>
      </c>
    </row>
    <row r="389" spans="1:21" x14ac:dyDescent="0.25">
      <c r="A389" s="967">
        <v>94031</v>
      </c>
      <c r="B389" s="968" t="s">
        <v>3027</v>
      </c>
      <c r="C389" s="969">
        <v>4.8999999999999997E-6</v>
      </c>
      <c r="D389" s="969">
        <v>5.4E-6</v>
      </c>
      <c r="E389" s="1008">
        <v>7087</v>
      </c>
      <c r="F389" s="1011">
        <v>8250</v>
      </c>
      <c r="G389" s="970">
        <v>11624</v>
      </c>
      <c r="H389" s="970"/>
      <c r="I389" s="970">
        <v>1793</v>
      </c>
      <c r="J389" s="971">
        <v>1596</v>
      </c>
      <c r="K389" s="971">
        <v>3085</v>
      </c>
      <c r="L389" s="971">
        <v>7753</v>
      </c>
      <c r="M389" s="970"/>
      <c r="N389" s="971">
        <v>60</v>
      </c>
      <c r="O389" s="971">
        <v>0</v>
      </c>
      <c r="P389" s="971">
        <v>0</v>
      </c>
      <c r="Q389" s="971">
        <v>0</v>
      </c>
      <c r="R389" s="970"/>
      <c r="S389" s="971">
        <v>3229</v>
      </c>
      <c r="T389" s="971">
        <v>3678</v>
      </c>
      <c r="U389" s="971">
        <v>6907</v>
      </c>
    </row>
    <row r="390" spans="1:21" x14ac:dyDescent="0.25">
      <c r="A390" s="967">
        <v>94101</v>
      </c>
      <c r="B390" s="968" t="s">
        <v>3028</v>
      </c>
      <c r="C390" s="969">
        <v>1.8137199999999999E-2</v>
      </c>
      <c r="D390" s="969">
        <v>1.8321799999999999E-2</v>
      </c>
      <c r="E390" s="1008">
        <v>9082875</v>
      </c>
      <c r="F390" s="1011">
        <v>27990635</v>
      </c>
      <c r="G390" s="970">
        <v>43027641</v>
      </c>
      <c r="H390" s="970"/>
      <c r="I390" s="970">
        <v>6638143</v>
      </c>
      <c r="J390" s="971">
        <v>5906416</v>
      </c>
      <c r="K390" s="971">
        <v>11417875</v>
      </c>
      <c r="L390" s="971">
        <v>156015</v>
      </c>
      <c r="M390" s="970"/>
      <c r="N390" s="971">
        <v>222743</v>
      </c>
      <c r="O390" s="971">
        <v>0</v>
      </c>
      <c r="P390" s="971">
        <v>0</v>
      </c>
      <c r="Q390" s="971">
        <v>304690</v>
      </c>
      <c r="R390" s="970"/>
      <c r="S390" s="971">
        <v>11951925</v>
      </c>
      <c r="T390" s="971">
        <v>-259645</v>
      </c>
      <c r="U390" s="971">
        <v>11692280</v>
      </c>
    </row>
    <row r="391" spans="1:21" x14ac:dyDescent="0.25">
      <c r="A391" s="967">
        <v>94102</v>
      </c>
      <c r="B391" s="968" t="s">
        <v>3029</v>
      </c>
      <c r="C391" s="969">
        <v>2.8909999999999998E-4</v>
      </c>
      <c r="D391" s="969">
        <v>2.965E-4</v>
      </c>
      <c r="E391" s="1008">
        <v>109831</v>
      </c>
      <c r="F391" s="1011">
        <v>452970</v>
      </c>
      <c r="G391" s="970">
        <v>685844</v>
      </c>
      <c r="H391" s="970"/>
      <c r="I391" s="970">
        <v>105809</v>
      </c>
      <c r="J391" s="971">
        <v>94146</v>
      </c>
      <c r="K391" s="971">
        <v>181997</v>
      </c>
      <c r="L391" s="971">
        <v>0</v>
      </c>
      <c r="M391" s="970"/>
      <c r="N391" s="971">
        <v>3550</v>
      </c>
      <c r="O391" s="971">
        <v>0</v>
      </c>
      <c r="P391" s="971">
        <v>0</v>
      </c>
      <c r="Q391" s="971">
        <v>53559</v>
      </c>
      <c r="R391" s="970"/>
      <c r="S391" s="971">
        <v>190509</v>
      </c>
      <c r="T391" s="971">
        <v>-18988</v>
      </c>
      <c r="U391" s="971">
        <v>171521</v>
      </c>
    </row>
    <row r="392" spans="1:21" x14ac:dyDescent="0.25">
      <c r="A392" s="967">
        <v>94108</v>
      </c>
      <c r="B392" s="968" t="s">
        <v>3030</v>
      </c>
      <c r="C392" s="969">
        <v>3.8549999999999999E-4</v>
      </c>
      <c r="D392" s="969">
        <v>3.1389999999999999E-4</v>
      </c>
      <c r="E392" s="1008">
        <v>141635</v>
      </c>
      <c r="F392" s="1011">
        <v>479552</v>
      </c>
      <c r="G392" s="970">
        <v>914538</v>
      </c>
      <c r="H392" s="970"/>
      <c r="I392" s="970">
        <v>141091</v>
      </c>
      <c r="J392" s="971">
        <v>125539</v>
      </c>
      <c r="K392" s="971">
        <v>242683</v>
      </c>
      <c r="L392" s="971">
        <v>13586</v>
      </c>
      <c r="M392" s="970"/>
      <c r="N392" s="971">
        <v>4734</v>
      </c>
      <c r="O392" s="971">
        <v>0</v>
      </c>
      <c r="P392" s="971">
        <v>0</v>
      </c>
      <c r="Q392" s="971">
        <v>61281</v>
      </c>
      <c r="R392" s="970"/>
      <c r="S392" s="971">
        <v>254034</v>
      </c>
      <c r="T392" s="971">
        <v>-43929</v>
      </c>
      <c r="U392" s="971">
        <v>210105</v>
      </c>
    </row>
    <row r="393" spans="1:21" x14ac:dyDescent="0.25">
      <c r="A393" s="967">
        <v>94109</v>
      </c>
      <c r="B393" s="968" t="s">
        <v>3031</v>
      </c>
      <c r="C393" s="969">
        <v>9.8200000000000002E-5</v>
      </c>
      <c r="D393" s="969">
        <v>9.09E-5</v>
      </c>
      <c r="E393" s="1008">
        <v>34309</v>
      </c>
      <c r="F393" s="1011">
        <v>138870</v>
      </c>
      <c r="G393" s="970">
        <v>232964</v>
      </c>
      <c r="H393" s="970"/>
      <c r="I393" s="970">
        <v>35941</v>
      </c>
      <c r="J393" s="971">
        <v>31979</v>
      </c>
      <c r="K393" s="971">
        <v>61820</v>
      </c>
      <c r="L393" s="971">
        <v>0</v>
      </c>
      <c r="M393" s="970"/>
      <c r="N393" s="971">
        <v>1206</v>
      </c>
      <c r="O393" s="971">
        <v>0</v>
      </c>
      <c r="P393" s="971">
        <v>0</v>
      </c>
      <c r="Q393" s="971">
        <v>33379</v>
      </c>
      <c r="R393" s="970"/>
      <c r="S393" s="971">
        <v>64711</v>
      </c>
      <c r="T393" s="971">
        <v>-14342</v>
      </c>
      <c r="U393" s="971">
        <v>50369</v>
      </c>
    </row>
    <row r="394" spans="1:21" x14ac:dyDescent="0.25">
      <c r="A394" s="967">
        <v>94111</v>
      </c>
      <c r="B394" s="968" t="s">
        <v>3032</v>
      </c>
      <c r="C394" s="969">
        <v>2.4882899999999999E-2</v>
      </c>
      <c r="D394" s="969">
        <v>2.5682300000000002E-2</v>
      </c>
      <c r="E394" s="1008">
        <v>12055216</v>
      </c>
      <c r="F394" s="1011">
        <v>39235440</v>
      </c>
      <c r="G394" s="970">
        <v>59030749</v>
      </c>
      <c r="H394" s="970"/>
      <c r="I394" s="970">
        <v>9107042</v>
      </c>
      <c r="J394" s="971">
        <v>8103166</v>
      </c>
      <c r="K394" s="971">
        <v>15664482</v>
      </c>
      <c r="L394" s="971">
        <v>0</v>
      </c>
      <c r="M394" s="970"/>
      <c r="N394" s="971">
        <v>305587</v>
      </c>
      <c r="O394" s="971">
        <v>0</v>
      </c>
      <c r="P394" s="971">
        <v>0</v>
      </c>
      <c r="Q394" s="971">
        <v>1628449</v>
      </c>
      <c r="R394" s="970"/>
      <c r="S394" s="971">
        <v>16397159</v>
      </c>
      <c r="T394" s="971">
        <v>-691916</v>
      </c>
      <c r="U394" s="971">
        <v>15705243</v>
      </c>
    </row>
    <row r="395" spans="1:21" x14ac:dyDescent="0.25">
      <c r="A395" s="967">
        <v>94112</v>
      </c>
      <c r="B395" s="968" t="s">
        <v>3033</v>
      </c>
      <c r="C395" s="969">
        <v>1.684E-4</v>
      </c>
      <c r="D395" s="969">
        <v>1.6699999999999999E-4</v>
      </c>
      <c r="E395" s="1008">
        <v>76727</v>
      </c>
      <c r="F395" s="1011">
        <v>255130</v>
      </c>
      <c r="G395" s="970">
        <v>399502</v>
      </c>
      <c r="H395" s="970"/>
      <c r="I395" s="970">
        <v>61634</v>
      </c>
      <c r="J395" s="971">
        <v>54840</v>
      </c>
      <c r="K395" s="971">
        <v>106013</v>
      </c>
      <c r="L395" s="971">
        <v>0</v>
      </c>
      <c r="M395" s="970"/>
      <c r="N395" s="971">
        <v>2068</v>
      </c>
      <c r="O395" s="971">
        <v>0</v>
      </c>
      <c r="P395" s="971">
        <v>0</v>
      </c>
      <c r="Q395" s="971">
        <v>14012</v>
      </c>
      <c r="R395" s="970"/>
      <c r="S395" s="971">
        <v>110971</v>
      </c>
      <c r="T395" s="971">
        <v>-9395</v>
      </c>
      <c r="U395" s="971">
        <v>101576</v>
      </c>
    </row>
    <row r="396" spans="1:21" x14ac:dyDescent="0.25">
      <c r="A396" s="967">
        <v>94117</v>
      </c>
      <c r="B396" s="968" t="s">
        <v>3034</v>
      </c>
      <c r="C396" s="969">
        <v>3.5429999999999999E-4</v>
      </c>
      <c r="D396" s="969">
        <v>3.9809999999999997E-4</v>
      </c>
      <c r="E396" s="1008">
        <v>182767</v>
      </c>
      <c r="F396" s="1011">
        <v>608187</v>
      </c>
      <c r="G396" s="970">
        <v>840521</v>
      </c>
      <c r="H396" s="970"/>
      <c r="I396" s="970">
        <v>129672</v>
      </c>
      <c r="J396" s="971">
        <v>115378</v>
      </c>
      <c r="K396" s="971">
        <v>223042</v>
      </c>
      <c r="L396" s="971">
        <v>3605</v>
      </c>
      <c r="M396" s="970"/>
      <c r="N396" s="971">
        <v>4351</v>
      </c>
      <c r="O396" s="971">
        <v>0</v>
      </c>
      <c r="P396" s="971">
        <v>0</v>
      </c>
      <c r="Q396" s="971">
        <v>34793</v>
      </c>
      <c r="R396" s="970"/>
      <c r="S396" s="971">
        <v>233474</v>
      </c>
      <c r="T396" s="971">
        <v>-6033</v>
      </c>
      <c r="U396" s="971">
        <v>227441</v>
      </c>
    </row>
    <row r="397" spans="1:21" x14ac:dyDescent="0.25">
      <c r="A397" s="967">
        <v>94118</v>
      </c>
      <c r="B397" s="968" t="s">
        <v>3035</v>
      </c>
      <c r="C397" s="969">
        <v>1.6009999999999999E-4</v>
      </c>
      <c r="D397" s="969">
        <v>1.494E-4</v>
      </c>
      <c r="E397" s="1008">
        <v>64548</v>
      </c>
      <c r="F397" s="1011">
        <v>228242</v>
      </c>
      <c r="G397" s="970">
        <v>379812</v>
      </c>
      <c r="H397" s="970"/>
      <c r="I397" s="970">
        <v>58596</v>
      </c>
      <c r="J397" s="971">
        <v>52137</v>
      </c>
      <c r="K397" s="971">
        <v>100787</v>
      </c>
      <c r="L397" s="971">
        <v>0</v>
      </c>
      <c r="M397" s="970"/>
      <c r="N397" s="971">
        <v>1966</v>
      </c>
      <c r="O397" s="971">
        <v>0</v>
      </c>
      <c r="P397" s="971">
        <v>0</v>
      </c>
      <c r="Q397" s="971">
        <v>35288</v>
      </c>
      <c r="R397" s="970"/>
      <c r="S397" s="971">
        <v>105502</v>
      </c>
      <c r="T397" s="971">
        <v>-25547</v>
      </c>
      <c r="U397" s="971">
        <v>79955</v>
      </c>
    </row>
    <row r="398" spans="1:21" x14ac:dyDescent="0.25">
      <c r="A398" s="967">
        <v>94121</v>
      </c>
      <c r="B398" s="968" t="s">
        <v>3036</v>
      </c>
      <c r="C398" s="969">
        <v>1.1314299999999999E-2</v>
      </c>
      <c r="D398" s="969">
        <v>1.1246000000000001E-2</v>
      </c>
      <c r="E398" s="1008">
        <v>5648221</v>
      </c>
      <c r="F398" s="1011">
        <v>17180773</v>
      </c>
      <c r="G398" s="970">
        <v>26841389</v>
      </c>
      <c r="H398" s="970"/>
      <c r="I398" s="970">
        <v>4140989</v>
      </c>
      <c r="J398" s="971">
        <v>3684524</v>
      </c>
      <c r="K398" s="971">
        <v>7122669</v>
      </c>
      <c r="L398" s="971">
        <v>178797</v>
      </c>
      <c r="M398" s="970"/>
      <c r="N398" s="971">
        <v>138951</v>
      </c>
      <c r="O398" s="971">
        <v>0</v>
      </c>
      <c r="P398" s="971">
        <v>0</v>
      </c>
      <c r="Q398" s="971">
        <v>124923</v>
      </c>
      <c r="R398" s="970"/>
      <c r="S398" s="971">
        <v>7455818</v>
      </c>
      <c r="T398" s="971">
        <v>-92749</v>
      </c>
      <c r="U398" s="971">
        <v>7363069</v>
      </c>
    </row>
    <row r="399" spans="1:21" x14ac:dyDescent="0.25">
      <c r="A399" s="967">
        <v>94127</v>
      </c>
      <c r="B399" s="968" t="s">
        <v>3037</v>
      </c>
      <c r="C399" s="969">
        <v>1.5310000000000001E-4</v>
      </c>
      <c r="D399" s="969">
        <v>1.7310000000000001E-4</v>
      </c>
      <c r="E399" s="1008">
        <v>77193</v>
      </c>
      <c r="F399" s="1011">
        <v>264449</v>
      </c>
      <c r="G399" s="970">
        <v>363206</v>
      </c>
      <c r="H399" s="970"/>
      <c r="I399" s="970">
        <v>56034</v>
      </c>
      <c r="J399" s="971">
        <v>49857</v>
      </c>
      <c r="K399" s="971">
        <v>96381</v>
      </c>
      <c r="L399" s="971">
        <v>5878</v>
      </c>
      <c r="M399" s="970"/>
      <c r="N399" s="971">
        <v>1880</v>
      </c>
      <c r="O399" s="971">
        <v>0</v>
      </c>
      <c r="P399" s="971">
        <v>0</v>
      </c>
      <c r="Q399" s="971">
        <v>12665</v>
      </c>
      <c r="R399" s="970"/>
      <c r="S399" s="971">
        <v>100889</v>
      </c>
      <c r="T399" s="971">
        <v>-521</v>
      </c>
      <c r="U399" s="971">
        <v>100368</v>
      </c>
    </row>
    <row r="400" spans="1:21" x14ac:dyDescent="0.25">
      <c r="A400" s="967">
        <v>94131</v>
      </c>
      <c r="B400" s="968" t="s">
        <v>3038</v>
      </c>
      <c r="C400" s="969">
        <v>2.039E-4</v>
      </c>
      <c r="D400" s="969">
        <v>1.7479999999999999E-4</v>
      </c>
      <c r="E400" s="1008">
        <v>104615</v>
      </c>
      <c r="F400" s="1011">
        <v>267046</v>
      </c>
      <c r="G400" s="970">
        <v>483721</v>
      </c>
      <c r="H400" s="970"/>
      <c r="I400" s="970">
        <v>74627</v>
      </c>
      <c r="J400" s="971">
        <v>66401</v>
      </c>
      <c r="K400" s="971">
        <v>128361</v>
      </c>
      <c r="L400" s="971">
        <v>26135</v>
      </c>
      <c r="M400" s="970"/>
      <c r="N400" s="971">
        <v>2504</v>
      </c>
      <c r="O400" s="971">
        <v>0</v>
      </c>
      <c r="P400" s="971">
        <v>0</v>
      </c>
      <c r="Q400" s="971">
        <v>6379</v>
      </c>
      <c r="R400" s="970"/>
      <c r="S400" s="971">
        <v>134365</v>
      </c>
      <c r="T400" s="971">
        <v>5028</v>
      </c>
      <c r="U400" s="971">
        <v>139393</v>
      </c>
    </row>
    <row r="401" spans="1:21" x14ac:dyDescent="0.25">
      <c r="A401" s="967">
        <v>94151</v>
      </c>
      <c r="B401" s="968" t="s">
        <v>3039</v>
      </c>
      <c r="C401" s="969">
        <v>4.6470000000000002E-4</v>
      </c>
      <c r="D401" s="969">
        <v>4.1590000000000003E-4</v>
      </c>
      <c r="E401" s="1008">
        <v>198962</v>
      </c>
      <c r="F401" s="1011">
        <v>635380</v>
      </c>
      <c r="G401" s="970">
        <v>1102427</v>
      </c>
      <c r="H401" s="970"/>
      <c r="I401" s="970">
        <v>170078</v>
      </c>
      <c r="J401" s="971">
        <v>151331</v>
      </c>
      <c r="K401" s="971">
        <v>292542</v>
      </c>
      <c r="L401" s="971">
        <v>12138</v>
      </c>
      <c r="M401" s="970"/>
      <c r="N401" s="971">
        <v>5707</v>
      </c>
      <c r="O401" s="971">
        <v>0</v>
      </c>
      <c r="P401" s="971">
        <v>0</v>
      </c>
      <c r="Q401" s="971">
        <v>23819</v>
      </c>
      <c r="R401" s="970"/>
      <c r="S401" s="971">
        <v>306225</v>
      </c>
      <c r="T401" s="971">
        <v>-9818</v>
      </c>
      <c r="U401" s="971">
        <v>296407</v>
      </c>
    </row>
    <row r="402" spans="1:21" x14ac:dyDescent="0.25">
      <c r="A402" s="967">
        <v>94157</v>
      </c>
      <c r="B402" s="968" t="s">
        <v>3040</v>
      </c>
      <c r="C402" s="969">
        <v>8.4999999999999999E-6</v>
      </c>
      <c r="D402" s="969">
        <v>8.8999999999999995E-6</v>
      </c>
      <c r="E402" s="1008">
        <v>5164</v>
      </c>
      <c r="F402" s="1011">
        <v>13597</v>
      </c>
      <c r="G402" s="970">
        <v>20165</v>
      </c>
      <c r="H402" s="970"/>
      <c r="I402" s="970">
        <v>3111</v>
      </c>
      <c r="J402" s="971">
        <v>2768</v>
      </c>
      <c r="K402" s="971">
        <v>5351</v>
      </c>
      <c r="L402" s="971">
        <v>2192</v>
      </c>
      <c r="M402" s="970"/>
      <c r="N402" s="971">
        <v>104</v>
      </c>
      <c r="O402" s="971">
        <v>0</v>
      </c>
      <c r="P402" s="971">
        <v>0</v>
      </c>
      <c r="Q402" s="971">
        <v>0</v>
      </c>
      <c r="R402" s="970"/>
      <c r="S402" s="971">
        <v>5601</v>
      </c>
      <c r="T402" s="971">
        <v>2203</v>
      </c>
      <c r="U402" s="971">
        <v>7804</v>
      </c>
    </row>
    <row r="403" spans="1:21" x14ac:dyDescent="0.25">
      <c r="A403" s="967">
        <v>94161</v>
      </c>
      <c r="B403" s="968" t="s">
        <v>3041</v>
      </c>
      <c r="C403" s="969">
        <v>3.4999999999999997E-5</v>
      </c>
      <c r="D403" s="969">
        <v>5.1900000000000001E-5</v>
      </c>
      <c r="E403" s="1008">
        <v>22913</v>
      </c>
      <c r="F403" s="1011">
        <v>79289</v>
      </c>
      <c r="G403" s="970">
        <v>83032</v>
      </c>
      <c r="H403" s="970"/>
      <c r="I403" s="970">
        <v>12810</v>
      </c>
      <c r="J403" s="971">
        <v>11398</v>
      </c>
      <c r="K403" s="971">
        <v>22033</v>
      </c>
      <c r="L403" s="971">
        <v>2371</v>
      </c>
      <c r="M403" s="970"/>
      <c r="N403" s="971">
        <v>430</v>
      </c>
      <c r="O403" s="971">
        <v>0</v>
      </c>
      <c r="P403" s="971">
        <v>0</v>
      </c>
      <c r="Q403" s="971">
        <v>9815</v>
      </c>
      <c r="R403" s="970"/>
      <c r="S403" s="971">
        <v>23064</v>
      </c>
      <c r="T403" s="971">
        <v>432</v>
      </c>
      <c r="U403" s="971">
        <v>23496</v>
      </c>
    </row>
    <row r="404" spans="1:21" x14ac:dyDescent="0.25">
      <c r="A404" s="967">
        <v>94168</v>
      </c>
      <c r="B404" s="968" t="s">
        <v>3042</v>
      </c>
      <c r="C404" s="969">
        <v>5.0800000000000002E-5</v>
      </c>
      <c r="D404" s="969">
        <v>2.5899999999999999E-5</v>
      </c>
      <c r="E404" s="1008">
        <v>22540</v>
      </c>
      <c r="F404" s="1011">
        <v>39568</v>
      </c>
      <c r="G404" s="970">
        <v>120515</v>
      </c>
      <c r="H404" s="970"/>
      <c r="I404" s="970">
        <v>18593</v>
      </c>
      <c r="J404" s="971">
        <v>16543</v>
      </c>
      <c r="K404" s="971">
        <v>31980</v>
      </c>
      <c r="L404" s="971">
        <v>15950</v>
      </c>
      <c r="M404" s="970"/>
      <c r="N404" s="971">
        <v>624</v>
      </c>
      <c r="O404" s="971">
        <v>0</v>
      </c>
      <c r="P404" s="971">
        <v>0</v>
      </c>
      <c r="Q404" s="971">
        <v>6240</v>
      </c>
      <c r="R404" s="970"/>
      <c r="S404" s="971">
        <v>33476</v>
      </c>
      <c r="T404" s="971">
        <v>-1436</v>
      </c>
      <c r="U404" s="971">
        <v>32040</v>
      </c>
    </row>
    <row r="405" spans="1:21" x14ac:dyDescent="0.25">
      <c r="A405" s="967">
        <v>94171</v>
      </c>
      <c r="B405" s="968" t="s">
        <v>3043</v>
      </c>
      <c r="C405" s="969">
        <v>7.9800000000000002E-5</v>
      </c>
      <c r="D405" s="969">
        <v>6.9800000000000003E-5</v>
      </c>
      <c r="E405" s="1008">
        <v>32386</v>
      </c>
      <c r="F405" s="1011">
        <v>106635</v>
      </c>
      <c r="G405" s="970">
        <v>189313</v>
      </c>
      <c r="H405" s="970"/>
      <c r="I405" s="970">
        <v>29206</v>
      </c>
      <c r="J405" s="971">
        <v>25987</v>
      </c>
      <c r="K405" s="971">
        <v>50236</v>
      </c>
      <c r="L405" s="971">
        <v>8192</v>
      </c>
      <c r="M405" s="970"/>
      <c r="N405" s="971">
        <v>980</v>
      </c>
      <c r="O405" s="971">
        <v>0</v>
      </c>
      <c r="P405" s="971">
        <v>0</v>
      </c>
      <c r="Q405" s="971">
        <v>0</v>
      </c>
      <c r="R405" s="970"/>
      <c r="S405" s="971">
        <v>52586</v>
      </c>
      <c r="T405" s="971">
        <v>3244</v>
      </c>
      <c r="U405" s="971">
        <v>55830</v>
      </c>
    </row>
    <row r="406" spans="1:21" x14ac:dyDescent="0.25">
      <c r="A406" s="967">
        <v>94172</v>
      </c>
      <c r="B406" s="968" t="s">
        <v>3044</v>
      </c>
      <c r="C406" s="969">
        <v>2.833E-4</v>
      </c>
      <c r="D406" s="969">
        <v>2.6289999999999999E-4</v>
      </c>
      <c r="E406" s="1008">
        <v>104260</v>
      </c>
      <c r="F406" s="1011">
        <v>401638</v>
      </c>
      <c r="G406" s="970">
        <v>672084</v>
      </c>
      <c r="H406" s="970"/>
      <c r="I406" s="970">
        <v>103687</v>
      </c>
      <c r="J406" s="971">
        <v>92258</v>
      </c>
      <c r="K406" s="971">
        <v>178345</v>
      </c>
      <c r="L406" s="971">
        <v>0</v>
      </c>
      <c r="M406" s="970"/>
      <c r="N406" s="971">
        <v>3479</v>
      </c>
      <c r="O406" s="971">
        <v>0</v>
      </c>
      <c r="P406" s="971">
        <v>0</v>
      </c>
      <c r="Q406" s="971">
        <v>61943</v>
      </c>
      <c r="R406" s="970"/>
      <c r="S406" s="971">
        <v>186687</v>
      </c>
      <c r="T406" s="971">
        <v>-44260</v>
      </c>
      <c r="U406" s="971">
        <v>142427</v>
      </c>
    </row>
    <row r="407" spans="1:21" x14ac:dyDescent="0.25">
      <c r="A407" s="967">
        <v>94201</v>
      </c>
      <c r="B407" s="968" t="s">
        <v>3045</v>
      </c>
      <c r="C407" s="969">
        <v>3.2913999999999999E-3</v>
      </c>
      <c r="D407" s="969">
        <v>3.3658999999999998E-3</v>
      </c>
      <c r="E407" s="1008">
        <v>1635512</v>
      </c>
      <c r="F407" s="1011">
        <v>5142163</v>
      </c>
      <c r="G407" s="970">
        <v>7808326</v>
      </c>
      <c r="H407" s="970"/>
      <c r="I407" s="970">
        <v>1204639</v>
      </c>
      <c r="J407" s="971">
        <v>1071851</v>
      </c>
      <c r="K407" s="971">
        <v>2072028</v>
      </c>
      <c r="L407" s="971">
        <v>19861</v>
      </c>
      <c r="M407" s="970"/>
      <c r="N407" s="971">
        <v>40422</v>
      </c>
      <c r="O407" s="971">
        <v>0</v>
      </c>
      <c r="P407" s="971">
        <v>0</v>
      </c>
      <c r="Q407" s="971">
        <v>84937</v>
      </c>
      <c r="R407" s="970"/>
      <c r="S407" s="971">
        <v>2168944</v>
      </c>
      <c r="T407" s="971">
        <v>-9281</v>
      </c>
      <c r="U407" s="971">
        <v>2159663</v>
      </c>
    </row>
    <row r="408" spans="1:21" x14ac:dyDescent="0.25">
      <c r="A408" s="967">
        <v>94204</v>
      </c>
      <c r="B408" s="968" t="s">
        <v>3046</v>
      </c>
      <c r="C408" s="969">
        <v>2.73E-5</v>
      </c>
      <c r="D408" s="969">
        <v>2.5899999999999999E-5</v>
      </c>
      <c r="E408" s="1008">
        <v>18471</v>
      </c>
      <c r="F408" s="1011">
        <v>39568</v>
      </c>
      <c r="G408" s="970">
        <v>64765</v>
      </c>
      <c r="H408" s="970"/>
      <c r="I408" s="970">
        <v>9992</v>
      </c>
      <c r="J408" s="971">
        <v>8890</v>
      </c>
      <c r="K408" s="971">
        <v>17186</v>
      </c>
      <c r="L408" s="971">
        <v>12296</v>
      </c>
      <c r="M408" s="970"/>
      <c r="N408" s="971">
        <v>335</v>
      </c>
      <c r="O408" s="971">
        <v>0</v>
      </c>
      <c r="P408" s="971">
        <v>0</v>
      </c>
      <c r="Q408" s="971">
        <v>0</v>
      </c>
      <c r="R408" s="970"/>
      <c r="S408" s="971">
        <v>17990</v>
      </c>
      <c r="T408" s="971">
        <v>6257</v>
      </c>
      <c r="U408" s="971">
        <v>24247</v>
      </c>
    </row>
    <row r="409" spans="1:21" x14ac:dyDescent="0.25">
      <c r="A409" s="967">
        <v>94205</v>
      </c>
      <c r="B409" s="968" t="s">
        <v>3047</v>
      </c>
      <c r="C409" s="969">
        <v>1.8300000000000001E-5</v>
      </c>
      <c r="D409" s="969">
        <v>2.0699999999999998E-5</v>
      </c>
      <c r="E409" s="1008">
        <v>11770</v>
      </c>
      <c r="F409" s="1011">
        <v>31624</v>
      </c>
      <c r="G409" s="970">
        <v>43414</v>
      </c>
      <c r="H409" s="970"/>
      <c r="I409" s="970">
        <v>6698</v>
      </c>
      <c r="J409" s="971">
        <v>5959</v>
      </c>
      <c r="K409" s="971">
        <v>11520</v>
      </c>
      <c r="L409" s="971">
        <v>1408</v>
      </c>
      <c r="M409" s="970"/>
      <c r="N409" s="971">
        <v>225</v>
      </c>
      <c r="O409" s="971">
        <v>0</v>
      </c>
      <c r="P409" s="971">
        <v>0</v>
      </c>
      <c r="Q409" s="971">
        <v>1277</v>
      </c>
      <c r="R409" s="970"/>
      <c r="S409" s="971">
        <v>12059</v>
      </c>
      <c r="T409" s="971">
        <v>-2857</v>
      </c>
      <c r="U409" s="971">
        <v>9202</v>
      </c>
    </row>
    <row r="410" spans="1:21" x14ac:dyDescent="0.25">
      <c r="A410" s="967">
        <v>94209</v>
      </c>
      <c r="B410" s="968" t="s">
        <v>3048</v>
      </c>
      <c r="C410" s="969">
        <v>3.1700000000000001E-4</v>
      </c>
      <c r="D410" s="969">
        <v>3.4190000000000002E-4</v>
      </c>
      <c r="E410" s="1008">
        <v>156051</v>
      </c>
      <c r="F410" s="1011">
        <v>522328</v>
      </c>
      <c r="G410" s="970">
        <v>752032</v>
      </c>
      <c r="H410" s="970"/>
      <c r="I410" s="970">
        <v>116021</v>
      </c>
      <c r="J410" s="971">
        <v>103231</v>
      </c>
      <c r="K410" s="971">
        <v>199560</v>
      </c>
      <c r="L410" s="971">
        <v>11815</v>
      </c>
      <c r="M410" s="970"/>
      <c r="N410" s="971">
        <v>3893</v>
      </c>
      <c r="O410" s="971">
        <v>0</v>
      </c>
      <c r="P410" s="971">
        <v>0</v>
      </c>
      <c r="Q410" s="971">
        <v>21749</v>
      </c>
      <c r="R410" s="970"/>
      <c r="S410" s="971">
        <v>208894</v>
      </c>
      <c r="T410" s="971">
        <v>4832</v>
      </c>
      <c r="U410" s="971">
        <v>213726</v>
      </c>
    </row>
    <row r="411" spans="1:21" x14ac:dyDescent="0.25">
      <c r="A411" s="967">
        <v>94211</v>
      </c>
      <c r="B411" s="968" t="s">
        <v>3049</v>
      </c>
      <c r="C411" s="969">
        <v>1.615E-4</v>
      </c>
      <c r="D411" s="969">
        <v>1.3660000000000001E-4</v>
      </c>
      <c r="E411" s="1008">
        <v>63944</v>
      </c>
      <c r="F411" s="1011">
        <v>208687</v>
      </c>
      <c r="G411" s="970">
        <v>383133</v>
      </c>
      <c r="H411" s="970"/>
      <c r="I411" s="970">
        <v>59108</v>
      </c>
      <c r="J411" s="971">
        <v>52593</v>
      </c>
      <c r="K411" s="971">
        <v>101669</v>
      </c>
      <c r="L411" s="971">
        <v>11603</v>
      </c>
      <c r="M411" s="970"/>
      <c r="N411" s="971">
        <v>1983</v>
      </c>
      <c r="O411" s="971">
        <v>0</v>
      </c>
      <c r="P411" s="971">
        <v>0</v>
      </c>
      <c r="Q411" s="971">
        <v>3873</v>
      </c>
      <c r="R411" s="970"/>
      <c r="S411" s="971">
        <v>106424</v>
      </c>
      <c r="T411" s="971">
        <v>-10032</v>
      </c>
      <c r="U411" s="971">
        <v>96392</v>
      </c>
    </row>
    <row r="412" spans="1:21" x14ac:dyDescent="0.25">
      <c r="A412" s="967">
        <v>94221</v>
      </c>
      <c r="B412" s="968" t="s">
        <v>3050</v>
      </c>
      <c r="C412" s="969">
        <v>1.0311999999999999E-3</v>
      </c>
      <c r="D412" s="969">
        <v>1.0436E-3</v>
      </c>
      <c r="E412" s="1008">
        <v>486207</v>
      </c>
      <c r="F412" s="1011">
        <v>1594332</v>
      </c>
      <c r="G412" s="970">
        <v>2446359</v>
      </c>
      <c r="H412" s="970"/>
      <c r="I412" s="970">
        <v>377415</v>
      </c>
      <c r="J412" s="971">
        <v>335812</v>
      </c>
      <c r="K412" s="971">
        <v>649169</v>
      </c>
      <c r="L412" s="971">
        <v>28711</v>
      </c>
      <c r="M412" s="970"/>
      <c r="N412" s="971">
        <v>12664</v>
      </c>
      <c r="O412" s="971">
        <v>0</v>
      </c>
      <c r="P412" s="971">
        <v>0</v>
      </c>
      <c r="Q412" s="971">
        <v>85091</v>
      </c>
      <c r="R412" s="970"/>
      <c r="S412" s="971">
        <v>679533</v>
      </c>
      <c r="T412" s="971">
        <v>-30381</v>
      </c>
      <c r="U412" s="971">
        <v>649152</v>
      </c>
    </row>
    <row r="413" spans="1:21" x14ac:dyDescent="0.25">
      <c r="A413" s="967">
        <v>94231</v>
      </c>
      <c r="B413" s="968" t="s">
        <v>3051</v>
      </c>
      <c r="C413" s="969">
        <v>2.009E-4</v>
      </c>
      <c r="D413" s="969">
        <v>2.2609999999999999E-4</v>
      </c>
      <c r="E413" s="1008">
        <v>89897</v>
      </c>
      <c r="F413" s="1011">
        <v>345418</v>
      </c>
      <c r="G413" s="970">
        <v>476604</v>
      </c>
      <c r="H413" s="970"/>
      <c r="I413" s="970">
        <v>73529</v>
      </c>
      <c r="J413" s="971">
        <v>65423</v>
      </c>
      <c r="K413" s="971">
        <v>126472</v>
      </c>
      <c r="L413" s="971">
        <v>6119</v>
      </c>
      <c r="M413" s="970"/>
      <c r="N413" s="971">
        <v>2467</v>
      </c>
      <c r="O413" s="971">
        <v>0</v>
      </c>
      <c r="P413" s="971">
        <v>0</v>
      </c>
      <c r="Q413" s="971">
        <v>26463</v>
      </c>
      <c r="R413" s="970"/>
      <c r="S413" s="971">
        <v>132388</v>
      </c>
      <c r="T413" s="971">
        <v>-8958</v>
      </c>
      <c r="U413" s="971">
        <v>123430</v>
      </c>
    </row>
    <row r="414" spans="1:21" x14ac:dyDescent="0.25">
      <c r="A414" s="967">
        <v>94241</v>
      </c>
      <c r="B414" s="968" t="s">
        <v>3052</v>
      </c>
      <c r="C414" s="969">
        <v>1.227E-4</v>
      </c>
      <c r="D414" s="969">
        <v>1.2669999999999999E-4</v>
      </c>
      <c r="E414" s="1008">
        <v>55126</v>
      </c>
      <c r="F414" s="1011">
        <v>193563</v>
      </c>
      <c r="G414" s="970">
        <v>291086</v>
      </c>
      <c r="H414" s="970"/>
      <c r="I414" s="970">
        <v>44908</v>
      </c>
      <c r="J414" s="971">
        <v>39958</v>
      </c>
      <c r="K414" s="971">
        <v>77243</v>
      </c>
      <c r="L414" s="971">
        <v>19412</v>
      </c>
      <c r="M414" s="970"/>
      <c r="N414" s="971">
        <v>1507</v>
      </c>
      <c r="O414" s="971">
        <v>0</v>
      </c>
      <c r="P414" s="971">
        <v>0</v>
      </c>
      <c r="Q414" s="971">
        <v>7181</v>
      </c>
      <c r="R414" s="970"/>
      <c r="S414" s="971">
        <v>80856</v>
      </c>
      <c r="T414" s="971">
        <v>5128</v>
      </c>
      <c r="U414" s="971">
        <v>85984</v>
      </c>
    </row>
    <row r="415" spans="1:21" x14ac:dyDescent="0.25">
      <c r="A415" s="967">
        <v>94251</v>
      </c>
      <c r="B415" s="968" t="s">
        <v>3053</v>
      </c>
      <c r="C415" s="969">
        <v>1.59E-5</v>
      </c>
      <c r="D415" s="969">
        <v>1.95E-5</v>
      </c>
      <c r="E415" s="1008">
        <v>9678</v>
      </c>
      <c r="F415" s="1011">
        <v>29791</v>
      </c>
      <c r="G415" s="970">
        <v>37720</v>
      </c>
      <c r="H415" s="970"/>
      <c r="I415" s="970">
        <v>5819</v>
      </c>
      <c r="J415" s="971">
        <v>5178</v>
      </c>
      <c r="K415" s="971">
        <v>10009</v>
      </c>
      <c r="L415" s="971">
        <v>2468</v>
      </c>
      <c r="M415" s="970"/>
      <c r="N415" s="971">
        <v>195</v>
      </c>
      <c r="O415" s="971">
        <v>0</v>
      </c>
      <c r="P415" s="971">
        <v>0</v>
      </c>
      <c r="Q415" s="971">
        <v>4449</v>
      </c>
      <c r="R415" s="970"/>
      <c r="S415" s="971">
        <v>10478</v>
      </c>
      <c r="T415" s="971">
        <v>-2557</v>
      </c>
      <c r="U415" s="971">
        <v>7921</v>
      </c>
    </row>
    <row r="416" spans="1:21" x14ac:dyDescent="0.25">
      <c r="A416" s="967">
        <v>94261</v>
      </c>
      <c r="B416" s="968" t="s">
        <v>3054</v>
      </c>
      <c r="C416" s="969">
        <v>3.6199999999999999E-5</v>
      </c>
      <c r="D416" s="969">
        <v>3.9199999999999997E-5</v>
      </c>
      <c r="E416" s="1008">
        <v>19409</v>
      </c>
      <c r="F416" s="1011">
        <v>59887</v>
      </c>
      <c r="G416" s="970">
        <v>85879</v>
      </c>
      <c r="H416" s="970"/>
      <c r="I416" s="970">
        <v>13249</v>
      </c>
      <c r="J416" s="971">
        <v>11789</v>
      </c>
      <c r="K416" s="971">
        <v>22789</v>
      </c>
      <c r="L416" s="971">
        <v>10016</v>
      </c>
      <c r="M416" s="970"/>
      <c r="N416" s="971">
        <v>445</v>
      </c>
      <c r="O416" s="971">
        <v>0</v>
      </c>
      <c r="P416" s="971">
        <v>0</v>
      </c>
      <c r="Q416" s="971">
        <v>790</v>
      </c>
      <c r="R416" s="970"/>
      <c r="S416" s="971">
        <v>23855</v>
      </c>
      <c r="T416" s="971">
        <v>5304</v>
      </c>
      <c r="U416" s="971">
        <v>29159</v>
      </c>
    </row>
    <row r="417" spans="1:21" x14ac:dyDescent="0.25">
      <c r="A417" s="967">
        <v>94301</v>
      </c>
      <c r="B417" s="968" t="s">
        <v>3055</v>
      </c>
      <c r="C417" s="969">
        <v>6.3552000000000001E-3</v>
      </c>
      <c r="D417" s="969">
        <v>6.2988999999999996E-3</v>
      </c>
      <c r="E417" s="1008">
        <v>3065671</v>
      </c>
      <c r="F417" s="1011">
        <v>9622974</v>
      </c>
      <c r="G417" s="970">
        <v>15076708</v>
      </c>
      <c r="H417" s="970"/>
      <c r="I417" s="970">
        <v>2325978</v>
      </c>
      <c r="J417" s="971">
        <v>2069584</v>
      </c>
      <c r="K417" s="971">
        <v>4000776</v>
      </c>
      <c r="L417" s="971">
        <v>62202</v>
      </c>
      <c r="M417" s="970"/>
      <c r="N417" s="971">
        <v>78048</v>
      </c>
      <c r="O417" s="971">
        <v>0</v>
      </c>
      <c r="P417" s="971">
        <v>0</v>
      </c>
      <c r="Q417" s="971">
        <v>66635</v>
      </c>
      <c r="R417" s="970"/>
      <c r="S417" s="971">
        <v>4187905</v>
      </c>
      <c r="T417" s="971">
        <v>-21615</v>
      </c>
      <c r="U417" s="971">
        <v>4166290</v>
      </c>
    </row>
    <row r="418" spans="1:21" x14ac:dyDescent="0.25">
      <c r="A418" s="967">
        <v>94311</v>
      </c>
      <c r="B418" s="968" t="s">
        <v>3056</v>
      </c>
      <c r="C418" s="969">
        <v>7.4359999999999997E-4</v>
      </c>
      <c r="D418" s="969">
        <v>7.8540000000000001E-4</v>
      </c>
      <c r="E418" s="1008">
        <v>371563</v>
      </c>
      <c r="F418" s="1011">
        <v>1199874</v>
      </c>
      <c r="G418" s="970">
        <v>1764074</v>
      </c>
      <c r="H418" s="970"/>
      <c r="I418" s="970">
        <v>272155</v>
      </c>
      <c r="J418" s="971">
        <v>242155</v>
      </c>
      <c r="K418" s="971">
        <v>468117</v>
      </c>
      <c r="L418" s="971">
        <v>17528</v>
      </c>
      <c r="M418" s="970"/>
      <c r="N418" s="971">
        <v>9132</v>
      </c>
      <c r="O418" s="971">
        <v>0</v>
      </c>
      <c r="P418" s="971">
        <v>0</v>
      </c>
      <c r="Q418" s="971">
        <v>53855</v>
      </c>
      <c r="R418" s="970"/>
      <c r="S418" s="971">
        <v>490012</v>
      </c>
      <c r="T418" s="971">
        <v>-19332</v>
      </c>
      <c r="U418" s="971">
        <v>470680</v>
      </c>
    </row>
    <row r="419" spans="1:21" x14ac:dyDescent="0.25">
      <c r="A419" s="967">
        <v>94313</v>
      </c>
      <c r="B419" s="968" t="s">
        <v>3057</v>
      </c>
      <c r="C419" s="969">
        <v>2.1699999999999999E-5</v>
      </c>
      <c r="D419" s="969">
        <v>1.8700000000000001E-5</v>
      </c>
      <c r="E419" s="1008">
        <v>14195</v>
      </c>
      <c r="F419" s="1011">
        <v>28568</v>
      </c>
      <c r="G419" s="970">
        <v>51480</v>
      </c>
      <c r="H419" s="970"/>
      <c r="I419" s="970">
        <v>7942</v>
      </c>
      <c r="J419" s="971">
        <v>7067</v>
      </c>
      <c r="K419" s="971">
        <v>13661</v>
      </c>
      <c r="L419" s="971">
        <v>9311</v>
      </c>
      <c r="M419" s="970"/>
      <c r="N419" s="971">
        <v>266</v>
      </c>
      <c r="O419" s="971">
        <v>0</v>
      </c>
      <c r="P419" s="971">
        <v>0</v>
      </c>
      <c r="Q419" s="971">
        <v>0</v>
      </c>
      <c r="R419" s="970"/>
      <c r="S419" s="971">
        <v>14300</v>
      </c>
      <c r="T419" s="971">
        <v>4369</v>
      </c>
      <c r="U419" s="971">
        <v>18669</v>
      </c>
    </row>
    <row r="420" spans="1:21" x14ac:dyDescent="0.25">
      <c r="A420" s="967">
        <v>94317</v>
      </c>
      <c r="B420" s="968" t="s">
        <v>3058</v>
      </c>
      <c r="C420" s="969">
        <v>1.15E-5</v>
      </c>
      <c r="D420" s="969">
        <v>1.2E-5</v>
      </c>
      <c r="E420" s="1008">
        <v>10719</v>
      </c>
      <c r="F420" s="1011">
        <v>18333</v>
      </c>
      <c r="G420" s="970">
        <v>27282</v>
      </c>
      <c r="H420" s="970"/>
      <c r="I420" s="970">
        <v>4209</v>
      </c>
      <c r="J420" s="971">
        <v>3745</v>
      </c>
      <c r="K420" s="971">
        <v>7240</v>
      </c>
      <c r="L420" s="971">
        <v>8256</v>
      </c>
      <c r="M420" s="970"/>
      <c r="N420" s="971">
        <v>141</v>
      </c>
      <c r="O420" s="971">
        <v>0</v>
      </c>
      <c r="P420" s="971">
        <v>0</v>
      </c>
      <c r="Q420" s="971">
        <v>0</v>
      </c>
      <c r="R420" s="970"/>
      <c r="S420" s="971">
        <v>7578</v>
      </c>
      <c r="T420" s="971">
        <v>4052</v>
      </c>
      <c r="U420" s="971">
        <v>11630</v>
      </c>
    </row>
    <row r="421" spans="1:21" x14ac:dyDescent="0.25">
      <c r="A421" s="967">
        <v>94321</v>
      </c>
      <c r="B421" s="968" t="s">
        <v>3059</v>
      </c>
      <c r="C421" s="969">
        <v>2.8160000000000001E-4</v>
      </c>
      <c r="D421" s="969">
        <v>2.7760000000000003E-4</v>
      </c>
      <c r="E421" s="1008">
        <v>120686</v>
      </c>
      <c r="F421" s="1011">
        <v>424096</v>
      </c>
      <c r="G421" s="970">
        <v>668052</v>
      </c>
      <c r="H421" s="970"/>
      <c r="I421" s="970">
        <v>103064</v>
      </c>
      <c r="J421" s="971">
        <v>91703</v>
      </c>
      <c r="K421" s="971">
        <v>177275</v>
      </c>
      <c r="L421" s="971">
        <v>0</v>
      </c>
      <c r="M421" s="970"/>
      <c r="N421" s="971">
        <v>3458</v>
      </c>
      <c r="O421" s="971">
        <v>0</v>
      </c>
      <c r="P421" s="971">
        <v>0</v>
      </c>
      <c r="Q421" s="971">
        <v>23408</v>
      </c>
      <c r="R421" s="970"/>
      <c r="S421" s="971">
        <v>185567</v>
      </c>
      <c r="T421" s="971">
        <v>-8371</v>
      </c>
      <c r="U421" s="971">
        <v>177196</v>
      </c>
    </row>
    <row r="422" spans="1:21" x14ac:dyDescent="0.25">
      <c r="A422" s="967">
        <v>94331</v>
      </c>
      <c r="B422" s="968" t="s">
        <v>3060</v>
      </c>
      <c r="C422" s="969">
        <v>1.6090000000000001E-4</v>
      </c>
      <c r="D422" s="969">
        <v>1.3569999999999999E-4</v>
      </c>
      <c r="E422" s="1008">
        <v>79182</v>
      </c>
      <c r="F422" s="1011">
        <v>207312</v>
      </c>
      <c r="G422" s="970">
        <v>381710</v>
      </c>
      <c r="H422" s="970"/>
      <c r="I422" s="970">
        <v>58889</v>
      </c>
      <c r="J422" s="971">
        <v>52397</v>
      </c>
      <c r="K422" s="971">
        <v>101291</v>
      </c>
      <c r="L422" s="971">
        <v>20048</v>
      </c>
      <c r="M422" s="970"/>
      <c r="N422" s="971">
        <v>1976</v>
      </c>
      <c r="O422" s="971">
        <v>0</v>
      </c>
      <c r="P422" s="971">
        <v>0</v>
      </c>
      <c r="Q422" s="971">
        <v>7457</v>
      </c>
      <c r="R422" s="970"/>
      <c r="S422" s="971">
        <v>106029</v>
      </c>
      <c r="T422" s="971">
        <v>7534</v>
      </c>
      <c r="U422" s="971">
        <v>113563</v>
      </c>
    </row>
    <row r="423" spans="1:21" x14ac:dyDescent="0.25">
      <c r="A423" s="967">
        <v>94341</v>
      </c>
      <c r="B423" s="968" t="s">
        <v>3061</v>
      </c>
      <c r="C423" s="969">
        <v>8.3300000000000005E-5</v>
      </c>
      <c r="D423" s="969">
        <v>9.4699999999999998E-5</v>
      </c>
      <c r="E423" s="1008">
        <v>38624</v>
      </c>
      <c r="F423" s="1011">
        <v>144675</v>
      </c>
      <c r="G423" s="970">
        <v>197616</v>
      </c>
      <c r="H423" s="970"/>
      <c r="I423" s="970">
        <v>30487</v>
      </c>
      <c r="J423" s="971">
        <v>27127</v>
      </c>
      <c r="K423" s="971">
        <v>52440</v>
      </c>
      <c r="L423" s="971">
        <v>4074</v>
      </c>
      <c r="M423" s="970"/>
      <c r="N423" s="971">
        <v>1023</v>
      </c>
      <c r="O423" s="971">
        <v>0</v>
      </c>
      <c r="P423" s="971">
        <v>0</v>
      </c>
      <c r="Q423" s="971">
        <v>12325</v>
      </c>
      <c r="R423" s="970"/>
      <c r="S423" s="971">
        <v>54892</v>
      </c>
      <c r="T423" s="971">
        <v>-4230</v>
      </c>
      <c r="U423" s="971">
        <v>50662</v>
      </c>
    </row>
    <row r="424" spans="1:21" x14ac:dyDescent="0.25">
      <c r="A424" s="967">
        <v>94347</v>
      </c>
      <c r="B424" s="968" t="s">
        <v>3062</v>
      </c>
      <c r="C424" s="969">
        <v>7.9999999999999996E-6</v>
      </c>
      <c r="D424" s="969">
        <v>1.22E-5</v>
      </c>
      <c r="E424" s="1008">
        <v>6484</v>
      </c>
      <c r="F424" s="1011">
        <v>18638</v>
      </c>
      <c r="G424" s="970">
        <v>18979</v>
      </c>
      <c r="H424" s="970"/>
      <c r="I424" s="970">
        <v>2928</v>
      </c>
      <c r="J424" s="971">
        <v>2605</v>
      </c>
      <c r="K424" s="971">
        <v>5036</v>
      </c>
      <c r="L424" s="971">
        <v>2389</v>
      </c>
      <c r="M424" s="970"/>
      <c r="N424" s="971">
        <v>98</v>
      </c>
      <c r="O424" s="971">
        <v>0</v>
      </c>
      <c r="P424" s="971">
        <v>0</v>
      </c>
      <c r="Q424" s="971">
        <v>948</v>
      </c>
      <c r="R424" s="970"/>
      <c r="S424" s="971">
        <v>5272</v>
      </c>
      <c r="T424" s="971">
        <v>1646</v>
      </c>
      <c r="U424" s="971">
        <v>6918</v>
      </c>
    </row>
    <row r="425" spans="1:21" x14ac:dyDescent="0.25">
      <c r="A425" s="967">
        <v>94351</v>
      </c>
      <c r="B425" s="968" t="s">
        <v>3063</v>
      </c>
      <c r="C425" s="969">
        <v>2.477E-4</v>
      </c>
      <c r="D425" s="969">
        <v>2.433E-4</v>
      </c>
      <c r="E425" s="1008">
        <v>111785</v>
      </c>
      <c r="F425" s="1011">
        <v>371695</v>
      </c>
      <c r="G425" s="970">
        <v>587629</v>
      </c>
      <c r="H425" s="970"/>
      <c r="I425" s="970">
        <v>90657</v>
      </c>
      <c r="J425" s="971">
        <v>80664</v>
      </c>
      <c r="K425" s="971">
        <v>155934</v>
      </c>
      <c r="L425" s="971">
        <v>716</v>
      </c>
      <c r="M425" s="970"/>
      <c r="N425" s="971">
        <v>3042</v>
      </c>
      <c r="O425" s="971">
        <v>0</v>
      </c>
      <c r="P425" s="971">
        <v>0</v>
      </c>
      <c r="Q425" s="971">
        <v>6580</v>
      </c>
      <c r="R425" s="970"/>
      <c r="S425" s="971">
        <v>163228</v>
      </c>
      <c r="T425" s="971">
        <v>-2766</v>
      </c>
      <c r="U425" s="971">
        <v>160462</v>
      </c>
    </row>
    <row r="426" spans="1:21" x14ac:dyDescent="0.25">
      <c r="A426" s="967">
        <v>94401</v>
      </c>
      <c r="B426" s="968" t="s">
        <v>3689</v>
      </c>
      <c r="C426" s="969">
        <v>3.2688999999999999E-3</v>
      </c>
      <c r="D426" s="969">
        <v>3.2718000000000001E-3</v>
      </c>
      <c r="E426" s="1008">
        <v>1613627</v>
      </c>
      <c r="F426" s="1011">
        <v>4998404</v>
      </c>
      <c r="G426" s="970">
        <v>7754949</v>
      </c>
      <c r="H426" s="970"/>
      <c r="I426" s="970">
        <v>1196404</v>
      </c>
      <c r="J426" s="971">
        <v>1064524</v>
      </c>
      <c r="K426" s="971">
        <v>2057864</v>
      </c>
      <c r="L426" s="971">
        <v>19959</v>
      </c>
      <c r="M426" s="970"/>
      <c r="N426" s="971">
        <v>40145</v>
      </c>
      <c r="O426" s="971">
        <v>0</v>
      </c>
      <c r="P426" s="971">
        <v>0</v>
      </c>
      <c r="Q426" s="971">
        <v>62594</v>
      </c>
      <c r="R426" s="970"/>
      <c r="S426" s="971">
        <v>2154117</v>
      </c>
      <c r="T426" s="971">
        <v>-9013</v>
      </c>
      <c r="U426" s="971">
        <v>2145104</v>
      </c>
    </row>
    <row r="427" spans="1:21" x14ac:dyDescent="0.25">
      <c r="A427" s="967">
        <v>94402</v>
      </c>
      <c r="B427" s="968" t="s">
        <v>3064</v>
      </c>
      <c r="C427" s="969">
        <v>0</v>
      </c>
      <c r="D427" s="969">
        <v>0</v>
      </c>
      <c r="E427" s="1008">
        <v>0</v>
      </c>
      <c r="F427" s="1011">
        <v>0</v>
      </c>
      <c r="G427" s="970">
        <v>0</v>
      </c>
      <c r="H427" s="970"/>
      <c r="I427" s="970">
        <v>0</v>
      </c>
      <c r="J427" s="971">
        <v>0</v>
      </c>
      <c r="K427" s="971">
        <v>0</v>
      </c>
      <c r="L427" s="971">
        <v>0</v>
      </c>
      <c r="M427" s="970"/>
      <c r="N427" s="971">
        <v>0</v>
      </c>
      <c r="O427" s="971">
        <v>0</v>
      </c>
      <c r="P427" s="971">
        <v>0</v>
      </c>
      <c r="Q427" s="971">
        <v>767649</v>
      </c>
      <c r="R427" s="970"/>
      <c r="S427" s="971">
        <v>0</v>
      </c>
      <c r="T427" s="971">
        <v>-1006718</v>
      </c>
      <c r="U427" s="971">
        <v>-1006718</v>
      </c>
    </row>
    <row r="428" spans="1:21" x14ac:dyDescent="0.25">
      <c r="A428" s="967">
        <v>94403</v>
      </c>
      <c r="B428" s="968" t="s">
        <v>3690</v>
      </c>
      <c r="C428" s="969">
        <v>3.1900000000000003E-5</v>
      </c>
      <c r="D428" s="969">
        <v>2.2099999999999998E-5</v>
      </c>
      <c r="E428" s="1008">
        <v>16659</v>
      </c>
      <c r="F428" s="1011">
        <v>33763</v>
      </c>
      <c r="G428" s="970">
        <v>75678</v>
      </c>
      <c r="H428" s="970"/>
      <c r="I428" s="970">
        <v>11675</v>
      </c>
      <c r="J428" s="971">
        <v>10388</v>
      </c>
      <c r="K428" s="971">
        <v>20082</v>
      </c>
      <c r="L428" s="971">
        <v>18814</v>
      </c>
      <c r="M428" s="970"/>
      <c r="N428" s="971">
        <v>392</v>
      </c>
      <c r="O428" s="971">
        <v>0</v>
      </c>
      <c r="P428" s="971">
        <v>0</v>
      </c>
      <c r="Q428" s="971">
        <v>0</v>
      </c>
      <c r="R428" s="970"/>
      <c r="S428" s="971">
        <v>21021</v>
      </c>
      <c r="T428" s="971">
        <v>5618</v>
      </c>
      <c r="U428" s="971">
        <v>26639</v>
      </c>
    </row>
    <row r="429" spans="1:21" x14ac:dyDescent="0.25">
      <c r="A429" s="967">
        <v>94408</v>
      </c>
      <c r="B429" s="968" t="s">
        <v>3065</v>
      </c>
      <c r="C429" s="969">
        <v>4.6E-5</v>
      </c>
      <c r="D429" s="969">
        <v>4.2400000000000001E-5</v>
      </c>
      <c r="E429" s="1008">
        <v>17935</v>
      </c>
      <c r="F429" s="1011">
        <v>64775</v>
      </c>
      <c r="G429" s="970">
        <v>109128</v>
      </c>
      <c r="H429" s="970"/>
      <c r="I429" s="970">
        <v>16836</v>
      </c>
      <c r="J429" s="971">
        <v>14980</v>
      </c>
      <c r="K429" s="971">
        <v>28958</v>
      </c>
      <c r="L429" s="971">
        <v>4785</v>
      </c>
      <c r="M429" s="970"/>
      <c r="N429" s="971">
        <v>565</v>
      </c>
      <c r="O429" s="971">
        <v>0</v>
      </c>
      <c r="P429" s="971">
        <v>0</v>
      </c>
      <c r="Q429" s="971">
        <v>2759</v>
      </c>
      <c r="R429" s="970"/>
      <c r="S429" s="971">
        <v>30313</v>
      </c>
      <c r="T429" s="971">
        <v>129</v>
      </c>
      <c r="U429" s="971">
        <v>30442</v>
      </c>
    </row>
    <row r="430" spans="1:21" x14ac:dyDescent="0.25">
      <c r="A430" s="967">
        <v>94411</v>
      </c>
      <c r="B430" s="968" t="s">
        <v>3066</v>
      </c>
      <c r="C430" s="969">
        <v>1.2620000000000001E-3</v>
      </c>
      <c r="D430" s="969">
        <v>1.2672E-3</v>
      </c>
      <c r="E430" s="1008">
        <v>585991</v>
      </c>
      <c r="F430" s="1011">
        <v>1935931</v>
      </c>
      <c r="G430" s="970">
        <v>2993896</v>
      </c>
      <c r="H430" s="970"/>
      <c r="I430" s="970">
        <v>461887</v>
      </c>
      <c r="J430" s="971">
        <v>410973</v>
      </c>
      <c r="K430" s="971">
        <v>794464</v>
      </c>
      <c r="L430" s="971">
        <v>43913</v>
      </c>
      <c r="M430" s="970"/>
      <c r="N430" s="971">
        <v>15499</v>
      </c>
      <c r="O430" s="971">
        <v>0</v>
      </c>
      <c r="P430" s="971">
        <v>0</v>
      </c>
      <c r="Q430" s="971">
        <v>31638</v>
      </c>
      <c r="R430" s="970"/>
      <c r="S430" s="971">
        <v>831624</v>
      </c>
      <c r="T430" s="971">
        <v>10868</v>
      </c>
      <c r="U430" s="971">
        <v>842492</v>
      </c>
    </row>
    <row r="431" spans="1:21" x14ac:dyDescent="0.25">
      <c r="A431" s="967">
        <v>94412</v>
      </c>
      <c r="B431" s="968" t="s">
        <v>3067</v>
      </c>
      <c r="C431" s="969">
        <v>1.5500000000000001E-5</v>
      </c>
      <c r="D431" s="969">
        <v>1.5099999999999999E-5</v>
      </c>
      <c r="E431" s="1008">
        <v>14143</v>
      </c>
      <c r="F431" s="1011">
        <v>23069</v>
      </c>
      <c r="G431" s="970">
        <v>36771</v>
      </c>
      <c r="H431" s="970"/>
      <c r="I431" s="970">
        <v>5673</v>
      </c>
      <c r="J431" s="971">
        <v>5047</v>
      </c>
      <c r="K431" s="971">
        <v>9758</v>
      </c>
      <c r="L431" s="971">
        <v>12196</v>
      </c>
      <c r="M431" s="970"/>
      <c r="N431" s="971">
        <v>190</v>
      </c>
      <c r="O431" s="971">
        <v>0</v>
      </c>
      <c r="P431" s="971">
        <v>0</v>
      </c>
      <c r="Q431" s="971">
        <v>0</v>
      </c>
      <c r="R431" s="970"/>
      <c r="S431" s="971">
        <v>10214</v>
      </c>
      <c r="T431" s="971">
        <v>7254</v>
      </c>
      <c r="U431" s="971">
        <v>17468</v>
      </c>
    </row>
    <row r="432" spans="1:21" x14ac:dyDescent="0.25">
      <c r="A432" s="967">
        <v>94421</v>
      </c>
      <c r="B432" s="968" t="s">
        <v>3068</v>
      </c>
      <c r="C432" s="969">
        <v>1.6080000000000001E-4</v>
      </c>
      <c r="D432" s="969">
        <v>1.6679999999999999E-4</v>
      </c>
      <c r="E432" s="1008">
        <v>77726</v>
      </c>
      <c r="F432" s="1011">
        <v>254824</v>
      </c>
      <c r="G432" s="970">
        <v>381473</v>
      </c>
      <c r="H432" s="970"/>
      <c r="I432" s="970">
        <v>58852</v>
      </c>
      <c r="J432" s="971">
        <v>52365</v>
      </c>
      <c r="K432" s="971">
        <v>101228</v>
      </c>
      <c r="L432" s="971">
        <v>2434</v>
      </c>
      <c r="M432" s="970"/>
      <c r="N432" s="971">
        <v>1975</v>
      </c>
      <c r="O432" s="971">
        <v>0</v>
      </c>
      <c r="P432" s="971">
        <v>0</v>
      </c>
      <c r="Q432" s="971">
        <v>6283</v>
      </c>
      <c r="R432" s="970"/>
      <c r="S432" s="971">
        <v>105963</v>
      </c>
      <c r="T432" s="971">
        <v>-5086</v>
      </c>
      <c r="U432" s="971">
        <v>100877</v>
      </c>
    </row>
    <row r="433" spans="1:21" x14ac:dyDescent="0.25">
      <c r="A433" s="967">
        <v>94427</v>
      </c>
      <c r="B433" s="968" t="s">
        <v>3069</v>
      </c>
      <c r="C433" s="969">
        <v>1.63E-5</v>
      </c>
      <c r="D433" s="969">
        <v>1.5699999999999999E-5</v>
      </c>
      <c r="E433" s="1008">
        <v>10758</v>
      </c>
      <c r="F433" s="1011">
        <v>23985</v>
      </c>
      <c r="G433" s="970">
        <v>38669</v>
      </c>
      <c r="H433" s="970"/>
      <c r="I433" s="970">
        <v>5966</v>
      </c>
      <c r="J433" s="971">
        <v>5308</v>
      </c>
      <c r="K433" s="971">
        <v>10261</v>
      </c>
      <c r="L433" s="971">
        <v>5569</v>
      </c>
      <c r="M433" s="970"/>
      <c r="N433" s="971">
        <v>200</v>
      </c>
      <c r="O433" s="971">
        <v>0</v>
      </c>
      <c r="P433" s="971">
        <v>0</v>
      </c>
      <c r="Q433" s="971">
        <v>246</v>
      </c>
      <c r="R433" s="970"/>
      <c r="S433" s="971">
        <v>10741</v>
      </c>
      <c r="T433" s="971">
        <v>1607</v>
      </c>
      <c r="U433" s="971">
        <v>12348</v>
      </c>
    </row>
    <row r="434" spans="1:21" x14ac:dyDescent="0.25">
      <c r="A434" s="967">
        <v>94428</v>
      </c>
      <c r="B434" s="968" t="s">
        <v>3070</v>
      </c>
      <c r="C434" s="969">
        <v>7.2000000000000002E-5</v>
      </c>
      <c r="D434" s="969">
        <v>6.5199999999999999E-5</v>
      </c>
      <c r="E434" s="1008">
        <v>36852</v>
      </c>
      <c r="F434" s="1011">
        <v>99608</v>
      </c>
      <c r="G434" s="970">
        <v>170809</v>
      </c>
      <c r="H434" s="970"/>
      <c r="I434" s="970">
        <v>26352</v>
      </c>
      <c r="J434" s="971">
        <v>23447</v>
      </c>
      <c r="K434" s="971">
        <v>45326</v>
      </c>
      <c r="L434" s="971">
        <v>7270</v>
      </c>
      <c r="M434" s="970"/>
      <c r="N434" s="971">
        <v>884</v>
      </c>
      <c r="O434" s="971">
        <v>0</v>
      </c>
      <c r="P434" s="971">
        <v>0</v>
      </c>
      <c r="Q434" s="971">
        <v>2510</v>
      </c>
      <c r="R434" s="970"/>
      <c r="S434" s="971">
        <v>47446</v>
      </c>
      <c r="T434" s="971">
        <v>1904</v>
      </c>
      <c r="U434" s="971">
        <v>49350</v>
      </c>
    </row>
    <row r="435" spans="1:21" x14ac:dyDescent="0.25">
      <c r="A435" s="967">
        <v>94431</v>
      </c>
      <c r="B435" s="968" t="s">
        <v>3071</v>
      </c>
      <c r="C435" s="969">
        <v>3.882E-4</v>
      </c>
      <c r="D435" s="969">
        <v>4.2440000000000002E-4</v>
      </c>
      <c r="E435" s="1008">
        <v>304045</v>
      </c>
      <c r="F435" s="1011">
        <v>648366</v>
      </c>
      <c r="G435" s="970">
        <v>920943</v>
      </c>
      <c r="H435" s="970"/>
      <c r="I435" s="970">
        <v>142080</v>
      </c>
      <c r="J435" s="971">
        <v>126418</v>
      </c>
      <c r="K435" s="971">
        <v>244383</v>
      </c>
      <c r="L435" s="971">
        <v>207234</v>
      </c>
      <c r="M435" s="970"/>
      <c r="N435" s="971">
        <v>4767</v>
      </c>
      <c r="O435" s="971">
        <v>0</v>
      </c>
      <c r="P435" s="971">
        <v>0</v>
      </c>
      <c r="Q435" s="971">
        <v>0</v>
      </c>
      <c r="R435" s="970"/>
      <c r="S435" s="971">
        <v>255813</v>
      </c>
      <c r="T435" s="971">
        <v>84678</v>
      </c>
      <c r="U435" s="971">
        <v>340491</v>
      </c>
    </row>
    <row r="436" spans="1:21" x14ac:dyDescent="0.25">
      <c r="A436" s="967">
        <v>94437</v>
      </c>
      <c r="B436" s="968" t="s">
        <v>3072</v>
      </c>
      <c r="C436" s="969">
        <v>1.63E-5</v>
      </c>
      <c r="D436" s="969">
        <v>1.5299999999999999E-5</v>
      </c>
      <c r="E436" s="1008">
        <v>13413</v>
      </c>
      <c r="F436" s="1011">
        <v>23374</v>
      </c>
      <c r="G436" s="970">
        <v>38669</v>
      </c>
      <c r="H436" s="970"/>
      <c r="I436" s="970">
        <v>5966</v>
      </c>
      <c r="J436" s="971">
        <v>5308</v>
      </c>
      <c r="K436" s="971">
        <v>10261</v>
      </c>
      <c r="L436" s="971">
        <v>13304</v>
      </c>
      <c r="M436" s="970"/>
      <c r="N436" s="971">
        <v>200</v>
      </c>
      <c r="O436" s="971">
        <v>0</v>
      </c>
      <c r="P436" s="971">
        <v>0</v>
      </c>
      <c r="Q436" s="971">
        <v>0</v>
      </c>
      <c r="R436" s="970"/>
      <c r="S436" s="971">
        <v>10741</v>
      </c>
      <c r="T436" s="971">
        <v>6892</v>
      </c>
      <c r="U436" s="971">
        <v>17633</v>
      </c>
    </row>
    <row r="437" spans="1:21" x14ac:dyDescent="0.25">
      <c r="A437" s="967">
        <v>94501</v>
      </c>
      <c r="B437" s="968" t="s">
        <v>3073</v>
      </c>
      <c r="C437" s="969">
        <v>5.8639E-3</v>
      </c>
      <c r="D437" s="969">
        <v>5.6991000000000003E-3</v>
      </c>
      <c r="E437" s="1008">
        <v>2853871</v>
      </c>
      <c r="F437" s="1011">
        <v>8706646</v>
      </c>
      <c r="G437" s="970">
        <v>13911176</v>
      </c>
      <c r="H437" s="970"/>
      <c r="I437" s="970">
        <v>2146164</v>
      </c>
      <c r="J437" s="971">
        <v>1909591</v>
      </c>
      <c r="K437" s="971">
        <v>3691489</v>
      </c>
      <c r="L437" s="971">
        <v>148578</v>
      </c>
      <c r="M437" s="970"/>
      <c r="N437" s="971">
        <v>72015</v>
      </c>
      <c r="O437" s="971">
        <v>0</v>
      </c>
      <c r="P437" s="971">
        <v>0</v>
      </c>
      <c r="Q437" s="971">
        <v>8676</v>
      </c>
      <c r="R437" s="970"/>
      <c r="S437" s="971">
        <v>3864152</v>
      </c>
      <c r="T437" s="971">
        <v>125529</v>
      </c>
      <c r="U437" s="971">
        <v>3989681</v>
      </c>
    </row>
    <row r="438" spans="1:21" x14ac:dyDescent="0.25">
      <c r="A438" s="967">
        <v>94511</v>
      </c>
      <c r="B438" s="968" t="s">
        <v>3074</v>
      </c>
      <c r="C438" s="969">
        <v>1.9548999999999999E-3</v>
      </c>
      <c r="D438" s="969">
        <v>1.8538999999999999E-3</v>
      </c>
      <c r="E438" s="1008">
        <v>890339</v>
      </c>
      <c r="F438" s="1011">
        <v>2832246</v>
      </c>
      <c r="G438" s="970">
        <v>4637691</v>
      </c>
      <c r="H438" s="970"/>
      <c r="I438" s="970">
        <v>715486</v>
      </c>
      <c r="J438" s="971">
        <v>636617</v>
      </c>
      <c r="K438" s="971">
        <v>1230664</v>
      </c>
      <c r="L438" s="971">
        <v>90765</v>
      </c>
      <c r="M438" s="970"/>
      <c r="N438" s="971">
        <v>24008</v>
      </c>
      <c r="O438" s="971">
        <v>0</v>
      </c>
      <c r="P438" s="971">
        <v>0</v>
      </c>
      <c r="Q438" s="971">
        <v>20572</v>
      </c>
      <c r="R438" s="970"/>
      <c r="S438" s="971">
        <v>1288226</v>
      </c>
      <c r="T438" s="971">
        <v>77659</v>
      </c>
      <c r="U438" s="971">
        <v>1365885</v>
      </c>
    </row>
    <row r="439" spans="1:21" x14ac:dyDescent="0.25">
      <c r="A439" s="967">
        <v>94512</v>
      </c>
      <c r="B439" s="968" t="s">
        <v>3075</v>
      </c>
      <c r="C439" s="969">
        <v>0</v>
      </c>
      <c r="D439" s="969">
        <v>0</v>
      </c>
      <c r="E439" s="1008">
        <v>0</v>
      </c>
      <c r="F439" s="1011">
        <v>0</v>
      </c>
      <c r="G439" s="970">
        <v>0</v>
      </c>
      <c r="H439" s="970"/>
      <c r="I439" s="970">
        <v>0</v>
      </c>
      <c r="J439" s="971">
        <v>0</v>
      </c>
      <c r="K439" s="971">
        <v>0</v>
      </c>
      <c r="L439" s="971">
        <v>0</v>
      </c>
      <c r="M439" s="970"/>
      <c r="N439" s="971">
        <v>0</v>
      </c>
      <c r="O439" s="971">
        <v>0</v>
      </c>
      <c r="P439" s="971">
        <v>0</v>
      </c>
      <c r="Q439" s="971">
        <v>59923</v>
      </c>
      <c r="R439" s="970"/>
      <c r="S439" s="971">
        <v>0</v>
      </c>
      <c r="T439" s="971">
        <v>-78657</v>
      </c>
      <c r="U439" s="971">
        <v>-78657</v>
      </c>
    </row>
    <row r="440" spans="1:21" x14ac:dyDescent="0.25">
      <c r="A440" s="967">
        <v>94517</v>
      </c>
      <c r="B440" s="968" t="s">
        <v>3076</v>
      </c>
      <c r="C440" s="969">
        <v>3.6199999999999999E-5</v>
      </c>
      <c r="D440" s="969">
        <v>4.7599999999999998E-5</v>
      </c>
      <c r="E440" s="1008">
        <v>31792</v>
      </c>
      <c r="F440" s="1011">
        <v>72720</v>
      </c>
      <c r="G440" s="970">
        <v>85879</v>
      </c>
      <c r="H440" s="970"/>
      <c r="I440" s="970">
        <v>13249</v>
      </c>
      <c r="J440" s="971">
        <v>11789</v>
      </c>
      <c r="K440" s="971">
        <v>22789</v>
      </c>
      <c r="L440" s="971">
        <v>12828</v>
      </c>
      <c r="M440" s="970"/>
      <c r="N440" s="971">
        <v>445</v>
      </c>
      <c r="O440" s="971">
        <v>0</v>
      </c>
      <c r="P440" s="971">
        <v>0</v>
      </c>
      <c r="Q440" s="971">
        <v>0</v>
      </c>
      <c r="R440" s="970"/>
      <c r="S440" s="971">
        <v>23855</v>
      </c>
      <c r="T440" s="971">
        <v>9761</v>
      </c>
      <c r="U440" s="971">
        <v>33616</v>
      </c>
    </row>
    <row r="441" spans="1:21" x14ac:dyDescent="0.25">
      <c r="A441" s="967">
        <v>94521</v>
      </c>
      <c r="B441" s="968" t="s">
        <v>3077</v>
      </c>
      <c r="C441" s="969">
        <v>1.5880000000000001E-4</v>
      </c>
      <c r="D441" s="969">
        <v>1.517E-4</v>
      </c>
      <c r="E441" s="1008">
        <v>64724</v>
      </c>
      <c r="F441" s="1011">
        <v>231756</v>
      </c>
      <c r="G441" s="970">
        <v>376728</v>
      </c>
      <c r="H441" s="970"/>
      <c r="I441" s="970">
        <v>58120</v>
      </c>
      <c r="J441" s="971">
        <v>51714</v>
      </c>
      <c r="K441" s="971">
        <v>99969</v>
      </c>
      <c r="L441" s="971">
        <v>10090</v>
      </c>
      <c r="M441" s="970"/>
      <c r="N441" s="971">
        <v>1950</v>
      </c>
      <c r="O441" s="971">
        <v>0</v>
      </c>
      <c r="P441" s="971">
        <v>0</v>
      </c>
      <c r="Q441" s="971">
        <v>14325</v>
      </c>
      <c r="R441" s="970"/>
      <c r="S441" s="971">
        <v>104645</v>
      </c>
      <c r="T441" s="971">
        <v>-908</v>
      </c>
      <c r="U441" s="971">
        <v>103737</v>
      </c>
    </row>
    <row r="442" spans="1:21" x14ac:dyDescent="0.25">
      <c r="A442" s="967">
        <v>94527</v>
      </c>
      <c r="B442" s="968" t="s">
        <v>3078</v>
      </c>
      <c r="C442" s="969">
        <v>6.6000000000000003E-6</v>
      </c>
      <c r="D442" s="969">
        <v>5.4E-6</v>
      </c>
      <c r="E442" s="1008">
        <v>2987</v>
      </c>
      <c r="F442" s="1011">
        <v>8250</v>
      </c>
      <c r="G442" s="970">
        <v>15657</v>
      </c>
      <c r="H442" s="970"/>
      <c r="I442" s="970">
        <v>2416</v>
      </c>
      <c r="J442" s="971">
        <v>2149</v>
      </c>
      <c r="K442" s="971">
        <v>4155</v>
      </c>
      <c r="L442" s="971">
        <v>803</v>
      </c>
      <c r="M442" s="970"/>
      <c r="N442" s="971">
        <v>81</v>
      </c>
      <c r="O442" s="971">
        <v>0</v>
      </c>
      <c r="P442" s="971">
        <v>0</v>
      </c>
      <c r="Q442" s="971">
        <v>2247</v>
      </c>
      <c r="R442" s="970"/>
      <c r="S442" s="971">
        <v>4349</v>
      </c>
      <c r="T442" s="971">
        <v>-787</v>
      </c>
      <c r="U442" s="971">
        <v>3562</v>
      </c>
    </row>
    <row r="443" spans="1:21" x14ac:dyDescent="0.25">
      <c r="A443" s="967">
        <v>94531</v>
      </c>
      <c r="B443" s="968" t="s">
        <v>3079</v>
      </c>
      <c r="C443" s="969">
        <v>1.4E-5</v>
      </c>
      <c r="D443" s="969">
        <v>1.5E-5</v>
      </c>
      <c r="E443" s="1008">
        <v>12699</v>
      </c>
      <c r="F443" s="1011">
        <v>22916</v>
      </c>
      <c r="G443" s="970">
        <v>33213</v>
      </c>
      <c r="H443" s="970"/>
      <c r="I443" s="970">
        <v>5124</v>
      </c>
      <c r="J443" s="971">
        <v>4559</v>
      </c>
      <c r="K443" s="971">
        <v>8813</v>
      </c>
      <c r="L443" s="971">
        <v>7957</v>
      </c>
      <c r="M443" s="970"/>
      <c r="N443" s="971">
        <v>172</v>
      </c>
      <c r="O443" s="971">
        <v>0</v>
      </c>
      <c r="P443" s="971">
        <v>0</v>
      </c>
      <c r="Q443" s="971">
        <v>0</v>
      </c>
      <c r="R443" s="970"/>
      <c r="S443" s="971">
        <v>9226</v>
      </c>
      <c r="T443" s="971">
        <v>3665</v>
      </c>
      <c r="U443" s="971">
        <v>12891</v>
      </c>
    </row>
    <row r="444" spans="1:21" x14ac:dyDescent="0.25">
      <c r="A444" s="967">
        <v>94532</v>
      </c>
      <c r="B444" s="968" t="s">
        <v>3080</v>
      </c>
      <c r="C444" s="969">
        <v>1.0280000000000001E-4</v>
      </c>
      <c r="D444" s="969">
        <v>8.7800000000000006E-5</v>
      </c>
      <c r="E444" s="1008">
        <v>48849</v>
      </c>
      <c r="F444" s="1011">
        <v>134134</v>
      </c>
      <c r="G444" s="970">
        <v>243877</v>
      </c>
      <c r="H444" s="970"/>
      <c r="I444" s="970">
        <v>37624</v>
      </c>
      <c r="J444" s="971">
        <v>33477</v>
      </c>
      <c r="K444" s="971">
        <v>64715</v>
      </c>
      <c r="L444" s="971">
        <v>9560</v>
      </c>
      <c r="M444" s="970"/>
      <c r="N444" s="971">
        <v>1262</v>
      </c>
      <c r="O444" s="971">
        <v>0</v>
      </c>
      <c r="P444" s="971">
        <v>0</v>
      </c>
      <c r="Q444" s="971">
        <v>4871</v>
      </c>
      <c r="R444" s="970"/>
      <c r="S444" s="971">
        <v>67742</v>
      </c>
      <c r="T444" s="971">
        <v>-3107</v>
      </c>
      <c r="U444" s="971">
        <v>64635</v>
      </c>
    </row>
    <row r="445" spans="1:21" x14ac:dyDescent="0.25">
      <c r="A445" s="967">
        <v>94541</v>
      </c>
      <c r="B445" s="968" t="s">
        <v>3081</v>
      </c>
      <c r="C445" s="969">
        <v>2.8219999999999997E-4</v>
      </c>
      <c r="D445" s="969">
        <v>2.9300000000000002E-4</v>
      </c>
      <c r="E445" s="1008">
        <v>129412</v>
      </c>
      <c r="F445" s="1011">
        <v>447623</v>
      </c>
      <c r="G445" s="970">
        <v>669475</v>
      </c>
      <c r="H445" s="970"/>
      <c r="I445" s="970">
        <v>103284</v>
      </c>
      <c r="J445" s="971">
        <v>91899</v>
      </c>
      <c r="K445" s="971">
        <v>177653</v>
      </c>
      <c r="L445" s="971">
        <v>0</v>
      </c>
      <c r="M445" s="970"/>
      <c r="N445" s="971">
        <v>3466</v>
      </c>
      <c r="O445" s="971">
        <v>0</v>
      </c>
      <c r="P445" s="971">
        <v>0</v>
      </c>
      <c r="Q445" s="971">
        <v>31668</v>
      </c>
      <c r="R445" s="970"/>
      <c r="S445" s="971">
        <v>185962</v>
      </c>
      <c r="T445" s="971">
        <v>-14289</v>
      </c>
      <c r="U445" s="971">
        <v>171673</v>
      </c>
    </row>
    <row r="446" spans="1:21" x14ac:dyDescent="0.25">
      <c r="A446" s="967">
        <v>94547</v>
      </c>
      <c r="B446" s="968" t="s">
        <v>3082</v>
      </c>
      <c r="C446" s="969">
        <v>1.01E-5</v>
      </c>
      <c r="D446" s="969">
        <v>1.08E-5</v>
      </c>
      <c r="E446" s="1008">
        <v>9095</v>
      </c>
      <c r="F446" s="1011">
        <v>16499</v>
      </c>
      <c r="G446" s="970">
        <v>23961</v>
      </c>
      <c r="H446" s="970"/>
      <c r="I446" s="970">
        <v>3697</v>
      </c>
      <c r="J446" s="971">
        <v>3289</v>
      </c>
      <c r="K446" s="971">
        <v>6358</v>
      </c>
      <c r="L446" s="971">
        <v>4672</v>
      </c>
      <c r="M446" s="970"/>
      <c r="N446" s="971">
        <v>124</v>
      </c>
      <c r="O446" s="971">
        <v>0</v>
      </c>
      <c r="P446" s="971">
        <v>0</v>
      </c>
      <c r="Q446" s="971">
        <v>0</v>
      </c>
      <c r="R446" s="970"/>
      <c r="S446" s="971">
        <v>6656</v>
      </c>
      <c r="T446" s="971">
        <v>1705</v>
      </c>
      <c r="U446" s="971">
        <v>8361</v>
      </c>
    </row>
    <row r="447" spans="1:21" x14ac:dyDescent="0.25">
      <c r="A447" s="967">
        <v>94551</v>
      </c>
      <c r="B447" s="968" t="s">
        <v>3083</v>
      </c>
      <c r="C447" s="969">
        <v>4.9200000000000003E-5</v>
      </c>
      <c r="D447" s="969">
        <v>4.1900000000000002E-5</v>
      </c>
      <c r="E447" s="1008">
        <v>25718</v>
      </c>
      <c r="F447" s="1011">
        <v>64012</v>
      </c>
      <c r="G447" s="970">
        <v>116719</v>
      </c>
      <c r="H447" s="970"/>
      <c r="I447" s="970">
        <v>18007</v>
      </c>
      <c r="J447" s="971">
        <v>16022</v>
      </c>
      <c r="K447" s="971">
        <v>30973</v>
      </c>
      <c r="L447" s="971">
        <v>13168</v>
      </c>
      <c r="M447" s="970"/>
      <c r="N447" s="971">
        <v>604</v>
      </c>
      <c r="O447" s="971">
        <v>0</v>
      </c>
      <c r="P447" s="971">
        <v>0</v>
      </c>
      <c r="Q447" s="971">
        <v>710</v>
      </c>
      <c r="R447" s="970"/>
      <c r="S447" s="971">
        <v>32421</v>
      </c>
      <c r="T447" s="971">
        <v>5732</v>
      </c>
      <c r="U447" s="971">
        <v>38153</v>
      </c>
    </row>
    <row r="448" spans="1:21" x14ac:dyDescent="0.25">
      <c r="A448" s="967">
        <v>94601</v>
      </c>
      <c r="B448" s="968" t="s">
        <v>3084</v>
      </c>
      <c r="C448" s="969">
        <v>1.0712E-3</v>
      </c>
      <c r="D448" s="969">
        <v>1.0602999999999999E-3</v>
      </c>
      <c r="E448" s="1008">
        <v>537001</v>
      </c>
      <c r="F448" s="1011">
        <v>1619845</v>
      </c>
      <c r="G448" s="970">
        <v>2541253</v>
      </c>
      <c r="H448" s="970"/>
      <c r="I448" s="970">
        <v>392055</v>
      </c>
      <c r="J448" s="971">
        <v>348838</v>
      </c>
      <c r="K448" s="971">
        <v>674350</v>
      </c>
      <c r="L448" s="971">
        <v>72678</v>
      </c>
      <c r="M448" s="970"/>
      <c r="N448" s="971">
        <v>13155</v>
      </c>
      <c r="O448" s="971">
        <v>0</v>
      </c>
      <c r="P448" s="971">
        <v>0</v>
      </c>
      <c r="Q448" s="971">
        <v>984</v>
      </c>
      <c r="R448" s="970"/>
      <c r="S448" s="971">
        <v>705892</v>
      </c>
      <c r="T448" s="971">
        <v>26134</v>
      </c>
      <c r="U448" s="971">
        <v>732026</v>
      </c>
    </row>
    <row r="449" spans="1:21" x14ac:dyDescent="0.25">
      <c r="A449" s="967">
        <v>94604</v>
      </c>
      <c r="B449" s="968" t="s">
        <v>3085</v>
      </c>
      <c r="C449" s="969">
        <v>2.7699999999999999E-5</v>
      </c>
      <c r="D449" s="969">
        <v>2.62E-5</v>
      </c>
      <c r="E449" s="1008">
        <v>14502</v>
      </c>
      <c r="F449" s="1011">
        <v>40026</v>
      </c>
      <c r="G449" s="970">
        <v>65714</v>
      </c>
      <c r="H449" s="970"/>
      <c r="I449" s="970">
        <v>10138</v>
      </c>
      <c r="J449" s="971">
        <v>9021</v>
      </c>
      <c r="K449" s="971">
        <v>17438</v>
      </c>
      <c r="L449" s="971">
        <v>3578</v>
      </c>
      <c r="M449" s="970"/>
      <c r="N449" s="971">
        <v>340</v>
      </c>
      <c r="O449" s="971">
        <v>0</v>
      </c>
      <c r="P449" s="971">
        <v>0</v>
      </c>
      <c r="Q449" s="971">
        <v>0</v>
      </c>
      <c r="R449" s="970"/>
      <c r="S449" s="971">
        <v>18254</v>
      </c>
      <c r="T449" s="971">
        <v>1154</v>
      </c>
      <c r="U449" s="971">
        <v>19408</v>
      </c>
    </row>
    <row r="450" spans="1:21" x14ac:dyDescent="0.25">
      <c r="A450" s="967">
        <v>94606</v>
      </c>
      <c r="B450" s="968" t="s">
        <v>3086</v>
      </c>
      <c r="C450" s="969">
        <v>1.9019999999999999E-4</v>
      </c>
      <c r="D450" s="969">
        <v>2.3550000000000001E-4</v>
      </c>
      <c r="E450" s="1008">
        <v>102034</v>
      </c>
      <c r="F450" s="1011">
        <v>359779</v>
      </c>
      <c r="G450" s="970">
        <v>451219</v>
      </c>
      <c r="H450" s="970"/>
      <c r="I450" s="970">
        <v>69612</v>
      </c>
      <c r="J450" s="971">
        <v>61939</v>
      </c>
      <c r="K450" s="971">
        <v>119736</v>
      </c>
      <c r="L450" s="971">
        <v>0</v>
      </c>
      <c r="M450" s="970"/>
      <c r="N450" s="971">
        <v>2336</v>
      </c>
      <c r="O450" s="971">
        <v>0</v>
      </c>
      <c r="P450" s="971">
        <v>0</v>
      </c>
      <c r="Q450" s="971">
        <v>52852</v>
      </c>
      <c r="R450" s="970"/>
      <c r="S450" s="971">
        <v>125337</v>
      </c>
      <c r="T450" s="971">
        <v>-30387</v>
      </c>
      <c r="U450" s="971">
        <v>94950</v>
      </c>
    </row>
    <row r="451" spans="1:21" x14ac:dyDescent="0.25">
      <c r="A451" s="967">
        <v>94611</v>
      </c>
      <c r="B451" s="968" t="s">
        <v>3087</v>
      </c>
      <c r="C451" s="969">
        <v>3.5149999999999998E-4</v>
      </c>
      <c r="D451" s="969">
        <v>3.6850000000000001E-4</v>
      </c>
      <c r="E451" s="1008">
        <v>187146</v>
      </c>
      <c r="F451" s="1011">
        <v>562966</v>
      </c>
      <c r="G451" s="970">
        <v>833878</v>
      </c>
      <c r="H451" s="970"/>
      <c r="I451" s="970">
        <v>128648</v>
      </c>
      <c r="J451" s="971">
        <v>114467</v>
      </c>
      <c r="K451" s="971">
        <v>221279</v>
      </c>
      <c r="L451" s="971">
        <v>1175</v>
      </c>
      <c r="M451" s="970"/>
      <c r="N451" s="971">
        <v>4317</v>
      </c>
      <c r="O451" s="971">
        <v>0</v>
      </c>
      <c r="P451" s="971">
        <v>0</v>
      </c>
      <c r="Q451" s="971">
        <v>24785</v>
      </c>
      <c r="R451" s="970"/>
      <c r="S451" s="971">
        <v>231629</v>
      </c>
      <c r="T451" s="971">
        <v>-9311</v>
      </c>
      <c r="U451" s="971">
        <v>222318</v>
      </c>
    </row>
    <row r="452" spans="1:21" x14ac:dyDescent="0.25">
      <c r="A452" s="967">
        <v>94621</v>
      </c>
      <c r="B452" s="968" t="s">
        <v>3088</v>
      </c>
      <c r="C452" s="969">
        <v>1.0450000000000001E-4</v>
      </c>
      <c r="D452" s="969">
        <v>9.7600000000000001E-5</v>
      </c>
      <c r="E452" s="1008">
        <v>69631</v>
      </c>
      <c r="F452" s="1011">
        <v>149106</v>
      </c>
      <c r="G452" s="970">
        <v>247910</v>
      </c>
      <c r="H452" s="970"/>
      <c r="I452" s="970">
        <v>38247</v>
      </c>
      <c r="J452" s="971">
        <v>34031</v>
      </c>
      <c r="K452" s="971">
        <v>65786</v>
      </c>
      <c r="L452" s="971">
        <v>19728</v>
      </c>
      <c r="M452" s="970"/>
      <c r="N452" s="971">
        <v>1283</v>
      </c>
      <c r="O452" s="971">
        <v>0</v>
      </c>
      <c r="P452" s="971">
        <v>0</v>
      </c>
      <c r="Q452" s="971">
        <v>10114</v>
      </c>
      <c r="R452" s="970"/>
      <c r="S452" s="971">
        <v>68863</v>
      </c>
      <c r="T452" s="971">
        <v>3576</v>
      </c>
      <c r="U452" s="971">
        <v>72439</v>
      </c>
    </row>
    <row r="453" spans="1:21" x14ac:dyDescent="0.25">
      <c r="A453" s="967">
        <v>94631</v>
      </c>
      <c r="B453" s="968" t="s">
        <v>3089</v>
      </c>
      <c r="C453" s="969">
        <v>4.4799999999999998E-5</v>
      </c>
      <c r="D453" s="969">
        <v>3.9100000000000002E-5</v>
      </c>
      <c r="E453" s="1008">
        <v>20550</v>
      </c>
      <c r="F453" s="1011">
        <v>59734</v>
      </c>
      <c r="G453" s="970">
        <v>106281</v>
      </c>
      <c r="H453" s="970"/>
      <c r="I453" s="970">
        <v>16397</v>
      </c>
      <c r="J453" s="971">
        <v>14590</v>
      </c>
      <c r="K453" s="971">
        <v>28203</v>
      </c>
      <c r="L453" s="971">
        <v>7035</v>
      </c>
      <c r="M453" s="970"/>
      <c r="N453" s="971">
        <v>550</v>
      </c>
      <c r="O453" s="971">
        <v>0</v>
      </c>
      <c r="P453" s="971">
        <v>0</v>
      </c>
      <c r="Q453" s="971">
        <v>0</v>
      </c>
      <c r="R453" s="970"/>
      <c r="S453" s="971">
        <v>29522</v>
      </c>
      <c r="T453" s="971">
        <v>3256</v>
      </c>
      <c r="U453" s="971">
        <v>32778</v>
      </c>
    </row>
    <row r="454" spans="1:21" x14ac:dyDescent="0.25">
      <c r="A454" s="967">
        <v>94641</v>
      </c>
      <c r="B454" s="968" t="s">
        <v>3090</v>
      </c>
      <c r="C454" s="969">
        <v>3.5999999999999998E-6</v>
      </c>
      <c r="D454" s="969">
        <v>3.8999999999999999E-6</v>
      </c>
      <c r="E454" s="1008">
        <v>4763</v>
      </c>
      <c r="F454" s="1011">
        <v>5958</v>
      </c>
      <c r="G454" s="970">
        <v>8540</v>
      </c>
      <c r="H454" s="970"/>
      <c r="I454" s="970">
        <v>1318</v>
      </c>
      <c r="J454" s="971">
        <v>1173</v>
      </c>
      <c r="K454" s="971">
        <v>2266</v>
      </c>
      <c r="L454" s="971">
        <v>5161</v>
      </c>
      <c r="M454" s="970"/>
      <c r="N454" s="971">
        <v>44</v>
      </c>
      <c r="O454" s="971">
        <v>0</v>
      </c>
      <c r="P454" s="971">
        <v>0</v>
      </c>
      <c r="Q454" s="971">
        <v>0</v>
      </c>
      <c r="R454" s="970"/>
      <c r="S454" s="971">
        <v>2372</v>
      </c>
      <c r="T454" s="971">
        <v>2728</v>
      </c>
      <c r="U454" s="971">
        <v>5100</v>
      </c>
    </row>
    <row r="455" spans="1:21" x14ac:dyDescent="0.25">
      <c r="A455" s="967">
        <v>94701</v>
      </c>
      <c r="B455" s="968" t="s">
        <v>3091</v>
      </c>
      <c r="C455" s="969">
        <v>2.3993999999999999E-3</v>
      </c>
      <c r="D455" s="969">
        <v>2.5446000000000002E-3</v>
      </c>
      <c r="E455" s="1008">
        <v>1155892</v>
      </c>
      <c r="F455" s="1011">
        <v>3887444</v>
      </c>
      <c r="G455" s="970">
        <v>5692197</v>
      </c>
      <c r="H455" s="970"/>
      <c r="I455" s="970">
        <v>878171</v>
      </c>
      <c r="J455" s="971">
        <v>781370</v>
      </c>
      <c r="K455" s="971">
        <v>1510489</v>
      </c>
      <c r="L455" s="971">
        <v>14859</v>
      </c>
      <c r="M455" s="970"/>
      <c r="N455" s="971">
        <v>29467</v>
      </c>
      <c r="O455" s="971">
        <v>0</v>
      </c>
      <c r="P455" s="971">
        <v>0</v>
      </c>
      <c r="Q455" s="971">
        <v>188404</v>
      </c>
      <c r="R455" s="970"/>
      <c r="S455" s="971">
        <v>1581140</v>
      </c>
      <c r="T455" s="971">
        <v>-32473</v>
      </c>
      <c r="U455" s="971">
        <v>1548667</v>
      </c>
    </row>
    <row r="456" spans="1:21" x14ac:dyDescent="0.25">
      <c r="A456" s="967">
        <v>94704</v>
      </c>
      <c r="B456" s="968" t="s">
        <v>3092</v>
      </c>
      <c r="C456" s="969">
        <v>1.63E-5</v>
      </c>
      <c r="D456" s="969">
        <v>9.5000000000000005E-6</v>
      </c>
      <c r="E456" s="1008">
        <v>8058</v>
      </c>
      <c r="F456" s="1011">
        <v>14513</v>
      </c>
      <c r="G456" s="970">
        <v>38669</v>
      </c>
      <c r="H456" s="970"/>
      <c r="I456" s="970">
        <v>5966</v>
      </c>
      <c r="J456" s="971">
        <v>5308</v>
      </c>
      <c r="K456" s="971">
        <v>10261</v>
      </c>
      <c r="L456" s="971">
        <v>4937</v>
      </c>
      <c r="M456" s="970"/>
      <c r="N456" s="971">
        <v>200</v>
      </c>
      <c r="O456" s="971">
        <v>0</v>
      </c>
      <c r="P456" s="971">
        <v>0</v>
      </c>
      <c r="Q456" s="971">
        <v>69</v>
      </c>
      <c r="R456" s="970"/>
      <c r="S456" s="971">
        <v>10741</v>
      </c>
      <c r="T456" s="971">
        <v>1269</v>
      </c>
      <c r="U456" s="971">
        <v>12010</v>
      </c>
    </row>
    <row r="457" spans="1:21" x14ac:dyDescent="0.25">
      <c r="A457" s="967">
        <v>94711</v>
      </c>
      <c r="B457" s="968" t="s">
        <v>3093</v>
      </c>
      <c r="C457" s="969">
        <v>3.3589999999999998E-4</v>
      </c>
      <c r="D457" s="969">
        <v>3.3599999999999998E-4</v>
      </c>
      <c r="E457" s="1008">
        <v>168065</v>
      </c>
      <c r="F457" s="1011">
        <v>513315</v>
      </c>
      <c r="G457" s="970">
        <v>796870</v>
      </c>
      <c r="H457" s="970"/>
      <c r="I457" s="970">
        <v>122938</v>
      </c>
      <c r="J457" s="971">
        <v>109386</v>
      </c>
      <c r="K457" s="971">
        <v>211458</v>
      </c>
      <c r="L457" s="971">
        <v>6983</v>
      </c>
      <c r="M457" s="970"/>
      <c r="N457" s="971">
        <v>4125</v>
      </c>
      <c r="O457" s="971">
        <v>0</v>
      </c>
      <c r="P457" s="971">
        <v>0</v>
      </c>
      <c r="Q457" s="971">
        <v>2875</v>
      </c>
      <c r="R457" s="970"/>
      <c r="S457" s="971">
        <v>221349</v>
      </c>
      <c r="T457" s="971">
        <v>1908</v>
      </c>
      <c r="U457" s="971">
        <v>223257</v>
      </c>
    </row>
    <row r="458" spans="1:21" x14ac:dyDescent="0.25">
      <c r="A458" s="967">
        <v>94801</v>
      </c>
      <c r="B458" s="968" t="s">
        <v>3094</v>
      </c>
      <c r="C458" s="969">
        <v>6.7719999999999998E-4</v>
      </c>
      <c r="D458" s="969">
        <v>7.2440000000000004E-4</v>
      </c>
      <c r="E458" s="1008">
        <v>345761</v>
      </c>
      <c r="F458" s="1011">
        <v>1106683</v>
      </c>
      <c r="G458" s="970">
        <v>1606550</v>
      </c>
      <c r="H458" s="970"/>
      <c r="I458" s="970">
        <v>247852</v>
      </c>
      <c r="J458" s="971">
        <v>220532</v>
      </c>
      <c r="K458" s="971">
        <v>426316</v>
      </c>
      <c r="L458" s="971">
        <v>17822</v>
      </c>
      <c r="M458" s="970"/>
      <c r="N458" s="971">
        <v>8317</v>
      </c>
      <c r="O458" s="971">
        <v>0</v>
      </c>
      <c r="P458" s="971">
        <v>0</v>
      </c>
      <c r="Q458" s="971">
        <v>36966</v>
      </c>
      <c r="R458" s="970"/>
      <c r="S458" s="971">
        <v>446257</v>
      </c>
      <c r="T458" s="971">
        <v>12092</v>
      </c>
      <c r="U458" s="971">
        <v>458349</v>
      </c>
    </row>
    <row r="459" spans="1:21" x14ac:dyDescent="0.25">
      <c r="A459" s="967">
        <v>94804</v>
      </c>
      <c r="B459" s="968" t="s">
        <v>3095</v>
      </c>
      <c r="C459" s="969">
        <v>3.3000000000000002E-6</v>
      </c>
      <c r="D459" s="969">
        <v>3.8E-6</v>
      </c>
      <c r="E459" s="1008">
        <v>2754</v>
      </c>
      <c r="F459" s="1011">
        <v>5805</v>
      </c>
      <c r="G459" s="970">
        <v>7829</v>
      </c>
      <c r="H459" s="970"/>
      <c r="I459" s="970">
        <v>1208</v>
      </c>
      <c r="J459" s="971">
        <v>1075</v>
      </c>
      <c r="K459" s="971">
        <v>2077</v>
      </c>
      <c r="L459" s="971">
        <v>1172</v>
      </c>
      <c r="M459" s="970"/>
      <c r="N459" s="971">
        <v>41</v>
      </c>
      <c r="O459" s="971">
        <v>0</v>
      </c>
      <c r="P459" s="971">
        <v>0</v>
      </c>
      <c r="Q459" s="971">
        <v>142</v>
      </c>
      <c r="R459" s="970"/>
      <c r="S459" s="971">
        <v>2175</v>
      </c>
      <c r="T459" s="971">
        <v>2000</v>
      </c>
      <c r="U459" s="971">
        <v>4175</v>
      </c>
    </row>
    <row r="460" spans="1:21" x14ac:dyDescent="0.25">
      <c r="A460" s="967">
        <v>94812</v>
      </c>
      <c r="B460" s="968" t="s">
        <v>3096</v>
      </c>
      <c r="C460" s="969">
        <v>3.2100000000000001E-5</v>
      </c>
      <c r="D460" s="969">
        <v>3.3000000000000003E-5</v>
      </c>
      <c r="E460" s="1008">
        <v>20766</v>
      </c>
      <c r="F460" s="1011">
        <v>50415</v>
      </c>
      <c r="G460" s="970">
        <v>76152</v>
      </c>
      <c r="H460" s="970"/>
      <c r="I460" s="970">
        <v>11748</v>
      </c>
      <c r="J460" s="971">
        <v>10453</v>
      </c>
      <c r="K460" s="971">
        <v>20208</v>
      </c>
      <c r="L460" s="971">
        <v>9807</v>
      </c>
      <c r="M460" s="970"/>
      <c r="N460" s="971">
        <v>394</v>
      </c>
      <c r="O460" s="971">
        <v>0</v>
      </c>
      <c r="P460" s="971">
        <v>0</v>
      </c>
      <c r="Q460" s="971">
        <v>0</v>
      </c>
      <c r="R460" s="970"/>
      <c r="S460" s="971">
        <v>21153</v>
      </c>
      <c r="T460" s="971">
        <v>4887</v>
      </c>
      <c r="U460" s="971">
        <v>26040</v>
      </c>
    </row>
    <row r="461" spans="1:21" x14ac:dyDescent="0.25">
      <c r="A461" s="967">
        <v>94901</v>
      </c>
      <c r="B461" s="968" t="s">
        <v>3097</v>
      </c>
      <c r="C461" s="969">
        <v>7.1234000000000002E-3</v>
      </c>
      <c r="D461" s="969">
        <v>6.7841999999999998E-3</v>
      </c>
      <c r="E461" s="1008">
        <v>3458044</v>
      </c>
      <c r="F461" s="1011">
        <v>10364378</v>
      </c>
      <c r="G461" s="970">
        <v>16899141</v>
      </c>
      <c r="H461" s="970"/>
      <c r="I461" s="970">
        <v>2607136</v>
      </c>
      <c r="J461" s="971">
        <v>2319750</v>
      </c>
      <c r="K461" s="971">
        <v>4484380</v>
      </c>
      <c r="L461" s="971">
        <v>225129</v>
      </c>
      <c r="M461" s="970"/>
      <c r="N461" s="971">
        <v>87482</v>
      </c>
      <c r="O461" s="971">
        <v>0</v>
      </c>
      <c r="P461" s="971">
        <v>0</v>
      </c>
      <c r="Q461" s="971">
        <v>81221</v>
      </c>
      <c r="R461" s="970"/>
      <c r="S461" s="971">
        <v>4694128</v>
      </c>
      <c r="T461" s="971">
        <v>18634</v>
      </c>
      <c r="U461" s="971">
        <v>4712762</v>
      </c>
    </row>
    <row r="462" spans="1:21" x14ac:dyDescent="0.25">
      <c r="A462" s="967">
        <v>94908</v>
      </c>
      <c r="B462" s="968" t="s">
        <v>3098</v>
      </c>
      <c r="C462" s="969">
        <v>6.8000000000000001E-6</v>
      </c>
      <c r="D462" s="969">
        <v>7.7000000000000008E-6</v>
      </c>
      <c r="E462" s="1008">
        <v>3619</v>
      </c>
      <c r="F462" s="1011">
        <v>11763</v>
      </c>
      <c r="G462" s="970">
        <v>16132</v>
      </c>
      <c r="H462" s="970"/>
      <c r="I462" s="970">
        <v>2489</v>
      </c>
      <c r="J462" s="971">
        <v>2215</v>
      </c>
      <c r="K462" s="971">
        <v>4281</v>
      </c>
      <c r="L462" s="971">
        <v>0</v>
      </c>
      <c r="M462" s="970"/>
      <c r="N462" s="971">
        <v>84</v>
      </c>
      <c r="O462" s="971">
        <v>0</v>
      </c>
      <c r="P462" s="971">
        <v>0</v>
      </c>
      <c r="Q462" s="971">
        <v>15303</v>
      </c>
      <c r="R462" s="970"/>
      <c r="S462" s="971">
        <v>4481</v>
      </c>
      <c r="T462" s="971">
        <v>-6873</v>
      </c>
      <c r="U462" s="971">
        <v>-2392</v>
      </c>
    </row>
    <row r="463" spans="1:21" x14ac:dyDescent="0.25">
      <c r="A463" s="967">
        <v>94911</v>
      </c>
      <c r="B463" s="968" t="s">
        <v>3099</v>
      </c>
      <c r="C463" s="969">
        <v>2.9845000000000002E-3</v>
      </c>
      <c r="D463" s="969">
        <v>2.8311E-3</v>
      </c>
      <c r="E463" s="1008">
        <v>1437337</v>
      </c>
      <c r="F463" s="1011">
        <v>4325137</v>
      </c>
      <c r="G463" s="970">
        <v>7080255</v>
      </c>
      <c r="H463" s="970"/>
      <c r="I463" s="970">
        <v>1092315</v>
      </c>
      <c r="J463" s="971">
        <v>971909</v>
      </c>
      <c r="K463" s="971">
        <v>1878826</v>
      </c>
      <c r="L463" s="971">
        <v>119500</v>
      </c>
      <c r="M463" s="970"/>
      <c r="N463" s="971">
        <v>36653</v>
      </c>
      <c r="O463" s="971">
        <v>0</v>
      </c>
      <c r="P463" s="971">
        <v>0</v>
      </c>
      <c r="Q463" s="971">
        <v>21376</v>
      </c>
      <c r="R463" s="970"/>
      <c r="S463" s="971">
        <v>1966705</v>
      </c>
      <c r="T463" s="971">
        <v>15404</v>
      </c>
      <c r="U463" s="971">
        <v>1982109</v>
      </c>
    </row>
    <row r="464" spans="1:21" x14ac:dyDescent="0.25">
      <c r="A464" s="967">
        <v>94917</v>
      </c>
      <c r="B464" s="968" t="s">
        <v>3100</v>
      </c>
      <c r="C464" s="969">
        <v>3.0899999999999999E-5</v>
      </c>
      <c r="D464" s="969">
        <v>3.5099999999999999E-5</v>
      </c>
      <c r="E464" s="1008">
        <v>27816</v>
      </c>
      <c r="F464" s="1011">
        <v>53623</v>
      </c>
      <c r="G464" s="970">
        <v>73305</v>
      </c>
      <c r="H464" s="970"/>
      <c r="I464" s="970">
        <v>11309</v>
      </c>
      <c r="J464" s="971">
        <v>10063</v>
      </c>
      <c r="K464" s="971">
        <v>19452</v>
      </c>
      <c r="L464" s="971">
        <v>16632</v>
      </c>
      <c r="M464" s="970"/>
      <c r="N464" s="971">
        <v>379</v>
      </c>
      <c r="O464" s="971">
        <v>0</v>
      </c>
      <c r="P464" s="971">
        <v>0</v>
      </c>
      <c r="Q464" s="971">
        <v>0</v>
      </c>
      <c r="R464" s="970"/>
      <c r="S464" s="971">
        <v>20362</v>
      </c>
      <c r="T464" s="971">
        <v>8881</v>
      </c>
      <c r="U464" s="971">
        <v>29243</v>
      </c>
    </row>
    <row r="465" spans="1:21" x14ac:dyDescent="0.25">
      <c r="A465" s="967">
        <v>94921</v>
      </c>
      <c r="B465" s="968" t="s">
        <v>3101</v>
      </c>
      <c r="C465" s="969">
        <v>3.9271000000000002E-3</v>
      </c>
      <c r="D465" s="969">
        <v>3.9515000000000002E-3</v>
      </c>
      <c r="E465" s="1008">
        <v>1763660</v>
      </c>
      <c r="F465" s="1011">
        <v>6036797</v>
      </c>
      <c r="G465" s="970">
        <v>9316424</v>
      </c>
      <c r="H465" s="970"/>
      <c r="I465" s="970">
        <v>1437303</v>
      </c>
      <c r="J465" s="971">
        <v>1278868</v>
      </c>
      <c r="K465" s="971">
        <v>2472219</v>
      </c>
      <c r="L465" s="971">
        <v>14401</v>
      </c>
      <c r="M465" s="970"/>
      <c r="N465" s="971">
        <v>48229</v>
      </c>
      <c r="O465" s="971">
        <v>0</v>
      </c>
      <c r="P465" s="971">
        <v>0</v>
      </c>
      <c r="Q465" s="971">
        <v>338996</v>
      </c>
      <c r="R465" s="970"/>
      <c r="S465" s="971">
        <v>2587853</v>
      </c>
      <c r="T465" s="971">
        <v>-186399</v>
      </c>
      <c r="U465" s="971">
        <v>2401454</v>
      </c>
    </row>
    <row r="466" spans="1:21" x14ac:dyDescent="0.25">
      <c r="A466" s="967">
        <v>94923</v>
      </c>
      <c r="B466" s="968" t="s">
        <v>3102</v>
      </c>
      <c r="C466" s="969">
        <v>2.9099999999999999E-5</v>
      </c>
      <c r="D466" s="969">
        <v>3.0700000000000001E-5</v>
      </c>
      <c r="E466" s="1008">
        <v>15966</v>
      </c>
      <c r="F466" s="1011">
        <v>46901</v>
      </c>
      <c r="G466" s="970">
        <v>69035</v>
      </c>
      <c r="H466" s="970"/>
      <c r="I466" s="970">
        <v>10650</v>
      </c>
      <c r="J466" s="971">
        <v>9477</v>
      </c>
      <c r="K466" s="971">
        <v>18319</v>
      </c>
      <c r="L466" s="971">
        <v>4323</v>
      </c>
      <c r="M466" s="970"/>
      <c r="N466" s="971">
        <v>357</v>
      </c>
      <c r="O466" s="971">
        <v>0</v>
      </c>
      <c r="P466" s="971">
        <v>0</v>
      </c>
      <c r="Q466" s="971">
        <v>0</v>
      </c>
      <c r="R466" s="970"/>
      <c r="S466" s="971">
        <v>19176</v>
      </c>
      <c r="T466" s="971">
        <v>1615</v>
      </c>
      <c r="U466" s="971">
        <v>20791</v>
      </c>
    </row>
    <row r="467" spans="1:21" x14ac:dyDescent="0.25">
      <c r="A467" s="967">
        <v>94927</v>
      </c>
      <c r="B467" s="968" t="s">
        <v>3103</v>
      </c>
      <c r="C467" s="969">
        <v>2.76E-5</v>
      </c>
      <c r="D467" s="969">
        <v>3.0599999999999998E-5</v>
      </c>
      <c r="E467" s="1008">
        <v>20061</v>
      </c>
      <c r="F467" s="1011">
        <v>46748</v>
      </c>
      <c r="G467" s="970">
        <v>65477</v>
      </c>
      <c r="H467" s="970"/>
      <c r="I467" s="970">
        <v>10101</v>
      </c>
      <c r="J467" s="971">
        <v>8988</v>
      </c>
      <c r="K467" s="971">
        <v>17375</v>
      </c>
      <c r="L467" s="971">
        <v>4844</v>
      </c>
      <c r="M467" s="970"/>
      <c r="N467" s="971">
        <v>339</v>
      </c>
      <c r="O467" s="971">
        <v>0</v>
      </c>
      <c r="P467" s="971">
        <v>0</v>
      </c>
      <c r="Q467" s="971">
        <v>0</v>
      </c>
      <c r="R467" s="970"/>
      <c r="S467" s="971">
        <v>18188</v>
      </c>
      <c r="T467" s="971">
        <v>1685</v>
      </c>
      <c r="U467" s="971">
        <v>19873</v>
      </c>
    </row>
    <row r="468" spans="1:21" x14ac:dyDescent="0.25">
      <c r="A468" s="967">
        <v>94931</v>
      </c>
      <c r="B468" s="968" t="s">
        <v>3104</v>
      </c>
      <c r="C468" s="969">
        <v>2.0350000000000001E-4</v>
      </c>
      <c r="D468" s="969">
        <v>2.163E-4</v>
      </c>
      <c r="E468" s="1008">
        <v>101033</v>
      </c>
      <c r="F468" s="1011">
        <v>330446</v>
      </c>
      <c r="G468" s="970">
        <v>482772</v>
      </c>
      <c r="H468" s="970"/>
      <c r="I468" s="970">
        <v>74480</v>
      </c>
      <c r="J468" s="971">
        <v>66270</v>
      </c>
      <c r="K468" s="971">
        <v>128109</v>
      </c>
      <c r="L468" s="971">
        <v>716</v>
      </c>
      <c r="M468" s="970"/>
      <c r="N468" s="971">
        <v>2499</v>
      </c>
      <c r="O468" s="971">
        <v>0</v>
      </c>
      <c r="P468" s="971">
        <v>0</v>
      </c>
      <c r="Q468" s="971">
        <v>15634</v>
      </c>
      <c r="R468" s="970"/>
      <c r="S468" s="971">
        <v>134101</v>
      </c>
      <c r="T468" s="971">
        <v>-9864</v>
      </c>
      <c r="U468" s="971">
        <v>124237</v>
      </c>
    </row>
    <row r="469" spans="1:21" x14ac:dyDescent="0.25">
      <c r="A469" s="967">
        <v>94941</v>
      </c>
      <c r="B469" s="968" t="s">
        <v>3105</v>
      </c>
      <c r="C469" s="969">
        <v>5.4239999999999996E-4</v>
      </c>
      <c r="D469" s="969">
        <v>5.7879999999999997E-4</v>
      </c>
      <c r="E469" s="1008">
        <v>248811</v>
      </c>
      <c r="F469" s="1011">
        <v>884246</v>
      </c>
      <c r="G469" s="970">
        <v>1286758</v>
      </c>
      <c r="H469" s="970"/>
      <c r="I469" s="970">
        <v>198516</v>
      </c>
      <c r="J469" s="971">
        <v>176633</v>
      </c>
      <c r="K469" s="971">
        <v>341456</v>
      </c>
      <c r="L469" s="971">
        <v>22905</v>
      </c>
      <c r="M469" s="970"/>
      <c r="N469" s="971">
        <v>6661</v>
      </c>
      <c r="O469" s="971">
        <v>0</v>
      </c>
      <c r="P469" s="971">
        <v>0</v>
      </c>
      <c r="Q469" s="971">
        <v>39327</v>
      </c>
      <c r="R469" s="970"/>
      <c r="S469" s="971">
        <v>357427</v>
      </c>
      <c r="T469" s="971">
        <v>36038</v>
      </c>
      <c r="U469" s="971">
        <v>393465</v>
      </c>
    </row>
    <row r="470" spans="1:21" x14ac:dyDescent="0.25">
      <c r="A470" s="967">
        <v>95001</v>
      </c>
      <c r="B470" s="968" t="s">
        <v>3106</v>
      </c>
      <c r="C470" s="969">
        <v>2.3002999999999999E-3</v>
      </c>
      <c r="D470" s="969">
        <v>2.4867000000000001E-3</v>
      </c>
      <c r="E470" s="1008">
        <v>1230481</v>
      </c>
      <c r="F470" s="1011">
        <v>3798989</v>
      </c>
      <c r="G470" s="970">
        <v>5457098</v>
      </c>
      <c r="H470" s="970"/>
      <c r="I470" s="970">
        <v>841901</v>
      </c>
      <c r="J470" s="971">
        <v>749098</v>
      </c>
      <c r="K470" s="971">
        <v>1448103</v>
      </c>
      <c r="L470" s="971">
        <v>121208</v>
      </c>
      <c r="M470" s="970"/>
      <c r="N470" s="971">
        <v>28250</v>
      </c>
      <c r="O470" s="971">
        <v>0</v>
      </c>
      <c r="P470" s="971">
        <v>0</v>
      </c>
      <c r="Q470" s="971">
        <v>49464</v>
      </c>
      <c r="R470" s="970"/>
      <c r="S470" s="971">
        <v>1515836</v>
      </c>
      <c r="T470" s="971">
        <v>39325</v>
      </c>
      <c r="U470" s="971">
        <v>1555161</v>
      </c>
    </row>
    <row r="471" spans="1:21" x14ac:dyDescent="0.25">
      <c r="A471" s="967">
        <v>95002</v>
      </c>
      <c r="B471" s="968" t="s">
        <v>3107</v>
      </c>
      <c r="C471" s="969">
        <v>1.8589999999999999E-4</v>
      </c>
      <c r="D471" s="969">
        <v>1.907E-4</v>
      </c>
      <c r="E471" s="1008">
        <v>106939</v>
      </c>
      <c r="F471" s="1011">
        <v>291337</v>
      </c>
      <c r="G471" s="970">
        <v>441018</v>
      </c>
      <c r="H471" s="970"/>
      <c r="I471" s="970">
        <v>68039</v>
      </c>
      <c r="J471" s="971">
        <v>60538</v>
      </c>
      <c r="K471" s="971">
        <v>117029</v>
      </c>
      <c r="L471" s="971">
        <v>18706</v>
      </c>
      <c r="M471" s="970"/>
      <c r="N471" s="971">
        <v>2283</v>
      </c>
      <c r="O471" s="971">
        <v>0</v>
      </c>
      <c r="P471" s="971">
        <v>0</v>
      </c>
      <c r="Q471" s="971">
        <v>0</v>
      </c>
      <c r="R471" s="970"/>
      <c r="S471" s="971">
        <v>122503</v>
      </c>
      <c r="T471" s="971">
        <v>8615</v>
      </c>
      <c r="U471" s="971">
        <v>131118</v>
      </c>
    </row>
    <row r="472" spans="1:21" x14ac:dyDescent="0.25">
      <c r="A472" s="967">
        <v>95005</v>
      </c>
      <c r="B472" s="968" t="s">
        <v>3108</v>
      </c>
      <c r="C472" s="969">
        <v>2.131E-4</v>
      </c>
      <c r="D472" s="969">
        <v>2.2949999999999999E-4</v>
      </c>
      <c r="E472" s="1008">
        <v>115400</v>
      </c>
      <c r="F472" s="1011">
        <v>350612</v>
      </c>
      <c r="G472" s="970">
        <v>505546</v>
      </c>
      <c r="H472" s="970"/>
      <c r="I472" s="970">
        <v>77994</v>
      </c>
      <c r="J472" s="971">
        <v>69397</v>
      </c>
      <c r="K472" s="971">
        <v>134152</v>
      </c>
      <c r="L472" s="971">
        <v>4292</v>
      </c>
      <c r="M472" s="970"/>
      <c r="N472" s="971">
        <v>2617</v>
      </c>
      <c r="O472" s="971">
        <v>0</v>
      </c>
      <c r="P472" s="971">
        <v>0</v>
      </c>
      <c r="Q472" s="971">
        <v>4029</v>
      </c>
      <c r="R472" s="970"/>
      <c r="S472" s="971">
        <v>140427</v>
      </c>
      <c r="T472" s="971">
        <v>8291</v>
      </c>
      <c r="U472" s="971">
        <v>148718</v>
      </c>
    </row>
    <row r="473" spans="1:21" x14ac:dyDescent="0.25">
      <c r="A473" s="967">
        <v>95008</v>
      </c>
      <c r="B473" s="968" t="s">
        <v>3109</v>
      </c>
      <c r="C473" s="969">
        <v>1.188E-4</v>
      </c>
      <c r="D473" s="969">
        <v>1.1519999999999999E-4</v>
      </c>
      <c r="E473" s="1008">
        <v>68091</v>
      </c>
      <c r="F473" s="1011">
        <v>175994</v>
      </c>
      <c r="G473" s="970">
        <v>281834</v>
      </c>
      <c r="H473" s="970"/>
      <c r="I473" s="970">
        <v>43480</v>
      </c>
      <c r="J473" s="971">
        <v>38688</v>
      </c>
      <c r="K473" s="971">
        <v>74788</v>
      </c>
      <c r="L473" s="971">
        <v>18509</v>
      </c>
      <c r="M473" s="970"/>
      <c r="N473" s="971">
        <v>1459</v>
      </c>
      <c r="O473" s="971">
        <v>0</v>
      </c>
      <c r="P473" s="971">
        <v>0</v>
      </c>
      <c r="Q473" s="971">
        <v>4058</v>
      </c>
      <c r="R473" s="970"/>
      <c r="S473" s="971">
        <v>78286</v>
      </c>
      <c r="T473" s="971">
        <v>11671</v>
      </c>
      <c r="U473" s="971">
        <v>89957</v>
      </c>
    </row>
    <row r="474" spans="1:21" x14ac:dyDescent="0.25">
      <c r="A474" s="967">
        <v>95009</v>
      </c>
      <c r="B474" s="968" t="s">
        <v>3691</v>
      </c>
      <c r="C474" s="969">
        <v>4.0277999999999998E-3</v>
      </c>
      <c r="D474" s="969">
        <v>4.2208999999999997E-3</v>
      </c>
      <c r="E474" s="1008">
        <v>2002290</v>
      </c>
      <c r="F474" s="1011">
        <v>6448366</v>
      </c>
      <c r="G474" s="970">
        <v>9555319</v>
      </c>
      <c r="H474" s="970"/>
      <c r="I474" s="970">
        <v>1474159</v>
      </c>
      <c r="J474" s="971">
        <v>1311662</v>
      </c>
      <c r="K474" s="971">
        <v>2535613</v>
      </c>
      <c r="L474" s="971">
        <v>318871</v>
      </c>
      <c r="M474" s="970"/>
      <c r="N474" s="971">
        <v>49465</v>
      </c>
      <c r="O474" s="971">
        <v>0</v>
      </c>
      <c r="P474" s="971">
        <v>0</v>
      </c>
      <c r="Q474" s="971">
        <v>113116</v>
      </c>
      <c r="R474" s="970"/>
      <c r="S474" s="971">
        <v>2654211</v>
      </c>
      <c r="T474" s="971">
        <v>550303</v>
      </c>
      <c r="U474" s="971">
        <v>3204514</v>
      </c>
    </row>
    <row r="475" spans="1:21" x14ac:dyDescent="0.25">
      <c r="A475" s="967">
        <v>95011</v>
      </c>
      <c r="B475" s="968" t="s">
        <v>3111</v>
      </c>
      <c r="C475" s="969">
        <v>1.8760000000000001E-4</v>
      </c>
      <c r="D475" s="969">
        <v>1.8000000000000001E-4</v>
      </c>
      <c r="E475" s="1008">
        <v>89093</v>
      </c>
      <c r="F475" s="1011">
        <v>274990</v>
      </c>
      <c r="G475" s="970">
        <v>445051</v>
      </c>
      <c r="H475" s="970"/>
      <c r="I475" s="970">
        <v>68661</v>
      </c>
      <c r="J475" s="971">
        <v>61093</v>
      </c>
      <c r="K475" s="971">
        <v>118099</v>
      </c>
      <c r="L475" s="971">
        <v>5719</v>
      </c>
      <c r="M475" s="970"/>
      <c r="N475" s="971">
        <v>2304</v>
      </c>
      <c r="O475" s="971">
        <v>0</v>
      </c>
      <c r="P475" s="971">
        <v>0</v>
      </c>
      <c r="Q475" s="971">
        <v>4270</v>
      </c>
      <c r="R475" s="970"/>
      <c r="S475" s="971">
        <v>123623</v>
      </c>
      <c r="T475" s="971">
        <v>-3004</v>
      </c>
      <c r="U475" s="971">
        <v>120619</v>
      </c>
    </row>
    <row r="476" spans="1:21" x14ac:dyDescent="0.25">
      <c r="A476" s="967">
        <v>95017</v>
      </c>
      <c r="B476" s="968" t="s">
        <v>3112</v>
      </c>
      <c r="C476" s="969">
        <v>4.5500000000000001E-5</v>
      </c>
      <c r="D476" s="969">
        <v>3.8800000000000001E-5</v>
      </c>
      <c r="E476" s="1008">
        <v>17648</v>
      </c>
      <c r="F476" s="1011">
        <v>59276</v>
      </c>
      <c r="G476" s="970">
        <v>107942</v>
      </c>
      <c r="H476" s="970"/>
      <c r="I476" s="970">
        <v>16653</v>
      </c>
      <c r="J476" s="971">
        <v>14818</v>
      </c>
      <c r="K476" s="971">
        <v>28644</v>
      </c>
      <c r="L476" s="971">
        <v>6820</v>
      </c>
      <c r="M476" s="970"/>
      <c r="N476" s="971">
        <v>559</v>
      </c>
      <c r="O476" s="971">
        <v>0</v>
      </c>
      <c r="P476" s="971">
        <v>0</v>
      </c>
      <c r="Q476" s="971">
        <v>0</v>
      </c>
      <c r="R476" s="970"/>
      <c r="S476" s="971">
        <v>29983</v>
      </c>
      <c r="T476" s="971">
        <v>7890</v>
      </c>
      <c r="U476" s="971">
        <v>37873</v>
      </c>
    </row>
    <row r="477" spans="1:21" x14ac:dyDescent="0.25">
      <c r="A477" s="967">
        <v>95101</v>
      </c>
      <c r="B477" s="968" t="s">
        <v>3113</v>
      </c>
      <c r="C477" s="969">
        <v>8.5109999999999995E-3</v>
      </c>
      <c r="D477" s="969">
        <v>8.3750999999999999E-3</v>
      </c>
      <c r="E477" s="1008">
        <v>3950765</v>
      </c>
      <c r="F477" s="1011">
        <v>12794833</v>
      </c>
      <c r="G477" s="970">
        <v>20191003</v>
      </c>
      <c r="H477" s="970"/>
      <c r="I477" s="970">
        <v>3114992</v>
      </c>
      <c r="J477" s="971">
        <v>2771624</v>
      </c>
      <c r="K477" s="971">
        <v>5357913</v>
      </c>
      <c r="L477" s="971">
        <v>2454</v>
      </c>
      <c r="M477" s="970"/>
      <c r="N477" s="971">
        <v>104524</v>
      </c>
      <c r="O477" s="971">
        <v>0</v>
      </c>
      <c r="P477" s="971">
        <v>0</v>
      </c>
      <c r="Q477" s="971">
        <v>152878</v>
      </c>
      <c r="R477" s="970"/>
      <c r="S477" s="971">
        <v>5608519</v>
      </c>
      <c r="T477" s="971">
        <v>-16926</v>
      </c>
      <c r="U477" s="971">
        <v>5591593</v>
      </c>
    </row>
    <row r="478" spans="1:21" x14ac:dyDescent="0.25">
      <c r="A478" s="967">
        <v>95103</v>
      </c>
      <c r="B478" s="968" t="s">
        <v>3114</v>
      </c>
      <c r="C478" s="969">
        <v>4.4400000000000002E-5</v>
      </c>
      <c r="D478" s="969">
        <v>4.9100000000000001E-5</v>
      </c>
      <c r="E478" s="1008">
        <v>30191</v>
      </c>
      <c r="F478" s="1011">
        <v>75011</v>
      </c>
      <c r="G478" s="970">
        <v>105332</v>
      </c>
      <c r="H478" s="970"/>
      <c r="I478" s="970">
        <v>16250</v>
      </c>
      <c r="J478" s="971">
        <v>14459</v>
      </c>
      <c r="K478" s="971">
        <v>27951</v>
      </c>
      <c r="L478" s="971">
        <v>9697</v>
      </c>
      <c r="M478" s="970"/>
      <c r="N478" s="971">
        <v>545</v>
      </c>
      <c r="O478" s="971">
        <v>0</v>
      </c>
      <c r="P478" s="971">
        <v>0</v>
      </c>
      <c r="Q478" s="971">
        <v>0</v>
      </c>
      <c r="R478" s="970"/>
      <c r="S478" s="971">
        <v>29258</v>
      </c>
      <c r="T478" s="971">
        <v>18768</v>
      </c>
      <c r="U478" s="971">
        <v>48026</v>
      </c>
    </row>
    <row r="479" spans="1:21" x14ac:dyDescent="0.25">
      <c r="A479" s="967">
        <v>95104</v>
      </c>
      <c r="B479" s="968" t="s">
        <v>3115</v>
      </c>
      <c r="C479" s="969">
        <v>9.8300000000000004E-5</v>
      </c>
      <c r="D479" s="969">
        <v>1.02E-4</v>
      </c>
      <c r="E479" s="1008">
        <v>61269</v>
      </c>
      <c r="F479" s="1011">
        <v>155828</v>
      </c>
      <c r="G479" s="970">
        <v>233201</v>
      </c>
      <c r="H479" s="970"/>
      <c r="I479" s="970">
        <v>35977</v>
      </c>
      <c r="J479" s="971">
        <v>32012</v>
      </c>
      <c r="K479" s="971">
        <v>61883</v>
      </c>
      <c r="L479" s="971">
        <v>19229</v>
      </c>
      <c r="M479" s="970"/>
      <c r="N479" s="971">
        <v>1207</v>
      </c>
      <c r="O479" s="971">
        <v>0</v>
      </c>
      <c r="P479" s="971">
        <v>0</v>
      </c>
      <c r="Q479" s="971">
        <v>0</v>
      </c>
      <c r="R479" s="970"/>
      <c r="S479" s="971">
        <v>64777</v>
      </c>
      <c r="T479" s="971">
        <v>10356</v>
      </c>
      <c r="U479" s="971">
        <v>75133</v>
      </c>
    </row>
    <row r="480" spans="1:21" x14ac:dyDescent="0.25">
      <c r="A480" s="967">
        <v>95105</v>
      </c>
      <c r="B480" s="968" t="s">
        <v>3116</v>
      </c>
      <c r="C480" s="969">
        <v>6.5900000000000003E-5</v>
      </c>
      <c r="D480" s="969">
        <v>6.1099999999999994E-5</v>
      </c>
      <c r="E480" s="1008">
        <v>35730</v>
      </c>
      <c r="F480" s="1011">
        <v>93344</v>
      </c>
      <c r="G480" s="970">
        <v>156337</v>
      </c>
      <c r="H480" s="970"/>
      <c r="I480" s="970">
        <v>24119</v>
      </c>
      <c r="J480" s="971">
        <v>21460</v>
      </c>
      <c r="K480" s="971">
        <v>41486</v>
      </c>
      <c r="L480" s="971">
        <v>10343</v>
      </c>
      <c r="M480" s="970"/>
      <c r="N480" s="971">
        <v>809</v>
      </c>
      <c r="O480" s="971">
        <v>0</v>
      </c>
      <c r="P480" s="971">
        <v>0</v>
      </c>
      <c r="Q480" s="971">
        <v>0</v>
      </c>
      <c r="R480" s="970"/>
      <c r="S480" s="971">
        <v>43426</v>
      </c>
      <c r="T480" s="971">
        <v>5557</v>
      </c>
      <c r="U480" s="971">
        <v>48983</v>
      </c>
    </row>
    <row r="481" spans="1:21" x14ac:dyDescent="0.25">
      <c r="A481" s="967">
        <v>95106</v>
      </c>
      <c r="B481" s="968" t="s">
        <v>3117</v>
      </c>
      <c r="C481" s="969">
        <v>1.3900000000000001E-5</v>
      </c>
      <c r="D481" s="969">
        <v>1.2099999999999999E-5</v>
      </c>
      <c r="E481" s="1008">
        <v>8073</v>
      </c>
      <c r="F481" s="1011">
        <v>18485</v>
      </c>
      <c r="G481" s="970">
        <v>32976</v>
      </c>
      <c r="H481" s="970"/>
      <c r="I481" s="970">
        <v>5087</v>
      </c>
      <c r="J481" s="971">
        <v>4527</v>
      </c>
      <c r="K481" s="971">
        <v>8750</v>
      </c>
      <c r="L481" s="971">
        <v>4636</v>
      </c>
      <c r="M481" s="970"/>
      <c r="N481" s="971">
        <v>171</v>
      </c>
      <c r="O481" s="971">
        <v>0</v>
      </c>
      <c r="P481" s="971">
        <v>0</v>
      </c>
      <c r="Q481" s="971">
        <v>1076</v>
      </c>
      <c r="R481" s="970"/>
      <c r="S481" s="971">
        <v>9160</v>
      </c>
      <c r="T481" s="971">
        <v>2803</v>
      </c>
      <c r="U481" s="971">
        <v>11963</v>
      </c>
    </row>
    <row r="482" spans="1:21" x14ac:dyDescent="0.25">
      <c r="A482" s="967">
        <v>95110</v>
      </c>
      <c r="B482" s="968" t="s">
        <v>3118</v>
      </c>
      <c r="C482" s="969">
        <v>3.5975E-3</v>
      </c>
      <c r="D482" s="969">
        <v>4.2902000000000001E-3</v>
      </c>
      <c r="E482" s="1008">
        <v>1943182</v>
      </c>
      <c r="F482" s="1011">
        <v>6554237</v>
      </c>
      <c r="G482" s="970">
        <v>8534500</v>
      </c>
      <c r="H482" s="970"/>
      <c r="I482" s="970">
        <v>1316671</v>
      </c>
      <c r="J482" s="971">
        <v>1171533</v>
      </c>
      <c r="K482" s="971">
        <v>2264727</v>
      </c>
      <c r="L482" s="971">
        <v>0</v>
      </c>
      <c r="M482" s="970"/>
      <c r="N482" s="971">
        <v>44181</v>
      </c>
      <c r="O482" s="971">
        <v>0</v>
      </c>
      <c r="P482" s="971">
        <v>0</v>
      </c>
      <c r="Q482" s="971">
        <v>813395</v>
      </c>
      <c r="R482" s="970"/>
      <c r="S482" s="971">
        <v>2370655</v>
      </c>
      <c r="T482" s="971">
        <v>-720222</v>
      </c>
      <c r="U482" s="971">
        <v>1650433</v>
      </c>
    </row>
    <row r="483" spans="1:21" x14ac:dyDescent="0.25">
      <c r="A483" s="967">
        <v>95111</v>
      </c>
      <c r="B483" s="968" t="s">
        <v>3119</v>
      </c>
      <c r="C483" s="969">
        <v>1.1188999999999999E-3</v>
      </c>
      <c r="D483" s="969">
        <v>1.0778999999999999E-3</v>
      </c>
      <c r="E483" s="1008">
        <v>496429</v>
      </c>
      <c r="F483" s="1011">
        <v>1646733</v>
      </c>
      <c r="G483" s="970">
        <v>2654413</v>
      </c>
      <c r="H483" s="970"/>
      <c r="I483" s="970">
        <v>409513</v>
      </c>
      <c r="J483" s="971">
        <v>364372</v>
      </c>
      <c r="K483" s="971">
        <v>704379</v>
      </c>
      <c r="L483" s="971">
        <v>0</v>
      </c>
      <c r="M483" s="970"/>
      <c r="N483" s="971">
        <v>13741</v>
      </c>
      <c r="O483" s="971">
        <v>0</v>
      </c>
      <c r="P483" s="971">
        <v>0</v>
      </c>
      <c r="Q483" s="971">
        <v>72731</v>
      </c>
      <c r="R483" s="970"/>
      <c r="S483" s="971">
        <v>737325</v>
      </c>
      <c r="T483" s="971">
        <v>-62211</v>
      </c>
      <c r="U483" s="971">
        <v>675114</v>
      </c>
    </row>
    <row r="484" spans="1:21" x14ac:dyDescent="0.25">
      <c r="A484" s="967">
        <v>95113</v>
      </c>
      <c r="B484" s="968" t="s">
        <v>3120</v>
      </c>
      <c r="C484" s="969">
        <v>4.49E-5</v>
      </c>
      <c r="D484" s="969">
        <v>4.6699999999999997E-5</v>
      </c>
      <c r="E484" s="1008">
        <v>74447</v>
      </c>
      <c r="F484" s="1011">
        <v>71345</v>
      </c>
      <c r="G484" s="970">
        <v>106518</v>
      </c>
      <c r="H484" s="970"/>
      <c r="I484" s="970">
        <v>16433</v>
      </c>
      <c r="J484" s="971">
        <v>14621</v>
      </c>
      <c r="K484" s="971">
        <v>28266</v>
      </c>
      <c r="L484" s="971">
        <v>91937</v>
      </c>
      <c r="M484" s="970"/>
      <c r="N484" s="971">
        <v>551</v>
      </c>
      <c r="O484" s="971">
        <v>0</v>
      </c>
      <c r="P484" s="971">
        <v>0</v>
      </c>
      <c r="Q484" s="971">
        <v>0</v>
      </c>
      <c r="R484" s="970"/>
      <c r="S484" s="971">
        <v>29588</v>
      </c>
      <c r="T484" s="971">
        <v>41492</v>
      </c>
      <c r="U484" s="971">
        <v>71080</v>
      </c>
    </row>
    <row r="485" spans="1:21" x14ac:dyDescent="0.25">
      <c r="A485" s="967">
        <v>95121</v>
      </c>
      <c r="B485" s="968" t="s">
        <v>3121</v>
      </c>
      <c r="C485" s="969">
        <v>5.2059999999999997E-4</v>
      </c>
      <c r="D485" s="969">
        <v>4.9770000000000001E-4</v>
      </c>
      <c r="E485" s="1008">
        <v>242310</v>
      </c>
      <c r="F485" s="1011">
        <v>760348</v>
      </c>
      <c r="G485" s="970">
        <v>1235041</v>
      </c>
      <c r="H485" s="970"/>
      <c r="I485" s="970">
        <v>190538</v>
      </c>
      <c r="J485" s="971">
        <v>169535</v>
      </c>
      <c r="K485" s="971">
        <v>327732</v>
      </c>
      <c r="L485" s="971">
        <v>13463</v>
      </c>
      <c r="M485" s="970"/>
      <c r="N485" s="971">
        <v>6393</v>
      </c>
      <c r="O485" s="971">
        <v>0</v>
      </c>
      <c r="P485" s="971">
        <v>0</v>
      </c>
      <c r="Q485" s="971">
        <v>1285</v>
      </c>
      <c r="R485" s="970"/>
      <c r="S485" s="971">
        <v>343061</v>
      </c>
      <c r="T485" s="971">
        <v>-5897</v>
      </c>
      <c r="U485" s="971">
        <v>337164</v>
      </c>
    </row>
    <row r="486" spans="1:21" x14ac:dyDescent="0.25">
      <c r="A486" s="967">
        <v>95122</v>
      </c>
      <c r="B486" s="968" t="s">
        <v>3122</v>
      </c>
      <c r="C486" s="969">
        <v>6.6000000000000003E-6</v>
      </c>
      <c r="D486" s="969">
        <v>6.4999999999999996E-6</v>
      </c>
      <c r="E486" s="1008">
        <v>4597</v>
      </c>
      <c r="F486" s="1011">
        <v>9930</v>
      </c>
      <c r="G486" s="970">
        <v>15657</v>
      </c>
      <c r="H486" s="970"/>
      <c r="I486" s="970">
        <v>2416</v>
      </c>
      <c r="J486" s="971">
        <v>2149</v>
      </c>
      <c r="K486" s="971">
        <v>4155</v>
      </c>
      <c r="L486" s="971">
        <v>3737</v>
      </c>
      <c r="M486" s="970"/>
      <c r="N486" s="971">
        <v>81</v>
      </c>
      <c r="O486" s="971">
        <v>0</v>
      </c>
      <c r="P486" s="971">
        <v>0</v>
      </c>
      <c r="Q486" s="971">
        <v>0</v>
      </c>
      <c r="R486" s="970"/>
      <c r="S486" s="971">
        <v>4349</v>
      </c>
      <c r="T486" s="971">
        <v>1394</v>
      </c>
      <c r="U486" s="971">
        <v>5743</v>
      </c>
    </row>
    <row r="487" spans="1:21" x14ac:dyDescent="0.25">
      <c r="A487" s="967">
        <v>95123</v>
      </c>
      <c r="B487" s="968" t="s">
        <v>3123</v>
      </c>
      <c r="C487" s="969">
        <v>5.41E-5</v>
      </c>
      <c r="D487" s="969">
        <v>5.7399999999999999E-5</v>
      </c>
      <c r="E487" s="1008">
        <v>29611</v>
      </c>
      <c r="F487" s="1011">
        <v>87691</v>
      </c>
      <c r="G487" s="970">
        <v>128344</v>
      </c>
      <c r="H487" s="970"/>
      <c r="I487" s="970">
        <v>19800</v>
      </c>
      <c r="J487" s="971">
        <v>17617</v>
      </c>
      <c r="K487" s="971">
        <v>34057</v>
      </c>
      <c r="L487" s="971">
        <v>5660</v>
      </c>
      <c r="M487" s="970"/>
      <c r="N487" s="971">
        <v>664</v>
      </c>
      <c r="O487" s="971">
        <v>0</v>
      </c>
      <c r="P487" s="971">
        <v>0</v>
      </c>
      <c r="Q487" s="971">
        <v>0</v>
      </c>
      <c r="R487" s="970"/>
      <c r="S487" s="971">
        <v>35650</v>
      </c>
      <c r="T487" s="971">
        <v>1881</v>
      </c>
      <c r="U487" s="971">
        <v>37531</v>
      </c>
    </row>
    <row r="488" spans="1:21" x14ac:dyDescent="0.25">
      <c r="A488" s="967">
        <v>95131</v>
      </c>
      <c r="B488" s="968" t="s">
        <v>3124</v>
      </c>
      <c r="C488" s="969">
        <v>1.7581000000000001E-3</v>
      </c>
      <c r="D488" s="969">
        <v>1.6682999999999999E-3</v>
      </c>
      <c r="E488" s="1008">
        <v>811029</v>
      </c>
      <c r="F488" s="1011">
        <v>2548700</v>
      </c>
      <c r="G488" s="970">
        <v>4170814</v>
      </c>
      <c r="H488" s="970"/>
      <c r="I488" s="970">
        <v>643458</v>
      </c>
      <c r="J488" s="971">
        <v>572529</v>
      </c>
      <c r="K488" s="971">
        <v>1106773</v>
      </c>
      <c r="L488" s="971">
        <v>95997</v>
      </c>
      <c r="M488" s="970"/>
      <c r="N488" s="971">
        <v>21591</v>
      </c>
      <c r="O488" s="971">
        <v>0</v>
      </c>
      <c r="P488" s="971">
        <v>0</v>
      </c>
      <c r="Q488" s="971">
        <v>0</v>
      </c>
      <c r="R488" s="970"/>
      <c r="S488" s="971">
        <v>1158540</v>
      </c>
      <c r="T488" s="971">
        <v>40038</v>
      </c>
      <c r="U488" s="971">
        <v>1198578</v>
      </c>
    </row>
    <row r="489" spans="1:21" x14ac:dyDescent="0.25">
      <c r="A489" s="967">
        <v>95141</v>
      </c>
      <c r="B489" s="968" t="s">
        <v>3125</v>
      </c>
      <c r="C489" s="969">
        <v>3.2400000000000001E-4</v>
      </c>
      <c r="D489" s="969">
        <v>3.2220000000000003E-4</v>
      </c>
      <c r="E489" s="1008">
        <v>148360</v>
      </c>
      <c r="F489" s="1011">
        <v>492232</v>
      </c>
      <c r="G489" s="970">
        <v>768639</v>
      </c>
      <c r="H489" s="970"/>
      <c r="I489" s="970">
        <v>118583</v>
      </c>
      <c r="J489" s="971">
        <v>105512</v>
      </c>
      <c r="K489" s="971">
        <v>203967</v>
      </c>
      <c r="L489" s="971">
        <v>0</v>
      </c>
      <c r="M489" s="970"/>
      <c r="N489" s="971">
        <v>3979</v>
      </c>
      <c r="O489" s="971">
        <v>0</v>
      </c>
      <c r="P489" s="971">
        <v>0</v>
      </c>
      <c r="Q489" s="971">
        <v>23502</v>
      </c>
      <c r="R489" s="970"/>
      <c r="S489" s="971">
        <v>213507</v>
      </c>
      <c r="T489" s="971">
        <v>-12963</v>
      </c>
      <c r="U489" s="971">
        <v>200544</v>
      </c>
    </row>
    <row r="490" spans="1:21" x14ac:dyDescent="0.25">
      <c r="A490" s="967">
        <v>95151</v>
      </c>
      <c r="B490" s="968" t="s">
        <v>3126</v>
      </c>
      <c r="C490" s="969">
        <v>1.159E-4</v>
      </c>
      <c r="D490" s="969">
        <v>1.092E-4</v>
      </c>
      <c r="E490" s="1008">
        <v>51040</v>
      </c>
      <c r="F490" s="1011">
        <v>166827</v>
      </c>
      <c r="G490" s="970">
        <v>274954</v>
      </c>
      <c r="H490" s="970"/>
      <c r="I490" s="970">
        <v>42419</v>
      </c>
      <c r="J490" s="971">
        <v>37743</v>
      </c>
      <c r="K490" s="971">
        <v>72962</v>
      </c>
      <c r="L490" s="971">
        <v>249</v>
      </c>
      <c r="M490" s="970"/>
      <c r="N490" s="971">
        <v>1423</v>
      </c>
      <c r="O490" s="971">
        <v>0</v>
      </c>
      <c r="P490" s="971">
        <v>0</v>
      </c>
      <c r="Q490" s="971">
        <v>7102</v>
      </c>
      <c r="R490" s="970"/>
      <c r="S490" s="971">
        <v>76375</v>
      </c>
      <c r="T490" s="971">
        <v>-3275</v>
      </c>
      <c r="U490" s="971">
        <v>73100</v>
      </c>
    </row>
    <row r="491" spans="1:21" x14ac:dyDescent="0.25">
      <c r="A491" s="967">
        <v>95161</v>
      </c>
      <c r="B491" s="968" t="s">
        <v>3127</v>
      </c>
      <c r="C491" s="969">
        <v>6.9200000000000002E-5</v>
      </c>
      <c r="D491" s="969">
        <v>6.8100000000000002E-5</v>
      </c>
      <c r="E491" s="1008">
        <v>41172</v>
      </c>
      <c r="F491" s="1011">
        <v>104038</v>
      </c>
      <c r="G491" s="970">
        <v>164166</v>
      </c>
      <c r="H491" s="970"/>
      <c r="I491" s="970">
        <v>25327</v>
      </c>
      <c r="J491" s="971">
        <v>22535</v>
      </c>
      <c r="K491" s="971">
        <v>43563</v>
      </c>
      <c r="L491" s="971">
        <v>10072</v>
      </c>
      <c r="M491" s="970"/>
      <c r="N491" s="971">
        <v>850</v>
      </c>
      <c r="O491" s="971">
        <v>0</v>
      </c>
      <c r="P491" s="971">
        <v>0</v>
      </c>
      <c r="Q491" s="971">
        <v>610</v>
      </c>
      <c r="R491" s="970"/>
      <c r="S491" s="971">
        <v>45601</v>
      </c>
      <c r="T491" s="971">
        <v>2943</v>
      </c>
      <c r="U491" s="971">
        <v>48544</v>
      </c>
    </row>
    <row r="492" spans="1:21" x14ac:dyDescent="0.25">
      <c r="A492" s="967">
        <v>95171</v>
      </c>
      <c r="B492" s="968" t="s">
        <v>3128</v>
      </c>
      <c r="C492" s="969">
        <v>8.8599999999999999E-5</v>
      </c>
      <c r="D492" s="969">
        <v>1.0459999999999999E-4</v>
      </c>
      <c r="E492" s="1008">
        <v>47353</v>
      </c>
      <c r="F492" s="1011">
        <v>159800</v>
      </c>
      <c r="G492" s="970">
        <v>210190</v>
      </c>
      <c r="H492" s="970"/>
      <c r="I492" s="970">
        <v>32427</v>
      </c>
      <c r="J492" s="971">
        <v>28853</v>
      </c>
      <c r="K492" s="971">
        <v>55776</v>
      </c>
      <c r="L492" s="971">
        <v>3021</v>
      </c>
      <c r="M492" s="970"/>
      <c r="N492" s="971">
        <v>1088</v>
      </c>
      <c r="O492" s="971">
        <v>0</v>
      </c>
      <c r="P492" s="971">
        <v>0</v>
      </c>
      <c r="Q492" s="971">
        <v>15947</v>
      </c>
      <c r="R492" s="970"/>
      <c r="S492" s="971">
        <v>58385</v>
      </c>
      <c r="T492" s="971">
        <v>-5663</v>
      </c>
      <c r="U492" s="971">
        <v>52722</v>
      </c>
    </row>
    <row r="493" spans="1:21" x14ac:dyDescent="0.25">
      <c r="A493" s="967">
        <v>95181</v>
      </c>
      <c r="B493" s="968" t="s">
        <v>3129</v>
      </c>
      <c r="C493" s="969">
        <v>7.7899999999999996E-5</v>
      </c>
      <c r="D493" s="969">
        <v>7.7100000000000004E-5</v>
      </c>
      <c r="E493" s="1008">
        <v>32737</v>
      </c>
      <c r="F493" s="1011">
        <v>117787</v>
      </c>
      <c r="G493" s="970">
        <v>184805</v>
      </c>
      <c r="H493" s="970"/>
      <c r="I493" s="970">
        <v>28511</v>
      </c>
      <c r="J493" s="971">
        <v>25368</v>
      </c>
      <c r="K493" s="971">
        <v>49040</v>
      </c>
      <c r="L493" s="971">
        <v>482</v>
      </c>
      <c r="M493" s="970"/>
      <c r="N493" s="971">
        <v>957</v>
      </c>
      <c r="O493" s="971">
        <v>0</v>
      </c>
      <c r="P493" s="971">
        <v>0</v>
      </c>
      <c r="Q493" s="971">
        <v>10181</v>
      </c>
      <c r="R493" s="970"/>
      <c r="S493" s="971">
        <v>51334</v>
      </c>
      <c r="T493" s="971">
        <v>-3375</v>
      </c>
      <c r="U493" s="971">
        <v>47959</v>
      </c>
    </row>
    <row r="494" spans="1:21" x14ac:dyDescent="0.25">
      <c r="A494" s="967">
        <v>95191</v>
      </c>
      <c r="B494" s="968" t="s">
        <v>3130</v>
      </c>
      <c r="C494" s="969">
        <v>4.2599999999999999E-5</v>
      </c>
      <c r="D494" s="969">
        <v>5.3999999999999998E-5</v>
      </c>
      <c r="E494" s="1008">
        <v>35125</v>
      </c>
      <c r="F494" s="1011">
        <v>82497</v>
      </c>
      <c r="G494" s="970">
        <v>101062</v>
      </c>
      <c r="H494" s="970"/>
      <c r="I494" s="970">
        <v>15591</v>
      </c>
      <c r="J494" s="971">
        <v>13873</v>
      </c>
      <c r="K494" s="971">
        <v>26818</v>
      </c>
      <c r="L494" s="971">
        <v>9524</v>
      </c>
      <c r="M494" s="970"/>
      <c r="N494" s="971">
        <v>523</v>
      </c>
      <c r="O494" s="971">
        <v>0</v>
      </c>
      <c r="P494" s="971">
        <v>0</v>
      </c>
      <c r="Q494" s="971">
        <v>3442</v>
      </c>
      <c r="R494" s="970"/>
      <c r="S494" s="971">
        <v>28072</v>
      </c>
      <c r="T494" s="971">
        <v>5235</v>
      </c>
      <c r="U494" s="971">
        <v>33307</v>
      </c>
    </row>
    <row r="495" spans="1:21" x14ac:dyDescent="0.25">
      <c r="A495" s="967">
        <v>95201</v>
      </c>
      <c r="B495" s="968" t="s">
        <v>3131</v>
      </c>
      <c r="C495" s="969">
        <v>7.0259999999999995E-4</v>
      </c>
      <c r="D495" s="969">
        <v>7.0969999999999996E-4</v>
      </c>
      <c r="E495" s="1008">
        <v>324382</v>
      </c>
      <c r="F495" s="1011">
        <v>1084225</v>
      </c>
      <c r="G495" s="970">
        <v>1666807</v>
      </c>
      <c r="H495" s="970"/>
      <c r="I495" s="970">
        <v>257149</v>
      </c>
      <c r="J495" s="971">
        <v>228803</v>
      </c>
      <c r="K495" s="971">
        <v>442306</v>
      </c>
      <c r="L495" s="971">
        <v>4233</v>
      </c>
      <c r="M495" s="970"/>
      <c r="N495" s="971">
        <v>8629</v>
      </c>
      <c r="O495" s="971">
        <v>0</v>
      </c>
      <c r="P495" s="971">
        <v>0</v>
      </c>
      <c r="Q495" s="971">
        <v>29894</v>
      </c>
      <c r="R495" s="970"/>
      <c r="S495" s="971">
        <v>462994</v>
      </c>
      <c r="T495" s="971">
        <v>-14817</v>
      </c>
      <c r="U495" s="971">
        <v>448177</v>
      </c>
    </row>
    <row r="496" spans="1:21" x14ac:dyDescent="0.25">
      <c r="A496" s="967">
        <v>95204</v>
      </c>
      <c r="B496" s="968" t="s">
        <v>3132</v>
      </c>
      <c r="C496" s="969">
        <v>1.06E-5</v>
      </c>
      <c r="D496" s="969">
        <v>1.26E-5</v>
      </c>
      <c r="E496" s="1008">
        <v>6627</v>
      </c>
      <c r="F496" s="1011">
        <v>19249</v>
      </c>
      <c r="G496" s="970">
        <v>25147</v>
      </c>
      <c r="H496" s="970"/>
      <c r="I496" s="970">
        <v>3880</v>
      </c>
      <c r="J496" s="971">
        <v>3452</v>
      </c>
      <c r="K496" s="971">
        <v>6673</v>
      </c>
      <c r="L496" s="971">
        <v>1368</v>
      </c>
      <c r="M496" s="970"/>
      <c r="N496" s="971">
        <v>130</v>
      </c>
      <c r="O496" s="971">
        <v>0</v>
      </c>
      <c r="P496" s="971">
        <v>0</v>
      </c>
      <c r="Q496" s="971">
        <v>775</v>
      </c>
      <c r="R496" s="970"/>
      <c r="S496" s="971">
        <v>6985</v>
      </c>
      <c r="T496" s="971">
        <v>-261</v>
      </c>
      <c r="U496" s="971">
        <v>6724</v>
      </c>
    </row>
    <row r="497" spans="1:21" x14ac:dyDescent="0.25">
      <c r="A497" s="967">
        <v>95205</v>
      </c>
      <c r="B497" s="968" t="s">
        <v>3133</v>
      </c>
      <c r="C497" s="969">
        <v>1.7E-6</v>
      </c>
      <c r="D497" s="969">
        <v>4.5000000000000001E-6</v>
      </c>
      <c r="E497" s="1008">
        <v>2149</v>
      </c>
      <c r="F497" s="1011">
        <v>6875</v>
      </c>
      <c r="G497" s="970">
        <v>4033</v>
      </c>
      <c r="H497" s="970"/>
      <c r="I497" s="970">
        <v>622</v>
      </c>
      <c r="J497" s="971">
        <v>553</v>
      </c>
      <c r="K497" s="971">
        <v>1070</v>
      </c>
      <c r="L497" s="971">
        <v>294</v>
      </c>
      <c r="M497" s="970"/>
      <c r="N497" s="971">
        <v>21</v>
      </c>
      <c r="O497" s="971">
        <v>0</v>
      </c>
      <c r="P497" s="971">
        <v>0</v>
      </c>
      <c r="Q497" s="971">
        <v>949</v>
      </c>
      <c r="R497" s="970"/>
      <c r="S497" s="971">
        <v>1120</v>
      </c>
      <c r="T497" s="971">
        <v>74</v>
      </c>
      <c r="U497" s="971">
        <v>1194</v>
      </c>
    </row>
    <row r="498" spans="1:21" x14ac:dyDescent="0.25">
      <c r="A498" s="967">
        <v>95211</v>
      </c>
      <c r="B498" s="968" t="s">
        <v>3134</v>
      </c>
      <c r="C498" s="969">
        <v>5.4999999999999999E-6</v>
      </c>
      <c r="D498" s="969">
        <v>8.3999999999999992E-6</v>
      </c>
      <c r="E498" s="1008">
        <v>3345</v>
      </c>
      <c r="F498" s="1011">
        <v>12833</v>
      </c>
      <c r="G498" s="970">
        <v>13048</v>
      </c>
      <c r="H498" s="970"/>
      <c r="I498" s="970">
        <v>2013</v>
      </c>
      <c r="J498" s="971">
        <v>1791</v>
      </c>
      <c r="K498" s="971">
        <v>3462</v>
      </c>
      <c r="L498" s="971">
        <v>946</v>
      </c>
      <c r="M498" s="970"/>
      <c r="N498" s="971">
        <v>68</v>
      </c>
      <c r="O498" s="971">
        <v>0</v>
      </c>
      <c r="P498" s="971">
        <v>0</v>
      </c>
      <c r="Q498" s="971">
        <v>1758</v>
      </c>
      <c r="R498" s="970"/>
      <c r="S498" s="971">
        <v>3624</v>
      </c>
      <c r="T498" s="971">
        <v>-902</v>
      </c>
      <c r="U498" s="971">
        <v>2722</v>
      </c>
    </row>
    <row r="499" spans="1:21" x14ac:dyDescent="0.25">
      <c r="A499" s="967">
        <v>95221</v>
      </c>
      <c r="B499" s="968" t="s">
        <v>3135</v>
      </c>
      <c r="C499" s="969">
        <v>5.7000000000000003E-5</v>
      </c>
      <c r="D499" s="969">
        <v>4.4100000000000001E-5</v>
      </c>
      <c r="E499" s="1008">
        <v>24434</v>
      </c>
      <c r="F499" s="1011">
        <v>67373</v>
      </c>
      <c r="G499" s="970">
        <v>135223</v>
      </c>
      <c r="H499" s="970"/>
      <c r="I499" s="970">
        <v>20862</v>
      </c>
      <c r="J499" s="971">
        <v>18562</v>
      </c>
      <c r="K499" s="971">
        <v>35883</v>
      </c>
      <c r="L499" s="971">
        <v>20204</v>
      </c>
      <c r="M499" s="970"/>
      <c r="N499" s="971">
        <v>700</v>
      </c>
      <c r="O499" s="971">
        <v>0</v>
      </c>
      <c r="P499" s="971">
        <v>0</v>
      </c>
      <c r="Q499" s="971">
        <v>6516</v>
      </c>
      <c r="R499" s="970"/>
      <c r="S499" s="971">
        <v>37561</v>
      </c>
      <c r="T499" s="971">
        <v>4121</v>
      </c>
      <c r="U499" s="971">
        <v>41682</v>
      </c>
    </row>
    <row r="500" spans="1:21" x14ac:dyDescent="0.25">
      <c r="A500" s="967">
        <v>95301</v>
      </c>
      <c r="B500" s="968" t="s">
        <v>3136</v>
      </c>
      <c r="C500" s="969">
        <v>2.3362000000000001E-3</v>
      </c>
      <c r="D500" s="969">
        <v>2.3917999999999999E-3</v>
      </c>
      <c r="E500" s="1008">
        <v>1161384</v>
      </c>
      <c r="F500" s="1011">
        <v>3654008</v>
      </c>
      <c r="G500" s="970">
        <v>5542265</v>
      </c>
      <c r="H500" s="970"/>
      <c r="I500" s="970">
        <v>855040</v>
      </c>
      <c r="J500" s="971">
        <v>760788</v>
      </c>
      <c r="K500" s="971">
        <v>1470703</v>
      </c>
      <c r="L500" s="971">
        <v>42774</v>
      </c>
      <c r="M500" s="970"/>
      <c r="N500" s="971">
        <v>28691</v>
      </c>
      <c r="O500" s="971">
        <v>0</v>
      </c>
      <c r="P500" s="971">
        <v>0</v>
      </c>
      <c r="Q500" s="971">
        <v>25264</v>
      </c>
      <c r="R500" s="970"/>
      <c r="S500" s="971">
        <v>1539493</v>
      </c>
      <c r="T500" s="971">
        <v>13159</v>
      </c>
      <c r="U500" s="971">
        <v>1552652</v>
      </c>
    </row>
    <row r="501" spans="1:21" x14ac:dyDescent="0.25">
      <c r="A501" s="967">
        <v>95311</v>
      </c>
      <c r="B501" s="968" t="s">
        <v>3137</v>
      </c>
      <c r="C501" s="969">
        <v>2.6302999999999999E-3</v>
      </c>
      <c r="D501" s="969">
        <v>2.6873999999999999E-3</v>
      </c>
      <c r="E501" s="1008">
        <v>1353611</v>
      </c>
      <c r="F501" s="1011">
        <v>4105603</v>
      </c>
      <c r="G501" s="970">
        <v>6239971</v>
      </c>
      <c r="H501" s="970"/>
      <c r="I501" s="970">
        <v>962679</v>
      </c>
      <c r="J501" s="971">
        <v>856562</v>
      </c>
      <c r="K501" s="971">
        <v>1655847</v>
      </c>
      <c r="L501" s="971">
        <v>41494</v>
      </c>
      <c r="M501" s="970"/>
      <c r="N501" s="971">
        <v>32303</v>
      </c>
      <c r="O501" s="971">
        <v>0</v>
      </c>
      <c r="P501" s="971">
        <v>0</v>
      </c>
      <c r="Q501" s="971">
        <v>58842</v>
      </c>
      <c r="R501" s="970"/>
      <c r="S501" s="971">
        <v>1733297</v>
      </c>
      <c r="T501" s="971">
        <v>-43357</v>
      </c>
      <c r="U501" s="971">
        <v>1689940</v>
      </c>
    </row>
    <row r="502" spans="1:21" x14ac:dyDescent="0.25">
      <c r="A502" s="967">
        <v>95317</v>
      </c>
      <c r="B502" s="968" t="s">
        <v>3138</v>
      </c>
      <c r="C502" s="969">
        <v>4.32E-5</v>
      </c>
      <c r="D502" s="969">
        <v>4.8900000000000003E-5</v>
      </c>
      <c r="E502" s="1008">
        <v>27496</v>
      </c>
      <c r="F502" s="1011">
        <v>74706</v>
      </c>
      <c r="G502" s="970">
        <v>102485</v>
      </c>
      <c r="H502" s="970"/>
      <c r="I502" s="970">
        <v>15811</v>
      </c>
      <c r="J502" s="971">
        <v>14068</v>
      </c>
      <c r="K502" s="971">
        <v>27196</v>
      </c>
      <c r="L502" s="971">
        <v>4826</v>
      </c>
      <c r="M502" s="970"/>
      <c r="N502" s="971">
        <v>531</v>
      </c>
      <c r="O502" s="971">
        <v>0</v>
      </c>
      <c r="P502" s="971">
        <v>0</v>
      </c>
      <c r="Q502" s="971">
        <v>0</v>
      </c>
      <c r="R502" s="970"/>
      <c r="S502" s="971">
        <v>28468</v>
      </c>
      <c r="T502" s="971">
        <v>2726</v>
      </c>
      <c r="U502" s="971">
        <v>31194</v>
      </c>
    </row>
    <row r="503" spans="1:21" x14ac:dyDescent="0.25">
      <c r="A503" s="967">
        <v>95321</v>
      </c>
      <c r="B503" s="968" t="s">
        <v>3139</v>
      </c>
      <c r="C503" s="969">
        <v>5.1999999999999997E-5</v>
      </c>
      <c r="D503" s="969">
        <v>4.71E-5</v>
      </c>
      <c r="E503" s="1008">
        <v>27476</v>
      </c>
      <c r="F503" s="1011">
        <v>71956</v>
      </c>
      <c r="G503" s="970">
        <v>123362</v>
      </c>
      <c r="H503" s="970"/>
      <c r="I503" s="970">
        <v>19032</v>
      </c>
      <c r="J503" s="971">
        <v>16934</v>
      </c>
      <c r="K503" s="971">
        <v>32735</v>
      </c>
      <c r="L503" s="971">
        <v>6589</v>
      </c>
      <c r="M503" s="970"/>
      <c r="N503" s="971">
        <v>639</v>
      </c>
      <c r="O503" s="971">
        <v>0</v>
      </c>
      <c r="P503" s="971">
        <v>0</v>
      </c>
      <c r="Q503" s="971">
        <v>1618</v>
      </c>
      <c r="R503" s="970"/>
      <c r="S503" s="971">
        <v>34267</v>
      </c>
      <c r="T503" s="971">
        <v>2368</v>
      </c>
      <c r="U503" s="971">
        <v>36635</v>
      </c>
    </row>
    <row r="504" spans="1:21" x14ac:dyDescent="0.25">
      <c r="A504" s="967">
        <v>95401</v>
      </c>
      <c r="B504" s="968" t="s">
        <v>3140</v>
      </c>
      <c r="C504" s="969">
        <v>2.8792000000000002E-3</v>
      </c>
      <c r="D504" s="969">
        <v>2.9992E-3</v>
      </c>
      <c r="E504" s="1008">
        <v>1369021</v>
      </c>
      <c r="F504" s="1011">
        <v>4581947</v>
      </c>
      <c r="G504" s="970">
        <v>6830447</v>
      </c>
      <c r="H504" s="970"/>
      <c r="I504" s="970">
        <v>1053776</v>
      </c>
      <c r="J504" s="971">
        <v>937617</v>
      </c>
      <c r="K504" s="971">
        <v>1812537</v>
      </c>
      <c r="L504" s="971">
        <v>12696</v>
      </c>
      <c r="M504" s="970"/>
      <c r="N504" s="971">
        <v>35359</v>
      </c>
      <c r="O504" s="971">
        <v>0</v>
      </c>
      <c r="P504" s="971">
        <v>0</v>
      </c>
      <c r="Q504" s="971">
        <v>132713</v>
      </c>
      <c r="R504" s="970"/>
      <c r="S504" s="971">
        <v>1897315</v>
      </c>
      <c r="T504" s="971">
        <v>-19424</v>
      </c>
      <c r="U504" s="971">
        <v>1877891</v>
      </c>
    </row>
    <row r="505" spans="1:21" x14ac:dyDescent="0.25">
      <c r="A505" s="967">
        <v>95404</v>
      </c>
      <c r="B505" s="968" t="s">
        <v>3141</v>
      </c>
      <c r="C505" s="969">
        <v>5.0000000000000002E-5</v>
      </c>
      <c r="D505" s="969">
        <v>5.3100000000000003E-5</v>
      </c>
      <c r="E505" s="1008">
        <v>23079</v>
      </c>
      <c r="F505" s="1011">
        <v>81122</v>
      </c>
      <c r="G505" s="970">
        <v>118617</v>
      </c>
      <c r="H505" s="970"/>
      <c r="I505" s="970">
        <v>18300</v>
      </c>
      <c r="J505" s="971">
        <v>16283</v>
      </c>
      <c r="K505" s="971">
        <v>31476</v>
      </c>
      <c r="L505" s="971">
        <v>3211</v>
      </c>
      <c r="M505" s="970"/>
      <c r="N505" s="971">
        <v>614</v>
      </c>
      <c r="O505" s="971">
        <v>0</v>
      </c>
      <c r="P505" s="971">
        <v>0</v>
      </c>
      <c r="Q505" s="971">
        <v>3328</v>
      </c>
      <c r="R505" s="970"/>
      <c r="S505" s="971">
        <v>32949</v>
      </c>
      <c r="T505" s="971">
        <v>1115</v>
      </c>
      <c r="U505" s="971">
        <v>34064</v>
      </c>
    </row>
    <row r="506" spans="1:21" x14ac:dyDescent="0.25">
      <c r="A506" s="967">
        <v>95405</v>
      </c>
      <c r="B506" s="968" t="s">
        <v>3142</v>
      </c>
      <c r="C506" s="969">
        <v>1.7600000000000001E-5</v>
      </c>
      <c r="D506" s="969">
        <v>1.84E-5</v>
      </c>
      <c r="E506" s="1008">
        <v>19532</v>
      </c>
      <c r="F506" s="1011">
        <v>28110</v>
      </c>
      <c r="G506" s="970">
        <v>41753</v>
      </c>
      <c r="H506" s="970"/>
      <c r="I506" s="970">
        <v>6442</v>
      </c>
      <c r="J506" s="971">
        <v>5731</v>
      </c>
      <c r="K506" s="971">
        <v>11080</v>
      </c>
      <c r="L506" s="971">
        <v>18233</v>
      </c>
      <c r="M506" s="970"/>
      <c r="N506" s="971">
        <v>216</v>
      </c>
      <c r="O506" s="971">
        <v>0</v>
      </c>
      <c r="P506" s="971">
        <v>0</v>
      </c>
      <c r="Q506" s="971">
        <v>0</v>
      </c>
      <c r="R506" s="970"/>
      <c r="S506" s="971">
        <v>11598</v>
      </c>
      <c r="T506" s="971">
        <v>7516</v>
      </c>
      <c r="U506" s="971">
        <v>19114</v>
      </c>
    </row>
    <row r="507" spans="1:21" x14ac:dyDescent="0.25">
      <c r="A507" s="967">
        <v>95411</v>
      </c>
      <c r="B507" s="968" t="s">
        <v>3143</v>
      </c>
      <c r="C507" s="969">
        <v>2.1646E-3</v>
      </c>
      <c r="D507" s="969">
        <v>2.2173000000000002E-3</v>
      </c>
      <c r="E507" s="1008">
        <v>1098228</v>
      </c>
      <c r="F507" s="1011">
        <v>3387420</v>
      </c>
      <c r="G507" s="970">
        <v>5135171</v>
      </c>
      <c r="H507" s="970"/>
      <c r="I507" s="970">
        <v>792235</v>
      </c>
      <c r="J507" s="971">
        <v>704906</v>
      </c>
      <c r="K507" s="971">
        <v>1362676</v>
      </c>
      <c r="L507" s="971">
        <v>8705</v>
      </c>
      <c r="M507" s="970"/>
      <c r="N507" s="971">
        <v>26583</v>
      </c>
      <c r="O507" s="971">
        <v>0</v>
      </c>
      <c r="P507" s="971">
        <v>0</v>
      </c>
      <c r="Q507" s="971">
        <v>37742</v>
      </c>
      <c r="R507" s="970"/>
      <c r="S507" s="971">
        <v>1426413</v>
      </c>
      <c r="T507" s="971">
        <v>-25353</v>
      </c>
      <c r="U507" s="971">
        <v>1401060</v>
      </c>
    </row>
    <row r="508" spans="1:21" x14ac:dyDescent="0.25">
      <c r="A508" s="967">
        <v>95412</v>
      </c>
      <c r="B508" s="968" t="s">
        <v>3144</v>
      </c>
      <c r="C508" s="969">
        <v>0</v>
      </c>
      <c r="D508" s="969">
        <v>0</v>
      </c>
      <c r="E508" s="1008">
        <v>0</v>
      </c>
      <c r="F508" s="1011">
        <v>0</v>
      </c>
      <c r="G508" s="970">
        <v>0</v>
      </c>
      <c r="H508" s="970"/>
      <c r="I508" s="970">
        <v>0</v>
      </c>
      <c r="J508" s="971">
        <v>0</v>
      </c>
      <c r="K508" s="971">
        <v>0</v>
      </c>
      <c r="L508" s="971">
        <v>0</v>
      </c>
      <c r="M508" s="970"/>
      <c r="N508" s="971">
        <v>0</v>
      </c>
      <c r="O508" s="971">
        <v>0</v>
      </c>
      <c r="P508" s="971">
        <v>0</v>
      </c>
      <c r="Q508" s="971">
        <v>9383</v>
      </c>
      <c r="R508" s="970"/>
      <c r="S508" s="971">
        <v>0</v>
      </c>
      <c r="T508" s="971">
        <v>-18447</v>
      </c>
      <c r="U508" s="971">
        <v>-18447</v>
      </c>
    </row>
    <row r="509" spans="1:21" x14ac:dyDescent="0.25">
      <c r="A509" s="967">
        <v>95413</v>
      </c>
      <c r="B509" s="968" t="s">
        <v>3145</v>
      </c>
      <c r="C509" s="969">
        <v>2.6879999999999997E-4</v>
      </c>
      <c r="D509" s="969">
        <v>2.5809999999999999E-4</v>
      </c>
      <c r="E509" s="1008">
        <v>130766</v>
      </c>
      <c r="F509" s="1011">
        <v>394305</v>
      </c>
      <c r="G509" s="970">
        <v>637686</v>
      </c>
      <c r="H509" s="970"/>
      <c r="I509" s="970">
        <v>98380</v>
      </c>
      <c r="J509" s="971">
        <v>87535</v>
      </c>
      <c r="K509" s="971">
        <v>169217</v>
      </c>
      <c r="L509" s="971">
        <v>167873</v>
      </c>
      <c r="M509" s="970"/>
      <c r="N509" s="971">
        <v>3301</v>
      </c>
      <c r="O509" s="971">
        <v>0</v>
      </c>
      <c r="P509" s="971">
        <v>0</v>
      </c>
      <c r="Q509" s="971">
        <v>0</v>
      </c>
      <c r="R509" s="970"/>
      <c r="S509" s="971">
        <v>177132</v>
      </c>
      <c r="T509" s="971">
        <v>79192</v>
      </c>
      <c r="U509" s="971">
        <v>256324</v>
      </c>
    </row>
    <row r="510" spans="1:21" x14ac:dyDescent="0.25">
      <c r="A510" s="967">
        <v>95415</v>
      </c>
      <c r="B510" s="968" t="s">
        <v>3146</v>
      </c>
      <c r="C510" s="969">
        <v>7.1099999999999994E-5</v>
      </c>
      <c r="D510" s="969">
        <v>6.2899999999999997E-5</v>
      </c>
      <c r="E510" s="1008">
        <v>31391</v>
      </c>
      <c r="F510" s="1011">
        <v>96094</v>
      </c>
      <c r="G510" s="970">
        <v>168674</v>
      </c>
      <c r="H510" s="970"/>
      <c r="I510" s="970">
        <v>26022</v>
      </c>
      <c r="J510" s="971">
        <v>23154</v>
      </c>
      <c r="K510" s="971">
        <v>44759</v>
      </c>
      <c r="L510" s="971">
        <v>3142</v>
      </c>
      <c r="M510" s="970"/>
      <c r="N510" s="971">
        <v>873</v>
      </c>
      <c r="O510" s="971">
        <v>0</v>
      </c>
      <c r="P510" s="971">
        <v>0</v>
      </c>
      <c r="Q510" s="971">
        <v>11354</v>
      </c>
      <c r="R510" s="970"/>
      <c r="S510" s="971">
        <v>46853</v>
      </c>
      <c r="T510" s="971">
        <v>567</v>
      </c>
      <c r="U510" s="971">
        <v>47420</v>
      </c>
    </row>
    <row r="511" spans="1:21" x14ac:dyDescent="0.25">
      <c r="A511" s="967">
        <v>95421</v>
      </c>
      <c r="B511" s="968" t="s">
        <v>3147</v>
      </c>
      <c r="C511" s="969">
        <v>3.8300000000000003E-5</v>
      </c>
      <c r="D511" s="969">
        <v>3.8699999999999999E-5</v>
      </c>
      <c r="E511" s="1008">
        <v>19590</v>
      </c>
      <c r="F511" s="1011">
        <v>59123</v>
      </c>
      <c r="G511" s="970">
        <v>90861</v>
      </c>
      <c r="H511" s="970"/>
      <c r="I511" s="970">
        <v>14018</v>
      </c>
      <c r="J511" s="971">
        <v>12473</v>
      </c>
      <c r="K511" s="971">
        <v>24111</v>
      </c>
      <c r="L511" s="971">
        <v>560</v>
      </c>
      <c r="M511" s="970"/>
      <c r="N511" s="971">
        <v>470</v>
      </c>
      <c r="O511" s="971">
        <v>0</v>
      </c>
      <c r="P511" s="971">
        <v>0</v>
      </c>
      <c r="Q511" s="971">
        <v>4403</v>
      </c>
      <c r="R511" s="970"/>
      <c r="S511" s="971">
        <v>25239</v>
      </c>
      <c r="T511" s="971">
        <v>-4796</v>
      </c>
      <c r="U511" s="971">
        <v>20443</v>
      </c>
    </row>
    <row r="512" spans="1:21" x14ac:dyDescent="0.25">
      <c r="A512" s="967">
        <v>95431</v>
      </c>
      <c r="B512" s="968" t="s">
        <v>3148</v>
      </c>
      <c r="C512" s="969">
        <v>1.4630000000000001E-4</v>
      </c>
      <c r="D512" s="969">
        <v>1.5300000000000001E-4</v>
      </c>
      <c r="E512" s="1008">
        <v>66124</v>
      </c>
      <c r="F512" s="1011">
        <v>233742</v>
      </c>
      <c r="G512" s="970">
        <v>347074</v>
      </c>
      <c r="H512" s="970"/>
      <c r="I512" s="970">
        <v>53545</v>
      </c>
      <c r="J512" s="971">
        <v>47643</v>
      </c>
      <c r="K512" s="971">
        <v>92100</v>
      </c>
      <c r="L512" s="971">
        <v>0</v>
      </c>
      <c r="M512" s="970"/>
      <c r="N512" s="971">
        <v>1797</v>
      </c>
      <c r="O512" s="971">
        <v>0</v>
      </c>
      <c r="P512" s="971">
        <v>0</v>
      </c>
      <c r="Q512" s="971">
        <v>33027</v>
      </c>
      <c r="R512" s="970"/>
      <c r="S512" s="971">
        <v>96408</v>
      </c>
      <c r="T512" s="971">
        <v>-12213</v>
      </c>
      <c r="U512" s="971">
        <v>84195</v>
      </c>
    </row>
    <row r="513" spans="1:21" x14ac:dyDescent="0.25">
      <c r="A513" s="967">
        <v>95501</v>
      </c>
      <c r="B513" s="968" t="s">
        <v>3149</v>
      </c>
      <c r="C513" s="969">
        <v>4.8900999999999997E-3</v>
      </c>
      <c r="D513" s="969">
        <v>4.8764999999999998E-3</v>
      </c>
      <c r="E513" s="1008">
        <v>2309249</v>
      </c>
      <c r="F513" s="1011">
        <v>7449941</v>
      </c>
      <c r="G513" s="970">
        <v>11600990</v>
      </c>
      <c r="H513" s="970"/>
      <c r="I513" s="970">
        <v>1789757</v>
      </c>
      <c r="J513" s="971">
        <v>1592471</v>
      </c>
      <c r="K513" s="971">
        <v>3078455</v>
      </c>
      <c r="L513" s="971">
        <v>0</v>
      </c>
      <c r="M513" s="970"/>
      <c r="N513" s="971">
        <v>60055</v>
      </c>
      <c r="O513" s="971">
        <v>0</v>
      </c>
      <c r="P513" s="971">
        <v>0</v>
      </c>
      <c r="Q513" s="971">
        <v>141278</v>
      </c>
      <c r="R513" s="970"/>
      <c r="S513" s="971">
        <v>3222444</v>
      </c>
      <c r="T513" s="971">
        <v>-23300</v>
      </c>
      <c r="U513" s="971">
        <v>3199144</v>
      </c>
    </row>
    <row r="514" spans="1:21" x14ac:dyDescent="0.25">
      <c r="A514" s="967">
        <v>95504</v>
      </c>
      <c r="B514" s="968" t="s">
        <v>3150</v>
      </c>
      <c r="C514" s="969">
        <v>8.8000000000000004E-6</v>
      </c>
      <c r="D514" s="969">
        <v>9.3999999999999998E-6</v>
      </c>
      <c r="E514" s="1008">
        <v>10287</v>
      </c>
      <c r="F514" s="1011">
        <v>14361</v>
      </c>
      <c r="G514" s="970">
        <v>20877</v>
      </c>
      <c r="H514" s="970"/>
      <c r="I514" s="970">
        <v>3221</v>
      </c>
      <c r="J514" s="971">
        <v>2866</v>
      </c>
      <c r="K514" s="971">
        <v>5540</v>
      </c>
      <c r="L514" s="971">
        <v>9317</v>
      </c>
      <c r="M514" s="970"/>
      <c r="N514" s="971">
        <v>108</v>
      </c>
      <c r="O514" s="971">
        <v>0</v>
      </c>
      <c r="P514" s="971">
        <v>0</v>
      </c>
      <c r="Q514" s="971">
        <v>0</v>
      </c>
      <c r="R514" s="970"/>
      <c r="S514" s="971">
        <v>5799</v>
      </c>
      <c r="T514" s="971">
        <v>4040</v>
      </c>
      <c r="U514" s="971">
        <v>9839</v>
      </c>
    </row>
    <row r="515" spans="1:21" x14ac:dyDescent="0.25">
      <c r="A515" s="967">
        <v>95511</v>
      </c>
      <c r="B515" s="968" t="s">
        <v>3151</v>
      </c>
      <c r="C515" s="969">
        <v>9.5339999999999997E-4</v>
      </c>
      <c r="D515" s="969">
        <v>9.7460000000000005E-4</v>
      </c>
      <c r="E515" s="1008">
        <v>509340</v>
      </c>
      <c r="F515" s="1011">
        <v>1488919</v>
      </c>
      <c r="G515" s="970">
        <v>2261791</v>
      </c>
      <c r="H515" s="970"/>
      <c r="I515" s="970">
        <v>348941</v>
      </c>
      <c r="J515" s="971">
        <v>310477</v>
      </c>
      <c r="K515" s="971">
        <v>600192</v>
      </c>
      <c r="L515" s="971">
        <v>48211</v>
      </c>
      <c r="M515" s="970"/>
      <c r="N515" s="971">
        <v>11709</v>
      </c>
      <c r="O515" s="971">
        <v>0</v>
      </c>
      <c r="P515" s="971">
        <v>0</v>
      </c>
      <c r="Q515" s="971">
        <v>32399</v>
      </c>
      <c r="R515" s="970"/>
      <c r="S515" s="971">
        <v>628265</v>
      </c>
      <c r="T515" s="971">
        <v>103</v>
      </c>
      <c r="U515" s="971">
        <v>628368</v>
      </c>
    </row>
    <row r="516" spans="1:21" x14ac:dyDescent="0.25">
      <c r="A516" s="967">
        <v>95513</v>
      </c>
      <c r="B516" s="968" t="s">
        <v>3152</v>
      </c>
      <c r="C516" s="969">
        <v>4.5399999999999999E-5</v>
      </c>
      <c r="D516" s="969">
        <v>4.6699999999999997E-5</v>
      </c>
      <c r="E516" s="1008">
        <v>34360</v>
      </c>
      <c r="F516" s="1011">
        <v>71345</v>
      </c>
      <c r="G516" s="970">
        <v>107704</v>
      </c>
      <c r="H516" s="970"/>
      <c r="I516" s="970">
        <v>16616</v>
      </c>
      <c r="J516" s="971">
        <v>14785</v>
      </c>
      <c r="K516" s="971">
        <v>28581</v>
      </c>
      <c r="L516" s="971">
        <v>21477</v>
      </c>
      <c r="M516" s="970"/>
      <c r="N516" s="971">
        <v>558</v>
      </c>
      <c r="O516" s="971">
        <v>0</v>
      </c>
      <c r="P516" s="971">
        <v>0</v>
      </c>
      <c r="Q516" s="971">
        <v>0</v>
      </c>
      <c r="R516" s="970"/>
      <c r="S516" s="971">
        <v>29917</v>
      </c>
      <c r="T516" s="971">
        <v>11276</v>
      </c>
      <c r="U516" s="971">
        <v>41193</v>
      </c>
    </row>
    <row r="517" spans="1:21" x14ac:dyDescent="0.25">
      <c r="A517" s="967">
        <v>95517</v>
      </c>
      <c r="B517" s="968" t="s">
        <v>3153</v>
      </c>
      <c r="C517" s="969">
        <v>1.88E-5</v>
      </c>
      <c r="D517" s="969">
        <v>2.4499999999999999E-5</v>
      </c>
      <c r="E517" s="1008">
        <v>11100</v>
      </c>
      <c r="F517" s="1011">
        <v>37429</v>
      </c>
      <c r="G517" s="970">
        <v>44600</v>
      </c>
      <c r="H517" s="970"/>
      <c r="I517" s="970">
        <v>6881</v>
      </c>
      <c r="J517" s="971">
        <v>6122</v>
      </c>
      <c r="K517" s="971">
        <v>11835</v>
      </c>
      <c r="L517" s="971">
        <v>11454</v>
      </c>
      <c r="M517" s="970"/>
      <c r="N517" s="971">
        <v>231</v>
      </c>
      <c r="O517" s="971">
        <v>0</v>
      </c>
      <c r="P517" s="971">
        <v>0</v>
      </c>
      <c r="Q517" s="971">
        <v>2556</v>
      </c>
      <c r="R517" s="970"/>
      <c r="S517" s="971">
        <v>12389</v>
      </c>
      <c r="T517" s="971">
        <v>5895</v>
      </c>
      <c r="U517" s="971">
        <v>18284</v>
      </c>
    </row>
    <row r="518" spans="1:21" x14ac:dyDescent="0.25">
      <c r="A518" s="967">
        <v>95601</v>
      </c>
      <c r="B518" s="968" t="s">
        <v>3154</v>
      </c>
      <c r="C518" s="969">
        <v>2.6251999999999998E-3</v>
      </c>
      <c r="D518" s="969">
        <v>2.6280000000000001E-3</v>
      </c>
      <c r="E518" s="1008">
        <v>1263013</v>
      </c>
      <c r="F518" s="1011">
        <v>4014856</v>
      </c>
      <c r="G518" s="970">
        <v>6227872</v>
      </c>
      <c r="H518" s="970"/>
      <c r="I518" s="970">
        <v>960813</v>
      </c>
      <c r="J518" s="971">
        <v>854902</v>
      </c>
      <c r="K518" s="971">
        <v>1652637</v>
      </c>
      <c r="L518" s="971">
        <v>33391</v>
      </c>
      <c r="M518" s="970"/>
      <c r="N518" s="971">
        <v>32240</v>
      </c>
      <c r="O518" s="971">
        <v>0</v>
      </c>
      <c r="P518" s="971">
        <v>0</v>
      </c>
      <c r="Q518" s="971">
        <v>33658</v>
      </c>
      <c r="R518" s="970"/>
      <c r="S518" s="971">
        <v>1729936</v>
      </c>
      <c r="T518" s="971">
        <v>42593</v>
      </c>
      <c r="U518" s="971">
        <v>1772529</v>
      </c>
    </row>
    <row r="519" spans="1:21" x14ac:dyDescent="0.25">
      <c r="A519" s="967">
        <v>95611</v>
      </c>
      <c r="B519" s="968" t="s">
        <v>3155</v>
      </c>
      <c r="C519" s="969">
        <v>3.8440000000000002E-4</v>
      </c>
      <c r="D519" s="969">
        <v>4.0660000000000002E-4</v>
      </c>
      <c r="E519" s="1008">
        <v>204619</v>
      </c>
      <c r="F519" s="1011">
        <v>621172</v>
      </c>
      <c r="G519" s="970">
        <v>911928</v>
      </c>
      <c r="H519" s="970"/>
      <c r="I519" s="970">
        <v>140689</v>
      </c>
      <c r="J519" s="971">
        <v>125180</v>
      </c>
      <c r="K519" s="971">
        <v>241991</v>
      </c>
      <c r="L519" s="971">
        <v>5465</v>
      </c>
      <c r="M519" s="970"/>
      <c r="N519" s="971">
        <v>4721</v>
      </c>
      <c r="O519" s="971">
        <v>0</v>
      </c>
      <c r="P519" s="971">
        <v>0</v>
      </c>
      <c r="Q519" s="971">
        <v>4327</v>
      </c>
      <c r="R519" s="970"/>
      <c r="S519" s="971">
        <v>253309</v>
      </c>
      <c r="T519" s="971">
        <v>529</v>
      </c>
      <c r="U519" s="971">
        <v>253838</v>
      </c>
    </row>
    <row r="520" spans="1:21" x14ac:dyDescent="0.25">
      <c r="A520" s="967">
        <v>95617</v>
      </c>
      <c r="B520" s="968" t="s">
        <v>3156</v>
      </c>
      <c r="C520" s="969">
        <v>1.59E-5</v>
      </c>
      <c r="D520" s="969">
        <v>1.6399999999999999E-5</v>
      </c>
      <c r="E520" s="1008">
        <v>8730</v>
      </c>
      <c r="F520" s="1011">
        <v>25055</v>
      </c>
      <c r="G520" s="970">
        <v>37720</v>
      </c>
      <c r="H520" s="970"/>
      <c r="I520" s="970">
        <v>5819</v>
      </c>
      <c r="J520" s="971">
        <v>5178</v>
      </c>
      <c r="K520" s="971">
        <v>10009</v>
      </c>
      <c r="L520" s="971">
        <v>916</v>
      </c>
      <c r="M520" s="970"/>
      <c r="N520" s="971">
        <v>195</v>
      </c>
      <c r="O520" s="971">
        <v>0</v>
      </c>
      <c r="P520" s="971">
        <v>0</v>
      </c>
      <c r="Q520" s="971">
        <v>417</v>
      </c>
      <c r="R520" s="970"/>
      <c r="S520" s="971">
        <v>10478</v>
      </c>
      <c r="T520" s="971">
        <v>-554</v>
      </c>
      <c r="U520" s="971">
        <v>9924</v>
      </c>
    </row>
    <row r="521" spans="1:21" x14ac:dyDescent="0.25">
      <c r="A521" s="967">
        <v>95621</v>
      </c>
      <c r="B521" s="968" t="s">
        <v>3157</v>
      </c>
      <c r="C521" s="969">
        <v>4.9019999999999999E-4</v>
      </c>
      <c r="D521" s="969">
        <v>4.5360000000000002E-4</v>
      </c>
      <c r="E521" s="1008">
        <v>260138</v>
      </c>
      <c r="F521" s="1011">
        <v>692975</v>
      </c>
      <c r="G521" s="970">
        <v>1162922</v>
      </c>
      <c r="H521" s="970"/>
      <c r="I521" s="970">
        <v>179411</v>
      </c>
      <c r="J521" s="971">
        <v>159635</v>
      </c>
      <c r="K521" s="971">
        <v>308595</v>
      </c>
      <c r="L521" s="971">
        <v>42371</v>
      </c>
      <c r="M521" s="970"/>
      <c r="N521" s="971">
        <v>6020</v>
      </c>
      <c r="O521" s="971">
        <v>0</v>
      </c>
      <c r="P521" s="971">
        <v>0</v>
      </c>
      <c r="Q521" s="971">
        <v>2706</v>
      </c>
      <c r="R521" s="970"/>
      <c r="S521" s="971">
        <v>323029</v>
      </c>
      <c r="T521" s="971">
        <v>12042</v>
      </c>
      <c r="U521" s="971">
        <v>335071</v>
      </c>
    </row>
    <row r="522" spans="1:21" x14ac:dyDescent="0.25">
      <c r="A522" s="967">
        <v>95701</v>
      </c>
      <c r="B522" s="968" t="s">
        <v>3158</v>
      </c>
      <c r="C522" s="969">
        <v>1.3044E-3</v>
      </c>
      <c r="D522" s="969">
        <v>1.3747E-3</v>
      </c>
      <c r="E522" s="1008">
        <v>604598</v>
      </c>
      <c r="F522" s="1011">
        <v>2100161</v>
      </c>
      <c r="G522" s="970">
        <v>3094483</v>
      </c>
      <c r="H522" s="970"/>
      <c r="I522" s="970">
        <v>477405</v>
      </c>
      <c r="J522" s="971">
        <v>424780</v>
      </c>
      <c r="K522" s="971">
        <v>821156</v>
      </c>
      <c r="L522" s="971">
        <v>34377</v>
      </c>
      <c r="M522" s="970"/>
      <c r="N522" s="971">
        <v>16019</v>
      </c>
      <c r="O522" s="971">
        <v>0</v>
      </c>
      <c r="P522" s="971">
        <v>0</v>
      </c>
      <c r="Q522" s="971">
        <v>77258</v>
      </c>
      <c r="R522" s="970"/>
      <c r="S522" s="971">
        <v>859564</v>
      </c>
      <c r="T522" s="971">
        <v>9205</v>
      </c>
      <c r="U522" s="971">
        <v>868769</v>
      </c>
    </row>
    <row r="523" spans="1:21" x14ac:dyDescent="0.25">
      <c r="A523" s="967">
        <v>95711</v>
      </c>
      <c r="B523" s="968" t="s">
        <v>3159</v>
      </c>
      <c r="C523" s="969">
        <v>1.4349999999999999E-4</v>
      </c>
      <c r="D523" s="969">
        <v>1.394E-4</v>
      </c>
      <c r="E523" s="1008">
        <v>60576</v>
      </c>
      <c r="F523" s="1011">
        <v>212965</v>
      </c>
      <c r="G523" s="970">
        <v>340431</v>
      </c>
      <c r="H523" s="970"/>
      <c r="I523" s="970">
        <v>52520</v>
      </c>
      <c r="J523" s="971">
        <v>46731</v>
      </c>
      <c r="K523" s="971">
        <v>90337</v>
      </c>
      <c r="L523" s="971">
        <v>2879</v>
      </c>
      <c r="M523" s="970"/>
      <c r="N523" s="971">
        <v>1762</v>
      </c>
      <c r="O523" s="971">
        <v>0</v>
      </c>
      <c r="P523" s="971">
        <v>0</v>
      </c>
      <c r="Q523" s="971">
        <v>9110</v>
      </c>
      <c r="R523" s="970"/>
      <c r="S523" s="971">
        <v>94563</v>
      </c>
      <c r="T523" s="971">
        <v>468</v>
      </c>
      <c r="U523" s="971">
        <v>95031</v>
      </c>
    </row>
    <row r="524" spans="1:21" x14ac:dyDescent="0.25">
      <c r="A524" s="967">
        <v>95721</v>
      </c>
      <c r="B524" s="968" t="s">
        <v>3160</v>
      </c>
      <c r="C524" s="969">
        <v>6.7799999999999995E-5</v>
      </c>
      <c r="D524" s="969">
        <v>6.7600000000000003E-5</v>
      </c>
      <c r="E524" s="1008">
        <v>31048</v>
      </c>
      <c r="F524" s="1011">
        <v>103274</v>
      </c>
      <c r="G524" s="970">
        <v>160845</v>
      </c>
      <c r="H524" s="970"/>
      <c r="I524" s="970">
        <v>24815</v>
      </c>
      <c r="J524" s="971">
        <v>22080</v>
      </c>
      <c r="K524" s="971">
        <v>42682</v>
      </c>
      <c r="L524" s="971">
        <v>0</v>
      </c>
      <c r="M524" s="970"/>
      <c r="N524" s="971">
        <v>833</v>
      </c>
      <c r="O524" s="971">
        <v>0</v>
      </c>
      <c r="P524" s="971">
        <v>0</v>
      </c>
      <c r="Q524" s="971">
        <v>6588</v>
      </c>
      <c r="R524" s="970"/>
      <c r="S524" s="971">
        <v>44678</v>
      </c>
      <c r="T524" s="971">
        <v>-4986</v>
      </c>
      <c r="U524" s="971">
        <v>39692</v>
      </c>
    </row>
    <row r="525" spans="1:21" x14ac:dyDescent="0.25">
      <c r="A525" s="967">
        <v>95733</v>
      </c>
      <c r="B525" s="968" t="s">
        <v>3161</v>
      </c>
      <c r="C525" s="969">
        <v>1.5500000000000001E-5</v>
      </c>
      <c r="D525" s="969">
        <v>1.5400000000000002E-5</v>
      </c>
      <c r="E525" s="1008">
        <v>7565</v>
      </c>
      <c r="F525" s="1011">
        <v>23527</v>
      </c>
      <c r="G525" s="970">
        <v>36771</v>
      </c>
      <c r="H525" s="970"/>
      <c r="I525" s="970">
        <v>5673</v>
      </c>
      <c r="J525" s="971">
        <v>5047</v>
      </c>
      <c r="K525" s="971">
        <v>9758</v>
      </c>
      <c r="L525" s="971">
        <v>293</v>
      </c>
      <c r="M525" s="970"/>
      <c r="N525" s="971">
        <v>190</v>
      </c>
      <c r="O525" s="971">
        <v>0</v>
      </c>
      <c r="P525" s="971">
        <v>0</v>
      </c>
      <c r="Q525" s="971">
        <v>329</v>
      </c>
      <c r="R525" s="970"/>
      <c r="S525" s="971">
        <v>10214</v>
      </c>
      <c r="T525" s="971">
        <v>222</v>
      </c>
      <c r="U525" s="971">
        <v>10436</v>
      </c>
    </row>
    <row r="526" spans="1:21" x14ac:dyDescent="0.25">
      <c r="A526" s="967">
        <v>95801</v>
      </c>
      <c r="B526" s="968" t="s">
        <v>3162</v>
      </c>
      <c r="C526" s="969">
        <v>9.7999999999999997E-4</v>
      </c>
      <c r="D526" s="969">
        <v>9.6310000000000005E-4</v>
      </c>
      <c r="E526" s="1008">
        <v>492639</v>
      </c>
      <c r="F526" s="1011">
        <v>1471350</v>
      </c>
      <c r="G526" s="970">
        <v>2324895</v>
      </c>
      <c r="H526" s="970"/>
      <c r="I526" s="970">
        <v>358676</v>
      </c>
      <c r="J526" s="971">
        <v>319139</v>
      </c>
      <c r="K526" s="971">
        <v>616937</v>
      </c>
      <c r="L526" s="971">
        <v>66360</v>
      </c>
      <c r="M526" s="970"/>
      <c r="N526" s="971">
        <v>12035</v>
      </c>
      <c r="O526" s="971">
        <v>0</v>
      </c>
      <c r="P526" s="971">
        <v>0</v>
      </c>
      <c r="Q526" s="971">
        <v>165</v>
      </c>
      <c r="R526" s="970"/>
      <c r="S526" s="971">
        <v>645794</v>
      </c>
      <c r="T526" s="971">
        <v>20070</v>
      </c>
      <c r="U526" s="971">
        <v>665864</v>
      </c>
    </row>
    <row r="527" spans="1:21" x14ac:dyDescent="0.25">
      <c r="A527" s="967">
        <v>95802</v>
      </c>
      <c r="B527" s="968" t="s">
        <v>3163</v>
      </c>
      <c r="C527" s="969">
        <v>5.4E-6</v>
      </c>
      <c r="D527" s="969">
        <v>6.1E-6</v>
      </c>
      <c r="E527" s="1008">
        <v>5777</v>
      </c>
      <c r="F527" s="1011">
        <v>9319</v>
      </c>
      <c r="G527" s="970">
        <v>12811</v>
      </c>
      <c r="H527" s="970"/>
      <c r="I527" s="970">
        <v>1976</v>
      </c>
      <c r="J527" s="971">
        <v>1759</v>
      </c>
      <c r="K527" s="971">
        <v>3399</v>
      </c>
      <c r="L527" s="971">
        <v>4124</v>
      </c>
      <c r="M527" s="970"/>
      <c r="N527" s="971">
        <v>66</v>
      </c>
      <c r="O527" s="971">
        <v>0</v>
      </c>
      <c r="P527" s="971">
        <v>0</v>
      </c>
      <c r="Q527" s="971">
        <v>0</v>
      </c>
      <c r="R527" s="970"/>
      <c r="S527" s="971">
        <v>3558</v>
      </c>
      <c r="T527" s="971">
        <v>434</v>
      </c>
      <c r="U527" s="971">
        <v>3992</v>
      </c>
    </row>
    <row r="528" spans="1:21" x14ac:dyDescent="0.25">
      <c r="A528" s="967">
        <v>95804</v>
      </c>
      <c r="B528" s="968" t="s">
        <v>3164</v>
      </c>
      <c r="C528" s="969">
        <v>2.1699999999999999E-5</v>
      </c>
      <c r="D528" s="969">
        <v>2.19E-5</v>
      </c>
      <c r="E528" s="1008">
        <v>7857</v>
      </c>
      <c r="F528" s="1011">
        <v>33457</v>
      </c>
      <c r="G528" s="970">
        <v>51480</v>
      </c>
      <c r="H528" s="970"/>
      <c r="I528" s="970">
        <v>7942</v>
      </c>
      <c r="J528" s="971">
        <v>7067</v>
      </c>
      <c r="K528" s="971">
        <v>13661</v>
      </c>
      <c r="L528" s="971">
        <v>2008</v>
      </c>
      <c r="M528" s="970"/>
      <c r="N528" s="971">
        <v>266</v>
      </c>
      <c r="O528" s="971">
        <v>0</v>
      </c>
      <c r="P528" s="971">
        <v>0</v>
      </c>
      <c r="Q528" s="971">
        <v>2353</v>
      </c>
      <c r="R528" s="970"/>
      <c r="S528" s="971">
        <v>14300</v>
      </c>
      <c r="T528" s="971">
        <v>1035</v>
      </c>
      <c r="U528" s="971">
        <v>15335</v>
      </c>
    </row>
    <row r="529" spans="1:21" x14ac:dyDescent="0.25">
      <c r="A529" s="967">
        <v>95811</v>
      </c>
      <c r="B529" s="968" t="s">
        <v>3165</v>
      </c>
      <c r="C529" s="969">
        <v>5.2729999999999997E-4</v>
      </c>
      <c r="D529" s="969">
        <v>5.3129999999999996E-4</v>
      </c>
      <c r="E529" s="1008">
        <v>262612</v>
      </c>
      <c r="F529" s="1011">
        <v>811679</v>
      </c>
      <c r="G529" s="970">
        <v>1250936</v>
      </c>
      <c r="H529" s="970"/>
      <c r="I529" s="970">
        <v>192990</v>
      </c>
      <c r="J529" s="971">
        <v>171716</v>
      </c>
      <c r="K529" s="971">
        <v>331950</v>
      </c>
      <c r="L529" s="971">
        <v>1612</v>
      </c>
      <c r="M529" s="970"/>
      <c r="N529" s="971">
        <v>6476</v>
      </c>
      <c r="O529" s="971">
        <v>0</v>
      </c>
      <c r="P529" s="971">
        <v>0</v>
      </c>
      <c r="Q529" s="971">
        <v>2962</v>
      </c>
      <c r="R529" s="970"/>
      <c r="S529" s="971">
        <v>347476</v>
      </c>
      <c r="T529" s="971">
        <v>-1308</v>
      </c>
      <c r="U529" s="971">
        <v>346168</v>
      </c>
    </row>
    <row r="530" spans="1:21" x14ac:dyDescent="0.25">
      <c r="A530" s="967">
        <v>95813</v>
      </c>
      <c r="B530" s="968" t="s">
        <v>3166</v>
      </c>
      <c r="C530" s="969">
        <v>5.0699999999999999E-5</v>
      </c>
      <c r="D530" s="969">
        <v>4.88E-5</v>
      </c>
      <c r="E530" s="1008">
        <v>71429</v>
      </c>
      <c r="F530" s="1011">
        <v>74553</v>
      </c>
      <c r="G530" s="970">
        <v>120278</v>
      </c>
      <c r="H530" s="970"/>
      <c r="I530" s="970">
        <v>18556</v>
      </c>
      <c r="J530" s="971">
        <v>16511</v>
      </c>
      <c r="K530" s="971">
        <v>31917</v>
      </c>
      <c r="L530" s="971">
        <v>86198</v>
      </c>
      <c r="M530" s="970"/>
      <c r="N530" s="971">
        <v>623</v>
      </c>
      <c r="O530" s="971">
        <v>0</v>
      </c>
      <c r="P530" s="971">
        <v>0</v>
      </c>
      <c r="Q530" s="971">
        <v>0</v>
      </c>
      <c r="R530" s="970"/>
      <c r="S530" s="971">
        <v>33410</v>
      </c>
      <c r="T530" s="971">
        <v>34117</v>
      </c>
      <c r="U530" s="971">
        <v>67527</v>
      </c>
    </row>
    <row r="531" spans="1:21" x14ac:dyDescent="0.25">
      <c r="A531" s="967">
        <v>95821</v>
      </c>
      <c r="B531" s="968" t="s">
        <v>3167</v>
      </c>
      <c r="C531" s="969">
        <v>0</v>
      </c>
      <c r="D531" s="969">
        <v>0</v>
      </c>
      <c r="E531" s="1008">
        <v>2012</v>
      </c>
      <c r="F531" s="1011">
        <v>0</v>
      </c>
      <c r="G531" s="970">
        <v>0</v>
      </c>
      <c r="H531" s="970"/>
      <c r="I531" s="970">
        <v>0</v>
      </c>
      <c r="J531" s="971">
        <v>0</v>
      </c>
      <c r="K531" s="971">
        <v>0</v>
      </c>
      <c r="L531" s="971">
        <v>2281</v>
      </c>
      <c r="M531" s="970"/>
      <c r="N531" s="971">
        <v>0</v>
      </c>
      <c r="O531" s="971">
        <v>0</v>
      </c>
      <c r="P531" s="971">
        <v>0</v>
      </c>
      <c r="Q531" s="971">
        <v>489</v>
      </c>
      <c r="R531" s="970"/>
      <c r="S531" s="971">
        <v>0</v>
      </c>
      <c r="T531" s="971">
        <v>861</v>
      </c>
      <c r="U531" s="971">
        <v>861</v>
      </c>
    </row>
    <row r="532" spans="1:21" x14ac:dyDescent="0.25">
      <c r="A532" s="967">
        <v>95831</v>
      </c>
      <c r="B532" s="968" t="s">
        <v>3168</v>
      </c>
      <c r="C532" s="969">
        <v>1.8E-5</v>
      </c>
      <c r="D532" s="969">
        <v>1.6799999999999998E-5</v>
      </c>
      <c r="E532" s="1008">
        <v>20645</v>
      </c>
      <c r="F532" s="1011">
        <v>25666</v>
      </c>
      <c r="G532" s="970">
        <v>42702</v>
      </c>
      <c r="H532" s="970"/>
      <c r="I532" s="970">
        <v>6588</v>
      </c>
      <c r="J532" s="971">
        <v>5862</v>
      </c>
      <c r="K532" s="971">
        <v>11332</v>
      </c>
      <c r="L532" s="971">
        <v>26223</v>
      </c>
      <c r="M532" s="970"/>
      <c r="N532" s="971">
        <v>221</v>
      </c>
      <c r="O532" s="971">
        <v>0</v>
      </c>
      <c r="P532" s="971">
        <v>0</v>
      </c>
      <c r="Q532" s="971">
        <v>0</v>
      </c>
      <c r="R532" s="970"/>
      <c r="S532" s="971">
        <v>11862</v>
      </c>
      <c r="T532" s="971">
        <v>10648</v>
      </c>
      <c r="U532" s="971">
        <v>22510</v>
      </c>
    </row>
    <row r="533" spans="1:21" x14ac:dyDescent="0.25">
      <c r="A533" s="967">
        <v>95841</v>
      </c>
      <c r="B533" s="968" t="s">
        <v>3169</v>
      </c>
      <c r="C533" s="969">
        <v>2.0000000000000002E-5</v>
      </c>
      <c r="D533" s="969">
        <v>2.0999999999999999E-5</v>
      </c>
      <c r="E533" s="1008">
        <v>12839</v>
      </c>
      <c r="F533" s="1011">
        <v>32082</v>
      </c>
      <c r="G533" s="970">
        <v>47447</v>
      </c>
      <c r="H533" s="970"/>
      <c r="I533" s="970">
        <v>7320</v>
      </c>
      <c r="J533" s="971">
        <v>6513</v>
      </c>
      <c r="K533" s="971">
        <v>12591</v>
      </c>
      <c r="L533" s="971">
        <v>3014</v>
      </c>
      <c r="M533" s="970"/>
      <c r="N533" s="971">
        <v>246</v>
      </c>
      <c r="O533" s="971">
        <v>0</v>
      </c>
      <c r="P533" s="971">
        <v>0</v>
      </c>
      <c r="Q533" s="971">
        <v>0</v>
      </c>
      <c r="R533" s="970"/>
      <c r="S533" s="971">
        <v>13179</v>
      </c>
      <c r="T533" s="971">
        <v>1248</v>
      </c>
      <c r="U533" s="971">
        <v>14427</v>
      </c>
    </row>
    <row r="534" spans="1:21" x14ac:dyDescent="0.25">
      <c r="A534" s="967">
        <v>95851</v>
      </c>
      <c r="B534" s="968" t="s">
        <v>3170</v>
      </c>
      <c r="C534" s="969">
        <v>1.403E-4</v>
      </c>
      <c r="D534" s="969">
        <v>1.327E-4</v>
      </c>
      <c r="E534" s="1008">
        <v>142997</v>
      </c>
      <c r="F534" s="1011">
        <v>202729</v>
      </c>
      <c r="G534" s="970">
        <v>332840</v>
      </c>
      <c r="H534" s="970"/>
      <c r="I534" s="970">
        <v>51349</v>
      </c>
      <c r="J534" s="971">
        <v>45689</v>
      </c>
      <c r="K534" s="971">
        <v>88323</v>
      </c>
      <c r="L534" s="971">
        <v>151488</v>
      </c>
      <c r="M534" s="970"/>
      <c r="N534" s="971">
        <v>1723</v>
      </c>
      <c r="O534" s="971">
        <v>0</v>
      </c>
      <c r="P534" s="971">
        <v>0</v>
      </c>
      <c r="Q534" s="971">
        <v>0</v>
      </c>
      <c r="R534" s="970"/>
      <c r="S534" s="971">
        <v>92454</v>
      </c>
      <c r="T534" s="971">
        <v>56099</v>
      </c>
      <c r="U534" s="971">
        <v>148553</v>
      </c>
    </row>
    <row r="535" spans="1:21" x14ac:dyDescent="0.25">
      <c r="A535" s="967">
        <v>95853</v>
      </c>
      <c r="B535" s="968" t="s">
        <v>3171</v>
      </c>
      <c r="C535" s="969">
        <v>3.1300000000000002E-5</v>
      </c>
      <c r="D535" s="969">
        <v>2.69E-5</v>
      </c>
      <c r="E535" s="1008">
        <v>15957</v>
      </c>
      <c r="F535" s="1011">
        <v>41096</v>
      </c>
      <c r="G535" s="970">
        <v>74254</v>
      </c>
      <c r="H535" s="970"/>
      <c r="I535" s="970">
        <v>11456</v>
      </c>
      <c r="J535" s="971">
        <v>10193</v>
      </c>
      <c r="K535" s="971">
        <v>19704</v>
      </c>
      <c r="L535" s="971">
        <v>8786</v>
      </c>
      <c r="M535" s="970"/>
      <c r="N535" s="971">
        <v>384</v>
      </c>
      <c r="O535" s="971">
        <v>0</v>
      </c>
      <c r="P535" s="971">
        <v>0</v>
      </c>
      <c r="Q535" s="971">
        <v>0</v>
      </c>
      <c r="R535" s="970"/>
      <c r="S535" s="971">
        <v>20626</v>
      </c>
      <c r="T535" s="971">
        <v>4580</v>
      </c>
      <c r="U535" s="971">
        <v>25206</v>
      </c>
    </row>
    <row r="536" spans="1:21" x14ac:dyDescent="0.25">
      <c r="A536" s="967">
        <v>95901</v>
      </c>
      <c r="B536" s="968" t="s">
        <v>3172</v>
      </c>
      <c r="C536" s="969">
        <v>1.9158000000000001E-3</v>
      </c>
      <c r="D536" s="969">
        <v>1.8714999999999999E-3</v>
      </c>
      <c r="E536" s="1008">
        <v>894780</v>
      </c>
      <c r="F536" s="1011">
        <v>2859134</v>
      </c>
      <c r="G536" s="970">
        <v>4544933</v>
      </c>
      <c r="H536" s="970"/>
      <c r="I536" s="970">
        <v>701175</v>
      </c>
      <c r="J536" s="971">
        <v>623884</v>
      </c>
      <c r="K536" s="971">
        <v>1206050</v>
      </c>
      <c r="L536" s="971">
        <v>4319</v>
      </c>
      <c r="M536" s="970"/>
      <c r="N536" s="971">
        <v>23528</v>
      </c>
      <c r="O536" s="971">
        <v>0</v>
      </c>
      <c r="P536" s="971">
        <v>0</v>
      </c>
      <c r="Q536" s="971">
        <v>11578</v>
      </c>
      <c r="R536" s="970"/>
      <c r="S536" s="971">
        <v>1262460</v>
      </c>
      <c r="T536" s="971">
        <v>27562</v>
      </c>
      <c r="U536" s="971">
        <v>1290022</v>
      </c>
    </row>
    <row r="537" spans="1:21" x14ac:dyDescent="0.25">
      <c r="A537" s="967">
        <v>95908</v>
      </c>
      <c r="B537" s="968" t="s">
        <v>3173</v>
      </c>
      <c r="C537" s="969">
        <v>6.1099999999999994E-5</v>
      </c>
      <c r="D537" s="969">
        <v>7.2200000000000007E-5</v>
      </c>
      <c r="E537" s="1008">
        <v>26700</v>
      </c>
      <c r="F537" s="1011">
        <v>110302</v>
      </c>
      <c r="G537" s="970">
        <v>144950</v>
      </c>
      <c r="H537" s="970"/>
      <c r="I537" s="970">
        <v>22362</v>
      </c>
      <c r="J537" s="971">
        <v>19898</v>
      </c>
      <c r="K537" s="971">
        <v>38464</v>
      </c>
      <c r="L537" s="971">
        <v>0</v>
      </c>
      <c r="M537" s="970"/>
      <c r="N537" s="971">
        <v>750</v>
      </c>
      <c r="O537" s="971">
        <v>0</v>
      </c>
      <c r="P537" s="971">
        <v>0</v>
      </c>
      <c r="Q537" s="971">
        <v>21950</v>
      </c>
      <c r="R537" s="970"/>
      <c r="S537" s="971">
        <v>40263</v>
      </c>
      <c r="T537" s="971">
        <v>-13336</v>
      </c>
      <c r="U537" s="971">
        <v>26927</v>
      </c>
    </row>
    <row r="538" spans="1:21" x14ac:dyDescent="0.25">
      <c r="A538" s="967">
        <v>95911</v>
      </c>
      <c r="B538" s="968" t="s">
        <v>3174</v>
      </c>
      <c r="C538" s="969">
        <v>5.576E-4</v>
      </c>
      <c r="D538" s="969">
        <v>5.7450000000000003E-4</v>
      </c>
      <c r="E538" s="1008">
        <v>256698</v>
      </c>
      <c r="F538" s="1011">
        <v>877677</v>
      </c>
      <c r="G538" s="970">
        <v>1322818</v>
      </c>
      <c r="H538" s="970"/>
      <c r="I538" s="970">
        <v>204079</v>
      </c>
      <c r="J538" s="971">
        <v>181583</v>
      </c>
      <c r="K538" s="971">
        <v>351025</v>
      </c>
      <c r="L538" s="971">
        <v>1306</v>
      </c>
      <c r="M538" s="970"/>
      <c r="N538" s="971">
        <v>6848</v>
      </c>
      <c r="O538" s="971">
        <v>0</v>
      </c>
      <c r="P538" s="971">
        <v>0</v>
      </c>
      <c r="Q538" s="971">
        <v>50349</v>
      </c>
      <c r="R538" s="970"/>
      <c r="S538" s="971">
        <v>367443</v>
      </c>
      <c r="T538" s="971">
        <v>-20293</v>
      </c>
      <c r="U538" s="971">
        <v>347150</v>
      </c>
    </row>
    <row r="539" spans="1:21" x14ac:dyDescent="0.25">
      <c r="A539" s="967">
        <v>95917</v>
      </c>
      <c r="B539" s="968" t="s">
        <v>3175</v>
      </c>
      <c r="C539" s="969">
        <v>2.05E-5</v>
      </c>
      <c r="D539" s="969">
        <v>2.6699999999999998E-5</v>
      </c>
      <c r="E539" s="1008">
        <v>11591</v>
      </c>
      <c r="F539" s="1011">
        <v>40790</v>
      </c>
      <c r="G539" s="970">
        <v>48633</v>
      </c>
      <c r="H539" s="970"/>
      <c r="I539" s="970">
        <v>7503</v>
      </c>
      <c r="J539" s="971">
        <v>6676</v>
      </c>
      <c r="K539" s="971">
        <v>12905</v>
      </c>
      <c r="L539" s="971">
        <v>1999</v>
      </c>
      <c r="M539" s="970"/>
      <c r="N539" s="971">
        <v>252</v>
      </c>
      <c r="O539" s="971">
        <v>0</v>
      </c>
      <c r="P539" s="971">
        <v>0</v>
      </c>
      <c r="Q539" s="971">
        <v>3512</v>
      </c>
      <c r="R539" s="970"/>
      <c r="S539" s="971">
        <v>13509</v>
      </c>
      <c r="T539" s="971">
        <v>1407</v>
      </c>
      <c r="U539" s="971">
        <v>14916</v>
      </c>
    </row>
    <row r="540" spans="1:21" x14ac:dyDescent="0.25">
      <c r="A540" s="967">
        <v>95921</v>
      </c>
      <c r="B540" s="968" t="s">
        <v>3176</v>
      </c>
      <c r="C540" s="969">
        <v>4.9799999999999998E-5</v>
      </c>
      <c r="D540" s="969">
        <v>4.7500000000000003E-5</v>
      </c>
      <c r="E540" s="1008">
        <v>25013</v>
      </c>
      <c r="F540" s="1011">
        <v>72567</v>
      </c>
      <c r="G540" s="970">
        <v>118143</v>
      </c>
      <c r="H540" s="970"/>
      <c r="I540" s="970">
        <v>18227</v>
      </c>
      <c r="J540" s="971">
        <v>16217</v>
      </c>
      <c r="K540" s="971">
        <v>31350</v>
      </c>
      <c r="L540" s="971">
        <v>4597</v>
      </c>
      <c r="M540" s="970"/>
      <c r="N540" s="971">
        <v>612</v>
      </c>
      <c r="O540" s="971">
        <v>0</v>
      </c>
      <c r="P540" s="971">
        <v>0</v>
      </c>
      <c r="Q540" s="971">
        <v>0</v>
      </c>
      <c r="R540" s="970"/>
      <c r="S540" s="971">
        <v>32817</v>
      </c>
      <c r="T540" s="971">
        <v>1077</v>
      </c>
      <c r="U540" s="971">
        <v>33894</v>
      </c>
    </row>
    <row r="541" spans="1:21" x14ac:dyDescent="0.25">
      <c r="A541" s="967">
        <v>96001</v>
      </c>
      <c r="B541" s="968" t="s">
        <v>3177</v>
      </c>
      <c r="C541" s="969">
        <v>4.3840400000000002E-2</v>
      </c>
      <c r="D541" s="969">
        <v>4.4386399999999999E-2</v>
      </c>
      <c r="E541" s="1008">
        <v>21493968</v>
      </c>
      <c r="F541" s="1011">
        <v>67810124</v>
      </c>
      <c r="G541" s="970">
        <v>104004422</v>
      </c>
      <c r="H541" s="970"/>
      <c r="I541" s="970">
        <v>16045411</v>
      </c>
      <c r="J541" s="971">
        <v>14276714</v>
      </c>
      <c r="K541" s="971">
        <v>27598759</v>
      </c>
      <c r="L541" s="971">
        <v>120257</v>
      </c>
      <c r="M541" s="970"/>
      <c r="N541" s="971">
        <v>538404</v>
      </c>
      <c r="O541" s="971">
        <v>0</v>
      </c>
      <c r="P541" s="971">
        <v>0</v>
      </c>
      <c r="Q541" s="971">
        <v>696147</v>
      </c>
      <c r="R541" s="970"/>
      <c r="S541" s="971">
        <v>28889640</v>
      </c>
      <c r="T541" s="971">
        <v>1107085</v>
      </c>
      <c r="U541" s="971">
        <v>29996725</v>
      </c>
    </row>
    <row r="542" spans="1:21" x14ac:dyDescent="0.25">
      <c r="A542" s="967">
        <v>96003</v>
      </c>
      <c r="B542" s="968" t="s">
        <v>3178</v>
      </c>
      <c r="C542" s="969">
        <v>1.6191999999999999E-3</v>
      </c>
      <c r="D542" s="969">
        <v>1.6523E-3</v>
      </c>
      <c r="E542" s="1008">
        <v>717559</v>
      </c>
      <c r="F542" s="1011">
        <v>2524257</v>
      </c>
      <c r="G542" s="970">
        <v>3841296</v>
      </c>
      <c r="H542" s="970"/>
      <c r="I542" s="970">
        <v>592621</v>
      </c>
      <c r="J542" s="971">
        <v>527296</v>
      </c>
      <c r="K542" s="971">
        <v>1019332</v>
      </c>
      <c r="L542" s="971">
        <v>1392</v>
      </c>
      <c r="M542" s="970"/>
      <c r="N542" s="971">
        <v>19885</v>
      </c>
      <c r="O542" s="971">
        <v>0</v>
      </c>
      <c r="P542" s="971">
        <v>0</v>
      </c>
      <c r="Q542" s="971">
        <v>162038</v>
      </c>
      <c r="R542" s="970"/>
      <c r="S542" s="971">
        <v>1067009</v>
      </c>
      <c r="T542" s="971">
        <v>-76658</v>
      </c>
      <c r="U542" s="971">
        <v>990351</v>
      </c>
    </row>
    <row r="543" spans="1:21" x14ac:dyDescent="0.25">
      <c r="A543" s="967">
        <v>96004</v>
      </c>
      <c r="B543" s="968" t="s">
        <v>3179</v>
      </c>
      <c r="C543" s="969">
        <v>9.0419999999999997E-4</v>
      </c>
      <c r="D543" s="969">
        <v>8.9439999999999995E-4</v>
      </c>
      <c r="E543" s="1008">
        <v>500331</v>
      </c>
      <c r="F543" s="1011">
        <v>1366395</v>
      </c>
      <c r="G543" s="970">
        <v>2145072</v>
      </c>
      <c r="H543" s="970"/>
      <c r="I543" s="970">
        <v>330934</v>
      </c>
      <c r="J543" s="971">
        <v>294454</v>
      </c>
      <c r="K543" s="971">
        <v>569219</v>
      </c>
      <c r="L543" s="971">
        <v>137510</v>
      </c>
      <c r="M543" s="970"/>
      <c r="N543" s="971">
        <v>11104</v>
      </c>
      <c r="O543" s="971">
        <v>0</v>
      </c>
      <c r="P543" s="971">
        <v>0</v>
      </c>
      <c r="Q543" s="971">
        <v>0</v>
      </c>
      <c r="R543" s="970"/>
      <c r="S543" s="971">
        <v>595843</v>
      </c>
      <c r="T543" s="971">
        <v>78642</v>
      </c>
      <c r="U543" s="971">
        <v>674485</v>
      </c>
    </row>
    <row r="544" spans="1:21" x14ac:dyDescent="0.25">
      <c r="A544" s="967">
        <v>96005</v>
      </c>
      <c r="B544" s="968" t="s">
        <v>3180</v>
      </c>
      <c r="C544" s="969">
        <v>2.6172999999999999E-3</v>
      </c>
      <c r="D544" s="969">
        <v>2.6733999999999998E-3</v>
      </c>
      <c r="E544" s="1008">
        <v>1319875</v>
      </c>
      <c r="F544" s="1011">
        <v>4084215</v>
      </c>
      <c r="G544" s="970">
        <v>6209131</v>
      </c>
      <c r="H544" s="970"/>
      <c r="I544" s="970">
        <v>957921</v>
      </c>
      <c r="J544" s="971">
        <v>852329</v>
      </c>
      <c r="K544" s="971">
        <v>1647664</v>
      </c>
      <c r="L544" s="971">
        <v>64243</v>
      </c>
      <c r="M544" s="970"/>
      <c r="N544" s="971">
        <v>32143</v>
      </c>
      <c r="O544" s="971">
        <v>0</v>
      </c>
      <c r="P544" s="971">
        <v>0</v>
      </c>
      <c r="Q544" s="971">
        <v>8878</v>
      </c>
      <c r="R544" s="970"/>
      <c r="S544" s="971">
        <v>1724730</v>
      </c>
      <c r="T544" s="971">
        <v>155823</v>
      </c>
      <c r="U544" s="971">
        <v>1880553</v>
      </c>
    </row>
    <row r="545" spans="1:21" x14ac:dyDescent="0.25">
      <c r="A545" s="967">
        <v>96008</v>
      </c>
      <c r="B545" s="968" t="s">
        <v>3181</v>
      </c>
      <c r="C545" s="969">
        <v>6.1884000000000002E-3</v>
      </c>
      <c r="D545" s="969">
        <v>5.9955E-3</v>
      </c>
      <c r="E545" s="1008">
        <v>2319760</v>
      </c>
      <c r="F545" s="1011">
        <v>9159463</v>
      </c>
      <c r="G545" s="970">
        <v>14681001</v>
      </c>
      <c r="H545" s="970"/>
      <c r="I545" s="970">
        <v>2264930</v>
      </c>
      <c r="J545" s="971">
        <v>2015265</v>
      </c>
      <c r="K545" s="971">
        <v>3895771</v>
      </c>
      <c r="L545" s="971">
        <v>0</v>
      </c>
      <c r="M545" s="970"/>
      <c r="N545" s="971">
        <v>76000</v>
      </c>
      <c r="O545" s="971">
        <v>0</v>
      </c>
      <c r="P545" s="971">
        <v>0</v>
      </c>
      <c r="Q545" s="971">
        <v>922165</v>
      </c>
      <c r="R545" s="970"/>
      <c r="S545" s="971">
        <v>4077989</v>
      </c>
      <c r="T545" s="971">
        <v>-381090</v>
      </c>
      <c r="U545" s="971">
        <v>3696899</v>
      </c>
    </row>
    <row r="546" spans="1:21" x14ac:dyDescent="0.25">
      <c r="A546" s="967">
        <v>96009</v>
      </c>
      <c r="B546" s="968" t="s">
        <v>3182</v>
      </c>
      <c r="C546" s="969">
        <v>3.8460000000000002E-4</v>
      </c>
      <c r="D546" s="969">
        <v>3.7609999999999998E-4</v>
      </c>
      <c r="E546" s="1008">
        <v>213206</v>
      </c>
      <c r="F546" s="1011">
        <v>574577</v>
      </c>
      <c r="G546" s="970">
        <v>912403</v>
      </c>
      <c r="H546" s="970"/>
      <c r="I546" s="970">
        <v>140762</v>
      </c>
      <c r="J546" s="971">
        <v>125246</v>
      </c>
      <c r="K546" s="971">
        <v>242116</v>
      </c>
      <c r="L546" s="971">
        <v>46887</v>
      </c>
      <c r="M546" s="970"/>
      <c r="N546" s="971">
        <v>4723</v>
      </c>
      <c r="O546" s="971">
        <v>0</v>
      </c>
      <c r="P546" s="971">
        <v>0</v>
      </c>
      <c r="Q546" s="971">
        <v>1687</v>
      </c>
      <c r="R546" s="970"/>
      <c r="S546" s="971">
        <v>253441</v>
      </c>
      <c r="T546" s="971">
        <v>17980</v>
      </c>
      <c r="U546" s="971">
        <v>271421</v>
      </c>
    </row>
    <row r="547" spans="1:21" x14ac:dyDescent="0.25">
      <c r="A547" s="967">
        <v>96011</v>
      </c>
      <c r="B547" s="968" t="s">
        <v>3183</v>
      </c>
      <c r="C547" s="969">
        <v>6.2526600000000002E-2</v>
      </c>
      <c r="D547" s="969">
        <v>6.1150400000000001E-2</v>
      </c>
      <c r="E547" s="1008">
        <v>30490655</v>
      </c>
      <c r="F547" s="1011">
        <v>93420873</v>
      </c>
      <c r="G547" s="970">
        <v>148334479</v>
      </c>
      <c r="H547" s="970"/>
      <c r="I547" s="970">
        <v>22884485</v>
      </c>
      <c r="J547" s="971">
        <v>20361912</v>
      </c>
      <c r="K547" s="971">
        <v>39362245</v>
      </c>
      <c r="L547" s="971">
        <v>1462569</v>
      </c>
      <c r="M547" s="970"/>
      <c r="N547" s="971">
        <v>767889</v>
      </c>
      <c r="O547" s="971">
        <v>0</v>
      </c>
      <c r="P547" s="971">
        <v>0</v>
      </c>
      <c r="Q547" s="971">
        <v>32612</v>
      </c>
      <c r="R547" s="970"/>
      <c r="S547" s="971">
        <v>41203341</v>
      </c>
      <c r="T547" s="971">
        <v>436963</v>
      </c>
      <c r="U547" s="971">
        <v>41640304</v>
      </c>
    </row>
    <row r="548" spans="1:21" x14ac:dyDescent="0.25">
      <c r="A548" s="967">
        <v>96012</v>
      </c>
      <c r="B548" s="968" t="s">
        <v>3184</v>
      </c>
      <c r="C548" s="969">
        <v>2.5303000000000001E-3</v>
      </c>
      <c r="D548" s="969">
        <v>2.4417000000000002E-3</v>
      </c>
      <c r="E548" s="1008">
        <v>1227286</v>
      </c>
      <c r="F548" s="1011">
        <v>3730241</v>
      </c>
      <c r="G548" s="970">
        <v>6002737</v>
      </c>
      <c r="H548" s="970"/>
      <c r="I548" s="970">
        <v>926080</v>
      </c>
      <c r="J548" s="971">
        <v>823997</v>
      </c>
      <c r="K548" s="971">
        <v>1592895</v>
      </c>
      <c r="L548" s="971">
        <v>95917</v>
      </c>
      <c r="M548" s="970"/>
      <c r="N548" s="971">
        <v>31075</v>
      </c>
      <c r="O548" s="971">
        <v>0</v>
      </c>
      <c r="P548" s="971">
        <v>0</v>
      </c>
      <c r="Q548" s="971">
        <v>703</v>
      </c>
      <c r="R548" s="970"/>
      <c r="S548" s="971">
        <v>1667399</v>
      </c>
      <c r="T548" s="971">
        <v>49156</v>
      </c>
      <c r="U548" s="971">
        <v>1716555</v>
      </c>
    </row>
    <row r="549" spans="1:21" x14ac:dyDescent="0.25">
      <c r="A549" s="967">
        <v>96018</v>
      </c>
      <c r="B549" s="968" t="s">
        <v>3185</v>
      </c>
      <c r="C549" s="969">
        <v>4.5000000000000003E-5</v>
      </c>
      <c r="D549" s="969">
        <v>4.3600000000000003E-5</v>
      </c>
      <c r="E549" s="1008">
        <v>20816</v>
      </c>
      <c r="F549" s="1011">
        <v>66609</v>
      </c>
      <c r="G549" s="970">
        <v>106755</v>
      </c>
      <c r="H549" s="970"/>
      <c r="I549" s="970">
        <v>16470</v>
      </c>
      <c r="J549" s="971">
        <v>14654</v>
      </c>
      <c r="K549" s="971">
        <v>28329</v>
      </c>
      <c r="L549" s="971">
        <v>3865</v>
      </c>
      <c r="M549" s="970"/>
      <c r="N549" s="971">
        <v>553</v>
      </c>
      <c r="O549" s="971">
        <v>0</v>
      </c>
      <c r="P549" s="971">
        <v>0</v>
      </c>
      <c r="Q549" s="971">
        <v>0</v>
      </c>
      <c r="R549" s="970"/>
      <c r="S549" s="971">
        <v>29654</v>
      </c>
      <c r="T549" s="971">
        <v>5885</v>
      </c>
      <c r="U549" s="971">
        <v>35539</v>
      </c>
    </row>
    <row r="550" spans="1:21" x14ac:dyDescent="0.25">
      <c r="A550" s="967">
        <v>96021</v>
      </c>
      <c r="B550" s="968" t="s">
        <v>3186</v>
      </c>
      <c r="C550" s="969">
        <v>7.3760000000000004E-4</v>
      </c>
      <c r="D550" s="969">
        <v>7.2090000000000001E-4</v>
      </c>
      <c r="E550" s="1008">
        <v>348072</v>
      </c>
      <c r="F550" s="1011">
        <v>1101336</v>
      </c>
      <c r="G550" s="970">
        <v>1749839</v>
      </c>
      <c r="H550" s="970"/>
      <c r="I550" s="970">
        <v>269959</v>
      </c>
      <c r="J550" s="971">
        <v>240200</v>
      </c>
      <c r="K550" s="971">
        <v>464340</v>
      </c>
      <c r="L550" s="971">
        <v>15203</v>
      </c>
      <c r="M550" s="970"/>
      <c r="N550" s="971">
        <v>9058</v>
      </c>
      <c r="O550" s="971">
        <v>0</v>
      </c>
      <c r="P550" s="971">
        <v>0</v>
      </c>
      <c r="Q550" s="971">
        <v>87034</v>
      </c>
      <c r="R550" s="970"/>
      <c r="S550" s="971">
        <v>486058</v>
      </c>
      <c r="T550" s="971">
        <v>-13480</v>
      </c>
      <c r="U550" s="971">
        <v>472578</v>
      </c>
    </row>
    <row r="551" spans="1:21" x14ac:dyDescent="0.25">
      <c r="A551" s="967">
        <v>96031</v>
      </c>
      <c r="B551" s="968" t="s">
        <v>3187</v>
      </c>
      <c r="C551" s="969">
        <v>8.5170000000000005E-4</v>
      </c>
      <c r="D551" s="969">
        <v>8.2580000000000001E-4</v>
      </c>
      <c r="E551" s="1008">
        <v>343068</v>
      </c>
      <c r="F551" s="1011">
        <v>1261594</v>
      </c>
      <c r="G551" s="970">
        <v>2020524</v>
      </c>
      <c r="H551" s="970"/>
      <c r="I551" s="970">
        <v>311719</v>
      </c>
      <c r="J551" s="971">
        <v>277358</v>
      </c>
      <c r="K551" s="971">
        <v>536169</v>
      </c>
      <c r="L551" s="971">
        <v>0</v>
      </c>
      <c r="M551" s="970"/>
      <c r="N551" s="971">
        <v>10460</v>
      </c>
      <c r="O551" s="971">
        <v>0</v>
      </c>
      <c r="P551" s="971">
        <v>0</v>
      </c>
      <c r="Q551" s="971">
        <v>145457</v>
      </c>
      <c r="R551" s="970"/>
      <c r="S551" s="971">
        <v>561247</v>
      </c>
      <c r="T551" s="971">
        <v>-84382</v>
      </c>
      <c r="U551" s="971">
        <v>476865</v>
      </c>
    </row>
    <row r="552" spans="1:21" x14ac:dyDescent="0.25">
      <c r="A552" s="967">
        <v>96041</v>
      </c>
      <c r="B552" s="968" t="s">
        <v>3188</v>
      </c>
      <c r="C552" s="969">
        <v>1.7003999999999999E-3</v>
      </c>
      <c r="D552" s="969">
        <v>1.7361E-3</v>
      </c>
      <c r="E552" s="1008">
        <v>760331</v>
      </c>
      <c r="F552" s="1011">
        <v>2652280</v>
      </c>
      <c r="G552" s="970">
        <v>4033930</v>
      </c>
      <c r="H552" s="970"/>
      <c r="I552" s="970">
        <v>622340</v>
      </c>
      <c r="J552" s="971">
        <v>553738</v>
      </c>
      <c r="K552" s="971">
        <v>1070449</v>
      </c>
      <c r="L552" s="971">
        <v>0</v>
      </c>
      <c r="M552" s="970"/>
      <c r="N552" s="971">
        <v>20883</v>
      </c>
      <c r="O552" s="971">
        <v>0</v>
      </c>
      <c r="P552" s="971">
        <v>0</v>
      </c>
      <c r="Q552" s="971">
        <v>162463</v>
      </c>
      <c r="R552" s="970"/>
      <c r="S552" s="971">
        <v>1120518</v>
      </c>
      <c r="T552" s="971">
        <v>-80644</v>
      </c>
      <c r="U552" s="971">
        <v>1039874</v>
      </c>
    </row>
    <row r="553" spans="1:21" x14ac:dyDescent="0.25">
      <c r="A553" s="967">
        <v>96051</v>
      </c>
      <c r="B553" s="968" t="s">
        <v>3189</v>
      </c>
      <c r="C553" s="969">
        <v>1.042E-3</v>
      </c>
      <c r="D553" s="969">
        <v>1.0062000000000001E-3</v>
      </c>
      <c r="E553" s="1008">
        <v>447496</v>
      </c>
      <c r="F553" s="1011">
        <v>1537195</v>
      </c>
      <c r="G553" s="970">
        <v>2471980</v>
      </c>
      <c r="H553" s="970"/>
      <c r="I553" s="970">
        <v>381368</v>
      </c>
      <c r="J553" s="971">
        <v>339329</v>
      </c>
      <c r="K553" s="971">
        <v>655968</v>
      </c>
      <c r="L553" s="971">
        <v>0</v>
      </c>
      <c r="M553" s="970"/>
      <c r="N553" s="971">
        <v>12797</v>
      </c>
      <c r="O553" s="971">
        <v>0</v>
      </c>
      <c r="P553" s="971">
        <v>0</v>
      </c>
      <c r="Q553" s="971">
        <v>89308</v>
      </c>
      <c r="R553" s="970"/>
      <c r="S553" s="971">
        <v>686650</v>
      </c>
      <c r="T553" s="971">
        <v>-50724</v>
      </c>
      <c r="U553" s="971">
        <v>635926</v>
      </c>
    </row>
    <row r="554" spans="1:21" x14ac:dyDescent="0.25">
      <c r="A554" s="967">
        <v>96061</v>
      </c>
      <c r="B554" s="968" t="s">
        <v>3190</v>
      </c>
      <c r="C554" s="969">
        <v>3.1559999999999997E-4</v>
      </c>
      <c r="D554" s="969">
        <v>3.3950000000000001E-4</v>
      </c>
      <c r="E554" s="1008">
        <v>163295</v>
      </c>
      <c r="F554" s="1011">
        <v>518662</v>
      </c>
      <c r="G554" s="970">
        <v>748711</v>
      </c>
      <c r="H554" s="970"/>
      <c r="I554" s="970">
        <v>115508</v>
      </c>
      <c r="J554" s="971">
        <v>102775</v>
      </c>
      <c r="K554" s="971">
        <v>198679</v>
      </c>
      <c r="L554" s="971">
        <v>15967</v>
      </c>
      <c r="M554" s="970"/>
      <c r="N554" s="971">
        <v>3876</v>
      </c>
      <c r="O554" s="971">
        <v>0</v>
      </c>
      <c r="P554" s="971">
        <v>0</v>
      </c>
      <c r="Q554" s="971">
        <v>13815</v>
      </c>
      <c r="R554" s="970"/>
      <c r="S554" s="971">
        <v>207972</v>
      </c>
      <c r="T554" s="971">
        <v>-246</v>
      </c>
      <c r="U554" s="971">
        <v>207726</v>
      </c>
    </row>
    <row r="555" spans="1:21" x14ac:dyDescent="0.25">
      <c r="A555" s="967">
        <v>96071</v>
      </c>
      <c r="B555" s="968" t="s">
        <v>3191</v>
      </c>
      <c r="C555" s="969">
        <v>1.1751000000000001E-3</v>
      </c>
      <c r="D555" s="969">
        <v>1.1367E-3</v>
      </c>
      <c r="E555" s="1008">
        <v>601188</v>
      </c>
      <c r="F555" s="1011">
        <v>1736563</v>
      </c>
      <c r="G555" s="970">
        <v>2787739</v>
      </c>
      <c r="H555" s="970"/>
      <c r="I555" s="970">
        <v>430082</v>
      </c>
      <c r="J555" s="971">
        <v>382674</v>
      </c>
      <c r="K555" s="971">
        <v>739758</v>
      </c>
      <c r="L555" s="971">
        <v>90687</v>
      </c>
      <c r="M555" s="970"/>
      <c r="N555" s="971">
        <v>14431</v>
      </c>
      <c r="O555" s="971">
        <v>0</v>
      </c>
      <c r="P555" s="971">
        <v>0</v>
      </c>
      <c r="Q555" s="971">
        <v>39863</v>
      </c>
      <c r="R555" s="970"/>
      <c r="S555" s="971">
        <v>774359</v>
      </c>
      <c r="T555" s="971">
        <v>10914</v>
      </c>
      <c r="U555" s="971">
        <v>785273</v>
      </c>
    </row>
    <row r="556" spans="1:21" x14ac:dyDescent="0.25">
      <c r="A556" s="967">
        <v>96081</v>
      </c>
      <c r="B556" s="968" t="s">
        <v>3192</v>
      </c>
      <c r="C556" s="969">
        <v>5.4920000000000001E-4</v>
      </c>
      <c r="D556" s="969">
        <v>5.0900000000000001E-4</v>
      </c>
      <c r="E556" s="1008">
        <v>241287</v>
      </c>
      <c r="F556" s="1011">
        <v>777611</v>
      </c>
      <c r="G556" s="970">
        <v>1302890</v>
      </c>
      <c r="H556" s="970"/>
      <c r="I556" s="970">
        <v>201005</v>
      </c>
      <c r="J556" s="971">
        <v>178848</v>
      </c>
      <c r="K556" s="971">
        <v>345737</v>
      </c>
      <c r="L556" s="971">
        <v>10068</v>
      </c>
      <c r="M556" s="970"/>
      <c r="N556" s="971">
        <v>6745</v>
      </c>
      <c r="O556" s="971">
        <v>0</v>
      </c>
      <c r="P556" s="971">
        <v>0</v>
      </c>
      <c r="Q556" s="971">
        <v>1853</v>
      </c>
      <c r="R556" s="970"/>
      <c r="S556" s="971">
        <v>361908</v>
      </c>
      <c r="T556" s="971">
        <v>6768</v>
      </c>
      <c r="U556" s="971">
        <v>368676</v>
      </c>
    </row>
    <row r="557" spans="1:21" x14ac:dyDescent="0.25">
      <c r="A557" s="967">
        <v>96101</v>
      </c>
      <c r="B557" s="968" t="s">
        <v>3193</v>
      </c>
      <c r="C557" s="969">
        <v>7.9739999999999998E-4</v>
      </c>
      <c r="D557" s="969">
        <v>7.6749999999999995E-4</v>
      </c>
      <c r="E557" s="1008">
        <v>406062</v>
      </c>
      <c r="F557" s="1011">
        <v>1172527</v>
      </c>
      <c r="G557" s="970">
        <v>1891706</v>
      </c>
      <c r="H557" s="970"/>
      <c r="I557" s="970">
        <v>291845</v>
      </c>
      <c r="J557" s="971">
        <v>259675</v>
      </c>
      <c r="K557" s="971">
        <v>501986</v>
      </c>
      <c r="L557" s="971">
        <v>54889</v>
      </c>
      <c r="M557" s="970"/>
      <c r="N557" s="971">
        <v>9793</v>
      </c>
      <c r="O557" s="971">
        <v>0</v>
      </c>
      <c r="P557" s="971">
        <v>0</v>
      </c>
      <c r="Q557" s="971">
        <v>2275</v>
      </c>
      <c r="R557" s="970"/>
      <c r="S557" s="971">
        <v>525465</v>
      </c>
      <c r="T557" s="971">
        <v>25672</v>
      </c>
      <c r="U557" s="971">
        <v>551137</v>
      </c>
    </row>
    <row r="558" spans="1:21" x14ac:dyDescent="0.25">
      <c r="A558" s="967">
        <v>96102</v>
      </c>
      <c r="B558" s="968" t="s">
        <v>3194</v>
      </c>
      <c r="C558" s="969">
        <v>1.2999999999999999E-5</v>
      </c>
      <c r="D558" s="969">
        <v>1.36E-5</v>
      </c>
      <c r="E558" s="1008">
        <v>4193</v>
      </c>
      <c r="F558" s="1011">
        <v>20777</v>
      </c>
      <c r="G558" s="970">
        <v>30840</v>
      </c>
      <c r="H558" s="970"/>
      <c r="I558" s="970">
        <v>4758</v>
      </c>
      <c r="J558" s="971">
        <v>4233</v>
      </c>
      <c r="K558" s="971">
        <v>8184</v>
      </c>
      <c r="L558" s="971">
        <v>0</v>
      </c>
      <c r="M558" s="970"/>
      <c r="N558" s="971">
        <v>160</v>
      </c>
      <c r="O558" s="971">
        <v>0</v>
      </c>
      <c r="P558" s="971">
        <v>0</v>
      </c>
      <c r="Q558" s="971">
        <v>3870</v>
      </c>
      <c r="R558" s="970"/>
      <c r="S558" s="971">
        <v>8567</v>
      </c>
      <c r="T558" s="971">
        <v>-1972</v>
      </c>
      <c r="U558" s="971">
        <v>6595</v>
      </c>
    </row>
    <row r="559" spans="1:21" x14ac:dyDescent="0.25">
      <c r="A559" s="967">
        <v>96111</v>
      </c>
      <c r="B559" s="968" t="s">
        <v>3195</v>
      </c>
      <c r="C559" s="969">
        <v>1.47E-4</v>
      </c>
      <c r="D559" s="969">
        <v>1.5349999999999999E-4</v>
      </c>
      <c r="E559" s="1008">
        <v>88705</v>
      </c>
      <c r="F559" s="1011">
        <v>234505</v>
      </c>
      <c r="G559" s="970">
        <v>348734</v>
      </c>
      <c r="H559" s="970"/>
      <c r="I559" s="970">
        <v>53801</v>
      </c>
      <c r="J559" s="971">
        <v>47871</v>
      </c>
      <c r="K559" s="971">
        <v>92541</v>
      </c>
      <c r="L559" s="971">
        <v>11049</v>
      </c>
      <c r="M559" s="970"/>
      <c r="N559" s="971">
        <v>1805</v>
      </c>
      <c r="O559" s="971">
        <v>0</v>
      </c>
      <c r="P559" s="971">
        <v>0</v>
      </c>
      <c r="Q559" s="971">
        <v>1261</v>
      </c>
      <c r="R559" s="970"/>
      <c r="S559" s="971">
        <v>96869</v>
      </c>
      <c r="T559" s="971">
        <v>8891</v>
      </c>
      <c r="U559" s="971">
        <v>105760</v>
      </c>
    </row>
    <row r="560" spans="1:21" x14ac:dyDescent="0.25">
      <c r="A560" s="967">
        <v>96121</v>
      </c>
      <c r="B560" s="968" t="s">
        <v>3196</v>
      </c>
      <c r="C560" s="969">
        <v>2.1699999999999999E-5</v>
      </c>
      <c r="D560" s="969">
        <v>2.2500000000000001E-5</v>
      </c>
      <c r="E560" s="1008">
        <v>9551</v>
      </c>
      <c r="F560" s="1011">
        <v>34374</v>
      </c>
      <c r="G560" s="970">
        <v>51480</v>
      </c>
      <c r="H560" s="970"/>
      <c r="I560" s="970">
        <v>7942</v>
      </c>
      <c r="J560" s="971">
        <v>7067</v>
      </c>
      <c r="K560" s="971">
        <v>13661</v>
      </c>
      <c r="L560" s="971">
        <v>258</v>
      </c>
      <c r="M560" s="970"/>
      <c r="N560" s="971">
        <v>266</v>
      </c>
      <c r="O560" s="971">
        <v>0</v>
      </c>
      <c r="P560" s="971">
        <v>0</v>
      </c>
      <c r="Q560" s="971">
        <v>2114</v>
      </c>
      <c r="R560" s="970"/>
      <c r="S560" s="971">
        <v>14300</v>
      </c>
      <c r="T560" s="971">
        <v>-1295</v>
      </c>
      <c r="U560" s="971">
        <v>13005</v>
      </c>
    </row>
    <row r="561" spans="1:21" x14ac:dyDescent="0.25">
      <c r="A561" s="967">
        <v>96201</v>
      </c>
      <c r="B561" s="968" t="s">
        <v>3197</v>
      </c>
      <c r="C561" s="969">
        <v>1.1052E-3</v>
      </c>
      <c r="D561" s="969">
        <v>1.1788E-3</v>
      </c>
      <c r="E561" s="1008">
        <v>543344</v>
      </c>
      <c r="F561" s="1011">
        <v>1800880</v>
      </c>
      <c r="G561" s="970">
        <v>2621912</v>
      </c>
      <c r="H561" s="970"/>
      <c r="I561" s="970">
        <v>404499</v>
      </c>
      <c r="J561" s="971">
        <v>359910</v>
      </c>
      <c r="K561" s="971">
        <v>695754</v>
      </c>
      <c r="L561" s="971">
        <v>0</v>
      </c>
      <c r="M561" s="970"/>
      <c r="N561" s="971">
        <v>13573</v>
      </c>
      <c r="O561" s="971">
        <v>0</v>
      </c>
      <c r="P561" s="971">
        <v>0</v>
      </c>
      <c r="Q561" s="971">
        <v>100519</v>
      </c>
      <c r="R561" s="970"/>
      <c r="S561" s="971">
        <v>728297</v>
      </c>
      <c r="T561" s="971">
        <v>-35895</v>
      </c>
      <c r="U561" s="971">
        <v>692402</v>
      </c>
    </row>
    <row r="562" spans="1:21" x14ac:dyDescent="0.25">
      <c r="A562" s="967">
        <v>96204</v>
      </c>
      <c r="B562" s="968" t="s">
        <v>3198</v>
      </c>
      <c r="C562" s="969">
        <v>1.42E-5</v>
      </c>
      <c r="D562" s="969">
        <v>1.5099999999999999E-5</v>
      </c>
      <c r="E562" s="1008">
        <v>9260</v>
      </c>
      <c r="F562" s="1011">
        <v>23069</v>
      </c>
      <c r="G562" s="970">
        <v>33687</v>
      </c>
      <c r="H562" s="970"/>
      <c r="I562" s="970">
        <v>5197</v>
      </c>
      <c r="J562" s="971">
        <v>4624</v>
      </c>
      <c r="K562" s="971">
        <v>8939</v>
      </c>
      <c r="L562" s="971">
        <v>3075</v>
      </c>
      <c r="M562" s="970"/>
      <c r="N562" s="971">
        <v>174</v>
      </c>
      <c r="O562" s="971">
        <v>0</v>
      </c>
      <c r="P562" s="971">
        <v>0</v>
      </c>
      <c r="Q562" s="971">
        <v>0</v>
      </c>
      <c r="R562" s="970"/>
      <c r="S562" s="971">
        <v>9357</v>
      </c>
      <c r="T562" s="971">
        <v>1951</v>
      </c>
      <c r="U562" s="971">
        <v>11308</v>
      </c>
    </row>
    <row r="563" spans="1:21" x14ac:dyDescent="0.25">
      <c r="A563" s="967">
        <v>96211</v>
      </c>
      <c r="B563" s="968" t="s">
        <v>3199</v>
      </c>
      <c r="C563" s="969">
        <v>2.8099999999999999E-5</v>
      </c>
      <c r="D563" s="969">
        <v>2.62E-5</v>
      </c>
      <c r="E563" s="1008">
        <v>17551</v>
      </c>
      <c r="F563" s="1011">
        <v>40026</v>
      </c>
      <c r="G563" s="970">
        <v>66663</v>
      </c>
      <c r="H563" s="970"/>
      <c r="I563" s="970">
        <v>10284</v>
      </c>
      <c r="J563" s="971">
        <v>9151</v>
      </c>
      <c r="K563" s="971">
        <v>17690</v>
      </c>
      <c r="L563" s="971">
        <v>7064</v>
      </c>
      <c r="M563" s="970"/>
      <c r="N563" s="971">
        <v>345</v>
      </c>
      <c r="O563" s="971">
        <v>0</v>
      </c>
      <c r="P563" s="971">
        <v>0</v>
      </c>
      <c r="Q563" s="971">
        <v>0</v>
      </c>
      <c r="R563" s="970"/>
      <c r="S563" s="971">
        <v>18517</v>
      </c>
      <c r="T563" s="971">
        <v>-1535</v>
      </c>
      <c r="U563" s="971">
        <v>16982</v>
      </c>
    </row>
    <row r="564" spans="1:21" x14ac:dyDescent="0.25">
      <c r="A564" s="967">
        <v>96221</v>
      </c>
      <c r="B564" s="968" t="s">
        <v>3200</v>
      </c>
      <c r="C564" s="969">
        <v>2.2809999999999999E-4</v>
      </c>
      <c r="D564" s="969">
        <v>2.3350000000000001E-4</v>
      </c>
      <c r="E564" s="1008">
        <v>105993</v>
      </c>
      <c r="F564" s="1011">
        <v>356723</v>
      </c>
      <c r="G564" s="970">
        <v>541131</v>
      </c>
      <c r="H564" s="970"/>
      <c r="I564" s="970">
        <v>83484</v>
      </c>
      <c r="J564" s="971">
        <v>74281</v>
      </c>
      <c r="K564" s="971">
        <v>143595</v>
      </c>
      <c r="L564" s="971">
        <v>0</v>
      </c>
      <c r="M564" s="970"/>
      <c r="N564" s="971">
        <v>2801</v>
      </c>
      <c r="O564" s="971">
        <v>0</v>
      </c>
      <c r="P564" s="971">
        <v>0</v>
      </c>
      <c r="Q564" s="971">
        <v>17587</v>
      </c>
      <c r="R564" s="970"/>
      <c r="S564" s="971">
        <v>150312</v>
      </c>
      <c r="T564" s="971">
        <v>-5474</v>
      </c>
      <c r="U564" s="971">
        <v>144838</v>
      </c>
    </row>
    <row r="565" spans="1:21" x14ac:dyDescent="0.25">
      <c r="A565" s="967">
        <v>96231</v>
      </c>
      <c r="B565" s="968" t="s">
        <v>3201</v>
      </c>
      <c r="C565" s="969">
        <v>1.2540000000000001E-4</v>
      </c>
      <c r="D565" s="969">
        <v>1.3339999999999999E-4</v>
      </c>
      <c r="E565" s="1008">
        <v>49677</v>
      </c>
      <c r="F565" s="1011">
        <v>203798</v>
      </c>
      <c r="G565" s="970">
        <v>297492</v>
      </c>
      <c r="H565" s="970"/>
      <c r="I565" s="970">
        <v>45896</v>
      </c>
      <c r="J565" s="971">
        <v>40837</v>
      </c>
      <c r="K565" s="971">
        <v>78943</v>
      </c>
      <c r="L565" s="971">
        <v>1915</v>
      </c>
      <c r="M565" s="970"/>
      <c r="N565" s="971">
        <v>1540</v>
      </c>
      <c r="O565" s="971">
        <v>0</v>
      </c>
      <c r="P565" s="971">
        <v>0</v>
      </c>
      <c r="Q565" s="971">
        <v>22322</v>
      </c>
      <c r="R565" s="970"/>
      <c r="S565" s="971">
        <v>82635</v>
      </c>
      <c r="T565" s="971">
        <v>-10839</v>
      </c>
      <c r="U565" s="971">
        <v>71796</v>
      </c>
    </row>
    <row r="566" spans="1:21" x14ac:dyDescent="0.25">
      <c r="A566" s="967">
        <v>96241</v>
      </c>
      <c r="B566" s="968" t="s">
        <v>3202</v>
      </c>
      <c r="C566" s="969">
        <v>5.4299999999999998E-5</v>
      </c>
      <c r="D566" s="969">
        <v>4.4700000000000002E-5</v>
      </c>
      <c r="E566" s="1008">
        <v>23318</v>
      </c>
      <c r="F566" s="1011">
        <v>68289</v>
      </c>
      <c r="G566" s="970">
        <v>128818</v>
      </c>
      <c r="H566" s="970"/>
      <c r="I566" s="970">
        <v>19874</v>
      </c>
      <c r="J566" s="971">
        <v>17683</v>
      </c>
      <c r="K566" s="971">
        <v>34183</v>
      </c>
      <c r="L566" s="971">
        <v>5386</v>
      </c>
      <c r="M566" s="970"/>
      <c r="N566" s="971">
        <v>667</v>
      </c>
      <c r="O566" s="971">
        <v>0</v>
      </c>
      <c r="P566" s="971">
        <v>0</v>
      </c>
      <c r="Q566" s="971">
        <v>2843</v>
      </c>
      <c r="R566" s="970"/>
      <c r="S566" s="971">
        <v>35782</v>
      </c>
      <c r="T566" s="971">
        <v>3441</v>
      </c>
      <c r="U566" s="971">
        <v>39223</v>
      </c>
    </row>
    <row r="567" spans="1:21" x14ac:dyDescent="0.25">
      <c r="A567" s="967">
        <v>96251</v>
      </c>
      <c r="B567" s="968" t="s">
        <v>3203</v>
      </c>
      <c r="C567" s="969">
        <v>1.011E-4</v>
      </c>
      <c r="D567" s="969">
        <v>9.3999999999999994E-5</v>
      </c>
      <c r="E567" s="1008">
        <v>40416</v>
      </c>
      <c r="F567" s="1011">
        <v>143606</v>
      </c>
      <c r="G567" s="970">
        <v>239844</v>
      </c>
      <c r="H567" s="970"/>
      <c r="I567" s="970">
        <v>37002</v>
      </c>
      <c r="J567" s="971">
        <v>32924</v>
      </c>
      <c r="K567" s="971">
        <v>63645</v>
      </c>
      <c r="L567" s="971">
        <v>4649</v>
      </c>
      <c r="M567" s="970"/>
      <c r="N567" s="971">
        <v>1242</v>
      </c>
      <c r="O567" s="971">
        <v>0</v>
      </c>
      <c r="P567" s="971">
        <v>0</v>
      </c>
      <c r="Q567" s="971">
        <v>10419</v>
      </c>
      <c r="R567" s="970"/>
      <c r="S567" s="971">
        <v>66622</v>
      </c>
      <c r="T567" s="971">
        <v>-7630</v>
      </c>
      <c r="U567" s="971">
        <v>58992</v>
      </c>
    </row>
    <row r="568" spans="1:21" x14ac:dyDescent="0.25">
      <c r="A568" s="967">
        <v>96301</v>
      </c>
      <c r="B568" s="968" t="s">
        <v>3204</v>
      </c>
      <c r="C568" s="969">
        <v>4.4197999999999998E-3</v>
      </c>
      <c r="D568" s="969">
        <v>4.3712999999999998E-3</v>
      </c>
      <c r="E568" s="1008">
        <v>2084752</v>
      </c>
      <c r="F568" s="1011">
        <v>6678136</v>
      </c>
      <c r="G568" s="970">
        <v>10485277</v>
      </c>
      <c r="H568" s="970"/>
      <c r="I568" s="970">
        <v>1617629</v>
      </c>
      <c r="J568" s="971">
        <v>1439316</v>
      </c>
      <c r="K568" s="971">
        <v>2782388</v>
      </c>
      <c r="L568" s="971">
        <v>27387</v>
      </c>
      <c r="M568" s="970"/>
      <c r="N568" s="971">
        <v>54280</v>
      </c>
      <c r="O568" s="971">
        <v>0</v>
      </c>
      <c r="P568" s="971">
        <v>0</v>
      </c>
      <c r="Q568" s="971">
        <v>127331</v>
      </c>
      <c r="R568" s="970"/>
      <c r="S568" s="971">
        <v>2912529</v>
      </c>
      <c r="T568" s="971">
        <v>-34571</v>
      </c>
      <c r="U568" s="971">
        <v>2877958</v>
      </c>
    </row>
    <row r="569" spans="1:21" x14ac:dyDescent="0.25">
      <c r="A569" s="967">
        <v>96302</v>
      </c>
      <c r="B569" s="968" t="s">
        <v>3205</v>
      </c>
      <c r="C569" s="969">
        <v>2.3499999999999999E-5</v>
      </c>
      <c r="D569" s="969">
        <v>2.5199999999999999E-5</v>
      </c>
      <c r="E569" s="1008">
        <v>12088</v>
      </c>
      <c r="F569" s="1011">
        <v>38499</v>
      </c>
      <c r="G569" s="970">
        <v>55750</v>
      </c>
      <c r="H569" s="970"/>
      <c r="I569" s="970">
        <v>8601</v>
      </c>
      <c r="J569" s="971">
        <v>7653</v>
      </c>
      <c r="K569" s="971">
        <v>14794</v>
      </c>
      <c r="L569" s="971">
        <v>4772</v>
      </c>
      <c r="M569" s="970"/>
      <c r="N569" s="971">
        <v>289</v>
      </c>
      <c r="O569" s="971">
        <v>0</v>
      </c>
      <c r="P569" s="971">
        <v>0</v>
      </c>
      <c r="Q569" s="971">
        <v>746</v>
      </c>
      <c r="R569" s="970"/>
      <c r="S569" s="971">
        <v>15486</v>
      </c>
      <c r="T569" s="971">
        <v>2441</v>
      </c>
      <c r="U569" s="971">
        <v>17927</v>
      </c>
    </row>
    <row r="570" spans="1:21" x14ac:dyDescent="0.25">
      <c r="A570" s="967">
        <v>96304</v>
      </c>
      <c r="B570" s="968" t="s">
        <v>3206</v>
      </c>
      <c r="C570" s="969">
        <v>4.7500000000000003E-5</v>
      </c>
      <c r="D570" s="969">
        <v>4.5500000000000001E-5</v>
      </c>
      <c r="E570" s="1008">
        <v>28971</v>
      </c>
      <c r="F570" s="1011">
        <v>69511</v>
      </c>
      <c r="G570" s="970">
        <v>112686</v>
      </c>
      <c r="H570" s="970"/>
      <c r="I570" s="970">
        <v>17385</v>
      </c>
      <c r="J570" s="971">
        <v>15469</v>
      </c>
      <c r="K570" s="971">
        <v>29903</v>
      </c>
      <c r="L570" s="971">
        <v>9034</v>
      </c>
      <c r="M570" s="970"/>
      <c r="N570" s="971">
        <v>583</v>
      </c>
      <c r="O570" s="971">
        <v>0</v>
      </c>
      <c r="P570" s="971">
        <v>0</v>
      </c>
      <c r="Q570" s="971">
        <v>733</v>
      </c>
      <c r="R570" s="970"/>
      <c r="S570" s="971">
        <v>31301</v>
      </c>
      <c r="T570" s="971">
        <v>3589</v>
      </c>
      <c r="U570" s="971">
        <v>34890</v>
      </c>
    </row>
    <row r="571" spans="1:21" x14ac:dyDescent="0.25">
      <c r="A571" s="967">
        <v>96305</v>
      </c>
      <c r="B571" s="968" t="s">
        <v>3207</v>
      </c>
      <c r="C571" s="969">
        <v>4.1100000000000003E-5</v>
      </c>
      <c r="D571" s="969">
        <v>4.5500000000000001E-5</v>
      </c>
      <c r="E571" s="1008">
        <v>33689</v>
      </c>
      <c r="F571" s="1011">
        <v>69511</v>
      </c>
      <c r="G571" s="970">
        <v>97503</v>
      </c>
      <c r="H571" s="970"/>
      <c r="I571" s="970">
        <v>15042</v>
      </c>
      <c r="J571" s="971">
        <v>13384</v>
      </c>
      <c r="K571" s="971">
        <v>25874</v>
      </c>
      <c r="L571" s="971">
        <v>16290</v>
      </c>
      <c r="M571" s="970"/>
      <c r="N571" s="971">
        <v>505</v>
      </c>
      <c r="O571" s="971">
        <v>0</v>
      </c>
      <c r="P571" s="971">
        <v>0</v>
      </c>
      <c r="Q571" s="971">
        <v>0</v>
      </c>
      <c r="R571" s="970"/>
      <c r="S571" s="971">
        <v>27084</v>
      </c>
      <c r="T571" s="971">
        <v>6681</v>
      </c>
      <c r="U571" s="971">
        <v>33765</v>
      </c>
    </row>
    <row r="572" spans="1:21" x14ac:dyDescent="0.25">
      <c r="A572" s="967">
        <v>96310</v>
      </c>
      <c r="B572" s="968" t="s">
        <v>3208</v>
      </c>
      <c r="C572" s="969">
        <v>5.02E-5</v>
      </c>
      <c r="D572" s="969">
        <v>6.1099999999999994E-5</v>
      </c>
      <c r="E572" s="1008">
        <v>29357</v>
      </c>
      <c r="F572" s="1011">
        <v>93344</v>
      </c>
      <c r="G572" s="970">
        <v>119092</v>
      </c>
      <c r="H572" s="970"/>
      <c r="I572" s="970">
        <v>18373</v>
      </c>
      <c r="J572" s="971">
        <v>16347</v>
      </c>
      <c r="K572" s="971">
        <v>31602</v>
      </c>
      <c r="L572" s="971">
        <v>5953</v>
      </c>
      <c r="M572" s="970"/>
      <c r="N572" s="971">
        <v>617</v>
      </c>
      <c r="O572" s="971">
        <v>0</v>
      </c>
      <c r="P572" s="971">
        <v>0</v>
      </c>
      <c r="Q572" s="971">
        <v>5950</v>
      </c>
      <c r="R572" s="970"/>
      <c r="S572" s="971">
        <v>33080</v>
      </c>
      <c r="T572" s="971">
        <v>2495</v>
      </c>
      <c r="U572" s="971">
        <v>35575</v>
      </c>
    </row>
    <row r="573" spans="1:21" x14ac:dyDescent="0.25">
      <c r="A573" s="967">
        <v>96311</v>
      </c>
      <c r="B573" s="968" t="s">
        <v>3209</v>
      </c>
      <c r="C573" s="969">
        <v>1.3328000000000001E-3</v>
      </c>
      <c r="D573" s="969">
        <v>1.3113000000000001E-3</v>
      </c>
      <c r="E573" s="1008">
        <v>609722</v>
      </c>
      <c r="F573" s="1011">
        <v>2003303</v>
      </c>
      <c r="G573" s="970">
        <v>3161857</v>
      </c>
      <c r="H573" s="970"/>
      <c r="I573" s="970">
        <v>487799</v>
      </c>
      <c r="J573" s="971">
        <v>434029</v>
      </c>
      <c r="K573" s="971">
        <v>839035</v>
      </c>
      <c r="L573" s="971">
        <v>0</v>
      </c>
      <c r="M573" s="970"/>
      <c r="N573" s="971">
        <v>16368</v>
      </c>
      <c r="O573" s="971">
        <v>0</v>
      </c>
      <c r="P573" s="971">
        <v>0</v>
      </c>
      <c r="Q573" s="971">
        <v>112780</v>
      </c>
      <c r="R573" s="970"/>
      <c r="S573" s="971">
        <v>878279</v>
      </c>
      <c r="T573" s="971">
        <v>-38768</v>
      </c>
      <c r="U573" s="971">
        <v>839511</v>
      </c>
    </row>
    <row r="574" spans="1:21" x14ac:dyDescent="0.25">
      <c r="A574" s="967">
        <v>96312</v>
      </c>
      <c r="B574" s="968" t="s">
        <v>3210</v>
      </c>
      <c r="C574" s="969">
        <v>6.1E-6</v>
      </c>
      <c r="D574" s="969">
        <v>1.5999999999999999E-5</v>
      </c>
      <c r="E574" s="1008">
        <v>3479</v>
      </c>
      <c r="F574" s="1011">
        <v>24444</v>
      </c>
      <c r="G574" s="970">
        <v>14471</v>
      </c>
      <c r="H574" s="970"/>
      <c r="I574" s="970">
        <v>2233</v>
      </c>
      <c r="J574" s="971">
        <v>1987</v>
      </c>
      <c r="K574" s="971">
        <v>3840</v>
      </c>
      <c r="L574" s="971">
        <v>5741</v>
      </c>
      <c r="M574" s="970"/>
      <c r="N574" s="971">
        <v>75</v>
      </c>
      <c r="O574" s="971">
        <v>0</v>
      </c>
      <c r="P574" s="971">
        <v>0</v>
      </c>
      <c r="Q574" s="971">
        <v>7008</v>
      </c>
      <c r="R574" s="970"/>
      <c r="S574" s="971">
        <v>4020</v>
      </c>
      <c r="T574" s="971">
        <v>-1283</v>
      </c>
      <c r="U574" s="971">
        <v>2737</v>
      </c>
    </row>
    <row r="575" spans="1:21" x14ac:dyDescent="0.25">
      <c r="A575" s="967">
        <v>96318</v>
      </c>
      <c r="B575" s="968" t="s">
        <v>3211</v>
      </c>
      <c r="C575" s="969">
        <v>2.2098999999999999E-3</v>
      </c>
      <c r="D575" s="969">
        <v>2.1684999999999999E-3</v>
      </c>
      <c r="E575" s="1008">
        <v>1174354</v>
      </c>
      <c r="F575" s="1011">
        <v>3312867</v>
      </c>
      <c r="G575" s="970">
        <v>5242639</v>
      </c>
      <c r="H575" s="970"/>
      <c r="I575" s="970">
        <v>808815</v>
      </c>
      <c r="J575" s="971">
        <v>719659</v>
      </c>
      <c r="K575" s="971">
        <v>1391194</v>
      </c>
      <c r="L575" s="971">
        <v>5150573</v>
      </c>
      <c r="M575" s="970"/>
      <c r="N575" s="971">
        <v>27140</v>
      </c>
      <c r="O575" s="971">
        <v>0</v>
      </c>
      <c r="P575" s="971">
        <v>0</v>
      </c>
      <c r="Q575" s="971">
        <v>0</v>
      </c>
      <c r="R575" s="970"/>
      <c r="S575" s="971">
        <v>1456264</v>
      </c>
      <c r="T575" s="971">
        <v>2691083</v>
      </c>
      <c r="U575" s="971">
        <v>4147347</v>
      </c>
    </row>
    <row r="576" spans="1:21" x14ac:dyDescent="0.25">
      <c r="A576" s="967">
        <v>96321</v>
      </c>
      <c r="B576" s="968" t="s">
        <v>3212</v>
      </c>
      <c r="C576" s="969">
        <v>3.7299999999999999E-5</v>
      </c>
      <c r="D576" s="969">
        <v>3.6900000000000002E-5</v>
      </c>
      <c r="E576" s="1008">
        <v>19105</v>
      </c>
      <c r="F576" s="1011">
        <v>56373</v>
      </c>
      <c r="G576" s="970">
        <v>88488</v>
      </c>
      <c r="H576" s="970"/>
      <c r="I576" s="970">
        <v>13652</v>
      </c>
      <c r="J576" s="971">
        <v>12147</v>
      </c>
      <c r="K576" s="971">
        <v>23481</v>
      </c>
      <c r="L576" s="971">
        <v>2037</v>
      </c>
      <c r="M576" s="970"/>
      <c r="N576" s="971">
        <v>458</v>
      </c>
      <c r="O576" s="971">
        <v>0</v>
      </c>
      <c r="P576" s="971">
        <v>0</v>
      </c>
      <c r="Q576" s="971">
        <v>1391</v>
      </c>
      <c r="R576" s="970"/>
      <c r="S576" s="971">
        <v>24580</v>
      </c>
      <c r="T576" s="971">
        <v>-243</v>
      </c>
      <c r="U576" s="971">
        <v>24337</v>
      </c>
    </row>
    <row r="577" spans="1:21" x14ac:dyDescent="0.25">
      <c r="A577" s="967">
        <v>96331</v>
      </c>
      <c r="B577" s="968" t="s">
        <v>3213</v>
      </c>
      <c r="C577" s="969">
        <v>7.0220000000000005E-4</v>
      </c>
      <c r="D577" s="969">
        <v>7.0850000000000004E-4</v>
      </c>
      <c r="E577" s="1008">
        <v>302019</v>
      </c>
      <c r="F577" s="1011">
        <v>1082392</v>
      </c>
      <c r="G577" s="970">
        <v>1665859</v>
      </c>
      <c r="H577" s="970"/>
      <c r="I577" s="970">
        <v>257002</v>
      </c>
      <c r="J577" s="971">
        <v>228672</v>
      </c>
      <c r="K577" s="971">
        <v>442055</v>
      </c>
      <c r="L577" s="971">
        <v>1400</v>
      </c>
      <c r="M577" s="970"/>
      <c r="N577" s="971">
        <v>8624</v>
      </c>
      <c r="O577" s="971">
        <v>0</v>
      </c>
      <c r="P577" s="971">
        <v>0</v>
      </c>
      <c r="Q577" s="971">
        <v>67389</v>
      </c>
      <c r="R577" s="970"/>
      <c r="S577" s="971">
        <v>462731</v>
      </c>
      <c r="T577" s="971">
        <v>-31677</v>
      </c>
      <c r="U577" s="971">
        <v>431054</v>
      </c>
    </row>
    <row r="578" spans="1:21" x14ac:dyDescent="0.25">
      <c r="A578" s="967">
        <v>96341</v>
      </c>
      <c r="B578" s="968" t="s">
        <v>3214</v>
      </c>
      <c r="C578" s="969">
        <v>9.1399999999999999E-5</v>
      </c>
      <c r="D578" s="969">
        <v>8.3800000000000004E-5</v>
      </c>
      <c r="E578" s="1008">
        <v>41905</v>
      </c>
      <c r="F578" s="1011">
        <v>128023</v>
      </c>
      <c r="G578" s="970">
        <v>216832</v>
      </c>
      <c r="H578" s="970"/>
      <c r="I578" s="970">
        <v>33452</v>
      </c>
      <c r="J578" s="971">
        <v>29765</v>
      </c>
      <c r="K578" s="971">
        <v>57539</v>
      </c>
      <c r="L578" s="971">
        <v>7342</v>
      </c>
      <c r="M578" s="970"/>
      <c r="N578" s="971">
        <v>1122</v>
      </c>
      <c r="O578" s="971">
        <v>0</v>
      </c>
      <c r="P578" s="971">
        <v>0</v>
      </c>
      <c r="Q578" s="971">
        <v>5984</v>
      </c>
      <c r="R578" s="970"/>
      <c r="S578" s="971">
        <v>60230</v>
      </c>
      <c r="T578" s="971">
        <v>-2239</v>
      </c>
      <c r="U578" s="971">
        <v>57991</v>
      </c>
    </row>
    <row r="579" spans="1:21" x14ac:dyDescent="0.25">
      <c r="A579" s="967">
        <v>96351</v>
      </c>
      <c r="B579" s="968" t="s">
        <v>3215</v>
      </c>
      <c r="C579" s="969">
        <v>1.0456E-3</v>
      </c>
      <c r="D579" s="969">
        <v>1.0616E-3</v>
      </c>
      <c r="E579" s="1008">
        <v>506250</v>
      </c>
      <c r="F579" s="1011">
        <v>1621831</v>
      </c>
      <c r="G579" s="970">
        <v>2480521</v>
      </c>
      <c r="H579" s="970"/>
      <c r="I579" s="970">
        <v>382685</v>
      </c>
      <c r="J579" s="971">
        <v>340501</v>
      </c>
      <c r="K579" s="971">
        <v>658234</v>
      </c>
      <c r="L579" s="971">
        <v>1398</v>
      </c>
      <c r="M579" s="970"/>
      <c r="N579" s="971">
        <v>12841</v>
      </c>
      <c r="O579" s="971">
        <v>0</v>
      </c>
      <c r="P579" s="971">
        <v>0</v>
      </c>
      <c r="Q579" s="971">
        <v>35067</v>
      </c>
      <c r="R579" s="970"/>
      <c r="S579" s="971">
        <v>689022</v>
      </c>
      <c r="T579" s="971">
        <v>-9188</v>
      </c>
      <c r="U579" s="971">
        <v>679834</v>
      </c>
    </row>
    <row r="580" spans="1:21" x14ac:dyDescent="0.25">
      <c r="A580" s="967">
        <v>96361</v>
      </c>
      <c r="B580" s="968" t="s">
        <v>3216</v>
      </c>
      <c r="C580" s="969">
        <v>4.9400000000000001E-5</v>
      </c>
      <c r="D580" s="969">
        <v>5.5699999999999999E-5</v>
      </c>
      <c r="E580" s="1008">
        <v>26124</v>
      </c>
      <c r="F580" s="1011">
        <v>85094</v>
      </c>
      <c r="G580" s="970">
        <v>117194</v>
      </c>
      <c r="H580" s="970"/>
      <c r="I580" s="970">
        <v>18080</v>
      </c>
      <c r="J580" s="971">
        <v>16088</v>
      </c>
      <c r="K580" s="971">
        <v>31099</v>
      </c>
      <c r="L580" s="971">
        <v>1546</v>
      </c>
      <c r="M580" s="970"/>
      <c r="N580" s="971">
        <v>607</v>
      </c>
      <c r="O580" s="971">
        <v>0</v>
      </c>
      <c r="P580" s="971">
        <v>0</v>
      </c>
      <c r="Q580" s="971">
        <v>5439</v>
      </c>
      <c r="R580" s="970"/>
      <c r="S580" s="971">
        <v>32553</v>
      </c>
      <c r="T580" s="971">
        <v>190</v>
      </c>
      <c r="U580" s="971">
        <v>32743</v>
      </c>
    </row>
    <row r="581" spans="1:21" x14ac:dyDescent="0.25">
      <c r="A581" s="967">
        <v>96371</v>
      </c>
      <c r="B581" s="968" t="s">
        <v>3217</v>
      </c>
      <c r="C581" s="969">
        <v>1.4200000000000001E-4</v>
      </c>
      <c r="D581" s="969">
        <v>1.5249999999999999E-4</v>
      </c>
      <c r="E581" s="1008">
        <v>71862</v>
      </c>
      <c r="F581" s="1011">
        <v>232978</v>
      </c>
      <c r="G581" s="970">
        <v>336873</v>
      </c>
      <c r="H581" s="970"/>
      <c r="I581" s="970">
        <v>51971</v>
      </c>
      <c r="J581" s="971">
        <v>46242</v>
      </c>
      <c r="K581" s="971">
        <v>89393</v>
      </c>
      <c r="L581" s="971">
        <v>0</v>
      </c>
      <c r="M581" s="970"/>
      <c r="N581" s="971">
        <v>1744</v>
      </c>
      <c r="O581" s="971">
        <v>0</v>
      </c>
      <c r="P581" s="971">
        <v>0</v>
      </c>
      <c r="Q581" s="971">
        <v>16072</v>
      </c>
      <c r="R581" s="970"/>
      <c r="S581" s="971">
        <v>93574</v>
      </c>
      <c r="T581" s="971">
        <v>-4573</v>
      </c>
      <c r="U581" s="971">
        <v>89001</v>
      </c>
    </row>
    <row r="582" spans="1:21" x14ac:dyDescent="0.25">
      <c r="A582" s="967">
        <v>96381</v>
      </c>
      <c r="B582" s="968" t="s">
        <v>3218</v>
      </c>
      <c r="C582" s="969">
        <v>3.5200000000000002E-5</v>
      </c>
      <c r="D582" s="969">
        <v>3.2100000000000001E-5</v>
      </c>
      <c r="E582" s="1008">
        <v>16381</v>
      </c>
      <c r="F582" s="1011">
        <v>49040</v>
      </c>
      <c r="G582" s="970">
        <v>83506</v>
      </c>
      <c r="H582" s="970"/>
      <c r="I582" s="970">
        <v>12883</v>
      </c>
      <c r="J582" s="971">
        <v>11463</v>
      </c>
      <c r="K582" s="971">
        <v>22159</v>
      </c>
      <c r="L582" s="971">
        <v>1710</v>
      </c>
      <c r="M582" s="970"/>
      <c r="N582" s="971">
        <v>432</v>
      </c>
      <c r="O582" s="971">
        <v>0</v>
      </c>
      <c r="P582" s="971">
        <v>0</v>
      </c>
      <c r="Q582" s="971">
        <v>634</v>
      </c>
      <c r="R582" s="970"/>
      <c r="S582" s="971">
        <v>23196</v>
      </c>
      <c r="T582" s="971">
        <v>-775</v>
      </c>
      <c r="U582" s="971">
        <v>22421</v>
      </c>
    </row>
    <row r="583" spans="1:21" x14ac:dyDescent="0.25">
      <c r="A583" s="967">
        <v>96391</v>
      </c>
      <c r="B583" s="968" t="s">
        <v>3219</v>
      </c>
      <c r="C583" s="969">
        <v>2.1350000000000001E-4</v>
      </c>
      <c r="D583" s="969">
        <v>2.029E-4</v>
      </c>
      <c r="E583" s="1008">
        <v>82141</v>
      </c>
      <c r="F583" s="1011">
        <v>309975</v>
      </c>
      <c r="G583" s="970">
        <v>506495</v>
      </c>
      <c r="H583" s="970"/>
      <c r="I583" s="970">
        <v>78140</v>
      </c>
      <c r="J583" s="971">
        <v>69527</v>
      </c>
      <c r="K583" s="971">
        <v>134404</v>
      </c>
      <c r="L583" s="971">
        <v>0</v>
      </c>
      <c r="M583" s="970"/>
      <c r="N583" s="971">
        <v>2622</v>
      </c>
      <c r="O583" s="971">
        <v>0</v>
      </c>
      <c r="P583" s="971">
        <v>0</v>
      </c>
      <c r="Q583" s="971">
        <v>20575</v>
      </c>
      <c r="R583" s="970"/>
      <c r="S583" s="971">
        <v>140691</v>
      </c>
      <c r="T583" s="971">
        <v>-665</v>
      </c>
      <c r="U583" s="971">
        <v>140026</v>
      </c>
    </row>
    <row r="584" spans="1:21" x14ac:dyDescent="0.25">
      <c r="A584" s="967">
        <v>96401</v>
      </c>
      <c r="B584" s="968" t="s">
        <v>3220</v>
      </c>
      <c r="C584" s="969">
        <v>4.4764999999999996E-3</v>
      </c>
      <c r="D584" s="969">
        <v>4.5672000000000004E-3</v>
      </c>
      <c r="E584" s="1008">
        <v>2141133</v>
      </c>
      <c r="F584" s="1011">
        <v>6977416</v>
      </c>
      <c r="G584" s="970">
        <v>10619789</v>
      </c>
      <c r="H584" s="970"/>
      <c r="I584" s="970">
        <v>1638381</v>
      </c>
      <c r="J584" s="971">
        <v>1457781</v>
      </c>
      <c r="K584" s="971">
        <v>2818082</v>
      </c>
      <c r="L584" s="971">
        <v>0</v>
      </c>
      <c r="M584" s="970"/>
      <c r="N584" s="971">
        <v>54976</v>
      </c>
      <c r="O584" s="971">
        <v>0</v>
      </c>
      <c r="P584" s="971">
        <v>0</v>
      </c>
      <c r="Q584" s="971">
        <v>163892</v>
      </c>
      <c r="R584" s="970"/>
      <c r="S584" s="971">
        <v>2949893</v>
      </c>
      <c r="T584" s="971">
        <v>-37128</v>
      </c>
      <c r="U584" s="971">
        <v>2912765</v>
      </c>
    </row>
    <row r="585" spans="1:21" x14ac:dyDescent="0.25">
      <c r="A585" s="967">
        <v>96404</v>
      </c>
      <c r="B585" s="968" t="s">
        <v>3221</v>
      </c>
      <c r="C585" s="969">
        <v>9.98E-5</v>
      </c>
      <c r="D585" s="969">
        <v>1.026E-4</v>
      </c>
      <c r="E585" s="1008">
        <v>62861</v>
      </c>
      <c r="F585" s="1011">
        <v>156744</v>
      </c>
      <c r="G585" s="970">
        <v>236760</v>
      </c>
      <c r="H585" s="970"/>
      <c r="I585" s="970">
        <v>36526</v>
      </c>
      <c r="J585" s="971">
        <v>32500</v>
      </c>
      <c r="K585" s="971">
        <v>62827</v>
      </c>
      <c r="L585" s="971">
        <v>25677</v>
      </c>
      <c r="M585" s="970"/>
      <c r="N585" s="971">
        <v>1226</v>
      </c>
      <c r="O585" s="971">
        <v>0</v>
      </c>
      <c r="P585" s="971">
        <v>0</v>
      </c>
      <c r="Q585" s="971">
        <v>0</v>
      </c>
      <c r="R585" s="970"/>
      <c r="S585" s="971">
        <v>65766</v>
      </c>
      <c r="T585" s="971">
        <v>12826</v>
      </c>
      <c r="U585" s="971">
        <v>78592</v>
      </c>
    </row>
    <row r="586" spans="1:21" x14ac:dyDescent="0.25">
      <c r="A586" s="967">
        <v>96405</v>
      </c>
      <c r="B586" s="968" t="s">
        <v>3222</v>
      </c>
      <c r="C586" s="969">
        <v>1.3219999999999999E-4</v>
      </c>
      <c r="D586" s="969">
        <v>1.6139999999999999E-4</v>
      </c>
      <c r="E586" s="1008">
        <v>90011</v>
      </c>
      <c r="F586" s="1011">
        <v>246574</v>
      </c>
      <c r="G586" s="970">
        <v>313624</v>
      </c>
      <c r="H586" s="970"/>
      <c r="I586" s="970">
        <v>48385</v>
      </c>
      <c r="J586" s="971">
        <v>43051</v>
      </c>
      <c r="K586" s="971">
        <v>83224</v>
      </c>
      <c r="L586" s="971">
        <v>4606</v>
      </c>
      <c r="M586" s="970"/>
      <c r="N586" s="971">
        <v>1624</v>
      </c>
      <c r="O586" s="971">
        <v>0</v>
      </c>
      <c r="P586" s="971">
        <v>0</v>
      </c>
      <c r="Q586" s="971">
        <v>1578</v>
      </c>
      <c r="R586" s="970"/>
      <c r="S586" s="971">
        <v>87116</v>
      </c>
      <c r="T586" s="971">
        <v>4206</v>
      </c>
      <c r="U586" s="971">
        <v>91322</v>
      </c>
    </row>
    <row r="587" spans="1:21" x14ac:dyDescent="0.25">
      <c r="A587" s="967">
        <v>96411</v>
      </c>
      <c r="B587" s="968" t="s">
        <v>3223</v>
      </c>
      <c r="C587" s="969">
        <v>7.1899999999999999E-5</v>
      </c>
      <c r="D587" s="969">
        <v>7.2299999999999996E-5</v>
      </c>
      <c r="E587" s="1008">
        <v>30767</v>
      </c>
      <c r="F587" s="1011">
        <v>110454</v>
      </c>
      <c r="G587" s="970">
        <v>170571</v>
      </c>
      <c r="H587" s="970"/>
      <c r="I587" s="970">
        <v>26315</v>
      </c>
      <c r="J587" s="971">
        <v>23414</v>
      </c>
      <c r="K587" s="971">
        <v>45263</v>
      </c>
      <c r="L587" s="971">
        <v>7628</v>
      </c>
      <c r="M587" s="970"/>
      <c r="N587" s="971">
        <v>883</v>
      </c>
      <c r="O587" s="971">
        <v>0</v>
      </c>
      <c r="P587" s="971">
        <v>0</v>
      </c>
      <c r="Q587" s="971">
        <v>5714</v>
      </c>
      <c r="R587" s="970"/>
      <c r="S587" s="971">
        <v>47380</v>
      </c>
      <c r="T587" s="971">
        <v>1584</v>
      </c>
      <c r="U587" s="971">
        <v>48964</v>
      </c>
    </row>
    <row r="588" spans="1:21" x14ac:dyDescent="0.25">
      <c r="A588" s="967">
        <v>96421</v>
      </c>
      <c r="B588" s="968" t="s">
        <v>3224</v>
      </c>
      <c r="C588" s="969">
        <v>4.2880000000000001E-4</v>
      </c>
      <c r="D588" s="969">
        <v>4.2529999999999998E-4</v>
      </c>
      <c r="E588" s="1008">
        <v>185497</v>
      </c>
      <c r="F588" s="1011">
        <v>649741</v>
      </c>
      <c r="G588" s="970">
        <v>1017260</v>
      </c>
      <c r="H588" s="970"/>
      <c r="I588" s="970">
        <v>156939</v>
      </c>
      <c r="J588" s="971">
        <v>139640</v>
      </c>
      <c r="K588" s="971">
        <v>269942</v>
      </c>
      <c r="L588" s="971">
        <v>0</v>
      </c>
      <c r="M588" s="970"/>
      <c r="N588" s="971">
        <v>5266</v>
      </c>
      <c r="O588" s="971">
        <v>0</v>
      </c>
      <c r="P588" s="971">
        <v>0</v>
      </c>
      <c r="Q588" s="971">
        <v>60679</v>
      </c>
      <c r="R588" s="970"/>
      <c r="S588" s="971">
        <v>282568</v>
      </c>
      <c r="T588" s="971">
        <v>-39301</v>
      </c>
      <c r="U588" s="971">
        <v>243267</v>
      </c>
    </row>
    <row r="589" spans="1:21" x14ac:dyDescent="0.25">
      <c r="A589" s="967">
        <v>96431</v>
      </c>
      <c r="B589" s="968" t="s">
        <v>3225</v>
      </c>
      <c r="C589" s="969">
        <v>3.0599999999999998E-5</v>
      </c>
      <c r="D589" s="969">
        <v>4.2799999999999997E-5</v>
      </c>
      <c r="E589" s="1008">
        <v>21849</v>
      </c>
      <c r="F589" s="1011">
        <v>65387</v>
      </c>
      <c r="G589" s="970">
        <v>72594</v>
      </c>
      <c r="H589" s="970"/>
      <c r="I589" s="970">
        <v>11199</v>
      </c>
      <c r="J589" s="971">
        <v>9965</v>
      </c>
      <c r="K589" s="971">
        <v>19264</v>
      </c>
      <c r="L589" s="971">
        <v>4082</v>
      </c>
      <c r="M589" s="970"/>
      <c r="N589" s="971">
        <v>376</v>
      </c>
      <c r="O589" s="971">
        <v>0</v>
      </c>
      <c r="P589" s="971">
        <v>0</v>
      </c>
      <c r="Q589" s="971">
        <v>9581</v>
      </c>
      <c r="R589" s="970"/>
      <c r="S589" s="971">
        <v>20165</v>
      </c>
      <c r="T589" s="971">
        <v>-2392</v>
      </c>
      <c r="U589" s="971">
        <v>17773</v>
      </c>
    </row>
    <row r="590" spans="1:21" x14ac:dyDescent="0.25">
      <c r="A590" s="967">
        <v>96441</v>
      </c>
      <c r="B590" s="968" t="s">
        <v>3226</v>
      </c>
      <c r="C590" s="969">
        <v>2.8E-5</v>
      </c>
      <c r="D590" s="969">
        <v>2.97E-5</v>
      </c>
      <c r="E590" s="1008">
        <v>15352</v>
      </c>
      <c r="F590" s="1011">
        <v>45373</v>
      </c>
      <c r="G590" s="970">
        <v>66426</v>
      </c>
      <c r="H590" s="970"/>
      <c r="I590" s="970">
        <v>10248</v>
      </c>
      <c r="J590" s="971">
        <v>9118</v>
      </c>
      <c r="K590" s="971">
        <v>17627</v>
      </c>
      <c r="L590" s="971">
        <v>4392</v>
      </c>
      <c r="M590" s="970"/>
      <c r="N590" s="971">
        <v>344</v>
      </c>
      <c r="O590" s="971">
        <v>0</v>
      </c>
      <c r="P590" s="971">
        <v>0</v>
      </c>
      <c r="Q590" s="971">
        <v>57</v>
      </c>
      <c r="R590" s="970"/>
      <c r="S590" s="971">
        <v>18451</v>
      </c>
      <c r="T590" s="971">
        <v>2845</v>
      </c>
      <c r="U590" s="971">
        <v>21296</v>
      </c>
    </row>
    <row r="591" spans="1:21" x14ac:dyDescent="0.25">
      <c r="A591" s="967">
        <v>96451</v>
      </c>
      <c r="B591" s="968" t="s">
        <v>3227</v>
      </c>
      <c r="C591" s="969">
        <v>1.8700000000000001E-5</v>
      </c>
      <c r="D591" s="969">
        <v>2.0299999999999999E-5</v>
      </c>
      <c r="E591" s="1008">
        <v>8536</v>
      </c>
      <c r="F591" s="1011">
        <v>31013</v>
      </c>
      <c r="G591" s="970">
        <v>44363</v>
      </c>
      <c r="H591" s="970"/>
      <c r="I591" s="970">
        <v>6844</v>
      </c>
      <c r="J591" s="971">
        <v>6089</v>
      </c>
      <c r="K591" s="971">
        <v>11772</v>
      </c>
      <c r="L591" s="971">
        <v>4558</v>
      </c>
      <c r="M591" s="970"/>
      <c r="N591" s="971">
        <v>230</v>
      </c>
      <c r="O591" s="971">
        <v>0</v>
      </c>
      <c r="P591" s="971">
        <v>0</v>
      </c>
      <c r="Q591" s="971">
        <v>2079</v>
      </c>
      <c r="R591" s="970"/>
      <c r="S591" s="971">
        <v>12323</v>
      </c>
      <c r="T591" s="971">
        <v>588</v>
      </c>
      <c r="U591" s="971">
        <v>12911</v>
      </c>
    </row>
    <row r="592" spans="1:21" x14ac:dyDescent="0.25">
      <c r="A592" s="967">
        <v>96461</v>
      </c>
      <c r="B592" s="968" t="s">
        <v>3228</v>
      </c>
      <c r="C592" s="969">
        <v>1.538E-4</v>
      </c>
      <c r="D592" s="969">
        <v>1.361E-4</v>
      </c>
      <c r="E592" s="1008">
        <v>72031</v>
      </c>
      <c r="F592" s="1011">
        <v>207923</v>
      </c>
      <c r="G592" s="970">
        <v>364866</v>
      </c>
      <c r="H592" s="970"/>
      <c r="I592" s="970">
        <v>56290</v>
      </c>
      <c r="J592" s="971">
        <v>50085</v>
      </c>
      <c r="K592" s="971">
        <v>96821</v>
      </c>
      <c r="L592" s="971">
        <v>11947</v>
      </c>
      <c r="M592" s="970"/>
      <c r="N592" s="971">
        <v>1889</v>
      </c>
      <c r="O592" s="971">
        <v>0</v>
      </c>
      <c r="P592" s="971">
        <v>0</v>
      </c>
      <c r="Q592" s="971">
        <v>9861</v>
      </c>
      <c r="R592" s="970"/>
      <c r="S592" s="971">
        <v>101350</v>
      </c>
      <c r="T592" s="971">
        <v>-1446</v>
      </c>
      <c r="U592" s="971">
        <v>99904</v>
      </c>
    </row>
    <row r="593" spans="1:21" x14ac:dyDescent="0.25">
      <c r="A593" s="967">
        <v>96501</v>
      </c>
      <c r="B593" s="968" t="s">
        <v>3229</v>
      </c>
      <c r="C593" s="969">
        <v>1.453E-2</v>
      </c>
      <c r="D593" s="969">
        <v>1.44739E-2</v>
      </c>
      <c r="E593" s="1008">
        <v>6947459</v>
      </c>
      <c r="F593" s="1011">
        <v>22112110</v>
      </c>
      <c r="G593" s="970">
        <v>34470129</v>
      </c>
      <c r="H593" s="970"/>
      <c r="I593" s="970">
        <v>5317922</v>
      </c>
      <c r="J593" s="971">
        <v>4731723</v>
      </c>
      <c r="K593" s="971">
        <v>9147042</v>
      </c>
      <c r="L593" s="971">
        <v>113402</v>
      </c>
      <c r="M593" s="970"/>
      <c r="N593" s="971">
        <v>178443</v>
      </c>
      <c r="O593" s="971">
        <v>0</v>
      </c>
      <c r="P593" s="971">
        <v>0</v>
      </c>
      <c r="Q593" s="971">
        <v>280861</v>
      </c>
      <c r="R593" s="970"/>
      <c r="S593" s="971">
        <v>9574878</v>
      </c>
      <c r="T593" s="971">
        <v>126655</v>
      </c>
      <c r="U593" s="971">
        <v>9701533</v>
      </c>
    </row>
    <row r="594" spans="1:21" x14ac:dyDescent="0.25">
      <c r="A594" s="967">
        <v>96502</v>
      </c>
      <c r="B594" s="968" t="s">
        <v>3230</v>
      </c>
      <c r="C594" s="969">
        <v>4.059E-4</v>
      </c>
      <c r="D594" s="969">
        <v>4.2440000000000002E-4</v>
      </c>
      <c r="E594" s="1008">
        <v>215466</v>
      </c>
      <c r="F594" s="1011">
        <v>648366</v>
      </c>
      <c r="G594" s="970">
        <v>962934</v>
      </c>
      <c r="H594" s="970"/>
      <c r="I594" s="970">
        <v>148558</v>
      </c>
      <c r="J594" s="971">
        <v>132183</v>
      </c>
      <c r="K594" s="971">
        <v>255525</v>
      </c>
      <c r="L594" s="971">
        <v>16491</v>
      </c>
      <c r="M594" s="970"/>
      <c r="N594" s="971">
        <v>4985</v>
      </c>
      <c r="O594" s="971">
        <v>0</v>
      </c>
      <c r="P594" s="971">
        <v>0</v>
      </c>
      <c r="Q594" s="971">
        <v>0</v>
      </c>
      <c r="R594" s="970"/>
      <c r="S594" s="971">
        <v>267477</v>
      </c>
      <c r="T594" s="971">
        <v>23122</v>
      </c>
      <c r="U594" s="971">
        <v>290599</v>
      </c>
    </row>
    <row r="595" spans="1:21" x14ac:dyDescent="0.25">
      <c r="A595" s="967">
        <v>96503</v>
      </c>
      <c r="B595" s="968" t="s">
        <v>3692</v>
      </c>
      <c r="C595" s="969">
        <v>2.856E-4</v>
      </c>
      <c r="D595" s="969">
        <v>3.0039999999999998E-4</v>
      </c>
      <c r="E595" s="1008">
        <v>320388</v>
      </c>
      <c r="F595" s="1011">
        <v>458928</v>
      </c>
      <c r="G595" s="970">
        <v>677541</v>
      </c>
      <c r="H595" s="970"/>
      <c r="I595" s="970">
        <v>104528</v>
      </c>
      <c r="J595" s="971">
        <v>93006</v>
      </c>
      <c r="K595" s="971">
        <v>179793</v>
      </c>
      <c r="L595" s="971">
        <v>287738</v>
      </c>
      <c r="M595" s="970"/>
      <c r="N595" s="971">
        <v>3507</v>
      </c>
      <c r="O595" s="971">
        <v>0</v>
      </c>
      <c r="P595" s="971">
        <v>0</v>
      </c>
      <c r="Q595" s="971">
        <v>0</v>
      </c>
      <c r="R595" s="970"/>
      <c r="S595" s="971">
        <v>188203</v>
      </c>
      <c r="T595" s="971">
        <v>104796</v>
      </c>
      <c r="U595" s="971">
        <v>292999</v>
      </c>
    </row>
    <row r="596" spans="1:21" x14ac:dyDescent="0.25">
      <c r="A596" s="967">
        <v>96504</v>
      </c>
      <c r="B596" s="968" t="s">
        <v>3232</v>
      </c>
      <c r="C596" s="969">
        <v>4.0900000000000002E-4</v>
      </c>
      <c r="D596" s="969">
        <v>4.1760000000000001E-4</v>
      </c>
      <c r="E596" s="1008">
        <v>206959</v>
      </c>
      <c r="F596" s="1011">
        <v>637977</v>
      </c>
      <c r="G596" s="970">
        <v>970288</v>
      </c>
      <c r="H596" s="970"/>
      <c r="I596" s="970">
        <v>149692</v>
      </c>
      <c r="J596" s="971">
        <v>133192</v>
      </c>
      <c r="K596" s="971">
        <v>257477</v>
      </c>
      <c r="L596" s="971">
        <v>30948</v>
      </c>
      <c r="M596" s="970"/>
      <c r="N596" s="971">
        <v>5023</v>
      </c>
      <c r="O596" s="971">
        <v>0</v>
      </c>
      <c r="P596" s="971">
        <v>0</v>
      </c>
      <c r="Q596" s="971">
        <v>3438</v>
      </c>
      <c r="R596" s="970"/>
      <c r="S596" s="971">
        <v>269520</v>
      </c>
      <c r="T596" s="971">
        <v>11348</v>
      </c>
      <c r="U596" s="971">
        <v>280868</v>
      </c>
    </row>
    <row r="597" spans="1:21" x14ac:dyDescent="0.25">
      <c r="A597" s="967">
        <v>96507</v>
      </c>
      <c r="B597" s="968" t="s">
        <v>3233</v>
      </c>
      <c r="C597" s="969">
        <v>2.2176000000000001E-3</v>
      </c>
      <c r="D597" s="969">
        <v>2.2147E-3</v>
      </c>
      <c r="E597" s="1008">
        <v>1125155</v>
      </c>
      <c r="F597" s="1011">
        <v>3383448</v>
      </c>
      <c r="G597" s="970">
        <v>5260906</v>
      </c>
      <c r="H597" s="970"/>
      <c r="I597" s="970">
        <v>811633</v>
      </c>
      <c r="J597" s="971">
        <v>722166</v>
      </c>
      <c r="K597" s="971">
        <v>1396041</v>
      </c>
      <c r="L597" s="971">
        <v>85460</v>
      </c>
      <c r="M597" s="970"/>
      <c r="N597" s="971">
        <v>27234</v>
      </c>
      <c r="O597" s="971">
        <v>0</v>
      </c>
      <c r="P597" s="971">
        <v>0</v>
      </c>
      <c r="Q597" s="971">
        <v>17095</v>
      </c>
      <c r="R597" s="970"/>
      <c r="S597" s="971">
        <v>1461339</v>
      </c>
      <c r="T597" s="971">
        <v>67118</v>
      </c>
      <c r="U597" s="971">
        <v>1528457</v>
      </c>
    </row>
    <row r="598" spans="1:21" x14ac:dyDescent="0.25">
      <c r="A598" s="967">
        <v>96508</v>
      </c>
      <c r="B598" s="968" t="s">
        <v>3234</v>
      </c>
      <c r="C598" s="969">
        <v>7.4000000000000003E-6</v>
      </c>
      <c r="D598" s="969">
        <v>8.6000000000000007E-6</v>
      </c>
      <c r="E598" s="1008">
        <v>11724</v>
      </c>
      <c r="F598" s="1011">
        <v>13138</v>
      </c>
      <c r="G598" s="970">
        <v>17555</v>
      </c>
      <c r="H598" s="970"/>
      <c r="I598" s="970">
        <v>2708</v>
      </c>
      <c r="J598" s="971">
        <v>2410</v>
      </c>
      <c r="K598" s="971">
        <v>4659</v>
      </c>
      <c r="L598" s="971">
        <v>12344</v>
      </c>
      <c r="M598" s="970"/>
      <c r="N598" s="971">
        <v>91</v>
      </c>
      <c r="O598" s="971">
        <v>0</v>
      </c>
      <c r="P598" s="971">
        <v>0</v>
      </c>
      <c r="Q598" s="971">
        <v>0</v>
      </c>
      <c r="R598" s="970"/>
      <c r="S598" s="971">
        <v>4876</v>
      </c>
      <c r="T598" s="971">
        <v>5799</v>
      </c>
      <c r="U598" s="971">
        <v>10675</v>
      </c>
    </row>
    <row r="599" spans="1:21" x14ac:dyDescent="0.25">
      <c r="A599" s="967">
        <v>96511</v>
      </c>
      <c r="B599" s="968" t="s">
        <v>3235</v>
      </c>
      <c r="C599" s="969">
        <v>6.1580000000000001E-4</v>
      </c>
      <c r="D599" s="969">
        <v>6.2069999999999996E-4</v>
      </c>
      <c r="E599" s="1008">
        <v>294294</v>
      </c>
      <c r="F599" s="1011">
        <v>948258</v>
      </c>
      <c r="G599" s="970">
        <v>1460888</v>
      </c>
      <c r="H599" s="970"/>
      <c r="I599" s="970">
        <v>225380</v>
      </c>
      <c r="J599" s="971">
        <v>200536</v>
      </c>
      <c r="K599" s="971">
        <v>387663</v>
      </c>
      <c r="L599" s="971">
        <v>0</v>
      </c>
      <c r="M599" s="970"/>
      <c r="N599" s="971">
        <v>7563</v>
      </c>
      <c r="O599" s="971">
        <v>0</v>
      </c>
      <c r="P599" s="971">
        <v>0</v>
      </c>
      <c r="Q599" s="971">
        <v>55836</v>
      </c>
      <c r="R599" s="970"/>
      <c r="S599" s="971">
        <v>405796</v>
      </c>
      <c r="T599" s="971">
        <v>-51447</v>
      </c>
      <c r="U599" s="971">
        <v>354349</v>
      </c>
    </row>
    <row r="600" spans="1:21" x14ac:dyDescent="0.25">
      <c r="A600" s="967">
        <v>96512</v>
      </c>
      <c r="B600" s="968" t="s">
        <v>3236</v>
      </c>
      <c r="C600" s="969">
        <v>1.5899999999999999E-4</v>
      </c>
      <c r="D600" s="969">
        <v>1.5119999999999999E-4</v>
      </c>
      <c r="E600" s="1008">
        <v>79725</v>
      </c>
      <c r="F600" s="1011">
        <v>230992</v>
      </c>
      <c r="G600" s="970">
        <v>377202</v>
      </c>
      <c r="H600" s="970"/>
      <c r="I600" s="970">
        <v>58193</v>
      </c>
      <c r="J600" s="971">
        <v>51778</v>
      </c>
      <c r="K600" s="971">
        <v>100095</v>
      </c>
      <c r="L600" s="971">
        <v>10002</v>
      </c>
      <c r="M600" s="970"/>
      <c r="N600" s="971">
        <v>1953</v>
      </c>
      <c r="O600" s="971">
        <v>0</v>
      </c>
      <c r="P600" s="971">
        <v>0</v>
      </c>
      <c r="Q600" s="971">
        <v>7472</v>
      </c>
      <c r="R600" s="970"/>
      <c r="S600" s="971">
        <v>104777</v>
      </c>
      <c r="T600" s="971">
        <v>1973</v>
      </c>
      <c r="U600" s="971">
        <v>106750</v>
      </c>
    </row>
    <row r="601" spans="1:21" x14ac:dyDescent="0.25">
      <c r="A601" s="967">
        <v>96521</v>
      </c>
      <c r="B601" s="968" t="s">
        <v>3238</v>
      </c>
      <c r="C601" s="969">
        <v>9.6719999999999998E-4</v>
      </c>
      <c r="D601" s="969">
        <v>9.881E-4</v>
      </c>
      <c r="E601" s="1008">
        <v>427905</v>
      </c>
      <c r="F601" s="1011">
        <v>1509543</v>
      </c>
      <c r="G601" s="970">
        <v>2294529</v>
      </c>
      <c r="H601" s="970"/>
      <c r="I601" s="970">
        <v>353991</v>
      </c>
      <c r="J601" s="971">
        <v>314971</v>
      </c>
      <c r="K601" s="971">
        <v>608879</v>
      </c>
      <c r="L601" s="971">
        <v>13526</v>
      </c>
      <c r="M601" s="970"/>
      <c r="N601" s="971">
        <v>11878</v>
      </c>
      <c r="O601" s="971">
        <v>0</v>
      </c>
      <c r="P601" s="971">
        <v>0</v>
      </c>
      <c r="Q601" s="971">
        <v>66754</v>
      </c>
      <c r="R601" s="970"/>
      <c r="S601" s="971">
        <v>637359</v>
      </c>
      <c r="T601" s="971">
        <v>-6086</v>
      </c>
      <c r="U601" s="971">
        <v>631273</v>
      </c>
    </row>
    <row r="602" spans="1:21" x14ac:dyDescent="0.25">
      <c r="A602" s="967">
        <v>96531</v>
      </c>
      <c r="B602" s="968" t="s">
        <v>3239</v>
      </c>
      <c r="C602" s="969">
        <v>8.7183999999999994E-3</v>
      </c>
      <c r="D602" s="969">
        <v>8.5845000000000001E-3</v>
      </c>
      <c r="E602" s="1008">
        <v>4035511</v>
      </c>
      <c r="F602" s="1011">
        <v>13114738</v>
      </c>
      <c r="G602" s="970">
        <v>20683026</v>
      </c>
      <c r="H602" s="970"/>
      <c r="I602" s="970">
        <v>3190900</v>
      </c>
      <c r="J602" s="971">
        <v>2839165</v>
      </c>
      <c r="K602" s="971">
        <v>5488477</v>
      </c>
      <c r="L602" s="971">
        <v>21971</v>
      </c>
      <c r="M602" s="970"/>
      <c r="N602" s="971">
        <v>107071</v>
      </c>
      <c r="O602" s="971">
        <v>0</v>
      </c>
      <c r="P602" s="971">
        <v>0</v>
      </c>
      <c r="Q602" s="971">
        <v>363715</v>
      </c>
      <c r="R602" s="970"/>
      <c r="S602" s="971">
        <v>5745190</v>
      </c>
      <c r="T602" s="971">
        <v>-139676</v>
      </c>
      <c r="U602" s="971">
        <v>5605514</v>
      </c>
    </row>
    <row r="603" spans="1:21" x14ac:dyDescent="0.25">
      <c r="A603" s="967">
        <v>96541</v>
      </c>
      <c r="B603" s="968" t="s">
        <v>3240</v>
      </c>
      <c r="C603" s="969">
        <v>3.5780000000000002E-4</v>
      </c>
      <c r="D603" s="969">
        <v>3.5950000000000001E-4</v>
      </c>
      <c r="E603" s="1008">
        <v>170180</v>
      </c>
      <c r="F603" s="1011">
        <v>549216</v>
      </c>
      <c r="G603" s="970">
        <v>848824</v>
      </c>
      <c r="H603" s="970"/>
      <c r="I603" s="970">
        <v>130953</v>
      </c>
      <c r="J603" s="971">
        <v>116518</v>
      </c>
      <c r="K603" s="971">
        <v>225245</v>
      </c>
      <c r="L603" s="971">
        <v>11846</v>
      </c>
      <c r="M603" s="970"/>
      <c r="N603" s="971">
        <v>4394</v>
      </c>
      <c r="O603" s="971">
        <v>0</v>
      </c>
      <c r="P603" s="971">
        <v>0</v>
      </c>
      <c r="Q603" s="971">
        <v>5150</v>
      </c>
      <c r="R603" s="970"/>
      <c r="S603" s="971">
        <v>235781</v>
      </c>
      <c r="T603" s="971">
        <v>11668</v>
      </c>
      <c r="U603" s="971">
        <v>247449</v>
      </c>
    </row>
    <row r="604" spans="1:21" x14ac:dyDescent="0.25">
      <c r="A604" s="967">
        <v>96601</v>
      </c>
      <c r="B604" s="968" t="s">
        <v>3241</v>
      </c>
      <c r="C604" s="969">
        <v>1.7382999999999999E-3</v>
      </c>
      <c r="D604" s="969">
        <v>1.8169E-3</v>
      </c>
      <c r="E604" s="1008">
        <v>825607</v>
      </c>
      <c r="F604" s="1011">
        <v>2775720</v>
      </c>
      <c r="G604" s="970">
        <v>4123842</v>
      </c>
      <c r="H604" s="970"/>
      <c r="I604" s="970">
        <v>636211</v>
      </c>
      <c r="J604" s="971">
        <v>566081</v>
      </c>
      <c r="K604" s="971">
        <v>1094309</v>
      </c>
      <c r="L604" s="971">
        <v>18007</v>
      </c>
      <c r="M604" s="970"/>
      <c r="N604" s="971">
        <v>21348</v>
      </c>
      <c r="O604" s="971">
        <v>0</v>
      </c>
      <c r="P604" s="971">
        <v>0</v>
      </c>
      <c r="Q604" s="971">
        <v>78122</v>
      </c>
      <c r="R604" s="970"/>
      <c r="S604" s="971">
        <v>1145493</v>
      </c>
      <c r="T604" s="971">
        <v>10810</v>
      </c>
      <c r="U604" s="971">
        <v>1156303</v>
      </c>
    </row>
    <row r="605" spans="1:21" x14ac:dyDescent="0.25">
      <c r="A605" s="967">
        <v>96604</v>
      </c>
      <c r="B605" s="968" t="s">
        <v>3242</v>
      </c>
      <c r="C605" s="969">
        <v>5.5999999999999997E-6</v>
      </c>
      <c r="D605" s="969">
        <v>7.6000000000000001E-6</v>
      </c>
      <c r="E605" s="1008">
        <v>4896</v>
      </c>
      <c r="F605" s="1011">
        <v>11611</v>
      </c>
      <c r="G605" s="970">
        <v>13285</v>
      </c>
      <c r="H605" s="970"/>
      <c r="I605" s="970">
        <v>2050</v>
      </c>
      <c r="J605" s="971">
        <v>1823</v>
      </c>
      <c r="K605" s="971">
        <v>3525</v>
      </c>
      <c r="L605" s="971">
        <v>1487</v>
      </c>
      <c r="M605" s="970"/>
      <c r="N605" s="971">
        <v>69</v>
      </c>
      <c r="O605" s="971">
        <v>0</v>
      </c>
      <c r="P605" s="971">
        <v>0</v>
      </c>
      <c r="Q605" s="971">
        <v>31</v>
      </c>
      <c r="R605" s="970"/>
      <c r="S605" s="971">
        <v>3690</v>
      </c>
      <c r="T605" s="971">
        <v>870</v>
      </c>
      <c r="U605" s="971">
        <v>4560</v>
      </c>
    </row>
    <row r="606" spans="1:21" x14ac:dyDescent="0.25">
      <c r="A606" s="967">
        <v>96611</v>
      </c>
      <c r="B606" s="968" t="s">
        <v>3243</v>
      </c>
      <c r="C606" s="969">
        <v>2.41E-5</v>
      </c>
      <c r="D606" s="969">
        <v>2.83E-5</v>
      </c>
      <c r="E606" s="1008">
        <v>12911</v>
      </c>
      <c r="F606" s="1011">
        <v>43235</v>
      </c>
      <c r="G606" s="970">
        <v>57173</v>
      </c>
      <c r="H606" s="970"/>
      <c r="I606" s="970">
        <v>8821</v>
      </c>
      <c r="J606" s="971">
        <v>7848</v>
      </c>
      <c r="K606" s="971">
        <v>15172</v>
      </c>
      <c r="L606" s="971">
        <v>263</v>
      </c>
      <c r="M606" s="970"/>
      <c r="N606" s="971">
        <v>296</v>
      </c>
      <c r="O606" s="971">
        <v>0</v>
      </c>
      <c r="P606" s="971">
        <v>0</v>
      </c>
      <c r="Q606" s="971">
        <v>5198</v>
      </c>
      <c r="R606" s="970"/>
      <c r="S606" s="971">
        <v>15881</v>
      </c>
      <c r="T606" s="971">
        <v>-426</v>
      </c>
      <c r="U606" s="971">
        <v>15455</v>
      </c>
    </row>
    <row r="607" spans="1:21" x14ac:dyDescent="0.25">
      <c r="A607" s="967">
        <v>96612</v>
      </c>
      <c r="B607" s="968" t="s">
        <v>3244</v>
      </c>
      <c r="C607" s="969">
        <v>5.4500000000000003E-5</v>
      </c>
      <c r="D607" s="969">
        <v>6.3299999999999994E-5</v>
      </c>
      <c r="E607" s="1008">
        <v>31707</v>
      </c>
      <c r="F607" s="1011">
        <v>96705</v>
      </c>
      <c r="G607" s="970">
        <v>129293</v>
      </c>
      <c r="H607" s="970"/>
      <c r="I607" s="970">
        <v>19947</v>
      </c>
      <c r="J607" s="971">
        <v>17748</v>
      </c>
      <c r="K607" s="971">
        <v>34309</v>
      </c>
      <c r="L607" s="971">
        <v>4765</v>
      </c>
      <c r="M607" s="970"/>
      <c r="N607" s="971">
        <v>669</v>
      </c>
      <c r="O607" s="971">
        <v>0</v>
      </c>
      <c r="P607" s="971">
        <v>0</v>
      </c>
      <c r="Q607" s="971">
        <v>2264</v>
      </c>
      <c r="R607" s="970"/>
      <c r="S607" s="971">
        <v>35914</v>
      </c>
      <c r="T607" s="971">
        <v>1711</v>
      </c>
      <c r="U607" s="971">
        <v>37625</v>
      </c>
    </row>
    <row r="608" spans="1:21" x14ac:dyDescent="0.25">
      <c r="A608" s="967">
        <v>96621</v>
      </c>
      <c r="B608" s="968" t="s">
        <v>3245</v>
      </c>
      <c r="C608" s="969">
        <v>1.9199999999999999E-5</v>
      </c>
      <c r="D608" s="969">
        <v>2.5999999999999998E-5</v>
      </c>
      <c r="E608" s="1008">
        <v>12605</v>
      </c>
      <c r="F608" s="1011">
        <v>39721</v>
      </c>
      <c r="G608" s="970">
        <v>45549</v>
      </c>
      <c r="H608" s="970"/>
      <c r="I608" s="970">
        <v>7027</v>
      </c>
      <c r="J608" s="971">
        <v>6253</v>
      </c>
      <c r="K608" s="971">
        <v>12087</v>
      </c>
      <c r="L608" s="971">
        <v>856</v>
      </c>
      <c r="M608" s="970"/>
      <c r="N608" s="971">
        <v>236</v>
      </c>
      <c r="O608" s="971">
        <v>0</v>
      </c>
      <c r="P608" s="971">
        <v>0</v>
      </c>
      <c r="Q608" s="971">
        <v>4283</v>
      </c>
      <c r="R608" s="970"/>
      <c r="S608" s="971">
        <v>12652</v>
      </c>
      <c r="T608" s="971">
        <v>-2837</v>
      </c>
      <c r="U608" s="971">
        <v>9815</v>
      </c>
    </row>
    <row r="609" spans="1:21" x14ac:dyDescent="0.25">
      <c r="A609" s="967">
        <v>96631</v>
      </c>
      <c r="B609" s="968" t="s">
        <v>3246</v>
      </c>
      <c r="C609" s="969">
        <v>2.3600000000000001E-5</v>
      </c>
      <c r="D609" s="969">
        <v>2.51E-5</v>
      </c>
      <c r="E609" s="1008">
        <v>12533</v>
      </c>
      <c r="F609" s="1011">
        <v>38346</v>
      </c>
      <c r="G609" s="970">
        <v>55987</v>
      </c>
      <c r="H609" s="970"/>
      <c r="I609" s="970">
        <v>8638</v>
      </c>
      <c r="J609" s="971">
        <v>7685</v>
      </c>
      <c r="K609" s="971">
        <v>14857</v>
      </c>
      <c r="L609" s="971">
        <v>1094</v>
      </c>
      <c r="M609" s="970"/>
      <c r="N609" s="971">
        <v>290</v>
      </c>
      <c r="O609" s="971">
        <v>0</v>
      </c>
      <c r="P609" s="971">
        <v>0</v>
      </c>
      <c r="Q609" s="971">
        <v>531</v>
      </c>
      <c r="R609" s="970"/>
      <c r="S609" s="971">
        <v>15552</v>
      </c>
      <c r="T609" s="971">
        <v>2111</v>
      </c>
      <c r="U609" s="971">
        <v>17663</v>
      </c>
    </row>
    <row r="610" spans="1:21" x14ac:dyDescent="0.25">
      <c r="A610" s="967">
        <v>96641</v>
      </c>
      <c r="B610" s="968" t="s">
        <v>3247</v>
      </c>
      <c r="C610" s="969">
        <v>3.2100000000000001E-5</v>
      </c>
      <c r="D610" s="969">
        <v>3.2199999999999997E-5</v>
      </c>
      <c r="E610" s="1008">
        <v>22010</v>
      </c>
      <c r="F610" s="1011">
        <v>49193</v>
      </c>
      <c r="G610" s="970">
        <v>76152</v>
      </c>
      <c r="H610" s="970"/>
      <c r="I610" s="970">
        <v>11748</v>
      </c>
      <c r="J610" s="971">
        <v>10453</v>
      </c>
      <c r="K610" s="971">
        <v>20208</v>
      </c>
      <c r="L610" s="971">
        <v>14432</v>
      </c>
      <c r="M610" s="970"/>
      <c r="N610" s="971">
        <v>394</v>
      </c>
      <c r="O610" s="971">
        <v>0</v>
      </c>
      <c r="P610" s="971">
        <v>0</v>
      </c>
      <c r="Q610" s="971">
        <v>0</v>
      </c>
      <c r="R610" s="970"/>
      <c r="S610" s="971">
        <v>21153</v>
      </c>
      <c r="T610" s="971">
        <v>7161</v>
      </c>
      <c r="U610" s="971">
        <v>28314</v>
      </c>
    </row>
    <row r="611" spans="1:21" x14ac:dyDescent="0.25">
      <c r="A611" s="967">
        <v>96651</v>
      </c>
      <c r="B611" s="968" t="s">
        <v>3248</v>
      </c>
      <c r="C611" s="969">
        <v>1.9400000000000001E-5</v>
      </c>
      <c r="D611" s="969">
        <v>1.7399999999999999E-5</v>
      </c>
      <c r="E611" s="1008">
        <v>9566</v>
      </c>
      <c r="F611" s="1011">
        <v>26582</v>
      </c>
      <c r="G611" s="970">
        <v>46023</v>
      </c>
      <c r="H611" s="970"/>
      <c r="I611" s="970">
        <v>7100</v>
      </c>
      <c r="J611" s="971">
        <v>6317</v>
      </c>
      <c r="K611" s="971">
        <v>12213</v>
      </c>
      <c r="L611" s="971">
        <v>2918</v>
      </c>
      <c r="M611" s="970"/>
      <c r="N611" s="971">
        <v>238</v>
      </c>
      <c r="O611" s="971">
        <v>0</v>
      </c>
      <c r="P611" s="971">
        <v>0</v>
      </c>
      <c r="Q611" s="971">
        <v>392</v>
      </c>
      <c r="R611" s="970"/>
      <c r="S611" s="971">
        <v>12784</v>
      </c>
      <c r="T611" s="971">
        <v>12</v>
      </c>
      <c r="U611" s="971">
        <v>12796</v>
      </c>
    </row>
    <row r="612" spans="1:21" x14ac:dyDescent="0.25">
      <c r="A612" s="967">
        <v>96661</v>
      </c>
      <c r="B612" s="968" t="s">
        <v>3249</v>
      </c>
      <c r="C612" s="969">
        <v>1.9000000000000001E-5</v>
      </c>
      <c r="D612" s="969">
        <v>1.9700000000000001E-5</v>
      </c>
      <c r="E612" s="1008">
        <v>10879</v>
      </c>
      <c r="F612" s="1011">
        <v>30096</v>
      </c>
      <c r="G612" s="970">
        <v>45074</v>
      </c>
      <c r="H612" s="970"/>
      <c r="I612" s="970">
        <v>6954</v>
      </c>
      <c r="J612" s="971">
        <v>6187</v>
      </c>
      <c r="K612" s="971">
        <v>11961</v>
      </c>
      <c r="L612" s="971">
        <v>3696</v>
      </c>
      <c r="M612" s="970"/>
      <c r="N612" s="971">
        <v>233</v>
      </c>
      <c r="O612" s="971">
        <v>0</v>
      </c>
      <c r="P612" s="971">
        <v>0</v>
      </c>
      <c r="Q612" s="971">
        <v>0</v>
      </c>
      <c r="R612" s="970"/>
      <c r="S612" s="971">
        <v>12520</v>
      </c>
      <c r="T612" s="971">
        <v>2708</v>
      </c>
      <c r="U612" s="971">
        <v>15228</v>
      </c>
    </row>
    <row r="613" spans="1:21" x14ac:dyDescent="0.25">
      <c r="A613" s="967">
        <v>96671</v>
      </c>
      <c r="B613" s="968" t="s">
        <v>3250</v>
      </c>
      <c r="C613" s="969">
        <v>1.3900000000000001E-5</v>
      </c>
      <c r="D613" s="969">
        <v>1.49E-5</v>
      </c>
      <c r="E613" s="1008">
        <v>8887</v>
      </c>
      <c r="F613" s="1011">
        <v>22763</v>
      </c>
      <c r="G613" s="970">
        <v>32976</v>
      </c>
      <c r="H613" s="970"/>
      <c r="I613" s="970">
        <v>5087</v>
      </c>
      <c r="J613" s="971">
        <v>4527</v>
      </c>
      <c r="K613" s="971">
        <v>8750</v>
      </c>
      <c r="L613" s="971">
        <v>5736</v>
      </c>
      <c r="M613" s="970"/>
      <c r="N613" s="971">
        <v>171</v>
      </c>
      <c r="O613" s="971">
        <v>0</v>
      </c>
      <c r="P613" s="971">
        <v>0</v>
      </c>
      <c r="Q613" s="971">
        <v>0</v>
      </c>
      <c r="R613" s="970"/>
      <c r="S613" s="971">
        <v>9160</v>
      </c>
      <c r="T613" s="971">
        <v>3860</v>
      </c>
      <c r="U613" s="971">
        <v>13020</v>
      </c>
    </row>
    <row r="614" spans="1:21" x14ac:dyDescent="0.25">
      <c r="A614" s="967">
        <v>96681</v>
      </c>
      <c r="B614" s="968" t="s">
        <v>3251</v>
      </c>
      <c r="C614" s="969">
        <v>2.0599999999999999E-5</v>
      </c>
      <c r="D614" s="969">
        <v>1.7499999999999998E-5</v>
      </c>
      <c r="E614" s="1008">
        <v>15492</v>
      </c>
      <c r="F614" s="1011">
        <v>26735</v>
      </c>
      <c r="G614" s="970">
        <v>48870</v>
      </c>
      <c r="H614" s="970"/>
      <c r="I614" s="970">
        <v>7540</v>
      </c>
      <c r="J614" s="971">
        <v>6709</v>
      </c>
      <c r="K614" s="971">
        <v>12968</v>
      </c>
      <c r="L614" s="971">
        <v>13276</v>
      </c>
      <c r="M614" s="970"/>
      <c r="N614" s="971">
        <v>253</v>
      </c>
      <c r="O614" s="971">
        <v>0</v>
      </c>
      <c r="P614" s="971">
        <v>0</v>
      </c>
      <c r="Q614" s="971">
        <v>6212</v>
      </c>
      <c r="R614" s="970"/>
      <c r="S614" s="971">
        <v>13575</v>
      </c>
      <c r="T614" s="971">
        <v>4774</v>
      </c>
      <c r="U614" s="971">
        <v>18349</v>
      </c>
    </row>
    <row r="615" spans="1:21" x14ac:dyDescent="0.25">
      <c r="A615" s="967">
        <v>96701</v>
      </c>
      <c r="B615" s="968" t="s">
        <v>3252</v>
      </c>
      <c r="C615" s="969">
        <v>8.5999000000000006E-3</v>
      </c>
      <c r="D615" s="969">
        <v>8.4206000000000003E-3</v>
      </c>
      <c r="E615" s="1008">
        <v>3929619</v>
      </c>
      <c r="F615" s="1011">
        <v>12864344</v>
      </c>
      <c r="G615" s="970">
        <v>20401904</v>
      </c>
      <c r="H615" s="970"/>
      <c r="I615" s="970">
        <v>3147529</v>
      </c>
      <c r="J615" s="971">
        <v>2800575</v>
      </c>
      <c r="K615" s="971">
        <v>5413878</v>
      </c>
      <c r="L615" s="971">
        <v>278573</v>
      </c>
      <c r="M615" s="970"/>
      <c r="N615" s="971">
        <v>105615</v>
      </c>
      <c r="O615" s="971">
        <v>0</v>
      </c>
      <c r="P615" s="971">
        <v>0</v>
      </c>
      <c r="Q615" s="971">
        <v>118719</v>
      </c>
      <c r="R615" s="970"/>
      <c r="S615" s="971">
        <v>5667102</v>
      </c>
      <c r="T615" s="971">
        <v>115986</v>
      </c>
      <c r="U615" s="971">
        <v>5783088</v>
      </c>
    </row>
    <row r="616" spans="1:21" x14ac:dyDescent="0.25">
      <c r="A616" s="967">
        <v>96704</v>
      </c>
      <c r="B616" s="968" t="s">
        <v>3253</v>
      </c>
      <c r="C616" s="969">
        <v>1.7550000000000001E-4</v>
      </c>
      <c r="D616" s="969">
        <v>1.7259999999999999E-4</v>
      </c>
      <c r="E616" s="1008">
        <v>106961</v>
      </c>
      <c r="F616" s="1011">
        <v>263685</v>
      </c>
      <c r="G616" s="970">
        <v>416346</v>
      </c>
      <c r="H616" s="970"/>
      <c r="I616" s="970">
        <v>64232</v>
      </c>
      <c r="J616" s="971">
        <v>57152</v>
      </c>
      <c r="K616" s="971">
        <v>110482</v>
      </c>
      <c r="L616" s="971">
        <v>38151</v>
      </c>
      <c r="M616" s="970"/>
      <c r="N616" s="971">
        <v>2155</v>
      </c>
      <c r="O616" s="971">
        <v>0</v>
      </c>
      <c r="P616" s="971">
        <v>0</v>
      </c>
      <c r="Q616" s="971">
        <v>0</v>
      </c>
      <c r="R616" s="970"/>
      <c r="S616" s="971">
        <v>115650</v>
      </c>
      <c r="T616" s="971">
        <v>14330</v>
      </c>
      <c r="U616" s="971">
        <v>129980</v>
      </c>
    </row>
    <row r="617" spans="1:21" x14ac:dyDescent="0.25">
      <c r="A617" s="967">
        <v>96708</v>
      </c>
      <c r="B617" s="968" t="s">
        <v>3254</v>
      </c>
      <c r="C617" s="969">
        <v>8.8579999999999996E-4</v>
      </c>
      <c r="D617" s="969">
        <v>9.031E-4</v>
      </c>
      <c r="E617" s="1008">
        <v>480568</v>
      </c>
      <c r="F617" s="1011">
        <v>1379687</v>
      </c>
      <c r="G617" s="970">
        <v>2101421</v>
      </c>
      <c r="H617" s="970"/>
      <c r="I617" s="970">
        <v>324199</v>
      </c>
      <c r="J617" s="971">
        <v>288462</v>
      </c>
      <c r="K617" s="971">
        <v>557636</v>
      </c>
      <c r="L617" s="971">
        <v>83209</v>
      </c>
      <c r="M617" s="970"/>
      <c r="N617" s="971">
        <v>10879</v>
      </c>
      <c r="O617" s="971">
        <v>0</v>
      </c>
      <c r="P617" s="971">
        <v>0</v>
      </c>
      <c r="Q617" s="971">
        <v>12940</v>
      </c>
      <c r="R617" s="970"/>
      <c r="S617" s="971">
        <v>583718</v>
      </c>
      <c r="T617" s="971">
        <v>35387</v>
      </c>
      <c r="U617" s="971">
        <v>619105</v>
      </c>
    </row>
    <row r="618" spans="1:21" x14ac:dyDescent="0.25">
      <c r="A618" s="967">
        <v>96711</v>
      </c>
      <c r="B618" s="968" t="s">
        <v>3255</v>
      </c>
      <c r="C618" s="969">
        <v>3.9007999999999998E-3</v>
      </c>
      <c r="D618" s="969">
        <v>4.0464000000000003E-3</v>
      </c>
      <c r="E618" s="1008">
        <v>1894102</v>
      </c>
      <c r="F618" s="1011">
        <v>6181778</v>
      </c>
      <c r="G618" s="970">
        <v>9254032</v>
      </c>
      <c r="H618" s="970"/>
      <c r="I618" s="970">
        <v>1427677</v>
      </c>
      <c r="J618" s="971">
        <v>1270303</v>
      </c>
      <c r="K618" s="971">
        <v>2455663</v>
      </c>
      <c r="L618" s="971">
        <v>0</v>
      </c>
      <c r="M618" s="970"/>
      <c r="N618" s="971">
        <v>47906</v>
      </c>
      <c r="O618" s="971">
        <v>0</v>
      </c>
      <c r="P618" s="971">
        <v>0</v>
      </c>
      <c r="Q618" s="971">
        <v>409014</v>
      </c>
      <c r="R618" s="970"/>
      <c r="S618" s="971">
        <v>2570522</v>
      </c>
      <c r="T618" s="971">
        <v>-194188</v>
      </c>
      <c r="U618" s="971">
        <v>2376334</v>
      </c>
    </row>
    <row r="619" spans="1:21" x14ac:dyDescent="0.25">
      <c r="A619" s="967">
        <v>96721</v>
      </c>
      <c r="B619" s="968" t="s">
        <v>3256</v>
      </c>
      <c r="C619" s="969">
        <v>2.1790000000000001E-4</v>
      </c>
      <c r="D619" s="969">
        <v>2.1379999999999999E-4</v>
      </c>
      <c r="E619" s="1008">
        <v>104621</v>
      </c>
      <c r="F619" s="1011">
        <v>326627</v>
      </c>
      <c r="G619" s="970">
        <v>516933</v>
      </c>
      <c r="H619" s="970"/>
      <c r="I619" s="970">
        <v>79751</v>
      </c>
      <c r="J619" s="971">
        <v>70959</v>
      </c>
      <c r="K619" s="971">
        <v>137174</v>
      </c>
      <c r="L619" s="971">
        <v>8328</v>
      </c>
      <c r="M619" s="970"/>
      <c r="N619" s="971">
        <v>2676</v>
      </c>
      <c r="O619" s="971">
        <v>0</v>
      </c>
      <c r="P619" s="971">
        <v>0</v>
      </c>
      <c r="Q619" s="971">
        <v>16609</v>
      </c>
      <c r="R619" s="970"/>
      <c r="S619" s="971">
        <v>143590</v>
      </c>
      <c r="T619" s="971">
        <v>-991</v>
      </c>
      <c r="U619" s="971">
        <v>142599</v>
      </c>
    </row>
    <row r="620" spans="1:21" x14ac:dyDescent="0.25">
      <c r="A620" s="967">
        <v>96731</v>
      </c>
      <c r="B620" s="968" t="s">
        <v>3257</v>
      </c>
      <c r="C620" s="969">
        <v>1.7019999999999999E-4</v>
      </c>
      <c r="D620" s="969">
        <v>1.697E-4</v>
      </c>
      <c r="E620" s="1008">
        <v>80632</v>
      </c>
      <c r="F620" s="1011">
        <v>259255</v>
      </c>
      <c r="G620" s="970">
        <v>403773</v>
      </c>
      <c r="H620" s="970"/>
      <c r="I620" s="970">
        <v>62293</v>
      </c>
      <c r="J620" s="971">
        <v>55426</v>
      </c>
      <c r="K620" s="971">
        <v>107146</v>
      </c>
      <c r="L620" s="971">
        <v>13647</v>
      </c>
      <c r="M620" s="970"/>
      <c r="N620" s="971">
        <v>2090</v>
      </c>
      <c r="O620" s="971">
        <v>0</v>
      </c>
      <c r="P620" s="971">
        <v>0</v>
      </c>
      <c r="Q620" s="971">
        <v>1770</v>
      </c>
      <c r="R620" s="970"/>
      <c r="S620" s="971">
        <v>112157</v>
      </c>
      <c r="T620" s="971">
        <v>6857</v>
      </c>
      <c r="U620" s="971">
        <v>119014</v>
      </c>
    </row>
    <row r="621" spans="1:21" x14ac:dyDescent="0.25">
      <c r="A621" s="967">
        <v>96733</v>
      </c>
      <c r="B621" s="968" t="s">
        <v>3258</v>
      </c>
      <c r="C621" s="969">
        <v>1.1800000000000001E-5</v>
      </c>
      <c r="D621" s="969">
        <v>7.3000000000000004E-6</v>
      </c>
      <c r="E621" s="1008">
        <v>4499</v>
      </c>
      <c r="F621" s="1011">
        <v>11152</v>
      </c>
      <c r="G621" s="970">
        <v>27994</v>
      </c>
      <c r="H621" s="970"/>
      <c r="I621" s="970">
        <v>4319</v>
      </c>
      <c r="J621" s="971">
        <v>3843</v>
      </c>
      <c r="K621" s="971">
        <v>7428</v>
      </c>
      <c r="L621" s="971">
        <v>4117</v>
      </c>
      <c r="M621" s="970"/>
      <c r="N621" s="971">
        <v>145</v>
      </c>
      <c r="O621" s="971">
        <v>0</v>
      </c>
      <c r="P621" s="971">
        <v>0</v>
      </c>
      <c r="Q621" s="971">
        <v>705</v>
      </c>
      <c r="R621" s="970"/>
      <c r="S621" s="971">
        <v>7776</v>
      </c>
      <c r="T621" s="971">
        <v>2113</v>
      </c>
      <c r="U621" s="971">
        <v>9889</v>
      </c>
    </row>
    <row r="622" spans="1:21" x14ac:dyDescent="0.25">
      <c r="A622" s="967">
        <v>96741</v>
      </c>
      <c r="B622" s="968" t="s">
        <v>3259</v>
      </c>
      <c r="C622" s="969">
        <v>9.8900000000000005E-5</v>
      </c>
      <c r="D622" s="969">
        <v>9.0799999999999998E-5</v>
      </c>
      <c r="E622" s="1008">
        <v>44668</v>
      </c>
      <c r="F622" s="1011">
        <v>138717</v>
      </c>
      <c r="G622" s="970">
        <v>234625</v>
      </c>
      <c r="H622" s="970"/>
      <c r="I622" s="970">
        <v>36197</v>
      </c>
      <c r="J622" s="971">
        <v>32207</v>
      </c>
      <c r="K622" s="971">
        <v>62260</v>
      </c>
      <c r="L622" s="971">
        <v>4092</v>
      </c>
      <c r="M622" s="970"/>
      <c r="N622" s="971">
        <v>1215</v>
      </c>
      <c r="O622" s="971">
        <v>0</v>
      </c>
      <c r="P622" s="971">
        <v>0</v>
      </c>
      <c r="Q622" s="971">
        <v>1693</v>
      </c>
      <c r="R622" s="970"/>
      <c r="S622" s="971">
        <v>65172</v>
      </c>
      <c r="T622" s="971">
        <v>2903</v>
      </c>
      <c r="U622" s="971">
        <v>68075</v>
      </c>
    </row>
    <row r="623" spans="1:21" x14ac:dyDescent="0.25">
      <c r="A623" s="967">
        <v>96751</v>
      </c>
      <c r="B623" s="968" t="s">
        <v>3260</v>
      </c>
      <c r="C623" s="969">
        <v>2.7920000000000001E-4</v>
      </c>
      <c r="D623" s="969">
        <v>2.5809999999999999E-4</v>
      </c>
      <c r="E623" s="1008">
        <v>119909</v>
      </c>
      <c r="F623" s="1011">
        <v>394305</v>
      </c>
      <c r="G623" s="970">
        <v>662358</v>
      </c>
      <c r="H623" s="970"/>
      <c r="I623" s="970">
        <v>102186</v>
      </c>
      <c r="J623" s="971">
        <v>90922</v>
      </c>
      <c r="K623" s="971">
        <v>175764</v>
      </c>
      <c r="L623" s="971">
        <v>1710</v>
      </c>
      <c r="M623" s="970"/>
      <c r="N623" s="971">
        <v>3429</v>
      </c>
      <c r="O623" s="971">
        <v>0</v>
      </c>
      <c r="P623" s="971">
        <v>0</v>
      </c>
      <c r="Q623" s="971">
        <v>19725</v>
      </c>
      <c r="R623" s="970"/>
      <c r="S623" s="971">
        <v>183985</v>
      </c>
      <c r="T623" s="971">
        <v>-418</v>
      </c>
      <c r="U623" s="971">
        <v>183567</v>
      </c>
    </row>
    <row r="624" spans="1:21" x14ac:dyDescent="0.25">
      <c r="A624" s="967">
        <v>96801</v>
      </c>
      <c r="B624" s="968" t="s">
        <v>3261</v>
      </c>
      <c r="C624" s="969">
        <v>7.6252999999999998E-3</v>
      </c>
      <c r="D624" s="969">
        <v>7.5814000000000003E-3</v>
      </c>
      <c r="E624" s="1008">
        <v>3782425</v>
      </c>
      <c r="F624" s="1011">
        <v>11582279</v>
      </c>
      <c r="G624" s="970">
        <v>18089819</v>
      </c>
      <c r="H624" s="970"/>
      <c r="I624" s="970">
        <v>2790829</v>
      </c>
      <c r="J624" s="971">
        <v>2483194</v>
      </c>
      <c r="K624" s="971">
        <v>4800340</v>
      </c>
      <c r="L624" s="971">
        <v>244257</v>
      </c>
      <c r="M624" s="970"/>
      <c r="N624" s="971">
        <v>93646</v>
      </c>
      <c r="O624" s="971">
        <v>0</v>
      </c>
      <c r="P624" s="971">
        <v>0</v>
      </c>
      <c r="Q624" s="971">
        <v>54881</v>
      </c>
      <c r="R624" s="970"/>
      <c r="S624" s="971">
        <v>5024867</v>
      </c>
      <c r="T624" s="971">
        <v>234375</v>
      </c>
      <c r="U624" s="971">
        <v>5259242</v>
      </c>
    </row>
    <row r="625" spans="1:21" x14ac:dyDescent="0.25">
      <c r="A625" s="967">
        <v>96804</v>
      </c>
      <c r="B625" s="968" t="s">
        <v>3262</v>
      </c>
      <c r="C625" s="969">
        <v>2.5539999999999997E-4</v>
      </c>
      <c r="D625" s="969">
        <v>2.654E-4</v>
      </c>
      <c r="E625" s="1008">
        <v>109633</v>
      </c>
      <c r="F625" s="1011">
        <v>405458</v>
      </c>
      <c r="G625" s="970">
        <v>605896</v>
      </c>
      <c r="H625" s="970"/>
      <c r="I625" s="970">
        <v>93475</v>
      </c>
      <c r="J625" s="971">
        <v>83171</v>
      </c>
      <c r="K625" s="971">
        <v>160781</v>
      </c>
      <c r="L625" s="971">
        <v>4075</v>
      </c>
      <c r="M625" s="970"/>
      <c r="N625" s="971">
        <v>3137</v>
      </c>
      <c r="O625" s="971">
        <v>0</v>
      </c>
      <c r="P625" s="971">
        <v>0</v>
      </c>
      <c r="Q625" s="971">
        <v>20354</v>
      </c>
      <c r="R625" s="970"/>
      <c r="S625" s="971">
        <v>168302</v>
      </c>
      <c r="T625" s="971">
        <v>-2456</v>
      </c>
      <c r="U625" s="971">
        <v>165846</v>
      </c>
    </row>
    <row r="626" spans="1:21" x14ac:dyDescent="0.25">
      <c r="A626" s="967">
        <v>96808</v>
      </c>
      <c r="B626" s="968" t="s">
        <v>3263</v>
      </c>
      <c r="C626" s="969">
        <v>1.2572E-3</v>
      </c>
      <c r="D626" s="969">
        <v>1.2711000000000001E-3</v>
      </c>
      <c r="E626" s="1008">
        <v>612314</v>
      </c>
      <c r="F626" s="1011">
        <v>1941889</v>
      </c>
      <c r="G626" s="970">
        <v>2982508</v>
      </c>
      <c r="H626" s="970"/>
      <c r="I626" s="970">
        <v>460130</v>
      </c>
      <c r="J626" s="971">
        <v>409410</v>
      </c>
      <c r="K626" s="971">
        <v>791443</v>
      </c>
      <c r="L626" s="971">
        <v>18089</v>
      </c>
      <c r="M626" s="970"/>
      <c r="N626" s="971">
        <v>15440</v>
      </c>
      <c r="O626" s="971">
        <v>0</v>
      </c>
      <c r="P626" s="971">
        <v>0</v>
      </c>
      <c r="Q626" s="971">
        <v>15050</v>
      </c>
      <c r="R626" s="970"/>
      <c r="S626" s="971">
        <v>828461</v>
      </c>
      <c r="T626" s="971">
        <v>20446</v>
      </c>
      <c r="U626" s="971">
        <v>848907</v>
      </c>
    </row>
    <row r="627" spans="1:21" x14ac:dyDescent="0.25">
      <c r="A627" s="967">
        <v>96811</v>
      </c>
      <c r="B627" s="968" t="s">
        <v>3264</v>
      </c>
      <c r="C627" s="969">
        <v>6.1249E-3</v>
      </c>
      <c r="D627" s="969">
        <v>6.0096999999999998E-3</v>
      </c>
      <c r="E627" s="1008">
        <v>2828120</v>
      </c>
      <c r="F627" s="1011">
        <v>9181157</v>
      </c>
      <c r="G627" s="970">
        <v>14530358</v>
      </c>
      <c r="H627" s="970"/>
      <c r="I627" s="970">
        <v>2241689</v>
      </c>
      <c r="J627" s="971">
        <v>1994586</v>
      </c>
      <c r="K627" s="971">
        <v>3855796</v>
      </c>
      <c r="L627" s="971">
        <v>28059</v>
      </c>
      <c r="M627" s="970"/>
      <c r="N627" s="971">
        <v>75220</v>
      </c>
      <c r="O627" s="971">
        <v>0</v>
      </c>
      <c r="P627" s="971">
        <v>0</v>
      </c>
      <c r="Q627" s="971">
        <v>73994</v>
      </c>
      <c r="R627" s="970"/>
      <c r="S627" s="971">
        <v>4036144</v>
      </c>
      <c r="T627" s="971">
        <v>-36406</v>
      </c>
      <c r="U627" s="971">
        <v>3999738</v>
      </c>
    </row>
    <row r="628" spans="1:21" x14ac:dyDescent="0.25">
      <c r="A628" s="967">
        <v>96821</v>
      </c>
      <c r="B628" s="968" t="s">
        <v>3265</v>
      </c>
      <c r="C628" s="969">
        <v>1.1529999999999999E-3</v>
      </c>
      <c r="D628" s="969">
        <v>1.3247000000000001E-3</v>
      </c>
      <c r="E628" s="1008">
        <v>606076</v>
      </c>
      <c r="F628" s="1011">
        <v>2023775</v>
      </c>
      <c r="G628" s="970">
        <v>2735310</v>
      </c>
      <c r="H628" s="970"/>
      <c r="I628" s="970">
        <v>421993</v>
      </c>
      <c r="J628" s="971">
        <v>375477</v>
      </c>
      <c r="K628" s="971">
        <v>725846</v>
      </c>
      <c r="L628" s="971">
        <v>0</v>
      </c>
      <c r="M628" s="970"/>
      <c r="N628" s="971">
        <v>14160</v>
      </c>
      <c r="O628" s="971">
        <v>0</v>
      </c>
      <c r="P628" s="971">
        <v>0</v>
      </c>
      <c r="Q628" s="971">
        <v>169149</v>
      </c>
      <c r="R628" s="970"/>
      <c r="S628" s="971">
        <v>759796</v>
      </c>
      <c r="T628" s="971">
        <v>-77119</v>
      </c>
      <c r="U628" s="971">
        <v>682677</v>
      </c>
    </row>
    <row r="629" spans="1:21" x14ac:dyDescent="0.25">
      <c r="A629" s="967">
        <v>96831</v>
      </c>
      <c r="B629" s="968" t="s">
        <v>3266</v>
      </c>
      <c r="C629" s="969">
        <v>9.3130000000000003E-4</v>
      </c>
      <c r="D629" s="969">
        <v>9.1929999999999996E-4</v>
      </c>
      <c r="E629" s="1008">
        <v>437767</v>
      </c>
      <c r="F629" s="1011">
        <v>1404436</v>
      </c>
      <c r="G629" s="970">
        <v>2209362</v>
      </c>
      <c r="H629" s="970"/>
      <c r="I629" s="970">
        <v>340852</v>
      </c>
      <c r="J629" s="971">
        <v>303280</v>
      </c>
      <c r="K629" s="971">
        <v>586279</v>
      </c>
      <c r="L629" s="971">
        <v>18400</v>
      </c>
      <c r="M629" s="970"/>
      <c r="N629" s="971">
        <v>11437</v>
      </c>
      <c r="O629" s="971">
        <v>0</v>
      </c>
      <c r="P629" s="971">
        <v>0</v>
      </c>
      <c r="Q629" s="971">
        <v>5806</v>
      </c>
      <c r="R629" s="970"/>
      <c r="S629" s="971">
        <v>613702</v>
      </c>
      <c r="T629" s="971">
        <v>17873</v>
      </c>
      <c r="U629" s="971">
        <v>631575</v>
      </c>
    </row>
    <row r="630" spans="1:21" x14ac:dyDescent="0.25">
      <c r="A630" s="967">
        <v>96901</v>
      </c>
      <c r="B630" s="968" t="s">
        <v>3267</v>
      </c>
      <c r="C630" s="969">
        <v>9.1089999999999997E-4</v>
      </c>
      <c r="D630" s="969">
        <v>8.9820000000000004E-4</v>
      </c>
      <c r="E630" s="1008">
        <v>449407</v>
      </c>
      <c r="F630" s="1011">
        <v>1372201</v>
      </c>
      <c r="G630" s="970">
        <v>2160966</v>
      </c>
      <c r="H630" s="970"/>
      <c r="I630" s="970">
        <v>333386</v>
      </c>
      <c r="J630" s="971">
        <v>296636</v>
      </c>
      <c r="K630" s="971">
        <v>573437</v>
      </c>
      <c r="L630" s="971">
        <v>68835</v>
      </c>
      <c r="M630" s="970"/>
      <c r="N630" s="971">
        <v>11187</v>
      </c>
      <c r="O630" s="971">
        <v>0</v>
      </c>
      <c r="P630" s="971">
        <v>0</v>
      </c>
      <c r="Q630" s="971">
        <v>0</v>
      </c>
      <c r="R630" s="970"/>
      <c r="S630" s="971">
        <v>600259</v>
      </c>
      <c r="T630" s="971">
        <v>31901</v>
      </c>
      <c r="U630" s="971">
        <v>632160</v>
      </c>
    </row>
    <row r="631" spans="1:21" x14ac:dyDescent="0.25">
      <c r="A631" s="967">
        <v>96911</v>
      </c>
      <c r="B631" s="968" t="s">
        <v>3268</v>
      </c>
      <c r="C631" s="969">
        <v>2.3E-6</v>
      </c>
      <c r="D631" s="969">
        <v>2.3999999999999999E-6</v>
      </c>
      <c r="E631" s="1008">
        <v>2452</v>
      </c>
      <c r="F631" s="1011">
        <v>3667</v>
      </c>
      <c r="G631" s="970">
        <v>5456</v>
      </c>
      <c r="H631" s="970"/>
      <c r="I631" s="970">
        <v>842</v>
      </c>
      <c r="J631" s="971">
        <v>749</v>
      </c>
      <c r="K631" s="971">
        <v>1448</v>
      </c>
      <c r="L631" s="971">
        <v>1923</v>
      </c>
      <c r="M631" s="970"/>
      <c r="N631" s="971">
        <v>28</v>
      </c>
      <c r="O631" s="971">
        <v>0</v>
      </c>
      <c r="P631" s="971">
        <v>0</v>
      </c>
      <c r="Q631" s="971">
        <v>1941</v>
      </c>
      <c r="R631" s="970"/>
      <c r="S631" s="971">
        <v>1516</v>
      </c>
      <c r="T631" s="971">
        <v>764</v>
      </c>
      <c r="U631" s="971">
        <v>2280</v>
      </c>
    </row>
    <row r="632" spans="1:21" x14ac:dyDescent="0.25">
      <c r="A632" s="967">
        <v>96912</v>
      </c>
      <c r="B632" s="968" t="s">
        <v>3269</v>
      </c>
      <c r="C632" s="969">
        <v>6.8100000000000002E-5</v>
      </c>
      <c r="D632" s="969">
        <v>6.0099999999999997E-5</v>
      </c>
      <c r="E632" s="1008">
        <v>26729</v>
      </c>
      <c r="F632" s="1011">
        <v>91816</v>
      </c>
      <c r="G632" s="970">
        <v>161556</v>
      </c>
      <c r="H632" s="970"/>
      <c r="I632" s="970">
        <v>24924</v>
      </c>
      <c r="J632" s="971">
        <v>22177</v>
      </c>
      <c r="K632" s="971">
        <v>42871</v>
      </c>
      <c r="L632" s="971">
        <v>1472</v>
      </c>
      <c r="M632" s="970"/>
      <c r="N632" s="971">
        <v>836</v>
      </c>
      <c r="O632" s="971">
        <v>0</v>
      </c>
      <c r="P632" s="971">
        <v>0</v>
      </c>
      <c r="Q632" s="971">
        <v>2729</v>
      </c>
      <c r="R632" s="970"/>
      <c r="S632" s="971">
        <v>44876</v>
      </c>
      <c r="T632" s="971">
        <v>2396</v>
      </c>
      <c r="U632" s="971">
        <v>47272</v>
      </c>
    </row>
    <row r="633" spans="1:21" x14ac:dyDescent="0.25">
      <c r="A633" s="967">
        <v>96918</v>
      </c>
      <c r="B633" s="968" t="s">
        <v>3270</v>
      </c>
      <c r="C633" s="969">
        <v>3.2299999999999999E-5</v>
      </c>
      <c r="D633" s="969">
        <v>3.8000000000000002E-5</v>
      </c>
      <c r="E633" s="1008">
        <v>16750</v>
      </c>
      <c r="F633" s="1011">
        <v>58053</v>
      </c>
      <c r="G633" s="970">
        <v>76627</v>
      </c>
      <c r="H633" s="970"/>
      <c r="I633" s="970">
        <v>11822</v>
      </c>
      <c r="J633" s="971">
        <v>10519</v>
      </c>
      <c r="K633" s="971">
        <v>20334</v>
      </c>
      <c r="L633" s="971">
        <v>1798</v>
      </c>
      <c r="M633" s="970"/>
      <c r="N633" s="971">
        <v>397</v>
      </c>
      <c r="O633" s="971">
        <v>0</v>
      </c>
      <c r="P633" s="971">
        <v>0</v>
      </c>
      <c r="Q633" s="971">
        <v>3897</v>
      </c>
      <c r="R633" s="970"/>
      <c r="S633" s="971">
        <v>21285</v>
      </c>
      <c r="T633" s="971">
        <v>4776</v>
      </c>
      <c r="U633" s="971">
        <v>26061</v>
      </c>
    </row>
    <row r="634" spans="1:21" x14ac:dyDescent="0.25">
      <c r="A634" s="967">
        <v>97001</v>
      </c>
      <c r="B634" s="968" t="s">
        <v>3271</v>
      </c>
      <c r="C634" s="969">
        <v>1.3370999999999999E-3</v>
      </c>
      <c r="D634" s="969">
        <v>1.3778E-3</v>
      </c>
      <c r="E634" s="1008">
        <v>742553</v>
      </c>
      <c r="F634" s="1011">
        <v>2104897</v>
      </c>
      <c r="G634" s="970">
        <v>3172058</v>
      </c>
      <c r="H634" s="970"/>
      <c r="I634" s="970">
        <v>489373</v>
      </c>
      <c r="J634" s="971">
        <v>435430</v>
      </c>
      <c r="K634" s="971">
        <v>841742</v>
      </c>
      <c r="L634" s="971">
        <v>142216</v>
      </c>
      <c r="M634" s="970"/>
      <c r="N634" s="971">
        <v>16421</v>
      </c>
      <c r="O634" s="971">
        <v>0</v>
      </c>
      <c r="P634" s="971">
        <v>0</v>
      </c>
      <c r="Q634" s="971">
        <v>0</v>
      </c>
      <c r="R634" s="970"/>
      <c r="S634" s="971">
        <v>881113</v>
      </c>
      <c r="T634" s="971">
        <v>46843</v>
      </c>
      <c r="U634" s="971">
        <v>927956</v>
      </c>
    </row>
    <row r="635" spans="1:21" x14ac:dyDescent="0.25">
      <c r="A635" s="967">
        <v>97002</v>
      </c>
      <c r="B635" s="968" t="s">
        <v>3272</v>
      </c>
      <c r="C635" s="969">
        <v>4.8569999999999999E-4</v>
      </c>
      <c r="D635" s="969">
        <v>5.2610000000000005E-4</v>
      </c>
      <c r="E635" s="1008">
        <v>185928</v>
      </c>
      <c r="F635" s="1011">
        <v>803735</v>
      </c>
      <c r="G635" s="970">
        <v>1152247</v>
      </c>
      <c r="H635" s="970"/>
      <c r="I635" s="970">
        <v>177764</v>
      </c>
      <c r="J635" s="971">
        <v>158169</v>
      </c>
      <c r="K635" s="971">
        <v>305762</v>
      </c>
      <c r="L635" s="971">
        <v>5136</v>
      </c>
      <c r="M635" s="970"/>
      <c r="N635" s="971">
        <v>5965</v>
      </c>
      <c r="O635" s="971">
        <v>0</v>
      </c>
      <c r="P635" s="971">
        <v>0</v>
      </c>
      <c r="Q635" s="971">
        <v>75548</v>
      </c>
      <c r="R635" s="970"/>
      <c r="S635" s="971">
        <v>320063</v>
      </c>
      <c r="T635" s="971">
        <v>-7630</v>
      </c>
      <c r="U635" s="971">
        <v>312433</v>
      </c>
    </row>
    <row r="636" spans="1:21" x14ac:dyDescent="0.25">
      <c r="A636" s="967">
        <v>97004</v>
      </c>
      <c r="B636" s="968" t="s">
        <v>3273</v>
      </c>
      <c r="C636" s="969">
        <v>8.4999999999999999E-6</v>
      </c>
      <c r="D636" s="969">
        <v>9.7999999999999993E-6</v>
      </c>
      <c r="E636" s="1008">
        <v>8806</v>
      </c>
      <c r="F636" s="1011">
        <v>14972</v>
      </c>
      <c r="G636" s="970">
        <v>20165</v>
      </c>
      <c r="H636" s="970"/>
      <c r="I636" s="970">
        <v>3111</v>
      </c>
      <c r="J636" s="971">
        <v>2768</v>
      </c>
      <c r="K636" s="971">
        <v>5351</v>
      </c>
      <c r="L636" s="971">
        <v>5157</v>
      </c>
      <c r="M636" s="970"/>
      <c r="N636" s="971">
        <v>104</v>
      </c>
      <c r="O636" s="971">
        <v>0</v>
      </c>
      <c r="P636" s="971">
        <v>0</v>
      </c>
      <c r="Q636" s="971">
        <v>0</v>
      </c>
      <c r="R636" s="970"/>
      <c r="S636" s="971">
        <v>5601</v>
      </c>
      <c r="T636" s="971">
        <v>2552</v>
      </c>
      <c r="U636" s="971">
        <v>8153</v>
      </c>
    </row>
    <row r="637" spans="1:21" x14ac:dyDescent="0.25">
      <c r="A637" s="967">
        <v>97005</v>
      </c>
      <c r="B637" s="968" t="s">
        <v>3274</v>
      </c>
      <c r="C637" s="969">
        <v>2.7500000000000001E-5</v>
      </c>
      <c r="D637" s="969">
        <v>2.83E-5</v>
      </c>
      <c r="E637" s="1008">
        <v>14968</v>
      </c>
      <c r="F637" s="1011">
        <v>43235</v>
      </c>
      <c r="G637" s="970">
        <v>65239</v>
      </c>
      <c r="H637" s="970"/>
      <c r="I637" s="970">
        <v>10065</v>
      </c>
      <c r="J637" s="971">
        <v>8955</v>
      </c>
      <c r="K637" s="971">
        <v>17312</v>
      </c>
      <c r="L637" s="971">
        <v>9886</v>
      </c>
      <c r="M637" s="970"/>
      <c r="N637" s="971">
        <v>338</v>
      </c>
      <c r="O637" s="971">
        <v>0</v>
      </c>
      <c r="P637" s="971">
        <v>0</v>
      </c>
      <c r="Q637" s="971">
        <v>702</v>
      </c>
      <c r="R637" s="970"/>
      <c r="S637" s="971">
        <v>18122</v>
      </c>
      <c r="T637" s="971">
        <v>3372</v>
      </c>
      <c r="U637" s="971">
        <v>21494</v>
      </c>
    </row>
    <row r="638" spans="1:21" x14ac:dyDescent="0.25">
      <c r="A638" s="967">
        <v>97008</v>
      </c>
      <c r="B638" s="968" t="s">
        <v>3275</v>
      </c>
      <c r="C638" s="969">
        <v>2.766E-4</v>
      </c>
      <c r="D638" s="969">
        <v>2.8659999999999997E-4</v>
      </c>
      <c r="E638" s="1008">
        <v>139746</v>
      </c>
      <c r="F638" s="1011">
        <v>437845</v>
      </c>
      <c r="G638" s="970">
        <v>656190</v>
      </c>
      <c r="H638" s="970"/>
      <c r="I638" s="970">
        <v>101234</v>
      </c>
      <c r="J638" s="971">
        <v>90075</v>
      </c>
      <c r="K638" s="971">
        <v>174127</v>
      </c>
      <c r="L638" s="971">
        <v>3810</v>
      </c>
      <c r="M638" s="970"/>
      <c r="N638" s="971">
        <v>3397</v>
      </c>
      <c r="O638" s="971">
        <v>0</v>
      </c>
      <c r="P638" s="971">
        <v>0</v>
      </c>
      <c r="Q638" s="971">
        <v>5294</v>
      </c>
      <c r="R638" s="970"/>
      <c r="S638" s="971">
        <v>182272</v>
      </c>
      <c r="T638" s="971">
        <v>6191</v>
      </c>
      <c r="U638" s="971">
        <v>188463</v>
      </c>
    </row>
    <row r="639" spans="1:21" x14ac:dyDescent="0.25">
      <c r="A639" s="967">
        <v>97010</v>
      </c>
      <c r="B639" s="968" t="s">
        <v>3276</v>
      </c>
      <c r="C639" s="969">
        <v>0</v>
      </c>
      <c r="D639" s="969">
        <v>0</v>
      </c>
      <c r="E639" s="1008">
        <v>0</v>
      </c>
      <c r="F639" s="1011">
        <v>0</v>
      </c>
      <c r="G639" s="970">
        <v>0</v>
      </c>
      <c r="H639" s="970"/>
      <c r="I639" s="970">
        <v>0</v>
      </c>
      <c r="J639" s="971">
        <v>0</v>
      </c>
      <c r="K639" s="971">
        <v>0</v>
      </c>
      <c r="L639" s="971">
        <v>0</v>
      </c>
      <c r="M639" s="970"/>
      <c r="N639" s="971">
        <v>0</v>
      </c>
      <c r="O639" s="971">
        <v>0</v>
      </c>
      <c r="P639" s="971">
        <v>0</v>
      </c>
      <c r="Q639" s="971">
        <v>777787</v>
      </c>
      <c r="R639" s="970"/>
      <c r="S639" s="971">
        <v>0</v>
      </c>
      <c r="T639" s="971">
        <v>-1279115</v>
      </c>
      <c r="U639" s="971">
        <v>-1279115</v>
      </c>
    </row>
    <row r="640" spans="1:21" x14ac:dyDescent="0.25">
      <c r="A640" s="967">
        <v>97011</v>
      </c>
      <c r="B640" s="968" t="s">
        <v>3277</v>
      </c>
      <c r="C640" s="969">
        <v>1.9426999999999999E-3</v>
      </c>
      <c r="D640" s="969">
        <v>1.9166999999999999E-3</v>
      </c>
      <c r="E640" s="1008">
        <v>918573</v>
      </c>
      <c r="F640" s="1011">
        <v>2928187</v>
      </c>
      <c r="G640" s="970">
        <v>4608749</v>
      </c>
      <c r="H640" s="970"/>
      <c r="I640" s="970">
        <v>711020</v>
      </c>
      <c r="J640" s="971">
        <v>632644</v>
      </c>
      <c r="K640" s="971">
        <v>1222984</v>
      </c>
      <c r="L640" s="971">
        <v>0</v>
      </c>
      <c r="M640" s="970"/>
      <c r="N640" s="971">
        <v>23858</v>
      </c>
      <c r="O640" s="971">
        <v>0</v>
      </c>
      <c r="P640" s="971">
        <v>0</v>
      </c>
      <c r="Q640" s="971">
        <v>61009</v>
      </c>
      <c r="R640" s="970"/>
      <c r="S640" s="971">
        <v>1280187</v>
      </c>
      <c r="T640" s="971">
        <v>-40429</v>
      </c>
      <c r="U640" s="971">
        <v>1239758</v>
      </c>
    </row>
    <row r="641" spans="1:21" x14ac:dyDescent="0.25">
      <c r="A641" s="967">
        <v>97012</v>
      </c>
      <c r="B641" s="968" t="s">
        <v>3278</v>
      </c>
      <c r="C641" s="969">
        <v>3.0700000000000001E-5</v>
      </c>
      <c r="D641" s="969">
        <v>2.9499999999999999E-5</v>
      </c>
      <c r="E641" s="1008">
        <v>18024</v>
      </c>
      <c r="F641" s="1011">
        <v>45068</v>
      </c>
      <c r="G641" s="970">
        <v>72831</v>
      </c>
      <c r="H641" s="970"/>
      <c r="I641" s="970">
        <v>11236</v>
      </c>
      <c r="J641" s="971">
        <v>9997</v>
      </c>
      <c r="K641" s="971">
        <v>19327</v>
      </c>
      <c r="L641" s="971">
        <v>6719</v>
      </c>
      <c r="M641" s="970"/>
      <c r="N641" s="971">
        <v>377</v>
      </c>
      <c r="O641" s="971">
        <v>0</v>
      </c>
      <c r="P641" s="971">
        <v>0</v>
      </c>
      <c r="Q641" s="971">
        <v>415</v>
      </c>
      <c r="R641" s="970"/>
      <c r="S641" s="971">
        <v>20230</v>
      </c>
      <c r="T641" s="971">
        <v>1569</v>
      </c>
      <c r="U641" s="971">
        <v>21799</v>
      </c>
    </row>
    <row r="642" spans="1:21" x14ac:dyDescent="0.25">
      <c r="A642" s="967">
        <v>97013</v>
      </c>
      <c r="B642" s="968" t="s">
        <v>3279</v>
      </c>
      <c r="C642" s="969">
        <v>2.19E-5</v>
      </c>
      <c r="D642" s="969">
        <v>1.8199999999999999E-5</v>
      </c>
      <c r="E642" s="1008">
        <v>11939</v>
      </c>
      <c r="F642" s="1011">
        <v>27805</v>
      </c>
      <c r="G642" s="970">
        <v>51954</v>
      </c>
      <c r="H642" s="970"/>
      <c r="I642" s="970">
        <v>8015</v>
      </c>
      <c r="J642" s="971">
        <v>7132</v>
      </c>
      <c r="K642" s="971">
        <v>13787</v>
      </c>
      <c r="L642" s="971">
        <v>7375</v>
      </c>
      <c r="M642" s="970"/>
      <c r="N642" s="971">
        <v>269</v>
      </c>
      <c r="O642" s="971">
        <v>0</v>
      </c>
      <c r="P642" s="971">
        <v>0</v>
      </c>
      <c r="Q642" s="971">
        <v>0</v>
      </c>
      <c r="R642" s="970"/>
      <c r="S642" s="971">
        <v>14432</v>
      </c>
      <c r="T642" s="971">
        <v>2956</v>
      </c>
      <c r="U642" s="971">
        <v>17388</v>
      </c>
    </row>
    <row r="643" spans="1:21" x14ac:dyDescent="0.25">
      <c r="A643" s="967">
        <v>97015</v>
      </c>
      <c r="B643" s="968" t="s">
        <v>3280</v>
      </c>
      <c r="C643" s="969">
        <v>5.1700000000000003E-5</v>
      </c>
      <c r="D643" s="969">
        <v>4.1499999999999999E-5</v>
      </c>
      <c r="E643" s="1008">
        <v>25313</v>
      </c>
      <c r="F643" s="1011">
        <v>63401</v>
      </c>
      <c r="G643" s="970">
        <v>122650</v>
      </c>
      <c r="H643" s="970"/>
      <c r="I643" s="970">
        <v>18922</v>
      </c>
      <c r="J643" s="971">
        <v>16836</v>
      </c>
      <c r="K643" s="971">
        <v>32547</v>
      </c>
      <c r="L643" s="971">
        <v>9840</v>
      </c>
      <c r="M643" s="970"/>
      <c r="N643" s="971">
        <v>635</v>
      </c>
      <c r="O643" s="971">
        <v>0</v>
      </c>
      <c r="P643" s="971">
        <v>0</v>
      </c>
      <c r="Q643" s="971">
        <v>3745</v>
      </c>
      <c r="R643" s="970"/>
      <c r="S643" s="971">
        <v>34069</v>
      </c>
      <c r="T643" s="971">
        <v>1860</v>
      </c>
      <c r="U643" s="971">
        <v>35929</v>
      </c>
    </row>
    <row r="644" spans="1:21" x14ac:dyDescent="0.25">
      <c r="A644" s="967">
        <v>97018</v>
      </c>
      <c r="B644" s="968" t="s">
        <v>3281</v>
      </c>
      <c r="C644" s="969">
        <v>7.4000000000000003E-6</v>
      </c>
      <c r="D644" s="969">
        <v>8.6000000000000007E-6</v>
      </c>
      <c r="E644" s="1008">
        <v>8584</v>
      </c>
      <c r="F644" s="1011">
        <v>13138</v>
      </c>
      <c r="G644" s="970">
        <v>17555</v>
      </c>
      <c r="H644" s="970"/>
      <c r="I644" s="970">
        <v>2708</v>
      </c>
      <c r="J644" s="971">
        <v>2410</v>
      </c>
      <c r="K644" s="971">
        <v>4659</v>
      </c>
      <c r="L644" s="971">
        <v>7148</v>
      </c>
      <c r="M644" s="970"/>
      <c r="N644" s="971">
        <v>91</v>
      </c>
      <c r="O644" s="971">
        <v>0</v>
      </c>
      <c r="P644" s="971">
        <v>0</v>
      </c>
      <c r="Q644" s="971">
        <v>0</v>
      </c>
      <c r="R644" s="970"/>
      <c r="S644" s="971">
        <v>4876</v>
      </c>
      <c r="T644" s="971">
        <v>3577</v>
      </c>
      <c r="U644" s="971">
        <v>8453</v>
      </c>
    </row>
    <row r="645" spans="1:21" x14ac:dyDescent="0.25">
      <c r="A645" s="967">
        <v>97101</v>
      </c>
      <c r="B645" s="968" t="s">
        <v>3282</v>
      </c>
      <c r="C645" s="969">
        <v>2.4805000000000001E-3</v>
      </c>
      <c r="D645" s="969">
        <v>2.5790000000000001E-3</v>
      </c>
      <c r="E645" s="1008">
        <v>1330859</v>
      </c>
      <c r="F645" s="1011">
        <v>3939998</v>
      </c>
      <c r="G645" s="970">
        <v>5884594</v>
      </c>
      <c r="H645" s="970"/>
      <c r="I645" s="970">
        <v>907853</v>
      </c>
      <c r="J645" s="971">
        <v>807780</v>
      </c>
      <c r="K645" s="971">
        <v>1561544</v>
      </c>
      <c r="L645" s="971">
        <v>35145</v>
      </c>
      <c r="M645" s="970"/>
      <c r="N645" s="971">
        <v>30463</v>
      </c>
      <c r="O645" s="971">
        <v>0</v>
      </c>
      <c r="P645" s="971">
        <v>0</v>
      </c>
      <c r="Q645" s="971">
        <v>0</v>
      </c>
      <c r="R645" s="970"/>
      <c r="S645" s="971">
        <v>1634583</v>
      </c>
      <c r="T645" s="971">
        <v>9399</v>
      </c>
      <c r="U645" s="971">
        <v>1643982</v>
      </c>
    </row>
    <row r="646" spans="1:21" x14ac:dyDescent="0.25">
      <c r="A646" s="967">
        <v>97104</v>
      </c>
      <c r="B646" s="968" t="s">
        <v>3283</v>
      </c>
      <c r="C646" s="969">
        <v>5.6100000000000002E-5</v>
      </c>
      <c r="D646" s="969">
        <v>5.4299999999999998E-5</v>
      </c>
      <c r="E646" s="1008">
        <v>32872</v>
      </c>
      <c r="F646" s="1011">
        <v>82955</v>
      </c>
      <c r="G646" s="970">
        <v>133088</v>
      </c>
      <c r="H646" s="970"/>
      <c r="I646" s="970">
        <v>20532</v>
      </c>
      <c r="J646" s="971">
        <v>18269</v>
      </c>
      <c r="K646" s="971">
        <v>35317</v>
      </c>
      <c r="L646" s="971">
        <v>11210</v>
      </c>
      <c r="M646" s="970"/>
      <c r="N646" s="971">
        <v>689</v>
      </c>
      <c r="O646" s="971">
        <v>0</v>
      </c>
      <c r="P646" s="971">
        <v>0</v>
      </c>
      <c r="Q646" s="971">
        <v>0</v>
      </c>
      <c r="R646" s="970"/>
      <c r="S646" s="971">
        <v>36968</v>
      </c>
      <c r="T646" s="971">
        <v>7518</v>
      </c>
      <c r="U646" s="971">
        <v>44486</v>
      </c>
    </row>
    <row r="647" spans="1:21" x14ac:dyDescent="0.25">
      <c r="A647" s="967">
        <v>97111</v>
      </c>
      <c r="B647" s="968" t="s">
        <v>3284</v>
      </c>
      <c r="C647" s="969">
        <v>2.7779999999999998E-4</v>
      </c>
      <c r="D647" s="969">
        <v>2.8200000000000002E-4</v>
      </c>
      <c r="E647" s="1008">
        <v>129966</v>
      </c>
      <c r="F647" s="1011">
        <v>430818</v>
      </c>
      <c r="G647" s="970">
        <v>659037</v>
      </c>
      <c r="H647" s="970"/>
      <c r="I647" s="970">
        <v>101674</v>
      </c>
      <c r="J647" s="971">
        <v>90466</v>
      </c>
      <c r="K647" s="971">
        <v>174883</v>
      </c>
      <c r="L647" s="971">
        <v>656</v>
      </c>
      <c r="M647" s="970"/>
      <c r="N647" s="971">
        <v>3412</v>
      </c>
      <c r="O647" s="971">
        <v>0</v>
      </c>
      <c r="P647" s="971">
        <v>0</v>
      </c>
      <c r="Q647" s="971">
        <v>19675</v>
      </c>
      <c r="R647" s="970"/>
      <c r="S647" s="971">
        <v>183063</v>
      </c>
      <c r="T647" s="971">
        <v>-3431</v>
      </c>
      <c r="U647" s="971">
        <v>179632</v>
      </c>
    </row>
    <row r="648" spans="1:21" x14ac:dyDescent="0.25">
      <c r="A648" s="967">
        <v>97121</v>
      </c>
      <c r="B648" s="968" t="s">
        <v>3285</v>
      </c>
      <c r="C648" s="969">
        <v>1.2980000000000001E-4</v>
      </c>
      <c r="D648" s="969">
        <v>1.3640000000000001E-4</v>
      </c>
      <c r="E648" s="1008">
        <v>76176</v>
      </c>
      <c r="F648" s="1011">
        <v>208381</v>
      </c>
      <c r="G648" s="970">
        <v>307930</v>
      </c>
      <c r="H648" s="970"/>
      <c r="I648" s="970">
        <v>47506</v>
      </c>
      <c r="J648" s="971">
        <v>42270</v>
      </c>
      <c r="K648" s="971">
        <v>81713</v>
      </c>
      <c r="L648" s="971">
        <v>15643</v>
      </c>
      <c r="M648" s="970"/>
      <c r="N648" s="971">
        <v>1594</v>
      </c>
      <c r="O648" s="971">
        <v>0</v>
      </c>
      <c r="P648" s="971">
        <v>0</v>
      </c>
      <c r="Q648" s="971">
        <v>5525</v>
      </c>
      <c r="R648" s="970"/>
      <c r="S648" s="971">
        <v>85535</v>
      </c>
      <c r="T648" s="971">
        <v>263</v>
      </c>
      <c r="U648" s="971">
        <v>85798</v>
      </c>
    </row>
    <row r="649" spans="1:21" x14ac:dyDescent="0.25">
      <c r="A649" s="967">
        <v>97131</v>
      </c>
      <c r="B649" s="968" t="s">
        <v>3286</v>
      </c>
      <c r="C649" s="969">
        <v>6.0749999999999997E-4</v>
      </c>
      <c r="D649" s="969">
        <v>7.358E-4</v>
      </c>
      <c r="E649" s="1008">
        <v>265411</v>
      </c>
      <c r="F649" s="1011">
        <v>1124099</v>
      </c>
      <c r="G649" s="970">
        <v>1441198</v>
      </c>
      <c r="H649" s="970"/>
      <c r="I649" s="970">
        <v>222343</v>
      </c>
      <c r="J649" s="971">
        <v>197834</v>
      </c>
      <c r="K649" s="971">
        <v>382438</v>
      </c>
      <c r="L649" s="971">
        <v>20955</v>
      </c>
      <c r="M649" s="970"/>
      <c r="N649" s="971">
        <v>7461</v>
      </c>
      <c r="O649" s="971">
        <v>0</v>
      </c>
      <c r="P649" s="971">
        <v>0</v>
      </c>
      <c r="Q649" s="971">
        <v>118742</v>
      </c>
      <c r="R649" s="970"/>
      <c r="S649" s="971">
        <v>400326</v>
      </c>
      <c r="T649" s="971">
        <v>-21454</v>
      </c>
      <c r="U649" s="971">
        <v>378872</v>
      </c>
    </row>
    <row r="650" spans="1:21" x14ac:dyDescent="0.25">
      <c r="A650" s="967">
        <v>97201</v>
      </c>
      <c r="B650" s="968" t="s">
        <v>3287</v>
      </c>
      <c r="C650" s="969">
        <v>5.1219999999999998E-4</v>
      </c>
      <c r="D650" s="969">
        <v>5.2689999999999996E-4</v>
      </c>
      <c r="E650" s="1008">
        <v>262237</v>
      </c>
      <c r="F650" s="1011">
        <v>804957</v>
      </c>
      <c r="G650" s="970">
        <v>1215114</v>
      </c>
      <c r="H650" s="970"/>
      <c r="I650" s="970">
        <v>187463</v>
      </c>
      <c r="J650" s="971">
        <v>166799</v>
      </c>
      <c r="K650" s="971">
        <v>322444</v>
      </c>
      <c r="L650" s="971">
        <v>30683</v>
      </c>
      <c r="M650" s="970"/>
      <c r="N650" s="971">
        <v>6290</v>
      </c>
      <c r="O650" s="971">
        <v>0</v>
      </c>
      <c r="P650" s="971">
        <v>0</v>
      </c>
      <c r="Q650" s="971">
        <v>1246</v>
      </c>
      <c r="R650" s="970"/>
      <c r="S650" s="971">
        <v>337526</v>
      </c>
      <c r="T650" s="971">
        <v>10658</v>
      </c>
      <c r="U650" s="971">
        <v>348184</v>
      </c>
    </row>
    <row r="651" spans="1:21" x14ac:dyDescent="0.25">
      <c r="A651" s="967">
        <v>97211</v>
      </c>
      <c r="B651" s="968" t="s">
        <v>3288</v>
      </c>
      <c r="C651" s="969">
        <v>1.4569999999999999E-4</v>
      </c>
      <c r="D651" s="969">
        <v>1.5980000000000001E-4</v>
      </c>
      <c r="E651" s="1008">
        <v>77866</v>
      </c>
      <c r="F651" s="1011">
        <v>244130</v>
      </c>
      <c r="G651" s="970">
        <v>345650</v>
      </c>
      <c r="H651" s="970"/>
      <c r="I651" s="970">
        <v>53326</v>
      </c>
      <c r="J651" s="971">
        <v>47448</v>
      </c>
      <c r="K651" s="971">
        <v>91722</v>
      </c>
      <c r="L651" s="971">
        <v>11315</v>
      </c>
      <c r="M651" s="970"/>
      <c r="N651" s="971">
        <v>1789</v>
      </c>
      <c r="O651" s="971">
        <v>0</v>
      </c>
      <c r="P651" s="971">
        <v>0</v>
      </c>
      <c r="Q651" s="971">
        <v>12606</v>
      </c>
      <c r="R651" s="970"/>
      <c r="S651" s="971">
        <v>96012</v>
      </c>
      <c r="T651" s="971">
        <v>-859</v>
      </c>
      <c r="U651" s="971">
        <v>95153</v>
      </c>
    </row>
    <row r="652" spans="1:21" x14ac:dyDescent="0.25">
      <c r="A652" s="967">
        <v>97213</v>
      </c>
      <c r="B652" s="968" t="s">
        <v>3289</v>
      </c>
      <c r="C652" s="969">
        <v>4.5599999999999997E-5</v>
      </c>
      <c r="D652" s="969">
        <v>3.9100000000000002E-5</v>
      </c>
      <c r="E652" s="1008">
        <v>21662</v>
      </c>
      <c r="F652" s="1011">
        <v>59734</v>
      </c>
      <c r="G652" s="970">
        <v>108179</v>
      </c>
      <c r="H652" s="970"/>
      <c r="I652" s="970">
        <v>16689</v>
      </c>
      <c r="J652" s="971">
        <v>14849</v>
      </c>
      <c r="K652" s="971">
        <v>28706</v>
      </c>
      <c r="L652" s="971">
        <v>8617</v>
      </c>
      <c r="M652" s="970"/>
      <c r="N652" s="971">
        <v>560</v>
      </c>
      <c r="O652" s="971">
        <v>0</v>
      </c>
      <c r="P652" s="971">
        <v>0</v>
      </c>
      <c r="Q652" s="971">
        <v>322</v>
      </c>
      <c r="R652" s="970"/>
      <c r="S652" s="971">
        <v>30049</v>
      </c>
      <c r="T652" s="971">
        <v>3081</v>
      </c>
      <c r="U652" s="971">
        <v>33130</v>
      </c>
    </row>
    <row r="653" spans="1:21" x14ac:dyDescent="0.25">
      <c r="A653" s="967">
        <v>97217</v>
      </c>
      <c r="B653" s="968" t="s">
        <v>3290</v>
      </c>
      <c r="C653" s="969">
        <v>4.8999999999999997E-6</v>
      </c>
      <c r="D653" s="969">
        <v>4.6E-6</v>
      </c>
      <c r="E653" s="1008">
        <v>6450</v>
      </c>
      <c r="F653" s="1011">
        <v>7028</v>
      </c>
      <c r="G653" s="970">
        <v>11624</v>
      </c>
      <c r="H653" s="970"/>
      <c r="I653" s="970">
        <v>1793</v>
      </c>
      <c r="J653" s="971">
        <v>1596</v>
      </c>
      <c r="K653" s="971">
        <v>3085</v>
      </c>
      <c r="L653" s="971">
        <v>8394</v>
      </c>
      <c r="M653" s="970"/>
      <c r="N653" s="971">
        <v>60</v>
      </c>
      <c r="O653" s="971">
        <v>0</v>
      </c>
      <c r="P653" s="971">
        <v>0</v>
      </c>
      <c r="Q653" s="971">
        <v>0</v>
      </c>
      <c r="R653" s="970"/>
      <c r="S653" s="971">
        <v>3229</v>
      </c>
      <c r="T653" s="971">
        <v>4143</v>
      </c>
      <c r="U653" s="971">
        <v>7372</v>
      </c>
    </row>
    <row r="654" spans="1:21" x14ac:dyDescent="0.25">
      <c r="A654" s="967">
        <v>97221</v>
      </c>
      <c r="B654" s="968" t="s">
        <v>3291</v>
      </c>
      <c r="C654" s="969">
        <v>3.9999999999999998E-6</v>
      </c>
      <c r="D654" s="969">
        <v>7.1999999999999997E-6</v>
      </c>
      <c r="E654" s="1008">
        <v>6192</v>
      </c>
      <c r="F654" s="1011">
        <v>11000</v>
      </c>
      <c r="G654" s="970">
        <v>9489</v>
      </c>
      <c r="H654" s="970"/>
      <c r="I654" s="970">
        <v>1464</v>
      </c>
      <c r="J654" s="971">
        <v>1303</v>
      </c>
      <c r="K654" s="971">
        <v>2518</v>
      </c>
      <c r="L654" s="971">
        <v>6077</v>
      </c>
      <c r="M654" s="970"/>
      <c r="N654" s="971">
        <v>49</v>
      </c>
      <c r="O654" s="971">
        <v>0</v>
      </c>
      <c r="P654" s="971">
        <v>0</v>
      </c>
      <c r="Q654" s="971">
        <v>0</v>
      </c>
      <c r="R654" s="970"/>
      <c r="S654" s="971">
        <v>2636</v>
      </c>
      <c r="T654" s="971">
        <v>3385</v>
      </c>
      <c r="U654" s="971">
        <v>6021</v>
      </c>
    </row>
    <row r="655" spans="1:21" x14ac:dyDescent="0.25">
      <c r="A655" s="967">
        <v>97301</v>
      </c>
      <c r="B655" s="968" t="s">
        <v>3292</v>
      </c>
      <c r="C655" s="969">
        <v>2.4616E-3</v>
      </c>
      <c r="D655" s="969">
        <v>2.5135999999999999E-3</v>
      </c>
      <c r="E655" s="1008">
        <v>1231028</v>
      </c>
      <c r="F655" s="1011">
        <v>3840085</v>
      </c>
      <c r="G655" s="970">
        <v>5839757</v>
      </c>
      <c r="H655" s="970"/>
      <c r="I655" s="970">
        <v>900936</v>
      </c>
      <c r="J655" s="971">
        <v>801625</v>
      </c>
      <c r="K655" s="971">
        <v>1549646</v>
      </c>
      <c r="L655" s="971">
        <v>10684</v>
      </c>
      <c r="M655" s="970"/>
      <c r="N655" s="971">
        <v>30231</v>
      </c>
      <c r="O655" s="971">
        <v>0</v>
      </c>
      <c r="P655" s="971">
        <v>0</v>
      </c>
      <c r="Q655" s="971">
        <v>48917</v>
      </c>
      <c r="R655" s="970"/>
      <c r="S655" s="971">
        <v>1622128</v>
      </c>
      <c r="T655" s="971">
        <v>-14603</v>
      </c>
      <c r="U655" s="971">
        <v>1607525</v>
      </c>
    </row>
    <row r="656" spans="1:21" x14ac:dyDescent="0.25">
      <c r="A656" s="967">
        <v>97304</v>
      </c>
      <c r="B656" s="968" t="s">
        <v>3293</v>
      </c>
      <c r="C656" s="969">
        <v>1.5299999999999999E-5</v>
      </c>
      <c r="D656" s="969">
        <v>1.6799999999999998E-5</v>
      </c>
      <c r="E656" s="1008">
        <v>13752</v>
      </c>
      <c r="F656" s="1011">
        <v>25666</v>
      </c>
      <c r="G656" s="970">
        <v>36297</v>
      </c>
      <c r="H656" s="970"/>
      <c r="I656" s="970">
        <v>5600</v>
      </c>
      <c r="J656" s="971">
        <v>4983</v>
      </c>
      <c r="K656" s="971">
        <v>9632</v>
      </c>
      <c r="L656" s="971">
        <v>9181</v>
      </c>
      <c r="M656" s="970"/>
      <c r="N656" s="971">
        <v>188</v>
      </c>
      <c r="O656" s="971">
        <v>0</v>
      </c>
      <c r="P656" s="971">
        <v>0</v>
      </c>
      <c r="Q656" s="971">
        <v>0</v>
      </c>
      <c r="R656" s="970"/>
      <c r="S656" s="971">
        <v>10082</v>
      </c>
      <c r="T656" s="971">
        <v>4481</v>
      </c>
      <c r="U656" s="971">
        <v>14563</v>
      </c>
    </row>
    <row r="657" spans="1:21" x14ac:dyDescent="0.25">
      <c r="A657" s="967">
        <v>97311</v>
      </c>
      <c r="B657" s="968" t="s">
        <v>3294</v>
      </c>
      <c r="C657" s="969">
        <v>8.8420000000000002E-4</v>
      </c>
      <c r="D657" s="969">
        <v>9.1799999999999998E-4</v>
      </c>
      <c r="E657" s="1008">
        <v>427972</v>
      </c>
      <c r="F657" s="1011">
        <v>1402450</v>
      </c>
      <c r="G657" s="970">
        <v>2097625</v>
      </c>
      <c r="H657" s="970"/>
      <c r="I657" s="970">
        <v>323614</v>
      </c>
      <c r="J657" s="971">
        <v>287942</v>
      </c>
      <c r="K657" s="971">
        <v>556629</v>
      </c>
      <c r="L657" s="971">
        <v>0</v>
      </c>
      <c r="M657" s="970"/>
      <c r="N657" s="971">
        <v>10859</v>
      </c>
      <c r="O657" s="971">
        <v>0</v>
      </c>
      <c r="P657" s="971">
        <v>0</v>
      </c>
      <c r="Q657" s="971">
        <v>82924</v>
      </c>
      <c r="R657" s="970"/>
      <c r="S657" s="971">
        <v>582664</v>
      </c>
      <c r="T657" s="971">
        <v>-48862</v>
      </c>
      <c r="U657" s="971">
        <v>533802</v>
      </c>
    </row>
    <row r="658" spans="1:21" x14ac:dyDescent="0.25">
      <c r="A658" s="967">
        <v>97401</v>
      </c>
      <c r="B658" s="968" t="s">
        <v>3295</v>
      </c>
      <c r="C658" s="969">
        <v>7.1440000000000002E-3</v>
      </c>
      <c r="D658" s="969">
        <v>7.1303E-3</v>
      </c>
      <c r="E658" s="1008">
        <v>3585249</v>
      </c>
      <c r="F658" s="1011">
        <v>10893123</v>
      </c>
      <c r="G658" s="970">
        <v>16948011</v>
      </c>
      <c r="H658" s="970"/>
      <c r="I658" s="970">
        <v>2614675</v>
      </c>
      <c r="J658" s="971">
        <v>2326458</v>
      </c>
      <c r="K658" s="971">
        <v>4497348</v>
      </c>
      <c r="L658" s="971">
        <v>194684</v>
      </c>
      <c r="M658" s="970"/>
      <c r="N658" s="971">
        <v>87735</v>
      </c>
      <c r="O658" s="971">
        <v>0</v>
      </c>
      <c r="P658" s="971">
        <v>0</v>
      </c>
      <c r="Q658" s="971">
        <v>24107</v>
      </c>
      <c r="R658" s="970"/>
      <c r="S658" s="971">
        <v>4707703</v>
      </c>
      <c r="T658" s="971">
        <v>-954</v>
      </c>
      <c r="U658" s="971">
        <v>4706749</v>
      </c>
    </row>
    <row r="659" spans="1:21" x14ac:dyDescent="0.25">
      <c r="A659" s="967">
        <v>97402</v>
      </c>
      <c r="B659" s="968" t="s">
        <v>3296</v>
      </c>
      <c r="C659" s="969">
        <v>4.8399999999999997E-5</v>
      </c>
      <c r="D659" s="969">
        <v>4.8000000000000001E-5</v>
      </c>
      <c r="E659" s="1008">
        <v>26437</v>
      </c>
      <c r="F659" s="1011">
        <v>73331</v>
      </c>
      <c r="G659" s="970">
        <v>114821</v>
      </c>
      <c r="H659" s="970"/>
      <c r="I659" s="970">
        <v>17714</v>
      </c>
      <c r="J659" s="971">
        <v>15761</v>
      </c>
      <c r="K659" s="971">
        <v>30469</v>
      </c>
      <c r="L659" s="971">
        <v>12911</v>
      </c>
      <c r="M659" s="970"/>
      <c r="N659" s="971">
        <v>594</v>
      </c>
      <c r="O659" s="971">
        <v>0</v>
      </c>
      <c r="P659" s="971">
        <v>0</v>
      </c>
      <c r="Q659" s="971">
        <v>0</v>
      </c>
      <c r="R659" s="970"/>
      <c r="S659" s="971">
        <v>31894</v>
      </c>
      <c r="T659" s="971">
        <v>5903</v>
      </c>
      <c r="U659" s="971">
        <v>37797</v>
      </c>
    </row>
    <row r="660" spans="1:21" x14ac:dyDescent="0.25">
      <c r="A660" s="967">
        <v>97404</v>
      </c>
      <c r="B660" s="968" t="s">
        <v>3297</v>
      </c>
      <c r="C660" s="969">
        <v>2.0320000000000001E-4</v>
      </c>
      <c r="D660" s="969">
        <v>2.1010000000000001E-4</v>
      </c>
      <c r="E660" s="1008">
        <v>90668</v>
      </c>
      <c r="F660" s="1011">
        <v>320975</v>
      </c>
      <c r="G660" s="970">
        <v>482060</v>
      </c>
      <c r="H660" s="970"/>
      <c r="I660" s="970">
        <v>74370</v>
      </c>
      <c r="J660" s="971">
        <v>66173</v>
      </c>
      <c r="K660" s="971">
        <v>127920</v>
      </c>
      <c r="L660" s="971">
        <v>0</v>
      </c>
      <c r="M660" s="970"/>
      <c r="N660" s="971">
        <v>2495</v>
      </c>
      <c r="O660" s="971">
        <v>0</v>
      </c>
      <c r="P660" s="971">
        <v>0</v>
      </c>
      <c r="Q660" s="971">
        <v>26048</v>
      </c>
      <c r="R660" s="970"/>
      <c r="S660" s="971">
        <v>133903</v>
      </c>
      <c r="T660" s="971">
        <v>-9082</v>
      </c>
      <c r="U660" s="971">
        <v>124821</v>
      </c>
    </row>
    <row r="661" spans="1:21" x14ac:dyDescent="0.25">
      <c r="A661" s="967">
        <v>97405</v>
      </c>
      <c r="B661" s="968" t="s">
        <v>3298</v>
      </c>
      <c r="C661" s="969">
        <v>1.156E-4</v>
      </c>
      <c r="D661" s="969">
        <v>1.091E-4</v>
      </c>
      <c r="E661" s="1008">
        <v>71139</v>
      </c>
      <c r="F661" s="1011">
        <v>166675</v>
      </c>
      <c r="G661" s="970">
        <v>274243</v>
      </c>
      <c r="H661" s="970"/>
      <c r="I661" s="970">
        <v>42309</v>
      </c>
      <c r="J661" s="971">
        <v>37646</v>
      </c>
      <c r="K661" s="971">
        <v>72773</v>
      </c>
      <c r="L661" s="971">
        <v>33588</v>
      </c>
      <c r="M661" s="970"/>
      <c r="N661" s="971">
        <v>1420</v>
      </c>
      <c r="O661" s="971">
        <v>0</v>
      </c>
      <c r="P661" s="971">
        <v>0</v>
      </c>
      <c r="Q661" s="971">
        <v>0</v>
      </c>
      <c r="R661" s="970"/>
      <c r="S661" s="971">
        <v>76177</v>
      </c>
      <c r="T661" s="971">
        <v>8872</v>
      </c>
      <c r="U661" s="971">
        <v>85049</v>
      </c>
    </row>
    <row r="662" spans="1:21" x14ac:dyDescent="0.25">
      <c r="A662" s="967">
        <v>97408</v>
      </c>
      <c r="B662" s="968" t="s">
        <v>3299</v>
      </c>
      <c r="C662" s="969">
        <v>4.3000000000000002E-5</v>
      </c>
      <c r="D662" s="969">
        <v>4.4499999999999997E-5</v>
      </c>
      <c r="E662" s="1008">
        <v>25130</v>
      </c>
      <c r="F662" s="1011">
        <v>67984</v>
      </c>
      <c r="G662" s="970">
        <v>102011</v>
      </c>
      <c r="H662" s="970"/>
      <c r="I662" s="970">
        <v>15738</v>
      </c>
      <c r="J662" s="971">
        <v>14003</v>
      </c>
      <c r="K662" s="971">
        <v>27070</v>
      </c>
      <c r="L662" s="971">
        <v>6868</v>
      </c>
      <c r="M662" s="970"/>
      <c r="N662" s="971">
        <v>528</v>
      </c>
      <c r="O662" s="971">
        <v>0</v>
      </c>
      <c r="P662" s="971">
        <v>0</v>
      </c>
      <c r="Q662" s="971">
        <v>0</v>
      </c>
      <c r="R662" s="970"/>
      <c r="S662" s="971">
        <v>28336</v>
      </c>
      <c r="T662" s="971">
        <v>3527</v>
      </c>
      <c r="U662" s="971">
        <v>31863</v>
      </c>
    </row>
    <row r="663" spans="1:21" x14ac:dyDescent="0.25">
      <c r="A663" s="967">
        <v>97411</v>
      </c>
      <c r="B663" s="968" t="s">
        <v>3300</v>
      </c>
      <c r="C663" s="969">
        <v>6.2385000000000001E-3</v>
      </c>
      <c r="D663" s="969">
        <v>6.6379000000000004E-3</v>
      </c>
      <c r="E663" s="1008">
        <v>3028533</v>
      </c>
      <c r="F663" s="1011">
        <v>10140873</v>
      </c>
      <c r="G663" s="970">
        <v>14799856</v>
      </c>
      <c r="H663" s="970"/>
      <c r="I663" s="970">
        <v>2283266</v>
      </c>
      <c r="J663" s="971">
        <v>2031580</v>
      </c>
      <c r="K663" s="971">
        <v>3927310</v>
      </c>
      <c r="L663" s="971">
        <v>0</v>
      </c>
      <c r="M663" s="970"/>
      <c r="N663" s="971">
        <v>76615</v>
      </c>
      <c r="O663" s="971">
        <v>0</v>
      </c>
      <c r="P663" s="971">
        <v>0</v>
      </c>
      <c r="Q663" s="971">
        <v>667530</v>
      </c>
      <c r="R663" s="970"/>
      <c r="S663" s="971">
        <v>4111003</v>
      </c>
      <c r="T663" s="971">
        <v>-393360</v>
      </c>
      <c r="U663" s="971">
        <v>3717643</v>
      </c>
    </row>
    <row r="664" spans="1:21" x14ac:dyDescent="0.25">
      <c r="A664" s="967">
        <v>97412</v>
      </c>
      <c r="B664" s="968" t="s">
        <v>3301</v>
      </c>
      <c r="C664" s="969">
        <v>4.6245000000000001E-3</v>
      </c>
      <c r="D664" s="969">
        <v>4.5082000000000004E-3</v>
      </c>
      <c r="E664" s="1008">
        <v>2270407</v>
      </c>
      <c r="F664" s="1011">
        <v>6887281</v>
      </c>
      <c r="G664" s="970">
        <v>10970896</v>
      </c>
      <c r="H664" s="970"/>
      <c r="I664" s="970">
        <v>1692549</v>
      </c>
      <c r="J664" s="971">
        <v>1505978</v>
      </c>
      <c r="K664" s="971">
        <v>2911252</v>
      </c>
      <c r="L664" s="971">
        <v>233378</v>
      </c>
      <c r="M664" s="970"/>
      <c r="N664" s="971">
        <v>56793</v>
      </c>
      <c r="O664" s="971">
        <v>0</v>
      </c>
      <c r="P664" s="971">
        <v>0</v>
      </c>
      <c r="Q664" s="971">
        <v>0</v>
      </c>
      <c r="R664" s="970"/>
      <c r="S664" s="971">
        <v>3047421</v>
      </c>
      <c r="T664" s="971">
        <v>107578</v>
      </c>
      <c r="U664" s="971">
        <v>3154999</v>
      </c>
    </row>
    <row r="665" spans="1:21" x14ac:dyDescent="0.25">
      <c r="A665" s="967">
        <v>97413</v>
      </c>
      <c r="B665" s="968" t="s">
        <v>3302</v>
      </c>
      <c r="C665" s="969">
        <v>2.7E-4</v>
      </c>
      <c r="D665" s="969">
        <v>2.6570000000000001E-4</v>
      </c>
      <c r="E665" s="1008">
        <v>148220</v>
      </c>
      <c r="F665" s="1011">
        <v>405916</v>
      </c>
      <c r="G665" s="970">
        <v>640532</v>
      </c>
      <c r="H665" s="970"/>
      <c r="I665" s="970">
        <v>98819</v>
      </c>
      <c r="J665" s="971">
        <v>87926</v>
      </c>
      <c r="K665" s="971">
        <v>169973</v>
      </c>
      <c r="L665" s="971">
        <v>21390</v>
      </c>
      <c r="M665" s="970"/>
      <c r="N665" s="971">
        <v>3316</v>
      </c>
      <c r="O665" s="971">
        <v>0</v>
      </c>
      <c r="P665" s="971">
        <v>0</v>
      </c>
      <c r="Q665" s="971">
        <v>439</v>
      </c>
      <c r="R665" s="970"/>
      <c r="S665" s="971">
        <v>177923</v>
      </c>
      <c r="T665" s="971">
        <v>1118</v>
      </c>
      <c r="U665" s="971">
        <v>179041</v>
      </c>
    </row>
    <row r="666" spans="1:21" x14ac:dyDescent="0.25">
      <c r="A666" s="967">
        <v>97421</v>
      </c>
      <c r="B666" s="968" t="s">
        <v>3303</v>
      </c>
      <c r="C666" s="969">
        <v>4.4739999999999998E-4</v>
      </c>
      <c r="D666" s="969">
        <v>4.2890000000000002E-4</v>
      </c>
      <c r="E666" s="1008">
        <v>210611</v>
      </c>
      <c r="F666" s="1011">
        <v>655240</v>
      </c>
      <c r="G666" s="970">
        <v>1061386</v>
      </c>
      <c r="H666" s="970"/>
      <c r="I666" s="970">
        <v>163747</v>
      </c>
      <c r="J666" s="971">
        <v>145696</v>
      </c>
      <c r="K666" s="971">
        <v>281651</v>
      </c>
      <c r="L666" s="971">
        <v>12678</v>
      </c>
      <c r="M666" s="970"/>
      <c r="N666" s="971">
        <v>5495</v>
      </c>
      <c r="O666" s="971">
        <v>0</v>
      </c>
      <c r="P666" s="971">
        <v>0</v>
      </c>
      <c r="Q666" s="971">
        <v>8104</v>
      </c>
      <c r="R666" s="970"/>
      <c r="S666" s="971">
        <v>294825</v>
      </c>
      <c r="T666" s="971">
        <v>-12344</v>
      </c>
      <c r="U666" s="971">
        <v>282481</v>
      </c>
    </row>
    <row r="667" spans="1:21" x14ac:dyDescent="0.25">
      <c r="A667" s="967">
        <v>97423</v>
      </c>
      <c r="B667" s="968" t="s">
        <v>3304</v>
      </c>
      <c r="C667" s="969">
        <v>3.93E-5</v>
      </c>
      <c r="D667" s="969">
        <v>4.3600000000000003E-5</v>
      </c>
      <c r="E667" s="1008">
        <v>40515</v>
      </c>
      <c r="F667" s="1011">
        <v>66609</v>
      </c>
      <c r="G667" s="970">
        <v>93233</v>
      </c>
      <c r="H667" s="970"/>
      <c r="I667" s="970">
        <v>14384</v>
      </c>
      <c r="J667" s="971">
        <v>12798</v>
      </c>
      <c r="K667" s="971">
        <v>24740</v>
      </c>
      <c r="L667" s="971">
        <v>37150</v>
      </c>
      <c r="M667" s="970"/>
      <c r="N667" s="971">
        <v>483</v>
      </c>
      <c r="O667" s="971">
        <v>0</v>
      </c>
      <c r="P667" s="971">
        <v>0</v>
      </c>
      <c r="Q667" s="971">
        <v>0</v>
      </c>
      <c r="R667" s="970"/>
      <c r="S667" s="971">
        <v>25898</v>
      </c>
      <c r="T667" s="971">
        <v>15711</v>
      </c>
      <c r="U667" s="971">
        <v>41609</v>
      </c>
    </row>
    <row r="668" spans="1:21" x14ac:dyDescent="0.25">
      <c r="A668" s="967">
        <v>97431</v>
      </c>
      <c r="B668" s="968" t="s">
        <v>3305</v>
      </c>
      <c r="C668" s="969">
        <v>1.0349999999999999E-4</v>
      </c>
      <c r="D668" s="969">
        <v>8.5599999999999994E-5</v>
      </c>
      <c r="E668" s="1008">
        <v>50715</v>
      </c>
      <c r="F668" s="1011">
        <v>130773</v>
      </c>
      <c r="G668" s="970">
        <v>245537</v>
      </c>
      <c r="H668" s="970"/>
      <c r="I668" s="970">
        <v>37881</v>
      </c>
      <c r="J668" s="971">
        <v>33705</v>
      </c>
      <c r="K668" s="971">
        <v>65156</v>
      </c>
      <c r="L668" s="971">
        <v>17263</v>
      </c>
      <c r="M668" s="970"/>
      <c r="N668" s="971">
        <v>1271</v>
      </c>
      <c r="O668" s="971">
        <v>0</v>
      </c>
      <c r="P668" s="971">
        <v>0</v>
      </c>
      <c r="Q668" s="971">
        <v>0</v>
      </c>
      <c r="R668" s="970"/>
      <c r="S668" s="971">
        <v>68204</v>
      </c>
      <c r="T668" s="971">
        <v>5239</v>
      </c>
      <c r="U668" s="971">
        <v>73443</v>
      </c>
    </row>
    <row r="669" spans="1:21" x14ac:dyDescent="0.25">
      <c r="A669" s="967">
        <v>97441</v>
      </c>
      <c r="B669" s="968" t="s">
        <v>3306</v>
      </c>
      <c r="C669" s="969">
        <v>5.2899999999999998E-5</v>
      </c>
      <c r="D669" s="969">
        <v>7.5799999999999999E-5</v>
      </c>
      <c r="E669" s="1008">
        <v>21552</v>
      </c>
      <c r="F669" s="1011">
        <v>115801</v>
      </c>
      <c r="G669" s="970">
        <v>125497</v>
      </c>
      <c r="H669" s="970"/>
      <c r="I669" s="970">
        <v>19361</v>
      </c>
      <c r="J669" s="971">
        <v>17227</v>
      </c>
      <c r="K669" s="971">
        <v>33302</v>
      </c>
      <c r="L669" s="971">
        <v>0</v>
      </c>
      <c r="M669" s="970"/>
      <c r="N669" s="971">
        <v>650</v>
      </c>
      <c r="O669" s="971">
        <v>0</v>
      </c>
      <c r="P669" s="971">
        <v>0</v>
      </c>
      <c r="Q669" s="971">
        <v>25076</v>
      </c>
      <c r="R669" s="970"/>
      <c r="S669" s="971">
        <v>34860</v>
      </c>
      <c r="T669" s="971">
        <v>-7198</v>
      </c>
      <c r="U669" s="971">
        <v>27662</v>
      </c>
    </row>
    <row r="670" spans="1:21" x14ac:dyDescent="0.25">
      <c r="A670" s="967">
        <v>97451</v>
      </c>
      <c r="B670" s="968" t="s">
        <v>3307</v>
      </c>
      <c r="C670" s="969">
        <v>6.3380000000000001E-4</v>
      </c>
      <c r="D670" s="969">
        <v>5.5820000000000002E-4</v>
      </c>
      <c r="E670" s="1008">
        <v>257108</v>
      </c>
      <c r="F670" s="1011">
        <v>852775</v>
      </c>
      <c r="G670" s="970">
        <v>1503590</v>
      </c>
      <c r="H670" s="970"/>
      <c r="I670" s="970">
        <v>231968</v>
      </c>
      <c r="J670" s="971">
        <v>206398</v>
      </c>
      <c r="K670" s="971">
        <v>398995</v>
      </c>
      <c r="L670" s="971">
        <v>21165</v>
      </c>
      <c r="M670" s="970"/>
      <c r="N670" s="971">
        <v>7784</v>
      </c>
      <c r="O670" s="971">
        <v>0</v>
      </c>
      <c r="P670" s="971">
        <v>0</v>
      </c>
      <c r="Q670" s="971">
        <v>34586</v>
      </c>
      <c r="R670" s="970"/>
      <c r="S670" s="971">
        <v>417657</v>
      </c>
      <c r="T670" s="971">
        <v>81</v>
      </c>
      <c r="U670" s="971">
        <v>417738</v>
      </c>
    </row>
    <row r="671" spans="1:21" x14ac:dyDescent="0.25">
      <c r="A671" s="967">
        <v>97461</v>
      </c>
      <c r="B671" s="968" t="s">
        <v>3308</v>
      </c>
      <c r="C671" s="969">
        <v>5.3019999999999999E-4</v>
      </c>
      <c r="D671" s="969">
        <v>5.976E-4</v>
      </c>
      <c r="E671" s="1008">
        <v>243221</v>
      </c>
      <c r="F671" s="1011">
        <v>912967</v>
      </c>
      <c r="G671" s="970">
        <v>1257816</v>
      </c>
      <c r="H671" s="970"/>
      <c r="I671" s="970">
        <v>194051</v>
      </c>
      <c r="J671" s="971">
        <v>172661</v>
      </c>
      <c r="K671" s="971">
        <v>333776</v>
      </c>
      <c r="L671" s="971">
        <v>3040</v>
      </c>
      <c r="M671" s="970"/>
      <c r="N671" s="971">
        <v>6511</v>
      </c>
      <c r="O671" s="971">
        <v>0</v>
      </c>
      <c r="P671" s="971">
        <v>0</v>
      </c>
      <c r="Q671" s="971">
        <v>87265</v>
      </c>
      <c r="R671" s="970"/>
      <c r="S671" s="971">
        <v>349387</v>
      </c>
      <c r="T671" s="971">
        <v>-29095</v>
      </c>
      <c r="U671" s="971">
        <v>320292</v>
      </c>
    </row>
    <row r="672" spans="1:21" x14ac:dyDescent="0.25">
      <c r="A672" s="967" t="s">
        <v>4106</v>
      </c>
      <c r="B672" s="968" t="s">
        <v>3309</v>
      </c>
      <c r="C672" s="969">
        <v>0</v>
      </c>
      <c r="D672" s="969">
        <v>4.1100000000000003E-5</v>
      </c>
      <c r="E672" s="1008">
        <v>8702</v>
      </c>
      <c r="F672" s="1011">
        <v>62789</v>
      </c>
      <c r="G672" s="970">
        <v>0</v>
      </c>
      <c r="H672" s="970"/>
      <c r="I672" s="970">
        <v>0</v>
      </c>
      <c r="J672" s="971">
        <v>0</v>
      </c>
      <c r="K672" s="971">
        <v>0</v>
      </c>
      <c r="L672" s="971">
        <v>310</v>
      </c>
      <c r="M672" s="970"/>
      <c r="N672" s="971">
        <v>0</v>
      </c>
      <c r="O672" s="971">
        <v>0</v>
      </c>
      <c r="P672" s="971">
        <v>0</v>
      </c>
      <c r="Q672" s="971">
        <v>31362</v>
      </c>
      <c r="R672" s="970"/>
      <c r="S672" s="971">
        <v>0</v>
      </c>
      <c r="T672" s="971">
        <v>-8061</v>
      </c>
      <c r="U672" s="971">
        <v>-8061</v>
      </c>
    </row>
    <row r="673" spans="1:21" x14ac:dyDescent="0.25">
      <c r="A673" s="967">
        <v>97471</v>
      </c>
      <c r="B673" s="968" t="s">
        <v>3310</v>
      </c>
      <c r="C673" s="969">
        <v>1.66E-5</v>
      </c>
      <c r="D673" s="969">
        <v>1.22E-5</v>
      </c>
      <c r="E673" s="1008">
        <v>12312</v>
      </c>
      <c r="F673" s="1011">
        <v>18638</v>
      </c>
      <c r="G673" s="970">
        <v>39381</v>
      </c>
      <c r="H673" s="970"/>
      <c r="I673" s="970">
        <v>6076</v>
      </c>
      <c r="J673" s="971">
        <v>5406</v>
      </c>
      <c r="K673" s="971">
        <v>10450</v>
      </c>
      <c r="L673" s="971">
        <v>10650</v>
      </c>
      <c r="M673" s="970"/>
      <c r="N673" s="971">
        <v>204</v>
      </c>
      <c r="O673" s="971">
        <v>0</v>
      </c>
      <c r="P673" s="971">
        <v>0</v>
      </c>
      <c r="Q673" s="971">
        <v>0</v>
      </c>
      <c r="R673" s="970"/>
      <c r="S673" s="971">
        <v>10939</v>
      </c>
      <c r="T673" s="971">
        <v>4239</v>
      </c>
      <c r="U673" s="971">
        <v>15178</v>
      </c>
    </row>
    <row r="674" spans="1:21" x14ac:dyDescent="0.25">
      <c r="A674" s="967">
        <v>97481</v>
      </c>
      <c r="B674" s="968" t="s">
        <v>3311</v>
      </c>
      <c r="C674" s="969">
        <v>1.26E-5</v>
      </c>
      <c r="D674" s="969">
        <v>9.9000000000000001E-6</v>
      </c>
      <c r="E674" s="1008">
        <v>4408</v>
      </c>
      <c r="F674" s="1011">
        <v>15124</v>
      </c>
      <c r="G674" s="970">
        <v>29892</v>
      </c>
      <c r="H674" s="970"/>
      <c r="I674" s="970">
        <v>4612</v>
      </c>
      <c r="J674" s="971">
        <v>4103</v>
      </c>
      <c r="K674" s="971">
        <v>7932</v>
      </c>
      <c r="L674" s="971">
        <v>1760</v>
      </c>
      <c r="M674" s="970"/>
      <c r="N674" s="971">
        <v>155</v>
      </c>
      <c r="O674" s="971">
        <v>0</v>
      </c>
      <c r="P674" s="971">
        <v>0</v>
      </c>
      <c r="Q674" s="971">
        <v>2336</v>
      </c>
      <c r="R674" s="970"/>
      <c r="S674" s="971">
        <v>8303</v>
      </c>
      <c r="T674" s="971">
        <v>1709</v>
      </c>
      <c r="U674" s="971">
        <v>10012</v>
      </c>
    </row>
    <row r="675" spans="1:21" x14ac:dyDescent="0.25">
      <c r="A675" s="967">
        <v>97491</v>
      </c>
      <c r="B675" s="968" t="s">
        <v>3312</v>
      </c>
      <c r="C675" s="969">
        <v>0</v>
      </c>
      <c r="D675" s="969">
        <v>0</v>
      </c>
      <c r="E675" s="1008">
        <v>4408</v>
      </c>
      <c r="F675" s="1011">
        <v>0</v>
      </c>
      <c r="G675" s="970">
        <v>0</v>
      </c>
      <c r="H675" s="970"/>
      <c r="I675" s="970">
        <v>0</v>
      </c>
      <c r="J675" s="971">
        <v>0</v>
      </c>
      <c r="K675" s="971">
        <v>0</v>
      </c>
      <c r="L675" s="971">
        <v>0</v>
      </c>
      <c r="M675" s="970"/>
      <c r="N675" s="971">
        <v>0</v>
      </c>
      <c r="O675" s="971">
        <v>0</v>
      </c>
      <c r="P675" s="971">
        <v>0</v>
      </c>
      <c r="Q675" s="971">
        <v>2921</v>
      </c>
      <c r="R675" s="970"/>
      <c r="S675" s="971">
        <v>0</v>
      </c>
      <c r="T675" s="971">
        <v>-4927</v>
      </c>
      <c r="U675" s="971">
        <v>-4927</v>
      </c>
    </row>
    <row r="676" spans="1:21" x14ac:dyDescent="0.25">
      <c r="A676" s="967">
        <v>97501</v>
      </c>
      <c r="B676" s="968" t="s">
        <v>3313</v>
      </c>
      <c r="C676" s="969">
        <v>1.0767999999999999E-3</v>
      </c>
      <c r="D676" s="969">
        <v>1.1000999999999999E-3</v>
      </c>
      <c r="E676" s="1008">
        <v>543678</v>
      </c>
      <c r="F676" s="1011">
        <v>1680648</v>
      </c>
      <c r="G676" s="970">
        <v>2554538</v>
      </c>
      <c r="H676" s="970"/>
      <c r="I676" s="970">
        <v>394104</v>
      </c>
      <c r="J676" s="971">
        <v>350662</v>
      </c>
      <c r="K676" s="971">
        <v>677876</v>
      </c>
      <c r="L676" s="971">
        <v>80569</v>
      </c>
      <c r="M676" s="970"/>
      <c r="N676" s="971">
        <v>13224</v>
      </c>
      <c r="O676" s="971">
        <v>0</v>
      </c>
      <c r="P676" s="971">
        <v>0</v>
      </c>
      <c r="Q676" s="971">
        <v>3282</v>
      </c>
      <c r="R676" s="970"/>
      <c r="S676" s="971">
        <v>709582</v>
      </c>
      <c r="T676" s="971">
        <v>43661</v>
      </c>
      <c r="U676" s="971">
        <v>753243</v>
      </c>
    </row>
    <row r="677" spans="1:21" x14ac:dyDescent="0.25">
      <c r="A677" s="967">
        <v>97511</v>
      </c>
      <c r="B677" s="968" t="s">
        <v>3314</v>
      </c>
      <c r="C677" s="969">
        <v>1.8090000000000001E-4</v>
      </c>
      <c r="D677" s="969">
        <v>2.3450000000000001E-4</v>
      </c>
      <c r="E677" s="1008">
        <v>102059</v>
      </c>
      <c r="F677" s="1011">
        <v>358251</v>
      </c>
      <c r="G677" s="970">
        <v>429157</v>
      </c>
      <c r="H677" s="970"/>
      <c r="I677" s="970">
        <v>66209</v>
      </c>
      <c r="J677" s="971">
        <v>58911</v>
      </c>
      <c r="K677" s="971">
        <v>113882</v>
      </c>
      <c r="L677" s="971">
        <v>8581</v>
      </c>
      <c r="M677" s="970"/>
      <c r="N677" s="971">
        <v>2222</v>
      </c>
      <c r="O677" s="971">
        <v>0</v>
      </c>
      <c r="P677" s="971">
        <v>0</v>
      </c>
      <c r="Q677" s="971">
        <v>27881</v>
      </c>
      <c r="R677" s="970"/>
      <c r="S677" s="971">
        <v>119208</v>
      </c>
      <c r="T677" s="971">
        <v>-3085</v>
      </c>
      <c r="U677" s="971">
        <v>116123</v>
      </c>
    </row>
    <row r="678" spans="1:21" x14ac:dyDescent="0.25">
      <c r="A678" s="967">
        <v>97521</v>
      </c>
      <c r="B678" s="968" t="s">
        <v>3315</v>
      </c>
      <c r="C678" s="969">
        <v>1.2640000000000001E-4</v>
      </c>
      <c r="D678" s="969">
        <v>1.2870000000000001E-4</v>
      </c>
      <c r="E678" s="1008">
        <v>58327</v>
      </c>
      <c r="F678" s="1011">
        <v>196618</v>
      </c>
      <c r="G678" s="970">
        <v>299864</v>
      </c>
      <c r="H678" s="970"/>
      <c r="I678" s="970">
        <v>46262</v>
      </c>
      <c r="J678" s="971">
        <v>41162</v>
      </c>
      <c r="K678" s="971">
        <v>79572</v>
      </c>
      <c r="L678" s="971">
        <v>0</v>
      </c>
      <c r="M678" s="970"/>
      <c r="N678" s="971">
        <v>1552</v>
      </c>
      <c r="O678" s="971">
        <v>0</v>
      </c>
      <c r="P678" s="971">
        <v>0</v>
      </c>
      <c r="Q678" s="971">
        <v>13218</v>
      </c>
      <c r="R678" s="970"/>
      <c r="S678" s="971">
        <v>83294</v>
      </c>
      <c r="T678" s="971">
        <v>-4767</v>
      </c>
      <c r="U678" s="971">
        <v>78527</v>
      </c>
    </row>
    <row r="679" spans="1:21" x14ac:dyDescent="0.25">
      <c r="A679" s="967">
        <v>97531</v>
      </c>
      <c r="B679" s="968" t="s">
        <v>3316</v>
      </c>
      <c r="C679" s="969">
        <v>5.2800000000000003E-5</v>
      </c>
      <c r="D679" s="969">
        <v>4.32E-5</v>
      </c>
      <c r="E679" s="1008">
        <v>29949</v>
      </c>
      <c r="F679" s="1011">
        <v>65998</v>
      </c>
      <c r="G679" s="970">
        <v>125260</v>
      </c>
      <c r="H679" s="970"/>
      <c r="I679" s="970">
        <v>19325</v>
      </c>
      <c r="J679" s="971">
        <v>17194</v>
      </c>
      <c r="K679" s="971">
        <v>33239</v>
      </c>
      <c r="L679" s="971">
        <v>18303</v>
      </c>
      <c r="M679" s="970"/>
      <c r="N679" s="971">
        <v>648</v>
      </c>
      <c r="O679" s="971">
        <v>0</v>
      </c>
      <c r="P679" s="971">
        <v>0</v>
      </c>
      <c r="Q679" s="971">
        <v>3521</v>
      </c>
      <c r="R679" s="970"/>
      <c r="S679" s="971">
        <v>34794</v>
      </c>
      <c r="T679" s="971">
        <v>42</v>
      </c>
      <c r="U679" s="971">
        <v>34836</v>
      </c>
    </row>
    <row r="680" spans="1:21" x14ac:dyDescent="0.25">
      <c r="A680" s="967">
        <v>97601</v>
      </c>
      <c r="B680" s="968" t="s">
        <v>3317</v>
      </c>
      <c r="C680" s="969">
        <v>5.2467E-3</v>
      </c>
      <c r="D680" s="969">
        <v>5.1672000000000003E-3</v>
      </c>
      <c r="E680" s="1008">
        <v>2483069</v>
      </c>
      <c r="F680" s="1011">
        <v>7894050</v>
      </c>
      <c r="G680" s="970">
        <v>12446967</v>
      </c>
      <c r="H680" s="970"/>
      <c r="I680" s="970">
        <v>1920271</v>
      </c>
      <c r="J680" s="971">
        <v>1708599</v>
      </c>
      <c r="K680" s="971">
        <v>3302945</v>
      </c>
      <c r="L680" s="971">
        <v>143195</v>
      </c>
      <c r="M680" s="970"/>
      <c r="N680" s="971">
        <v>64435</v>
      </c>
      <c r="O680" s="971">
        <v>0</v>
      </c>
      <c r="P680" s="971">
        <v>0</v>
      </c>
      <c r="Q680" s="971">
        <v>56258</v>
      </c>
      <c r="R680" s="970"/>
      <c r="S680" s="971">
        <v>3457434</v>
      </c>
      <c r="T680" s="971">
        <v>-900</v>
      </c>
      <c r="U680" s="971">
        <v>3456534</v>
      </c>
    </row>
    <row r="681" spans="1:21" x14ac:dyDescent="0.25">
      <c r="A681" s="967">
        <v>97607</v>
      </c>
      <c r="B681" s="968" t="s">
        <v>3318</v>
      </c>
      <c r="C681" s="969">
        <v>2.23E-5</v>
      </c>
      <c r="D681" s="969">
        <v>2.3200000000000001E-5</v>
      </c>
      <c r="E681" s="1008">
        <v>18882</v>
      </c>
      <c r="F681" s="1011">
        <v>35443</v>
      </c>
      <c r="G681" s="970">
        <v>52903</v>
      </c>
      <c r="H681" s="970"/>
      <c r="I681" s="970">
        <v>8162</v>
      </c>
      <c r="J681" s="971">
        <v>7262</v>
      </c>
      <c r="K681" s="971">
        <v>14038</v>
      </c>
      <c r="L681" s="971">
        <v>13674</v>
      </c>
      <c r="M681" s="970"/>
      <c r="N681" s="971">
        <v>274</v>
      </c>
      <c r="O681" s="971">
        <v>0</v>
      </c>
      <c r="P681" s="971">
        <v>0</v>
      </c>
      <c r="Q681" s="971">
        <v>0</v>
      </c>
      <c r="R681" s="970"/>
      <c r="S681" s="971">
        <v>14695</v>
      </c>
      <c r="T681" s="971">
        <v>6841</v>
      </c>
      <c r="U681" s="971">
        <v>21536</v>
      </c>
    </row>
    <row r="682" spans="1:21" x14ac:dyDescent="0.25">
      <c r="A682" s="967">
        <v>97611</v>
      </c>
      <c r="B682" s="968" t="s">
        <v>3319</v>
      </c>
      <c r="C682" s="969">
        <v>2.3620999999999998E-3</v>
      </c>
      <c r="D682" s="969">
        <v>2.4767999999999999E-3</v>
      </c>
      <c r="E682" s="1008">
        <v>1130810</v>
      </c>
      <c r="F682" s="1011">
        <v>3783864</v>
      </c>
      <c r="G682" s="970">
        <v>5603709</v>
      </c>
      <c r="H682" s="970"/>
      <c r="I682" s="970">
        <v>864519</v>
      </c>
      <c r="J682" s="971">
        <v>769222</v>
      </c>
      <c r="K682" s="971">
        <v>1487008</v>
      </c>
      <c r="L682" s="971">
        <v>0</v>
      </c>
      <c r="M682" s="970"/>
      <c r="N682" s="971">
        <v>29009</v>
      </c>
      <c r="O682" s="971">
        <v>0</v>
      </c>
      <c r="P682" s="971">
        <v>0</v>
      </c>
      <c r="Q682" s="971">
        <v>262473</v>
      </c>
      <c r="R682" s="970"/>
      <c r="S682" s="971">
        <v>1556560</v>
      </c>
      <c r="T682" s="971">
        <v>-141266</v>
      </c>
      <c r="U682" s="971">
        <v>1415294</v>
      </c>
    </row>
    <row r="683" spans="1:21" x14ac:dyDescent="0.25">
      <c r="A683" s="967">
        <v>97613</v>
      </c>
      <c r="B683" s="968" t="s">
        <v>3320</v>
      </c>
      <c r="C683" s="969">
        <v>1.155E-4</v>
      </c>
      <c r="D683" s="969">
        <v>1.1629999999999999E-4</v>
      </c>
      <c r="E683" s="1008">
        <v>63111</v>
      </c>
      <c r="F683" s="1011">
        <v>177674</v>
      </c>
      <c r="G683" s="970">
        <v>274006</v>
      </c>
      <c r="H683" s="970"/>
      <c r="I683" s="970">
        <v>42273</v>
      </c>
      <c r="J683" s="971">
        <v>37613</v>
      </c>
      <c r="K683" s="971">
        <v>72710</v>
      </c>
      <c r="L683" s="971">
        <v>7279</v>
      </c>
      <c r="M683" s="970"/>
      <c r="N683" s="971">
        <v>1418</v>
      </c>
      <c r="O683" s="971">
        <v>0</v>
      </c>
      <c r="P683" s="971">
        <v>0</v>
      </c>
      <c r="Q683" s="971">
        <v>1649</v>
      </c>
      <c r="R683" s="970"/>
      <c r="S683" s="971">
        <v>76111</v>
      </c>
      <c r="T683" s="971">
        <v>633</v>
      </c>
      <c r="U683" s="971">
        <v>76744</v>
      </c>
    </row>
    <row r="684" spans="1:21" x14ac:dyDescent="0.25">
      <c r="A684" s="967">
        <v>97621</v>
      </c>
      <c r="B684" s="968" t="s">
        <v>3321</v>
      </c>
      <c r="C684" s="969">
        <v>4.4650000000000001E-4</v>
      </c>
      <c r="D684" s="969">
        <v>4.5179999999999998E-4</v>
      </c>
      <c r="E684" s="1008">
        <v>187776</v>
      </c>
      <c r="F684" s="1011">
        <v>690225</v>
      </c>
      <c r="G684" s="970">
        <v>1059251</v>
      </c>
      <c r="H684" s="970"/>
      <c r="I684" s="970">
        <v>163417</v>
      </c>
      <c r="J684" s="971">
        <v>145404</v>
      </c>
      <c r="K684" s="971">
        <v>281084</v>
      </c>
      <c r="L684" s="971">
        <v>7112</v>
      </c>
      <c r="M684" s="970"/>
      <c r="N684" s="971">
        <v>5483</v>
      </c>
      <c r="O684" s="971">
        <v>0</v>
      </c>
      <c r="P684" s="971">
        <v>0</v>
      </c>
      <c r="Q684" s="971">
        <v>77672</v>
      </c>
      <c r="R684" s="970"/>
      <c r="S684" s="971">
        <v>294231</v>
      </c>
      <c r="T684" s="971">
        <v>-19086</v>
      </c>
      <c r="U684" s="971">
        <v>275145</v>
      </c>
    </row>
    <row r="685" spans="1:21" x14ac:dyDescent="0.25">
      <c r="A685" s="967">
        <v>97623</v>
      </c>
      <c r="B685" s="968" t="s">
        <v>3322</v>
      </c>
      <c r="C685" s="969">
        <v>2.4000000000000001E-5</v>
      </c>
      <c r="D685" s="969">
        <v>2.9499999999999999E-5</v>
      </c>
      <c r="E685" s="1008">
        <v>11409</v>
      </c>
      <c r="F685" s="1011">
        <v>45068</v>
      </c>
      <c r="G685" s="970">
        <v>56936</v>
      </c>
      <c r="H685" s="970"/>
      <c r="I685" s="970">
        <v>8784</v>
      </c>
      <c r="J685" s="971">
        <v>7815</v>
      </c>
      <c r="K685" s="971">
        <v>15109</v>
      </c>
      <c r="L685" s="971">
        <v>2822</v>
      </c>
      <c r="M685" s="970"/>
      <c r="N685" s="971">
        <v>295</v>
      </c>
      <c r="O685" s="971">
        <v>0</v>
      </c>
      <c r="P685" s="971">
        <v>0</v>
      </c>
      <c r="Q685" s="971">
        <v>5509</v>
      </c>
      <c r="R685" s="970"/>
      <c r="S685" s="971">
        <v>15815</v>
      </c>
      <c r="T685" s="971">
        <v>2196</v>
      </c>
      <c r="U685" s="971">
        <v>18011</v>
      </c>
    </row>
    <row r="686" spans="1:21" x14ac:dyDescent="0.25">
      <c r="A686" s="967">
        <v>97627</v>
      </c>
      <c r="B686" s="968" t="s">
        <v>3323</v>
      </c>
      <c r="C686" s="969">
        <v>9.5000000000000005E-6</v>
      </c>
      <c r="D686" s="969">
        <v>9.7000000000000003E-6</v>
      </c>
      <c r="E686" s="1008">
        <v>5463</v>
      </c>
      <c r="F686" s="1011">
        <v>14819</v>
      </c>
      <c r="G686" s="970">
        <v>22537</v>
      </c>
      <c r="H686" s="970"/>
      <c r="I686" s="970">
        <v>3477</v>
      </c>
      <c r="J686" s="971">
        <v>3094</v>
      </c>
      <c r="K686" s="971">
        <v>5981</v>
      </c>
      <c r="L686" s="971">
        <v>860</v>
      </c>
      <c r="M686" s="970"/>
      <c r="N686" s="971">
        <v>117</v>
      </c>
      <c r="O686" s="971">
        <v>0</v>
      </c>
      <c r="P686" s="971">
        <v>0</v>
      </c>
      <c r="Q686" s="971">
        <v>455</v>
      </c>
      <c r="R686" s="970"/>
      <c r="S686" s="971">
        <v>6260</v>
      </c>
      <c r="T686" s="971">
        <v>-64</v>
      </c>
      <c r="U686" s="971">
        <v>6196</v>
      </c>
    </row>
    <row r="687" spans="1:21" x14ac:dyDescent="0.25">
      <c r="A687" s="967">
        <v>97631</v>
      </c>
      <c r="B687" s="968" t="s">
        <v>3324</v>
      </c>
      <c r="C687" s="969">
        <v>2.0909999999999999E-4</v>
      </c>
      <c r="D687" s="969">
        <v>2.051E-4</v>
      </c>
      <c r="E687" s="1008">
        <v>92383</v>
      </c>
      <c r="F687" s="1011">
        <v>313336</v>
      </c>
      <c r="G687" s="970">
        <v>496057</v>
      </c>
      <c r="H687" s="970"/>
      <c r="I687" s="970">
        <v>76530</v>
      </c>
      <c r="J687" s="971">
        <v>68094</v>
      </c>
      <c r="K687" s="971">
        <v>131634</v>
      </c>
      <c r="L687" s="971">
        <v>3847</v>
      </c>
      <c r="M687" s="970"/>
      <c r="N687" s="971">
        <v>2568</v>
      </c>
      <c r="O687" s="971">
        <v>0</v>
      </c>
      <c r="P687" s="971">
        <v>0</v>
      </c>
      <c r="Q687" s="971">
        <v>7878</v>
      </c>
      <c r="R687" s="970"/>
      <c r="S687" s="971">
        <v>137791</v>
      </c>
      <c r="T687" s="971">
        <v>3264</v>
      </c>
      <c r="U687" s="971">
        <v>141055</v>
      </c>
    </row>
    <row r="688" spans="1:21" x14ac:dyDescent="0.25">
      <c r="A688" s="967">
        <v>97637</v>
      </c>
      <c r="B688" s="968" t="s">
        <v>3325</v>
      </c>
      <c r="C688" s="969">
        <v>3.7000000000000002E-6</v>
      </c>
      <c r="D688" s="969">
        <v>4.3000000000000003E-6</v>
      </c>
      <c r="E688" s="1008">
        <v>3308</v>
      </c>
      <c r="F688" s="1011">
        <v>6569</v>
      </c>
      <c r="G688" s="970">
        <v>8778</v>
      </c>
      <c r="H688" s="970"/>
      <c r="I688" s="970">
        <v>1354</v>
      </c>
      <c r="J688" s="971">
        <v>1205</v>
      </c>
      <c r="K688" s="971">
        <v>2329</v>
      </c>
      <c r="L688" s="971">
        <v>1324</v>
      </c>
      <c r="M688" s="970"/>
      <c r="N688" s="971">
        <v>45</v>
      </c>
      <c r="O688" s="971">
        <v>0</v>
      </c>
      <c r="P688" s="971">
        <v>0</v>
      </c>
      <c r="Q688" s="971">
        <v>20</v>
      </c>
      <c r="R688" s="970"/>
      <c r="S688" s="971">
        <v>2438</v>
      </c>
      <c r="T688" s="971">
        <v>571</v>
      </c>
      <c r="U688" s="971">
        <v>3009</v>
      </c>
    </row>
    <row r="689" spans="1:21" x14ac:dyDescent="0.25">
      <c r="A689" s="967">
        <v>97641</v>
      </c>
      <c r="B689" s="968" t="s">
        <v>3326</v>
      </c>
      <c r="C689" s="969">
        <v>5.1400000000000003E-5</v>
      </c>
      <c r="D689" s="969">
        <v>6.8899999999999994E-5</v>
      </c>
      <c r="E689" s="1008">
        <v>30439</v>
      </c>
      <c r="F689" s="1011">
        <v>105260</v>
      </c>
      <c r="G689" s="970">
        <v>121938</v>
      </c>
      <c r="H689" s="970"/>
      <c r="I689" s="970">
        <v>18812</v>
      </c>
      <c r="J689" s="971">
        <v>16739</v>
      </c>
      <c r="K689" s="971">
        <v>32358</v>
      </c>
      <c r="L689" s="971">
        <v>8101</v>
      </c>
      <c r="M689" s="970"/>
      <c r="N689" s="971">
        <v>631</v>
      </c>
      <c r="O689" s="971">
        <v>0</v>
      </c>
      <c r="P689" s="971">
        <v>0</v>
      </c>
      <c r="Q689" s="971">
        <v>8286</v>
      </c>
      <c r="R689" s="970"/>
      <c r="S689" s="971">
        <v>33871</v>
      </c>
      <c r="T689" s="971">
        <v>0</v>
      </c>
      <c r="U689" s="971">
        <v>33871</v>
      </c>
    </row>
    <row r="690" spans="1:21" x14ac:dyDescent="0.25">
      <c r="A690" s="967">
        <v>97651</v>
      </c>
      <c r="B690" s="968" t="s">
        <v>3327</v>
      </c>
      <c r="C690" s="969">
        <v>5.1929999999999999E-4</v>
      </c>
      <c r="D690" s="969">
        <v>5.1979999999999995E-4</v>
      </c>
      <c r="E690" s="1008">
        <v>232694</v>
      </c>
      <c r="F690" s="1011">
        <v>794110</v>
      </c>
      <c r="G690" s="970">
        <v>1231957</v>
      </c>
      <c r="H690" s="970"/>
      <c r="I690" s="970">
        <v>190062</v>
      </c>
      <c r="J690" s="971">
        <v>169112</v>
      </c>
      <c r="K690" s="971">
        <v>326914</v>
      </c>
      <c r="L690" s="971">
        <v>1180</v>
      </c>
      <c r="M690" s="970"/>
      <c r="N690" s="971">
        <v>6378</v>
      </c>
      <c r="O690" s="971">
        <v>0</v>
      </c>
      <c r="P690" s="971">
        <v>0</v>
      </c>
      <c r="Q690" s="971">
        <v>40115</v>
      </c>
      <c r="R690" s="970"/>
      <c r="S690" s="971">
        <v>342205</v>
      </c>
      <c r="T690" s="971">
        <v>-23900</v>
      </c>
      <c r="U690" s="971">
        <v>318305</v>
      </c>
    </row>
    <row r="691" spans="1:21" x14ac:dyDescent="0.25">
      <c r="A691" s="967">
        <v>97661</v>
      </c>
      <c r="B691" s="968" t="s">
        <v>3328</v>
      </c>
      <c r="C691" s="969">
        <v>4.3999999999999999E-5</v>
      </c>
      <c r="D691" s="969">
        <v>5.1600000000000001E-5</v>
      </c>
      <c r="E691" s="1008">
        <v>25900</v>
      </c>
      <c r="F691" s="1011">
        <v>78831</v>
      </c>
      <c r="G691" s="970">
        <v>104383</v>
      </c>
      <c r="H691" s="970"/>
      <c r="I691" s="970">
        <v>16104</v>
      </c>
      <c r="J691" s="971">
        <v>14329</v>
      </c>
      <c r="K691" s="971">
        <v>27699</v>
      </c>
      <c r="L691" s="971">
        <v>7695</v>
      </c>
      <c r="M691" s="970"/>
      <c r="N691" s="971">
        <v>540</v>
      </c>
      <c r="O691" s="971">
        <v>0</v>
      </c>
      <c r="P691" s="971">
        <v>0</v>
      </c>
      <c r="Q691" s="971">
        <v>2802</v>
      </c>
      <c r="R691" s="970"/>
      <c r="S691" s="971">
        <v>28995</v>
      </c>
      <c r="T691" s="971">
        <v>4350</v>
      </c>
      <c r="U691" s="971">
        <v>33345</v>
      </c>
    </row>
    <row r="692" spans="1:21" x14ac:dyDescent="0.25">
      <c r="A692" s="967">
        <v>97701</v>
      </c>
      <c r="B692" s="968" t="s">
        <v>3329</v>
      </c>
      <c r="C692" s="969">
        <v>2.5590000000000001E-3</v>
      </c>
      <c r="D692" s="969">
        <v>2.4975000000000002E-3</v>
      </c>
      <c r="E692" s="1008">
        <v>1244785</v>
      </c>
      <c r="F692" s="1011">
        <v>3815488</v>
      </c>
      <c r="G692" s="970">
        <v>6070823</v>
      </c>
      <c r="H692" s="970"/>
      <c r="I692" s="970">
        <v>936584</v>
      </c>
      <c r="J692" s="971">
        <v>833344</v>
      </c>
      <c r="K692" s="971">
        <v>1610962</v>
      </c>
      <c r="L692" s="971">
        <v>51260</v>
      </c>
      <c r="M692" s="970"/>
      <c r="N692" s="971">
        <v>31427</v>
      </c>
      <c r="O692" s="971">
        <v>0</v>
      </c>
      <c r="P692" s="971">
        <v>0</v>
      </c>
      <c r="Q692" s="971">
        <v>0</v>
      </c>
      <c r="R692" s="970"/>
      <c r="S692" s="971">
        <v>1686312</v>
      </c>
      <c r="T692" s="971">
        <v>10250</v>
      </c>
      <c r="U692" s="971">
        <v>1696562</v>
      </c>
    </row>
    <row r="693" spans="1:21" x14ac:dyDescent="0.25">
      <c r="A693" s="967">
        <v>97705</v>
      </c>
      <c r="B693" s="968" t="s">
        <v>3330</v>
      </c>
      <c r="C693" s="969">
        <v>4.5500000000000001E-5</v>
      </c>
      <c r="D693" s="969">
        <v>4.7700000000000001E-5</v>
      </c>
      <c r="E693" s="1008">
        <v>23599</v>
      </c>
      <c r="F693" s="1011">
        <v>72872</v>
      </c>
      <c r="G693" s="970">
        <v>107942</v>
      </c>
      <c r="H693" s="970"/>
      <c r="I693" s="970">
        <v>16653</v>
      </c>
      <c r="J693" s="971">
        <v>14818</v>
      </c>
      <c r="K693" s="971">
        <v>28644</v>
      </c>
      <c r="L693" s="971">
        <v>1548</v>
      </c>
      <c r="M693" s="970"/>
      <c r="N693" s="971">
        <v>559</v>
      </c>
      <c r="O693" s="971">
        <v>0</v>
      </c>
      <c r="P693" s="971">
        <v>0</v>
      </c>
      <c r="Q693" s="971">
        <v>9592</v>
      </c>
      <c r="R693" s="970"/>
      <c r="S693" s="971">
        <v>29983</v>
      </c>
      <c r="T693" s="971">
        <v>-54</v>
      </c>
      <c r="U693" s="971">
        <v>29929</v>
      </c>
    </row>
    <row r="694" spans="1:21" x14ac:dyDescent="0.25">
      <c r="A694" s="967">
        <v>97711</v>
      </c>
      <c r="B694" s="968" t="s">
        <v>3331</v>
      </c>
      <c r="C694" s="969">
        <v>9.1239999999999995E-4</v>
      </c>
      <c r="D694" s="969">
        <v>9.0879999999999997E-4</v>
      </c>
      <c r="E694" s="1008">
        <v>457010</v>
      </c>
      <c r="F694" s="1011">
        <v>1388395</v>
      </c>
      <c r="G694" s="970">
        <v>2164525</v>
      </c>
      <c r="H694" s="970"/>
      <c r="I694" s="970">
        <v>333935</v>
      </c>
      <c r="J694" s="971">
        <v>297125</v>
      </c>
      <c r="K694" s="971">
        <v>574381</v>
      </c>
      <c r="L694" s="971">
        <v>12495</v>
      </c>
      <c r="M694" s="970"/>
      <c r="N694" s="971">
        <v>11205</v>
      </c>
      <c r="O694" s="971">
        <v>0</v>
      </c>
      <c r="P694" s="971">
        <v>0</v>
      </c>
      <c r="Q694" s="971">
        <v>22125</v>
      </c>
      <c r="R694" s="970"/>
      <c r="S694" s="971">
        <v>601247</v>
      </c>
      <c r="T694" s="971">
        <v>1420</v>
      </c>
      <c r="U694" s="971">
        <v>602667</v>
      </c>
    </row>
    <row r="695" spans="1:21" x14ac:dyDescent="0.25">
      <c r="A695" s="967">
        <v>97713</v>
      </c>
      <c r="B695" s="968" t="s">
        <v>3332</v>
      </c>
      <c r="C695" s="969">
        <v>5.0500000000000001E-5</v>
      </c>
      <c r="D695" s="969">
        <v>4.1199999999999999E-5</v>
      </c>
      <c r="E695" s="1008">
        <v>21943</v>
      </c>
      <c r="F695" s="1011">
        <v>62942</v>
      </c>
      <c r="G695" s="970">
        <v>119803</v>
      </c>
      <c r="H695" s="970"/>
      <c r="I695" s="970">
        <v>18483</v>
      </c>
      <c r="J695" s="971">
        <v>16445</v>
      </c>
      <c r="K695" s="971">
        <v>31791</v>
      </c>
      <c r="L695" s="971">
        <v>4434</v>
      </c>
      <c r="M695" s="970"/>
      <c r="N695" s="971">
        <v>620</v>
      </c>
      <c r="O695" s="971">
        <v>0</v>
      </c>
      <c r="P695" s="971">
        <v>0</v>
      </c>
      <c r="Q695" s="971">
        <v>11193</v>
      </c>
      <c r="R695" s="970"/>
      <c r="S695" s="971">
        <v>33278</v>
      </c>
      <c r="T695" s="971">
        <v>-3702</v>
      </c>
      <c r="U695" s="971">
        <v>29576</v>
      </c>
    </row>
    <row r="696" spans="1:21" x14ac:dyDescent="0.25">
      <c r="A696" s="967">
        <v>97717</v>
      </c>
      <c r="B696" s="968" t="s">
        <v>3333</v>
      </c>
      <c r="C696" s="969">
        <v>5.3000000000000001E-6</v>
      </c>
      <c r="D696" s="969">
        <v>4.6999999999999999E-6</v>
      </c>
      <c r="E696" s="1008">
        <v>2473</v>
      </c>
      <c r="F696" s="1011">
        <v>7180</v>
      </c>
      <c r="G696" s="970">
        <v>12573</v>
      </c>
      <c r="H696" s="970"/>
      <c r="I696" s="970">
        <v>1940</v>
      </c>
      <c r="J696" s="971">
        <v>1726</v>
      </c>
      <c r="K696" s="971">
        <v>3336</v>
      </c>
      <c r="L696" s="971">
        <v>1033</v>
      </c>
      <c r="M696" s="970"/>
      <c r="N696" s="971">
        <v>65</v>
      </c>
      <c r="O696" s="971">
        <v>0</v>
      </c>
      <c r="P696" s="971">
        <v>0</v>
      </c>
      <c r="Q696" s="971">
        <v>1481</v>
      </c>
      <c r="R696" s="970"/>
      <c r="S696" s="971">
        <v>3493</v>
      </c>
      <c r="T696" s="971">
        <v>-1455</v>
      </c>
      <c r="U696" s="971">
        <v>2038</v>
      </c>
    </row>
    <row r="697" spans="1:21" x14ac:dyDescent="0.25">
      <c r="A697" s="967">
        <v>97721</v>
      </c>
      <c r="B697" s="968" t="s">
        <v>3334</v>
      </c>
      <c r="C697" s="969">
        <v>5.9069999999999999E-4</v>
      </c>
      <c r="D697" s="969">
        <v>5.6599999999999999E-4</v>
      </c>
      <c r="E697" s="1008">
        <v>271325</v>
      </c>
      <c r="F697" s="1011">
        <v>864691</v>
      </c>
      <c r="G697" s="970">
        <v>1401342</v>
      </c>
      <c r="H697" s="970"/>
      <c r="I697" s="970">
        <v>216194</v>
      </c>
      <c r="J697" s="971">
        <v>192363</v>
      </c>
      <c r="K697" s="971">
        <v>371862</v>
      </c>
      <c r="L697" s="971">
        <v>11194</v>
      </c>
      <c r="M697" s="970"/>
      <c r="N697" s="971">
        <v>7254</v>
      </c>
      <c r="O697" s="971">
        <v>0</v>
      </c>
      <c r="P697" s="971">
        <v>0</v>
      </c>
      <c r="Q697" s="971">
        <v>16380</v>
      </c>
      <c r="R697" s="970"/>
      <c r="S697" s="971">
        <v>389255</v>
      </c>
      <c r="T697" s="971">
        <v>-8177</v>
      </c>
      <c r="U697" s="971">
        <v>381078</v>
      </c>
    </row>
    <row r="698" spans="1:21" x14ac:dyDescent="0.25">
      <c r="A698" s="967">
        <v>97727</v>
      </c>
      <c r="B698" s="968" t="s">
        <v>3335</v>
      </c>
      <c r="C698" s="969">
        <v>2.0599999999999999E-5</v>
      </c>
      <c r="D698" s="969">
        <v>2.27E-5</v>
      </c>
      <c r="E698" s="1008">
        <v>11179</v>
      </c>
      <c r="F698" s="1011">
        <v>34679</v>
      </c>
      <c r="G698" s="970">
        <v>48870</v>
      </c>
      <c r="H698" s="970"/>
      <c r="I698" s="970">
        <v>7540</v>
      </c>
      <c r="J698" s="971">
        <v>6709</v>
      </c>
      <c r="K698" s="971">
        <v>12968</v>
      </c>
      <c r="L698" s="971">
        <v>0</v>
      </c>
      <c r="M698" s="970"/>
      <c r="N698" s="971">
        <v>253</v>
      </c>
      <c r="O698" s="971">
        <v>0</v>
      </c>
      <c r="P698" s="971">
        <v>0</v>
      </c>
      <c r="Q698" s="971">
        <v>1628</v>
      </c>
      <c r="R698" s="970"/>
      <c r="S698" s="971">
        <v>13575</v>
      </c>
      <c r="T698" s="971">
        <v>-1410</v>
      </c>
      <c r="U698" s="971">
        <v>12165</v>
      </c>
    </row>
    <row r="699" spans="1:21" x14ac:dyDescent="0.25">
      <c r="A699" s="967">
        <v>97731</v>
      </c>
      <c r="B699" s="968" t="s">
        <v>3336</v>
      </c>
      <c r="C699" s="969">
        <v>3.3200000000000001E-5</v>
      </c>
      <c r="D699" s="969">
        <v>3.5500000000000002E-5</v>
      </c>
      <c r="E699" s="1008">
        <v>19916</v>
      </c>
      <c r="F699" s="1011">
        <v>54234</v>
      </c>
      <c r="G699" s="970">
        <v>78762</v>
      </c>
      <c r="H699" s="970"/>
      <c r="I699" s="970">
        <v>12151</v>
      </c>
      <c r="J699" s="971">
        <v>10811</v>
      </c>
      <c r="K699" s="971">
        <v>20900</v>
      </c>
      <c r="L699" s="971">
        <v>4695</v>
      </c>
      <c r="M699" s="970"/>
      <c r="N699" s="971">
        <v>408</v>
      </c>
      <c r="O699" s="971">
        <v>0</v>
      </c>
      <c r="P699" s="971">
        <v>0</v>
      </c>
      <c r="Q699" s="971">
        <v>0</v>
      </c>
      <c r="R699" s="970"/>
      <c r="S699" s="971">
        <v>21878</v>
      </c>
      <c r="T699" s="971">
        <v>3280</v>
      </c>
      <c r="U699" s="971">
        <v>25158</v>
      </c>
    </row>
    <row r="700" spans="1:21" x14ac:dyDescent="0.25">
      <c r="A700" s="967">
        <v>97801</v>
      </c>
      <c r="B700" s="968" t="s">
        <v>3693</v>
      </c>
      <c r="C700" s="969">
        <v>6.5702E-3</v>
      </c>
      <c r="D700" s="969">
        <v>6.9303000000000003E-3</v>
      </c>
      <c r="E700" s="1008">
        <v>3252424</v>
      </c>
      <c r="F700" s="1011">
        <v>10587579</v>
      </c>
      <c r="G700" s="970">
        <v>15586761</v>
      </c>
      <c r="H700" s="970"/>
      <c r="I700" s="970">
        <v>2404667</v>
      </c>
      <c r="J700" s="971">
        <v>2139599</v>
      </c>
      <c r="K700" s="971">
        <v>4136125</v>
      </c>
      <c r="L700" s="971">
        <v>0</v>
      </c>
      <c r="M700" s="970"/>
      <c r="N700" s="971">
        <v>80689</v>
      </c>
      <c r="O700" s="971">
        <v>0</v>
      </c>
      <c r="P700" s="971">
        <v>0</v>
      </c>
      <c r="Q700" s="971">
        <v>508951</v>
      </c>
      <c r="R700" s="970"/>
      <c r="S700" s="971">
        <v>4329584</v>
      </c>
      <c r="T700" s="971">
        <v>-154797</v>
      </c>
      <c r="U700" s="971">
        <v>4174787</v>
      </c>
    </row>
    <row r="701" spans="1:21" x14ac:dyDescent="0.25">
      <c r="A701" s="967">
        <v>97802</v>
      </c>
      <c r="B701" s="968" t="s">
        <v>3338</v>
      </c>
      <c r="C701" s="969">
        <v>1.684E-4</v>
      </c>
      <c r="D701" s="969">
        <v>1.5300000000000001E-4</v>
      </c>
      <c r="E701" s="1008">
        <v>84583</v>
      </c>
      <c r="F701" s="1011">
        <v>233742</v>
      </c>
      <c r="G701" s="970">
        <v>399502</v>
      </c>
      <c r="H701" s="970"/>
      <c r="I701" s="970">
        <v>61634</v>
      </c>
      <c r="J701" s="971">
        <v>54840</v>
      </c>
      <c r="K701" s="971">
        <v>106013</v>
      </c>
      <c r="L701" s="971">
        <v>12750</v>
      </c>
      <c r="M701" s="970"/>
      <c r="N701" s="971">
        <v>2068</v>
      </c>
      <c r="O701" s="971">
        <v>0</v>
      </c>
      <c r="P701" s="971">
        <v>0</v>
      </c>
      <c r="Q701" s="971">
        <v>17264</v>
      </c>
      <c r="R701" s="970"/>
      <c r="S701" s="971">
        <v>110971</v>
      </c>
      <c r="T701" s="971">
        <v>1914</v>
      </c>
      <c r="U701" s="971">
        <v>112885</v>
      </c>
    </row>
    <row r="702" spans="1:21" x14ac:dyDescent="0.25">
      <c r="A702" s="967">
        <v>97803</v>
      </c>
      <c r="B702" s="968" t="s">
        <v>3339</v>
      </c>
      <c r="C702" s="969">
        <v>8.1699999999999994E-5</v>
      </c>
      <c r="D702" s="969">
        <v>7.5300000000000001E-5</v>
      </c>
      <c r="E702" s="1008">
        <v>39274</v>
      </c>
      <c r="F702" s="1011">
        <v>115038</v>
      </c>
      <c r="G702" s="970">
        <v>193820</v>
      </c>
      <c r="H702" s="970"/>
      <c r="I702" s="970">
        <v>29902</v>
      </c>
      <c r="J702" s="971">
        <v>26605</v>
      </c>
      <c r="K702" s="971">
        <v>51432</v>
      </c>
      <c r="L702" s="971">
        <v>5367</v>
      </c>
      <c r="M702" s="970"/>
      <c r="N702" s="971">
        <v>1003</v>
      </c>
      <c r="O702" s="971">
        <v>0</v>
      </c>
      <c r="P702" s="971">
        <v>0</v>
      </c>
      <c r="Q702" s="971">
        <v>685</v>
      </c>
      <c r="R702" s="970"/>
      <c r="S702" s="971">
        <v>53838</v>
      </c>
      <c r="T702" s="971">
        <v>4391</v>
      </c>
      <c r="U702" s="971">
        <v>58229</v>
      </c>
    </row>
    <row r="703" spans="1:21" x14ac:dyDescent="0.25">
      <c r="A703" s="967">
        <v>97805</v>
      </c>
      <c r="B703" s="968" t="s">
        <v>3340</v>
      </c>
      <c r="C703" s="969">
        <v>8.2700000000000004E-5</v>
      </c>
      <c r="D703" s="969">
        <v>7.9400000000000006E-5</v>
      </c>
      <c r="E703" s="1008">
        <v>42170</v>
      </c>
      <c r="F703" s="1011">
        <v>121301</v>
      </c>
      <c r="G703" s="970">
        <v>196193</v>
      </c>
      <c r="H703" s="970"/>
      <c r="I703" s="970">
        <v>30268</v>
      </c>
      <c r="J703" s="971">
        <v>26932</v>
      </c>
      <c r="K703" s="971">
        <v>52062</v>
      </c>
      <c r="L703" s="971">
        <v>9379</v>
      </c>
      <c r="M703" s="970"/>
      <c r="N703" s="971">
        <v>1016</v>
      </c>
      <c r="O703" s="971">
        <v>0</v>
      </c>
      <c r="P703" s="971">
        <v>0</v>
      </c>
      <c r="Q703" s="971">
        <v>0</v>
      </c>
      <c r="R703" s="970"/>
      <c r="S703" s="971">
        <v>54497</v>
      </c>
      <c r="T703" s="971">
        <v>4756</v>
      </c>
      <c r="U703" s="971">
        <v>59253</v>
      </c>
    </row>
    <row r="704" spans="1:21" x14ac:dyDescent="0.25">
      <c r="A704" s="967">
        <v>97811</v>
      </c>
      <c r="B704" s="968" t="s">
        <v>3341</v>
      </c>
      <c r="C704" s="969">
        <v>2.4342999999999999E-3</v>
      </c>
      <c r="D704" s="969">
        <v>2.4172E-3</v>
      </c>
      <c r="E704" s="1008">
        <v>1170324</v>
      </c>
      <c r="F704" s="1011">
        <v>3692812</v>
      </c>
      <c r="G704" s="970">
        <v>5774992</v>
      </c>
      <c r="H704" s="970"/>
      <c r="I704" s="970">
        <v>890944</v>
      </c>
      <c r="J704" s="971">
        <v>792734</v>
      </c>
      <c r="K704" s="971">
        <v>1532460</v>
      </c>
      <c r="L704" s="971">
        <v>0</v>
      </c>
      <c r="M704" s="970"/>
      <c r="N704" s="971">
        <v>29896</v>
      </c>
      <c r="O704" s="971">
        <v>0</v>
      </c>
      <c r="P704" s="971">
        <v>0</v>
      </c>
      <c r="Q704" s="971">
        <v>95364</v>
      </c>
      <c r="R704" s="970"/>
      <c r="S704" s="971">
        <v>1604138</v>
      </c>
      <c r="T704" s="971">
        <v>-74364</v>
      </c>
      <c r="U704" s="971">
        <v>1529774</v>
      </c>
    </row>
    <row r="705" spans="1:21" x14ac:dyDescent="0.25">
      <c r="A705" s="967">
        <v>97817</v>
      </c>
      <c r="B705" s="968" t="s">
        <v>3342</v>
      </c>
      <c r="C705" s="969">
        <v>1.8199999999999999E-5</v>
      </c>
      <c r="D705" s="969">
        <v>2.2200000000000001E-5</v>
      </c>
      <c r="E705" s="1008">
        <v>13790</v>
      </c>
      <c r="F705" s="1011">
        <v>33915</v>
      </c>
      <c r="G705" s="970">
        <v>43177</v>
      </c>
      <c r="H705" s="970"/>
      <c r="I705" s="970">
        <v>6661</v>
      </c>
      <c r="J705" s="971">
        <v>5927</v>
      </c>
      <c r="K705" s="971">
        <v>11457</v>
      </c>
      <c r="L705" s="971">
        <v>13908</v>
      </c>
      <c r="M705" s="970"/>
      <c r="N705" s="971">
        <v>224</v>
      </c>
      <c r="O705" s="971">
        <v>0</v>
      </c>
      <c r="P705" s="971">
        <v>0</v>
      </c>
      <c r="Q705" s="971">
        <v>1088</v>
      </c>
      <c r="R705" s="970"/>
      <c r="S705" s="971">
        <v>11993</v>
      </c>
      <c r="T705" s="971">
        <v>4171</v>
      </c>
      <c r="U705" s="971">
        <v>16164</v>
      </c>
    </row>
    <row r="706" spans="1:21" x14ac:dyDescent="0.25">
      <c r="A706" s="967">
        <v>97818</v>
      </c>
      <c r="B706" s="968" t="s">
        <v>3343</v>
      </c>
      <c r="C706" s="969">
        <v>2.0299999999999999E-5</v>
      </c>
      <c r="D706" s="969">
        <v>2.1999999999999999E-5</v>
      </c>
      <c r="E706" s="1008">
        <v>10225</v>
      </c>
      <c r="F706" s="1011">
        <v>33610</v>
      </c>
      <c r="G706" s="970">
        <v>48159</v>
      </c>
      <c r="H706" s="970"/>
      <c r="I706" s="970">
        <v>7430</v>
      </c>
      <c r="J706" s="971">
        <v>6611</v>
      </c>
      <c r="K706" s="971">
        <v>12779</v>
      </c>
      <c r="L706" s="971">
        <v>3906</v>
      </c>
      <c r="M706" s="970"/>
      <c r="N706" s="971">
        <v>249</v>
      </c>
      <c r="O706" s="971">
        <v>0</v>
      </c>
      <c r="P706" s="971">
        <v>0</v>
      </c>
      <c r="Q706" s="971">
        <v>983</v>
      </c>
      <c r="R706" s="970"/>
      <c r="S706" s="971">
        <v>13377</v>
      </c>
      <c r="T706" s="971">
        <v>-89</v>
      </c>
      <c r="U706" s="971">
        <v>13288</v>
      </c>
    </row>
    <row r="707" spans="1:21" x14ac:dyDescent="0.25">
      <c r="A707" s="967">
        <v>97821</v>
      </c>
      <c r="B707" s="968" t="s">
        <v>3344</v>
      </c>
      <c r="C707" s="969">
        <v>1.071E-4</v>
      </c>
      <c r="D707" s="969">
        <v>1.126E-4</v>
      </c>
      <c r="E707" s="1008">
        <v>68060</v>
      </c>
      <c r="F707" s="1011">
        <v>172022</v>
      </c>
      <c r="G707" s="970">
        <v>254078</v>
      </c>
      <c r="H707" s="970"/>
      <c r="I707" s="970">
        <v>39198</v>
      </c>
      <c r="J707" s="971">
        <v>34878</v>
      </c>
      <c r="K707" s="971">
        <v>67422</v>
      </c>
      <c r="L707" s="971">
        <v>12602</v>
      </c>
      <c r="M707" s="970"/>
      <c r="N707" s="971">
        <v>1315</v>
      </c>
      <c r="O707" s="971">
        <v>0</v>
      </c>
      <c r="P707" s="971">
        <v>0</v>
      </c>
      <c r="Q707" s="971">
        <v>5606</v>
      </c>
      <c r="R707" s="970"/>
      <c r="S707" s="971">
        <v>70576</v>
      </c>
      <c r="T707" s="971">
        <v>-7137</v>
      </c>
      <c r="U707" s="971">
        <v>63439</v>
      </c>
    </row>
    <row r="708" spans="1:21" x14ac:dyDescent="0.25">
      <c r="A708" s="967">
        <v>97823</v>
      </c>
      <c r="B708" s="968" t="s">
        <v>3345</v>
      </c>
      <c r="C708" s="969">
        <v>1.7200000000000001E-5</v>
      </c>
      <c r="D708" s="969">
        <v>2.3300000000000001E-5</v>
      </c>
      <c r="E708" s="1008">
        <v>11236</v>
      </c>
      <c r="F708" s="1011">
        <v>35596</v>
      </c>
      <c r="G708" s="970">
        <v>40804</v>
      </c>
      <c r="H708" s="970"/>
      <c r="I708" s="970">
        <v>6295</v>
      </c>
      <c r="J708" s="971">
        <v>5601</v>
      </c>
      <c r="K708" s="971">
        <v>10828</v>
      </c>
      <c r="L708" s="971">
        <v>1190</v>
      </c>
      <c r="M708" s="970"/>
      <c r="N708" s="971">
        <v>211</v>
      </c>
      <c r="O708" s="971">
        <v>0</v>
      </c>
      <c r="P708" s="971">
        <v>0</v>
      </c>
      <c r="Q708" s="971">
        <v>2106</v>
      </c>
      <c r="R708" s="970"/>
      <c r="S708" s="971">
        <v>11334</v>
      </c>
      <c r="T708" s="971">
        <v>-598</v>
      </c>
      <c r="U708" s="971">
        <v>10736</v>
      </c>
    </row>
    <row r="709" spans="1:21" x14ac:dyDescent="0.25">
      <c r="A709" s="967">
        <v>97831</v>
      </c>
      <c r="B709" s="968" t="s">
        <v>3346</v>
      </c>
      <c r="C709" s="969">
        <v>1.5200000000000001E-4</v>
      </c>
      <c r="D709" s="969">
        <v>1.7009999999999999E-4</v>
      </c>
      <c r="E709" s="1008">
        <v>86433</v>
      </c>
      <c r="F709" s="1011">
        <v>259866</v>
      </c>
      <c r="G709" s="970">
        <v>360596</v>
      </c>
      <c r="H709" s="970"/>
      <c r="I709" s="970">
        <v>55631</v>
      </c>
      <c r="J709" s="971">
        <v>49499</v>
      </c>
      <c r="K709" s="971">
        <v>95688</v>
      </c>
      <c r="L709" s="971">
        <v>11447</v>
      </c>
      <c r="M709" s="970"/>
      <c r="N709" s="971">
        <v>1867</v>
      </c>
      <c r="O709" s="971">
        <v>0</v>
      </c>
      <c r="P709" s="971">
        <v>0</v>
      </c>
      <c r="Q709" s="971">
        <v>5865</v>
      </c>
      <c r="R709" s="970"/>
      <c r="S709" s="971">
        <v>100164</v>
      </c>
      <c r="T709" s="971">
        <v>-2869</v>
      </c>
      <c r="U709" s="971">
        <v>97295</v>
      </c>
    </row>
    <row r="710" spans="1:21" x14ac:dyDescent="0.25">
      <c r="A710" s="967">
        <v>97837</v>
      </c>
      <c r="B710" s="968" t="s">
        <v>3347</v>
      </c>
      <c r="C710" s="969">
        <v>9.3000000000000007E-6</v>
      </c>
      <c r="D710" s="969">
        <v>1.0200000000000001E-5</v>
      </c>
      <c r="E710" s="1008">
        <v>7118</v>
      </c>
      <c r="F710" s="1011">
        <v>15583</v>
      </c>
      <c r="G710" s="970">
        <v>22063</v>
      </c>
      <c r="H710" s="970"/>
      <c r="I710" s="970">
        <v>3404</v>
      </c>
      <c r="J710" s="971">
        <v>3029</v>
      </c>
      <c r="K710" s="971">
        <v>5855</v>
      </c>
      <c r="L710" s="971">
        <v>3379</v>
      </c>
      <c r="M710" s="970"/>
      <c r="N710" s="971">
        <v>114</v>
      </c>
      <c r="O710" s="971">
        <v>0</v>
      </c>
      <c r="P710" s="971">
        <v>0</v>
      </c>
      <c r="Q710" s="971">
        <v>139</v>
      </c>
      <c r="R710" s="970"/>
      <c r="S710" s="971">
        <v>6128</v>
      </c>
      <c r="T710" s="971">
        <v>1610</v>
      </c>
      <c r="U710" s="971">
        <v>7738</v>
      </c>
    </row>
    <row r="711" spans="1:21" x14ac:dyDescent="0.25">
      <c r="A711" s="967">
        <v>97840</v>
      </c>
      <c r="B711" s="968" t="s">
        <v>3348</v>
      </c>
      <c r="C711" s="969">
        <v>1.36E-4</v>
      </c>
      <c r="D711" s="969">
        <v>1.3190000000000001E-4</v>
      </c>
      <c r="E711" s="1008">
        <v>115822</v>
      </c>
      <c r="F711" s="1011">
        <v>201507</v>
      </c>
      <c r="G711" s="970">
        <v>322639</v>
      </c>
      <c r="H711" s="970"/>
      <c r="I711" s="970">
        <v>49775</v>
      </c>
      <c r="J711" s="971">
        <v>44288</v>
      </c>
      <c r="K711" s="971">
        <v>85616</v>
      </c>
      <c r="L711" s="971">
        <v>90526</v>
      </c>
      <c r="M711" s="970"/>
      <c r="N711" s="971">
        <v>1670</v>
      </c>
      <c r="O711" s="971">
        <v>0</v>
      </c>
      <c r="P711" s="971">
        <v>0</v>
      </c>
      <c r="Q711" s="971">
        <v>0</v>
      </c>
      <c r="R711" s="970"/>
      <c r="S711" s="971">
        <v>89620</v>
      </c>
      <c r="T711" s="971">
        <v>37670</v>
      </c>
      <c r="U711" s="971">
        <v>127290</v>
      </c>
    </row>
    <row r="712" spans="1:21" x14ac:dyDescent="0.25">
      <c r="A712" s="967">
        <v>97841</v>
      </c>
      <c r="B712" s="968" t="s">
        <v>3349</v>
      </c>
      <c r="C712" s="969">
        <v>1.2E-5</v>
      </c>
      <c r="D712" s="969">
        <v>1.31E-5</v>
      </c>
      <c r="E712" s="1008">
        <v>6779</v>
      </c>
      <c r="F712" s="1011">
        <v>20013</v>
      </c>
      <c r="G712" s="970">
        <v>28468</v>
      </c>
      <c r="H712" s="970"/>
      <c r="I712" s="970">
        <v>4392</v>
      </c>
      <c r="J712" s="971">
        <v>3908</v>
      </c>
      <c r="K712" s="971">
        <v>7554</v>
      </c>
      <c r="L712" s="971">
        <v>186</v>
      </c>
      <c r="M712" s="970"/>
      <c r="N712" s="971">
        <v>147</v>
      </c>
      <c r="O712" s="971">
        <v>0</v>
      </c>
      <c r="P712" s="971">
        <v>0</v>
      </c>
      <c r="Q712" s="971">
        <v>783</v>
      </c>
      <c r="R712" s="970"/>
      <c r="S712" s="971">
        <v>7908</v>
      </c>
      <c r="T712" s="971">
        <v>-3836</v>
      </c>
      <c r="U712" s="971">
        <v>4072</v>
      </c>
    </row>
    <row r="713" spans="1:21" x14ac:dyDescent="0.25">
      <c r="A713" s="967">
        <v>97847</v>
      </c>
      <c r="B713" s="968" t="s">
        <v>3350</v>
      </c>
      <c r="C713" s="969">
        <v>1.9999999999999999E-6</v>
      </c>
      <c r="D713" s="969">
        <v>2.0999999999999998E-6</v>
      </c>
      <c r="E713" s="1008">
        <v>2337</v>
      </c>
      <c r="F713" s="1011">
        <v>3208</v>
      </c>
      <c r="G713" s="970">
        <v>4745</v>
      </c>
      <c r="H713" s="970"/>
      <c r="I713" s="970">
        <v>732</v>
      </c>
      <c r="J713" s="971">
        <v>651</v>
      </c>
      <c r="K713" s="971">
        <v>1259</v>
      </c>
      <c r="L713" s="971">
        <v>2019</v>
      </c>
      <c r="M713" s="970"/>
      <c r="N713" s="971">
        <v>25</v>
      </c>
      <c r="O713" s="971">
        <v>0</v>
      </c>
      <c r="P713" s="971">
        <v>0</v>
      </c>
      <c r="Q713" s="971">
        <v>0</v>
      </c>
      <c r="R713" s="970"/>
      <c r="S713" s="971">
        <v>1318</v>
      </c>
      <c r="T713" s="971">
        <v>610</v>
      </c>
      <c r="U713" s="971">
        <v>1928</v>
      </c>
    </row>
    <row r="714" spans="1:21" x14ac:dyDescent="0.25">
      <c r="A714" s="967">
        <v>97851</v>
      </c>
      <c r="B714" s="968" t="s">
        <v>3351</v>
      </c>
      <c r="C714" s="969">
        <v>2.7750000000000002E-4</v>
      </c>
      <c r="D714" s="969">
        <v>2.7799999999999998E-4</v>
      </c>
      <c r="E714" s="1008">
        <v>115502</v>
      </c>
      <c r="F714" s="1011">
        <v>424707</v>
      </c>
      <c r="G714" s="970">
        <v>658325</v>
      </c>
      <c r="H714" s="970"/>
      <c r="I714" s="970">
        <v>101564</v>
      </c>
      <c r="J714" s="971">
        <v>90369</v>
      </c>
      <c r="K714" s="971">
        <v>174694</v>
      </c>
      <c r="L714" s="971">
        <v>0</v>
      </c>
      <c r="M714" s="970"/>
      <c r="N714" s="971">
        <v>3408</v>
      </c>
      <c r="O714" s="971">
        <v>0</v>
      </c>
      <c r="P714" s="971">
        <v>0</v>
      </c>
      <c r="Q714" s="971">
        <v>25332</v>
      </c>
      <c r="R714" s="970"/>
      <c r="S714" s="971">
        <v>182865</v>
      </c>
      <c r="T714" s="971">
        <v>-6676</v>
      </c>
      <c r="U714" s="971">
        <v>176189</v>
      </c>
    </row>
    <row r="715" spans="1:21" x14ac:dyDescent="0.25">
      <c r="A715" s="967">
        <v>97853</v>
      </c>
      <c r="B715" s="968" t="s">
        <v>3352</v>
      </c>
      <c r="C715" s="969">
        <v>9.09E-5</v>
      </c>
      <c r="D715" s="969">
        <v>1.0289999999999999E-4</v>
      </c>
      <c r="E715" s="1008">
        <v>40634</v>
      </c>
      <c r="F715" s="1011">
        <v>157203</v>
      </c>
      <c r="G715" s="970">
        <v>215646</v>
      </c>
      <c r="H715" s="970"/>
      <c r="I715" s="970">
        <v>33269</v>
      </c>
      <c r="J715" s="971">
        <v>29601</v>
      </c>
      <c r="K715" s="971">
        <v>57224</v>
      </c>
      <c r="L715" s="971">
        <v>4930</v>
      </c>
      <c r="M715" s="970"/>
      <c r="N715" s="971">
        <v>1116</v>
      </c>
      <c r="O715" s="971">
        <v>0</v>
      </c>
      <c r="P715" s="971">
        <v>0</v>
      </c>
      <c r="Q715" s="971">
        <v>18002</v>
      </c>
      <c r="R715" s="970"/>
      <c r="S715" s="971">
        <v>59901</v>
      </c>
      <c r="T715" s="971">
        <v>-2497</v>
      </c>
      <c r="U715" s="971">
        <v>57404</v>
      </c>
    </row>
    <row r="716" spans="1:21" x14ac:dyDescent="0.25">
      <c r="A716" s="967">
        <v>97861</v>
      </c>
      <c r="B716" s="968" t="s">
        <v>3353</v>
      </c>
      <c r="C716" s="969">
        <v>4.3000000000000002E-5</v>
      </c>
      <c r="D716" s="969">
        <v>6.7000000000000002E-5</v>
      </c>
      <c r="E716" s="1008">
        <v>26838</v>
      </c>
      <c r="F716" s="1011">
        <v>102357</v>
      </c>
      <c r="G716" s="970">
        <v>102011</v>
      </c>
      <c r="H716" s="970"/>
      <c r="I716" s="970">
        <v>15738</v>
      </c>
      <c r="J716" s="971">
        <v>14003</v>
      </c>
      <c r="K716" s="971">
        <v>27070</v>
      </c>
      <c r="L716" s="971">
        <v>799</v>
      </c>
      <c r="M716" s="970"/>
      <c r="N716" s="971">
        <v>528</v>
      </c>
      <c r="O716" s="971">
        <v>0</v>
      </c>
      <c r="P716" s="971">
        <v>0</v>
      </c>
      <c r="Q716" s="971">
        <v>15816</v>
      </c>
      <c r="R716" s="970"/>
      <c r="S716" s="971">
        <v>28336</v>
      </c>
      <c r="T716" s="971">
        <v>-6822</v>
      </c>
      <c r="U716" s="971">
        <v>21514</v>
      </c>
    </row>
    <row r="717" spans="1:21" x14ac:dyDescent="0.25">
      <c r="A717" s="967">
        <v>97871</v>
      </c>
      <c r="B717" s="968" t="s">
        <v>3354</v>
      </c>
      <c r="C717" s="969">
        <v>3.1080000000000002E-4</v>
      </c>
      <c r="D717" s="969">
        <v>2.9930000000000001E-4</v>
      </c>
      <c r="E717" s="1008">
        <v>295106</v>
      </c>
      <c r="F717" s="1011">
        <v>457247</v>
      </c>
      <c r="G717" s="970">
        <v>737324</v>
      </c>
      <c r="H717" s="970"/>
      <c r="I717" s="970">
        <v>113752</v>
      </c>
      <c r="J717" s="971">
        <v>101213</v>
      </c>
      <c r="K717" s="971">
        <v>195657</v>
      </c>
      <c r="L717" s="971">
        <v>260432</v>
      </c>
      <c r="M717" s="970"/>
      <c r="N717" s="971">
        <v>3817</v>
      </c>
      <c r="O717" s="971">
        <v>0</v>
      </c>
      <c r="P717" s="971">
        <v>0</v>
      </c>
      <c r="Q717" s="971">
        <v>0</v>
      </c>
      <c r="R717" s="970"/>
      <c r="S717" s="971">
        <v>204809</v>
      </c>
      <c r="T717" s="971">
        <v>109999</v>
      </c>
      <c r="U717" s="971">
        <v>314808</v>
      </c>
    </row>
    <row r="718" spans="1:21" x14ac:dyDescent="0.25">
      <c r="A718" s="967">
        <v>97877</v>
      </c>
      <c r="B718" s="968" t="s">
        <v>3355</v>
      </c>
      <c r="C718" s="969">
        <v>1.7999999999999999E-6</v>
      </c>
      <c r="D718" s="969">
        <v>1.9E-6</v>
      </c>
      <c r="E718" s="1008">
        <v>2780</v>
      </c>
      <c r="F718" s="1011">
        <v>2903</v>
      </c>
      <c r="G718" s="970">
        <v>4270</v>
      </c>
      <c r="H718" s="970"/>
      <c r="I718" s="970">
        <v>659</v>
      </c>
      <c r="J718" s="971">
        <v>586</v>
      </c>
      <c r="K718" s="971">
        <v>1133</v>
      </c>
      <c r="L718" s="971">
        <v>2439</v>
      </c>
      <c r="M718" s="970"/>
      <c r="N718" s="971">
        <v>22</v>
      </c>
      <c r="O718" s="971">
        <v>0</v>
      </c>
      <c r="P718" s="971">
        <v>0</v>
      </c>
      <c r="Q718" s="971">
        <v>0</v>
      </c>
      <c r="R718" s="970"/>
      <c r="S718" s="971">
        <v>1186</v>
      </c>
      <c r="T718" s="971">
        <v>1008</v>
      </c>
      <c r="U718" s="971">
        <v>2194</v>
      </c>
    </row>
    <row r="719" spans="1:21" x14ac:dyDescent="0.25">
      <c r="A719" s="967">
        <v>97901</v>
      </c>
      <c r="B719" s="968" t="s">
        <v>3356</v>
      </c>
      <c r="C719" s="969">
        <v>4.2154000000000002E-3</v>
      </c>
      <c r="D719" s="969">
        <v>4.2658000000000001E-3</v>
      </c>
      <c r="E719" s="1008">
        <v>2084645</v>
      </c>
      <c r="F719" s="1011">
        <v>6516961</v>
      </c>
      <c r="G719" s="970">
        <v>10000370</v>
      </c>
      <c r="H719" s="970"/>
      <c r="I719" s="970">
        <v>1542820</v>
      </c>
      <c r="J719" s="971">
        <v>1372753</v>
      </c>
      <c r="K719" s="971">
        <v>2653712</v>
      </c>
      <c r="L719" s="971">
        <v>48144</v>
      </c>
      <c r="M719" s="970"/>
      <c r="N719" s="971">
        <v>51769</v>
      </c>
      <c r="O719" s="971">
        <v>0</v>
      </c>
      <c r="P719" s="971">
        <v>0</v>
      </c>
      <c r="Q719" s="971">
        <v>28304</v>
      </c>
      <c r="R719" s="970"/>
      <c r="S719" s="971">
        <v>2777835</v>
      </c>
      <c r="T719" s="971">
        <v>30359</v>
      </c>
      <c r="U719" s="971">
        <v>2808194</v>
      </c>
    </row>
    <row r="720" spans="1:21" x14ac:dyDescent="0.25">
      <c r="A720" s="967">
        <v>97911</v>
      </c>
      <c r="B720" s="968" t="s">
        <v>3357</v>
      </c>
      <c r="C720" s="969">
        <v>1.2834000000000001E-3</v>
      </c>
      <c r="D720" s="969">
        <v>1.3005E-3</v>
      </c>
      <c r="E720" s="1008">
        <v>644048</v>
      </c>
      <c r="F720" s="1011">
        <v>1986804</v>
      </c>
      <c r="G720" s="970">
        <v>3044664</v>
      </c>
      <c r="H720" s="970"/>
      <c r="I720" s="970">
        <v>469719</v>
      </c>
      <c r="J720" s="971">
        <v>417942</v>
      </c>
      <c r="K720" s="971">
        <v>807936</v>
      </c>
      <c r="L720" s="971">
        <v>11320</v>
      </c>
      <c r="M720" s="970"/>
      <c r="N720" s="971">
        <v>15761</v>
      </c>
      <c r="O720" s="971">
        <v>0</v>
      </c>
      <c r="P720" s="971">
        <v>0</v>
      </c>
      <c r="Q720" s="971">
        <v>18493</v>
      </c>
      <c r="R720" s="970"/>
      <c r="S720" s="971">
        <v>845726</v>
      </c>
      <c r="T720" s="971">
        <v>10611</v>
      </c>
      <c r="U720" s="971">
        <v>856337</v>
      </c>
    </row>
    <row r="721" spans="1:21" x14ac:dyDescent="0.25">
      <c r="A721" s="967">
        <v>97913</v>
      </c>
      <c r="B721" s="968" t="s">
        <v>3358</v>
      </c>
      <c r="C721" s="969">
        <v>3.3899999999999997E-5</v>
      </c>
      <c r="D721" s="969">
        <v>3.5899999999999998E-5</v>
      </c>
      <c r="E721" s="1008">
        <v>27204</v>
      </c>
      <c r="F721" s="1011">
        <v>54845</v>
      </c>
      <c r="G721" s="970">
        <v>80422</v>
      </c>
      <c r="H721" s="970"/>
      <c r="I721" s="970">
        <v>12407</v>
      </c>
      <c r="J721" s="971">
        <v>11039</v>
      </c>
      <c r="K721" s="971">
        <v>21341</v>
      </c>
      <c r="L721" s="971">
        <v>17313</v>
      </c>
      <c r="M721" s="970"/>
      <c r="N721" s="971">
        <v>416</v>
      </c>
      <c r="O721" s="971">
        <v>0</v>
      </c>
      <c r="P721" s="971">
        <v>0</v>
      </c>
      <c r="Q721" s="971">
        <v>0</v>
      </c>
      <c r="R721" s="970"/>
      <c r="S721" s="971">
        <v>22339</v>
      </c>
      <c r="T721" s="971">
        <v>7130</v>
      </c>
      <c r="U721" s="971">
        <v>29469</v>
      </c>
    </row>
    <row r="722" spans="1:21" x14ac:dyDescent="0.25">
      <c r="A722" s="967">
        <v>97917</v>
      </c>
      <c r="B722" s="968" t="s">
        <v>3359</v>
      </c>
      <c r="C722" s="969">
        <v>1.9700000000000001E-5</v>
      </c>
      <c r="D722" s="969">
        <v>2.0999999999999999E-5</v>
      </c>
      <c r="E722" s="1008">
        <v>13764</v>
      </c>
      <c r="F722" s="1011">
        <v>32082</v>
      </c>
      <c r="G722" s="970">
        <v>46735</v>
      </c>
      <c r="H722" s="970"/>
      <c r="I722" s="970">
        <v>7210</v>
      </c>
      <c r="J722" s="971">
        <v>6415</v>
      </c>
      <c r="K722" s="971">
        <v>12402</v>
      </c>
      <c r="L722" s="971">
        <v>7021</v>
      </c>
      <c r="M722" s="970"/>
      <c r="N722" s="971">
        <v>242</v>
      </c>
      <c r="O722" s="971">
        <v>0</v>
      </c>
      <c r="P722" s="971">
        <v>0</v>
      </c>
      <c r="Q722" s="971">
        <v>0</v>
      </c>
      <c r="R722" s="970"/>
      <c r="S722" s="971">
        <v>12982</v>
      </c>
      <c r="T722" s="971">
        <v>3750</v>
      </c>
      <c r="U722" s="971">
        <v>16732</v>
      </c>
    </row>
    <row r="723" spans="1:21" x14ac:dyDescent="0.25">
      <c r="A723" s="967">
        <v>97921</v>
      </c>
      <c r="B723" s="968" t="s">
        <v>3360</v>
      </c>
      <c r="C723" s="969">
        <v>2.2699999999999999E-4</v>
      </c>
      <c r="D723" s="969">
        <v>2.1699999999999999E-4</v>
      </c>
      <c r="E723" s="1008">
        <v>111642</v>
      </c>
      <c r="F723" s="1011">
        <v>331516</v>
      </c>
      <c r="G723" s="970">
        <v>538522</v>
      </c>
      <c r="H723" s="970"/>
      <c r="I723" s="970">
        <v>83081</v>
      </c>
      <c r="J723" s="971">
        <v>73923</v>
      </c>
      <c r="K723" s="971">
        <v>142903</v>
      </c>
      <c r="L723" s="971">
        <v>12802</v>
      </c>
      <c r="M723" s="970"/>
      <c r="N723" s="971">
        <v>2788</v>
      </c>
      <c r="O723" s="971">
        <v>0</v>
      </c>
      <c r="P723" s="971">
        <v>0</v>
      </c>
      <c r="Q723" s="971">
        <v>2898</v>
      </c>
      <c r="R723" s="970"/>
      <c r="S723" s="971">
        <v>149587</v>
      </c>
      <c r="T723" s="971">
        <v>5157</v>
      </c>
      <c r="U723" s="971">
        <v>154744</v>
      </c>
    </row>
    <row r="724" spans="1:21" x14ac:dyDescent="0.25">
      <c r="A724" s="967">
        <v>97931</v>
      </c>
      <c r="B724" s="968" t="s">
        <v>3361</v>
      </c>
      <c r="C724" s="969">
        <v>6.7600000000000003E-5</v>
      </c>
      <c r="D724" s="969">
        <v>7.0199999999999999E-5</v>
      </c>
      <c r="E724" s="1008">
        <v>33196</v>
      </c>
      <c r="F724" s="1011">
        <v>107246</v>
      </c>
      <c r="G724" s="970">
        <v>160370</v>
      </c>
      <c r="H724" s="970"/>
      <c r="I724" s="970">
        <v>24741</v>
      </c>
      <c r="J724" s="971">
        <v>22014</v>
      </c>
      <c r="K724" s="971">
        <v>42556</v>
      </c>
      <c r="L724" s="971">
        <v>9841</v>
      </c>
      <c r="M724" s="970"/>
      <c r="N724" s="971">
        <v>830</v>
      </c>
      <c r="O724" s="971">
        <v>0</v>
      </c>
      <c r="P724" s="971">
        <v>0</v>
      </c>
      <c r="Q724" s="971">
        <v>3109</v>
      </c>
      <c r="R724" s="970"/>
      <c r="S724" s="971">
        <v>44547</v>
      </c>
      <c r="T724" s="971">
        <v>1729</v>
      </c>
      <c r="U724" s="971">
        <v>46276</v>
      </c>
    </row>
    <row r="725" spans="1:21" x14ac:dyDescent="0.25">
      <c r="A725" s="967">
        <v>97941</v>
      </c>
      <c r="B725" s="968" t="s">
        <v>3362</v>
      </c>
      <c r="C725" s="969">
        <v>2.0159999999999999E-4</v>
      </c>
      <c r="D725" s="969">
        <v>2.0479999999999999E-4</v>
      </c>
      <c r="E725" s="1008">
        <v>115094</v>
      </c>
      <c r="F725" s="1011">
        <v>312878</v>
      </c>
      <c r="G725" s="970">
        <v>478264</v>
      </c>
      <c r="H725" s="970"/>
      <c r="I725" s="970">
        <v>73785</v>
      </c>
      <c r="J725" s="971">
        <v>65651</v>
      </c>
      <c r="K725" s="971">
        <v>126913</v>
      </c>
      <c r="L725" s="971">
        <v>19522</v>
      </c>
      <c r="M725" s="970"/>
      <c r="N725" s="971">
        <v>2476</v>
      </c>
      <c r="O725" s="971">
        <v>0</v>
      </c>
      <c r="P725" s="971">
        <v>0</v>
      </c>
      <c r="Q725" s="971">
        <v>6561</v>
      </c>
      <c r="R725" s="970"/>
      <c r="S725" s="971">
        <v>132849</v>
      </c>
      <c r="T725" s="971">
        <v>9717</v>
      </c>
      <c r="U725" s="971">
        <v>142566</v>
      </c>
    </row>
    <row r="726" spans="1:21" x14ac:dyDescent="0.25">
      <c r="A726" s="967">
        <v>97947</v>
      </c>
      <c r="B726" s="968" t="s">
        <v>3363</v>
      </c>
      <c r="C726" s="969">
        <v>1.47E-5</v>
      </c>
      <c r="D726" s="969">
        <v>1.3900000000000001E-5</v>
      </c>
      <c r="E726" s="1008">
        <v>13149</v>
      </c>
      <c r="F726" s="1011">
        <v>21235</v>
      </c>
      <c r="G726" s="970">
        <v>34873</v>
      </c>
      <c r="H726" s="970"/>
      <c r="I726" s="970">
        <v>5380</v>
      </c>
      <c r="J726" s="971">
        <v>4788</v>
      </c>
      <c r="K726" s="971">
        <v>9254</v>
      </c>
      <c r="L726" s="971">
        <v>11430</v>
      </c>
      <c r="M726" s="970"/>
      <c r="N726" s="971">
        <v>181</v>
      </c>
      <c r="O726" s="971">
        <v>0</v>
      </c>
      <c r="P726" s="971">
        <v>0</v>
      </c>
      <c r="Q726" s="971">
        <v>0</v>
      </c>
      <c r="R726" s="970"/>
      <c r="S726" s="971">
        <v>9687</v>
      </c>
      <c r="T726" s="971">
        <v>4453</v>
      </c>
      <c r="U726" s="971">
        <v>14140</v>
      </c>
    </row>
    <row r="727" spans="1:21" x14ac:dyDescent="0.25">
      <c r="A727" s="967">
        <v>97948</v>
      </c>
      <c r="B727" s="968" t="s">
        <v>3364</v>
      </c>
      <c r="C727" s="969">
        <v>2.1299999999999999E-5</v>
      </c>
      <c r="D727" s="969">
        <v>2.2099999999999998E-5</v>
      </c>
      <c r="E727" s="1008">
        <v>11622</v>
      </c>
      <c r="F727" s="1011">
        <v>33763</v>
      </c>
      <c r="G727" s="970">
        <v>50531</v>
      </c>
      <c r="H727" s="970"/>
      <c r="I727" s="970">
        <v>7796</v>
      </c>
      <c r="J727" s="971">
        <v>6936</v>
      </c>
      <c r="K727" s="971">
        <v>13409</v>
      </c>
      <c r="L727" s="971">
        <v>1178</v>
      </c>
      <c r="M727" s="970"/>
      <c r="N727" s="971">
        <v>262</v>
      </c>
      <c r="O727" s="971">
        <v>0</v>
      </c>
      <c r="P727" s="971">
        <v>0</v>
      </c>
      <c r="Q727" s="971">
        <v>6237</v>
      </c>
      <c r="R727" s="970"/>
      <c r="S727" s="971">
        <v>14036</v>
      </c>
      <c r="T727" s="971">
        <v>-878</v>
      </c>
      <c r="U727" s="971">
        <v>13158</v>
      </c>
    </row>
    <row r="728" spans="1:21" x14ac:dyDescent="0.25">
      <c r="A728" s="967">
        <v>97951</v>
      </c>
      <c r="B728" s="968" t="s">
        <v>3365</v>
      </c>
      <c r="C728" s="969">
        <v>1.1826E-3</v>
      </c>
      <c r="D728" s="969">
        <v>1.2440999999999999E-3</v>
      </c>
      <c r="E728" s="1008">
        <v>633575</v>
      </c>
      <c r="F728" s="1011">
        <v>1900640</v>
      </c>
      <c r="G728" s="970">
        <v>2805532</v>
      </c>
      <c r="H728" s="970"/>
      <c r="I728" s="970">
        <v>432827</v>
      </c>
      <c r="J728" s="971">
        <v>385116</v>
      </c>
      <c r="K728" s="971">
        <v>744480</v>
      </c>
      <c r="L728" s="971">
        <v>20429</v>
      </c>
      <c r="M728" s="970"/>
      <c r="N728" s="971">
        <v>14524</v>
      </c>
      <c r="O728" s="971">
        <v>0</v>
      </c>
      <c r="P728" s="971">
        <v>0</v>
      </c>
      <c r="Q728" s="971">
        <v>100</v>
      </c>
      <c r="R728" s="970"/>
      <c r="S728" s="971">
        <v>779301</v>
      </c>
      <c r="T728" s="971">
        <v>4342</v>
      </c>
      <c r="U728" s="971">
        <v>783643</v>
      </c>
    </row>
    <row r="729" spans="1:21" x14ac:dyDescent="0.25">
      <c r="A729" s="967">
        <v>97957</v>
      </c>
      <c r="B729" s="968" t="s">
        <v>3366</v>
      </c>
      <c r="C729" s="969">
        <v>1.7200000000000001E-5</v>
      </c>
      <c r="D729" s="969">
        <v>1.8700000000000001E-5</v>
      </c>
      <c r="E729" s="1008">
        <v>13053</v>
      </c>
      <c r="F729" s="1011">
        <v>28568</v>
      </c>
      <c r="G729" s="970">
        <v>40804</v>
      </c>
      <c r="H729" s="970"/>
      <c r="I729" s="970">
        <v>6295</v>
      </c>
      <c r="J729" s="971">
        <v>5601</v>
      </c>
      <c r="K729" s="971">
        <v>10828</v>
      </c>
      <c r="L729" s="971">
        <v>5813</v>
      </c>
      <c r="M729" s="970"/>
      <c r="N729" s="971">
        <v>211</v>
      </c>
      <c r="O729" s="971">
        <v>0</v>
      </c>
      <c r="P729" s="971">
        <v>0</v>
      </c>
      <c r="Q729" s="971">
        <v>466</v>
      </c>
      <c r="R729" s="970"/>
      <c r="S729" s="971">
        <v>11334</v>
      </c>
      <c r="T729" s="971">
        <v>1280</v>
      </c>
      <c r="U729" s="971">
        <v>12614</v>
      </c>
    </row>
    <row r="730" spans="1:21" x14ac:dyDescent="0.25">
      <c r="A730" s="967">
        <v>98001</v>
      </c>
      <c r="B730" s="968" t="s">
        <v>3367</v>
      </c>
      <c r="C730" s="969">
        <v>5.3728999999999999E-3</v>
      </c>
      <c r="D730" s="969">
        <v>5.1148000000000001E-3</v>
      </c>
      <c r="E730" s="1008">
        <v>2616829</v>
      </c>
      <c r="F730" s="1011">
        <v>7813998</v>
      </c>
      <c r="G730" s="970">
        <v>12746356</v>
      </c>
      <c r="H730" s="970"/>
      <c r="I730" s="970">
        <v>1966460</v>
      </c>
      <c r="J730" s="971">
        <v>1749696</v>
      </c>
      <c r="K730" s="971">
        <v>3382391</v>
      </c>
      <c r="L730" s="971">
        <v>275498</v>
      </c>
      <c r="M730" s="970"/>
      <c r="N730" s="971">
        <v>65985</v>
      </c>
      <c r="O730" s="971">
        <v>0</v>
      </c>
      <c r="P730" s="971">
        <v>0</v>
      </c>
      <c r="Q730" s="971">
        <v>0</v>
      </c>
      <c r="R730" s="970"/>
      <c r="S730" s="971">
        <v>3540596</v>
      </c>
      <c r="T730" s="971">
        <v>124587</v>
      </c>
      <c r="U730" s="971">
        <v>3665183</v>
      </c>
    </row>
    <row r="731" spans="1:21" x14ac:dyDescent="0.25">
      <c r="A731" s="967">
        <v>98002</v>
      </c>
      <c r="B731" s="968" t="s">
        <v>3368</v>
      </c>
      <c r="C731" s="969">
        <v>6.4999999999999996E-6</v>
      </c>
      <c r="D731" s="969">
        <v>6.7000000000000002E-6</v>
      </c>
      <c r="E731" s="1008">
        <v>4737</v>
      </c>
      <c r="F731" s="1011">
        <v>10236</v>
      </c>
      <c r="G731" s="970">
        <v>15420</v>
      </c>
      <c r="H731" s="970"/>
      <c r="I731" s="970">
        <v>2379</v>
      </c>
      <c r="J731" s="971">
        <v>2117</v>
      </c>
      <c r="K731" s="971">
        <v>4092</v>
      </c>
      <c r="L731" s="971">
        <v>1772</v>
      </c>
      <c r="M731" s="970"/>
      <c r="N731" s="971">
        <v>80</v>
      </c>
      <c r="O731" s="971">
        <v>0</v>
      </c>
      <c r="P731" s="971">
        <v>0</v>
      </c>
      <c r="Q731" s="971">
        <v>0</v>
      </c>
      <c r="R731" s="970"/>
      <c r="S731" s="971">
        <v>4283</v>
      </c>
      <c r="T731" s="971">
        <v>-5879</v>
      </c>
      <c r="U731" s="971">
        <v>-1596</v>
      </c>
    </row>
    <row r="732" spans="1:21" x14ac:dyDescent="0.25">
      <c r="A732" s="967">
        <v>98003</v>
      </c>
      <c r="B732" s="968" t="s">
        <v>3369</v>
      </c>
      <c r="C732" s="969">
        <v>7.7000000000000001E-5</v>
      </c>
      <c r="D732" s="969">
        <v>7.9599999999999997E-5</v>
      </c>
      <c r="E732" s="1008">
        <v>72872</v>
      </c>
      <c r="F732" s="1011">
        <v>121607</v>
      </c>
      <c r="G732" s="970">
        <v>182670</v>
      </c>
      <c r="H732" s="970"/>
      <c r="I732" s="970">
        <v>28182</v>
      </c>
      <c r="J732" s="971">
        <v>25075</v>
      </c>
      <c r="K732" s="971">
        <v>48474</v>
      </c>
      <c r="L732" s="971">
        <v>62655</v>
      </c>
      <c r="M732" s="970"/>
      <c r="N732" s="971">
        <v>946</v>
      </c>
      <c r="O732" s="971">
        <v>0</v>
      </c>
      <c r="P732" s="971">
        <v>0</v>
      </c>
      <c r="Q732" s="971">
        <v>0</v>
      </c>
      <c r="R732" s="970"/>
      <c r="S732" s="971">
        <v>50741</v>
      </c>
      <c r="T732" s="971">
        <v>25199</v>
      </c>
      <c r="U732" s="971">
        <v>75940</v>
      </c>
    </row>
    <row r="733" spans="1:21" x14ac:dyDescent="0.25">
      <c r="A733" s="967">
        <v>98004</v>
      </c>
      <c r="B733" s="968" t="s">
        <v>3370</v>
      </c>
      <c r="C733" s="969">
        <v>1.189E-4</v>
      </c>
      <c r="D733" s="969">
        <v>1.182E-4</v>
      </c>
      <c r="E733" s="1008">
        <v>81880</v>
      </c>
      <c r="F733" s="1011">
        <v>180577</v>
      </c>
      <c r="G733" s="970">
        <v>282071</v>
      </c>
      <c r="H733" s="970"/>
      <c r="I733" s="970">
        <v>43517</v>
      </c>
      <c r="J733" s="971">
        <v>38720</v>
      </c>
      <c r="K733" s="971">
        <v>74851</v>
      </c>
      <c r="L733" s="971">
        <v>41871</v>
      </c>
      <c r="M733" s="970"/>
      <c r="N733" s="971">
        <v>1460</v>
      </c>
      <c r="O733" s="971">
        <v>0</v>
      </c>
      <c r="P733" s="971">
        <v>0</v>
      </c>
      <c r="Q733" s="971">
        <v>0</v>
      </c>
      <c r="R733" s="970"/>
      <c r="S733" s="971">
        <v>78352</v>
      </c>
      <c r="T733" s="971">
        <v>19024</v>
      </c>
      <c r="U733" s="971">
        <v>97376</v>
      </c>
    </row>
    <row r="734" spans="1:21" x14ac:dyDescent="0.25">
      <c r="A734" s="967">
        <v>98008</v>
      </c>
      <c r="B734" s="968" t="s">
        <v>3371</v>
      </c>
      <c r="C734" s="969">
        <v>7.7000000000000008E-6</v>
      </c>
      <c r="D734" s="969">
        <v>7.9999999999999996E-6</v>
      </c>
      <c r="E734" s="1008">
        <v>3731</v>
      </c>
      <c r="F734" s="1011">
        <v>12222</v>
      </c>
      <c r="G734" s="970">
        <v>18267</v>
      </c>
      <c r="H734" s="970"/>
      <c r="I734" s="970">
        <v>2818</v>
      </c>
      <c r="J734" s="971">
        <v>2507</v>
      </c>
      <c r="K734" s="971">
        <v>4847</v>
      </c>
      <c r="L734" s="971">
        <v>20</v>
      </c>
      <c r="M734" s="970"/>
      <c r="N734" s="971">
        <v>95</v>
      </c>
      <c r="O734" s="971">
        <v>0</v>
      </c>
      <c r="P734" s="971">
        <v>0</v>
      </c>
      <c r="Q734" s="971">
        <v>556</v>
      </c>
      <c r="R734" s="970"/>
      <c r="S734" s="971">
        <v>5074</v>
      </c>
      <c r="T734" s="971">
        <v>-548</v>
      </c>
      <c r="U734" s="971">
        <v>4526</v>
      </c>
    </row>
    <row r="735" spans="1:21" x14ac:dyDescent="0.25">
      <c r="A735" s="967">
        <v>98011</v>
      </c>
      <c r="B735" s="968" t="s">
        <v>3372</v>
      </c>
      <c r="C735" s="969">
        <v>3.2946999999999998E-3</v>
      </c>
      <c r="D735" s="969">
        <v>3.1578999999999999E-3</v>
      </c>
      <c r="E735" s="1008">
        <v>1591661</v>
      </c>
      <c r="F735" s="1011">
        <v>4824396</v>
      </c>
      <c r="G735" s="970">
        <v>7816155</v>
      </c>
      <c r="H735" s="970"/>
      <c r="I735" s="970">
        <v>1205847</v>
      </c>
      <c r="J735" s="971">
        <v>1072925</v>
      </c>
      <c r="K735" s="971">
        <v>2074106</v>
      </c>
      <c r="L735" s="971">
        <v>81290</v>
      </c>
      <c r="M735" s="970"/>
      <c r="N735" s="971">
        <v>40462</v>
      </c>
      <c r="O735" s="971">
        <v>0</v>
      </c>
      <c r="P735" s="971">
        <v>0</v>
      </c>
      <c r="Q735" s="971">
        <v>168657</v>
      </c>
      <c r="R735" s="970"/>
      <c r="S735" s="971">
        <v>2171118</v>
      </c>
      <c r="T735" s="971">
        <v>-126045</v>
      </c>
      <c r="U735" s="971">
        <v>2045073</v>
      </c>
    </row>
    <row r="736" spans="1:21" x14ac:dyDescent="0.25">
      <c r="A736" s="967">
        <v>98013</v>
      </c>
      <c r="B736" s="968" t="s">
        <v>3373</v>
      </c>
      <c r="C736" s="969">
        <v>1.3439999999999999E-4</v>
      </c>
      <c r="D736" s="969">
        <v>1.415E-4</v>
      </c>
      <c r="E736" s="1008">
        <v>141747</v>
      </c>
      <c r="F736" s="1011">
        <v>216173</v>
      </c>
      <c r="G736" s="970">
        <v>318843</v>
      </c>
      <c r="H736" s="970"/>
      <c r="I736" s="970">
        <v>49190</v>
      </c>
      <c r="J736" s="971">
        <v>43768</v>
      </c>
      <c r="K736" s="971">
        <v>84609</v>
      </c>
      <c r="L736" s="971">
        <v>137928</v>
      </c>
      <c r="M736" s="970"/>
      <c r="N736" s="971">
        <v>1651</v>
      </c>
      <c r="O736" s="971">
        <v>0</v>
      </c>
      <c r="P736" s="971">
        <v>0</v>
      </c>
      <c r="Q736" s="971">
        <v>0</v>
      </c>
      <c r="R736" s="970"/>
      <c r="S736" s="971">
        <v>88566</v>
      </c>
      <c r="T736" s="971">
        <v>55732</v>
      </c>
      <c r="U736" s="971">
        <v>144298</v>
      </c>
    </row>
    <row r="737" spans="1:21" x14ac:dyDescent="0.25">
      <c r="A737" s="967">
        <v>98021</v>
      </c>
      <c r="B737" s="968" t="s">
        <v>3374</v>
      </c>
      <c r="C737" s="969">
        <v>3.6100000000000003E-5</v>
      </c>
      <c r="D737" s="969">
        <v>8.6199999999999995E-5</v>
      </c>
      <c r="E737" s="1008">
        <v>27245</v>
      </c>
      <c r="F737" s="1011">
        <v>131690</v>
      </c>
      <c r="G737" s="970">
        <v>85642</v>
      </c>
      <c r="H737" s="970"/>
      <c r="I737" s="970">
        <v>13212</v>
      </c>
      <c r="J737" s="971">
        <v>11756</v>
      </c>
      <c r="K737" s="971">
        <v>22726</v>
      </c>
      <c r="L737" s="971">
        <v>6068</v>
      </c>
      <c r="M737" s="970"/>
      <c r="N737" s="971">
        <v>443</v>
      </c>
      <c r="O737" s="971">
        <v>0</v>
      </c>
      <c r="P737" s="971">
        <v>0</v>
      </c>
      <c r="Q737" s="971">
        <v>29951</v>
      </c>
      <c r="R737" s="970"/>
      <c r="S737" s="971">
        <v>23789</v>
      </c>
      <c r="T737" s="971">
        <v>-559</v>
      </c>
      <c r="U737" s="971">
        <v>23230</v>
      </c>
    </row>
    <row r="738" spans="1:21" x14ac:dyDescent="0.25">
      <c r="A738" s="967">
        <v>98023</v>
      </c>
      <c r="B738" s="968" t="s">
        <v>3375</v>
      </c>
      <c r="C738" s="969">
        <v>1.88E-5</v>
      </c>
      <c r="D738" s="969">
        <v>1.43E-5</v>
      </c>
      <c r="E738" s="1008">
        <v>7200</v>
      </c>
      <c r="F738" s="1011">
        <v>21846</v>
      </c>
      <c r="G738" s="970">
        <v>44600</v>
      </c>
      <c r="H738" s="970"/>
      <c r="I738" s="970">
        <v>6881</v>
      </c>
      <c r="J738" s="971">
        <v>6122</v>
      </c>
      <c r="K738" s="971">
        <v>11835</v>
      </c>
      <c r="L738" s="971">
        <v>1700</v>
      </c>
      <c r="M738" s="970"/>
      <c r="N738" s="971">
        <v>231</v>
      </c>
      <c r="O738" s="971">
        <v>0</v>
      </c>
      <c r="P738" s="971">
        <v>0</v>
      </c>
      <c r="Q738" s="971">
        <v>2588</v>
      </c>
      <c r="R738" s="970"/>
      <c r="S738" s="971">
        <v>12389</v>
      </c>
      <c r="T738" s="971">
        <v>-2200</v>
      </c>
      <c r="U738" s="971">
        <v>10189</v>
      </c>
    </row>
    <row r="739" spans="1:21" x14ac:dyDescent="0.25">
      <c r="A739" s="967">
        <v>98031</v>
      </c>
      <c r="B739" s="968" t="s">
        <v>3376</v>
      </c>
      <c r="C739" s="969">
        <v>1.717E-4</v>
      </c>
      <c r="D739" s="969">
        <v>1.537E-4</v>
      </c>
      <c r="E739" s="1008">
        <v>74400</v>
      </c>
      <c r="F739" s="1011">
        <v>234811</v>
      </c>
      <c r="G739" s="970">
        <v>407331</v>
      </c>
      <c r="H739" s="970"/>
      <c r="I739" s="970">
        <v>62842</v>
      </c>
      <c r="J739" s="971">
        <v>55914</v>
      </c>
      <c r="K739" s="971">
        <v>108090</v>
      </c>
      <c r="L739" s="971">
        <v>7268</v>
      </c>
      <c r="M739" s="970"/>
      <c r="N739" s="971">
        <v>2109</v>
      </c>
      <c r="O739" s="971">
        <v>0</v>
      </c>
      <c r="P739" s="971">
        <v>0</v>
      </c>
      <c r="Q739" s="971">
        <v>5245</v>
      </c>
      <c r="R739" s="970"/>
      <c r="S739" s="971">
        <v>113146</v>
      </c>
      <c r="T739" s="971">
        <v>-92</v>
      </c>
      <c r="U739" s="971">
        <v>113054</v>
      </c>
    </row>
    <row r="740" spans="1:21" x14ac:dyDescent="0.25">
      <c r="A740" s="967">
        <v>98041</v>
      </c>
      <c r="B740" s="968" t="s">
        <v>3377</v>
      </c>
      <c r="C740" s="969">
        <v>2.242E-4</v>
      </c>
      <c r="D740" s="969">
        <v>1.9230000000000001E-4</v>
      </c>
      <c r="E740" s="1008">
        <v>95603</v>
      </c>
      <c r="F740" s="1011">
        <v>293781</v>
      </c>
      <c r="G740" s="970">
        <v>531879</v>
      </c>
      <c r="H740" s="970"/>
      <c r="I740" s="970">
        <v>82056</v>
      </c>
      <c r="J740" s="971">
        <v>73011</v>
      </c>
      <c r="K740" s="971">
        <v>141140</v>
      </c>
      <c r="L740" s="971">
        <v>23837</v>
      </c>
      <c r="M740" s="970"/>
      <c r="N740" s="971">
        <v>2753</v>
      </c>
      <c r="O740" s="971">
        <v>0</v>
      </c>
      <c r="P740" s="971">
        <v>0</v>
      </c>
      <c r="Q740" s="971">
        <v>1903</v>
      </c>
      <c r="R740" s="970"/>
      <c r="S740" s="971">
        <v>147742</v>
      </c>
      <c r="T740" s="971">
        <v>3840</v>
      </c>
      <c r="U740" s="971">
        <v>151582</v>
      </c>
    </row>
    <row r="741" spans="1:21" x14ac:dyDescent="0.25">
      <c r="A741" s="967">
        <v>98051</v>
      </c>
      <c r="B741" s="968" t="s">
        <v>3378</v>
      </c>
      <c r="C741" s="969">
        <v>2.699E-4</v>
      </c>
      <c r="D741" s="969">
        <v>2.8019999999999998E-4</v>
      </c>
      <c r="E741" s="1008">
        <v>141617</v>
      </c>
      <c r="F741" s="1011">
        <v>428068</v>
      </c>
      <c r="G741" s="970">
        <v>640295</v>
      </c>
      <c r="H741" s="970"/>
      <c r="I741" s="970">
        <v>98782</v>
      </c>
      <c r="J741" s="971">
        <v>87893</v>
      </c>
      <c r="K741" s="971">
        <v>169910</v>
      </c>
      <c r="L741" s="971">
        <v>12423</v>
      </c>
      <c r="M741" s="970"/>
      <c r="N741" s="971">
        <v>3315</v>
      </c>
      <c r="O741" s="971">
        <v>0</v>
      </c>
      <c r="P741" s="971">
        <v>0</v>
      </c>
      <c r="Q741" s="971">
        <v>5552</v>
      </c>
      <c r="R741" s="970"/>
      <c r="S741" s="971">
        <v>177857</v>
      </c>
      <c r="T741" s="971">
        <v>7633</v>
      </c>
      <c r="U741" s="971">
        <v>185490</v>
      </c>
    </row>
    <row r="742" spans="1:21" x14ac:dyDescent="0.25">
      <c r="A742" s="967">
        <v>98061</v>
      </c>
      <c r="B742" s="968" t="s">
        <v>3379</v>
      </c>
      <c r="C742" s="969">
        <v>1.3420000000000001E-4</v>
      </c>
      <c r="D742" s="969">
        <v>1.0670000000000001E-4</v>
      </c>
      <c r="E742" s="1008">
        <v>55303</v>
      </c>
      <c r="F742" s="1011">
        <v>163008</v>
      </c>
      <c r="G742" s="970">
        <v>318368</v>
      </c>
      <c r="H742" s="970"/>
      <c r="I742" s="970">
        <v>49117</v>
      </c>
      <c r="J742" s="971">
        <v>43702</v>
      </c>
      <c r="K742" s="971">
        <v>84483</v>
      </c>
      <c r="L742" s="971">
        <v>14234</v>
      </c>
      <c r="M742" s="970"/>
      <c r="N742" s="971">
        <v>1648</v>
      </c>
      <c r="O742" s="971">
        <v>0</v>
      </c>
      <c r="P742" s="971">
        <v>0</v>
      </c>
      <c r="Q742" s="971">
        <v>10224</v>
      </c>
      <c r="R742" s="970"/>
      <c r="S742" s="971">
        <v>88434</v>
      </c>
      <c r="T742" s="971">
        <v>-3412</v>
      </c>
      <c r="U742" s="971">
        <v>85022</v>
      </c>
    </row>
    <row r="743" spans="1:21" x14ac:dyDescent="0.25">
      <c r="A743" s="967">
        <v>98071</v>
      </c>
      <c r="B743" s="968" t="s">
        <v>3380</v>
      </c>
      <c r="C743" s="969">
        <v>3.5800000000000003E-5</v>
      </c>
      <c r="D743" s="969">
        <v>4.0099999999999999E-5</v>
      </c>
      <c r="E743" s="1008">
        <v>30464</v>
      </c>
      <c r="F743" s="1011">
        <v>61262</v>
      </c>
      <c r="G743" s="970">
        <v>84930</v>
      </c>
      <c r="H743" s="970"/>
      <c r="I743" s="970">
        <v>13103</v>
      </c>
      <c r="J743" s="971">
        <v>11658</v>
      </c>
      <c r="K743" s="971">
        <v>22537</v>
      </c>
      <c r="L743" s="971">
        <v>20473</v>
      </c>
      <c r="M743" s="970"/>
      <c r="N743" s="971">
        <v>440</v>
      </c>
      <c r="O743" s="971">
        <v>0</v>
      </c>
      <c r="P743" s="971">
        <v>0</v>
      </c>
      <c r="Q743" s="971">
        <v>541</v>
      </c>
      <c r="R743" s="970"/>
      <c r="S743" s="971">
        <v>23591</v>
      </c>
      <c r="T743" s="971">
        <v>6474</v>
      </c>
      <c r="U743" s="971">
        <v>30065</v>
      </c>
    </row>
    <row r="744" spans="1:21" x14ac:dyDescent="0.25">
      <c r="A744" s="967">
        <v>98081</v>
      </c>
      <c r="B744" s="968" t="s">
        <v>3381</v>
      </c>
      <c r="C744" s="969">
        <v>1.7200000000000001E-5</v>
      </c>
      <c r="D744" s="969">
        <v>1.8300000000000001E-5</v>
      </c>
      <c r="E744" s="1008">
        <v>8014</v>
      </c>
      <c r="F744" s="1011">
        <v>27957</v>
      </c>
      <c r="G744" s="970">
        <v>40804</v>
      </c>
      <c r="H744" s="970"/>
      <c r="I744" s="970">
        <v>6295</v>
      </c>
      <c r="J744" s="971">
        <v>5601</v>
      </c>
      <c r="K744" s="971">
        <v>10828</v>
      </c>
      <c r="L744" s="971">
        <v>0</v>
      </c>
      <c r="M744" s="970"/>
      <c r="N744" s="971">
        <v>211</v>
      </c>
      <c r="O744" s="971">
        <v>0</v>
      </c>
      <c r="P744" s="971">
        <v>0</v>
      </c>
      <c r="Q744" s="971">
        <v>3428</v>
      </c>
      <c r="R744" s="970"/>
      <c r="S744" s="971">
        <v>11334</v>
      </c>
      <c r="T744" s="971">
        <v>-2166</v>
      </c>
      <c r="U744" s="971">
        <v>9168</v>
      </c>
    </row>
    <row r="745" spans="1:21" x14ac:dyDescent="0.25">
      <c r="A745" s="967">
        <v>98091</v>
      </c>
      <c r="B745" s="968" t="s">
        <v>3382</v>
      </c>
      <c r="C745" s="969">
        <v>5.1600000000000001E-5</v>
      </c>
      <c r="D745" s="969">
        <v>4.7500000000000003E-5</v>
      </c>
      <c r="E745" s="1008">
        <v>27903</v>
      </c>
      <c r="F745" s="1011">
        <v>72567</v>
      </c>
      <c r="G745" s="970">
        <v>122413</v>
      </c>
      <c r="H745" s="970"/>
      <c r="I745" s="970">
        <v>18885</v>
      </c>
      <c r="J745" s="971">
        <v>16803</v>
      </c>
      <c r="K745" s="971">
        <v>32484</v>
      </c>
      <c r="L745" s="971">
        <v>5795</v>
      </c>
      <c r="M745" s="970"/>
      <c r="N745" s="971">
        <v>634</v>
      </c>
      <c r="O745" s="971">
        <v>0</v>
      </c>
      <c r="P745" s="971">
        <v>0</v>
      </c>
      <c r="Q745" s="971">
        <v>0</v>
      </c>
      <c r="R745" s="970"/>
      <c r="S745" s="971">
        <v>34003</v>
      </c>
      <c r="T745" s="971">
        <v>976</v>
      </c>
      <c r="U745" s="971">
        <v>34979</v>
      </c>
    </row>
    <row r="746" spans="1:21" x14ac:dyDescent="0.25">
      <c r="A746" s="967">
        <v>98101</v>
      </c>
      <c r="B746" s="968" t="s">
        <v>3383</v>
      </c>
      <c r="C746" s="969">
        <v>2.6497999999999999E-3</v>
      </c>
      <c r="D746" s="969">
        <v>2.8706999999999999E-3</v>
      </c>
      <c r="E746" s="1008">
        <v>1264505</v>
      </c>
      <c r="F746" s="1011">
        <v>4385634</v>
      </c>
      <c r="G746" s="970">
        <v>6286232</v>
      </c>
      <c r="H746" s="970"/>
      <c r="I746" s="970">
        <v>969816</v>
      </c>
      <c r="J746" s="971">
        <v>862912</v>
      </c>
      <c r="K746" s="971">
        <v>1668123</v>
      </c>
      <c r="L746" s="971">
        <v>13234</v>
      </c>
      <c r="M746" s="970"/>
      <c r="N746" s="971">
        <v>32542</v>
      </c>
      <c r="O746" s="971">
        <v>0</v>
      </c>
      <c r="P746" s="971">
        <v>0</v>
      </c>
      <c r="Q746" s="971">
        <v>206313</v>
      </c>
      <c r="R746" s="970"/>
      <c r="S746" s="971">
        <v>1746147</v>
      </c>
      <c r="T746" s="971">
        <v>-31729</v>
      </c>
      <c r="U746" s="971">
        <v>1714418</v>
      </c>
    </row>
    <row r="747" spans="1:21" x14ac:dyDescent="0.25">
      <c r="A747" s="967">
        <v>98102</v>
      </c>
      <c r="B747" s="968" t="s">
        <v>3384</v>
      </c>
      <c r="C747" s="969">
        <v>1.496E-4</v>
      </c>
      <c r="D747" s="969">
        <v>1.5809999999999999E-4</v>
      </c>
      <c r="E747" s="1008">
        <v>75316</v>
      </c>
      <c r="F747" s="1011">
        <v>241533</v>
      </c>
      <c r="G747" s="970">
        <v>354902</v>
      </c>
      <c r="H747" s="970"/>
      <c r="I747" s="970">
        <v>54753</v>
      </c>
      <c r="J747" s="971">
        <v>48718</v>
      </c>
      <c r="K747" s="971">
        <v>94177</v>
      </c>
      <c r="L747" s="971">
        <v>0</v>
      </c>
      <c r="M747" s="970"/>
      <c r="N747" s="971">
        <v>1837</v>
      </c>
      <c r="O747" s="971">
        <v>0</v>
      </c>
      <c r="P747" s="971">
        <v>0</v>
      </c>
      <c r="Q747" s="971">
        <v>13146</v>
      </c>
      <c r="R747" s="970"/>
      <c r="S747" s="971">
        <v>98582</v>
      </c>
      <c r="T747" s="971">
        <v>-6674</v>
      </c>
      <c r="U747" s="971">
        <v>91908</v>
      </c>
    </row>
    <row r="748" spans="1:21" x14ac:dyDescent="0.25">
      <c r="A748" s="967">
        <v>98103</v>
      </c>
      <c r="B748" s="968" t="s">
        <v>3385</v>
      </c>
      <c r="C748" s="969">
        <v>4.8450000000000001E-4</v>
      </c>
      <c r="D748" s="969">
        <v>5.4410000000000005E-4</v>
      </c>
      <c r="E748" s="1008">
        <v>250407</v>
      </c>
      <c r="F748" s="1011">
        <v>831234</v>
      </c>
      <c r="G748" s="970">
        <v>1149400</v>
      </c>
      <c r="H748" s="970"/>
      <c r="I748" s="970">
        <v>177325</v>
      </c>
      <c r="J748" s="971">
        <v>157779</v>
      </c>
      <c r="K748" s="971">
        <v>305006</v>
      </c>
      <c r="L748" s="971">
        <v>7298</v>
      </c>
      <c r="M748" s="970"/>
      <c r="N748" s="971">
        <v>5950</v>
      </c>
      <c r="O748" s="971">
        <v>0</v>
      </c>
      <c r="P748" s="971">
        <v>0</v>
      </c>
      <c r="Q748" s="971">
        <v>39675</v>
      </c>
      <c r="R748" s="970"/>
      <c r="S748" s="971">
        <v>319272</v>
      </c>
      <c r="T748" s="971">
        <v>-24913</v>
      </c>
      <c r="U748" s="971">
        <v>294359</v>
      </c>
    </row>
    <row r="749" spans="1:21" x14ac:dyDescent="0.25">
      <c r="A749" s="967">
        <v>98107</v>
      </c>
      <c r="B749" s="968" t="s">
        <v>3386</v>
      </c>
      <c r="C749" s="969">
        <v>1.01E-5</v>
      </c>
      <c r="D749" s="969">
        <v>1.08E-5</v>
      </c>
      <c r="E749" s="1008">
        <v>9423</v>
      </c>
      <c r="F749" s="1011">
        <v>16499</v>
      </c>
      <c r="G749" s="970">
        <v>23961</v>
      </c>
      <c r="H749" s="970"/>
      <c r="I749" s="970">
        <v>3697</v>
      </c>
      <c r="J749" s="971">
        <v>3289</v>
      </c>
      <c r="K749" s="971">
        <v>6358</v>
      </c>
      <c r="L749" s="971">
        <v>7863</v>
      </c>
      <c r="M749" s="970"/>
      <c r="N749" s="971">
        <v>124</v>
      </c>
      <c r="O749" s="971">
        <v>0</v>
      </c>
      <c r="P749" s="971">
        <v>0</v>
      </c>
      <c r="Q749" s="971">
        <v>0</v>
      </c>
      <c r="R749" s="970"/>
      <c r="S749" s="971">
        <v>6656</v>
      </c>
      <c r="T749" s="971">
        <v>4229</v>
      </c>
      <c r="U749" s="971">
        <v>10885</v>
      </c>
    </row>
    <row r="750" spans="1:21" x14ac:dyDescent="0.25">
      <c r="A750" s="967">
        <v>98109</v>
      </c>
      <c r="B750" s="968" t="s">
        <v>3387</v>
      </c>
      <c r="C750" s="969">
        <v>1.4310000000000001E-4</v>
      </c>
      <c r="D750" s="969">
        <v>1.573E-4</v>
      </c>
      <c r="E750" s="1008">
        <v>83280</v>
      </c>
      <c r="F750" s="1011">
        <v>240311</v>
      </c>
      <c r="G750" s="970">
        <v>339482</v>
      </c>
      <c r="H750" s="970"/>
      <c r="I750" s="970">
        <v>52374</v>
      </c>
      <c r="J750" s="971">
        <v>46601</v>
      </c>
      <c r="K750" s="971">
        <v>90085</v>
      </c>
      <c r="L750" s="971">
        <v>8985</v>
      </c>
      <c r="M750" s="970"/>
      <c r="N750" s="971">
        <v>1757</v>
      </c>
      <c r="O750" s="971">
        <v>0</v>
      </c>
      <c r="P750" s="971">
        <v>0</v>
      </c>
      <c r="Q750" s="971">
        <v>13377</v>
      </c>
      <c r="R750" s="970"/>
      <c r="S750" s="971">
        <v>94299</v>
      </c>
      <c r="T750" s="971">
        <v>-7438</v>
      </c>
      <c r="U750" s="971">
        <v>86861</v>
      </c>
    </row>
    <row r="751" spans="1:21" x14ac:dyDescent="0.25">
      <c r="A751" s="967">
        <v>98111</v>
      </c>
      <c r="B751" s="968" t="s">
        <v>3388</v>
      </c>
      <c r="C751" s="969">
        <v>1.0207E-3</v>
      </c>
      <c r="D751" s="969">
        <v>1.0143000000000001E-3</v>
      </c>
      <c r="E751" s="1008">
        <v>454904</v>
      </c>
      <c r="F751" s="1011">
        <v>1549569</v>
      </c>
      <c r="G751" s="970">
        <v>2421449</v>
      </c>
      <c r="H751" s="970"/>
      <c r="I751" s="970">
        <v>373572</v>
      </c>
      <c r="J751" s="971">
        <v>332393</v>
      </c>
      <c r="K751" s="971">
        <v>642559</v>
      </c>
      <c r="L751" s="971">
        <v>0</v>
      </c>
      <c r="M751" s="970"/>
      <c r="N751" s="971">
        <v>12535</v>
      </c>
      <c r="O751" s="971">
        <v>0</v>
      </c>
      <c r="P751" s="971">
        <v>0</v>
      </c>
      <c r="Q751" s="971">
        <v>76213</v>
      </c>
      <c r="R751" s="970"/>
      <c r="S751" s="971">
        <v>672614</v>
      </c>
      <c r="T751" s="971">
        <v>-29272</v>
      </c>
      <c r="U751" s="971">
        <v>643342</v>
      </c>
    </row>
    <row r="752" spans="1:21" x14ac:dyDescent="0.25">
      <c r="A752" s="967">
        <v>98113</v>
      </c>
      <c r="B752" s="968" t="s">
        <v>3389</v>
      </c>
      <c r="C752" s="969">
        <v>3.8999999999999999E-5</v>
      </c>
      <c r="D752" s="969">
        <v>4.6199999999999998E-5</v>
      </c>
      <c r="E752" s="1008">
        <v>25001</v>
      </c>
      <c r="F752" s="1011">
        <v>70581</v>
      </c>
      <c r="G752" s="970">
        <v>92521</v>
      </c>
      <c r="H752" s="970"/>
      <c r="I752" s="970">
        <v>14274</v>
      </c>
      <c r="J752" s="971">
        <v>12700</v>
      </c>
      <c r="K752" s="971">
        <v>24552</v>
      </c>
      <c r="L752" s="971">
        <v>7102</v>
      </c>
      <c r="M752" s="970"/>
      <c r="N752" s="971">
        <v>479</v>
      </c>
      <c r="O752" s="971">
        <v>0</v>
      </c>
      <c r="P752" s="971">
        <v>0</v>
      </c>
      <c r="Q752" s="971">
        <v>416</v>
      </c>
      <c r="R752" s="970"/>
      <c r="S752" s="971">
        <v>25700</v>
      </c>
      <c r="T752" s="971">
        <v>4533</v>
      </c>
      <c r="U752" s="971">
        <v>30233</v>
      </c>
    </row>
    <row r="753" spans="1:21" x14ac:dyDescent="0.25">
      <c r="A753" s="967">
        <v>98121</v>
      </c>
      <c r="B753" s="968" t="s">
        <v>3390</v>
      </c>
      <c r="C753" s="969">
        <v>2.241E-4</v>
      </c>
      <c r="D753" s="969">
        <v>2.0100000000000001E-4</v>
      </c>
      <c r="E753" s="1008">
        <v>95548</v>
      </c>
      <c r="F753" s="1011">
        <v>307072</v>
      </c>
      <c r="G753" s="970">
        <v>531642</v>
      </c>
      <c r="H753" s="970"/>
      <c r="I753" s="970">
        <v>82020</v>
      </c>
      <c r="J753" s="971">
        <v>72979</v>
      </c>
      <c r="K753" s="971">
        <v>141077</v>
      </c>
      <c r="L753" s="971">
        <v>5555</v>
      </c>
      <c r="M753" s="970"/>
      <c r="N753" s="971">
        <v>2752</v>
      </c>
      <c r="O753" s="971">
        <v>0</v>
      </c>
      <c r="P753" s="971">
        <v>0</v>
      </c>
      <c r="Q753" s="971">
        <v>17709</v>
      </c>
      <c r="R753" s="970"/>
      <c r="S753" s="971">
        <v>147676</v>
      </c>
      <c r="T753" s="971">
        <v>-4423</v>
      </c>
      <c r="U753" s="971">
        <v>143253</v>
      </c>
    </row>
    <row r="754" spans="1:21" x14ac:dyDescent="0.25">
      <c r="A754" s="967">
        <v>98131</v>
      </c>
      <c r="B754" s="968" t="s">
        <v>3391</v>
      </c>
      <c r="C754" s="969">
        <v>2.297E-4</v>
      </c>
      <c r="D754" s="969">
        <v>2.5230000000000001E-4</v>
      </c>
      <c r="E754" s="1008">
        <v>119074</v>
      </c>
      <c r="F754" s="1011">
        <v>385445</v>
      </c>
      <c r="G754" s="970">
        <v>544927</v>
      </c>
      <c r="H754" s="970"/>
      <c r="I754" s="970">
        <v>84069</v>
      </c>
      <c r="J754" s="971">
        <v>74802</v>
      </c>
      <c r="K754" s="971">
        <v>144603</v>
      </c>
      <c r="L754" s="971">
        <v>0</v>
      </c>
      <c r="M754" s="970"/>
      <c r="N754" s="971">
        <v>2821</v>
      </c>
      <c r="O754" s="971">
        <v>0</v>
      </c>
      <c r="P754" s="971">
        <v>0</v>
      </c>
      <c r="Q754" s="971">
        <v>41009</v>
      </c>
      <c r="R754" s="970"/>
      <c r="S754" s="971">
        <v>151366</v>
      </c>
      <c r="T754" s="971">
        <v>-26275</v>
      </c>
      <c r="U754" s="971">
        <v>125091</v>
      </c>
    </row>
    <row r="755" spans="1:21" x14ac:dyDescent="0.25">
      <c r="A755" s="967">
        <v>98141</v>
      </c>
      <c r="B755" s="968" t="s">
        <v>3392</v>
      </c>
      <c r="C755" s="969">
        <v>3.0160000000000001E-4</v>
      </c>
      <c r="D755" s="969">
        <v>3.0360000000000001E-4</v>
      </c>
      <c r="E755" s="1008">
        <v>135297</v>
      </c>
      <c r="F755" s="1011">
        <v>463817</v>
      </c>
      <c r="G755" s="970">
        <v>715498</v>
      </c>
      <c r="H755" s="970"/>
      <c r="I755" s="970">
        <v>110384</v>
      </c>
      <c r="J755" s="971">
        <v>98217</v>
      </c>
      <c r="K755" s="971">
        <v>189866</v>
      </c>
      <c r="L755" s="971">
        <v>3632</v>
      </c>
      <c r="M755" s="970"/>
      <c r="N755" s="971">
        <v>3704</v>
      </c>
      <c r="O755" s="971">
        <v>0</v>
      </c>
      <c r="P755" s="971">
        <v>0</v>
      </c>
      <c r="Q755" s="971">
        <v>20500</v>
      </c>
      <c r="R755" s="970"/>
      <c r="S755" s="971">
        <v>198746</v>
      </c>
      <c r="T755" s="971">
        <v>-14365</v>
      </c>
      <c r="U755" s="971">
        <v>184381</v>
      </c>
    </row>
    <row r="756" spans="1:21" x14ac:dyDescent="0.25">
      <c r="A756" s="967">
        <v>98147</v>
      </c>
      <c r="B756" s="968" t="s">
        <v>3393</v>
      </c>
      <c r="C756" s="969">
        <v>1.15E-5</v>
      </c>
      <c r="D756" s="969">
        <v>1.29E-5</v>
      </c>
      <c r="E756" s="1008">
        <v>10697</v>
      </c>
      <c r="F756" s="1011">
        <v>19708</v>
      </c>
      <c r="G756" s="970">
        <v>27282</v>
      </c>
      <c r="H756" s="970"/>
      <c r="I756" s="970">
        <v>4209</v>
      </c>
      <c r="J756" s="971">
        <v>3745</v>
      </c>
      <c r="K756" s="971">
        <v>7240</v>
      </c>
      <c r="L756" s="971">
        <v>7998</v>
      </c>
      <c r="M756" s="970"/>
      <c r="N756" s="971">
        <v>141</v>
      </c>
      <c r="O756" s="971">
        <v>0</v>
      </c>
      <c r="P756" s="971">
        <v>0</v>
      </c>
      <c r="Q756" s="971">
        <v>0</v>
      </c>
      <c r="R756" s="970"/>
      <c r="S756" s="971">
        <v>7578</v>
      </c>
      <c r="T756" s="971">
        <v>4051</v>
      </c>
      <c r="U756" s="971">
        <v>11629</v>
      </c>
    </row>
    <row r="757" spans="1:21" x14ac:dyDescent="0.25">
      <c r="A757" s="967">
        <v>98161</v>
      </c>
      <c r="B757" s="968" t="s">
        <v>3394</v>
      </c>
      <c r="C757" s="969">
        <v>6.7000000000000002E-6</v>
      </c>
      <c r="D757" s="969">
        <v>7.3000000000000004E-6</v>
      </c>
      <c r="E757" s="1008">
        <v>5373</v>
      </c>
      <c r="F757" s="1011">
        <v>11152</v>
      </c>
      <c r="G757" s="970">
        <v>15895</v>
      </c>
      <c r="H757" s="970"/>
      <c r="I757" s="970">
        <v>2452</v>
      </c>
      <c r="J757" s="971">
        <v>2182</v>
      </c>
      <c r="K757" s="971">
        <v>4218</v>
      </c>
      <c r="L757" s="971">
        <v>2865</v>
      </c>
      <c r="M757" s="970"/>
      <c r="N757" s="971">
        <v>82</v>
      </c>
      <c r="O757" s="971">
        <v>0</v>
      </c>
      <c r="P757" s="971">
        <v>0</v>
      </c>
      <c r="Q757" s="971">
        <v>0</v>
      </c>
      <c r="R757" s="970"/>
      <c r="S757" s="971">
        <v>4415</v>
      </c>
      <c r="T757" s="971">
        <v>1383</v>
      </c>
      <c r="U757" s="971">
        <v>5798</v>
      </c>
    </row>
    <row r="758" spans="1:21" x14ac:dyDescent="0.25">
      <c r="A758" s="967">
        <v>98201</v>
      </c>
      <c r="B758" s="968" t="s">
        <v>3395</v>
      </c>
      <c r="C758" s="969">
        <v>3.1725E-3</v>
      </c>
      <c r="D758" s="969">
        <v>3.1664000000000002E-3</v>
      </c>
      <c r="E758" s="1008">
        <v>1507011</v>
      </c>
      <c r="F758" s="1011">
        <v>4837382</v>
      </c>
      <c r="G758" s="970">
        <v>7526255</v>
      </c>
      <c r="H758" s="970"/>
      <c r="I758" s="970">
        <v>1161122</v>
      </c>
      <c r="J758" s="971">
        <v>1033131</v>
      </c>
      <c r="K758" s="971">
        <v>1997178</v>
      </c>
      <c r="L758" s="971">
        <v>47695</v>
      </c>
      <c r="M758" s="970"/>
      <c r="N758" s="971">
        <v>38961</v>
      </c>
      <c r="O758" s="971">
        <v>0</v>
      </c>
      <c r="P758" s="971">
        <v>0</v>
      </c>
      <c r="Q758" s="971">
        <v>50438</v>
      </c>
      <c r="R758" s="970"/>
      <c r="S758" s="971">
        <v>2090592</v>
      </c>
      <c r="T758" s="971">
        <v>-13335</v>
      </c>
      <c r="U758" s="971">
        <v>2077257</v>
      </c>
    </row>
    <row r="759" spans="1:21" x14ac:dyDescent="0.25">
      <c r="A759" s="967">
        <v>98205</v>
      </c>
      <c r="B759" s="968" t="s">
        <v>3396</v>
      </c>
      <c r="C759" s="969">
        <v>3.6100000000000003E-5</v>
      </c>
      <c r="D759" s="969">
        <v>4.6799999999999999E-5</v>
      </c>
      <c r="E759" s="1008">
        <v>21656</v>
      </c>
      <c r="F759" s="1011">
        <v>71497</v>
      </c>
      <c r="G759" s="970">
        <v>85642</v>
      </c>
      <c r="H759" s="970"/>
      <c r="I759" s="970">
        <v>13212</v>
      </c>
      <c r="J759" s="971">
        <v>11756</v>
      </c>
      <c r="K759" s="971">
        <v>22726</v>
      </c>
      <c r="L759" s="971">
        <v>1169</v>
      </c>
      <c r="M759" s="970"/>
      <c r="N759" s="971">
        <v>443</v>
      </c>
      <c r="O759" s="971">
        <v>0</v>
      </c>
      <c r="P759" s="971">
        <v>0</v>
      </c>
      <c r="Q759" s="971">
        <v>6010</v>
      </c>
      <c r="R759" s="970"/>
      <c r="S759" s="971">
        <v>23789</v>
      </c>
      <c r="T759" s="971">
        <v>-1258</v>
      </c>
      <c r="U759" s="971">
        <v>22531</v>
      </c>
    </row>
    <row r="760" spans="1:21" x14ac:dyDescent="0.25">
      <c r="A760" s="967">
        <v>98211</v>
      </c>
      <c r="B760" s="968" t="s">
        <v>3397</v>
      </c>
      <c r="C760" s="969">
        <v>8.5470000000000001E-4</v>
      </c>
      <c r="D760" s="969">
        <v>8.6689999999999998E-4</v>
      </c>
      <c r="E760" s="1008">
        <v>397199</v>
      </c>
      <c r="F760" s="1011">
        <v>1324383</v>
      </c>
      <c r="G760" s="970">
        <v>2027641</v>
      </c>
      <c r="H760" s="970"/>
      <c r="I760" s="970">
        <v>312817</v>
      </c>
      <c r="J760" s="971">
        <v>278335</v>
      </c>
      <c r="K760" s="971">
        <v>538058</v>
      </c>
      <c r="L760" s="971">
        <v>0</v>
      </c>
      <c r="M760" s="970"/>
      <c r="N760" s="971">
        <v>10497</v>
      </c>
      <c r="O760" s="971">
        <v>0</v>
      </c>
      <c r="P760" s="971">
        <v>0</v>
      </c>
      <c r="Q760" s="971">
        <v>112320</v>
      </c>
      <c r="R760" s="970"/>
      <c r="S760" s="971">
        <v>563224</v>
      </c>
      <c r="T760" s="971">
        <v>-56480</v>
      </c>
      <c r="U760" s="971">
        <v>506744</v>
      </c>
    </row>
    <row r="761" spans="1:21" x14ac:dyDescent="0.25">
      <c r="A761" s="967">
        <v>98218</v>
      </c>
      <c r="B761" s="968" t="s">
        <v>3398</v>
      </c>
      <c r="C761" s="969">
        <v>1.5500000000000001E-5</v>
      </c>
      <c r="D761" s="969">
        <v>1.3200000000000001E-5</v>
      </c>
      <c r="E761" s="1008">
        <v>8526</v>
      </c>
      <c r="F761" s="1011">
        <v>20166</v>
      </c>
      <c r="G761" s="970">
        <v>36771</v>
      </c>
      <c r="H761" s="970"/>
      <c r="I761" s="970">
        <v>5673</v>
      </c>
      <c r="J761" s="971">
        <v>5047</v>
      </c>
      <c r="K761" s="971">
        <v>9758</v>
      </c>
      <c r="L761" s="971">
        <v>3767</v>
      </c>
      <c r="M761" s="970"/>
      <c r="N761" s="971">
        <v>190</v>
      </c>
      <c r="O761" s="971">
        <v>0</v>
      </c>
      <c r="P761" s="971">
        <v>0</v>
      </c>
      <c r="Q761" s="971">
        <v>285</v>
      </c>
      <c r="R761" s="970"/>
      <c r="S761" s="971">
        <v>10214</v>
      </c>
      <c r="T761" s="971">
        <v>269</v>
      </c>
      <c r="U761" s="971">
        <v>10483</v>
      </c>
    </row>
    <row r="762" spans="1:21" x14ac:dyDescent="0.25">
      <c r="A762" s="967">
        <v>98221</v>
      </c>
      <c r="B762" s="968" t="s">
        <v>3399</v>
      </c>
      <c r="C762" s="969">
        <v>1.8499999999999999E-5</v>
      </c>
      <c r="D762" s="969">
        <v>1.8899999999999999E-5</v>
      </c>
      <c r="E762" s="1008">
        <v>11112</v>
      </c>
      <c r="F762" s="1011">
        <v>28874</v>
      </c>
      <c r="G762" s="970">
        <v>43888</v>
      </c>
      <c r="H762" s="970"/>
      <c r="I762" s="970">
        <v>6771</v>
      </c>
      <c r="J762" s="971">
        <v>6025</v>
      </c>
      <c r="K762" s="971">
        <v>11646</v>
      </c>
      <c r="L762" s="971">
        <v>4486</v>
      </c>
      <c r="M762" s="970"/>
      <c r="N762" s="971">
        <v>227</v>
      </c>
      <c r="O762" s="971">
        <v>0</v>
      </c>
      <c r="P762" s="971">
        <v>0</v>
      </c>
      <c r="Q762" s="971">
        <v>0</v>
      </c>
      <c r="R762" s="970"/>
      <c r="S762" s="971">
        <v>12191</v>
      </c>
      <c r="T762" s="971">
        <v>1809</v>
      </c>
      <c r="U762" s="971">
        <v>14000</v>
      </c>
    </row>
    <row r="763" spans="1:21" x14ac:dyDescent="0.25">
      <c r="A763" s="967">
        <v>98231</v>
      </c>
      <c r="B763" s="968" t="s">
        <v>3400</v>
      </c>
      <c r="C763" s="969">
        <v>3.1000000000000001E-5</v>
      </c>
      <c r="D763" s="969">
        <v>2.2799999999999999E-5</v>
      </c>
      <c r="E763" s="1008">
        <v>16565</v>
      </c>
      <c r="F763" s="1011">
        <v>34832</v>
      </c>
      <c r="G763" s="970">
        <v>73543</v>
      </c>
      <c r="H763" s="970"/>
      <c r="I763" s="970">
        <v>11346</v>
      </c>
      <c r="J763" s="971">
        <v>10096</v>
      </c>
      <c r="K763" s="971">
        <v>19515</v>
      </c>
      <c r="L763" s="971">
        <v>7747</v>
      </c>
      <c r="M763" s="970"/>
      <c r="N763" s="971">
        <v>381</v>
      </c>
      <c r="O763" s="971">
        <v>0</v>
      </c>
      <c r="P763" s="971">
        <v>0</v>
      </c>
      <c r="Q763" s="971">
        <v>5129</v>
      </c>
      <c r="R763" s="970"/>
      <c r="S763" s="971">
        <v>20428</v>
      </c>
      <c r="T763" s="971">
        <v>-1821</v>
      </c>
      <c r="U763" s="971">
        <v>18607</v>
      </c>
    </row>
    <row r="764" spans="1:21" x14ac:dyDescent="0.25">
      <c r="A764" s="967">
        <v>98237</v>
      </c>
      <c r="B764" s="968" t="s">
        <v>3401</v>
      </c>
      <c r="C764" s="969">
        <v>5.5999999999999997E-6</v>
      </c>
      <c r="D764" s="969">
        <v>5.9000000000000003E-6</v>
      </c>
      <c r="E764" s="1008">
        <v>3818</v>
      </c>
      <c r="F764" s="1011">
        <v>9014</v>
      </c>
      <c r="G764" s="970">
        <v>13285</v>
      </c>
      <c r="H764" s="970"/>
      <c r="I764" s="970">
        <v>2050</v>
      </c>
      <c r="J764" s="971">
        <v>1823</v>
      </c>
      <c r="K764" s="971">
        <v>3525</v>
      </c>
      <c r="L764" s="971">
        <v>4018</v>
      </c>
      <c r="M764" s="970"/>
      <c r="N764" s="971">
        <v>69</v>
      </c>
      <c r="O764" s="971">
        <v>0</v>
      </c>
      <c r="P764" s="971">
        <v>0</v>
      </c>
      <c r="Q764" s="971">
        <v>0</v>
      </c>
      <c r="R764" s="970"/>
      <c r="S764" s="971">
        <v>3690</v>
      </c>
      <c r="T764" s="971">
        <v>1826</v>
      </c>
      <c r="U764" s="971">
        <v>5516</v>
      </c>
    </row>
    <row r="765" spans="1:21" x14ac:dyDescent="0.25">
      <c r="A765" s="967">
        <v>98241</v>
      </c>
      <c r="B765" s="968" t="s">
        <v>3402</v>
      </c>
      <c r="C765" s="969">
        <v>1.22E-5</v>
      </c>
      <c r="D765" s="969">
        <v>1.5099999999999999E-5</v>
      </c>
      <c r="E765" s="1008">
        <v>7468</v>
      </c>
      <c r="F765" s="1011">
        <v>23069</v>
      </c>
      <c r="G765" s="970">
        <v>28943</v>
      </c>
      <c r="H765" s="970"/>
      <c r="I765" s="970">
        <v>4465</v>
      </c>
      <c r="J765" s="971">
        <v>3973</v>
      </c>
      <c r="K765" s="971">
        <v>7680</v>
      </c>
      <c r="L765" s="971">
        <v>2352</v>
      </c>
      <c r="M765" s="970"/>
      <c r="N765" s="971">
        <v>150</v>
      </c>
      <c r="O765" s="971">
        <v>0</v>
      </c>
      <c r="P765" s="971">
        <v>0</v>
      </c>
      <c r="Q765" s="971">
        <v>2460</v>
      </c>
      <c r="R765" s="970"/>
      <c r="S765" s="971">
        <v>8039</v>
      </c>
      <c r="T765" s="971">
        <v>2327</v>
      </c>
      <c r="U765" s="971">
        <v>10366</v>
      </c>
    </row>
    <row r="766" spans="1:21" x14ac:dyDescent="0.25">
      <c r="A766" s="967">
        <v>98251</v>
      </c>
      <c r="B766" s="968" t="s">
        <v>3403</v>
      </c>
      <c r="C766" s="969">
        <v>2.7E-6</v>
      </c>
      <c r="D766" s="969">
        <v>3.0000000000000001E-6</v>
      </c>
      <c r="E766" s="1008">
        <v>2395</v>
      </c>
      <c r="F766" s="1011">
        <v>4583</v>
      </c>
      <c r="G766" s="970">
        <v>6405</v>
      </c>
      <c r="H766" s="970"/>
      <c r="I766" s="970">
        <v>988</v>
      </c>
      <c r="J766" s="971">
        <v>879</v>
      </c>
      <c r="K766" s="971">
        <v>1700</v>
      </c>
      <c r="L766" s="971">
        <v>1458</v>
      </c>
      <c r="M766" s="970"/>
      <c r="N766" s="971">
        <v>33</v>
      </c>
      <c r="O766" s="971">
        <v>0</v>
      </c>
      <c r="P766" s="971">
        <v>0</v>
      </c>
      <c r="Q766" s="971">
        <v>0</v>
      </c>
      <c r="R766" s="970"/>
      <c r="S766" s="971">
        <v>1779</v>
      </c>
      <c r="T766" s="971">
        <v>722</v>
      </c>
      <c r="U766" s="971">
        <v>2501</v>
      </c>
    </row>
    <row r="767" spans="1:21" x14ac:dyDescent="0.25">
      <c r="A767" s="967">
        <v>98261</v>
      </c>
      <c r="B767" s="968" t="s">
        <v>3404</v>
      </c>
      <c r="C767" s="969">
        <v>3.3099999999999998E-5</v>
      </c>
      <c r="D767" s="969">
        <v>3.3200000000000001E-5</v>
      </c>
      <c r="E767" s="1008">
        <v>19408</v>
      </c>
      <c r="F767" s="1011">
        <v>50720</v>
      </c>
      <c r="G767" s="970">
        <v>78525</v>
      </c>
      <c r="H767" s="970"/>
      <c r="I767" s="970">
        <v>12114</v>
      </c>
      <c r="J767" s="971">
        <v>10779</v>
      </c>
      <c r="K767" s="971">
        <v>20837</v>
      </c>
      <c r="L767" s="971">
        <v>6529</v>
      </c>
      <c r="M767" s="970"/>
      <c r="N767" s="971">
        <v>407</v>
      </c>
      <c r="O767" s="971">
        <v>0</v>
      </c>
      <c r="P767" s="971">
        <v>0</v>
      </c>
      <c r="Q767" s="971">
        <v>3201</v>
      </c>
      <c r="R767" s="970"/>
      <c r="S767" s="971">
        <v>21812</v>
      </c>
      <c r="T767" s="971">
        <v>1417</v>
      </c>
      <c r="U767" s="971">
        <v>23229</v>
      </c>
    </row>
    <row r="768" spans="1:21" x14ac:dyDescent="0.25">
      <c r="A768" s="967">
        <v>98271</v>
      </c>
      <c r="B768" s="968" t="s">
        <v>3405</v>
      </c>
      <c r="C768" s="969">
        <v>5.3000000000000001E-6</v>
      </c>
      <c r="D768" s="969">
        <v>5.1000000000000003E-6</v>
      </c>
      <c r="E768" s="1008">
        <v>3923</v>
      </c>
      <c r="F768" s="1011">
        <v>7791</v>
      </c>
      <c r="G768" s="970">
        <v>12573</v>
      </c>
      <c r="H768" s="970"/>
      <c r="I768" s="970">
        <v>1940</v>
      </c>
      <c r="J768" s="971">
        <v>1726</v>
      </c>
      <c r="K768" s="971">
        <v>3336</v>
      </c>
      <c r="L768" s="971">
        <v>2879</v>
      </c>
      <c r="M768" s="970"/>
      <c r="N768" s="971">
        <v>65</v>
      </c>
      <c r="O768" s="971">
        <v>0</v>
      </c>
      <c r="P768" s="971">
        <v>0</v>
      </c>
      <c r="Q768" s="971">
        <v>0</v>
      </c>
      <c r="R768" s="970"/>
      <c r="S768" s="971">
        <v>3493</v>
      </c>
      <c r="T768" s="971">
        <v>1857</v>
      </c>
      <c r="U768" s="971">
        <v>5350</v>
      </c>
    </row>
    <row r="769" spans="1:21" x14ac:dyDescent="0.25">
      <c r="A769" s="967">
        <v>98301</v>
      </c>
      <c r="B769" s="968" t="s">
        <v>3406</v>
      </c>
      <c r="C769" s="969">
        <v>1.7489999999999999E-3</v>
      </c>
      <c r="D769" s="969">
        <v>1.7542E-3</v>
      </c>
      <c r="E769" s="1008">
        <v>898601</v>
      </c>
      <c r="F769" s="1011">
        <v>2679932</v>
      </c>
      <c r="G769" s="970">
        <v>4149226</v>
      </c>
      <c r="H769" s="970"/>
      <c r="I769" s="970">
        <v>640127</v>
      </c>
      <c r="J769" s="971">
        <v>569565</v>
      </c>
      <c r="K769" s="971">
        <v>1101044</v>
      </c>
      <c r="L769" s="971">
        <v>56900</v>
      </c>
      <c r="M769" s="970"/>
      <c r="N769" s="971">
        <v>21479</v>
      </c>
      <c r="O769" s="971">
        <v>0</v>
      </c>
      <c r="P769" s="971">
        <v>0</v>
      </c>
      <c r="Q769" s="971">
        <v>0</v>
      </c>
      <c r="R769" s="970"/>
      <c r="S769" s="971">
        <v>1152544</v>
      </c>
      <c r="T769" s="971">
        <v>25032</v>
      </c>
      <c r="U769" s="971">
        <v>1177576</v>
      </c>
    </row>
    <row r="770" spans="1:21" x14ac:dyDescent="0.25">
      <c r="A770" s="967">
        <v>98304</v>
      </c>
      <c r="B770" s="968" t="s">
        <v>3407</v>
      </c>
      <c r="C770" s="969">
        <v>1.9300000000000002E-5</v>
      </c>
      <c r="D770" s="969">
        <v>2.0999999999999999E-5</v>
      </c>
      <c r="E770" s="1008">
        <v>13953</v>
      </c>
      <c r="F770" s="1011">
        <v>32082</v>
      </c>
      <c r="G770" s="970">
        <v>45786</v>
      </c>
      <c r="H770" s="970"/>
      <c r="I770" s="970">
        <v>7064</v>
      </c>
      <c r="J770" s="971">
        <v>6286</v>
      </c>
      <c r="K770" s="971">
        <v>12150</v>
      </c>
      <c r="L770" s="971">
        <v>3861</v>
      </c>
      <c r="M770" s="970"/>
      <c r="N770" s="971">
        <v>237</v>
      </c>
      <c r="O770" s="971">
        <v>0</v>
      </c>
      <c r="P770" s="971">
        <v>0</v>
      </c>
      <c r="Q770" s="971">
        <v>0</v>
      </c>
      <c r="R770" s="970"/>
      <c r="S770" s="971">
        <v>12718</v>
      </c>
      <c r="T770" s="971">
        <v>1416</v>
      </c>
      <c r="U770" s="971">
        <v>14134</v>
      </c>
    </row>
    <row r="771" spans="1:21" x14ac:dyDescent="0.25">
      <c r="A771" s="967">
        <v>98308</v>
      </c>
      <c r="B771" s="968" t="s">
        <v>3408</v>
      </c>
      <c r="C771" s="969">
        <v>2.2399999999999999E-5</v>
      </c>
      <c r="D771" s="969">
        <v>2.37E-5</v>
      </c>
      <c r="E771" s="1008">
        <v>16526</v>
      </c>
      <c r="F771" s="1011">
        <v>36207</v>
      </c>
      <c r="G771" s="970">
        <v>53140</v>
      </c>
      <c r="H771" s="970"/>
      <c r="I771" s="970">
        <v>8198</v>
      </c>
      <c r="J771" s="971">
        <v>7295</v>
      </c>
      <c r="K771" s="971">
        <v>14101</v>
      </c>
      <c r="L771" s="971">
        <v>7416</v>
      </c>
      <c r="M771" s="970"/>
      <c r="N771" s="971">
        <v>275</v>
      </c>
      <c r="O771" s="971">
        <v>0</v>
      </c>
      <c r="P771" s="971">
        <v>0</v>
      </c>
      <c r="Q771" s="971">
        <v>0</v>
      </c>
      <c r="R771" s="970"/>
      <c r="S771" s="971">
        <v>14761</v>
      </c>
      <c r="T771" s="971">
        <v>4258</v>
      </c>
      <c r="U771" s="971">
        <v>19019</v>
      </c>
    </row>
    <row r="772" spans="1:21" x14ac:dyDescent="0.25">
      <c r="A772" s="967">
        <v>98311</v>
      </c>
      <c r="B772" s="968" t="s">
        <v>3409</v>
      </c>
      <c r="C772" s="969">
        <v>1.0931999999999999E-3</v>
      </c>
      <c r="D772" s="969">
        <v>1.1536000000000001E-3</v>
      </c>
      <c r="E772" s="1008">
        <v>482186</v>
      </c>
      <c r="F772" s="1011">
        <v>1762381</v>
      </c>
      <c r="G772" s="970">
        <v>2593444</v>
      </c>
      <c r="H772" s="970"/>
      <c r="I772" s="970">
        <v>400107</v>
      </c>
      <c r="J772" s="971">
        <v>356003</v>
      </c>
      <c r="K772" s="971">
        <v>688200</v>
      </c>
      <c r="L772" s="971">
        <v>0</v>
      </c>
      <c r="M772" s="970"/>
      <c r="N772" s="971">
        <v>13426</v>
      </c>
      <c r="O772" s="971">
        <v>0</v>
      </c>
      <c r="P772" s="971">
        <v>0</v>
      </c>
      <c r="Q772" s="971">
        <v>152880</v>
      </c>
      <c r="R772" s="970"/>
      <c r="S772" s="971">
        <v>720389</v>
      </c>
      <c r="T772" s="971">
        <v>-39908</v>
      </c>
      <c r="U772" s="971">
        <v>680481</v>
      </c>
    </row>
    <row r="773" spans="1:21" x14ac:dyDescent="0.25">
      <c r="A773" s="967">
        <v>98313</v>
      </c>
      <c r="B773" s="968" t="s">
        <v>3410</v>
      </c>
      <c r="C773" s="969">
        <v>2.4240000000000001E-4</v>
      </c>
      <c r="D773" s="969">
        <v>2.3560000000000001E-4</v>
      </c>
      <c r="E773" s="1008">
        <v>272641</v>
      </c>
      <c r="F773" s="1011">
        <v>359932</v>
      </c>
      <c r="G773" s="970">
        <v>575056</v>
      </c>
      <c r="H773" s="970"/>
      <c r="I773" s="970">
        <v>88717</v>
      </c>
      <c r="J773" s="971">
        <v>78938</v>
      </c>
      <c r="K773" s="971">
        <v>152598</v>
      </c>
      <c r="L773" s="971">
        <v>283623</v>
      </c>
      <c r="M773" s="970"/>
      <c r="N773" s="971">
        <v>2977</v>
      </c>
      <c r="O773" s="971">
        <v>0</v>
      </c>
      <c r="P773" s="971">
        <v>0</v>
      </c>
      <c r="Q773" s="971">
        <v>0</v>
      </c>
      <c r="R773" s="970"/>
      <c r="S773" s="971">
        <v>159735</v>
      </c>
      <c r="T773" s="971">
        <v>109986</v>
      </c>
      <c r="U773" s="971">
        <v>269721</v>
      </c>
    </row>
    <row r="774" spans="1:21" x14ac:dyDescent="0.25">
      <c r="A774" s="967">
        <v>98321</v>
      </c>
      <c r="B774" s="968" t="s">
        <v>3411</v>
      </c>
      <c r="C774" s="969">
        <v>1.9199999999999999E-5</v>
      </c>
      <c r="D774" s="969">
        <v>2.05E-5</v>
      </c>
      <c r="E774" s="1008">
        <v>10544</v>
      </c>
      <c r="F774" s="1011">
        <v>31318</v>
      </c>
      <c r="G774" s="970">
        <v>45549</v>
      </c>
      <c r="H774" s="970"/>
      <c r="I774" s="970">
        <v>7027</v>
      </c>
      <c r="J774" s="971">
        <v>6253</v>
      </c>
      <c r="K774" s="971">
        <v>12087</v>
      </c>
      <c r="L774" s="971">
        <v>63</v>
      </c>
      <c r="M774" s="970"/>
      <c r="N774" s="971">
        <v>236</v>
      </c>
      <c r="O774" s="971">
        <v>0</v>
      </c>
      <c r="P774" s="971">
        <v>0</v>
      </c>
      <c r="Q774" s="971">
        <v>1957</v>
      </c>
      <c r="R774" s="970"/>
      <c r="S774" s="971">
        <v>12652</v>
      </c>
      <c r="T774" s="971">
        <v>453</v>
      </c>
      <c r="U774" s="971">
        <v>13105</v>
      </c>
    </row>
    <row r="775" spans="1:21" x14ac:dyDescent="0.25">
      <c r="A775" s="967">
        <v>98331</v>
      </c>
      <c r="B775" s="968" t="s">
        <v>3412</v>
      </c>
      <c r="C775" s="969">
        <v>9.3000000000000007E-6</v>
      </c>
      <c r="D775" s="969">
        <v>9.7999999999999993E-6</v>
      </c>
      <c r="E775" s="1008">
        <v>6678</v>
      </c>
      <c r="F775" s="1011">
        <v>14972</v>
      </c>
      <c r="G775" s="970">
        <v>22063</v>
      </c>
      <c r="H775" s="970"/>
      <c r="I775" s="970">
        <v>3404</v>
      </c>
      <c r="J775" s="971">
        <v>3029</v>
      </c>
      <c r="K775" s="971">
        <v>5855</v>
      </c>
      <c r="L775" s="971">
        <v>3274</v>
      </c>
      <c r="M775" s="970"/>
      <c r="N775" s="971">
        <v>114</v>
      </c>
      <c r="O775" s="971">
        <v>0</v>
      </c>
      <c r="P775" s="971">
        <v>0</v>
      </c>
      <c r="Q775" s="971">
        <v>0</v>
      </c>
      <c r="R775" s="970"/>
      <c r="S775" s="971">
        <v>6128</v>
      </c>
      <c r="T775" s="971">
        <v>1309</v>
      </c>
      <c r="U775" s="971">
        <v>7437</v>
      </c>
    </row>
    <row r="776" spans="1:21" x14ac:dyDescent="0.25">
      <c r="A776" s="967">
        <v>98401</v>
      </c>
      <c r="B776" s="968" t="s">
        <v>3413</v>
      </c>
      <c r="C776" s="969">
        <v>2.7358E-3</v>
      </c>
      <c r="D776" s="969">
        <v>2.7655000000000002E-3</v>
      </c>
      <c r="E776" s="1008">
        <v>1479388</v>
      </c>
      <c r="F776" s="1011">
        <v>4224918</v>
      </c>
      <c r="G776" s="970">
        <v>6490253</v>
      </c>
      <c r="H776" s="970"/>
      <c r="I776" s="970">
        <v>1001292</v>
      </c>
      <c r="J776" s="971">
        <v>890919</v>
      </c>
      <c r="K776" s="971">
        <v>1722263</v>
      </c>
      <c r="L776" s="971">
        <v>198418</v>
      </c>
      <c r="M776" s="970"/>
      <c r="N776" s="971">
        <v>33598</v>
      </c>
      <c r="O776" s="971">
        <v>0</v>
      </c>
      <c r="P776" s="971">
        <v>0</v>
      </c>
      <c r="Q776" s="971">
        <v>4093</v>
      </c>
      <c r="R776" s="970"/>
      <c r="S776" s="971">
        <v>1802818</v>
      </c>
      <c r="T776" s="971">
        <v>81533</v>
      </c>
      <c r="U776" s="971">
        <v>1884351</v>
      </c>
    </row>
    <row r="777" spans="1:21" x14ac:dyDescent="0.25">
      <c r="A777" s="967">
        <v>98404</v>
      </c>
      <c r="B777" s="968" t="s">
        <v>3694</v>
      </c>
      <c r="C777" s="969">
        <v>1.5099999999999999E-5</v>
      </c>
      <c r="D777" s="969">
        <v>1.52E-5</v>
      </c>
      <c r="E777" s="1008">
        <v>8377</v>
      </c>
      <c r="F777" s="1011">
        <v>23221</v>
      </c>
      <c r="G777" s="970">
        <v>35822</v>
      </c>
      <c r="H777" s="970"/>
      <c r="I777" s="970">
        <v>5527</v>
      </c>
      <c r="J777" s="971">
        <v>4917</v>
      </c>
      <c r="K777" s="971">
        <v>9506</v>
      </c>
      <c r="L777" s="971">
        <v>7686</v>
      </c>
      <c r="M777" s="970"/>
      <c r="N777" s="971">
        <v>185</v>
      </c>
      <c r="O777" s="971">
        <v>0</v>
      </c>
      <c r="P777" s="971">
        <v>0</v>
      </c>
      <c r="Q777" s="971">
        <v>0</v>
      </c>
      <c r="R777" s="970"/>
      <c r="S777" s="971">
        <v>9950</v>
      </c>
      <c r="T777" s="971">
        <v>2503</v>
      </c>
      <c r="U777" s="971">
        <v>12453</v>
      </c>
    </row>
    <row r="778" spans="1:21" x14ac:dyDescent="0.25">
      <c r="A778" s="967">
        <v>98411</v>
      </c>
      <c r="B778" s="968" t="s">
        <v>3414</v>
      </c>
      <c r="C778" s="969">
        <v>1.9327000000000001E-3</v>
      </c>
      <c r="D778" s="969">
        <v>1.9816E-3</v>
      </c>
      <c r="E778" s="1008">
        <v>907144</v>
      </c>
      <c r="F778" s="1011">
        <v>3027336</v>
      </c>
      <c r="G778" s="970">
        <v>4585025</v>
      </c>
      <c r="H778" s="970"/>
      <c r="I778" s="970">
        <v>707360</v>
      </c>
      <c r="J778" s="971">
        <v>629388</v>
      </c>
      <c r="K778" s="971">
        <v>1216689</v>
      </c>
      <c r="L778" s="971">
        <v>0</v>
      </c>
      <c r="M778" s="970"/>
      <c r="N778" s="971">
        <v>23735</v>
      </c>
      <c r="O778" s="971">
        <v>0</v>
      </c>
      <c r="P778" s="971">
        <v>0</v>
      </c>
      <c r="Q778" s="971">
        <v>116454</v>
      </c>
      <c r="R778" s="970"/>
      <c r="S778" s="971">
        <v>1273597</v>
      </c>
      <c r="T778" s="971">
        <v>-35630</v>
      </c>
      <c r="U778" s="971">
        <v>1237967</v>
      </c>
    </row>
    <row r="779" spans="1:21" x14ac:dyDescent="0.25">
      <c r="A779" s="967">
        <v>98414</v>
      </c>
      <c r="B779" s="968" t="s">
        <v>2654</v>
      </c>
      <c r="C779" s="969">
        <v>4.1600000000000002E-5</v>
      </c>
      <c r="D779" s="969">
        <v>3.8500000000000001E-5</v>
      </c>
      <c r="E779" s="1008">
        <v>18062</v>
      </c>
      <c r="F779" s="1011">
        <v>58818</v>
      </c>
      <c r="G779" s="970">
        <v>98689</v>
      </c>
      <c r="H779" s="970"/>
      <c r="I779" s="970">
        <v>15225</v>
      </c>
      <c r="J779" s="971">
        <v>13548</v>
      </c>
      <c r="K779" s="971">
        <v>26188</v>
      </c>
      <c r="L779" s="971">
        <v>18529</v>
      </c>
      <c r="M779" s="970"/>
      <c r="N779" s="971">
        <v>511</v>
      </c>
      <c r="O779" s="971">
        <v>0</v>
      </c>
      <c r="P779" s="971">
        <v>0</v>
      </c>
      <c r="Q779" s="971">
        <v>24349</v>
      </c>
      <c r="R779" s="970"/>
      <c r="S779" s="971">
        <v>27413</v>
      </c>
      <c r="T779" s="971">
        <v>-3734</v>
      </c>
      <c r="U779" s="971">
        <v>23679</v>
      </c>
    </row>
    <row r="780" spans="1:21" x14ac:dyDescent="0.25">
      <c r="A780" s="967">
        <v>98417</v>
      </c>
      <c r="B780" s="968" t="s">
        <v>3415</v>
      </c>
      <c r="C780" s="969">
        <v>2.1500000000000001E-5</v>
      </c>
      <c r="D780" s="969">
        <v>2.2900000000000001E-5</v>
      </c>
      <c r="E780" s="1008">
        <v>15438</v>
      </c>
      <c r="F780" s="1011">
        <v>34985</v>
      </c>
      <c r="G780" s="970">
        <v>51005</v>
      </c>
      <c r="H780" s="970"/>
      <c r="I780" s="970">
        <v>7869</v>
      </c>
      <c r="J780" s="971">
        <v>7001</v>
      </c>
      <c r="K780" s="971">
        <v>13535</v>
      </c>
      <c r="L780" s="971">
        <v>4701</v>
      </c>
      <c r="M780" s="970"/>
      <c r="N780" s="971">
        <v>264</v>
      </c>
      <c r="O780" s="971">
        <v>0</v>
      </c>
      <c r="P780" s="971">
        <v>0</v>
      </c>
      <c r="Q780" s="971">
        <v>0</v>
      </c>
      <c r="R780" s="970"/>
      <c r="S780" s="971">
        <v>14168</v>
      </c>
      <c r="T780" s="971">
        <v>1052</v>
      </c>
      <c r="U780" s="971">
        <v>15220</v>
      </c>
    </row>
    <row r="781" spans="1:21" x14ac:dyDescent="0.25">
      <c r="A781" s="967">
        <v>98421</v>
      </c>
      <c r="B781" s="968" t="s">
        <v>3416</v>
      </c>
      <c r="C781" s="969">
        <v>1.06E-4</v>
      </c>
      <c r="D781" s="969">
        <v>8.2700000000000004E-5</v>
      </c>
      <c r="E781" s="1008">
        <v>50453</v>
      </c>
      <c r="F781" s="1011">
        <v>126343</v>
      </c>
      <c r="G781" s="970">
        <v>251468</v>
      </c>
      <c r="H781" s="970"/>
      <c r="I781" s="970">
        <v>38796</v>
      </c>
      <c r="J781" s="971">
        <v>34519</v>
      </c>
      <c r="K781" s="971">
        <v>66730</v>
      </c>
      <c r="L781" s="971">
        <v>17902</v>
      </c>
      <c r="M781" s="970"/>
      <c r="N781" s="971">
        <v>1302</v>
      </c>
      <c r="O781" s="971">
        <v>0</v>
      </c>
      <c r="P781" s="971">
        <v>0</v>
      </c>
      <c r="Q781" s="971">
        <v>9065</v>
      </c>
      <c r="R781" s="970"/>
      <c r="S781" s="971">
        <v>69851</v>
      </c>
      <c r="T781" s="971">
        <v>2976</v>
      </c>
      <c r="U781" s="971">
        <v>72827</v>
      </c>
    </row>
    <row r="782" spans="1:21" x14ac:dyDescent="0.25">
      <c r="A782" s="967">
        <v>98427</v>
      </c>
      <c r="B782" s="968" t="s">
        <v>3417</v>
      </c>
      <c r="C782" s="969">
        <v>3.4000000000000001E-6</v>
      </c>
      <c r="D782" s="969">
        <v>3.9999999999999998E-6</v>
      </c>
      <c r="E782" s="1008">
        <v>3304</v>
      </c>
      <c r="F782" s="1011">
        <v>6111</v>
      </c>
      <c r="G782" s="970">
        <v>8066</v>
      </c>
      <c r="H782" s="970"/>
      <c r="I782" s="970">
        <v>1244</v>
      </c>
      <c r="J782" s="971">
        <v>1107</v>
      </c>
      <c r="K782" s="971">
        <v>2140</v>
      </c>
      <c r="L782" s="971">
        <v>1747</v>
      </c>
      <c r="M782" s="970"/>
      <c r="N782" s="971">
        <v>42</v>
      </c>
      <c r="O782" s="971">
        <v>0</v>
      </c>
      <c r="P782" s="971">
        <v>0</v>
      </c>
      <c r="Q782" s="971">
        <v>0</v>
      </c>
      <c r="R782" s="970"/>
      <c r="S782" s="971">
        <v>2241</v>
      </c>
      <c r="T782" s="971">
        <v>707</v>
      </c>
      <c r="U782" s="971">
        <v>2948</v>
      </c>
    </row>
    <row r="783" spans="1:21" x14ac:dyDescent="0.25">
      <c r="A783" s="967">
        <v>98431</v>
      </c>
      <c r="B783" s="968" t="s">
        <v>3418</v>
      </c>
      <c r="C783" s="969">
        <v>1.961E-4</v>
      </c>
      <c r="D783" s="969">
        <v>2.0589999999999999E-4</v>
      </c>
      <c r="E783" s="1008">
        <v>82787</v>
      </c>
      <c r="F783" s="1011">
        <v>314558</v>
      </c>
      <c r="G783" s="970">
        <v>465216</v>
      </c>
      <c r="H783" s="970"/>
      <c r="I783" s="970">
        <v>71772</v>
      </c>
      <c r="J783" s="971">
        <v>63861</v>
      </c>
      <c r="K783" s="971">
        <v>123450</v>
      </c>
      <c r="L783" s="971">
        <v>0</v>
      </c>
      <c r="M783" s="970"/>
      <c r="N783" s="971">
        <v>2408</v>
      </c>
      <c r="O783" s="971">
        <v>0</v>
      </c>
      <c r="P783" s="971">
        <v>0</v>
      </c>
      <c r="Q783" s="971">
        <v>33499</v>
      </c>
      <c r="R783" s="970"/>
      <c r="S783" s="971">
        <v>129225</v>
      </c>
      <c r="T783" s="971">
        <v>-12036</v>
      </c>
      <c r="U783" s="971">
        <v>117189</v>
      </c>
    </row>
    <row r="784" spans="1:21" x14ac:dyDescent="0.25">
      <c r="A784" s="967">
        <v>98441</v>
      </c>
      <c r="B784" s="968" t="s">
        <v>3419</v>
      </c>
      <c r="C784" s="969">
        <v>1.0900000000000001E-4</v>
      </c>
      <c r="D784" s="969">
        <v>8.2700000000000004E-5</v>
      </c>
      <c r="E784" s="1008">
        <v>44923</v>
      </c>
      <c r="F784" s="1011">
        <v>126343</v>
      </c>
      <c r="G784" s="970">
        <v>258585</v>
      </c>
      <c r="H784" s="970"/>
      <c r="I784" s="970">
        <v>39894</v>
      </c>
      <c r="J784" s="971">
        <v>35496</v>
      </c>
      <c r="K784" s="971">
        <v>68619</v>
      </c>
      <c r="L784" s="971">
        <v>12072</v>
      </c>
      <c r="M784" s="970"/>
      <c r="N784" s="971">
        <v>1339</v>
      </c>
      <c r="O784" s="971">
        <v>0</v>
      </c>
      <c r="P784" s="971">
        <v>0</v>
      </c>
      <c r="Q784" s="971">
        <v>13805</v>
      </c>
      <c r="R784" s="970"/>
      <c r="S784" s="971">
        <v>71828</v>
      </c>
      <c r="T784" s="971">
        <v>-5014</v>
      </c>
      <c r="U784" s="971">
        <v>66814</v>
      </c>
    </row>
    <row r="785" spans="1:21" x14ac:dyDescent="0.25">
      <c r="A785" s="967">
        <v>98451</v>
      </c>
      <c r="B785" s="968" t="s">
        <v>3420</v>
      </c>
      <c r="C785" s="969">
        <v>4.88E-5</v>
      </c>
      <c r="D785" s="969">
        <v>5.7000000000000003E-5</v>
      </c>
      <c r="E785" s="1008">
        <v>26696</v>
      </c>
      <c r="F785" s="1011">
        <v>87080</v>
      </c>
      <c r="G785" s="970">
        <v>115770</v>
      </c>
      <c r="H785" s="970"/>
      <c r="I785" s="970">
        <v>17861</v>
      </c>
      <c r="J785" s="971">
        <v>15892</v>
      </c>
      <c r="K785" s="971">
        <v>30721</v>
      </c>
      <c r="L785" s="971">
        <v>380</v>
      </c>
      <c r="M785" s="970"/>
      <c r="N785" s="971">
        <v>599</v>
      </c>
      <c r="O785" s="971">
        <v>0</v>
      </c>
      <c r="P785" s="971">
        <v>0</v>
      </c>
      <c r="Q785" s="971">
        <v>4433</v>
      </c>
      <c r="R785" s="970"/>
      <c r="S785" s="971">
        <v>32158</v>
      </c>
      <c r="T785" s="971">
        <v>-1432</v>
      </c>
      <c r="U785" s="971">
        <v>30726</v>
      </c>
    </row>
    <row r="786" spans="1:21" x14ac:dyDescent="0.25">
      <c r="A786" s="967">
        <v>98481</v>
      </c>
      <c r="B786" s="968" t="s">
        <v>3421</v>
      </c>
      <c r="C786" s="969">
        <v>7.2000000000000002E-5</v>
      </c>
      <c r="D786" s="969">
        <v>6.3899999999999995E-5</v>
      </c>
      <c r="E786" s="1008">
        <v>30726</v>
      </c>
      <c r="F786" s="1011">
        <v>97621</v>
      </c>
      <c r="G786" s="970">
        <v>170809</v>
      </c>
      <c r="H786" s="970"/>
      <c r="I786" s="970">
        <v>26352</v>
      </c>
      <c r="J786" s="971">
        <v>23447</v>
      </c>
      <c r="K786" s="971">
        <v>45326</v>
      </c>
      <c r="L786" s="971">
        <v>2185</v>
      </c>
      <c r="M786" s="970"/>
      <c r="N786" s="971">
        <v>884</v>
      </c>
      <c r="O786" s="971">
        <v>0</v>
      </c>
      <c r="P786" s="971">
        <v>0</v>
      </c>
      <c r="Q786" s="971">
        <v>4175</v>
      </c>
      <c r="R786" s="970"/>
      <c r="S786" s="971">
        <v>47446</v>
      </c>
      <c r="T786" s="971">
        <v>495</v>
      </c>
      <c r="U786" s="971">
        <v>47941</v>
      </c>
    </row>
    <row r="787" spans="1:21" x14ac:dyDescent="0.25">
      <c r="A787" s="967">
        <v>98501</v>
      </c>
      <c r="B787" s="968" t="s">
        <v>3422</v>
      </c>
      <c r="C787" s="969">
        <v>1.6239E-3</v>
      </c>
      <c r="D787" s="969">
        <v>1.6022E-3</v>
      </c>
      <c r="E787" s="1008">
        <v>837926</v>
      </c>
      <c r="F787" s="1011">
        <v>2447718</v>
      </c>
      <c r="G787" s="970">
        <v>3852446</v>
      </c>
      <c r="H787" s="970"/>
      <c r="I787" s="970">
        <v>594341</v>
      </c>
      <c r="J787" s="971">
        <v>528826</v>
      </c>
      <c r="K787" s="971">
        <v>1022291</v>
      </c>
      <c r="L787" s="971">
        <v>103062</v>
      </c>
      <c r="M787" s="970"/>
      <c r="N787" s="971">
        <v>19943</v>
      </c>
      <c r="O787" s="971">
        <v>0</v>
      </c>
      <c r="P787" s="971">
        <v>0</v>
      </c>
      <c r="Q787" s="971">
        <v>0</v>
      </c>
      <c r="R787" s="970"/>
      <c r="S787" s="971">
        <v>1070106</v>
      </c>
      <c r="T787" s="971">
        <v>31738</v>
      </c>
      <c r="U787" s="971">
        <v>1101844</v>
      </c>
    </row>
    <row r="788" spans="1:21" x14ac:dyDescent="0.25">
      <c r="A788" s="967">
        <v>98511</v>
      </c>
      <c r="B788" s="968" t="s">
        <v>3423</v>
      </c>
      <c r="C788" s="969">
        <v>4.0000000000000003E-5</v>
      </c>
      <c r="D788" s="969">
        <v>4.8000000000000001E-5</v>
      </c>
      <c r="E788" s="1008">
        <v>23330</v>
      </c>
      <c r="F788" s="1011">
        <v>73331</v>
      </c>
      <c r="G788" s="970">
        <v>94894</v>
      </c>
      <c r="H788" s="970"/>
      <c r="I788" s="970">
        <v>14640</v>
      </c>
      <c r="J788" s="971">
        <v>13026</v>
      </c>
      <c r="K788" s="971">
        <v>25181</v>
      </c>
      <c r="L788" s="971">
        <v>4106</v>
      </c>
      <c r="M788" s="970"/>
      <c r="N788" s="971">
        <v>491</v>
      </c>
      <c r="O788" s="971">
        <v>0</v>
      </c>
      <c r="P788" s="971">
        <v>0</v>
      </c>
      <c r="Q788" s="971">
        <v>3548</v>
      </c>
      <c r="R788" s="970"/>
      <c r="S788" s="971">
        <v>26359</v>
      </c>
      <c r="T788" s="971">
        <v>-9955</v>
      </c>
      <c r="U788" s="971">
        <v>16404</v>
      </c>
    </row>
    <row r="789" spans="1:21" x14ac:dyDescent="0.25">
      <c r="A789" s="967">
        <v>98517</v>
      </c>
      <c r="B789" s="968" t="s">
        <v>3424</v>
      </c>
      <c r="C789" s="969">
        <v>2.3E-6</v>
      </c>
      <c r="D789" s="969">
        <v>2.3E-6</v>
      </c>
      <c r="E789" s="1008">
        <v>3274</v>
      </c>
      <c r="F789" s="1011">
        <v>3514</v>
      </c>
      <c r="G789" s="970">
        <v>5456</v>
      </c>
      <c r="H789" s="970"/>
      <c r="I789" s="970">
        <v>842</v>
      </c>
      <c r="J789" s="971">
        <v>749</v>
      </c>
      <c r="K789" s="971">
        <v>1448</v>
      </c>
      <c r="L789" s="971">
        <v>2754</v>
      </c>
      <c r="M789" s="970"/>
      <c r="N789" s="971">
        <v>28</v>
      </c>
      <c r="O789" s="971">
        <v>0</v>
      </c>
      <c r="P789" s="971">
        <v>0</v>
      </c>
      <c r="Q789" s="971">
        <v>0</v>
      </c>
      <c r="R789" s="970"/>
      <c r="S789" s="971">
        <v>1516</v>
      </c>
      <c r="T789" s="971">
        <v>1018</v>
      </c>
      <c r="U789" s="971">
        <v>2534</v>
      </c>
    </row>
    <row r="790" spans="1:21" x14ac:dyDescent="0.25">
      <c r="A790" s="967">
        <v>98521</v>
      </c>
      <c r="B790" s="968" t="s">
        <v>3425</v>
      </c>
      <c r="C790" s="969">
        <v>6.4780000000000003E-4</v>
      </c>
      <c r="D790" s="969">
        <v>6.6180000000000004E-4</v>
      </c>
      <c r="E790" s="1008">
        <v>295495</v>
      </c>
      <c r="F790" s="1011">
        <v>1011047</v>
      </c>
      <c r="G790" s="970">
        <v>1536803</v>
      </c>
      <c r="H790" s="970"/>
      <c r="I790" s="970">
        <v>237092</v>
      </c>
      <c r="J790" s="971">
        <v>210957</v>
      </c>
      <c r="K790" s="971">
        <v>407808</v>
      </c>
      <c r="L790" s="971">
        <v>26095</v>
      </c>
      <c r="M790" s="970"/>
      <c r="N790" s="971">
        <v>7956</v>
      </c>
      <c r="O790" s="971">
        <v>0</v>
      </c>
      <c r="P790" s="971">
        <v>0</v>
      </c>
      <c r="Q790" s="971">
        <v>52330</v>
      </c>
      <c r="R790" s="970"/>
      <c r="S790" s="971">
        <v>426883</v>
      </c>
      <c r="T790" s="971">
        <v>-16971</v>
      </c>
      <c r="U790" s="971">
        <v>409912</v>
      </c>
    </row>
    <row r="791" spans="1:21" x14ac:dyDescent="0.25">
      <c r="A791" s="967">
        <v>98601</v>
      </c>
      <c r="B791" s="968" t="s">
        <v>3426</v>
      </c>
      <c r="C791" s="969">
        <v>3.4765999999999998E-3</v>
      </c>
      <c r="D791" s="969">
        <v>3.4148E-3</v>
      </c>
      <c r="E791" s="1008">
        <v>1634846</v>
      </c>
      <c r="F791" s="1011">
        <v>5216869</v>
      </c>
      <c r="G791" s="970">
        <v>8247684</v>
      </c>
      <c r="H791" s="970"/>
      <c r="I791" s="970">
        <v>1272422</v>
      </c>
      <c r="J791" s="971">
        <v>1132162</v>
      </c>
      <c r="K791" s="971">
        <v>2188617</v>
      </c>
      <c r="L791" s="971">
        <v>0</v>
      </c>
      <c r="M791" s="970"/>
      <c r="N791" s="971">
        <v>42696</v>
      </c>
      <c r="O791" s="971">
        <v>0</v>
      </c>
      <c r="P791" s="971">
        <v>0</v>
      </c>
      <c r="Q791" s="971">
        <v>132455</v>
      </c>
      <c r="R791" s="970"/>
      <c r="S791" s="971">
        <v>2290986</v>
      </c>
      <c r="T791" s="971">
        <v>-95496</v>
      </c>
      <c r="U791" s="971">
        <v>2195490</v>
      </c>
    </row>
    <row r="792" spans="1:21" x14ac:dyDescent="0.25">
      <c r="A792" s="967">
        <v>98604</v>
      </c>
      <c r="B792" s="968" t="s">
        <v>3427</v>
      </c>
      <c r="C792" s="969">
        <v>1.29E-5</v>
      </c>
      <c r="D792" s="969">
        <v>1.34E-5</v>
      </c>
      <c r="E792" s="1008">
        <v>7854</v>
      </c>
      <c r="F792" s="1011">
        <v>20471</v>
      </c>
      <c r="G792" s="970">
        <v>30603</v>
      </c>
      <c r="H792" s="970"/>
      <c r="I792" s="970">
        <v>4721</v>
      </c>
      <c r="J792" s="971">
        <v>4201</v>
      </c>
      <c r="K792" s="971">
        <v>8121</v>
      </c>
      <c r="L792" s="971">
        <v>5819</v>
      </c>
      <c r="M792" s="970"/>
      <c r="N792" s="971">
        <v>158</v>
      </c>
      <c r="O792" s="971">
        <v>0</v>
      </c>
      <c r="P792" s="971">
        <v>0</v>
      </c>
      <c r="Q792" s="971">
        <v>3633</v>
      </c>
      <c r="R792" s="970"/>
      <c r="S792" s="971">
        <v>8501</v>
      </c>
      <c r="T792" s="971">
        <v>2349</v>
      </c>
      <c r="U792" s="971">
        <v>10850</v>
      </c>
    </row>
    <row r="793" spans="1:21" x14ac:dyDescent="0.25">
      <c r="A793" s="967">
        <v>98607</v>
      </c>
      <c r="B793" s="968" t="s">
        <v>3428</v>
      </c>
      <c r="C793" s="969">
        <v>6.9E-6</v>
      </c>
      <c r="D793" s="969">
        <v>5.9000000000000003E-6</v>
      </c>
      <c r="E793" s="1008">
        <v>4219</v>
      </c>
      <c r="F793" s="1011">
        <v>9014</v>
      </c>
      <c r="G793" s="970">
        <v>16369</v>
      </c>
      <c r="H793" s="970"/>
      <c r="I793" s="970">
        <v>2525</v>
      </c>
      <c r="J793" s="971">
        <v>2247</v>
      </c>
      <c r="K793" s="971">
        <v>4344</v>
      </c>
      <c r="L793" s="971">
        <v>1428</v>
      </c>
      <c r="M793" s="970"/>
      <c r="N793" s="971">
        <v>85</v>
      </c>
      <c r="O793" s="971">
        <v>0</v>
      </c>
      <c r="P793" s="971">
        <v>0</v>
      </c>
      <c r="Q793" s="971">
        <v>602</v>
      </c>
      <c r="R793" s="970"/>
      <c r="S793" s="971">
        <v>4547</v>
      </c>
      <c r="T793" s="971">
        <v>-512</v>
      </c>
      <c r="U793" s="971">
        <v>4035</v>
      </c>
    </row>
    <row r="794" spans="1:21" x14ac:dyDescent="0.25">
      <c r="A794" s="967">
        <v>98608</v>
      </c>
      <c r="B794" s="968" t="s">
        <v>3429</v>
      </c>
      <c r="C794" s="969">
        <v>4.3099999999999997E-5</v>
      </c>
      <c r="D794" s="969">
        <v>4.9200000000000003E-5</v>
      </c>
      <c r="E794" s="1008">
        <v>25288</v>
      </c>
      <c r="F794" s="1011">
        <v>75164</v>
      </c>
      <c r="G794" s="970">
        <v>102248</v>
      </c>
      <c r="H794" s="970"/>
      <c r="I794" s="970">
        <v>15774</v>
      </c>
      <c r="J794" s="971">
        <v>14035</v>
      </c>
      <c r="K794" s="971">
        <v>27133</v>
      </c>
      <c r="L794" s="971">
        <v>3440</v>
      </c>
      <c r="M794" s="970"/>
      <c r="N794" s="971">
        <v>529</v>
      </c>
      <c r="O794" s="971">
        <v>0</v>
      </c>
      <c r="P794" s="971">
        <v>0</v>
      </c>
      <c r="Q794" s="971">
        <v>4498</v>
      </c>
      <c r="R794" s="970"/>
      <c r="S794" s="971">
        <v>28402</v>
      </c>
      <c r="T794" s="971">
        <v>961</v>
      </c>
      <c r="U794" s="971">
        <v>29363</v>
      </c>
    </row>
    <row r="795" spans="1:21" x14ac:dyDescent="0.25">
      <c r="A795" s="967">
        <v>98611</v>
      </c>
      <c r="B795" s="968" t="s">
        <v>3430</v>
      </c>
      <c r="C795" s="969">
        <v>1.143E-4</v>
      </c>
      <c r="D795" s="969">
        <v>8.6899999999999998E-5</v>
      </c>
      <c r="E795" s="1008">
        <v>57797</v>
      </c>
      <c r="F795" s="1011">
        <v>132759</v>
      </c>
      <c r="G795" s="970">
        <v>271159</v>
      </c>
      <c r="H795" s="970"/>
      <c r="I795" s="970">
        <v>41833</v>
      </c>
      <c r="J795" s="971">
        <v>37222</v>
      </c>
      <c r="K795" s="971">
        <v>71955</v>
      </c>
      <c r="L795" s="971">
        <v>27552</v>
      </c>
      <c r="M795" s="970"/>
      <c r="N795" s="971">
        <v>1404</v>
      </c>
      <c r="O795" s="971">
        <v>0</v>
      </c>
      <c r="P795" s="971">
        <v>0</v>
      </c>
      <c r="Q795" s="971">
        <v>6191</v>
      </c>
      <c r="R795" s="970"/>
      <c r="S795" s="971">
        <v>75321</v>
      </c>
      <c r="T795" s="971">
        <v>6163</v>
      </c>
      <c r="U795" s="971">
        <v>81484</v>
      </c>
    </row>
    <row r="796" spans="1:21" x14ac:dyDescent="0.25">
      <c r="A796" s="967">
        <v>98621</v>
      </c>
      <c r="B796" s="968" t="s">
        <v>3431</v>
      </c>
      <c r="C796" s="969">
        <v>1.371E-4</v>
      </c>
      <c r="D796" s="969">
        <v>1.314E-4</v>
      </c>
      <c r="E796" s="1008">
        <v>62284</v>
      </c>
      <c r="F796" s="1011">
        <v>200743</v>
      </c>
      <c r="G796" s="970">
        <v>325248</v>
      </c>
      <c r="H796" s="970"/>
      <c r="I796" s="970">
        <v>50178</v>
      </c>
      <c r="J796" s="971">
        <v>44647</v>
      </c>
      <c r="K796" s="971">
        <v>86308</v>
      </c>
      <c r="L796" s="971">
        <v>229</v>
      </c>
      <c r="M796" s="970"/>
      <c r="N796" s="971">
        <v>1684</v>
      </c>
      <c r="O796" s="971">
        <v>0</v>
      </c>
      <c r="P796" s="971">
        <v>0</v>
      </c>
      <c r="Q796" s="971">
        <v>6715</v>
      </c>
      <c r="R796" s="970"/>
      <c r="S796" s="971">
        <v>90345</v>
      </c>
      <c r="T796" s="971">
        <v>-3483</v>
      </c>
      <c r="U796" s="971">
        <v>86862</v>
      </c>
    </row>
    <row r="797" spans="1:21" x14ac:dyDescent="0.25">
      <c r="A797" s="967">
        <v>98627</v>
      </c>
      <c r="B797" s="968" t="s">
        <v>3432</v>
      </c>
      <c r="C797" s="969">
        <v>8.3000000000000002E-6</v>
      </c>
      <c r="D797" s="969">
        <v>8.6999999999999997E-6</v>
      </c>
      <c r="E797" s="1008">
        <v>3576</v>
      </c>
      <c r="F797" s="1011">
        <v>13291</v>
      </c>
      <c r="G797" s="970">
        <v>19690</v>
      </c>
      <c r="H797" s="970"/>
      <c r="I797" s="970">
        <v>3038</v>
      </c>
      <c r="J797" s="971">
        <v>2703</v>
      </c>
      <c r="K797" s="971">
        <v>5225</v>
      </c>
      <c r="L797" s="971">
        <v>206</v>
      </c>
      <c r="M797" s="970"/>
      <c r="N797" s="971">
        <v>102</v>
      </c>
      <c r="O797" s="971">
        <v>0</v>
      </c>
      <c r="P797" s="971">
        <v>0</v>
      </c>
      <c r="Q797" s="971">
        <v>1443</v>
      </c>
      <c r="R797" s="970"/>
      <c r="S797" s="971">
        <v>5469</v>
      </c>
      <c r="T797" s="971">
        <v>-389</v>
      </c>
      <c r="U797" s="971">
        <v>5080</v>
      </c>
    </row>
    <row r="798" spans="1:21" x14ac:dyDescent="0.25">
      <c r="A798" s="967">
        <v>98631</v>
      </c>
      <c r="B798" s="968" t="s">
        <v>3433</v>
      </c>
      <c r="C798" s="969">
        <v>1.0238000000000001E-3</v>
      </c>
      <c r="D798" s="969">
        <v>1.0051999999999999E-3</v>
      </c>
      <c r="E798" s="1008">
        <v>508131</v>
      </c>
      <c r="F798" s="1011">
        <v>1535667</v>
      </c>
      <c r="G798" s="970">
        <v>2428804</v>
      </c>
      <c r="H798" s="970"/>
      <c r="I798" s="970">
        <v>374707</v>
      </c>
      <c r="J798" s="971">
        <v>333403</v>
      </c>
      <c r="K798" s="971">
        <v>644511</v>
      </c>
      <c r="L798" s="971">
        <v>18991</v>
      </c>
      <c r="M798" s="970"/>
      <c r="N798" s="971">
        <v>12573</v>
      </c>
      <c r="O798" s="971">
        <v>0</v>
      </c>
      <c r="P798" s="971">
        <v>0</v>
      </c>
      <c r="Q798" s="971">
        <v>60399</v>
      </c>
      <c r="R798" s="970"/>
      <c r="S798" s="971">
        <v>674657</v>
      </c>
      <c r="T798" s="971">
        <v>-36968</v>
      </c>
      <c r="U798" s="971">
        <v>637689</v>
      </c>
    </row>
    <row r="799" spans="1:21" x14ac:dyDescent="0.25">
      <c r="A799" s="967">
        <v>98637</v>
      </c>
      <c r="B799" s="968" t="s">
        <v>3434</v>
      </c>
      <c r="C799" s="969">
        <v>1.9000000000000001E-5</v>
      </c>
      <c r="D799" s="969">
        <v>2.0800000000000001E-5</v>
      </c>
      <c r="E799" s="1008">
        <v>16673</v>
      </c>
      <c r="F799" s="1011">
        <v>31777</v>
      </c>
      <c r="G799" s="970">
        <v>45074</v>
      </c>
      <c r="H799" s="970"/>
      <c r="I799" s="970">
        <v>6954</v>
      </c>
      <c r="J799" s="971">
        <v>6187</v>
      </c>
      <c r="K799" s="971">
        <v>11961</v>
      </c>
      <c r="L799" s="971">
        <v>9802</v>
      </c>
      <c r="M799" s="970"/>
      <c r="N799" s="971">
        <v>233</v>
      </c>
      <c r="O799" s="971">
        <v>0</v>
      </c>
      <c r="P799" s="971">
        <v>0</v>
      </c>
      <c r="Q799" s="971">
        <v>0</v>
      </c>
      <c r="R799" s="970"/>
      <c r="S799" s="971">
        <v>12520</v>
      </c>
      <c r="T799" s="971">
        <v>4352</v>
      </c>
      <c r="U799" s="971">
        <v>16872</v>
      </c>
    </row>
    <row r="800" spans="1:21" x14ac:dyDescent="0.25">
      <c r="A800" s="967">
        <v>98641</v>
      </c>
      <c r="B800" s="968" t="s">
        <v>3435</v>
      </c>
      <c r="C800" s="969">
        <v>2.9080000000000002E-4</v>
      </c>
      <c r="D800" s="969">
        <v>2.965E-4</v>
      </c>
      <c r="E800" s="1008">
        <v>148773</v>
      </c>
      <c r="F800" s="1011">
        <v>452970</v>
      </c>
      <c r="G800" s="970">
        <v>689877</v>
      </c>
      <c r="H800" s="970"/>
      <c r="I800" s="970">
        <v>106432</v>
      </c>
      <c r="J800" s="971">
        <v>94699</v>
      </c>
      <c r="K800" s="971">
        <v>183067</v>
      </c>
      <c r="L800" s="971">
        <v>1967</v>
      </c>
      <c r="M800" s="970"/>
      <c r="N800" s="971">
        <v>3571</v>
      </c>
      <c r="O800" s="971">
        <v>0</v>
      </c>
      <c r="P800" s="971">
        <v>0</v>
      </c>
      <c r="Q800" s="971">
        <v>5099</v>
      </c>
      <c r="R800" s="970"/>
      <c r="S800" s="971">
        <v>191629</v>
      </c>
      <c r="T800" s="971">
        <v>68</v>
      </c>
      <c r="U800" s="971">
        <v>191697</v>
      </c>
    </row>
    <row r="801" spans="1:21" x14ac:dyDescent="0.25">
      <c r="A801" s="967">
        <v>98701</v>
      </c>
      <c r="B801" s="968" t="s">
        <v>3437</v>
      </c>
      <c r="C801" s="969">
        <v>1.0870000000000001E-3</v>
      </c>
      <c r="D801" s="969">
        <v>1.1333999999999999E-3</v>
      </c>
      <c r="E801" s="1008">
        <v>523933</v>
      </c>
      <c r="F801" s="1011">
        <v>1731521</v>
      </c>
      <c r="G801" s="970">
        <v>2578736</v>
      </c>
      <c r="H801" s="970"/>
      <c r="I801" s="970">
        <v>397838</v>
      </c>
      <c r="J801" s="971">
        <v>353983</v>
      </c>
      <c r="K801" s="971">
        <v>684297</v>
      </c>
      <c r="L801" s="971">
        <v>2231</v>
      </c>
      <c r="M801" s="970"/>
      <c r="N801" s="971">
        <v>13349</v>
      </c>
      <c r="O801" s="971">
        <v>0</v>
      </c>
      <c r="P801" s="971">
        <v>0</v>
      </c>
      <c r="Q801" s="971">
        <v>78824</v>
      </c>
      <c r="R801" s="970"/>
      <c r="S801" s="971">
        <v>716304</v>
      </c>
      <c r="T801" s="971">
        <v>-35842</v>
      </c>
      <c r="U801" s="971">
        <v>680462</v>
      </c>
    </row>
    <row r="802" spans="1:21" x14ac:dyDescent="0.25">
      <c r="A802" s="967">
        <v>98711</v>
      </c>
      <c r="B802" s="968" t="s">
        <v>3438</v>
      </c>
      <c r="C802" s="969">
        <v>1.6679999999999999E-4</v>
      </c>
      <c r="D802" s="969">
        <v>1.8369999999999999E-4</v>
      </c>
      <c r="E802" s="1008">
        <v>71578</v>
      </c>
      <c r="F802" s="1011">
        <v>280643</v>
      </c>
      <c r="G802" s="970">
        <v>395707</v>
      </c>
      <c r="H802" s="970"/>
      <c r="I802" s="970">
        <v>61048</v>
      </c>
      <c r="J802" s="971">
        <v>54318</v>
      </c>
      <c r="K802" s="971">
        <v>105005</v>
      </c>
      <c r="L802" s="971">
        <v>0</v>
      </c>
      <c r="M802" s="970"/>
      <c r="N802" s="971">
        <v>2048</v>
      </c>
      <c r="O802" s="971">
        <v>0</v>
      </c>
      <c r="P802" s="971">
        <v>0</v>
      </c>
      <c r="Q802" s="971">
        <v>31195</v>
      </c>
      <c r="R802" s="970"/>
      <c r="S802" s="971">
        <v>109917</v>
      </c>
      <c r="T802" s="971">
        <v>-9096</v>
      </c>
      <c r="U802" s="971">
        <v>100821</v>
      </c>
    </row>
    <row r="803" spans="1:21" x14ac:dyDescent="0.25">
      <c r="A803" s="967">
        <v>98717</v>
      </c>
      <c r="B803" s="968" t="s">
        <v>3439</v>
      </c>
      <c r="C803" s="969">
        <v>1.9599999999999999E-5</v>
      </c>
      <c r="D803" s="969">
        <v>2.1100000000000001E-5</v>
      </c>
      <c r="E803" s="1008">
        <v>8772</v>
      </c>
      <c r="F803" s="1011">
        <v>32235</v>
      </c>
      <c r="G803" s="970">
        <v>46498</v>
      </c>
      <c r="H803" s="970"/>
      <c r="I803" s="970">
        <v>7174</v>
      </c>
      <c r="J803" s="971">
        <v>6383</v>
      </c>
      <c r="K803" s="971">
        <v>12339</v>
      </c>
      <c r="L803" s="971">
        <v>928</v>
      </c>
      <c r="M803" s="970"/>
      <c r="N803" s="971">
        <v>241</v>
      </c>
      <c r="O803" s="971">
        <v>0</v>
      </c>
      <c r="P803" s="971">
        <v>0</v>
      </c>
      <c r="Q803" s="971">
        <v>2000</v>
      </c>
      <c r="R803" s="970"/>
      <c r="S803" s="971">
        <v>12916</v>
      </c>
      <c r="T803" s="971">
        <v>-184</v>
      </c>
      <c r="U803" s="971">
        <v>12732</v>
      </c>
    </row>
    <row r="804" spans="1:21" x14ac:dyDescent="0.25">
      <c r="A804" s="967">
        <v>98801</v>
      </c>
      <c r="B804" s="968" t="s">
        <v>3440</v>
      </c>
      <c r="C804" s="969">
        <v>2.1394999999999999E-3</v>
      </c>
      <c r="D804" s="969">
        <v>2.2859E-3</v>
      </c>
      <c r="E804" s="1008">
        <v>1082761</v>
      </c>
      <c r="F804" s="1011">
        <v>3492222</v>
      </c>
      <c r="G804" s="970">
        <v>5075626</v>
      </c>
      <c r="H804" s="970"/>
      <c r="I804" s="970">
        <v>783048</v>
      </c>
      <c r="J804" s="971">
        <v>696732</v>
      </c>
      <c r="K804" s="971">
        <v>1346875</v>
      </c>
      <c r="L804" s="971">
        <v>90601</v>
      </c>
      <c r="M804" s="970"/>
      <c r="N804" s="971">
        <v>26275</v>
      </c>
      <c r="O804" s="971">
        <v>0</v>
      </c>
      <c r="P804" s="971">
        <v>0</v>
      </c>
      <c r="Q804" s="971">
        <v>76084</v>
      </c>
      <c r="R804" s="970"/>
      <c r="S804" s="971">
        <v>1409873</v>
      </c>
      <c r="T804" s="971">
        <v>36447</v>
      </c>
      <c r="U804" s="971">
        <v>1446320</v>
      </c>
    </row>
    <row r="805" spans="1:21" x14ac:dyDescent="0.25">
      <c r="A805" s="967">
        <v>98811</v>
      </c>
      <c r="B805" s="968" t="s">
        <v>3441</v>
      </c>
      <c r="C805" s="969">
        <v>6.332E-4</v>
      </c>
      <c r="D805" s="969">
        <v>6.5160000000000001E-4</v>
      </c>
      <c r="E805" s="1008">
        <v>335491</v>
      </c>
      <c r="F805" s="1011">
        <v>995464</v>
      </c>
      <c r="G805" s="970">
        <v>1502167</v>
      </c>
      <c r="H805" s="970"/>
      <c r="I805" s="970">
        <v>231749</v>
      </c>
      <c r="J805" s="971">
        <v>206203</v>
      </c>
      <c r="K805" s="971">
        <v>398617</v>
      </c>
      <c r="L805" s="971">
        <v>10392</v>
      </c>
      <c r="M805" s="970"/>
      <c r="N805" s="971">
        <v>7776</v>
      </c>
      <c r="O805" s="971">
        <v>0</v>
      </c>
      <c r="P805" s="971">
        <v>0</v>
      </c>
      <c r="Q805" s="971">
        <v>32558</v>
      </c>
      <c r="R805" s="970"/>
      <c r="S805" s="971">
        <v>417262</v>
      </c>
      <c r="T805" s="971">
        <v>1421</v>
      </c>
      <c r="U805" s="971">
        <v>418683</v>
      </c>
    </row>
    <row r="806" spans="1:21" x14ac:dyDescent="0.25">
      <c r="A806" s="967">
        <v>98817</v>
      </c>
      <c r="B806" s="968" t="s">
        <v>3442</v>
      </c>
      <c r="C806" s="969">
        <v>2.4000000000000001E-5</v>
      </c>
      <c r="D806" s="969">
        <v>2.5199999999999999E-5</v>
      </c>
      <c r="E806" s="1008">
        <v>14010</v>
      </c>
      <c r="F806" s="1011">
        <v>38499</v>
      </c>
      <c r="G806" s="970">
        <v>56936</v>
      </c>
      <c r="H806" s="970"/>
      <c r="I806" s="970">
        <v>8784</v>
      </c>
      <c r="J806" s="971">
        <v>7815</v>
      </c>
      <c r="K806" s="971">
        <v>15109</v>
      </c>
      <c r="L806" s="971">
        <v>3830</v>
      </c>
      <c r="M806" s="970"/>
      <c r="N806" s="971">
        <v>295</v>
      </c>
      <c r="O806" s="971">
        <v>0</v>
      </c>
      <c r="P806" s="971">
        <v>0</v>
      </c>
      <c r="Q806" s="971">
        <v>0</v>
      </c>
      <c r="R806" s="970"/>
      <c r="S806" s="971">
        <v>15815</v>
      </c>
      <c r="T806" s="971">
        <v>-955</v>
      </c>
      <c r="U806" s="971">
        <v>14860</v>
      </c>
    </row>
    <row r="807" spans="1:21" x14ac:dyDescent="0.25">
      <c r="A807" s="967">
        <v>98901</v>
      </c>
      <c r="B807" s="968" t="s">
        <v>3443</v>
      </c>
      <c r="C807" s="969">
        <v>3.0289999999999999E-4</v>
      </c>
      <c r="D807" s="969">
        <v>3.5050000000000001E-4</v>
      </c>
      <c r="E807" s="1008">
        <v>163215</v>
      </c>
      <c r="F807" s="1011">
        <v>535467</v>
      </c>
      <c r="G807" s="970">
        <v>718582</v>
      </c>
      <c r="H807" s="970"/>
      <c r="I807" s="970">
        <v>110860</v>
      </c>
      <c r="J807" s="971">
        <v>98640</v>
      </c>
      <c r="K807" s="971">
        <v>190684</v>
      </c>
      <c r="L807" s="971">
        <v>5223</v>
      </c>
      <c r="M807" s="970"/>
      <c r="N807" s="971">
        <v>3720</v>
      </c>
      <c r="O807" s="971">
        <v>0</v>
      </c>
      <c r="P807" s="971">
        <v>0</v>
      </c>
      <c r="Q807" s="971">
        <v>23281</v>
      </c>
      <c r="R807" s="970"/>
      <c r="S807" s="971">
        <v>199603</v>
      </c>
      <c r="T807" s="971">
        <v>-4531</v>
      </c>
      <c r="U807" s="971">
        <v>195072</v>
      </c>
    </row>
    <row r="808" spans="1:21" x14ac:dyDescent="0.25">
      <c r="A808" s="967">
        <v>98904</v>
      </c>
      <c r="B808" s="968" t="s">
        <v>3444</v>
      </c>
      <c r="C808" s="969">
        <v>3.9999999999999998E-6</v>
      </c>
      <c r="D808" s="969">
        <v>2.7999999999999999E-6</v>
      </c>
      <c r="E808" s="1008">
        <v>1643</v>
      </c>
      <c r="F808" s="1011">
        <v>4278</v>
      </c>
      <c r="G808" s="970">
        <v>9489</v>
      </c>
      <c r="H808" s="970"/>
      <c r="I808" s="970">
        <v>1464</v>
      </c>
      <c r="J808" s="971">
        <v>1303</v>
      </c>
      <c r="K808" s="971">
        <v>2518</v>
      </c>
      <c r="L808" s="971">
        <v>762</v>
      </c>
      <c r="M808" s="970"/>
      <c r="N808" s="971">
        <v>49</v>
      </c>
      <c r="O808" s="971">
        <v>0</v>
      </c>
      <c r="P808" s="971">
        <v>0</v>
      </c>
      <c r="Q808" s="971">
        <v>1361</v>
      </c>
      <c r="R808" s="970"/>
      <c r="S808" s="971">
        <v>2636</v>
      </c>
      <c r="T808" s="971">
        <v>-163</v>
      </c>
      <c r="U808" s="971">
        <v>2473</v>
      </c>
    </row>
    <row r="809" spans="1:21" x14ac:dyDescent="0.25">
      <c r="A809" s="967">
        <v>98911</v>
      </c>
      <c r="B809" s="968" t="s">
        <v>3445</v>
      </c>
      <c r="C809" s="969">
        <v>2.8900000000000001E-5</v>
      </c>
      <c r="D809" s="969">
        <v>2.7900000000000001E-5</v>
      </c>
      <c r="E809" s="1008">
        <v>20020</v>
      </c>
      <c r="F809" s="1011">
        <v>42623</v>
      </c>
      <c r="G809" s="970">
        <v>68561</v>
      </c>
      <c r="H809" s="970"/>
      <c r="I809" s="970">
        <v>10577</v>
      </c>
      <c r="J809" s="971">
        <v>9411</v>
      </c>
      <c r="K809" s="971">
        <v>18193</v>
      </c>
      <c r="L809" s="971">
        <v>12643</v>
      </c>
      <c r="M809" s="970"/>
      <c r="N809" s="971">
        <v>355</v>
      </c>
      <c r="O809" s="971">
        <v>0</v>
      </c>
      <c r="P809" s="971">
        <v>0</v>
      </c>
      <c r="Q809" s="971">
        <v>0</v>
      </c>
      <c r="R809" s="970"/>
      <c r="S809" s="971">
        <v>19044</v>
      </c>
      <c r="T809" s="971">
        <v>6908</v>
      </c>
      <c r="U809" s="971">
        <v>25952</v>
      </c>
    </row>
    <row r="810" spans="1:21" x14ac:dyDescent="0.25">
      <c r="A810" s="967">
        <v>99001</v>
      </c>
      <c r="B810" s="968" t="s">
        <v>3446</v>
      </c>
      <c r="C810" s="969">
        <v>8.2226E-3</v>
      </c>
      <c r="D810" s="969">
        <v>8.0949000000000004E-3</v>
      </c>
      <c r="E810" s="1008">
        <v>3958566</v>
      </c>
      <c r="F810" s="1011">
        <v>12366765</v>
      </c>
      <c r="G810" s="970">
        <v>19506819</v>
      </c>
      <c r="H810" s="970"/>
      <c r="I810" s="970">
        <v>3009439</v>
      </c>
      <c r="J810" s="971">
        <v>2677706</v>
      </c>
      <c r="K810" s="971">
        <v>5176357</v>
      </c>
      <c r="L810" s="971">
        <v>209363</v>
      </c>
      <c r="M810" s="970"/>
      <c r="N810" s="971">
        <v>100982</v>
      </c>
      <c r="O810" s="971">
        <v>0</v>
      </c>
      <c r="P810" s="971">
        <v>0</v>
      </c>
      <c r="Q810" s="971">
        <v>0</v>
      </c>
      <c r="R810" s="970"/>
      <c r="S810" s="971">
        <v>5418471</v>
      </c>
      <c r="T810" s="971">
        <v>195187</v>
      </c>
      <c r="U810" s="971">
        <v>5613658</v>
      </c>
    </row>
    <row r="811" spans="1:21" x14ac:dyDescent="0.25">
      <c r="A811" s="967">
        <v>99011</v>
      </c>
      <c r="B811" s="968" t="s">
        <v>3447</v>
      </c>
      <c r="C811" s="969">
        <v>3.8665000000000001E-3</v>
      </c>
      <c r="D811" s="969">
        <v>3.8736999999999999E-3</v>
      </c>
      <c r="E811" s="1008">
        <v>1899632</v>
      </c>
      <c r="F811" s="1011">
        <v>5917941</v>
      </c>
      <c r="G811" s="970">
        <v>9172660</v>
      </c>
      <c r="H811" s="970"/>
      <c r="I811" s="970">
        <v>1415124</v>
      </c>
      <c r="J811" s="971">
        <v>1259134</v>
      </c>
      <c r="K811" s="971">
        <v>2434070</v>
      </c>
      <c r="L811" s="971">
        <v>838</v>
      </c>
      <c r="M811" s="970"/>
      <c r="N811" s="971">
        <v>47484</v>
      </c>
      <c r="O811" s="971">
        <v>0</v>
      </c>
      <c r="P811" s="971">
        <v>0</v>
      </c>
      <c r="Q811" s="971">
        <v>184222</v>
      </c>
      <c r="R811" s="970"/>
      <c r="S811" s="971">
        <v>2547919</v>
      </c>
      <c r="T811" s="971">
        <v>-211857</v>
      </c>
      <c r="U811" s="971">
        <v>2336062</v>
      </c>
    </row>
    <row r="812" spans="1:21" x14ac:dyDescent="0.25">
      <c r="A812" s="967">
        <v>99013</v>
      </c>
      <c r="B812" s="968" t="s">
        <v>3448</v>
      </c>
      <c r="C812" s="969">
        <v>4.8900000000000003E-5</v>
      </c>
      <c r="D812" s="969">
        <v>5.5999999999999999E-5</v>
      </c>
      <c r="E812" s="1008">
        <v>28477</v>
      </c>
      <c r="F812" s="1011">
        <v>85552</v>
      </c>
      <c r="G812" s="970">
        <v>116008</v>
      </c>
      <c r="H812" s="970"/>
      <c r="I812" s="970">
        <v>17897</v>
      </c>
      <c r="J812" s="971">
        <v>15924</v>
      </c>
      <c r="K812" s="971">
        <v>30784</v>
      </c>
      <c r="L812" s="971">
        <v>0</v>
      </c>
      <c r="M812" s="970"/>
      <c r="N812" s="971">
        <v>601</v>
      </c>
      <c r="O812" s="971">
        <v>0</v>
      </c>
      <c r="P812" s="971">
        <v>0</v>
      </c>
      <c r="Q812" s="971">
        <v>6685</v>
      </c>
      <c r="R812" s="970"/>
      <c r="S812" s="971">
        <v>32224</v>
      </c>
      <c r="T812" s="971">
        <v>-3150</v>
      </c>
      <c r="U812" s="971">
        <v>29074</v>
      </c>
    </row>
    <row r="813" spans="1:21" x14ac:dyDescent="0.25">
      <c r="A813" s="967">
        <v>99014</v>
      </c>
      <c r="B813" s="968" t="s">
        <v>3449</v>
      </c>
      <c r="C813" s="969">
        <v>1.45E-5</v>
      </c>
      <c r="D813" s="969">
        <v>2.0100000000000001E-5</v>
      </c>
      <c r="E813" s="1008">
        <v>11821</v>
      </c>
      <c r="F813" s="1011">
        <v>30707</v>
      </c>
      <c r="G813" s="970">
        <v>34399</v>
      </c>
      <c r="H813" s="970"/>
      <c r="I813" s="970">
        <v>5307</v>
      </c>
      <c r="J813" s="971">
        <v>4722</v>
      </c>
      <c r="K813" s="971">
        <v>9128</v>
      </c>
      <c r="L813" s="971">
        <v>8368</v>
      </c>
      <c r="M813" s="970"/>
      <c r="N813" s="971">
        <v>178</v>
      </c>
      <c r="O813" s="971">
        <v>0</v>
      </c>
      <c r="P813" s="971">
        <v>0</v>
      </c>
      <c r="Q813" s="971">
        <v>225</v>
      </c>
      <c r="R813" s="970"/>
      <c r="S813" s="971">
        <v>9555</v>
      </c>
      <c r="T813" s="971">
        <v>4279</v>
      </c>
      <c r="U813" s="971">
        <v>13834</v>
      </c>
    </row>
    <row r="814" spans="1:21" x14ac:dyDescent="0.25">
      <c r="A814" s="967">
        <v>99017</v>
      </c>
      <c r="B814" s="968" t="s">
        <v>3450</v>
      </c>
      <c r="C814" s="969">
        <v>4.5599999999999997E-5</v>
      </c>
      <c r="D814" s="969">
        <v>5.13E-5</v>
      </c>
      <c r="E814" s="1008">
        <v>23294</v>
      </c>
      <c r="F814" s="1011">
        <v>78372</v>
      </c>
      <c r="G814" s="970">
        <v>108179</v>
      </c>
      <c r="H814" s="970"/>
      <c r="I814" s="970">
        <v>16689</v>
      </c>
      <c r="J814" s="971">
        <v>14849</v>
      </c>
      <c r="K814" s="971">
        <v>28706</v>
      </c>
      <c r="L814" s="971">
        <v>5362</v>
      </c>
      <c r="M814" s="970"/>
      <c r="N814" s="971">
        <v>560</v>
      </c>
      <c r="O814" s="971">
        <v>0</v>
      </c>
      <c r="P814" s="971">
        <v>0</v>
      </c>
      <c r="Q814" s="971">
        <v>3293</v>
      </c>
      <c r="R814" s="970"/>
      <c r="S814" s="971">
        <v>30049</v>
      </c>
      <c r="T814" s="971">
        <v>-1419</v>
      </c>
      <c r="U814" s="971">
        <v>28630</v>
      </c>
    </row>
    <row r="815" spans="1:21" x14ac:dyDescent="0.25">
      <c r="A815" s="967">
        <v>99021</v>
      </c>
      <c r="B815" s="968" t="s">
        <v>3451</v>
      </c>
      <c r="C815" s="969">
        <v>1.3200000000000001E-4</v>
      </c>
      <c r="D815" s="969">
        <v>1.5249999999999999E-4</v>
      </c>
      <c r="E815" s="1008">
        <v>66405</v>
      </c>
      <c r="F815" s="1011">
        <v>232978</v>
      </c>
      <c r="G815" s="970">
        <v>313149</v>
      </c>
      <c r="H815" s="970"/>
      <c r="I815" s="970">
        <v>48311</v>
      </c>
      <c r="J815" s="971">
        <v>42986</v>
      </c>
      <c r="K815" s="971">
        <v>83098</v>
      </c>
      <c r="L815" s="971">
        <v>7338</v>
      </c>
      <c r="M815" s="970"/>
      <c r="N815" s="971">
        <v>1621</v>
      </c>
      <c r="O815" s="971">
        <v>0</v>
      </c>
      <c r="P815" s="971">
        <v>0</v>
      </c>
      <c r="Q815" s="971">
        <v>13687</v>
      </c>
      <c r="R815" s="970"/>
      <c r="S815" s="971">
        <v>86984</v>
      </c>
      <c r="T815" s="971">
        <v>669</v>
      </c>
      <c r="U815" s="971">
        <v>87653</v>
      </c>
    </row>
    <row r="816" spans="1:21" x14ac:dyDescent="0.25">
      <c r="A816" s="967">
        <v>99022</v>
      </c>
      <c r="B816" s="968" t="s">
        <v>1962</v>
      </c>
      <c r="C816" s="969">
        <v>9.9000000000000001E-6</v>
      </c>
      <c r="D816" s="969">
        <v>1.08E-5</v>
      </c>
      <c r="E816" s="1008">
        <v>11974</v>
      </c>
      <c r="F816" s="1011">
        <v>16499</v>
      </c>
      <c r="G816" s="970">
        <v>23486</v>
      </c>
      <c r="H816" s="970"/>
      <c r="I816" s="970">
        <v>3623</v>
      </c>
      <c r="J816" s="971">
        <v>3224</v>
      </c>
      <c r="K816" s="971">
        <v>6232</v>
      </c>
      <c r="L816" s="971">
        <v>10975</v>
      </c>
      <c r="M816" s="970"/>
      <c r="N816" s="971">
        <v>122</v>
      </c>
      <c r="O816" s="971">
        <v>0</v>
      </c>
      <c r="P816" s="971">
        <v>0</v>
      </c>
      <c r="Q816" s="971">
        <v>0</v>
      </c>
      <c r="R816" s="970"/>
      <c r="S816" s="971">
        <v>6524</v>
      </c>
      <c r="T816" s="971">
        <v>4162</v>
      </c>
      <c r="U816" s="971">
        <v>10686</v>
      </c>
    </row>
    <row r="817" spans="1:21" x14ac:dyDescent="0.25">
      <c r="A817" s="967">
        <v>99031</v>
      </c>
      <c r="B817" s="968" t="s">
        <v>3452</v>
      </c>
      <c r="C817" s="969">
        <v>1.3669999999999999E-4</v>
      </c>
      <c r="D817" s="969">
        <v>1.518E-4</v>
      </c>
      <c r="E817" s="1008">
        <v>59596</v>
      </c>
      <c r="F817" s="1011">
        <v>231908</v>
      </c>
      <c r="G817" s="970">
        <v>324299</v>
      </c>
      <c r="H817" s="970"/>
      <c r="I817" s="970">
        <v>50032</v>
      </c>
      <c r="J817" s="971">
        <v>44516</v>
      </c>
      <c r="K817" s="971">
        <v>86056</v>
      </c>
      <c r="L817" s="971">
        <v>1850</v>
      </c>
      <c r="M817" s="970"/>
      <c r="N817" s="971">
        <v>1679</v>
      </c>
      <c r="O817" s="971">
        <v>0</v>
      </c>
      <c r="P817" s="971">
        <v>0</v>
      </c>
      <c r="Q817" s="971">
        <v>27900</v>
      </c>
      <c r="R817" s="970"/>
      <c r="S817" s="971">
        <v>90082</v>
      </c>
      <c r="T817" s="971">
        <v>-15810</v>
      </c>
      <c r="U817" s="971">
        <v>74272</v>
      </c>
    </row>
    <row r="818" spans="1:21" x14ac:dyDescent="0.25">
      <c r="A818" s="967">
        <v>99041</v>
      </c>
      <c r="B818" s="968" t="s">
        <v>3453</v>
      </c>
      <c r="C818" s="969">
        <v>6.6399999999999999E-4</v>
      </c>
      <c r="D818" s="969">
        <v>6.3500000000000004E-4</v>
      </c>
      <c r="E818" s="1008">
        <v>282618</v>
      </c>
      <c r="F818" s="1011">
        <v>970104</v>
      </c>
      <c r="G818" s="970">
        <v>1575235</v>
      </c>
      <c r="H818" s="970"/>
      <c r="I818" s="970">
        <v>243021</v>
      </c>
      <c r="J818" s="971">
        <v>216233</v>
      </c>
      <c r="K818" s="971">
        <v>418007</v>
      </c>
      <c r="L818" s="971">
        <v>24066</v>
      </c>
      <c r="M818" s="970"/>
      <c r="N818" s="971">
        <v>8155</v>
      </c>
      <c r="O818" s="971">
        <v>0</v>
      </c>
      <c r="P818" s="971">
        <v>0</v>
      </c>
      <c r="Q818" s="971">
        <v>13122</v>
      </c>
      <c r="R818" s="970"/>
      <c r="S818" s="971">
        <v>437558</v>
      </c>
      <c r="T818" s="971">
        <v>25573</v>
      </c>
      <c r="U818" s="971">
        <v>463131</v>
      </c>
    </row>
    <row r="819" spans="1:21" x14ac:dyDescent="0.25">
      <c r="A819" s="967">
        <v>99047</v>
      </c>
      <c r="B819" s="968" t="s">
        <v>3454</v>
      </c>
      <c r="C819" s="969">
        <v>1.56E-5</v>
      </c>
      <c r="D819" s="969">
        <v>1.42E-5</v>
      </c>
      <c r="E819" s="1008">
        <v>9764</v>
      </c>
      <c r="F819" s="1011">
        <v>21694</v>
      </c>
      <c r="G819" s="970">
        <v>37009</v>
      </c>
      <c r="H819" s="970"/>
      <c r="I819" s="970">
        <v>5710</v>
      </c>
      <c r="J819" s="971">
        <v>5080</v>
      </c>
      <c r="K819" s="971">
        <v>9821</v>
      </c>
      <c r="L819" s="971">
        <v>6776</v>
      </c>
      <c r="M819" s="970"/>
      <c r="N819" s="971">
        <v>192</v>
      </c>
      <c r="O819" s="971">
        <v>0</v>
      </c>
      <c r="P819" s="971">
        <v>0</v>
      </c>
      <c r="Q819" s="971">
        <v>0</v>
      </c>
      <c r="R819" s="970"/>
      <c r="S819" s="971">
        <v>10280</v>
      </c>
      <c r="T819" s="971">
        <v>3015</v>
      </c>
      <c r="U819" s="971">
        <v>13295</v>
      </c>
    </row>
    <row r="820" spans="1:21" x14ac:dyDescent="0.25">
      <c r="A820" s="967">
        <v>99051</v>
      </c>
      <c r="B820" s="968" t="s">
        <v>3455</v>
      </c>
      <c r="C820" s="969">
        <v>3.5330000000000002E-4</v>
      </c>
      <c r="D820" s="969">
        <v>3.5359999999999998E-4</v>
      </c>
      <c r="E820" s="1008">
        <v>158784</v>
      </c>
      <c r="F820" s="1011">
        <v>540203</v>
      </c>
      <c r="G820" s="970">
        <v>838148</v>
      </c>
      <c r="H820" s="970"/>
      <c r="I820" s="970">
        <v>129306</v>
      </c>
      <c r="J820" s="971">
        <v>115053</v>
      </c>
      <c r="K820" s="971">
        <v>222412</v>
      </c>
      <c r="L820" s="971">
        <v>6035</v>
      </c>
      <c r="M820" s="970"/>
      <c r="N820" s="971">
        <v>4339</v>
      </c>
      <c r="O820" s="971">
        <v>0</v>
      </c>
      <c r="P820" s="971">
        <v>0</v>
      </c>
      <c r="Q820" s="971">
        <v>13404</v>
      </c>
      <c r="R820" s="970"/>
      <c r="S820" s="971">
        <v>232815</v>
      </c>
      <c r="T820" s="971">
        <v>1887</v>
      </c>
      <c r="U820" s="971">
        <v>234702</v>
      </c>
    </row>
    <row r="821" spans="1:21" x14ac:dyDescent="0.25">
      <c r="A821" s="967">
        <v>99061</v>
      </c>
      <c r="B821" s="968" t="s">
        <v>3456</v>
      </c>
      <c r="C821" s="969">
        <v>7.5000000000000002E-6</v>
      </c>
      <c r="D821" s="969">
        <v>8.1000000000000004E-6</v>
      </c>
      <c r="E821" s="1008">
        <v>8411</v>
      </c>
      <c r="F821" s="1011">
        <v>12375</v>
      </c>
      <c r="G821" s="970">
        <v>17793</v>
      </c>
      <c r="H821" s="970"/>
      <c r="I821" s="970">
        <v>2745</v>
      </c>
      <c r="J821" s="971">
        <v>2443</v>
      </c>
      <c r="K821" s="971">
        <v>4721</v>
      </c>
      <c r="L821" s="971">
        <v>7969</v>
      </c>
      <c r="M821" s="970"/>
      <c r="N821" s="971">
        <v>92</v>
      </c>
      <c r="O821" s="971">
        <v>0</v>
      </c>
      <c r="P821" s="971">
        <v>0</v>
      </c>
      <c r="Q821" s="971">
        <v>0</v>
      </c>
      <c r="R821" s="970"/>
      <c r="S821" s="971">
        <v>4942</v>
      </c>
      <c r="T821" s="971">
        <v>3513</v>
      </c>
      <c r="U821" s="971">
        <v>8455</v>
      </c>
    </row>
    <row r="822" spans="1:21" x14ac:dyDescent="0.25">
      <c r="A822" s="967">
        <v>99071</v>
      </c>
      <c r="B822" s="968" t="s">
        <v>3457</v>
      </c>
      <c r="C822" s="969">
        <v>2.2799999999999999E-5</v>
      </c>
      <c r="D822" s="969">
        <v>3.04E-5</v>
      </c>
      <c r="E822" s="1008">
        <v>13711</v>
      </c>
      <c r="F822" s="1011">
        <v>46443</v>
      </c>
      <c r="G822" s="970">
        <v>54089</v>
      </c>
      <c r="H822" s="970"/>
      <c r="I822" s="970">
        <v>8345</v>
      </c>
      <c r="J822" s="971">
        <v>7425</v>
      </c>
      <c r="K822" s="971">
        <v>14353</v>
      </c>
      <c r="L822" s="971">
        <v>614</v>
      </c>
      <c r="M822" s="970"/>
      <c r="N822" s="971">
        <v>280</v>
      </c>
      <c r="O822" s="971">
        <v>0</v>
      </c>
      <c r="P822" s="971">
        <v>0</v>
      </c>
      <c r="Q822" s="971">
        <v>4179</v>
      </c>
      <c r="R822" s="970"/>
      <c r="S822" s="971">
        <v>15025</v>
      </c>
      <c r="T822" s="971">
        <v>-1950</v>
      </c>
      <c r="U822" s="971">
        <v>13075</v>
      </c>
    </row>
    <row r="823" spans="1:21" x14ac:dyDescent="0.25">
      <c r="A823" s="967">
        <v>99081</v>
      </c>
      <c r="B823" s="968" t="s">
        <v>3458</v>
      </c>
      <c r="C823" s="969">
        <v>1.4600000000000001E-5</v>
      </c>
      <c r="D823" s="969">
        <v>1.1E-5</v>
      </c>
      <c r="E823" s="1008">
        <v>9240</v>
      </c>
      <c r="F823" s="1011">
        <v>16805</v>
      </c>
      <c r="G823" s="970">
        <v>34636</v>
      </c>
      <c r="H823" s="970"/>
      <c r="I823" s="970">
        <v>5344</v>
      </c>
      <c r="J823" s="971">
        <v>4755</v>
      </c>
      <c r="K823" s="971">
        <v>9191</v>
      </c>
      <c r="L823" s="971">
        <v>5866</v>
      </c>
      <c r="M823" s="970"/>
      <c r="N823" s="971">
        <v>179</v>
      </c>
      <c r="O823" s="971">
        <v>0</v>
      </c>
      <c r="P823" s="971">
        <v>0</v>
      </c>
      <c r="Q823" s="971">
        <v>8362</v>
      </c>
      <c r="R823" s="970"/>
      <c r="S823" s="971">
        <v>9621</v>
      </c>
      <c r="T823" s="971">
        <v>-1818</v>
      </c>
      <c r="U823" s="971">
        <v>7803</v>
      </c>
    </row>
    <row r="824" spans="1:21" x14ac:dyDescent="0.25">
      <c r="A824" s="967">
        <v>99091</v>
      </c>
      <c r="B824" s="968" t="s">
        <v>3459</v>
      </c>
      <c r="C824" s="969">
        <v>3.4999999999999999E-6</v>
      </c>
      <c r="D824" s="969">
        <v>3.9999999999999998E-6</v>
      </c>
      <c r="E824" s="1008">
        <v>4994</v>
      </c>
      <c r="F824" s="1011">
        <v>6111</v>
      </c>
      <c r="G824" s="970">
        <v>8303</v>
      </c>
      <c r="H824" s="970"/>
      <c r="I824" s="970">
        <v>1281</v>
      </c>
      <c r="J824" s="971">
        <v>1140</v>
      </c>
      <c r="K824" s="971">
        <v>2203</v>
      </c>
      <c r="L824" s="971">
        <v>5036</v>
      </c>
      <c r="M824" s="970"/>
      <c r="N824" s="971">
        <v>43</v>
      </c>
      <c r="O824" s="971">
        <v>0</v>
      </c>
      <c r="P824" s="971">
        <v>0</v>
      </c>
      <c r="Q824" s="971">
        <v>0</v>
      </c>
      <c r="R824" s="970"/>
      <c r="S824" s="971">
        <v>2306</v>
      </c>
      <c r="T824" s="971">
        <v>-1327</v>
      </c>
      <c r="U824" s="971">
        <v>979</v>
      </c>
    </row>
    <row r="825" spans="1:21" x14ac:dyDescent="0.25">
      <c r="A825" s="967">
        <v>99101</v>
      </c>
      <c r="B825" s="968" t="s">
        <v>3460</v>
      </c>
      <c r="C825" s="969">
        <v>2.1986000000000002E-3</v>
      </c>
      <c r="D825" s="969">
        <v>2.1724000000000001E-3</v>
      </c>
      <c r="E825" s="1008">
        <v>1006565</v>
      </c>
      <c r="F825" s="1011">
        <v>3318825</v>
      </c>
      <c r="G825" s="970">
        <v>5215831</v>
      </c>
      <c r="H825" s="970"/>
      <c r="I825" s="970">
        <v>804679</v>
      </c>
      <c r="J825" s="971">
        <v>715979</v>
      </c>
      <c r="K825" s="971">
        <v>1384080</v>
      </c>
      <c r="L825" s="971">
        <v>34730</v>
      </c>
      <c r="M825" s="970"/>
      <c r="N825" s="971">
        <v>27001</v>
      </c>
      <c r="O825" s="971">
        <v>0</v>
      </c>
      <c r="P825" s="971">
        <v>0</v>
      </c>
      <c r="Q825" s="971">
        <v>54085</v>
      </c>
      <c r="R825" s="970"/>
      <c r="S825" s="971">
        <v>1448818</v>
      </c>
      <c r="T825" s="971">
        <v>-23157</v>
      </c>
      <c r="U825" s="971">
        <v>1425661</v>
      </c>
    </row>
    <row r="826" spans="1:21" x14ac:dyDescent="0.25">
      <c r="A826" s="967">
        <v>99104</v>
      </c>
      <c r="B826" s="968" t="s">
        <v>3461</v>
      </c>
      <c r="C826" s="969">
        <v>3.4E-5</v>
      </c>
      <c r="D826" s="969">
        <v>3.3500000000000001E-5</v>
      </c>
      <c r="E826" s="1008">
        <v>25544</v>
      </c>
      <c r="F826" s="1011">
        <v>51179</v>
      </c>
      <c r="G826" s="970">
        <v>80660</v>
      </c>
      <c r="H826" s="970"/>
      <c r="I826" s="970">
        <v>12444</v>
      </c>
      <c r="J826" s="971">
        <v>11072</v>
      </c>
      <c r="K826" s="971">
        <v>21404</v>
      </c>
      <c r="L826" s="971">
        <v>16545</v>
      </c>
      <c r="M826" s="970"/>
      <c r="N826" s="971">
        <v>418</v>
      </c>
      <c r="O826" s="971">
        <v>0</v>
      </c>
      <c r="P826" s="971">
        <v>0</v>
      </c>
      <c r="Q826" s="971">
        <v>0</v>
      </c>
      <c r="R826" s="970"/>
      <c r="S826" s="971">
        <v>22405</v>
      </c>
      <c r="T826" s="971">
        <v>8025</v>
      </c>
      <c r="U826" s="971">
        <v>30430</v>
      </c>
    </row>
    <row r="827" spans="1:21" x14ac:dyDescent="0.25">
      <c r="A827" s="967">
        <v>99109</v>
      </c>
      <c r="B827" s="968" t="s">
        <v>3462</v>
      </c>
      <c r="C827" s="969">
        <v>1.194E-4</v>
      </c>
      <c r="D827" s="969">
        <v>1.2339999999999999E-4</v>
      </c>
      <c r="E827" s="1008">
        <v>58598</v>
      </c>
      <c r="F827" s="1011">
        <v>188521</v>
      </c>
      <c r="G827" s="970">
        <v>283258</v>
      </c>
      <c r="H827" s="970"/>
      <c r="I827" s="970">
        <v>43700</v>
      </c>
      <c r="J827" s="971">
        <v>38883</v>
      </c>
      <c r="K827" s="971">
        <v>75166</v>
      </c>
      <c r="L827" s="971">
        <v>3815</v>
      </c>
      <c r="M827" s="970"/>
      <c r="N827" s="971">
        <v>1466</v>
      </c>
      <c r="O827" s="971">
        <v>0</v>
      </c>
      <c r="P827" s="971">
        <v>0</v>
      </c>
      <c r="Q827" s="971">
        <v>8952</v>
      </c>
      <c r="R827" s="970"/>
      <c r="S827" s="971">
        <v>78681</v>
      </c>
      <c r="T827" s="971">
        <v>-6025</v>
      </c>
      <c r="U827" s="971">
        <v>72656</v>
      </c>
    </row>
    <row r="828" spans="1:21" x14ac:dyDescent="0.25">
      <c r="A828" s="967">
        <v>99110</v>
      </c>
      <c r="B828" s="968" t="s">
        <v>3463</v>
      </c>
      <c r="C828" s="969">
        <v>1.75E-4</v>
      </c>
      <c r="D828" s="969">
        <v>1.7670000000000001E-4</v>
      </c>
      <c r="E828" s="1008">
        <v>123993</v>
      </c>
      <c r="F828" s="1011">
        <v>269949</v>
      </c>
      <c r="G828" s="970">
        <v>415160</v>
      </c>
      <c r="H828" s="970"/>
      <c r="I828" s="970">
        <v>64049</v>
      </c>
      <c r="J828" s="971">
        <v>56989</v>
      </c>
      <c r="K828" s="971">
        <v>110167</v>
      </c>
      <c r="L828" s="971">
        <v>70943</v>
      </c>
      <c r="M828" s="970"/>
      <c r="N828" s="971">
        <v>2149</v>
      </c>
      <c r="O828" s="971">
        <v>0</v>
      </c>
      <c r="P828" s="971">
        <v>0</v>
      </c>
      <c r="Q828" s="971">
        <v>0</v>
      </c>
      <c r="R828" s="970"/>
      <c r="S828" s="971">
        <v>115320</v>
      </c>
      <c r="T828" s="971">
        <v>34935</v>
      </c>
      <c r="U828" s="971">
        <v>150255</v>
      </c>
    </row>
    <row r="829" spans="1:21" x14ac:dyDescent="0.25">
      <c r="A829" s="967">
        <v>99111</v>
      </c>
      <c r="B829" s="968" t="s">
        <v>3464</v>
      </c>
      <c r="C829" s="969">
        <v>1.3067E-3</v>
      </c>
      <c r="D829" s="969">
        <v>1.2618E-3</v>
      </c>
      <c r="E829" s="1008">
        <v>587063</v>
      </c>
      <c r="F829" s="1011">
        <v>1927681</v>
      </c>
      <c r="G829" s="970">
        <v>3099939</v>
      </c>
      <c r="H829" s="970"/>
      <c r="I829" s="970">
        <v>478247</v>
      </c>
      <c r="J829" s="971">
        <v>425529</v>
      </c>
      <c r="K829" s="971">
        <v>822604</v>
      </c>
      <c r="L829" s="971">
        <v>0</v>
      </c>
      <c r="M829" s="970"/>
      <c r="N829" s="971">
        <v>16048</v>
      </c>
      <c r="O829" s="971">
        <v>0</v>
      </c>
      <c r="P829" s="971">
        <v>0</v>
      </c>
      <c r="Q829" s="971">
        <v>85364</v>
      </c>
      <c r="R829" s="970"/>
      <c r="S829" s="971">
        <v>861080</v>
      </c>
      <c r="T829" s="971">
        <v>-70799</v>
      </c>
      <c r="U829" s="971">
        <v>790281</v>
      </c>
    </row>
    <row r="830" spans="1:21" x14ac:dyDescent="0.25">
      <c r="A830" s="967">
        <v>99201</v>
      </c>
      <c r="B830" s="968" t="s">
        <v>3465</v>
      </c>
      <c r="C830" s="969">
        <v>3.4217999999999998E-2</v>
      </c>
      <c r="D830" s="969">
        <v>3.3297199999999999E-2</v>
      </c>
      <c r="E830" s="1008">
        <v>16630538</v>
      </c>
      <c r="F830" s="1011">
        <v>50868898</v>
      </c>
      <c r="G830" s="970">
        <v>81176799</v>
      </c>
      <c r="H830" s="970"/>
      <c r="I830" s="970">
        <v>12523651</v>
      </c>
      <c r="J830" s="971">
        <v>11143160</v>
      </c>
      <c r="K830" s="971">
        <v>21541189</v>
      </c>
      <c r="L830" s="971">
        <v>1400637</v>
      </c>
      <c r="M830" s="970"/>
      <c r="N830" s="971">
        <v>420231</v>
      </c>
      <c r="O830" s="971">
        <v>0</v>
      </c>
      <c r="P830" s="971">
        <v>0</v>
      </c>
      <c r="Q830" s="971">
        <v>0</v>
      </c>
      <c r="R830" s="970"/>
      <c r="S830" s="971">
        <v>22548738</v>
      </c>
      <c r="T830" s="971">
        <v>386921</v>
      </c>
      <c r="U830" s="971">
        <v>22935659</v>
      </c>
    </row>
    <row r="831" spans="1:21" x14ac:dyDescent="0.25">
      <c r="A831" s="967">
        <v>99202</v>
      </c>
      <c r="B831" s="968" t="s">
        <v>3466</v>
      </c>
      <c r="C831" s="969">
        <v>2.7011000000000001E-3</v>
      </c>
      <c r="D831" s="969">
        <v>2.5855000000000001E-3</v>
      </c>
      <c r="E831" s="1008">
        <v>1207450</v>
      </c>
      <c r="F831" s="1011">
        <v>3949928</v>
      </c>
      <c r="G831" s="970">
        <v>6407933</v>
      </c>
      <c r="H831" s="970"/>
      <c r="I831" s="970">
        <v>988592</v>
      </c>
      <c r="J831" s="971">
        <v>879618</v>
      </c>
      <c r="K831" s="971">
        <v>1700418</v>
      </c>
      <c r="L831" s="971">
        <v>0</v>
      </c>
      <c r="M831" s="970"/>
      <c r="N831" s="971">
        <v>33172</v>
      </c>
      <c r="O831" s="971">
        <v>0</v>
      </c>
      <c r="P831" s="971">
        <v>0</v>
      </c>
      <c r="Q831" s="971">
        <v>120022</v>
      </c>
      <c r="R831" s="970"/>
      <c r="S831" s="971">
        <v>1779952</v>
      </c>
      <c r="T831" s="971">
        <v>-75166</v>
      </c>
      <c r="U831" s="971">
        <v>1704786</v>
      </c>
    </row>
    <row r="832" spans="1:21" x14ac:dyDescent="0.25">
      <c r="A832" s="967">
        <v>99203</v>
      </c>
      <c r="B832" s="968" t="s">
        <v>3467</v>
      </c>
      <c r="C832" s="969">
        <v>2.9760000000000002E-4</v>
      </c>
      <c r="D832" s="969">
        <v>3.0410000000000002E-4</v>
      </c>
      <c r="E832" s="1008">
        <v>138129</v>
      </c>
      <c r="F832" s="1011">
        <v>464581</v>
      </c>
      <c r="G832" s="970">
        <v>706009</v>
      </c>
      <c r="H832" s="970"/>
      <c r="I832" s="970">
        <v>108920</v>
      </c>
      <c r="J832" s="971">
        <v>96914</v>
      </c>
      <c r="K832" s="971">
        <v>187348</v>
      </c>
      <c r="L832" s="971">
        <v>8157</v>
      </c>
      <c r="M832" s="970"/>
      <c r="N832" s="971">
        <v>3655</v>
      </c>
      <c r="O832" s="971">
        <v>0</v>
      </c>
      <c r="P832" s="971">
        <v>0</v>
      </c>
      <c r="Q832" s="971">
        <v>26201</v>
      </c>
      <c r="R832" s="970"/>
      <c r="S832" s="971">
        <v>196110</v>
      </c>
      <c r="T832" s="971">
        <v>8430</v>
      </c>
      <c r="U832" s="971">
        <v>204540</v>
      </c>
    </row>
    <row r="833" spans="1:21" x14ac:dyDescent="0.25">
      <c r="A833" s="967">
        <v>99204</v>
      </c>
      <c r="B833" s="968" t="s">
        <v>3468</v>
      </c>
      <c r="C833" s="969">
        <v>9.2520000000000005E-4</v>
      </c>
      <c r="D833" s="969">
        <v>8.3549999999999998E-4</v>
      </c>
      <c r="E833" s="1008">
        <v>441548</v>
      </c>
      <c r="F833" s="1011">
        <v>1276413</v>
      </c>
      <c r="G833" s="970">
        <v>2194891</v>
      </c>
      <c r="H833" s="970"/>
      <c r="I833" s="970">
        <v>338619</v>
      </c>
      <c r="J833" s="971">
        <v>301293</v>
      </c>
      <c r="K833" s="971">
        <v>582439</v>
      </c>
      <c r="L833" s="971">
        <v>126160</v>
      </c>
      <c r="M833" s="970"/>
      <c r="N833" s="971">
        <v>11362</v>
      </c>
      <c r="O833" s="971">
        <v>0</v>
      </c>
      <c r="P833" s="971">
        <v>0</v>
      </c>
      <c r="Q833" s="971">
        <v>0</v>
      </c>
      <c r="R833" s="970"/>
      <c r="S833" s="971">
        <v>609682</v>
      </c>
      <c r="T833" s="971">
        <v>51409</v>
      </c>
      <c r="U833" s="971">
        <v>661091</v>
      </c>
    </row>
    <row r="834" spans="1:21" x14ac:dyDescent="0.25">
      <c r="A834" s="967">
        <v>99206</v>
      </c>
      <c r="B834" s="968" t="s">
        <v>3469</v>
      </c>
      <c r="C834" s="969">
        <v>1.7377E-3</v>
      </c>
      <c r="D834" s="969">
        <v>1.6957999999999999E-3</v>
      </c>
      <c r="E834" s="1008">
        <v>1331613</v>
      </c>
      <c r="F834" s="1011">
        <v>2590713</v>
      </c>
      <c r="G834" s="970">
        <v>4122419</v>
      </c>
      <c r="H834" s="970"/>
      <c r="I834" s="970">
        <v>635991</v>
      </c>
      <c r="J834" s="971">
        <v>565885</v>
      </c>
      <c r="K834" s="971">
        <v>1093931</v>
      </c>
      <c r="L834" s="971">
        <v>840347</v>
      </c>
      <c r="M834" s="970"/>
      <c r="N834" s="971">
        <v>21341</v>
      </c>
      <c r="O834" s="971">
        <v>0</v>
      </c>
      <c r="P834" s="971">
        <v>0</v>
      </c>
      <c r="Q834" s="971">
        <v>0</v>
      </c>
      <c r="R834" s="970"/>
      <c r="S834" s="971">
        <v>1145097</v>
      </c>
      <c r="T834" s="971">
        <v>312871</v>
      </c>
      <c r="U834" s="971">
        <v>1457968</v>
      </c>
    </row>
    <row r="835" spans="1:21" x14ac:dyDescent="0.25">
      <c r="A835" s="967">
        <v>99207</v>
      </c>
      <c r="B835" s="968" t="s">
        <v>3695</v>
      </c>
      <c r="C835" s="969">
        <v>1.3990000000000001E-4</v>
      </c>
      <c r="D835" s="969">
        <v>1.3329999999999999E-4</v>
      </c>
      <c r="E835" s="1008">
        <v>177545</v>
      </c>
      <c r="F835" s="1011">
        <v>203645</v>
      </c>
      <c r="G835" s="970">
        <v>331891</v>
      </c>
      <c r="H835" s="970"/>
      <c r="I835" s="970">
        <v>51203</v>
      </c>
      <c r="J835" s="971">
        <v>45559</v>
      </c>
      <c r="K835" s="971">
        <v>88071</v>
      </c>
      <c r="L835" s="971">
        <v>190835</v>
      </c>
      <c r="M835" s="970"/>
      <c r="N835" s="971">
        <v>1718</v>
      </c>
      <c r="O835" s="971">
        <v>0</v>
      </c>
      <c r="P835" s="971">
        <v>0</v>
      </c>
      <c r="Q835" s="971">
        <v>0</v>
      </c>
      <c r="R835" s="970"/>
      <c r="S835" s="971">
        <v>92190</v>
      </c>
      <c r="T835" s="971">
        <v>69872</v>
      </c>
      <c r="U835" s="971">
        <v>162062</v>
      </c>
    </row>
    <row r="836" spans="1:21" x14ac:dyDescent="0.25">
      <c r="A836" s="967">
        <v>99208</v>
      </c>
      <c r="B836" s="968" t="s">
        <v>3471</v>
      </c>
      <c r="C836" s="969">
        <v>2.3560000000000001E-4</v>
      </c>
      <c r="D836" s="969">
        <v>1.4569999999999999E-4</v>
      </c>
      <c r="E836" s="1008">
        <v>97509</v>
      </c>
      <c r="F836" s="1011">
        <v>222589</v>
      </c>
      <c r="G836" s="970">
        <v>558924</v>
      </c>
      <c r="H836" s="970"/>
      <c r="I836" s="970">
        <v>86229</v>
      </c>
      <c r="J836" s="971">
        <v>76723</v>
      </c>
      <c r="K836" s="971">
        <v>148317</v>
      </c>
      <c r="L836" s="971">
        <v>50056</v>
      </c>
      <c r="M836" s="970"/>
      <c r="N836" s="971">
        <v>2893</v>
      </c>
      <c r="O836" s="971">
        <v>0</v>
      </c>
      <c r="P836" s="971">
        <v>0</v>
      </c>
      <c r="Q836" s="971">
        <v>18070</v>
      </c>
      <c r="R836" s="970"/>
      <c r="S836" s="971">
        <v>155254</v>
      </c>
      <c r="T836" s="971">
        <v>-7938</v>
      </c>
      <c r="U836" s="971">
        <v>147316</v>
      </c>
    </row>
    <row r="837" spans="1:21" x14ac:dyDescent="0.25">
      <c r="A837" s="967">
        <v>99210</v>
      </c>
      <c r="B837" s="968" t="s">
        <v>3472</v>
      </c>
      <c r="C837" s="969">
        <v>1.6613000000000001E-3</v>
      </c>
      <c r="D837" s="969">
        <v>1.5943999999999999E-3</v>
      </c>
      <c r="E837" s="1008">
        <v>867925</v>
      </c>
      <c r="F837" s="1011">
        <v>2435802</v>
      </c>
      <c r="G837" s="970">
        <v>3941172</v>
      </c>
      <c r="H837" s="970"/>
      <c r="I837" s="970">
        <v>608029</v>
      </c>
      <c r="J837" s="971">
        <v>541006</v>
      </c>
      <c r="K837" s="971">
        <v>1045835</v>
      </c>
      <c r="L837" s="971">
        <v>151956</v>
      </c>
      <c r="M837" s="970"/>
      <c r="N837" s="971">
        <v>20402</v>
      </c>
      <c r="O837" s="971">
        <v>0</v>
      </c>
      <c r="P837" s="971">
        <v>0</v>
      </c>
      <c r="Q837" s="971">
        <v>0</v>
      </c>
      <c r="R837" s="970"/>
      <c r="S837" s="971">
        <v>1094752</v>
      </c>
      <c r="T837" s="971">
        <v>62014</v>
      </c>
      <c r="U837" s="971">
        <v>1156766</v>
      </c>
    </row>
    <row r="838" spans="1:21" x14ac:dyDescent="0.25">
      <c r="A838" s="967">
        <v>99211</v>
      </c>
      <c r="B838" s="968" t="s">
        <v>3473</v>
      </c>
      <c r="C838" s="969">
        <v>3.8652899999999997E-2</v>
      </c>
      <c r="D838" s="969">
        <v>3.7100599999999997E-2</v>
      </c>
      <c r="E838" s="1008">
        <v>18340589</v>
      </c>
      <c r="F838" s="1011">
        <v>56679440</v>
      </c>
      <c r="G838" s="970">
        <v>91697898</v>
      </c>
      <c r="H838" s="970"/>
      <c r="I838" s="970">
        <v>14146807</v>
      </c>
      <c r="J838" s="971">
        <v>12587395</v>
      </c>
      <c r="K838" s="971">
        <v>24333083</v>
      </c>
      <c r="L838" s="971">
        <v>650029</v>
      </c>
      <c r="M838" s="970"/>
      <c r="N838" s="971">
        <v>474696</v>
      </c>
      <c r="O838" s="971">
        <v>0</v>
      </c>
      <c r="P838" s="971">
        <v>0</v>
      </c>
      <c r="Q838" s="971">
        <v>1116278</v>
      </c>
      <c r="R838" s="970"/>
      <c r="S838" s="971">
        <v>25471217</v>
      </c>
      <c r="T838" s="971">
        <v>-560159</v>
      </c>
      <c r="U838" s="971">
        <v>24911058</v>
      </c>
    </row>
    <row r="839" spans="1:21" x14ac:dyDescent="0.25">
      <c r="A839" s="967">
        <v>99212</v>
      </c>
      <c r="B839" s="968" t="s">
        <v>3474</v>
      </c>
      <c r="C839" s="969">
        <v>7.2200000000000007E-5</v>
      </c>
      <c r="D839" s="969">
        <v>8.14E-5</v>
      </c>
      <c r="E839" s="1008">
        <v>32043</v>
      </c>
      <c r="F839" s="1011">
        <v>124357</v>
      </c>
      <c r="G839" s="970">
        <v>171283</v>
      </c>
      <c r="H839" s="970"/>
      <c r="I839" s="970">
        <v>26425</v>
      </c>
      <c r="J839" s="971">
        <v>23512</v>
      </c>
      <c r="K839" s="971">
        <v>45452</v>
      </c>
      <c r="L839" s="971">
        <v>181</v>
      </c>
      <c r="M839" s="970"/>
      <c r="N839" s="971">
        <v>887</v>
      </c>
      <c r="O839" s="971">
        <v>0</v>
      </c>
      <c r="P839" s="971">
        <v>0</v>
      </c>
      <c r="Q839" s="971">
        <v>27961</v>
      </c>
      <c r="R839" s="970"/>
      <c r="S839" s="971">
        <v>47578</v>
      </c>
      <c r="T839" s="971">
        <v>-17534</v>
      </c>
      <c r="U839" s="971">
        <v>30044</v>
      </c>
    </row>
    <row r="840" spans="1:21" x14ac:dyDescent="0.25">
      <c r="A840" s="967">
        <v>99213</v>
      </c>
      <c r="B840" s="968" t="s">
        <v>3475</v>
      </c>
      <c r="C840" s="969">
        <v>7.6519999999999995E-4</v>
      </c>
      <c r="D840" s="969">
        <v>7.5159999999999995E-4</v>
      </c>
      <c r="E840" s="1008">
        <v>380592</v>
      </c>
      <c r="F840" s="1011">
        <v>1148237</v>
      </c>
      <c r="G840" s="970">
        <v>1815316</v>
      </c>
      <c r="H840" s="970"/>
      <c r="I840" s="970">
        <v>280060</v>
      </c>
      <c r="J840" s="971">
        <v>249189</v>
      </c>
      <c r="K840" s="971">
        <v>481715</v>
      </c>
      <c r="L840" s="971">
        <v>17354</v>
      </c>
      <c r="M840" s="970"/>
      <c r="N840" s="971">
        <v>9397</v>
      </c>
      <c r="O840" s="971">
        <v>0</v>
      </c>
      <c r="P840" s="971">
        <v>0</v>
      </c>
      <c r="Q840" s="971">
        <v>31841</v>
      </c>
      <c r="R840" s="970"/>
      <c r="S840" s="971">
        <v>504246</v>
      </c>
      <c r="T840" s="971">
        <v>-6642</v>
      </c>
      <c r="U840" s="971">
        <v>497604</v>
      </c>
    </row>
    <row r="841" spans="1:21" x14ac:dyDescent="0.25">
      <c r="A841" s="967">
        <v>99218</v>
      </c>
      <c r="B841" s="968" t="s">
        <v>3476</v>
      </c>
      <c r="C841" s="969">
        <v>3.3276999999999998E-3</v>
      </c>
      <c r="D841" s="969">
        <v>3.1162E-3</v>
      </c>
      <c r="E841" s="1008">
        <v>1674667</v>
      </c>
      <c r="F841" s="1011">
        <v>4760690</v>
      </c>
      <c r="G841" s="970">
        <v>7894442</v>
      </c>
      <c r="H841" s="970"/>
      <c r="I841" s="970">
        <v>1217925</v>
      </c>
      <c r="J841" s="971">
        <v>1083672</v>
      </c>
      <c r="K841" s="971">
        <v>2094880</v>
      </c>
      <c r="L841" s="971">
        <v>301160</v>
      </c>
      <c r="M841" s="970"/>
      <c r="N841" s="971">
        <v>40867</v>
      </c>
      <c r="O841" s="971">
        <v>0</v>
      </c>
      <c r="P841" s="971">
        <v>0</v>
      </c>
      <c r="Q841" s="971">
        <v>0</v>
      </c>
      <c r="R841" s="970"/>
      <c r="S841" s="971">
        <v>2192864</v>
      </c>
      <c r="T841" s="971">
        <v>113866</v>
      </c>
      <c r="U841" s="971">
        <v>2306730</v>
      </c>
    </row>
    <row r="842" spans="1:21" x14ac:dyDescent="0.25">
      <c r="A842" s="967">
        <v>99221</v>
      </c>
      <c r="B842" s="968" t="s">
        <v>3477</v>
      </c>
      <c r="C842" s="969">
        <v>1.26885E-2</v>
      </c>
      <c r="D842" s="969">
        <v>1.27709E-2</v>
      </c>
      <c r="E842" s="1008">
        <v>6080355</v>
      </c>
      <c r="F842" s="1011">
        <v>19510398</v>
      </c>
      <c r="G842" s="970">
        <v>30101461</v>
      </c>
      <c r="H842" s="970"/>
      <c r="I842" s="970">
        <v>4643940</v>
      </c>
      <c r="J842" s="971">
        <v>4132035</v>
      </c>
      <c r="K842" s="971">
        <v>7987766</v>
      </c>
      <c r="L842" s="971">
        <v>0</v>
      </c>
      <c r="M842" s="970"/>
      <c r="N842" s="971">
        <v>155827</v>
      </c>
      <c r="O842" s="971">
        <v>0</v>
      </c>
      <c r="P842" s="971">
        <v>0</v>
      </c>
      <c r="Q842" s="971">
        <v>578576</v>
      </c>
      <c r="R842" s="970"/>
      <c r="S842" s="971">
        <v>8361379</v>
      </c>
      <c r="T842" s="971">
        <v>-311894</v>
      </c>
      <c r="U842" s="971">
        <v>8049485</v>
      </c>
    </row>
    <row r="843" spans="1:21" x14ac:dyDescent="0.25">
      <c r="A843" s="967">
        <v>99222</v>
      </c>
      <c r="B843" s="968" t="s">
        <v>3478</v>
      </c>
      <c r="C843" s="969">
        <v>3.7200000000000003E-5</v>
      </c>
      <c r="D843" s="969">
        <v>3.9100000000000002E-5</v>
      </c>
      <c r="E843" s="1008">
        <v>16571</v>
      </c>
      <c r="F843" s="1011">
        <v>59734</v>
      </c>
      <c r="G843" s="970">
        <v>88251</v>
      </c>
      <c r="H843" s="970"/>
      <c r="I843" s="970">
        <v>13615</v>
      </c>
      <c r="J843" s="971">
        <v>12114</v>
      </c>
      <c r="K843" s="971">
        <v>23418</v>
      </c>
      <c r="L843" s="971">
        <v>1038</v>
      </c>
      <c r="M843" s="970"/>
      <c r="N843" s="971">
        <v>457</v>
      </c>
      <c r="O843" s="971">
        <v>0</v>
      </c>
      <c r="P843" s="971">
        <v>0</v>
      </c>
      <c r="Q843" s="971">
        <v>5264</v>
      </c>
      <c r="R843" s="970"/>
      <c r="S843" s="971">
        <v>24514</v>
      </c>
      <c r="T843" s="971">
        <v>-385</v>
      </c>
      <c r="U843" s="971">
        <v>24129</v>
      </c>
    </row>
    <row r="844" spans="1:21" x14ac:dyDescent="0.25">
      <c r="A844" s="967">
        <v>99231</v>
      </c>
      <c r="B844" s="968" t="s">
        <v>3479</v>
      </c>
      <c r="C844" s="969">
        <v>3.6329999999999999E-4</v>
      </c>
      <c r="D844" s="969">
        <v>3.7179999999999998E-4</v>
      </c>
      <c r="E844" s="1008">
        <v>170675</v>
      </c>
      <c r="F844" s="1011">
        <v>568007</v>
      </c>
      <c r="G844" s="970">
        <v>861872</v>
      </c>
      <c r="H844" s="970"/>
      <c r="I844" s="970">
        <v>132966</v>
      </c>
      <c r="J844" s="971">
        <v>118310</v>
      </c>
      <c r="K844" s="971">
        <v>228708</v>
      </c>
      <c r="L844" s="971">
        <v>0</v>
      </c>
      <c r="M844" s="970"/>
      <c r="N844" s="971">
        <v>4462</v>
      </c>
      <c r="O844" s="971">
        <v>0</v>
      </c>
      <c r="P844" s="971">
        <v>0</v>
      </c>
      <c r="Q844" s="971">
        <v>28617</v>
      </c>
      <c r="R844" s="970"/>
      <c r="S844" s="971">
        <v>239405</v>
      </c>
      <c r="T844" s="971">
        <v>-17866</v>
      </c>
      <c r="U844" s="971">
        <v>221539</v>
      </c>
    </row>
    <row r="845" spans="1:21" x14ac:dyDescent="0.25">
      <c r="A845" s="967">
        <v>99241</v>
      </c>
      <c r="B845" s="968" t="s">
        <v>3480</v>
      </c>
      <c r="C845" s="969">
        <v>5.488E-4</v>
      </c>
      <c r="D845" s="969">
        <v>5.5329999999999995E-4</v>
      </c>
      <c r="E845" s="1008">
        <v>256913</v>
      </c>
      <c r="F845" s="1011">
        <v>845289</v>
      </c>
      <c r="G845" s="970">
        <v>1301941</v>
      </c>
      <c r="H845" s="970"/>
      <c r="I845" s="970">
        <v>200859</v>
      </c>
      <c r="J845" s="971">
        <v>178718</v>
      </c>
      <c r="K845" s="971">
        <v>345485</v>
      </c>
      <c r="L845" s="971">
        <v>0</v>
      </c>
      <c r="M845" s="970"/>
      <c r="N845" s="971">
        <v>6740</v>
      </c>
      <c r="O845" s="971">
        <v>0</v>
      </c>
      <c r="P845" s="971">
        <v>0</v>
      </c>
      <c r="Q845" s="971">
        <v>64351</v>
      </c>
      <c r="R845" s="970"/>
      <c r="S845" s="971">
        <v>361644</v>
      </c>
      <c r="T845" s="971">
        <v>-55208</v>
      </c>
      <c r="U845" s="971">
        <v>306436</v>
      </c>
    </row>
    <row r="846" spans="1:21" x14ac:dyDescent="0.25">
      <c r="A846" s="967">
        <v>99251</v>
      </c>
      <c r="B846" s="968" t="s">
        <v>3481</v>
      </c>
      <c r="C846" s="969">
        <v>1.5935000000000001E-3</v>
      </c>
      <c r="D846" s="969">
        <v>1.6069000000000001E-3</v>
      </c>
      <c r="E846" s="1008">
        <v>772184</v>
      </c>
      <c r="F846" s="1011">
        <v>2454898</v>
      </c>
      <c r="G846" s="970">
        <v>3780327</v>
      </c>
      <c r="H846" s="970"/>
      <c r="I846" s="970">
        <v>583215</v>
      </c>
      <c r="J846" s="971">
        <v>518926</v>
      </c>
      <c r="K846" s="971">
        <v>1003153</v>
      </c>
      <c r="L846" s="971">
        <v>1524</v>
      </c>
      <c r="M846" s="970"/>
      <c r="N846" s="971">
        <v>19570</v>
      </c>
      <c r="O846" s="971">
        <v>0</v>
      </c>
      <c r="P846" s="971">
        <v>0</v>
      </c>
      <c r="Q846" s="971">
        <v>33789</v>
      </c>
      <c r="R846" s="970"/>
      <c r="S846" s="971">
        <v>1050073</v>
      </c>
      <c r="T846" s="971">
        <v>-15782</v>
      </c>
      <c r="U846" s="971">
        <v>1034291</v>
      </c>
    </row>
    <row r="847" spans="1:21" x14ac:dyDescent="0.25">
      <c r="A847" s="967">
        <v>99252</v>
      </c>
      <c r="B847" s="968" t="s">
        <v>3482</v>
      </c>
      <c r="C847" s="969">
        <v>6.7239999999999997E-4</v>
      </c>
      <c r="D847" s="969">
        <v>6.1269999999999999E-4</v>
      </c>
      <c r="E847" s="1008">
        <v>237607</v>
      </c>
      <c r="F847" s="1011">
        <v>936036</v>
      </c>
      <c r="G847" s="970">
        <v>1595163</v>
      </c>
      <c r="H847" s="970"/>
      <c r="I847" s="970">
        <v>246096</v>
      </c>
      <c r="J847" s="971">
        <v>218968</v>
      </c>
      <c r="K847" s="971">
        <v>423295</v>
      </c>
      <c r="L847" s="971">
        <v>0</v>
      </c>
      <c r="M847" s="970"/>
      <c r="N847" s="971">
        <v>8258</v>
      </c>
      <c r="O847" s="971">
        <v>0</v>
      </c>
      <c r="P847" s="971">
        <v>0</v>
      </c>
      <c r="Q847" s="971">
        <v>146683</v>
      </c>
      <c r="R847" s="970"/>
      <c r="S847" s="971">
        <v>443093</v>
      </c>
      <c r="T847" s="971">
        <v>-93460</v>
      </c>
      <c r="U847" s="971">
        <v>349633</v>
      </c>
    </row>
    <row r="848" spans="1:21" x14ac:dyDescent="0.25">
      <c r="A848" s="967">
        <v>99261</v>
      </c>
      <c r="B848" s="968" t="s">
        <v>3483</v>
      </c>
      <c r="C848" s="969">
        <v>2.0975999999999998E-3</v>
      </c>
      <c r="D848" s="969">
        <v>1.9938E-3</v>
      </c>
      <c r="E848" s="1008">
        <v>905362</v>
      </c>
      <c r="F848" s="1011">
        <v>3045974</v>
      </c>
      <c r="G848" s="970">
        <v>4976225</v>
      </c>
      <c r="H848" s="970"/>
      <c r="I848" s="970">
        <v>767713</v>
      </c>
      <c r="J848" s="971">
        <v>683088</v>
      </c>
      <c r="K848" s="971">
        <v>1320498</v>
      </c>
      <c r="L848" s="971">
        <v>0</v>
      </c>
      <c r="M848" s="970"/>
      <c r="N848" s="971">
        <v>25761</v>
      </c>
      <c r="O848" s="971">
        <v>0</v>
      </c>
      <c r="P848" s="971">
        <v>0</v>
      </c>
      <c r="Q848" s="971">
        <v>102016</v>
      </c>
      <c r="R848" s="970"/>
      <c r="S848" s="971">
        <v>1382262</v>
      </c>
      <c r="T848" s="971">
        <v>-74815</v>
      </c>
      <c r="U848" s="971">
        <v>1307447</v>
      </c>
    </row>
    <row r="849" spans="1:21" x14ac:dyDescent="0.25">
      <c r="A849" s="967">
        <v>99271</v>
      </c>
      <c r="B849" s="968" t="s">
        <v>3484</v>
      </c>
      <c r="C849" s="969">
        <v>4.2411999999999997E-3</v>
      </c>
      <c r="D849" s="969">
        <v>4.0137000000000003E-3</v>
      </c>
      <c r="E849" s="1008">
        <v>1965197</v>
      </c>
      <c r="F849" s="1011">
        <v>6131822</v>
      </c>
      <c r="G849" s="970">
        <v>10061577</v>
      </c>
      <c r="H849" s="970"/>
      <c r="I849" s="970">
        <v>1552262</v>
      </c>
      <c r="J849" s="971">
        <v>1381155</v>
      </c>
      <c r="K849" s="971">
        <v>2669954</v>
      </c>
      <c r="L849" s="971">
        <v>74425</v>
      </c>
      <c r="M849" s="970"/>
      <c r="N849" s="971">
        <v>52086</v>
      </c>
      <c r="O849" s="971">
        <v>0</v>
      </c>
      <c r="P849" s="971">
        <v>0</v>
      </c>
      <c r="Q849" s="971">
        <v>77503</v>
      </c>
      <c r="R849" s="970"/>
      <c r="S849" s="971">
        <v>2794836</v>
      </c>
      <c r="T849" s="971">
        <v>-26683</v>
      </c>
      <c r="U849" s="971">
        <v>2768153</v>
      </c>
    </row>
    <row r="850" spans="1:21" x14ac:dyDescent="0.25">
      <c r="A850" s="967">
        <v>99281</v>
      </c>
      <c r="B850" s="968" t="s">
        <v>3485</v>
      </c>
      <c r="C850" s="969">
        <v>2.3770000000000002E-3</v>
      </c>
      <c r="D850" s="969">
        <v>2.2918999999999999E-3</v>
      </c>
      <c r="E850" s="1008">
        <v>1110976</v>
      </c>
      <c r="F850" s="1011">
        <v>3501388</v>
      </c>
      <c r="G850" s="970">
        <v>5639057</v>
      </c>
      <c r="H850" s="970"/>
      <c r="I850" s="970">
        <v>869972</v>
      </c>
      <c r="J850" s="971">
        <v>774075</v>
      </c>
      <c r="K850" s="971">
        <v>1496388</v>
      </c>
      <c r="L850" s="971">
        <v>19048</v>
      </c>
      <c r="M850" s="970"/>
      <c r="N850" s="971">
        <v>29192</v>
      </c>
      <c r="O850" s="971">
        <v>0</v>
      </c>
      <c r="P850" s="971">
        <v>0</v>
      </c>
      <c r="Q850" s="971">
        <v>84495</v>
      </c>
      <c r="R850" s="970"/>
      <c r="S850" s="971">
        <v>1566379</v>
      </c>
      <c r="T850" s="971">
        <v>-32585</v>
      </c>
      <c r="U850" s="971">
        <v>1533794</v>
      </c>
    </row>
    <row r="851" spans="1:21" x14ac:dyDescent="0.25">
      <c r="A851" s="967">
        <v>99291</v>
      </c>
      <c r="B851" s="968" t="s">
        <v>3486</v>
      </c>
      <c r="C851" s="969">
        <v>8.2370000000000002E-4</v>
      </c>
      <c r="D851" s="969">
        <v>7.3499999999999998E-4</v>
      </c>
      <c r="E851" s="1008">
        <v>339512</v>
      </c>
      <c r="F851" s="1011">
        <v>1122876</v>
      </c>
      <c r="G851" s="970">
        <v>1954098</v>
      </c>
      <c r="H851" s="970"/>
      <c r="I851" s="970">
        <v>301471</v>
      </c>
      <c r="J851" s="971">
        <v>268240</v>
      </c>
      <c r="K851" s="971">
        <v>518542</v>
      </c>
      <c r="L851" s="971">
        <v>12562</v>
      </c>
      <c r="M851" s="970"/>
      <c r="N851" s="971">
        <v>10116</v>
      </c>
      <c r="O851" s="971">
        <v>0</v>
      </c>
      <c r="P851" s="971">
        <v>0</v>
      </c>
      <c r="Q851" s="971">
        <v>82354</v>
      </c>
      <c r="R851" s="970"/>
      <c r="S851" s="971">
        <v>542796</v>
      </c>
      <c r="T851" s="971">
        <v>-52321</v>
      </c>
      <c r="U851" s="971">
        <v>490475</v>
      </c>
    </row>
    <row r="852" spans="1:21" x14ac:dyDescent="0.25">
      <c r="A852" s="967">
        <v>99301</v>
      </c>
      <c r="B852" s="968" t="s">
        <v>3487</v>
      </c>
      <c r="C852" s="969">
        <v>1.7239E-3</v>
      </c>
      <c r="D852" s="969">
        <v>1.7879E-3</v>
      </c>
      <c r="E852" s="1008">
        <v>823901</v>
      </c>
      <c r="F852" s="1011">
        <v>2731416</v>
      </c>
      <c r="G852" s="970">
        <v>4089680</v>
      </c>
      <c r="H852" s="970"/>
      <c r="I852" s="970">
        <v>630941</v>
      </c>
      <c r="J852" s="971">
        <v>561391</v>
      </c>
      <c r="K852" s="971">
        <v>1085243</v>
      </c>
      <c r="L852" s="971">
        <v>12780</v>
      </c>
      <c r="M852" s="970"/>
      <c r="N852" s="971">
        <v>21171</v>
      </c>
      <c r="O852" s="971">
        <v>0</v>
      </c>
      <c r="P852" s="971">
        <v>0</v>
      </c>
      <c r="Q852" s="971">
        <v>110271</v>
      </c>
      <c r="R852" s="970"/>
      <c r="S852" s="971">
        <v>1136004</v>
      </c>
      <c r="T852" s="971">
        <v>22906</v>
      </c>
      <c r="U852" s="971">
        <v>1158910</v>
      </c>
    </row>
    <row r="853" spans="1:21" x14ac:dyDescent="0.25">
      <c r="A853" s="967">
        <v>99304</v>
      </c>
      <c r="B853" s="968" t="s">
        <v>3488</v>
      </c>
      <c r="C853" s="969">
        <v>8.4999999999999999E-6</v>
      </c>
      <c r="D853" s="969">
        <v>9.2E-6</v>
      </c>
      <c r="E853" s="1008">
        <v>8236</v>
      </c>
      <c r="F853" s="1011">
        <v>14055</v>
      </c>
      <c r="G853" s="970">
        <v>20165</v>
      </c>
      <c r="H853" s="970"/>
      <c r="I853" s="970">
        <v>3111</v>
      </c>
      <c r="J853" s="971">
        <v>2768</v>
      </c>
      <c r="K853" s="971">
        <v>5351</v>
      </c>
      <c r="L853" s="971">
        <v>5796</v>
      </c>
      <c r="M853" s="970"/>
      <c r="N853" s="971">
        <v>104</v>
      </c>
      <c r="O853" s="971">
        <v>0</v>
      </c>
      <c r="P853" s="971">
        <v>0</v>
      </c>
      <c r="Q853" s="971">
        <v>0</v>
      </c>
      <c r="R853" s="970"/>
      <c r="S853" s="971">
        <v>5601</v>
      </c>
      <c r="T853" s="971">
        <v>2064</v>
      </c>
      <c r="U853" s="971">
        <v>7665</v>
      </c>
    </row>
    <row r="854" spans="1:21" x14ac:dyDescent="0.25">
      <c r="A854" s="967">
        <v>99311</v>
      </c>
      <c r="B854" s="968" t="s">
        <v>3489</v>
      </c>
      <c r="C854" s="969">
        <v>6.0699999999999998E-5</v>
      </c>
      <c r="D854" s="969">
        <v>5.4299999999999998E-5</v>
      </c>
      <c r="E854" s="1008">
        <v>29081</v>
      </c>
      <c r="F854" s="1011">
        <v>82955</v>
      </c>
      <c r="G854" s="970">
        <v>144001</v>
      </c>
      <c r="H854" s="970"/>
      <c r="I854" s="970">
        <v>22216</v>
      </c>
      <c r="J854" s="971">
        <v>19767</v>
      </c>
      <c r="K854" s="971">
        <v>38212</v>
      </c>
      <c r="L854" s="971">
        <v>4078</v>
      </c>
      <c r="M854" s="970"/>
      <c r="N854" s="971">
        <v>745</v>
      </c>
      <c r="O854" s="971">
        <v>0</v>
      </c>
      <c r="P854" s="971">
        <v>0</v>
      </c>
      <c r="Q854" s="971">
        <v>3557</v>
      </c>
      <c r="R854" s="970"/>
      <c r="S854" s="971">
        <v>40000</v>
      </c>
      <c r="T854" s="971">
        <v>-2182</v>
      </c>
      <c r="U854" s="971">
        <v>37818</v>
      </c>
    </row>
    <row r="855" spans="1:21" x14ac:dyDescent="0.25">
      <c r="A855" s="967">
        <v>99321</v>
      </c>
      <c r="B855" s="968" t="s">
        <v>3490</v>
      </c>
      <c r="C855" s="969">
        <v>8.7000000000000001E-5</v>
      </c>
      <c r="D855" s="969">
        <v>1.1E-4</v>
      </c>
      <c r="E855" s="1008">
        <v>95724</v>
      </c>
      <c r="F855" s="1011">
        <v>168050</v>
      </c>
      <c r="G855" s="970">
        <v>206394</v>
      </c>
      <c r="H855" s="970"/>
      <c r="I855" s="970">
        <v>31842</v>
      </c>
      <c r="J855" s="971">
        <v>28331</v>
      </c>
      <c r="K855" s="971">
        <v>54769</v>
      </c>
      <c r="L855" s="971">
        <v>80354</v>
      </c>
      <c r="M855" s="970"/>
      <c r="N855" s="971">
        <v>1068</v>
      </c>
      <c r="O855" s="971">
        <v>0</v>
      </c>
      <c r="P855" s="971">
        <v>0</v>
      </c>
      <c r="Q855" s="971">
        <v>0</v>
      </c>
      <c r="R855" s="970"/>
      <c r="S855" s="971">
        <v>57331</v>
      </c>
      <c r="T855" s="971">
        <v>48383</v>
      </c>
      <c r="U855" s="971">
        <v>105714</v>
      </c>
    </row>
    <row r="856" spans="1:21" x14ac:dyDescent="0.25">
      <c r="A856" s="967">
        <v>99401</v>
      </c>
      <c r="B856" s="968" t="s">
        <v>3491</v>
      </c>
      <c r="C856" s="969">
        <v>8.3949999999999997E-4</v>
      </c>
      <c r="D856" s="969">
        <v>9.2389999999999996E-4</v>
      </c>
      <c r="E856" s="1008">
        <v>413423</v>
      </c>
      <c r="F856" s="1011">
        <v>1411463</v>
      </c>
      <c r="G856" s="970">
        <v>1991581</v>
      </c>
      <c r="H856" s="970"/>
      <c r="I856" s="970">
        <v>307254</v>
      </c>
      <c r="J856" s="971">
        <v>273385</v>
      </c>
      <c r="K856" s="971">
        <v>528489</v>
      </c>
      <c r="L856" s="971">
        <v>7764</v>
      </c>
      <c r="M856" s="970"/>
      <c r="N856" s="971">
        <v>10310</v>
      </c>
      <c r="O856" s="971">
        <v>0</v>
      </c>
      <c r="P856" s="971">
        <v>0</v>
      </c>
      <c r="Q856" s="971">
        <v>71466</v>
      </c>
      <c r="R856" s="970"/>
      <c r="S856" s="971">
        <v>553208</v>
      </c>
      <c r="T856" s="971">
        <v>7509</v>
      </c>
      <c r="U856" s="971">
        <v>560717</v>
      </c>
    </row>
    <row r="857" spans="1:21" x14ac:dyDescent="0.25">
      <c r="A857" s="967">
        <v>99404</v>
      </c>
      <c r="B857" s="968" t="s">
        <v>3492</v>
      </c>
      <c r="C857" s="969">
        <v>9.0999999999999993E-6</v>
      </c>
      <c r="D857" s="969">
        <v>9.3999999999999998E-6</v>
      </c>
      <c r="E857" s="1008">
        <v>5671</v>
      </c>
      <c r="F857" s="1011">
        <v>14361</v>
      </c>
      <c r="G857" s="970">
        <v>21588</v>
      </c>
      <c r="H857" s="970"/>
      <c r="I857" s="970">
        <v>3331</v>
      </c>
      <c r="J857" s="971">
        <v>2963</v>
      </c>
      <c r="K857" s="971">
        <v>5729</v>
      </c>
      <c r="L857" s="971">
        <v>1629</v>
      </c>
      <c r="M857" s="970"/>
      <c r="N857" s="971">
        <v>112</v>
      </c>
      <c r="O857" s="971">
        <v>0</v>
      </c>
      <c r="P857" s="971">
        <v>0</v>
      </c>
      <c r="Q857" s="971">
        <v>0</v>
      </c>
      <c r="R857" s="970"/>
      <c r="S857" s="971">
        <v>5997</v>
      </c>
      <c r="T857" s="971">
        <v>655</v>
      </c>
      <c r="U857" s="971">
        <v>6652</v>
      </c>
    </row>
    <row r="858" spans="1:21" x14ac:dyDescent="0.25">
      <c r="A858" s="967">
        <v>99405</v>
      </c>
      <c r="B858" s="968" t="s">
        <v>3493</v>
      </c>
      <c r="C858" s="969">
        <v>5.2200000000000002E-5</v>
      </c>
      <c r="D858" s="969">
        <v>6.2700000000000006E-5</v>
      </c>
      <c r="E858" s="1008">
        <v>37755</v>
      </c>
      <c r="F858" s="1011">
        <v>95788</v>
      </c>
      <c r="G858" s="970">
        <v>123836</v>
      </c>
      <c r="H858" s="970"/>
      <c r="I858" s="970">
        <v>19105</v>
      </c>
      <c r="J858" s="971">
        <v>16999</v>
      </c>
      <c r="K858" s="971">
        <v>32861</v>
      </c>
      <c r="L858" s="971">
        <v>14217</v>
      </c>
      <c r="M858" s="970"/>
      <c r="N858" s="971">
        <v>641</v>
      </c>
      <c r="O858" s="971">
        <v>0</v>
      </c>
      <c r="P858" s="971">
        <v>0</v>
      </c>
      <c r="Q858" s="971">
        <v>0</v>
      </c>
      <c r="R858" s="970"/>
      <c r="S858" s="971">
        <v>34398</v>
      </c>
      <c r="T858" s="971">
        <v>6652</v>
      </c>
      <c r="U858" s="971">
        <v>41050</v>
      </c>
    </row>
    <row r="859" spans="1:21" x14ac:dyDescent="0.25">
      <c r="A859" s="967">
        <v>99411</v>
      </c>
      <c r="B859" s="968" t="s">
        <v>3494</v>
      </c>
      <c r="C859" s="969">
        <v>1.7239999999999999E-4</v>
      </c>
      <c r="D859" s="969">
        <v>1.583E-4</v>
      </c>
      <c r="E859" s="1008">
        <v>87340</v>
      </c>
      <c r="F859" s="1011">
        <v>241839</v>
      </c>
      <c r="G859" s="970">
        <v>408992</v>
      </c>
      <c r="H859" s="970"/>
      <c r="I859" s="970">
        <v>63098</v>
      </c>
      <c r="J859" s="971">
        <v>56142</v>
      </c>
      <c r="K859" s="971">
        <v>108531</v>
      </c>
      <c r="L859" s="971">
        <v>41315</v>
      </c>
      <c r="M859" s="970"/>
      <c r="N859" s="971">
        <v>2117</v>
      </c>
      <c r="O859" s="971">
        <v>0</v>
      </c>
      <c r="P859" s="971">
        <v>0</v>
      </c>
      <c r="Q859" s="971">
        <v>0</v>
      </c>
      <c r="R859" s="970"/>
      <c r="S859" s="971">
        <v>113607</v>
      </c>
      <c r="T859" s="971">
        <v>11785</v>
      </c>
      <c r="U859" s="971">
        <v>125392</v>
      </c>
    </row>
    <row r="860" spans="1:21" x14ac:dyDescent="0.25">
      <c r="A860" s="967">
        <v>99413</v>
      </c>
      <c r="B860" s="968" t="s">
        <v>3495</v>
      </c>
      <c r="C860" s="969">
        <v>1.98E-5</v>
      </c>
      <c r="D860" s="969">
        <v>3.1099999999999997E-5</v>
      </c>
      <c r="E860" s="1008">
        <v>15517</v>
      </c>
      <c r="F860" s="1011">
        <v>47512</v>
      </c>
      <c r="G860" s="970">
        <v>46972</v>
      </c>
      <c r="H860" s="970"/>
      <c r="I860" s="970">
        <v>7247</v>
      </c>
      <c r="J860" s="971">
        <v>6448</v>
      </c>
      <c r="K860" s="971">
        <v>12465</v>
      </c>
      <c r="L860" s="971">
        <v>4311</v>
      </c>
      <c r="M860" s="970"/>
      <c r="N860" s="971">
        <v>243</v>
      </c>
      <c r="O860" s="971">
        <v>0</v>
      </c>
      <c r="P860" s="971">
        <v>0</v>
      </c>
      <c r="Q860" s="971">
        <v>5202</v>
      </c>
      <c r="R860" s="970"/>
      <c r="S860" s="971">
        <v>13048</v>
      </c>
      <c r="T860" s="971">
        <v>-653</v>
      </c>
      <c r="U860" s="971">
        <v>12395</v>
      </c>
    </row>
    <row r="861" spans="1:21" x14ac:dyDescent="0.25">
      <c r="A861" s="967">
        <v>99421</v>
      </c>
      <c r="B861" s="968" t="s">
        <v>3496</v>
      </c>
      <c r="C861" s="969">
        <v>1.24E-5</v>
      </c>
      <c r="D861" s="969">
        <v>1.04E-5</v>
      </c>
      <c r="E861" s="1008">
        <v>5426</v>
      </c>
      <c r="F861" s="1011">
        <v>15888</v>
      </c>
      <c r="G861" s="970">
        <v>29417</v>
      </c>
      <c r="H861" s="970"/>
      <c r="I861" s="970">
        <v>4538</v>
      </c>
      <c r="J861" s="971">
        <v>4038</v>
      </c>
      <c r="K861" s="971">
        <v>7806</v>
      </c>
      <c r="L861" s="971">
        <v>917</v>
      </c>
      <c r="M861" s="970"/>
      <c r="N861" s="971">
        <v>152</v>
      </c>
      <c r="O861" s="971">
        <v>0</v>
      </c>
      <c r="P861" s="971">
        <v>0</v>
      </c>
      <c r="Q861" s="971">
        <v>3553</v>
      </c>
      <c r="R861" s="970"/>
      <c r="S861" s="971">
        <v>8171</v>
      </c>
      <c r="T861" s="971">
        <v>-895</v>
      </c>
      <c r="U861" s="971">
        <v>7276</v>
      </c>
    </row>
    <row r="862" spans="1:21" x14ac:dyDescent="0.25">
      <c r="A862" s="967">
        <v>99431</v>
      </c>
      <c r="B862" s="968" t="s">
        <v>3497</v>
      </c>
      <c r="C862" s="969">
        <v>2.1999999999999999E-5</v>
      </c>
      <c r="D862" s="969">
        <v>2.2200000000000001E-5</v>
      </c>
      <c r="E862" s="1008">
        <v>8235</v>
      </c>
      <c r="F862" s="1011">
        <v>33915</v>
      </c>
      <c r="G862" s="970">
        <v>52192</v>
      </c>
      <c r="H862" s="970"/>
      <c r="I862" s="970">
        <v>8052</v>
      </c>
      <c r="J862" s="971">
        <v>7164</v>
      </c>
      <c r="K862" s="971">
        <v>13850</v>
      </c>
      <c r="L862" s="971">
        <v>0</v>
      </c>
      <c r="M862" s="970"/>
      <c r="N862" s="971">
        <v>270</v>
      </c>
      <c r="O862" s="971">
        <v>0</v>
      </c>
      <c r="P862" s="971">
        <v>0</v>
      </c>
      <c r="Q862" s="971">
        <v>4208</v>
      </c>
      <c r="R862" s="970"/>
      <c r="S862" s="971">
        <v>14497</v>
      </c>
      <c r="T862" s="971">
        <v>-434</v>
      </c>
      <c r="U862" s="971">
        <v>14063</v>
      </c>
    </row>
    <row r="863" spans="1:21" x14ac:dyDescent="0.25">
      <c r="A863" s="967">
        <v>99501</v>
      </c>
      <c r="B863" s="968" t="s">
        <v>3498</v>
      </c>
      <c r="C863" s="969">
        <v>1.6559000000000001E-3</v>
      </c>
      <c r="D863" s="969">
        <v>1.6785000000000001E-3</v>
      </c>
      <c r="E863" s="1008">
        <v>860942</v>
      </c>
      <c r="F863" s="1011">
        <v>2564283</v>
      </c>
      <c r="G863" s="970">
        <v>3928361</v>
      </c>
      <c r="H863" s="970"/>
      <c r="I863" s="970">
        <v>606053</v>
      </c>
      <c r="J863" s="971">
        <v>539247</v>
      </c>
      <c r="K863" s="971">
        <v>1042435</v>
      </c>
      <c r="L863" s="971">
        <v>26120</v>
      </c>
      <c r="M863" s="970"/>
      <c r="N863" s="971">
        <v>20336</v>
      </c>
      <c r="O863" s="971">
        <v>0</v>
      </c>
      <c r="P863" s="971">
        <v>0</v>
      </c>
      <c r="Q863" s="971">
        <v>16129</v>
      </c>
      <c r="R863" s="970"/>
      <c r="S863" s="971">
        <v>1091193</v>
      </c>
      <c r="T863" s="971">
        <v>2662</v>
      </c>
      <c r="U863" s="971">
        <v>1093855</v>
      </c>
    </row>
    <row r="864" spans="1:21" x14ac:dyDescent="0.25">
      <c r="A864" s="967">
        <v>99502</v>
      </c>
      <c r="B864" s="968" t="s">
        <v>3499</v>
      </c>
      <c r="C864" s="969">
        <v>1.5699999999999999E-4</v>
      </c>
      <c r="D864" s="969">
        <v>1.373E-4</v>
      </c>
      <c r="E864" s="1008">
        <v>70622</v>
      </c>
      <c r="F864" s="1011">
        <v>209756</v>
      </c>
      <c r="G864" s="970">
        <v>372458</v>
      </c>
      <c r="H864" s="970"/>
      <c r="I864" s="970">
        <v>57461</v>
      </c>
      <c r="J864" s="971">
        <v>51127</v>
      </c>
      <c r="K864" s="971">
        <v>98836</v>
      </c>
      <c r="L864" s="971">
        <v>20987</v>
      </c>
      <c r="M864" s="970"/>
      <c r="N864" s="971">
        <v>1928</v>
      </c>
      <c r="O864" s="971">
        <v>0</v>
      </c>
      <c r="P864" s="971">
        <v>0</v>
      </c>
      <c r="Q864" s="971">
        <v>0</v>
      </c>
      <c r="R864" s="970"/>
      <c r="S864" s="971">
        <v>103459</v>
      </c>
      <c r="T864" s="971">
        <v>11737</v>
      </c>
      <c r="U864" s="971">
        <v>115196</v>
      </c>
    </row>
    <row r="865" spans="1:21" x14ac:dyDescent="0.25">
      <c r="A865" s="967">
        <v>99508</v>
      </c>
      <c r="B865" s="968" t="s">
        <v>3500</v>
      </c>
      <c r="C865" s="969">
        <v>2.1699999999999999E-5</v>
      </c>
      <c r="D865" s="969">
        <v>2.2099999999999998E-5</v>
      </c>
      <c r="E865" s="1008">
        <v>10664</v>
      </c>
      <c r="F865" s="1011">
        <v>33763</v>
      </c>
      <c r="G865" s="970">
        <v>51480</v>
      </c>
      <c r="H865" s="970"/>
      <c r="I865" s="970">
        <v>7942</v>
      </c>
      <c r="J865" s="971">
        <v>7067</v>
      </c>
      <c r="K865" s="971">
        <v>13661</v>
      </c>
      <c r="L865" s="971">
        <v>28</v>
      </c>
      <c r="M865" s="970"/>
      <c r="N865" s="971">
        <v>266</v>
      </c>
      <c r="O865" s="971">
        <v>0</v>
      </c>
      <c r="P865" s="971">
        <v>0</v>
      </c>
      <c r="Q865" s="971">
        <v>834</v>
      </c>
      <c r="R865" s="970"/>
      <c r="S865" s="971">
        <v>14300</v>
      </c>
      <c r="T865" s="971">
        <v>-1042</v>
      </c>
      <c r="U865" s="971">
        <v>13258</v>
      </c>
    </row>
    <row r="866" spans="1:21" x14ac:dyDescent="0.25">
      <c r="A866" s="967">
        <v>99509</v>
      </c>
      <c r="B866" s="968" t="s">
        <v>3501</v>
      </c>
      <c r="C866" s="969">
        <v>2.62E-5</v>
      </c>
      <c r="D866" s="969">
        <v>2.76E-5</v>
      </c>
      <c r="E866" s="1008">
        <v>12211</v>
      </c>
      <c r="F866" s="1011">
        <v>42165</v>
      </c>
      <c r="G866" s="970">
        <v>62155</v>
      </c>
      <c r="H866" s="970"/>
      <c r="I866" s="970">
        <v>9589</v>
      </c>
      <c r="J866" s="971">
        <v>8532</v>
      </c>
      <c r="K866" s="971">
        <v>16494</v>
      </c>
      <c r="L866" s="971">
        <v>0</v>
      </c>
      <c r="M866" s="970"/>
      <c r="N866" s="971">
        <v>322</v>
      </c>
      <c r="O866" s="971">
        <v>0</v>
      </c>
      <c r="P866" s="971">
        <v>0</v>
      </c>
      <c r="Q866" s="971">
        <v>3733</v>
      </c>
      <c r="R866" s="970"/>
      <c r="S866" s="971">
        <v>17265</v>
      </c>
      <c r="T866" s="971">
        <v>-4641</v>
      </c>
      <c r="U866" s="971">
        <v>12624</v>
      </c>
    </row>
    <row r="867" spans="1:21" x14ac:dyDescent="0.25">
      <c r="A867" s="967">
        <v>99511</v>
      </c>
      <c r="B867" s="968" t="s">
        <v>3502</v>
      </c>
      <c r="C867" s="969">
        <v>1.3468E-3</v>
      </c>
      <c r="D867" s="969">
        <v>1.4048999999999999E-3</v>
      </c>
      <c r="E867" s="1008">
        <v>608443</v>
      </c>
      <c r="F867" s="1011">
        <v>2146298</v>
      </c>
      <c r="G867" s="970">
        <v>3195070</v>
      </c>
      <c r="H867" s="970"/>
      <c r="I867" s="970">
        <v>492923</v>
      </c>
      <c r="J867" s="971">
        <v>438588</v>
      </c>
      <c r="K867" s="971">
        <v>847848</v>
      </c>
      <c r="L867" s="971">
        <v>2027</v>
      </c>
      <c r="M867" s="970"/>
      <c r="N867" s="971">
        <v>16540</v>
      </c>
      <c r="O867" s="971">
        <v>0</v>
      </c>
      <c r="P867" s="971">
        <v>0</v>
      </c>
      <c r="Q867" s="971">
        <v>134401</v>
      </c>
      <c r="R867" s="970"/>
      <c r="S867" s="971">
        <v>887505</v>
      </c>
      <c r="T867" s="971">
        <v>-51080</v>
      </c>
      <c r="U867" s="971">
        <v>836425</v>
      </c>
    </row>
    <row r="868" spans="1:21" x14ac:dyDescent="0.25">
      <c r="A868" s="967">
        <v>99521</v>
      </c>
      <c r="B868" s="968" t="s">
        <v>3503</v>
      </c>
      <c r="C868" s="969">
        <v>4.9669999999999998E-4</v>
      </c>
      <c r="D868" s="969">
        <v>4.2700000000000002E-4</v>
      </c>
      <c r="E868" s="1008">
        <v>207271</v>
      </c>
      <c r="F868" s="1011">
        <v>652338</v>
      </c>
      <c r="G868" s="970">
        <v>1178342</v>
      </c>
      <c r="H868" s="970"/>
      <c r="I868" s="970">
        <v>181790</v>
      </c>
      <c r="J868" s="971">
        <v>161751</v>
      </c>
      <c r="K868" s="971">
        <v>312687</v>
      </c>
      <c r="L868" s="971">
        <v>22179</v>
      </c>
      <c r="M868" s="970"/>
      <c r="N868" s="971">
        <v>6100</v>
      </c>
      <c r="O868" s="971">
        <v>0</v>
      </c>
      <c r="P868" s="971">
        <v>0</v>
      </c>
      <c r="Q868" s="971">
        <v>9436</v>
      </c>
      <c r="R868" s="970"/>
      <c r="S868" s="971">
        <v>327312</v>
      </c>
      <c r="T868" s="971">
        <v>211</v>
      </c>
      <c r="U868" s="971">
        <v>327523</v>
      </c>
    </row>
    <row r="869" spans="1:21" x14ac:dyDescent="0.25">
      <c r="A869" s="967">
        <v>99527</v>
      </c>
      <c r="B869" s="968" t="s">
        <v>3504</v>
      </c>
      <c r="C869" s="969">
        <v>1.15E-5</v>
      </c>
      <c r="D869" s="969">
        <v>1.19E-5</v>
      </c>
      <c r="E869" s="1008">
        <v>6663</v>
      </c>
      <c r="F869" s="1011">
        <v>18180</v>
      </c>
      <c r="G869" s="970">
        <v>27282</v>
      </c>
      <c r="H869" s="970"/>
      <c r="I869" s="970">
        <v>4209</v>
      </c>
      <c r="J869" s="971">
        <v>3745</v>
      </c>
      <c r="K869" s="971">
        <v>7240</v>
      </c>
      <c r="L869" s="971">
        <v>1078</v>
      </c>
      <c r="M869" s="970"/>
      <c r="N869" s="971">
        <v>141</v>
      </c>
      <c r="O869" s="971">
        <v>0</v>
      </c>
      <c r="P869" s="971">
        <v>0</v>
      </c>
      <c r="Q869" s="971">
        <v>0</v>
      </c>
      <c r="R869" s="970"/>
      <c r="S869" s="971">
        <v>7578</v>
      </c>
      <c r="T869" s="971">
        <v>724</v>
      </c>
      <c r="U869" s="971">
        <v>8302</v>
      </c>
    </row>
    <row r="870" spans="1:21" x14ac:dyDescent="0.25">
      <c r="A870" s="967">
        <v>99531</v>
      </c>
      <c r="B870" s="968" t="s">
        <v>3505</v>
      </c>
      <c r="C870" s="969">
        <v>8.8800000000000004E-5</v>
      </c>
      <c r="D870" s="969">
        <v>9.3499999999999996E-5</v>
      </c>
      <c r="E870" s="1008">
        <v>76574</v>
      </c>
      <c r="F870" s="1011">
        <v>142842</v>
      </c>
      <c r="G870" s="970">
        <v>210664</v>
      </c>
      <c r="H870" s="970"/>
      <c r="I870" s="970">
        <v>32500</v>
      </c>
      <c r="J870" s="971">
        <v>28917</v>
      </c>
      <c r="K870" s="971">
        <v>55902</v>
      </c>
      <c r="L870" s="971">
        <v>59872</v>
      </c>
      <c r="M870" s="970"/>
      <c r="N870" s="971">
        <v>1091</v>
      </c>
      <c r="O870" s="971">
        <v>0</v>
      </c>
      <c r="P870" s="971">
        <v>0</v>
      </c>
      <c r="Q870" s="971">
        <v>0</v>
      </c>
      <c r="R870" s="970"/>
      <c r="S870" s="971">
        <v>58517</v>
      </c>
      <c r="T870" s="971">
        <v>24500</v>
      </c>
      <c r="U870" s="971">
        <v>83017</v>
      </c>
    </row>
    <row r="871" spans="1:21" x14ac:dyDescent="0.25">
      <c r="A871" s="967">
        <v>99601</v>
      </c>
      <c r="B871" s="968" t="s">
        <v>3506</v>
      </c>
      <c r="C871" s="969">
        <v>5.9616000000000001E-3</v>
      </c>
      <c r="D871" s="969">
        <v>5.7812000000000002E-3</v>
      </c>
      <c r="E871" s="1008">
        <v>2762866</v>
      </c>
      <c r="F871" s="1011">
        <v>8832072</v>
      </c>
      <c r="G871" s="970">
        <v>14142954</v>
      </c>
      <c r="H871" s="970"/>
      <c r="I871" s="970">
        <v>2181922</v>
      </c>
      <c r="J871" s="971">
        <v>1941407</v>
      </c>
      <c r="K871" s="971">
        <v>3752994</v>
      </c>
      <c r="L871" s="971">
        <v>210675</v>
      </c>
      <c r="M871" s="970"/>
      <c r="N871" s="971">
        <v>73214</v>
      </c>
      <c r="O871" s="971">
        <v>0</v>
      </c>
      <c r="P871" s="971">
        <v>0</v>
      </c>
      <c r="Q871" s="971">
        <v>44248</v>
      </c>
      <c r="R871" s="970"/>
      <c r="S871" s="971">
        <v>3928533</v>
      </c>
      <c r="T871" s="971">
        <v>56562</v>
      </c>
      <c r="U871" s="971">
        <v>3985095</v>
      </c>
    </row>
    <row r="872" spans="1:21" x14ac:dyDescent="0.25">
      <c r="A872" s="967">
        <v>99602</v>
      </c>
      <c r="B872" s="968" t="s">
        <v>3507</v>
      </c>
      <c r="C872" s="969">
        <v>6.0800000000000001E-5</v>
      </c>
      <c r="D872" s="969">
        <v>6.19E-5</v>
      </c>
      <c r="E872" s="1008">
        <v>30210</v>
      </c>
      <c r="F872" s="1011">
        <v>94566</v>
      </c>
      <c r="G872" s="970">
        <v>144238</v>
      </c>
      <c r="H872" s="970"/>
      <c r="I872" s="970">
        <v>22253</v>
      </c>
      <c r="J872" s="971">
        <v>19799</v>
      </c>
      <c r="K872" s="971">
        <v>38275</v>
      </c>
      <c r="L872" s="971">
        <v>6923</v>
      </c>
      <c r="M872" s="970"/>
      <c r="N872" s="971">
        <v>747</v>
      </c>
      <c r="O872" s="971">
        <v>0</v>
      </c>
      <c r="P872" s="971">
        <v>0</v>
      </c>
      <c r="Q872" s="971">
        <v>422</v>
      </c>
      <c r="R872" s="970"/>
      <c r="S872" s="971">
        <v>40066</v>
      </c>
      <c r="T872" s="971">
        <v>1213</v>
      </c>
      <c r="U872" s="971">
        <v>41279</v>
      </c>
    </row>
    <row r="873" spans="1:21" x14ac:dyDescent="0.25">
      <c r="A873" s="967">
        <v>99603</v>
      </c>
      <c r="B873" s="968" t="s">
        <v>3508</v>
      </c>
      <c r="C873" s="969">
        <v>1.7550000000000001E-4</v>
      </c>
      <c r="D873" s="969">
        <v>1.615E-4</v>
      </c>
      <c r="E873" s="1008">
        <v>95619</v>
      </c>
      <c r="F873" s="1011">
        <v>246727</v>
      </c>
      <c r="G873" s="970">
        <v>416346</v>
      </c>
      <c r="H873" s="970"/>
      <c r="I873" s="970">
        <v>64232</v>
      </c>
      <c r="J873" s="971">
        <v>57152</v>
      </c>
      <c r="K873" s="971">
        <v>110482</v>
      </c>
      <c r="L873" s="971">
        <v>75872</v>
      </c>
      <c r="M873" s="970"/>
      <c r="N873" s="971">
        <v>2155</v>
      </c>
      <c r="O873" s="971">
        <v>0</v>
      </c>
      <c r="P873" s="971">
        <v>0</v>
      </c>
      <c r="Q873" s="971">
        <v>0</v>
      </c>
      <c r="R873" s="970"/>
      <c r="S873" s="971">
        <v>115650</v>
      </c>
      <c r="T873" s="971">
        <v>41812</v>
      </c>
      <c r="U873" s="971">
        <v>157462</v>
      </c>
    </row>
    <row r="874" spans="1:21" x14ac:dyDescent="0.25">
      <c r="A874" s="967">
        <v>99604</v>
      </c>
      <c r="B874" s="968" t="s">
        <v>3509</v>
      </c>
      <c r="C874" s="969">
        <v>1.02E-4</v>
      </c>
      <c r="D874" s="969">
        <v>1.009E-4</v>
      </c>
      <c r="E874" s="1008">
        <v>60990</v>
      </c>
      <c r="F874" s="1011">
        <v>154147</v>
      </c>
      <c r="G874" s="970">
        <v>241979</v>
      </c>
      <c r="H874" s="970"/>
      <c r="I874" s="970">
        <v>37332</v>
      </c>
      <c r="J874" s="971">
        <v>33216</v>
      </c>
      <c r="K874" s="971">
        <v>64212</v>
      </c>
      <c r="L874" s="971">
        <v>20727</v>
      </c>
      <c r="M874" s="970"/>
      <c r="N874" s="971">
        <v>1253</v>
      </c>
      <c r="O874" s="971">
        <v>0</v>
      </c>
      <c r="P874" s="971">
        <v>0</v>
      </c>
      <c r="Q874" s="971">
        <v>0</v>
      </c>
      <c r="R874" s="970"/>
      <c r="S874" s="971">
        <v>67215</v>
      </c>
      <c r="T874" s="971">
        <v>11859</v>
      </c>
      <c r="U874" s="971">
        <v>79074</v>
      </c>
    </row>
    <row r="875" spans="1:21" x14ac:dyDescent="0.25">
      <c r="A875" s="967">
        <v>99609</v>
      </c>
      <c r="B875" s="968" t="s">
        <v>3510</v>
      </c>
      <c r="C875" s="969">
        <v>2.0100000000000001E-5</v>
      </c>
      <c r="D875" s="969">
        <v>1.52E-5</v>
      </c>
      <c r="E875" s="1008">
        <v>10626</v>
      </c>
      <c r="F875" s="1011">
        <v>23221</v>
      </c>
      <c r="G875" s="970">
        <v>47684</v>
      </c>
      <c r="H875" s="970"/>
      <c r="I875" s="970">
        <v>7357</v>
      </c>
      <c r="J875" s="971">
        <v>6545</v>
      </c>
      <c r="K875" s="971">
        <v>12654</v>
      </c>
      <c r="L875" s="971">
        <v>5627</v>
      </c>
      <c r="M875" s="970"/>
      <c r="N875" s="971">
        <v>247</v>
      </c>
      <c r="O875" s="971">
        <v>0</v>
      </c>
      <c r="P875" s="971">
        <v>0</v>
      </c>
      <c r="Q875" s="971">
        <v>1142</v>
      </c>
      <c r="R875" s="970"/>
      <c r="S875" s="971">
        <v>13245</v>
      </c>
      <c r="T875" s="971">
        <v>2717</v>
      </c>
      <c r="U875" s="971">
        <v>15962</v>
      </c>
    </row>
    <row r="876" spans="1:21" x14ac:dyDescent="0.25">
      <c r="A876" s="967">
        <v>99610</v>
      </c>
      <c r="B876" s="968" t="s">
        <v>3511</v>
      </c>
      <c r="C876" s="969">
        <v>1.872E-4</v>
      </c>
      <c r="D876" s="969">
        <v>1.9440000000000001E-4</v>
      </c>
      <c r="E876" s="1008">
        <v>91548</v>
      </c>
      <c r="F876" s="1011">
        <v>296989</v>
      </c>
      <c r="G876" s="970">
        <v>444102</v>
      </c>
      <c r="H876" s="970"/>
      <c r="I876" s="970">
        <v>68514</v>
      </c>
      <c r="J876" s="971">
        <v>60962</v>
      </c>
      <c r="K876" s="971">
        <v>117848</v>
      </c>
      <c r="L876" s="971">
        <v>855</v>
      </c>
      <c r="M876" s="970"/>
      <c r="N876" s="971">
        <v>2299</v>
      </c>
      <c r="O876" s="971">
        <v>0</v>
      </c>
      <c r="P876" s="971">
        <v>0</v>
      </c>
      <c r="Q876" s="971">
        <v>8068</v>
      </c>
      <c r="R876" s="970"/>
      <c r="S876" s="971">
        <v>123360</v>
      </c>
      <c r="T876" s="971">
        <v>-738</v>
      </c>
      <c r="U876" s="971">
        <v>122622</v>
      </c>
    </row>
    <row r="877" spans="1:21" x14ac:dyDescent="0.25">
      <c r="A877" s="967">
        <v>99611</v>
      </c>
      <c r="B877" s="968" t="s">
        <v>3512</v>
      </c>
      <c r="C877" s="969">
        <v>3.2894E-3</v>
      </c>
      <c r="D877" s="969">
        <v>3.1959000000000002E-3</v>
      </c>
      <c r="E877" s="1008">
        <v>1569191</v>
      </c>
      <c r="F877" s="1011">
        <v>4882450</v>
      </c>
      <c r="G877" s="970">
        <v>7803582</v>
      </c>
      <c r="H877" s="970"/>
      <c r="I877" s="970">
        <v>1203907</v>
      </c>
      <c r="J877" s="971">
        <v>1071199</v>
      </c>
      <c r="K877" s="971">
        <v>2070769</v>
      </c>
      <c r="L877" s="971">
        <v>61818</v>
      </c>
      <c r="M877" s="970"/>
      <c r="N877" s="971">
        <v>40397</v>
      </c>
      <c r="O877" s="971">
        <v>0</v>
      </c>
      <c r="P877" s="971">
        <v>0</v>
      </c>
      <c r="Q877" s="971">
        <v>100389</v>
      </c>
      <c r="R877" s="970"/>
      <c r="S877" s="971">
        <v>2167626</v>
      </c>
      <c r="T877" s="971">
        <v>-79577</v>
      </c>
      <c r="U877" s="971">
        <v>2088049</v>
      </c>
    </row>
    <row r="878" spans="1:21" x14ac:dyDescent="0.25">
      <c r="A878" s="967">
        <v>99613</v>
      </c>
      <c r="B878" s="968" t="s">
        <v>3513</v>
      </c>
      <c r="C878" s="969">
        <v>3.57E-4</v>
      </c>
      <c r="D878" s="969">
        <v>3.2909999999999998E-4</v>
      </c>
      <c r="E878" s="1008">
        <v>343923</v>
      </c>
      <c r="F878" s="1011">
        <v>502774</v>
      </c>
      <c r="G878" s="970">
        <v>846926</v>
      </c>
      <c r="H878" s="970"/>
      <c r="I878" s="970">
        <v>130661</v>
      </c>
      <c r="J878" s="971">
        <v>116258</v>
      </c>
      <c r="K878" s="971">
        <v>224741</v>
      </c>
      <c r="L878" s="971">
        <v>342685</v>
      </c>
      <c r="M878" s="970"/>
      <c r="N878" s="971">
        <v>4384</v>
      </c>
      <c r="O878" s="971">
        <v>0</v>
      </c>
      <c r="P878" s="971">
        <v>0</v>
      </c>
      <c r="Q878" s="971">
        <v>0</v>
      </c>
      <c r="R878" s="970"/>
      <c r="S878" s="971">
        <v>235253</v>
      </c>
      <c r="T878" s="971">
        <v>135388</v>
      </c>
      <c r="U878" s="971">
        <v>370641</v>
      </c>
    </row>
    <row r="879" spans="1:21" x14ac:dyDescent="0.25">
      <c r="A879" s="967">
        <v>99621</v>
      </c>
      <c r="B879" s="968" t="s">
        <v>3514</v>
      </c>
      <c r="C879" s="969">
        <v>3.7399999999999998E-4</v>
      </c>
      <c r="D879" s="969">
        <v>3.7060000000000001E-4</v>
      </c>
      <c r="E879" s="1008">
        <v>177823</v>
      </c>
      <c r="F879" s="1011">
        <v>566174</v>
      </c>
      <c r="G879" s="970">
        <v>887256</v>
      </c>
      <c r="H879" s="970"/>
      <c r="I879" s="970">
        <v>136883</v>
      </c>
      <c r="J879" s="971">
        <v>121794</v>
      </c>
      <c r="K879" s="971">
        <v>235443</v>
      </c>
      <c r="L879" s="971">
        <v>26836</v>
      </c>
      <c r="M879" s="970"/>
      <c r="N879" s="971">
        <v>4593</v>
      </c>
      <c r="O879" s="971">
        <v>0</v>
      </c>
      <c r="P879" s="971">
        <v>0</v>
      </c>
      <c r="Q879" s="971">
        <v>3834</v>
      </c>
      <c r="R879" s="970"/>
      <c r="S879" s="971">
        <v>246456</v>
      </c>
      <c r="T879" s="971">
        <v>12349</v>
      </c>
      <c r="U879" s="971">
        <v>258805</v>
      </c>
    </row>
    <row r="880" spans="1:21" x14ac:dyDescent="0.25">
      <c r="A880" s="967">
        <v>99623</v>
      </c>
      <c r="B880" s="968" t="s">
        <v>3515</v>
      </c>
      <c r="C880" s="969">
        <v>3.4799999999999999E-5</v>
      </c>
      <c r="D880" s="969">
        <v>2.6400000000000001E-5</v>
      </c>
      <c r="E880" s="1008">
        <v>9487</v>
      </c>
      <c r="F880" s="1011">
        <v>40332</v>
      </c>
      <c r="G880" s="970">
        <v>82558</v>
      </c>
      <c r="H880" s="970"/>
      <c r="I880" s="970">
        <v>12737</v>
      </c>
      <c r="J880" s="971">
        <v>11333</v>
      </c>
      <c r="K880" s="971">
        <v>21908</v>
      </c>
      <c r="L880" s="971">
        <v>1303</v>
      </c>
      <c r="M880" s="970"/>
      <c r="N880" s="971">
        <v>427</v>
      </c>
      <c r="O880" s="971">
        <v>0</v>
      </c>
      <c r="P880" s="971">
        <v>0</v>
      </c>
      <c r="Q880" s="971">
        <v>2046</v>
      </c>
      <c r="R880" s="970"/>
      <c r="S880" s="971">
        <v>22932</v>
      </c>
      <c r="T880" s="971">
        <v>311</v>
      </c>
      <c r="U880" s="971">
        <v>23243</v>
      </c>
    </row>
    <row r="881" spans="1:21" x14ac:dyDescent="0.25">
      <c r="A881" s="967">
        <v>99631</v>
      </c>
      <c r="B881" s="968" t="s">
        <v>3516</v>
      </c>
      <c r="C881" s="969">
        <v>1.11E-4</v>
      </c>
      <c r="D881" s="969">
        <v>1.102E-4</v>
      </c>
      <c r="E881" s="1008">
        <v>51697</v>
      </c>
      <c r="F881" s="1011">
        <v>168355</v>
      </c>
      <c r="G881" s="970">
        <v>263330</v>
      </c>
      <c r="H881" s="970"/>
      <c r="I881" s="970">
        <v>40626</v>
      </c>
      <c r="J881" s="971">
        <v>36148</v>
      </c>
      <c r="K881" s="971">
        <v>69878</v>
      </c>
      <c r="L881" s="971">
        <v>803</v>
      </c>
      <c r="M881" s="970"/>
      <c r="N881" s="971">
        <v>1363</v>
      </c>
      <c r="O881" s="971">
        <v>0</v>
      </c>
      <c r="P881" s="971">
        <v>0</v>
      </c>
      <c r="Q881" s="971">
        <v>2497</v>
      </c>
      <c r="R881" s="970"/>
      <c r="S881" s="971">
        <v>73146</v>
      </c>
      <c r="T881" s="971">
        <v>-4302</v>
      </c>
      <c r="U881" s="971">
        <v>68844</v>
      </c>
    </row>
    <row r="882" spans="1:21" x14ac:dyDescent="0.25">
      <c r="A882" s="967">
        <v>99651</v>
      </c>
      <c r="B882" s="968" t="s">
        <v>3517</v>
      </c>
      <c r="C882" s="969">
        <v>5.7000000000000003E-5</v>
      </c>
      <c r="D882" s="969">
        <v>6.7199999999999994E-5</v>
      </c>
      <c r="E882" s="1008">
        <v>29239</v>
      </c>
      <c r="F882" s="1011">
        <v>102663</v>
      </c>
      <c r="G882" s="970">
        <v>135223</v>
      </c>
      <c r="H882" s="970"/>
      <c r="I882" s="970">
        <v>20862</v>
      </c>
      <c r="J882" s="971">
        <v>18562</v>
      </c>
      <c r="K882" s="971">
        <v>35883</v>
      </c>
      <c r="L882" s="971">
        <v>3097</v>
      </c>
      <c r="M882" s="970"/>
      <c r="N882" s="971">
        <v>700</v>
      </c>
      <c r="O882" s="971">
        <v>0</v>
      </c>
      <c r="P882" s="971">
        <v>0</v>
      </c>
      <c r="Q882" s="971">
        <v>6539</v>
      </c>
      <c r="R882" s="970"/>
      <c r="S882" s="971">
        <v>37561</v>
      </c>
      <c r="T882" s="971">
        <v>-227</v>
      </c>
      <c r="U882" s="971">
        <v>37334</v>
      </c>
    </row>
    <row r="883" spans="1:21" x14ac:dyDescent="0.25">
      <c r="A883" s="967">
        <v>99661</v>
      </c>
      <c r="B883" s="968" t="s">
        <v>3518</v>
      </c>
      <c r="C883" s="969">
        <v>2.5999999999999998E-5</v>
      </c>
      <c r="D883" s="969">
        <v>3.26E-5</v>
      </c>
      <c r="E883" s="1008">
        <v>43149</v>
      </c>
      <c r="F883" s="1011">
        <v>49804</v>
      </c>
      <c r="G883" s="970">
        <v>61681</v>
      </c>
      <c r="H883" s="970"/>
      <c r="I883" s="970">
        <v>9516</v>
      </c>
      <c r="J883" s="971">
        <v>8467</v>
      </c>
      <c r="K883" s="971">
        <v>16368</v>
      </c>
      <c r="L883" s="971">
        <v>41516</v>
      </c>
      <c r="M883" s="970"/>
      <c r="N883" s="971">
        <v>319</v>
      </c>
      <c r="O883" s="971">
        <v>0</v>
      </c>
      <c r="P883" s="971">
        <v>0</v>
      </c>
      <c r="Q883" s="971">
        <v>0</v>
      </c>
      <c r="R883" s="970"/>
      <c r="S883" s="971">
        <v>17133</v>
      </c>
      <c r="T883" s="971">
        <v>17737</v>
      </c>
      <c r="U883" s="971">
        <v>34870</v>
      </c>
    </row>
    <row r="884" spans="1:21" x14ac:dyDescent="0.25">
      <c r="A884" s="967">
        <v>99701</v>
      </c>
      <c r="B884" s="968" t="s">
        <v>3519</v>
      </c>
      <c r="C884" s="969">
        <v>2.9659E-3</v>
      </c>
      <c r="D884" s="969">
        <v>2.9190000000000002E-3</v>
      </c>
      <c r="E884" s="1008">
        <v>1391279</v>
      </c>
      <c r="F884" s="1011">
        <v>4459423</v>
      </c>
      <c r="G884" s="970">
        <v>7036129</v>
      </c>
      <c r="H884" s="970"/>
      <c r="I884" s="970">
        <v>1085508</v>
      </c>
      <c r="J884" s="971">
        <v>965851</v>
      </c>
      <c r="K884" s="971">
        <v>1867117</v>
      </c>
      <c r="L884" s="971">
        <v>11285</v>
      </c>
      <c r="M884" s="970"/>
      <c r="N884" s="971">
        <v>36424</v>
      </c>
      <c r="O884" s="971">
        <v>0</v>
      </c>
      <c r="P884" s="971">
        <v>0</v>
      </c>
      <c r="Q884" s="971">
        <v>20475</v>
      </c>
      <c r="R884" s="970"/>
      <c r="S884" s="971">
        <v>1954448</v>
      </c>
      <c r="T884" s="971">
        <v>-5521</v>
      </c>
      <c r="U884" s="971">
        <v>1948927</v>
      </c>
    </row>
    <row r="885" spans="1:21" x14ac:dyDescent="0.25">
      <c r="A885" s="967">
        <v>99705</v>
      </c>
      <c r="B885" s="968" t="s">
        <v>3520</v>
      </c>
      <c r="C885" s="969">
        <v>1.6349999999999999E-4</v>
      </c>
      <c r="D885" s="969">
        <v>1.7229999999999999E-4</v>
      </c>
      <c r="E885" s="1008">
        <v>93269</v>
      </c>
      <c r="F885" s="1011">
        <v>263227</v>
      </c>
      <c r="G885" s="970">
        <v>387878</v>
      </c>
      <c r="H885" s="970"/>
      <c r="I885" s="970">
        <v>59840</v>
      </c>
      <c r="J885" s="971">
        <v>53244</v>
      </c>
      <c r="K885" s="971">
        <v>102928</v>
      </c>
      <c r="L885" s="971">
        <v>9123</v>
      </c>
      <c r="M885" s="970"/>
      <c r="N885" s="971">
        <v>2008</v>
      </c>
      <c r="O885" s="971">
        <v>0</v>
      </c>
      <c r="P885" s="971">
        <v>0</v>
      </c>
      <c r="Q885" s="971">
        <v>244</v>
      </c>
      <c r="R885" s="970"/>
      <c r="S885" s="971">
        <v>107742</v>
      </c>
      <c r="T885" s="971">
        <v>6947</v>
      </c>
      <c r="U885" s="971">
        <v>114689</v>
      </c>
    </row>
    <row r="886" spans="1:21" x14ac:dyDescent="0.25">
      <c r="A886" s="967">
        <v>99711</v>
      </c>
      <c r="B886" s="968" t="s">
        <v>3521</v>
      </c>
      <c r="C886" s="969">
        <v>4.462E-4</v>
      </c>
      <c r="D886" s="969">
        <v>4.5459999999999999E-4</v>
      </c>
      <c r="E886" s="1008">
        <v>225682</v>
      </c>
      <c r="F886" s="1011">
        <v>694503</v>
      </c>
      <c r="G886" s="970">
        <v>1058539</v>
      </c>
      <c r="H886" s="970"/>
      <c r="I886" s="970">
        <v>163307</v>
      </c>
      <c r="J886" s="971">
        <v>145306</v>
      </c>
      <c r="K886" s="971">
        <v>280895</v>
      </c>
      <c r="L886" s="971">
        <v>10132</v>
      </c>
      <c r="M886" s="970"/>
      <c r="N886" s="971">
        <v>5480</v>
      </c>
      <c r="O886" s="971">
        <v>0</v>
      </c>
      <c r="P886" s="971">
        <v>0</v>
      </c>
      <c r="Q886" s="971">
        <v>5402</v>
      </c>
      <c r="R886" s="970"/>
      <c r="S886" s="971">
        <v>294034</v>
      </c>
      <c r="T886" s="971">
        <v>-1088</v>
      </c>
      <c r="U886" s="971">
        <v>292946</v>
      </c>
    </row>
    <row r="887" spans="1:21" x14ac:dyDescent="0.25">
      <c r="A887" s="967">
        <v>99717</v>
      </c>
      <c r="B887" s="968" t="s">
        <v>3522</v>
      </c>
      <c r="C887" s="969">
        <v>2.1800000000000001E-5</v>
      </c>
      <c r="D887" s="969">
        <v>2.19E-5</v>
      </c>
      <c r="E887" s="1008">
        <v>8974</v>
      </c>
      <c r="F887" s="1011">
        <v>33457</v>
      </c>
      <c r="G887" s="970">
        <v>51717</v>
      </c>
      <c r="H887" s="970"/>
      <c r="I887" s="970">
        <v>7979</v>
      </c>
      <c r="J887" s="971">
        <v>7099</v>
      </c>
      <c r="K887" s="971">
        <v>13724</v>
      </c>
      <c r="L887" s="971">
        <v>0</v>
      </c>
      <c r="M887" s="970"/>
      <c r="N887" s="971">
        <v>268</v>
      </c>
      <c r="O887" s="971">
        <v>0</v>
      </c>
      <c r="P887" s="971">
        <v>0</v>
      </c>
      <c r="Q887" s="971">
        <v>4093</v>
      </c>
      <c r="R887" s="970"/>
      <c r="S887" s="971">
        <v>14366</v>
      </c>
      <c r="T887" s="971">
        <v>-1627</v>
      </c>
      <c r="U887" s="971">
        <v>12739</v>
      </c>
    </row>
    <row r="888" spans="1:21" x14ac:dyDescent="0.25">
      <c r="A888" s="967">
        <v>99721</v>
      </c>
      <c r="B888" s="968" t="s">
        <v>3523</v>
      </c>
      <c r="C888" s="969">
        <v>5.886E-4</v>
      </c>
      <c r="D888" s="969">
        <v>5.7779999999999995E-4</v>
      </c>
      <c r="E888" s="1008">
        <v>270995</v>
      </c>
      <c r="F888" s="1011">
        <v>882718</v>
      </c>
      <c r="G888" s="970">
        <v>1396361</v>
      </c>
      <c r="H888" s="970"/>
      <c r="I888" s="970">
        <v>215425</v>
      </c>
      <c r="J888" s="971">
        <v>191679</v>
      </c>
      <c r="K888" s="971">
        <v>370540</v>
      </c>
      <c r="L888" s="971">
        <v>0</v>
      </c>
      <c r="M888" s="970"/>
      <c r="N888" s="971">
        <v>7229</v>
      </c>
      <c r="O888" s="971">
        <v>0</v>
      </c>
      <c r="P888" s="971">
        <v>0</v>
      </c>
      <c r="Q888" s="971">
        <v>40498</v>
      </c>
      <c r="R888" s="970"/>
      <c r="S888" s="971">
        <v>387872</v>
      </c>
      <c r="T888" s="971">
        <v>-15685</v>
      </c>
      <c r="U888" s="971">
        <v>372187</v>
      </c>
    </row>
    <row r="889" spans="1:21" x14ac:dyDescent="0.25">
      <c r="A889" s="967">
        <v>99727</v>
      </c>
      <c r="B889" s="968" t="s">
        <v>3524</v>
      </c>
      <c r="C889" s="969">
        <v>2.2099999999999998E-5</v>
      </c>
      <c r="D889" s="969">
        <v>2.3900000000000002E-5</v>
      </c>
      <c r="E889" s="1008">
        <v>49308</v>
      </c>
      <c r="F889" s="1011">
        <v>36513</v>
      </c>
      <c r="G889" s="970">
        <v>52429</v>
      </c>
      <c r="H889" s="970"/>
      <c r="I889" s="970">
        <v>8089</v>
      </c>
      <c r="J889" s="971">
        <v>7197</v>
      </c>
      <c r="K889" s="971">
        <v>13913</v>
      </c>
      <c r="L889" s="971">
        <v>68017</v>
      </c>
      <c r="M889" s="970"/>
      <c r="N889" s="971">
        <v>271</v>
      </c>
      <c r="O889" s="971">
        <v>0</v>
      </c>
      <c r="P889" s="971">
        <v>0</v>
      </c>
      <c r="Q889" s="971">
        <v>0</v>
      </c>
      <c r="R889" s="970"/>
      <c r="S889" s="971">
        <v>14563</v>
      </c>
      <c r="T889" s="971">
        <v>28353</v>
      </c>
      <c r="U889" s="971">
        <v>42916</v>
      </c>
    </row>
    <row r="890" spans="1:21" x14ac:dyDescent="0.25">
      <c r="A890" s="967">
        <v>99801</v>
      </c>
      <c r="B890" s="968" t="s">
        <v>3525</v>
      </c>
      <c r="C890" s="969">
        <v>4.9709000000000003E-3</v>
      </c>
      <c r="D890" s="969">
        <v>5.1866000000000004E-3</v>
      </c>
      <c r="E890" s="1008">
        <v>2325186</v>
      </c>
      <c r="F890" s="1011">
        <v>7923688</v>
      </c>
      <c r="G890" s="970">
        <v>11792675</v>
      </c>
      <c r="H890" s="970"/>
      <c r="I890" s="970">
        <v>1819330</v>
      </c>
      <c r="J890" s="971">
        <v>1618783</v>
      </c>
      <c r="K890" s="971">
        <v>3129321</v>
      </c>
      <c r="L890" s="971">
        <v>0</v>
      </c>
      <c r="M890" s="970"/>
      <c r="N890" s="971">
        <v>61048</v>
      </c>
      <c r="O890" s="971">
        <v>0</v>
      </c>
      <c r="P890" s="971">
        <v>0</v>
      </c>
      <c r="Q890" s="971">
        <v>343453</v>
      </c>
      <c r="R890" s="970"/>
      <c r="S890" s="971">
        <v>3275689</v>
      </c>
      <c r="T890" s="971">
        <v>-89773</v>
      </c>
      <c r="U890" s="971">
        <v>3185916</v>
      </c>
    </row>
    <row r="891" spans="1:21" x14ac:dyDescent="0.25">
      <c r="A891" s="967">
        <v>99802</v>
      </c>
      <c r="B891" s="968" t="s">
        <v>3526</v>
      </c>
      <c r="C891" s="969">
        <v>1.19E-5</v>
      </c>
      <c r="D891" s="969">
        <v>6.0000000000000002E-6</v>
      </c>
      <c r="E891" s="1008">
        <v>6756</v>
      </c>
      <c r="F891" s="1011">
        <v>9166</v>
      </c>
      <c r="G891" s="970">
        <v>28231</v>
      </c>
      <c r="H891" s="970"/>
      <c r="I891" s="970">
        <v>4355</v>
      </c>
      <c r="J891" s="971">
        <v>3875</v>
      </c>
      <c r="K891" s="971">
        <v>7491</v>
      </c>
      <c r="L891" s="971">
        <v>5957</v>
      </c>
      <c r="M891" s="970"/>
      <c r="N891" s="971">
        <v>146</v>
      </c>
      <c r="O891" s="971">
        <v>0</v>
      </c>
      <c r="P891" s="971">
        <v>0</v>
      </c>
      <c r="Q891" s="971">
        <v>0</v>
      </c>
      <c r="R891" s="970"/>
      <c r="S891" s="971">
        <v>7842</v>
      </c>
      <c r="T891" s="971">
        <v>1575</v>
      </c>
      <c r="U891" s="971">
        <v>9417</v>
      </c>
    </row>
    <row r="892" spans="1:21" x14ac:dyDescent="0.25">
      <c r="A892" s="967">
        <v>99804</v>
      </c>
      <c r="B892" s="968" t="s">
        <v>3527</v>
      </c>
      <c r="C892" s="969">
        <v>8.1000000000000004E-5</v>
      </c>
      <c r="D892" s="969">
        <v>9.0500000000000004E-5</v>
      </c>
      <c r="E892" s="1008">
        <v>47970</v>
      </c>
      <c r="F892" s="1011">
        <v>138259</v>
      </c>
      <c r="G892" s="970">
        <v>192160</v>
      </c>
      <c r="H892" s="970"/>
      <c r="I892" s="970">
        <v>29646</v>
      </c>
      <c r="J892" s="971">
        <v>26377</v>
      </c>
      <c r="K892" s="971">
        <v>50992</v>
      </c>
      <c r="L892" s="971">
        <v>8772</v>
      </c>
      <c r="M892" s="970"/>
      <c r="N892" s="971">
        <v>995</v>
      </c>
      <c r="O892" s="971">
        <v>0</v>
      </c>
      <c r="P892" s="971">
        <v>0</v>
      </c>
      <c r="Q892" s="971">
        <v>129</v>
      </c>
      <c r="R892" s="970"/>
      <c r="S892" s="971">
        <v>53377</v>
      </c>
      <c r="T892" s="971">
        <v>4885</v>
      </c>
      <c r="U892" s="971">
        <v>58262</v>
      </c>
    </row>
    <row r="893" spans="1:21" x14ac:dyDescent="0.25">
      <c r="A893" s="967">
        <v>99811</v>
      </c>
      <c r="B893" s="968" t="s">
        <v>3528</v>
      </c>
      <c r="C893" s="969">
        <v>6.4733000000000004E-3</v>
      </c>
      <c r="D893" s="969">
        <v>6.7026999999999998E-3</v>
      </c>
      <c r="E893" s="1008">
        <v>3068778</v>
      </c>
      <c r="F893" s="1011">
        <v>10239869</v>
      </c>
      <c r="G893" s="970">
        <v>15356881</v>
      </c>
      <c r="H893" s="970"/>
      <c r="I893" s="970">
        <v>2369202</v>
      </c>
      <c r="J893" s="971">
        <v>2108043</v>
      </c>
      <c r="K893" s="971">
        <v>4075124</v>
      </c>
      <c r="L893" s="971">
        <v>0</v>
      </c>
      <c r="M893" s="970"/>
      <c r="N893" s="971">
        <v>79499</v>
      </c>
      <c r="O893" s="971">
        <v>0</v>
      </c>
      <c r="P893" s="971">
        <v>0</v>
      </c>
      <c r="Q893" s="971">
        <v>605474</v>
      </c>
      <c r="R893" s="970"/>
      <c r="S893" s="971">
        <v>4265730</v>
      </c>
      <c r="T893" s="971">
        <v>-297315</v>
      </c>
      <c r="U893" s="971">
        <v>3968415</v>
      </c>
    </row>
    <row r="894" spans="1:21" x14ac:dyDescent="0.25">
      <c r="A894" s="967">
        <v>99812</v>
      </c>
      <c r="B894" s="968" t="s">
        <v>3529</v>
      </c>
      <c r="C894" s="969">
        <v>1.9700000000000001E-5</v>
      </c>
      <c r="D894" s="969">
        <v>2.2099999999999998E-5</v>
      </c>
      <c r="E894" s="1008">
        <v>21422</v>
      </c>
      <c r="F894" s="1011">
        <v>33763</v>
      </c>
      <c r="G894" s="970">
        <v>46735</v>
      </c>
      <c r="H894" s="970"/>
      <c r="I894" s="970">
        <v>7210</v>
      </c>
      <c r="J894" s="971">
        <v>6415</v>
      </c>
      <c r="K894" s="971">
        <v>12402</v>
      </c>
      <c r="L894" s="971">
        <v>15128</v>
      </c>
      <c r="M894" s="970"/>
      <c r="N894" s="971">
        <v>242</v>
      </c>
      <c r="O894" s="971">
        <v>0</v>
      </c>
      <c r="P894" s="971">
        <v>0</v>
      </c>
      <c r="Q894" s="971">
        <v>0</v>
      </c>
      <c r="R894" s="970"/>
      <c r="S894" s="971">
        <v>12982</v>
      </c>
      <c r="T894" s="971">
        <v>6159</v>
      </c>
      <c r="U894" s="971">
        <v>19141</v>
      </c>
    </row>
    <row r="895" spans="1:21" x14ac:dyDescent="0.25">
      <c r="A895" s="967">
        <v>99818</v>
      </c>
      <c r="B895" s="968" t="s">
        <v>3530</v>
      </c>
      <c r="C895" s="969">
        <v>3.3399999999999999E-5</v>
      </c>
      <c r="D895" s="969">
        <v>3.1600000000000002E-5</v>
      </c>
      <c r="E895" s="1008">
        <v>13445</v>
      </c>
      <c r="F895" s="1011">
        <v>48276</v>
      </c>
      <c r="G895" s="970">
        <v>79236</v>
      </c>
      <c r="H895" s="970"/>
      <c r="I895" s="970">
        <v>12224</v>
      </c>
      <c r="J895" s="971">
        <v>10877</v>
      </c>
      <c r="K895" s="971">
        <v>21026</v>
      </c>
      <c r="L895" s="971">
        <v>554</v>
      </c>
      <c r="M895" s="970"/>
      <c r="N895" s="971">
        <v>410</v>
      </c>
      <c r="O895" s="971">
        <v>0</v>
      </c>
      <c r="P895" s="971">
        <v>0</v>
      </c>
      <c r="Q895" s="971">
        <v>5622</v>
      </c>
      <c r="R895" s="970"/>
      <c r="S895" s="971">
        <v>22010</v>
      </c>
      <c r="T895" s="971">
        <v>419</v>
      </c>
      <c r="U895" s="971">
        <v>22429</v>
      </c>
    </row>
    <row r="896" spans="1:21" x14ac:dyDescent="0.25">
      <c r="A896" s="967">
        <v>99821</v>
      </c>
      <c r="B896" s="968" t="s">
        <v>3531</v>
      </c>
      <c r="C896" s="969">
        <v>9.2899999999999995E-5</v>
      </c>
      <c r="D896" s="969">
        <v>9.1100000000000005E-5</v>
      </c>
      <c r="E896" s="1008">
        <v>50521</v>
      </c>
      <c r="F896" s="1011">
        <v>139176</v>
      </c>
      <c r="G896" s="970">
        <v>220391</v>
      </c>
      <c r="H896" s="970"/>
      <c r="I896" s="970">
        <v>34001</v>
      </c>
      <c r="J896" s="971">
        <v>30253</v>
      </c>
      <c r="K896" s="971">
        <v>58483</v>
      </c>
      <c r="L896" s="971">
        <v>16591</v>
      </c>
      <c r="M896" s="970"/>
      <c r="N896" s="971">
        <v>1141</v>
      </c>
      <c r="O896" s="971">
        <v>0</v>
      </c>
      <c r="P896" s="971">
        <v>0</v>
      </c>
      <c r="Q896" s="971">
        <v>250</v>
      </c>
      <c r="R896" s="970"/>
      <c r="S896" s="971">
        <v>61219</v>
      </c>
      <c r="T896" s="971">
        <v>11230</v>
      </c>
      <c r="U896" s="971">
        <v>72449</v>
      </c>
    </row>
    <row r="897" spans="1:21" x14ac:dyDescent="0.25">
      <c r="A897" s="967">
        <v>99831</v>
      </c>
      <c r="B897" s="968" t="s">
        <v>3532</v>
      </c>
      <c r="C897" s="969">
        <v>4.9700000000000002E-5</v>
      </c>
      <c r="D897" s="969">
        <v>6.3299999999999994E-5</v>
      </c>
      <c r="E897" s="1008">
        <v>27478</v>
      </c>
      <c r="F897" s="1011">
        <v>96705</v>
      </c>
      <c r="G897" s="970">
        <v>117905</v>
      </c>
      <c r="H897" s="970"/>
      <c r="I897" s="970">
        <v>18190</v>
      </c>
      <c r="J897" s="971">
        <v>16185</v>
      </c>
      <c r="K897" s="971">
        <v>31288</v>
      </c>
      <c r="L897" s="971">
        <v>4819</v>
      </c>
      <c r="M897" s="970"/>
      <c r="N897" s="971">
        <v>610</v>
      </c>
      <c r="O897" s="971">
        <v>0</v>
      </c>
      <c r="P897" s="971">
        <v>0</v>
      </c>
      <c r="Q897" s="971">
        <v>7455</v>
      </c>
      <c r="R897" s="970"/>
      <c r="S897" s="971">
        <v>32751</v>
      </c>
      <c r="T897" s="971">
        <v>103</v>
      </c>
      <c r="U897" s="971">
        <v>32854</v>
      </c>
    </row>
    <row r="898" spans="1:21" x14ac:dyDescent="0.25">
      <c r="A898" s="967">
        <v>99841</v>
      </c>
      <c r="B898" s="968" t="s">
        <v>3533</v>
      </c>
      <c r="C898" s="969">
        <v>3.2199999999999997E-5</v>
      </c>
      <c r="D898" s="969">
        <v>4.3399999999999998E-5</v>
      </c>
      <c r="E898" s="1008">
        <v>17369</v>
      </c>
      <c r="F898" s="1011">
        <v>66303</v>
      </c>
      <c r="G898" s="970">
        <v>76389</v>
      </c>
      <c r="H898" s="970"/>
      <c r="I898" s="970">
        <v>11785</v>
      </c>
      <c r="J898" s="971">
        <v>10486</v>
      </c>
      <c r="K898" s="971">
        <v>20271</v>
      </c>
      <c r="L898" s="971">
        <v>574</v>
      </c>
      <c r="M898" s="970"/>
      <c r="N898" s="971">
        <v>395</v>
      </c>
      <c r="O898" s="971">
        <v>0</v>
      </c>
      <c r="P898" s="971">
        <v>0</v>
      </c>
      <c r="Q898" s="971">
        <v>8879</v>
      </c>
      <c r="R898" s="970"/>
      <c r="S898" s="971">
        <v>21219</v>
      </c>
      <c r="T898" s="971">
        <v>-2883</v>
      </c>
      <c r="U898" s="971">
        <v>18336</v>
      </c>
    </row>
    <row r="899" spans="1:21" x14ac:dyDescent="0.25">
      <c r="A899" s="967">
        <v>99851</v>
      </c>
      <c r="B899" s="968" t="s">
        <v>3534</v>
      </c>
      <c r="C899" s="969">
        <v>2.34E-5</v>
      </c>
      <c r="D899" s="969">
        <v>2.23E-5</v>
      </c>
      <c r="E899" s="1008">
        <v>8025</v>
      </c>
      <c r="F899" s="1011">
        <v>34068</v>
      </c>
      <c r="G899" s="970">
        <v>55513</v>
      </c>
      <c r="H899" s="970"/>
      <c r="I899" s="970">
        <v>8564</v>
      </c>
      <c r="J899" s="971">
        <v>7620</v>
      </c>
      <c r="K899" s="971">
        <v>14731</v>
      </c>
      <c r="L899" s="971">
        <v>65</v>
      </c>
      <c r="M899" s="970"/>
      <c r="N899" s="971">
        <v>287</v>
      </c>
      <c r="O899" s="971">
        <v>0</v>
      </c>
      <c r="P899" s="971">
        <v>0</v>
      </c>
      <c r="Q899" s="971">
        <v>4221</v>
      </c>
      <c r="R899" s="970"/>
      <c r="S899" s="971">
        <v>15420</v>
      </c>
      <c r="T899" s="971">
        <v>-1336</v>
      </c>
      <c r="U899" s="971">
        <v>14084</v>
      </c>
    </row>
    <row r="900" spans="1:21" x14ac:dyDescent="0.25">
      <c r="A900" s="967">
        <v>99901</v>
      </c>
      <c r="B900" s="968" t="s">
        <v>3535</v>
      </c>
      <c r="C900" s="969">
        <v>1.5693E-3</v>
      </c>
      <c r="D900" s="969">
        <v>1.6707E-3</v>
      </c>
      <c r="E900" s="1008">
        <v>758558</v>
      </c>
      <c r="F900" s="1011">
        <v>2552367</v>
      </c>
      <c r="G900" s="970">
        <v>3722916</v>
      </c>
      <c r="H900" s="970"/>
      <c r="I900" s="970">
        <v>574358</v>
      </c>
      <c r="J900" s="971">
        <v>511045</v>
      </c>
      <c r="K900" s="971">
        <v>987918</v>
      </c>
      <c r="L900" s="971">
        <v>38150</v>
      </c>
      <c r="M900" s="970"/>
      <c r="N900" s="971">
        <v>19273</v>
      </c>
      <c r="O900" s="971">
        <v>0</v>
      </c>
      <c r="P900" s="971">
        <v>0</v>
      </c>
      <c r="Q900" s="971">
        <v>80037</v>
      </c>
      <c r="R900" s="970"/>
      <c r="S900" s="971">
        <v>1034126</v>
      </c>
      <c r="T900" s="971">
        <v>-6774</v>
      </c>
      <c r="U900" s="971">
        <v>1027352</v>
      </c>
    </row>
    <row r="901" spans="1:21" x14ac:dyDescent="0.25">
      <c r="A901" s="967">
        <v>99911</v>
      </c>
      <c r="B901" s="968" t="s">
        <v>3536</v>
      </c>
      <c r="C901" s="969">
        <v>2.3900000000000001E-4</v>
      </c>
      <c r="D901" s="969">
        <v>2.5980000000000003E-4</v>
      </c>
      <c r="E901" s="1008">
        <v>126860</v>
      </c>
      <c r="F901" s="1011">
        <v>396902</v>
      </c>
      <c r="G901" s="970">
        <v>566990</v>
      </c>
      <c r="H901" s="970"/>
      <c r="I901" s="970">
        <v>87473</v>
      </c>
      <c r="J901" s="971">
        <v>77831</v>
      </c>
      <c r="K901" s="971">
        <v>150457</v>
      </c>
      <c r="L901" s="971">
        <v>4825</v>
      </c>
      <c r="M901" s="970"/>
      <c r="N901" s="971">
        <v>2935</v>
      </c>
      <c r="O901" s="971">
        <v>0</v>
      </c>
      <c r="P901" s="971">
        <v>0</v>
      </c>
      <c r="Q901" s="971">
        <v>11799</v>
      </c>
      <c r="R901" s="970"/>
      <c r="S901" s="971">
        <v>157495</v>
      </c>
      <c r="T901" s="971">
        <v>-7207</v>
      </c>
      <c r="U901" s="971">
        <v>150288</v>
      </c>
    </row>
    <row r="902" spans="1:21" x14ac:dyDescent="0.25">
      <c r="A902" s="967">
        <v>99921</v>
      </c>
      <c r="B902" s="968" t="s">
        <v>3537</v>
      </c>
      <c r="C902" s="969">
        <v>1.3119999999999999E-4</v>
      </c>
      <c r="D902" s="969">
        <v>1.506E-4</v>
      </c>
      <c r="E902" s="1008">
        <v>60518</v>
      </c>
      <c r="F902" s="1011">
        <v>230075</v>
      </c>
      <c r="G902" s="970">
        <v>311251</v>
      </c>
      <c r="H902" s="970"/>
      <c r="I902" s="970">
        <v>48019</v>
      </c>
      <c r="J902" s="971">
        <v>42726</v>
      </c>
      <c r="K902" s="971">
        <v>82594</v>
      </c>
      <c r="L902" s="971">
        <v>1708</v>
      </c>
      <c r="M902" s="970"/>
      <c r="N902" s="971">
        <v>1611</v>
      </c>
      <c r="O902" s="971">
        <v>0</v>
      </c>
      <c r="P902" s="971">
        <v>0</v>
      </c>
      <c r="Q902" s="971">
        <v>19558</v>
      </c>
      <c r="R902" s="970"/>
      <c r="S902" s="971">
        <v>86457</v>
      </c>
      <c r="T902" s="971">
        <v>-7225</v>
      </c>
      <c r="U902" s="971">
        <v>79232</v>
      </c>
    </row>
    <row r="903" spans="1:21" x14ac:dyDescent="0.25">
      <c r="A903" s="967">
        <v>99931</v>
      </c>
      <c r="B903" s="968" t="s">
        <v>3538</v>
      </c>
      <c r="C903" s="969">
        <v>1.52E-5</v>
      </c>
      <c r="D903" s="969">
        <v>1.5800000000000001E-5</v>
      </c>
      <c r="E903" s="1008">
        <v>9992</v>
      </c>
      <c r="F903" s="1011">
        <v>24138</v>
      </c>
      <c r="G903" s="970">
        <v>36060</v>
      </c>
      <c r="H903" s="970"/>
      <c r="I903" s="970">
        <v>5563</v>
      </c>
      <c r="J903" s="971">
        <v>4950</v>
      </c>
      <c r="K903" s="971">
        <v>9569</v>
      </c>
      <c r="L903" s="971">
        <v>1614</v>
      </c>
      <c r="M903" s="970"/>
      <c r="N903" s="971">
        <v>187</v>
      </c>
      <c r="O903" s="971">
        <v>0</v>
      </c>
      <c r="P903" s="971">
        <v>0</v>
      </c>
      <c r="Q903" s="971">
        <v>5213</v>
      </c>
      <c r="R903" s="970"/>
      <c r="S903" s="971">
        <v>10016</v>
      </c>
      <c r="T903" s="971">
        <v>-2861</v>
      </c>
      <c r="U903" s="971">
        <v>7155</v>
      </c>
    </row>
    <row r="904" spans="1:21" x14ac:dyDescent="0.25">
      <c r="A904" s="967">
        <v>99941</v>
      </c>
      <c r="B904" s="968" t="s">
        <v>3539</v>
      </c>
      <c r="C904" s="969">
        <v>7.4200000000000001E-5</v>
      </c>
      <c r="D904" s="969">
        <v>7.5400000000000003E-5</v>
      </c>
      <c r="E904" s="1008">
        <v>34874</v>
      </c>
      <c r="F904" s="1011">
        <v>115190</v>
      </c>
      <c r="G904" s="970">
        <v>176028</v>
      </c>
      <c r="H904" s="970"/>
      <c r="I904" s="970">
        <v>27157</v>
      </c>
      <c r="J904" s="971">
        <v>24164</v>
      </c>
      <c r="K904" s="971">
        <v>46711</v>
      </c>
      <c r="L904" s="971">
        <v>0</v>
      </c>
      <c r="M904" s="970"/>
      <c r="N904" s="971">
        <v>911</v>
      </c>
      <c r="O904" s="971">
        <v>0</v>
      </c>
      <c r="P904" s="971">
        <v>0</v>
      </c>
      <c r="Q904" s="971">
        <v>9131</v>
      </c>
      <c r="R904" s="970"/>
      <c r="S904" s="971">
        <v>48896</v>
      </c>
      <c r="T904" s="971">
        <v>-5026</v>
      </c>
      <c r="U904" s="971">
        <v>43870</v>
      </c>
    </row>
    <row r="905" spans="1:21" x14ac:dyDescent="0.25">
      <c r="A905" s="967">
        <v>99991</v>
      </c>
      <c r="B905" s="968" t="s">
        <v>3540</v>
      </c>
      <c r="C905" s="969">
        <v>5.2700000000000002E-4</v>
      </c>
      <c r="D905" s="969">
        <v>5.3450000000000004E-4</v>
      </c>
      <c r="E905" s="1008">
        <v>256527</v>
      </c>
      <c r="F905" s="1011">
        <v>816568</v>
      </c>
      <c r="G905" s="970">
        <v>1250224</v>
      </c>
      <c r="H905" s="970"/>
      <c r="I905" s="970">
        <v>192880</v>
      </c>
      <c r="J905" s="971">
        <v>171619</v>
      </c>
      <c r="K905" s="971">
        <v>331761</v>
      </c>
      <c r="L905" s="971">
        <v>9601</v>
      </c>
      <c r="M905" s="970"/>
      <c r="N905" s="971">
        <v>6472</v>
      </c>
      <c r="O905" s="971">
        <v>0</v>
      </c>
      <c r="P905" s="971">
        <v>0</v>
      </c>
      <c r="Q905" s="971">
        <v>27621</v>
      </c>
      <c r="R905" s="970"/>
      <c r="S905" s="971">
        <v>347279</v>
      </c>
      <c r="T905" s="971">
        <v>10622</v>
      </c>
      <c r="U905" s="971">
        <v>357901</v>
      </c>
    </row>
    <row r="906" spans="1:21" x14ac:dyDescent="0.25">
      <c r="A906" s="967">
        <v>99999</v>
      </c>
      <c r="B906" s="968" t="s">
        <v>3541</v>
      </c>
      <c r="C906" s="969">
        <v>9.2020000000000003E-4</v>
      </c>
      <c r="D906" s="969">
        <v>8.7509999999999997E-4</v>
      </c>
      <c r="E906" s="1008">
        <v>529104</v>
      </c>
      <c r="F906" s="1011">
        <v>1336910</v>
      </c>
      <c r="G906" s="970">
        <v>2183029</v>
      </c>
      <c r="H906" s="970"/>
      <c r="I906" s="970">
        <v>336790</v>
      </c>
      <c r="J906" s="971">
        <v>299665</v>
      </c>
      <c r="K906" s="971">
        <v>579292</v>
      </c>
      <c r="L906" s="971">
        <v>139284</v>
      </c>
      <c r="M906" s="970"/>
      <c r="N906" s="971">
        <v>11301</v>
      </c>
      <c r="O906" s="971">
        <v>0</v>
      </c>
      <c r="P906" s="971">
        <v>0</v>
      </c>
      <c r="Q906" s="971">
        <v>3425</v>
      </c>
      <c r="R906" s="970"/>
      <c r="S906" s="971">
        <v>606387</v>
      </c>
      <c r="T906" s="971">
        <v>34690</v>
      </c>
      <c r="U906" s="971">
        <v>641077</v>
      </c>
    </row>
    <row r="907" spans="1:21" x14ac:dyDescent="0.25">
      <c r="A907" s="967"/>
      <c r="B907" s="968"/>
      <c r="C907" s="969"/>
      <c r="D907" s="969"/>
      <c r="E907" s="1008"/>
      <c r="F907" s="1011"/>
      <c r="G907" s="970"/>
      <c r="H907" s="970"/>
      <c r="I907" s="971"/>
      <c r="J907" s="971"/>
      <c r="K907" s="971"/>
      <c r="L907" s="970"/>
      <c r="M907" s="970"/>
      <c r="N907" s="971"/>
      <c r="O907" s="971"/>
      <c r="P907" s="971"/>
      <c r="Q907" s="970"/>
      <c r="R907" s="970"/>
      <c r="S907" s="971"/>
      <c r="T907" s="973"/>
      <c r="U907" s="973"/>
    </row>
    <row r="908" spans="1:21" s="982" customFormat="1" x14ac:dyDescent="0.25">
      <c r="A908" s="976"/>
      <c r="B908" s="977"/>
      <c r="C908" s="978">
        <v>1</v>
      </c>
      <c r="D908" s="978">
        <v>1</v>
      </c>
      <c r="E908" s="1010">
        <v>489377689</v>
      </c>
      <c r="F908" s="1010">
        <v>1527723006</v>
      </c>
      <c r="G908" s="979">
        <v>2372341991</v>
      </c>
      <c r="H908" s="979"/>
      <c r="I908" s="980">
        <v>365996013</v>
      </c>
      <c r="J908" s="980">
        <v>325651977</v>
      </c>
      <c r="K908" s="980">
        <v>629527990</v>
      </c>
      <c r="L908" s="980">
        <v>39321171</v>
      </c>
      <c r="M908" s="980"/>
      <c r="N908" s="980">
        <v>12280987</v>
      </c>
      <c r="O908" s="980">
        <f>SUM(O7:O906)</f>
        <v>0</v>
      </c>
      <c r="P908" s="980">
        <f>SUM(P7:P906)</f>
        <v>0</v>
      </c>
      <c r="Q908" s="980">
        <v>39321083</v>
      </c>
      <c r="R908" s="980"/>
      <c r="S908" s="980">
        <v>658973009</v>
      </c>
      <c r="T908" s="980">
        <v>6</v>
      </c>
      <c r="U908" s="980">
        <v>658973015</v>
      </c>
    </row>
    <row r="909" spans="1:21" s="982" customFormat="1" x14ac:dyDescent="0.25">
      <c r="A909" s="976"/>
      <c r="B909" s="977"/>
      <c r="C909" s="978"/>
      <c r="D909" s="978"/>
      <c r="E909" s="1010"/>
      <c r="F909" s="987"/>
      <c r="G909" s="979"/>
      <c r="H909" s="979"/>
      <c r="I909" s="980"/>
      <c r="J909" s="980"/>
      <c r="K909" s="980"/>
      <c r="L909" s="980"/>
      <c r="M909" s="980"/>
      <c r="N909" s="980"/>
      <c r="O909" s="980"/>
      <c r="P909" s="980"/>
      <c r="Q909" s="980"/>
      <c r="R909" s="980"/>
      <c r="S909" s="980"/>
      <c r="T909" s="980"/>
      <c r="U909" s="980"/>
    </row>
    <row r="910" spans="1:21" s="982" customFormat="1" x14ac:dyDescent="0.25">
      <c r="A910" s="976"/>
      <c r="B910" s="977"/>
      <c r="C910" s="978"/>
      <c r="D910" s="978"/>
      <c r="E910" s="1010"/>
      <c r="F910" s="987"/>
      <c r="G910" s="979"/>
      <c r="H910" s="979"/>
      <c r="I910" s="980"/>
      <c r="J910" s="980"/>
      <c r="K910" s="980"/>
      <c r="L910" s="980"/>
      <c r="M910" s="980"/>
      <c r="N910" s="980"/>
      <c r="O910" s="980"/>
      <c r="P910" s="980"/>
      <c r="Q910" s="980"/>
      <c r="R910" s="980"/>
      <c r="S910" s="980"/>
      <c r="T910" s="980"/>
      <c r="U910" s="980"/>
    </row>
    <row r="911" spans="1:21" x14ac:dyDescent="0.25">
      <c r="B911" s="983" t="s">
        <v>2112</v>
      </c>
      <c r="C911" s="965" t="s">
        <v>837</v>
      </c>
    </row>
    <row r="912" spans="1:21" x14ac:dyDescent="0.25">
      <c r="B912" s="984" t="s">
        <v>2127</v>
      </c>
      <c r="C912" s="967">
        <v>96331</v>
      </c>
    </row>
    <row r="913" spans="2:3" x14ac:dyDescent="0.25">
      <c r="B913" s="984" t="s">
        <v>2128</v>
      </c>
      <c r="C913" s="967">
        <v>94611</v>
      </c>
    </row>
    <row r="914" spans="2:3" x14ac:dyDescent="0.25">
      <c r="B914" s="984" t="s">
        <v>1489</v>
      </c>
      <c r="C914" s="967">
        <v>93402</v>
      </c>
    </row>
    <row r="915" spans="2:3" x14ac:dyDescent="0.25">
      <c r="B915" s="984" t="s">
        <v>2129</v>
      </c>
      <c r="C915" s="967">
        <v>90151</v>
      </c>
    </row>
    <row r="916" spans="2:3" x14ac:dyDescent="0.25">
      <c r="B916" s="984" t="s">
        <v>3696</v>
      </c>
      <c r="C916" s="967">
        <v>94109</v>
      </c>
    </row>
    <row r="917" spans="2:3" x14ac:dyDescent="0.25">
      <c r="B917" s="984" t="s">
        <v>1194</v>
      </c>
      <c r="C917" s="967">
        <v>90101</v>
      </c>
    </row>
    <row r="918" spans="2:3" x14ac:dyDescent="0.25">
      <c r="B918" s="984" t="s">
        <v>3542</v>
      </c>
      <c r="C918" s="967">
        <v>90117</v>
      </c>
    </row>
    <row r="919" spans="2:3" x14ac:dyDescent="0.25">
      <c r="B919" s="984" t="s">
        <v>2130</v>
      </c>
      <c r="C919" s="967">
        <v>98411</v>
      </c>
    </row>
    <row r="920" spans="2:3" x14ac:dyDescent="0.25">
      <c r="B920" s="984" t="s">
        <v>3697</v>
      </c>
      <c r="C920" s="967">
        <v>98417</v>
      </c>
    </row>
    <row r="921" spans="2:3" x14ac:dyDescent="0.25">
      <c r="B921" s="984" t="s">
        <v>1790</v>
      </c>
      <c r="C921" s="967">
        <v>97008</v>
      </c>
    </row>
    <row r="922" spans="2:3" x14ac:dyDescent="0.25">
      <c r="B922" s="984" t="s">
        <v>1791</v>
      </c>
      <c r="C922" s="967">
        <v>97010</v>
      </c>
    </row>
    <row r="923" spans="2:3" x14ac:dyDescent="0.25">
      <c r="B923" s="984" t="s">
        <v>3543</v>
      </c>
      <c r="C923" s="967">
        <v>90096</v>
      </c>
    </row>
    <row r="924" spans="2:3" x14ac:dyDescent="0.25">
      <c r="B924" s="984" t="s">
        <v>1241</v>
      </c>
      <c r="C924" s="967">
        <v>90805</v>
      </c>
    </row>
    <row r="925" spans="2:3" x14ac:dyDescent="0.25">
      <c r="B925" s="984" t="s">
        <v>3698</v>
      </c>
      <c r="C925" s="967">
        <v>92109</v>
      </c>
    </row>
    <row r="926" spans="2:3" x14ac:dyDescent="0.25">
      <c r="B926" s="984" t="s">
        <v>1202</v>
      </c>
      <c r="C926" s="967">
        <v>90201</v>
      </c>
    </row>
    <row r="927" spans="2:3" x14ac:dyDescent="0.25">
      <c r="B927" s="984" t="s">
        <v>3699</v>
      </c>
      <c r="C927" s="967">
        <v>90206</v>
      </c>
    </row>
    <row r="928" spans="2:3" x14ac:dyDescent="0.25">
      <c r="B928" s="984" t="s">
        <v>3700</v>
      </c>
      <c r="C928" s="967">
        <v>90203</v>
      </c>
    </row>
    <row r="929" spans="2:3" x14ac:dyDescent="0.25">
      <c r="B929" s="984" t="s">
        <v>3701</v>
      </c>
      <c r="C929" s="967">
        <v>90205</v>
      </c>
    </row>
    <row r="930" spans="2:3" x14ac:dyDescent="0.25">
      <c r="B930" s="984" t="s">
        <v>1207</v>
      </c>
      <c r="C930" s="967">
        <v>90301</v>
      </c>
    </row>
    <row r="931" spans="2:3" x14ac:dyDescent="0.25">
      <c r="B931" s="984" t="s">
        <v>3702</v>
      </c>
      <c r="C931" s="967">
        <v>93209</v>
      </c>
    </row>
    <row r="932" spans="2:3" x14ac:dyDescent="0.25">
      <c r="B932" s="984" t="s">
        <v>2131</v>
      </c>
      <c r="C932" s="967">
        <v>92021</v>
      </c>
    </row>
    <row r="933" spans="2:3" x14ac:dyDescent="0.25">
      <c r="B933" s="984" t="s">
        <v>2132</v>
      </c>
      <c r="C933" s="967">
        <v>94351</v>
      </c>
    </row>
    <row r="934" spans="2:3" x14ac:dyDescent="0.25">
      <c r="B934" s="984" t="s">
        <v>3703</v>
      </c>
      <c r="C934" s="967">
        <v>94347</v>
      </c>
    </row>
    <row r="935" spans="2:3" x14ac:dyDescent="0.25">
      <c r="B935" s="984" t="s">
        <v>1210</v>
      </c>
      <c r="C935" s="967">
        <v>90401</v>
      </c>
    </row>
    <row r="936" spans="2:3" x14ac:dyDescent="0.25">
      <c r="B936" s="984" t="s">
        <v>2133</v>
      </c>
      <c r="C936" s="967">
        <v>90451</v>
      </c>
    </row>
    <row r="937" spans="2:3" x14ac:dyDescent="0.25">
      <c r="B937" s="984" t="s">
        <v>2134</v>
      </c>
      <c r="C937" s="967">
        <v>99271</v>
      </c>
    </row>
    <row r="938" spans="2:3" x14ac:dyDescent="0.25">
      <c r="B938" s="984" t="s">
        <v>3704</v>
      </c>
      <c r="C938" s="967">
        <v>90099</v>
      </c>
    </row>
    <row r="939" spans="2:3" x14ac:dyDescent="0.25">
      <c r="B939" s="984" t="s">
        <v>2030</v>
      </c>
      <c r="C939" s="967">
        <v>99705</v>
      </c>
    </row>
    <row r="940" spans="2:3" x14ac:dyDescent="0.25">
      <c r="B940" s="984" t="s">
        <v>2135</v>
      </c>
      <c r="C940" s="967">
        <v>97651</v>
      </c>
    </row>
    <row r="941" spans="2:3" x14ac:dyDescent="0.25">
      <c r="B941" s="984" t="s">
        <v>2136</v>
      </c>
      <c r="C941" s="967">
        <v>95106</v>
      </c>
    </row>
    <row r="942" spans="2:3" x14ac:dyDescent="0.25">
      <c r="B942" s="984" t="s">
        <v>1219</v>
      </c>
      <c r="C942" s="967">
        <v>90501</v>
      </c>
    </row>
    <row r="943" spans="2:3" x14ac:dyDescent="0.25">
      <c r="B943" s="984" t="s">
        <v>2137</v>
      </c>
      <c r="C943" s="967">
        <v>97611</v>
      </c>
    </row>
    <row r="944" spans="2:3" x14ac:dyDescent="0.25">
      <c r="B944" s="984" t="s">
        <v>3705</v>
      </c>
      <c r="C944" s="967">
        <v>97607</v>
      </c>
    </row>
    <row r="945" spans="2:3" x14ac:dyDescent="0.25">
      <c r="B945" s="984" t="s">
        <v>3706</v>
      </c>
      <c r="C945" s="967">
        <v>97613</v>
      </c>
    </row>
    <row r="946" spans="2:3" x14ac:dyDescent="0.25">
      <c r="B946" s="984" t="s">
        <v>2138</v>
      </c>
      <c r="C946" s="967">
        <v>91121</v>
      </c>
    </row>
    <row r="947" spans="2:3" x14ac:dyDescent="0.25">
      <c r="B947" s="984" t="s">
        <v>3707</v>
      </c>
      <c r="C947" s="967">
        <v>91127</v>
      </c>
    </row>
    <row r="948" spans="2:3" x14ac:dyDescent="0.25">
      <c r="B948" s="984" t="s">
        <v>1293</v>
      </c>
      <c r="C948" s="967">
        <v>91128</v>
      </c>
    </row>
    <row r="949" spans="2:3" x14ac:dyDescent="0.25">
      <c r="B949" s="984" t="s">
        <v>2139</v>
      </c>
      <c r="C949" s="967">
        <v>91681</v>
      </c>
    </row>
    <row r="950" spans="2:3" x14ac:dyDescent="0.25">
      <c r="B950" s="984" t="s">
        <v>2140</v>
      </c>
      <c r="C950" s="967">
        <v>90811</v>
      </c>
    </row>
    <row r="951" spans="2:3" x14ac:dyDescent="0.25">
      <c r="B951" s="984" t="s">
        <v>2141</v>
      </c>
      <c r="C951" s="967">
        <v>90721</v>
      </c>
    </row>
    <row r="952" spans="2:3" x14ac:dyDescent="0.25">
      <c r="B952" s="984" t="s">
        <v>2142</v>
      </c>
      <c r="C952" s="967">
        <v>98271</v>
      </c>
    </row>
    <row r="953" spans="2:3" x14ac:dyDescent="0.25">
      <c r="B953" s="984" t="s">
        <v>1223</v>
      </c>
      <c r="C953" s="967">
        <v>90601</v>
      </c>
    </row>
    <row r="954" spans="2:3" x14ac:dyDescent="0.25">
      <c r="B954" s="984" t="s">
        <v>3708</v>
      </c>
      <c r="C954" s="967">
        <v>90602</v>
      </c>
    </row>
    <row r="955" spans="2:3" x14ac:dyDescent="0.25">
      <c r="B955" s="984" t="s">
        <v>3709</v>
      </c>
      <c r="C955" s="967">
        <v>90605</v>
      </c>
    </row>
    <row r="956" spans="2:3" x14ac:dyDescent="0.25">
      <c r="B956" s="984" t="s">
        <v>2143</v>
      </c>
      <c r="C956" s="967">
        <v>97461</v>
      </c>
    </row>
    <row r="957" spans="2:3" x14ac:dyDescent="0.25">
      <c r="B957" s="984" t="s">
        <v>1823</v>
      </c>
      <c r="C957" s="967">
        <v>97463</v>
      </c>
    </row>
    <row r="958" spans="2:3" x14ac:dyDescent="0.25">
      <c r="B958" s="984" t="s">
        <v>3710</v>
      </c>
      <c r="C958" s="967">
        <v>90705</v>
      </c>
    </row>
    <row r="959" spans="2:3" x14ac:dyDescent="0.25">
      <c r="B959" s="984" t="s">
        <v>2144</v>
      </c>
      <c r="C959" s="967">
        <v>98451</v>
      </c>
    </row>
    <row r="960" spans="2:3" x14ac:dyDescent="0.25">
      <c r="B960" s="984" t="s">
        <v>2145</v>
      </c>
      <c r="C960" s="967">
        <v>96451</v>
      </c>
    </row>
    <row r="961" spans="2:3" x14ac:dyDescent="0.25">
      <c r="B961" s="984" t="s">
        <v>2146</v>
      </c>
      <c r="C961" s="967">
        <v>96121</v>
      </c>
    </row>
    <row r="962" spans="2:3" x14ac:dyDescent="0.25">
      <c r="B962" s="984" t="s">
        <v>2147</v>
      </c>
      <c r="C962" s="967">
        <v>91091</v>
      </c>
    </row>
    <row r="963" spans="2:3" x14ac:dyDescent="0.25">
      <c r="B963" s="984" t="s">
        <v>2148</v>
      </c>
      <c r="C963" s="967">
        <v>90611</v>
      </c>
    </row>
    <row r="964" spans="2:3" x14ac:dyDescent="0.25">
      <c r="B964" s="984" t="s">
        <v>1785</v>
      </c>
      <c r="C964" s="967">
        <v>96918</v>
      </c>
    </row>
    <row r="965" spans="2:3" x14ac:dyDescent="0.25">
      <c r="B965" s="984" t="s">
        <v>2149</v>
      </c>
      <c r="C965" s="967">
        <v>96911</v>
      </c>
    </row>
    <row r="966" spans="2:3" x14ac:dyDescent="0.25">
      <c r="B966" s="984" t="s">
        <v>1982</v>
      </c>
      <c r="C966" s="967">
        <v>99208</v>
      </c>
    </row>
    <row r="967" spans="2:3" x14ac:dyDescent="0.25">
      <c r="B967" s="984" t="s">
        <v>2150</v>
      </c>
      <c r="C967" s="967">
        <v>91631</v>
      </c>
    </row>
    <row r="968" spans="2:3" x14ac:dyDescent="0.25">
      <c r="B968" s="984" t="s">
        <v>1231</v>
      </c>
      <c r="C968" s="967">
        <v>90701</v>
      </c>
    </row>
    <row r="969" spans="2:3" x14ac:dyDescent="0.25">
      <c r="B969" s="984" t="s">
        <v>3711</v>
      </c>
      <c r="C969" s="967">
        <v>90704</v>
      </c>
    </row>
    <row r="970" spans="2:3" x14ac:dyDescent="0.25">
      <c r="B970" s="984" t="s">
        <v>3712</v>
      </c>
      <c r="C970" s="967">
        <v>91633</v>
      </c>
    </row>
    <row r="971" spans="2:3" x14ac:dyDescent="0.25">
      <c r="B971" s="984" t="s">
        <v>2151</v>
      </c>
      <c r="C971" s="967">
        <v>90631</v>
      </c>
    </row>
    <row r="972" spans="2:3" x14ac:dyDescent="0.25">
      <c r="B972" s="984" t="s">
        <v>2152</v>
      </c>
      <c r="C972" s="967">
        <v>90731</v>
      </c>
    </row>
    <row r="973" spans="2:3" x14ac:dyDescent="0.25">
      <c r="B973" s="984" t="s">
        <v>2153</v>
      </c>
      <c r="C973" s="967">
        <v>93621</v>
      </c>
    </row>
    <row r="974" spans="2:3" x14ac:dyDescent="0.25">
      <c r="B974" s="984" t="s">
        <v>1515</v>
      </c>
      <c r="C974" s="967">
        <v>93623</v>
      </c>
    </row>
    <row r="975" spans="2:3" x14ac:dyDescent="0.25">
      <c r="B975" s="984" t="s">
        <v>2154</v>
      </c>
      <c r="C975" s="967">
        <v>91020</v>
      </c>
    </row>
    <row r="976" spans="2:3" x14ac:dyDescent="0.25">
      <c r="B976" s="984" t="s">
        <v>2155</v>
      </c>
      <c r="C976" s="967">
        <v>95141</v>
      </c>
    </row>
    <row r="977" spans="2:3" x14ac:dyDescent="0.25">
      <c r="B977" s="984" t="s">
        <v>1633</v>
      </c>
      <c r="C977" s="967">
        <v>95103</v>
      </c>
    </row>
    <row r="978" spans="2:3" x14ac:dyDescent="0.25">
      <c r="B978" s="984" t="s">
        <v>2156</v>
      </c>
      <c r="C978" s="967">
        <v>93021</v>
      </c>
    </row>
    <row r="979" spans="2:3" x14ac:dyDescent="0.25">
      <c r="B979" s="984" t="s">
        <v>1239</v>
      </c>
      <c r="C979" s="967">
        <v>90801</v>
      </c>
    </row>
    <row r="980" spans="2:3" x14ac:dyDescent="0.25">
      <c r="B980" s="984" t="s">
        <v>3713</v>
      </c>
      <c r="C980" s="967">
        <v>90804</v>
      </c>
    </row>
    <row r="981" spans="2:3" x14ac:dyDescent="0.25">
      <c r="B981" s="984" t="s">
        <v>1242</v>
      </c>
      <c r="C981" s="967">
        <v>90808</v>
      </c>
    </row>
    <row r="982" spans="2:3" x14ac:dyDescent="0.25">
      <c r="B982" s="984" t="s">
        <v>2157</v>
      </c>
      <c r="C982" s="967">
        <v>93671</v>
      </c>
    </row>
    <row r="983" spans="2:3" x14ac:dyDescent="0.25">
      <c r="B983" s="984" t="s">
        <v>2158</v>
      </c>
      <c r="C983" s="967">
        <v>93677</v>
      </c>
    </row>
    <row r="984" spans="2:3" x14ac:dyDescent="0.25">
      <c r="B984" s="984" t="s">
        <v>2159</v>
      </c>
      <c r="C984" s="967">
        <v>97441</v>
      </c>
    </row>
    <row r="985" spans="2:3" x14ac:dyDescent="0.25">
      <c r="B985" s="984" t="s">
        <v>2160</v>
      </c>
      <c r="C985" s="967">
        <v>93111</v>
      </c>
    </row>
    <row r="986" spans="2:3" x14ac:dyDescent="0.25">
      <c r="B986" s="984" t="s">
        <v>2161</v>
      </c>
      <c r="C986" s="967">
        <v>91111</v>
      </c>
    </row>
    <row r="987" spans="2:3" x14ac:dyDescent="0.25">
      <c r="B987" s="984" t="s">
        <v>2162</v>
      </c>
      <c r="C987" s="967">
        <v>96231</v>
      </c>
    </row>
    <row r="988" spans="2:3" x14ac:dyDescent="0.25">
      <c r="B988" s="984" t="s">
        <v>2163</v>
      </c>
      <c r="C988" s="967">
        <v>99831</v>
      </c>
    </row>
    <row r="989" spans="2:3" x14ac:dyDescent="0.25">
      <c r="B989" s="984" t="s">
        <v>2164</v>
      </c>
      <c r="C989" s="967">
        <v>91151</v>
      </c>
    </row>
    <row r="990" spans="2:3" x14ac:dyDescent="0.25">
      <c r="B990" s="984" t="s">
        <v>3714</v>
      </c>
      <c r="C990" s="967">
        <v>91154</v>
      </c>
    </row>
    <row r="991" spans="2:3" x14ac:dyDescent="0.25">
      <c r="B991" s="984" t="s">
        <v>1247</v>
      </c>
      <c r="C991" s="967">
        <v>90901</v>
      </c>
    </row>
    <row r="992" spans="2:3" x14ac:dyDescent="0.25">
      <c r="B992" s="984" t="s">
        <v>2165</v>
      </c>
      <c r="C992" s="967">
        <v>90941</v>
      </c>
    </row>
    <row r="993" spans="2:3" x14ac:dyDescent="0.25">
      <c r="B993" s="984" t="s">
        <v>2166</v>
      </c>
      <c r="C993" s="967">
        <v>99521</v>
      </c>
    </row>
    <row r="994" spans="2:3" x14ac:dyDescent="0.25">
      <c r="B994" s="984" t="s">
        <v>3715</v>
      </c>
      <c r="C994" s="967">
        <v>99527</v>
      </c>
    </row>
    <row r="995" spans="2:3" x14ac:dyDescent="0.25">
      <c r="B995" s="984" t="s">
        <v>2011</v>
      </c>
      <c r="C995" s="967">
        <v>99508</v>
      </c>
    </row>
    <row r="996" spans="2:3" x14ac:dyDescent="0.25">
      <c r="B996" s="984" t="s">
        <v>1600</v>
      </c>
      <c r="C996" s="967">
        <v>94532</v>
      </c>
    </row>
    <row r="997" spans="2:3" x14ac:dyDescent="0.25">
      <c r="B997" s="984" t="s">
        <v>3716</v>
      </c>
      <c r="C997" s="967">
        <v>91071</v>
      </c>
    </row>
    <row r="998" spans="2:3" x14ac:dyDescent="0.25">
      <c r="B998" s="984" t="s">
        <v>3717</v>
      </c>
      <c r="C998" s="967">
        <v>91077</v>
      </c>
    </row>
    <row r="999" spans="2:3" x14ac:dyDescent="0.25">
      <c r="B999" s="984" t="s">
        <v>2167</v>
      </c>
      <c r="C999" s="967">
        <v>92331</v>
      </c>
    </row>
    <row r="1000" spans="2:3" x14ac:dyDescent="0.25">
      <c r="B1000" s="984" t="s">
        <v>2168</v>
      </c>
      <c r="C1000" s="967">
        <v>92414</v>
      </c>
    </row>
    <row r="1001" spans="2:3" x14ac:dyDescent="0.25">
      <c r="B1001" s="984" t="s">
        <v>2169</v>
      </c>
      <c r="C1001" s="967">
        <v>99511</v>
      </c>
    </row>
    <row r="1002" spans="2:3" x14ac:dyDescent="0.25">
      <c r="B1002" s="984" t="s">
        <v>2170</v>
      </c>
      <c r="C1002" s="967">
        <v>99941</v>
      </c>
    </row>
    <row r="1003" spans="2:3" x14ac:dyDescent="0.25">
      <c r="B1003" s="984" t="s">
        <v>1737</v>
      </c>
      <c r="C1003" s="967">
        <v>96405</v>
      </c>
    </row>
    <row r="1004" spans="2:3" x14ac:dyDescent="0.25">
      <c r="B1004" s="984" t="s">
        <v>2171</v>
      </c>
      <c r="C1004" s="967">
        <v>98811</v>
      </c>
    </row>
    <row r="1005" spans="2:3" x14ac:dyDescent="0.25">
      <c r="B1005" s="984" t="s">
        <v>3718</v>
      </c>
      <c r="C1005" s="967">
        <v>98817</v>
      </c>
    </row>
    <row r="1006" spans="2:3" x14ac:dyDescent="0.25">
      <c r="B1006" s="984" t="s">
        <v>2172</v>
      </c>
      <c r="C1006" s="967">
        <v>92561</v>
      </c>
    </row>
    <row r="1007" spans="2:3" x14ac:dyDescent="0.25">
      <c r="B1007" s="984" t="s">
        <v>1896</v>
      </c>
      <c r="C1007" s="967">
        <v>98102</v>
      </c>
    </row>
    <row r="1008" spans="2:3" x14ac:dyDescent="0.25">
      <c r="B1008" s="984" t="s">
        <v>2173</v>
      </c>
      <c r="C1008" s="967">
        <v>95321</v>
      </c>
    </row>
    <row r="1009" spans="2:3" x14ac:dyDescent="0.25">
      <c r="B1009" s="984" t="s">
        <v>2174</v>
      </c>
      <c r="C1009" s="967">
        <v>91861</v>
      </c>
    </row>
    <row r="1010" spans="2:3" x14ac:dyDescent="0.25">
      <c r="B1010" s="984" t="s">
        <v>2175</v>
      </c>
      <c r="C1010" s="967">
        <v>92421</v>
      </c>
    </row>
    <row r="1011" spans="2:3" x14ac:dyDescent="0.25">
      <c r="B1011" s="984" t="s">
        <v>3719</v>
      </c>
      <c r="C1011" s="967">
        <v>91006</v>
      </c>
    </row>
    <row r="1012" spans="2:3" x14ac:dyDescent="0.25">
      <c r="B1012" s="984" t="s">
        <v>3720</v>
      </c>
      <c r="C1012" s="967">
        <v>91003</v>
      </c>
    </row>
    <row r="1013" spans="2:3" x14ac:dyDescent="0.25">
      <c r="B1013" s="984" t="s">
        <v>1254</v>
      </c>
      <c r="C1013" s="967">
        <v>91001</v>
      </c>
    </row>
    <row r="1014" spans="2:3" x14ac:dyDescent="0.25">
      <c r="B1014" s="984" t="s">
        <v>3721</v>
      </c>
      <c r="C1014" s="967">
        <v>91004</v>
      </c>
    </row>
    <row r="1015" spans="2:3" x14ac:dyDescent="0.25">
      <c r="B1015" s="984" t="s">
        <v>3722</v>
      </c>
      <c r="C1015" s="967">
        <v>91009</v>
      </c>
    </row>
    <row r="1016" spans="2:3" x14ac:dyDescent="0.25">
      <c r="B1016" s="984" t="s">
        <v>3723</v>
      </c>
      <c r="C1016" s="967">
        <v>91042</v>
      </c>
    </row>
    <row r="1017" spans="2:3" x14ac:dyDescent="0.25">
      <c r="B1017" s="984" t="s">
        <v>2176</v>
      </c>
      <c r="C1017" s="967">
        <v>98711</v>
      </c>
    </row>
    <row r="1018" spans="2:3" x14ac:dyDescent="0.25">
      <c r="B1018" s="984" t="s">
        <v>3724</v>
      </c>
      <c r="C1018" s="967">
        <v>98717</v>
      </c>
    </row>
    <row r="1019" spans="2:3" x14ac:dyDescent="0.25">
      <c r="B1019" s="984" t="s">
        <v>1282</v>
      </c>
      <c r="C1019" s="967">
        <v>91101</v>
      </c>
    </row>
    <row r="1020" spans="2:3" x14ac:dyDescent="0.25">
      <c r="B1020" s="984" t="s">
        <v>2177</v>
      </c>
      <c r="C1020" s="967">
        <v>93531</v>
      </c>
    </row>
    <row r="1021" spans="2:3" x14ac:dyDescent="0.25">
      <c r="B1021" s="984" t="s">
        <v>3725</v>
      </c>
      <c r="C1021" s="967">
        <v>93537</v>
      </c>
    </row>
    <row r="1022" spans="2:3" x14ac:dyDescent="0.25">
      <c r="B1022" s="984" t="s">
        <v>2178</v>
      </c>
      <c r="C1022" s="967">
        <v>97111</v>
      </c>
    </row>
    <row r="1023" spans="2:3" x14ac:dyDescent="0.25">
      <c r="B1023" s="984" t="s">
        <v>3726</v>
      </c>
      <c r="C1023" s="967">
        <v>91206</v>
      </c>
    </row>
    <row r="1024" spans="2:3" x14ac:dyDescent="0.25">
      <c r="B1024" s="984" t="s">
        <v>3727</v>
      </c>
      <c r="C1024" s="967">
        <v>91203</v>
      </c>
    </row>
    <row r="1025" spans="2:3" x14ac:dyDescent="0.25">
      <c r="B1025" s="984" t="s">
        <v>1301</v>
      </c>
      <c r="C1025" s="967">
        <v>91201</v>
      </c>
    </row>
    <row r="1026" spans="2:3" x14ac:dyDescent="0.25">
      <c r="B1026" s="984" t="s">
        <v>3728</v>
      </c>
      <c r="C1026" s="967">
        <v>91208</v>
      </c>
    </row>
    <row r="1027" spans="2:3" x14ac:dyDescent="0.25">
      <c r="B1027" s="984" t="s">
        <v>3729</v>
      </c>
      <c r="C1027" s="967">
        <v>91202</v>
      </c>
    </row>
    <row r="1028" spans="2:3" x14ac:dyDescent="0.25">
      <c r="B1028" s="984" t="s">
        <v>2179</v>
      </c>
      <c r="C1028" s="967">
        <v>90111</v>
      </c>
    </row>
    <row r="1029" spans="2:3" x14ac:dyDescent="0.25">
      <c r="B1029" s="984" t="s">
        <v>2180</v>
      </c>
      <c r="C1029" s="967">
        <v>90011</v>
      </c>
    </row>
    <row r="1030" spans="2:3" x14ac:dyDescent="0.25">
      <c r="B1030" s="984" t="s">
        <v>2181</v>
      </c>
      <c r="C1030" s="967">
        <v>93931</v>
      </c>
    </row>
    <row r="1031" spans="2:3" x14ac:dyDescent="0.25">
      <c r="B1031" s="984" t="s">
        <v>3730</v>
      </c>
      <c r="C1031" s="974">
        <v>91306</v>
      </c>
    </row>
    <row r="1032" spans="2:3" x14ac:dyDescent="0.25">
      <c r="B1032" s="984" t="s">
        <v>1315</v>
      </c>
      <c r="C1032" s="967">
        <v>91301</v>
      </c>
    </row>
    <row r="1033" spans="2:3" x14ac:dyDescent="0.25">
      <c r="B1033" s="984" t="s">
        <v>3731</v>
      </c>
      <c r="C1033" s="974">
        <v>91308</v>
      </c>
    </row>
    <row r="1034" spans="2:3" x14ac:dyDescent="0.25">
      <c r="B1034" s="984" t="s">
        <v>3732</v>
      </c>
      <c r="C1034" s="967">
        <v>91461</v>
      </c>
    </row>
    <row r="1035" spans="2:3" x14ac:dyDescent="0.25">
      <c r="B1035" s="984" t="s">
        <v>2182</v>
      </c>
      <c r="C1035" s="967">
        <v>91010</v>
      </c>
    </row>
    <row r="1036" spans="2:3" x14ac:dyDescent="0.25">
      <c r="B1036" s="984" t="s">
        <v>3733</v>
      </c>
      <c r="C1036" s="967">
        <v>91007</v>
      </c>
    </row>
    <row r="1037" spans="2:3" x14ac:dyDescent="0.25">
      <c r="B1037" s="984" t="s">
        <v>1325</v>
      </c>
      <c r="C1037" s="967">
        <v>91401</v>
      </c>
    </row>
    <row r="1038" spans="2:3" x14ac:dyDescent="0.25">
      <c r="B1038" s="984" t="s">
        <v>2183</v>
      </c>
      <c r="C1038" s="967">
        <v>93171</v>
      </c>
    </row>
    <row r="1039" spans="2:3" x14ac:dyDescent="0.25">
      <c r="B1039" s="984" t="s">
        <v>1335</v>
      </c>
      <c r="C1039" s="967">
        <v>91501</v>
      </c>
    </row>
    <row r="1040" spans="2:3" x14ac:dyDescent="0.25">
      <c r="B1040" s="984" t="s">
        <v>3734</v>
      </c>
      <c r="C1040" s="967">
        <v>91504</v>
      </c>
    </row>
    <row r="1041" spans="2:3" x14ac:dyDescent="0.25">
      <c r="B1041" s="984" t="s">
        <v>2184</v>
      </c>
      <c r="C1041" s="967">
        <v>96312</v>
      </c>
    </row>
    <row r="1042" spans="2:3" x14ac:dyDescent="0.25">
      <c r="B1042" s="984" t="s">
        <v>2185</v>
      </c>
      <c r="C1042" s="967">
        <v>96241</v>
      </c>
    </row>
    <row r="1043" spans="2:3" x14ac:dyDescent="0.25">
      <c r="B1043" s="984" t="s">
        <v>2186</v>
      </c>
      <c r="C1043" s="967">
        <v>94431</v>
      </c>
    </row>
    <row r="1044" spans="2:3" x14ac:dyDescent="0.25">
      <c r="B1044" s="984" t="s">
        <v>3735</v>
      </c>
      <c r="C1044" s="967">
        <v>94437</v>
      </c>
    </row>
    <row r="1045" spans="2:3" x14ac:dyDescent="0.25">
      <c r="B1045" s="984" t="s">
        <v>2187</v>
      </c>
      <c r="C1045" s="967">
        <v>91671</v>
      </c>
    </row>
    <row r="1046" spans="2:3" x14ac:dyDescent="0.25">
      <c r="B1046" s="984" t="s">
        <v>1259</v>
      </c>
      <c r="C1046" s="967">
        <v>91008</v>
      </c>
    </row>
    <row r="1047" spans="2:3" x14ac:dyDescent="0.25">
      <c r="B1047" s="984" t="s">
        <v>1751</v>
      </c>
      <c r="C1047" s="967">
        <v>96512</v>
      </c>
    </row>
    <row r="1048" spans="2:3" x14ac:dyDescent="0.25">
      <c r="B1048" s="984" t="s">
        <v>1748</v>
      </c>
      <c r="C1048" s="967">
        <v>96507</v>
      </c>
    </row>
    <row r="1049" spans="2:3" x14ac:dyDescent="0.25">
      <c r="B1049" s="984" t="s">
        <v>2188</v>
      </c>
      <c r="C1049" s="967">
        <v>96521</v>
      </c>
    </row>
    <row r="1050" spans="2:3" x14ac:dyDescent="0.25">
      <c r="B1050" s="984" t="s">
        <v>2189</v>
      </c>
      <c r="C1050" s="967">
        <v>91024</v>
      </c>
    </row>
    <row r="1051" spans="2:3" x14ac:dyDescent="0.25">
      <c r="B1051" s="984" t="s">
        <v>2190</v>
      </c>
      <c r="C1051" s="967">
        <v>96821</v>
      </c>
    </row>
    <row r="1052" spans="2:3" x14ac:dyDescent="0.25">
      <c r="B1052" s="984" t="s">
        <v>1337</v>
      </c>
      <c r="C1052" s="967">
        <v>91601</v>
      </c>
    </row>
    <row r="1053" spans="2:3" x14ac:dyDescent="0.25">
      <c r="B1053" s="984" t="s">
        <v>3736</v>
      </c>
      <c r="C1053" s="967">
        <v>91604</v>
      </c>
    </row>
    <row r="1054" spans="2:3" x14ac:dyDescent="0.25">
      <c r="B1054" s="984" t="s">
        <v>2191</v>
      </c>
      <c r="C1054" s="967">
        <v>96391</v>
      </c>
    </row>
    <row r="1055" spans="2:3" x14ac:dyDescent="0.25">
      <c r="B1055" s="984" t="s">
        <v>2192</v>
      </c>
      <c r="C1055" s="967">
        <v>99221</v>
      </c>
    </row>
    <row r="1056" spans="2:3" x14ac:dyDescent="0.25">
      <c r="B1056" s="984" t="s">
        <v>2193</v>
      </c>
      <c r="C1056" s="967">
        <v>91051</v>
      </c>
    </row>
    <row r="1057" spans="2:3" x14ac:dyDescent="0.25">
      <c r="B1057" s="984" t="s">
        <v>3737</v>
      </c>
      <c r="C1057" s="967">
        <v>91706</v>
      </c>
    </row>
    <row r="1058" spans="2:3" x14ac:dyDescent="0.25">
      <c r="B1058" s="984" t="s">
        <v>1350</v>
      </c>
      <c r="C1058" s="967">
        <v>91701</v>
      </c>
    </row>
    <row r="1059" spans="2:3" x14ac:dyDescent="0.25">
      <c r="B1059" s="984" t="s">
        <v>3738</v>
      </c>
      <c r="C1059" s="967">
        <v>91704</v>
      </c>
    </row>
    <row r="1060" spans="2:3" x14ac:dyDescent="0.25">
      <c r="B1060" s="984" t="s">
        <v>2194</v>
      </c>
      <c r="C1060" s="967">
        <v>91881</v>
      </c>
    </row>
    <row r="1061" spans="2:3" x14ac:dyDescent="0.25">
      <c r="B1061" s="984" t="s">
        <v>1353</v>
      </c>
      <c r="C1061" s="967">
        <v>91801</v>
      </c>
    </row>
    <row r="1062" spans="2:3" x14ac:dyDescent="0.25">
      <c r="B1062" s="984" t="s">
        <v>3739</v>
      </c>
      <c r="C1062" s="967">
        <v>91804</v>
      </c>
    </row>
    <row r="1063" spans="2:3" x14ac:dyDescent="0.25">
      <c r="B1063" s="984" t="s">
        <v>2195</v>
      </c>
      <c r="C1063" s="967">
        <v>91691</v>
      </c>
    </row>
    <row r="1064" spans="2:3" x14ac:dyDescent="0.25">
      <c r="B1064" s="984" t="s">
        <v>3740</v>
      </c>
      <c r="C1064" s="967">
        <v>99222</v>
      </c>
    </row>
    <row r="1065" spans="2:3" x14ac:dyDescent="0.25">
      <c r="B1065" s="984" t="s">
        <v>3548</v>
      </c>
      <c r="C1065" s="967">
        <v>93408</v>
      </c>
    </row>
    <row r="1066" spans="2:3" x14ac:dyDescent="0.25">
      <c r="B1066" s="984" t="s">
        <v>1699</v>
      </c>
      <c r="C1066" s="967">
        <v>96009</v>
      </c>
    </row>
    <row r="1067" spans="2:3" x14ac:dyDescent="0.25">
      <c r="B1067" s="984" t="s">
        <v>2196</v>
      </c>
      <c r="C1067" s="967">
        <v>92441</v>
      </c>
    </row>
    <row r="1068" spans="2:3" x14ac:dyDescent="0.25">
      <c r="B1068" s="984" t="s">
        <v>2197</v>
      </c>
      <c r="C1068" s="967">
        <v>96811</v>
      </c>
    </row>
    <row r="1069" spans="2:3" x14ac:dyDescent="0.25">
      <c r="B1069" s="984" t="s">
        <v>2198</v>
      </c>
      <c r="C1069" s="967">
        <v>96011</v>
      </c>
    </row>
    <row r="1070" spans="2:3" x14ac:dyDescent="0.25">
      <c r="B1070" s="984" t="s">
        <v>3741</v>
      </c>
      <c r="C1070" s="967">
        <v>96018</v>
      </c>
    </row>
    <row r="1071" spans="2:3" x14ac:dyDescent="0.25">
      <c r="B1071" s="984" t="s">
        <v>3742</v>
      </c>
      <c r="C1071" s="967">
        <v>96003</v>
      </c>
    </row>
    <row r="1072" spans="2:3" x14ac:dyDescent="0.25">
      <c r="B1072" s="984" t="s">
        <v>3743</v>
      </c>
      <c r="C1072" s="967">
        <v>96005</v>
      </c>
    </row>
    <row r="1073" spans="2:3" x14ac:dyDescent="0.25">
      <c r="B1073" s="984" t="s">
        <v>3549</v>
      </c>
      <c r="C1073" s="967">
        <v>96012</v>
      </c>
    </row>
    <row r="1074" spans="2:3" x14ac:dyDescent="0.25">
      <c r="B1074" s="984" t="s">
        <v>3744</v>
      </c>
      <c r="C1074" s="967">
        <v>91903</v>
      </c>
    </row>
    <row r="1075" spans="2:3" x14ac:dyDescent="0.25">
      <c r="B1075" s="984" t="s">
        <v>1367</v>
      </c>
      <c r="C1075" s="967">
        <v>91901</v>
      </c>
    </row>
    <row r="1076" spans="2:3" x14ac:dyDescent="0.25">
      <c r="B1076" s="984" t="s">
        <v>3745</v>
      </c>
      <c r="C1076" s="967">
        <v>91904</v>
      </c>
    </row>
    <row r="1077" spans="2:3" x14ac:dyDescent="0.25">
      <c r="B1077" s="984" t="s">
        <v>1374</v>
      </c>
      <c r="C1077" s="967">
        <v>92001</v>
      </c>
    </row>
    <row r="1078" spans="2:3" x14ac:dyDescent="0.25">
      <c r="B1078" s="984" t="s">
        <v>2199</v>
      </c>
      <c r="C1078" s="967">
        <v>93641</v>
      </c>
    </row>
    <row r="1079" spans="2:3" x14ac:dyDescent="0.25">
      <c r="B1079" s="984" t="s">
        <v>3746</v>
      </c>
      <c r="C1079" s="967">
        <v>93647</v>
      </c>
    </row>
    <row r="1080" spans="2:3" x14ac:dyDescent="0.25">
      <c r="B1080" s="984" t="s">
        <v>2200</v>
      </c>
      <c r="C1080" s="967">
        <v>98041</v>
      </c>
    </row>
    <row r="1081" spans="2:3" x14ac:dyDescent="0.25">
      <c r="B1081" s="984" t="s">
        <v>3747</v>
      </c>
      <c r="C1081" s="967">
        <v>96612</v>
      </c>
    </row>
    <row r="1082" spans="2:3" x14ac:dyDescent="0.25">
      <c r="B1082" s="984" t="s">
        <v>2201</v>
      </c>
      <c r="C1082" s="967">
        <v>90751</v>
      </c>
    </row>
    <row r="1083" spans="2:3" x14ac:dyDescent="0.25">
      <c r="B1083" s="984" t="s">
        <v>1379</v>
      </c>
      <c r="C1083" s="967">
        <v>92101</v>
      </c>
    </row>
    <row r="1084" spans="2:3" x14ac:dyDescent="0.25">
      <c r="B1084" s="984" t="s">
        <v>3748</v>
      </c>
      <c r="C1084" s="967">
        <v>92104</v>
      </c>
    </row>
    <row r="1085" spans="2:3" x14ac:dyDescent="0.25">
      <c r="B1085" s="984" t="s">
        <v>2202</v>
      </c>
      <c r="C1085" s="967">
        <v>91821</v>
      </c>
    </row>
    <row r="1086" spans="2:3" x14ac:dyDescent="0.25">
      <c r="B1086" s="984" t="s">
        <v>2203</v>
      </c>
      <c r="C1086" s="967">
        <v>90931</v>
      </c>
    </row>
    <row r="1087" spans="2:3" x14ac:dyDescent="0.25">
      <c r="B1087" s="984" t="s">
        <v>1384</v>
      </c>
      <c r="C1087" s="967">
        <v>92201</v>
      </c>
    </row>
    <row r="1088" spans="2:3" x14ac:dyDescent="0.25">
      <c r="B1088" s="984" t="s">
        <v>2204</v>
      </c>
      <c r="C1088" s="967">
        <v>95131</v>
      </c>
    </row>
    <row r="1089" spans="2:3" x14ac:dyDescent="0.25">
      <c r="B1089" s="984" t="s">
        <v>2205</v>
      </c>
      <c r="C1089" s="967">
        <v>93441</v>
      </c>
    </row>
    <row r="1090" spans="2:3" x14ac:dyDescent="0.25">
      <c r="B1090" s="984" t="s">
        <v>1496</v>
      </c>
      <c r="C1090" s="967">
        <v>93442</v>
      </c>
    </row>
    <row r="1091" spans="2:3" x14ac:dyDescent="0.25">
      <c r="B1091" s="984" t="s">
        <v>2206</v>
      </c>
      <c r="C1091" s="967">
        <v>98091</v>
      </c>
    </row>
    <row r="1092" spans="2:3" x14ac:dyDescent="0.25">
      <c r="B1092" s="984" t="s">
        <v>1385</v>
      </c>
      <c r="C1092" s="967">
        <v>92301</v>
      </c>
    </row>
    <row r="1093" spans="2:3" x14ac:dyDescent="0.25">
      <c r="B1093" s="984" t="s">
        <v>3749</v>
      </c>
      <c r="C1093" s="967">
        <v>92302</v>
      </c>
    </row>
    <row r="1094" spans="2:3" x14ac:dyDescent="0.25">
      <c r="B1094" s="984" t="s">
        <v>2207</v>
      </c>
      <c r="C1094" s="967">
        <v>98211</v>
      </c>
    </row>
    <row r="1095" spans="2:3" x14ac:dyDescent="0.25">
      <c r="B1095" s="984" t="s">
        <v>3750</v>
      </c>
      <c r="C1095" s="967">
        <v>98218</v>
      </c>
    </row>
    <row r="1096" spans="2:3" x14ac:dyDescent="0.25">
      <c r="B1096" s="984" t="s">
        <v>3751</v>
      </c>
      <c r="C1096" s="967">
        <v>92506</v>
      </c>
    </row>
    <row r="1097" spans="2:3" x14ac:dyDescent="0.25">
      <c r="B1097" s="984" t="s">
        <v>3752</v>
      </c>
      <c r="C1097" s="967">
        <v>92508</v>
      </c>
    </row>
    <row r="1098" spans="2:3" x14ac:dyDescent="0.25">
      <c r="B1098" s="984" t="s">
        <v>2208</v>
      </c>
      <c r="C1098" s="967">
        <v>94341</v>
      </c>
    </row>
    <row r="1099" spans="2:3" x14ac:dyDescent="0.25">
      <c r="B1099" s="984" t="s">
        <v>2209</v>
      </c>
      <c r="C1099" s="967">
        <v>94641</v>
      </c>
    </row>
    <row r="1100" spans="2:3" x14ac:dyDescent="0.25">
      <c r="B1100" s="984" t="s">
        <v>2210</v>
      </c>
      <c r="C1100" s="967">
        <v>90813</v>
      </c>
    </row>
    <row r="1101" spans="2:3" x14ac:dyDescent="0.25">
      <c r="B1101" s="984" t="s">
        <v>1561</v>
      </c>
      <c r="C1101" s="967">
        <v>94168</v>
      </c>
    </row>
    <row r="1102" spans="2:3" x14ac:dyDescent="0.25">
      <c r="B1102" s="984" t="s">
        <v>2211</v>
      </c>
      <c r="C1102" s="967">
        <v>98911</v>
      </c>
    </row>
    <row r="1103" spans="2:3" x14ac:dyDescent="0.25">
      <c r="B1103" s="984" t="s">
        <v>2212</v>
      </c>
      <c r="C1103" s="967">
        <v>97521</v>
      </c>
    </row>
    <row r="1104" spans="2:3" x14ac:dyDescent="0.25">
      <c r="B1104" s="984" t="s">
        <v>1394</v>
      </c>
      <c r="C1104" s="967">
        <v>92401</v>
      </c>
    </row>
    <row r="1105" spans="2:3" x14ac:dyDescent="0.25">
      <c r="B1105" s="984" t="s">
        <v>2213</v>
      </c>
      <c r="C1105" s="967">
        <v>91311</v>
      </c>
    </row>
    <row r="1106" spans="2:3" x14ac:dyDescent="0.25">
      <c r="B1106" s="984" t="s">
        <v>3753</v>
      </c>
      <c r="C1106" s="967">
        <v>91317</v>
      </c>
    </row>
    <row r="1107" spans="2:3" x14ac:dyDescent="0.25">
      <c r="B1107" s="984" t="s">
        <v>2214</v>
      </c>
      <c r="C1107" s="967">
        <v>91261</v>
      </c>
    </row>
    <row r="1108" spans="2:3" x14ac:dyDescent="0.25">
      <c r="B1108" s="984" t="s">
        <v>2215</v>
      </c>
      <c r="C1108" s="967">
        <v>91851</v>
      </c>
    </row>
    <row r="1109" spans="2:3" x14ac:dyDescent="0.25">
      <c r="B1109" s="984" t="s">
        <v>3754</v>
      </c>
      <c r="C1109" s="967">
        <v>97408</v>
      </c>
    </row>
    <row r="1110" spans="2:3" x14ac:dyDescent="0.25">
      <c r="B1110" s="984" t="s">
        <v>2216</v>
      </c>
      <c r="C1110" s="967">
        <v>96641</v>
      </c>
    </row>
    <row r="1111" spans="2:3" x14ac:dyDescent="0.25">
      <c r="B1111" s="984" t="s">
        <v>2217</v>
      </c>
      <c r="C1111" s="967">
        <v>93031</v>
      </c>
    </row>
    <row r="1112" spans="2:3" x14ac:dyDescent="0.25">
      <c r="B1112" s="984" t="s">
        <v>3755</v>
      </c>
      <c r="C1112" s="967">
        <v>93027</v>
      </c>
    </row>
    <row r="1113" spans="2:3" x14ac:dyDescent="0.25">
      <c r="B1113" s="984" t="s">
        <v>2218</v>
      </c>
      <c r="C1113" s="967">
        <v>96051</v>
      </c>
    </row>
    <row r="1114" spans="2:3" x14ac:dyDescent="0.25">
      <c r="B1114" s="984" t="s">
        <v>3756</v>
      </c>
      <c r="C1114" s="967">
        <v>94501</v>
      </c>
    </row>
    <row r="1115" spans="2:3" x14ac:dyDescent="0.25">
      <c r="B1115" s="984" t="s">
        <v>2219</v>
      </c>
      <c r="C1115" s="967">
        <v>92571</v>
      </c>
    </row>
    <row r="1116" spans="2:3" x14ac:dyDescent="0.25">
      <c r="B1116" s="984" t="s">
        <v>2220</v>
      </c>
      <c r="C1116" s="967">
        <v>93631</v>
      </c>
    </row>
    <row r="1117" spans="2:3" x14ac:dyDescent="0.25">
      <c r="B1117" s="984" t="s">
        <v>3757</v>
      </c>
      <c r="C1117" s="967">
        <v>92504</v>
      </c>
    </row>
    <row r="1118" spans="2:3" x14ac:dyDescent="0.25">
      <c r="B1118" s="984" t="s">
        <v>1405</v>
      </c>
      <c r="C1118" s="967">
        <v>92501</v>
      </c>
    </row>
    <row r="1119" spans="2:3" x14ac:dyDescent="0.25">
      <c r="B1119" s="984" t="s">
        <v>1408</v>
      </c>
      <c r="C1119" s="967">
        <v>92505</v>
      </c>
    </row>
    <row r="1120" spans="2:3" x14ac:dyDescent="0.25">
      <c r="B1120" s="984" t="s">
        <v>2221</v>
      </c>
      <c r="C1120" s="967">
        <v>93921</v>
      </c>
    </row>
    <row r="1121" spans="2:3" x14ac:dyDescent="0.25">
      <c r="B1121" s="984" t="s">
        <v>2222</v>
      </c>
      <c r="C1121" s="967">
        <v>99431</v>
      </c>
    </row>
    <row r="1122" spans="2:3" x14ac:dyDescent="0.25">
      <c r="B1122" s="984" t="s">
        <v>3758</v>
      </c>
      <c r="C1122" s="967">
        <v>92604</v>
      </c>
    </row>
    <row r="1123" spans="2:3" x14ac:dyDescent="0.25">
      <c r="B1123" s="984" t="s">
        <v>1419</v>
      </c>
      <c r="C1123" s="967">
        <v>92601</v>
      </c>
    </row>
    <row r="1124" spans="2:3" x14ac:dyDescent="0.25">
      <c r="B1124" s="984" t="s">
        <v>1422</v>
      </c>
      <c r="C1124" s="967">
        <v>92608</v>
      </c>
    </row>
    <row r="1125" spans="2:3" x14ac:dyDescent="0.25">
      <c r="B1125" s="984" t="s">
        <v>3759</v>
      </c>
      <c r="C1125" s="967">
        <v>92704</v>
      </c>
    </row>
    <row r="1126" spans="2:3" x14ac:dyDescent="0.25">
      <c r="B1126" s="984" t="s">
        <v>1433</v>
      </c>
      <c r="C1126" s="967">
        <v>92701</v>
      </c>
    </row>
    <row r="1127" spans="2:3" x14ac:dyDescent="0.25">
      <c r="B1127" s="984" t="s">
        <v>2223</v>
      </c>
      <c r="C1127" s="967">
        <v>93651</v>
      </c>
    </row>
    <row r="1128" spans="2:3" x14ac:dyDescent="0.25">
      <c r="B1128" s="984" t="s">
        <v>1435</v>
      </c>
      <c r="C1128" s="967">
        <v>92801</v>
      </c>
    </row>
    <row r="1129" spans="2:3" x14ac:dyDescent="0.25">
      <c r="B1129" s="984" t="s">
        <v>3760</v>
      </c>
      <c r="C1129" s="967">
        <v>92804</v>
      </c>
    </row>
    <row r="1130" spans="2:3" x14ac:dyDescent="0.25">
      <c r="B1130" s="984" t="s">
        <v>1436</v>
      </c>
      <c r="C1130" s="967">
        <v>92802</v>
      </c>
    </row>
    <row r="1131" spans="2:3" x14ac:dyDescent="0.25">
      <c r="B1131" s="984" t="s">
        <v>2224</v>
      </c>
      <c r="C1131" s="967">
        <v>96081</v>
      </c>
    </row>
    <row r="1132" spans="2:3" x14ac:dyDescent="0.25">
      <c r="B1132" s="984" t="s">
        <v>1444</v>
      </c>
      <c r="C1132" s="967">
        <v>92901</v>
      </c>
    </row>
    <row r="1133" spans="2:3" x14ac:dyDescent="0.25">
      <c r="B1133" s="984" t="s">
        <v>1451</v>
      </c>
      <c r="C1133" s="967">
        <v>93001</v>
      </c>
    </row>
    <row r="1134" spans="2:3" x14ac:dyDescent="0.25">
      <c r="B1134" s="984" t="s">
        <v>3761</v>
      </c>
      <c r="C1134" s="967">
        <v>93009</v>
      </c>
    </row>
    <row r="1135" spans="2:3" x14ac:dyDescent="0.25">
      <c r="B1135" s="984" t="s">
        <v>2225</v>
      </c>
      <c r="C1135" s="967">
        <v>92921</v>
      </c>
    </row>
    <row r="1136" spans="2:3" x14ac:dyDescent="0.25">
      <c r="B1136" s="984" t="s">
        <v>2226</v>
      </c>
      <c r="C1136" s="967">
        <v>98621</v>
      </c>
    </row>
    <row r="1137" spans="2:3" x14ac:dyDescent="0.25">
      <c r="B1137" s="984" t="s">
        <v>3762</v>
      </c>
      <c r="C1137" s="967">
        <v>98627</v>
      </c>
    </row>
    <row r="1138" spans="2:3" x14ac:dyDescent="0.25">
      <c r="B1138" s="984" t="s">
        <v>2227</v>
      </c>
      <c r="C1138" s="967">
        <v>91221</v>
      </c>
    </row>
    <row r="1139" spans="2:3" x14ac:dyDescent="0.25">
      <c r="B1139" s="984" t="s">
        <v>2228</v>
      </c>
      <c r="C1139" s="967">
        <v>92861</v>
      </c>
    </row>
    <row r="1140" spans="2:3" x14ac:dyDescent="0.25">
      <c r="B1140" s="984" t="s">
        <v>2229</v>
      </c>
      <c r="C1140" s="967">
        <v>94311</v>
      </c>
    </row>
    <row r="1141" spans="2:3" x14ac:dyDescent="0.25">
      <c r="B1141" s="984" t="s">
        <v>3763</v>
      </c>
      <c r="C1141" s="967">
        <v>94317</v>
      </c>
    </row>
    <row r="1142" spans="2:3" x14ac:dyDescent="0.25">
      <c r="B1142" s="984" t="s">
        <v>1576</v>
      </c>
      <c r="C1142" s="967">
        <v>94313</v>
      </c>
    </row>
    <row r="1143" spans="2:3" x14ac:dyDescent="0.25">
      <c r="B1143" s="984" t="s">
        <v>1457</v>
      </c>
      <c r="C1143" s="967">
        <v>93101</v>
      </c>
    </row>
    <row r="1144" spans="2:3" x14ac:dyDescent="0.25">
      <c r="B1144" s="984" t="s">
        <v>2230</v>
      </c>
      <c r="C1144" s="967">
        <v>93103</v>
      </c>
    </row>
    <row r="1145" spans="2:3" x14ac:dyDescent="0.25">
      <c r="B1145" s="984" t="s">
        <v>2231</v>
      </c>
      <c r="C1145" s="967">
        <v>93211</v>
      </c>
    </row>
    <row r="1146" spans="2:3" x14ac:dyDescent="0.25">
      <c r="B1146" s="984" t="s">
        <v>3764</v>
      </c>
      <c r="C1146" s="967">
        <v>93212</v>
      </c>
    </row>
    <row r="1147" spans="2:3" x14ac:dyDescent="0.25">
      <c r="B1147" s="984" t="s">
        <v>1470</v>
      </c>
      <c r="C1147" s="967">
        <v>93201</v>
      </c>
    </row>
    <row r="1148" spans="2:3" x14ac:dyDescent="0.25">
      <c r="B1148" s="984" t="s">
        <v>3765</v>
      </c>
      <c r="C1148" s="967">
        <v>93204</v>
      </c>
    </row>
    <row r="1149" spans="2:3" x14ac:dyDescent="0.25">
      <c r="B1149" s="984" t="s">
        <v>3766</v>
      </c>
      <c r="C1149" s="967">
        <v>99212</v>
      </c>
    </row>
    <row r="1150" spans="2:3" x14ac:dyDescent="0.25">
      <c r="B1150" s="984" t="s">
        <v>1789</v>
      </c>
      <c r="C1150" s="967">
        <v>97005</v>
      </c>
    </row>
    <row r="1151" spans="2:3" x14ac:dyDescent="0.25">
      <c r="B1151" s="984" t="s">
        <v>2232</v>
      </c>
      <c r="C1151" s="967">
        <v>99931</v>
      </c>
    </row>
    <row r="1152" spans="2:3" x14ac:dyDescent="0.25">
      <c r="B1152" s="984" t="s">
        <v>2233</v>
      </c>
      <c r="C1152" s="967">
        <v>98021</v>
      </c>
    </row>
    <row r="1153" spans="2:3" x14ac:dyDescent="0.25">
      <c r="B1153" s="984" t="s">
        <v>1887</v>
      </c>
      <c r="C1153" s="967">
        <v>98023</v>
      </c>
    </row>
    <row r="1154" spans="2:3" x14ac:dyDescent="0.25">
      <c r="B1154" s="984" t="s">
        <v>1184</v>
      </c>
      <c r="C1154" s="967">
        <v>70505</v>
      </c>
    </row>
    <row r="1155" spans="2:3" x14ac:dyDescent="0.25">
      <c r="B1155" s="984" t="s">
        <v>3767</v>
      </c>
      <c r="C1155" s="967">
        <v>99603</v>
      </c>
    </row>
    <row r="1156" spans="2:3" x14ac:dyDescent="0.25">
      <c r="B1156" s="984" t="s">
        <v>3768</v>
      </c>
      <c r="C1156" s="967">
        <v>99610</v>
      </c>
    </row>
    <row r="1157" spans="2:3" x14ac:dyDescent="0.25">
      <c r="B1157" s="984" t="s">
        <v>2234</v>
      </c>
      <c r="C1157" s="967">
        <v>92681</v>
      </c>
    </row>
    <row r="1158" spans="2:3" x14ac:dyDescent="0.25">
      <c r="B1158" s="984" t="s">
        <v>3552</v>
      </c>
      <c r="C1158" s="967">
        <v>93108</v>
      </c>
    </row>
    <row r="1159" spans="2:3" x14ac:dyDescent="0.25">
      <c r="B1159" s="984" t="s">
        <v>2235</v>
      </c>
      <c r="C1159" s="967">
        <v>97951</v>
      </c>
    </row>
    <row r="1160" spans="2:3" x14ac:dyDescent="0.25">
      <c r="B1160" s="984" t="s">
        <v>3769</v>
      </c>
      <c r="C1160" s="967">
        <v>97957</v>
      </c>
    </row>
    <row r="1161" spans="2:3" x14ac:dyDescent="0.25">
      <c r="B1161" s="984" t="s">
        <v>2236</v>
      </c>
      <c r="C1161" s="967">
        <v>92111</v>
      </c>
    </row>
    <row r="1162" spans="2:3" x14ac:dyDescent="0.25">
      <c r="B1162" s="984" t="s">
        <v>1477</v>
      </c>
      <c r="C1162" s="967">
        <v>93301</v>
      </c>
    </row>
    <row r="1163" spans="2:3" x14ac:dyDescent="0.25">
      <c r="B1163" s="984" t="s">
        <v>3770</v>
      </c>
      <c r="C1163" s="967">
        <v>93304</v>
      </c>
    </row>
    <row r="1164" spans="2:3" x14ac:dyDescent="0.25">
      <c r="B1164" s="984" t="s">
        <v>3771</v>
      </c>
      <c r="C1164" s="967">
        <v>93305</v>
      </c>
    </row>
    <row r="1165" spans="2:3" x14ac:dyDescent="0.25">
      <c r="B1165" s="984" t="s">
        <v>3772</v>
      </c>
      <c r="C1165" s="967">
        <v>99210</v>
      </c>
    </row>
    <row r="1166" spans="2:3" x14ac:dyDescent="0.25">
      <c r="B1166" s="984" t="s">
        <v>1792</v>
      </c>
      <c r="C1166" s="967">
        <v>97011</v>
      </c>
    </row>
    <row r="1167" spans="2:3" x14ac:dyDescent="0.25">
      <c r="B1167" s="984" t="s">
        <v>3773</v>
      </c>
      <c r="C1167" s="967">
        <v>97013</v>
      </c>
    </row>
    <row r="1168" spans="2:3" x14ac:dyDescent="0.25">
      <c r="B1168" s="984" t="s">
        <v>3774</v>
      </c>
      <c r="C1168" s="967">
        <v>97012</v>
      </c>
    </row>
    <row r="1169" spans="2:3" x14ac:dyDescent="0.25">
      <c r="B1169" s="984" t="s">
        <v>3775</v>
      </c>
      <c r="C1169" s="967">
        <v>97018</v>
      </c>
    </row>
    <row r="1170" spans="2:3" x14ac:dyDescent="0.25">
      <c r="B1170" s="984" t="s">
        <v>2237</v>
      </c>
      <c r="C1170" s="967">
        <v>90911</v>
      </c>
    </row>
    <row r="1171" spans="2:3" x14ac:dyDescent="0.25">
      <c r="B1171" s="984" t="s">
        <v>3776</v>
      </c>
      <c r="C1171" s="967">
        <v>90917</v>
      </c>
    </row>
    <row r="1172" spans="2:3" x14ac:dyDescent="0.25">
      <c r="B1172" s="984" t="s">
        <v>2238</v>
      </c>
      <c r="C1172" s="967">
        <v>90641</v>
      </c>
    </row>
    <row r="1173" spans="2:3" x14ac:dyDescent="0.25">
      <c r="B1173" s="984" t="s">
        <v>2239</v>
      </c>
      <c r="C1173" s="967">
        <v>98641</v>
      </c>
    </row>
    <row r="1174" spans="2:3" x14ac:dyDescent="0.25">
      <c r="B1174" s="984" t="s">
        <v>2240</v>
      </c>
      <c r="C1174" s="967">
        <v>98161</v>
      </c>
    </row>
    <row r="1175" spans="2:3" x14ac:dyDescent="0.25">
      <c r="B1175" s="984" t="s">
        <v>2241</v>
      </c>
      <c r="C1175" s="967">
        <v>97731</v>
      </c>
    </row>
    <row r="1176" spans="2:3" x14ac:dyDescent="0.25">
      <c r="B1176" s="984" t="s">
        <v>2242</v>
      </c>
      <c r="C1176" s="967">
        <v>99851</v>
      </c>
    </row>
    <row r="1177" spans="2:3" x14ac:dyDescent="0.25">
      <c r="B1177" s="984" t="s">
        <v>3777</v>
      </c>
      <c r="C1177" s="967">
        <v>90131</v>
      </c>
    </row>
    <row r="1178" spans="2:3" x14ac:dyDescent="0.25">
      <c r="B1178" s="984" t="s">
        <v>2243</v>
      </c>
      <c r="C1178" s="967">
        <v>91651</v>
      </c>
    </row>
    <row r="1179" spans="2:3" x14ac:dyDescent="0.25">
      <c r="B1179" s="984" t="s">
        <v>2244</v>
      </c>
      <c r="C1179" s="967">
        <v>94211</v>
      </c>
    </row>
    <row r="1180" spans="2:3" x14ac:dyDescent="0.25">
      <c r="B1180" s="984" t="s">
        <v>2245</v>
      </c>
      <c r="C1180" s="967">
        <v>94331</v>
      </c>
    </row>
    <row r="1181" spans="2:3" x14ac:dyDescent="0.25">
      <c r="B1181" s="984" t="s">
        <v>2246</v>
      </c>
      <c r="C1181" s="967">
        <v>92431</v>
      </c>
    </row>
    <row r="1182" spans="2:3" x14ac:dyDescent="0.25">
      <c r="B1182" s="984" t="s">
        <v>2247</v>
      </c>
      <c r="C1182" s="967">
        <v>97821</v>
      </c>
    </row>
    <row r="1183" spans="2:3" x14ac:dyDescent="0.25">
      <c r="B1183" s="984" t="s">
        <v>1859</v>
      </c>
      <c r="C1183" s="967">
        <v>97823</v>
      </c>
    </row>
    <row r="1184" spans="2:3" x14ac:dyDescent="0.25">
      <c r="B1184" s="984" t="s">
        <v>2248</v>
      </c>
      <c r="C1184" s="967">
        <v>93141</v>
      </c>
    </row>
    <row r="1185" spans="2:3" x14ac:dyDescent="0.25">
      <c r="B1185" s="984" t="s">
        <v>2249</v>
      </c>
      <c r="C1185" s="967">
        <v>98081</v>
      </c>
    </row>
    <row r="1186" spans="2:3" x14ac:dyDescent="0.25">
      <c r="B1186" s="984" t="s">
        <v>2250</v>
      </c>
      <c r="C1186" s="967">
        <v>92671</v>
      </c>
    </row>
    <row r="1187" spans="2:3" x14ac:dyDescent="0.25">
      <c r="B1187" s="984" t="s">
        <v>2251</v>
      </c>
      <c r="C1187" s="967">
        <v>97421</v>
      </c>
    </row>
    <row r="1188" spans="2:3" x14ac:dyDescent="0.25">
      <c r="B1188" s="984" t="s">
        <v>1818</v>
      </c>
      <c r="C1188" s="967">
        <v>97423</v>
      </c>
    </row>
    <row r="1189" spans="2:3" x14ac:dyDescent="0.25">
      <c r="B1189" s="984" t="s">
        <v>2252</v>
      </c>
      <c r="C1189" s="967">
        <v>92611</v>
      </c>
    </row>
    <row r="1190" spans="2:3" x14ac:dyDescent="0.25">
      <c r="B1190" s="984" t="s">
        <v>3778</v>
      </c>
      <c r="C1190" s="967">
        <v>92613</v>
      </c>
    </row>
    <row r="1191" spans="2:3" x14ac:dyDescent="0.25">
      <c r="B1191" s="984" t="s">
        <v>3779</v>
      </c>
      <c r="C1191" s="967">
        <v>92502</v>
      </c>
    </row>
    <row r="1192" spans="2:3" x14ac:dyDescent="0.25">
      <c r="B1192" s="984" t="s">
        <v>2253</v>
      </c>
      <c r="C1192" s="967">
        <v>94531</v>
      </c>
    </row>
    <row r="1193" spans="2:3" x14ac:dyDescent="0.25">
      <c r="B1193" s="984" t="s">
        <v>2254</v>
      </c>
      <c r="C1193" s="967">
        <v>94541</v>
      </c>
    </row>
    <row r="1194" spans="2:3" x14ac:dyDescent="0.25">
      <c r="B1194" s="984" t="s">
        <v>3780</v>
      </c>
      <c r="C1194" s="967">
        <v>94547</v>
      </c>
    </row>
    <row r="1195" spans="2:3" x14ac:dyDescent="0.25">
      <c r="B1195" s="984" t="s">
        <v>1628</v>
      </c>
      <c r="C1195" s="967">
        <v>95005</v>
      </c>
    </row>
    <row r="1196" spans="2:3" x14ac:dyDescent="0.25">
      <c r="B1196" s="984" t="s">
        <v>1900</v>
      </c>
      <c r="C1196" s="967">
        <v>98111</v>
      </c>
    </row>
    <row r="1197" spans="2:3" x14ac:dyDescent="0.25">
      <c r="B1197" s="984" t="s">
        <v>3781</v>
      </c>
      <c r="C1197" s="967">
        <v>98107</v>
      </c>
    </row>
    <row r="1198" spans="2:3" x14ac:dyDescent="0.25">
      <c r="B1198" s="984" t="s">
        <v>1901</v>
      </c>
      <c r="C1198" s="967">
        <v>98113</v>
      </c>
    </row>
    <row r="1199" spans="2:3" x14ac:dyDescent="0.25">
      <c r="B1199" s="984" t="s">
        <v>3782</v>
      </c>
      <c r="C1199" s="967">
        <v>99602</v>
      </c>
    </row>
    <row r="1200" spans="2:3" x14ac:dyDescent="0.25">
      <c r="B1200" s="984" t="s">
        <v>1488</v>
      </c>
      <c r="C1200" s="967">
        <v>93401</v>
      </c>
    </row>
    <row r="1201" spans="2:3" x14ac:dyDescent="0.25">
      <c r="B1201" s="984" t="s">
        <v>3783</v>
      </c>
      <c r="C1201" s="967">
        <v>97491</v>
      </c>
    </row>
    <row r="1202" spans="2:3" x14ac:dyDescent="0.25">
      <c r="B1202" s="984" t="s">
        <v>2255</v>
      </c>
      <c r="C1202" s="967">
        <v>95151</v>
      </c>
    </row>
    <row r="1203" spans="2:3" x14ac:dyDescent="0.25">
      <c r="B1203" s="984" t="s">
        <v>1733</v>
      </c>
      <c r="C1203" s="967">
        <v>96381</v>
      </c>
    </row>
    <row r="1204" spans="2:3" x14ac:dyDescent="0.25">
      <c r="B1204" s="984" t="s">
        <v>2256</v>
      </c>
      <c r="C1204" s="967">
        <v>95611</v>
      </c>
    </row>
    <row r="1205" spans="2:3" x14ac:dyDescent="0.25">
      <c r="B1205" s="984" t="s">
        <v>1500</v>
      </c>
      <c r="C1205" s="967">
        <v>93501</v>
      </c>
    </row>
    <row r="1206" spans="2:3" x14ac:dyDescent="0.25">
      <c r="B1206" s="984" t="s">
        <v>2257</v>
      </c>
      <c r="C1206" s="967">
        <v>93511</v>
      </c>
    </row>
    <row r="1207" spans="2:3" x14ac:dyDescent="0.25">
      <c r="B1207" s="984" t="s">
        <v>3784</v>
      </c>
      <c r="C1207" s="967">
        <v>93517</v>
      </c>
    </row>
    <row r="1208" spans="2:3" x14ac:dyDescent="0.25">
      <c r="B1208" s="984" t="s">
        <v>2258</v>
      </c>
      <c r="C1208" s="967">
        <v>99631</v>
      </c>
    </row>
    <row r="1209" spans="2:3" x14ac:dyDescent="0.25">
      <c r="B1209" s="984" t="s">
        <v>2259</v>
      </c>
      <c r="C1209" s="967">
        <v>99261</v>
      </c>
    </row>
    <row r="1210" spans="2:3" x14ac:dyDescent="0.25">
      <c r="B1210" s="984" t="s">
        <v>2260</v>
      </c>
      <c r="C1210" s="967">
        <v>98241</v>
      </c>
    </row>
    <row r="1211" spans="2:3" x14ac:dyDescent="0.25">
      <c r="B1211" s="984" t="s">
        <v>2261</v>
      </c>
      <c r="C1211" s="967">
        <v>99251</v>
      </c>
    </row>
    <row r="1212" spans="2:3" x14ac:dyDescent="0.25">
      <c r="B1212" s="984" t="s">
        <v>3785</v>
      </c>
      <c r="C1212" s="967">
        <v>99252</v>
      </c>
    </row>
    <row r="1213" spans="2:3" x14ac:dyDescent="0.25">
      <c r="B1213" s="984" t="s">
        <v>2262</v>
      </c>
      <c r="C1213" s="967">
        <v>96631</v>
      </c>
    </row>
    <row r="1214" spans="2:3" x14ac:dyDescent="0.25">
      <c r="B1214" s="984" t="s">
        <v>2263</v>
      </c>
      <c r="C1214" s="967">
        <v>96651</v>
      </c>
    </row>
    <row r="1215" spans="2:3" x14ac:dyDescent="0.25">
      <c r="B1215" s="984" t="s">
        <v>1508</v>
      </c>
      <c r="C1215" s="967">
        <v>93601</v>
      </c>
    </row>
    <row r="1216" spans="2:3" x14ac:dyDescent="0.25">
      <c r="B1216" s="984" t="s">
        <v>3786</v>
      </c>
      <c r="C1216" s="967">
        <v>93618</v>
      </c>
    </row>
    <row r="1217" spans="2:3" x14ac:dyDescent="0.25">
      <c r="B1217" s="984" t="s">
        <v>2264</v>
      </c>
      <c r="C1217" s="967">
        <v>93611</v>
      </c>
    </row>
    <row r="1218" spans="2:3" x14ac:dyDescent="0.25">
      <c r="B1218" s="984" t="s">
        <v>3787</v>
      </c>
      <c r="C1218" s="967">
        <v>93617</v>
      </c>
    </row>
    <row r="1219" spans="2:3" x14ac:dyDescent="0.25">
      <c r="B1219" s="984" t="s">
        <v>1525</v>
      </c>
      <c r="C1219" s="967">
        <v>93701</v>
      </c>
    </row>
    <row r="1220" spans="2:3" x14ac:dyDescent="0.25">
      <c r="B1220" s="984" t="s">
        <v>3788</v>
      </c>
      <c r="C1220" s="967">
        <v>93704</v>
      </c>
    </row>
    <row r="1221" spans="2:3" x14ac:dyDescent="0.25">
      <c r="B1221" s="984" t="s">
        <v>2265</v>
      </c>
      <c r="C1221" s="967">
        <v>98331</v>
      </c>
    </row>
    <row r="1222" spans="2:3" x14ac:dyDescent="0.25">
      <c r="B1222" s="984" t="s">
        <v>2266</v>
      </c>
      <c r="C1222" s="967">
        <v>94151</v>
      </c>
    </row>
    <row r="1223" spans="2:3" x14ac:dyDescent="0.25">
      <c r="B1223" s="984" t="s">
        <v>3789</v>
      </c>
      <c r="C1223" s="967">
        <v>94157</v>
      </c>
    </row>
    <row r="1224" spans="2:3" x14ac:dyDescent="0.25">
      <c r="B1224" s="984" t="s">
        <v>2267</v>
      </c>
      <c r="C1224" s="967">
        <v>91241</v>
      </c>
    </row>
    <row r="1225" spans="2:3" x14ac:dyDescent="0.25">
      <c r="B1225" s="984" t="s">
        <v>1662</v>
      </c>
      <c r="C1225" s="967">
        <v>95412</v>
      </c>
    </row>
    <row r="1226" spans="2:3" x14ac:dyDescent="0.25">
      <c r="B1226" s="984" t="s">
        <v>2268</v>
      </c>
      <c r="C1226" s="967">
        <v>99611</v>
      </c>
    </row>
    <row r="1227" spans="2:3" x14ac:dyDescent="0.25">
      <c r="B1227" s="984" t="s">
        <v>1370</v>
      </c>
      <c r="C1227" s="967">
        <v>91908</v>
      </c>
    </row>
    <row r="1228" spans="2:3" x14ac:dyDescent="0.25">
      <c r="B1228" s="984" t="s">
        <v>2269</v>
      </c>
      <c r="C1228" s="967">
        <v>90121</v>
      </c>
    </row>
    <row r="1229" spans="2:3" x14ac:dyDescent="0.25">
      <c r="B1229" s="984" t="s">
        <v>3790</v>
      </c>
      <c r="C1229" s="967">
        <v>93803</v>
      </c>
    </row>
    <row r="1230" spans="2:3" x14ac:dyDescent="0.25">
      <c r="B1230" s="984" t="s">
        <v>1527</v>
      </c>
      <c r="C1230" s="967">
        <v>93801</v>
      </c>
    </row>
    <row r="1231" spans="2:3" x14ac:dyDescent="0.25">
      <c r="B1231" s="984" t="s">
        <v>3791</v>
      </c>
      <c r="C1231" s="967">
        <v>93806</v>
      </c>
    </row>
    <row r="1232" spans="2:3" x14ac:dyDescent="0.25">
      <c r="B1232" s="984" t="s">
        <v>2270</v>
      </c>
      <c r="C1232" s="967">
        <v>91411</v>
      </c>
    </row>
    <row r="1233" spans="2:3" x14ac:dyDescent="0.25">
      <c r="B1233" s="984" t="s">
        <v>3792</v>
      </c>
      <c r="C1233" s="967">
        <v>91417</v>
      </c>
    </row>
    <row r="1234" spans="2:3" x14ac:dyDescent="0.25">
      <c r="B1234" s="984" t="s">
        <v>2271</v>
      </c>
      <c r="C1234" s="967">
        <v>98061</v>
      </c>
    </row>
    <row r="1235" spans="2:3" x14ac:dyDescent="0.25">
      <c r="B1235" s="984" t="s">
        <v>3793</v>
      </c>
      <c r="C1235" s="967">
        <v>93904</v>
      </c>
    </row>
    <row r="1236" spans="2:3" x14ac:dyDescent="0.25">
      <c r="B1236" s="984" t="s">
        <v>1530</v>
      </c>
      <c r="C1236" s="967">
        <v>93901</v>
      </c>
    </row>
    <row r="1237" spans="2:3" x14ac:dyDescent="0.25">
      <c r="B1237" s="984" t="s">
        <v>1532</v>
      </c>
      <c r="C1237" s="967">
        <v>93906</v>
      </c>
    </row>
    <row r="1238" spans="2:3" x14ac:dyDescent="0.25">
      <c r="B1238" s="984" t="s">
        <v>3794</v>
      </c>
      <c r="C1238" s="967">
        <v>93908</v>
      </c>
    </row>
    <row r="1239" spans="2:3" x14ac:dyDescent="0.25">
      <c r="B1239" s="984" t="s">
        <v>3795</v>
      </c>
      <c r="C1239" s="967">
        <v>94908</v>
      </c>
    </row>
    <row r="1240" spans="2:3" x14ac:dyDescent="0.25">
      <c r="B1240" s="984" t="s">
        <v>2272</v>
      </c>
      <c r="C1240" s="967">
        <v>90161</v>
      </c>
    </row>
    <row r="1241" spans="2:3" x14ac:dyDescent="0.25">
      <c r="B1241" s="984" t="s">
        <v>1540</v>
      </c>
      <c r="C1241" s="967">
        <v>94001</v>
      </c>
    </row>
    <row r="1242" spans="2:3" x14ac:dyDescent="0.25">
      <c r="B1242" s="984" t="s">
        <v>3796</v>
      </c>
      <c r="C1242" s="967">
        <v>94004</v>
      </c>
    </row>
    <row r="1243" spans="2:3" x14ac:dyDescent="0.25">
      <c r="B1243" s="984" t="s">
        <v>2273</v>
      </c>
      <c r="C1243" s="967">
        <v>94111</v>
      </c>
    </row>
    <row r="1244" spans="2:3" x14ac:dyDescent="0.25">
      <c r="B1244" s="984" t="s">
        <v>3797</v>
      </c>
      <c r="C1244" s="967">
        <v>94117</v>
      </c>
    </row>
    <row r="1245" spans="2:3" x14ac:dyDescent="0.25">
      <c r="B1245" s="984" t="s">
        <v>2274</v>
      </c>
      <c r="C1245" s="967">
        <v>97411</v>
      </c>
    </row>
    <row r="1246" spans="2:3" x14ac:dyDescent="0.25">
      <c r="B1246" s="984" t="s">
        <v>1816</v>
      </c>
      <c r="C1246" s="967">
        <v>97413</v>
      </c>
    </row>
    <row r="1247" spans="2:3" x14ac:dyDescent="0.25">
      <c r="B1247" s="984" t="s">
        <v>1815</v>
      </c>
      <c r="C1247" s="967">
        <v>97412</v>
      </c>
    </row>
    <row r="1248" spans="2:3" x14ac:dyDescent="0.25">
      <c r="B1248" s="984" t="s">
        <v>2275</v>
      </c>
      <c r="C1248" s="967">
        <v>97431</v>
      </c>
    </row>
    <row r="1249" spans="2:3" x14ac:dyDescent="0.25">
      <c r="B1249" s="984" t="s">
        <v>2276</v>
      </c>
      <c r="C1249" s="967">
        <v>97471</v>
      </c>
    </row>
    <row r="1250" spans="2:3" x14ac:dyDescent="0.25">
      <c r="B1250" s="984" t="s">
        <v>2277</v>
      </c>
      <c r="C1250" s="967">
        <v>92351</v>
      </c>
    </row>
    <row r="1251" spans="2:3" x14ac:dyDescent="0.25">
      <c r="B1251" s="984" t="s">
        <v>2278</v>
      </c>
      <c r="C1251" s="967">
        <v>94101</v>
      </c>
    </row>
    <row r="1252" spans="2:3" x14ac:dyDescent="0.25">
      <c r="B1252" s="984" t="s">
        <v>3798</v>
      </c>
      <c r="C1252" s="967">
        <v>94118</v>
      </c>
    </row>
    <row r="1253" spans="2:3" x14ac:dyDescent="0.25">
      <c r="B1253" s="984" t="s">
        <v>1548</v>
      </c>
      <c r="C1253" s="967">
        <v>94102</v>
      </c>
    </row>
    <row r="1254" spans="2:3" x14ac:dyDescent="0.25">
      <c r="B1254" s="984" t="s">
        <v>1564</v>
      </c>
      <c r="C1254" s="967">
        <v>94201</v>
      </c>
    </row>
    <row r="1255" spans="2:3" x14ac:dyDescent="0.25">
      <c r="B1255" s="984" t="s">
        <v>3799</v>
      </c>
      <c r="C1255" s="967">
        <v>94204</v>
      </c>
    </row>
    <row r="1256" spans="2:3" x14ac:dyDescent="0.25">
      <c r="B1256" s="984" t="s">
        <v>1566</v>
      </c>
      <c r="C1256" s="967">
        <v>94205</v>
      </c>
    </row>
    <row r="1257" spans="2:3" x14ac:dyDescent="0.25">
      <c r="B1257" s="984" t="s">
        <v>2279</v>
      </c>
      <c r="C1257" s="967">
        <v>95831</v>
      </c>
    </row>
    <row r="1258" spans="2:3" x14ac:dyDescent="0.25">
      <c r="B1258" s="984" t="s">
        <v>2280</v>
      </c>
      <c r="C1258" s="967">
        <v>97721</v>
      </c>
    </row>
    <row r="1259" spans="2:3" x14ac:dyDescent="0.25">
      <c r="B1259" s="984" t="s">
        <v>3800</v>
      </c>
      <c r="C1259" s="967">
        <v>97717</v>
      </c>
    </row>
    <row r="1260" spans="2:3" x14ac:dyDescent="0.25">
      <c r="B1260" s="984" t="s">
        <v>1574</v>
      </c>
      <c r="C1260" s="967">
        <v>94301</v>
      </c>
    </row>
    <row r="1261" spans="2:3" x14ac:dyDescent="0.25">
      <c r="B1261" s="984" t="s">
        <v>2281</v>
      </c>
      <c r="C1261" s="967">
        <v>91441</v>
      </c>
    </row>
    <row r="1262" spans="2:3" x14ac:dyDescent="0.25">
      <c r="B1262" s="984" t="s">
        <v>2282</v>
      </c>
      <c r="C1262" s="967">
        <v>92531</v>
      </c>
    </row>
    <row r="1263" spans="2:3" x14ac:dyDescent="0.25">
      <c r="B1263" s="984" t="s">
        <v>2283</v>
      </c>
      <c r="C1263" s="967">
        <v>90141</v>
      </c>
    </row>
    <row r="1264" spans="2:3" x14ac:dyDescent="0.25">
      <c r="B1264" s="984" t="s">
        <v>1583</v>
      </c>
      <c r="C1264" s="967">
        <v>94401</v>
      </c>
    </row>
    <row r="1265" spans="2:3" x14ac:dyDescent="0.25">
      <c r="B1265" s="984" t="s">
        <v>3801</v>
      </c>
      <c r="C1265" s="967">
        <v>94403</v>
      </c>
    </row>
    <row r="1266" spans="2:3" x14ac:dyDescent="0.25">
      <c r="B1266" s="984" t="s">
        <v>1584</v>
      </c>
      <c r="C1266" s="967">
        <v>94402</v>
      </c>
    </row>
    <row r="1267" spans="2:3" x14ac:dyDescent="0.25">
      <c r="B1267" s="984" t="s">
        <v>2284</v>
      </c>
      <c r="C1267" s="967">
        <v>99111</v>
      </c>
    </row>
    <row r="1268" spans="2:3" x14ac:dyDescent="0.25">
      <c r="B1268" s="984" t="s">
        <v>2285</v>
      </c>
      <c r="C1268" s="967">
        <v>94511</v>
      </c>
    </row>
    <row r="1269" spans="2:3" x14ac:dyDescent="0.25">
      <c r="B1269" s="984" t="s">
        <v>3802</v>
      </c>
      <c r="C1269" s="967">
        <v>94517</v>
      </c>
    </row>
    <row r="1270" spans="2:3" x14ac:dyDescent="0.25">
      <c r="B1270" s="984" t="s">
        <v>1595</v>
      </c>
      <c r="C1270" s="967">
        <v>94512</v>
      </c>
    </row>
    <row r="1271" spans="2:3" x14ac:dyDescent="0.25">
      <c r="B1271" s="984" t="s">
        <v>2286</v>
      </c>
      <c r="C1271" s="967">
        <v>97211</v>
      </c>
    </row>
    <row r="1272" spans="2:3" x14ac:dyDescent="0.25">
      <c r="B1272" s="984" t="s">
        <v>3803</v>
      </c>
      <c r="C1272" s="967">
        <v>97217</v>
      </c>
    </row>
    <row r="1273" spans="2:3" x14ac:dyDescent="0.25">
      <c r="B1273" s="984" t="s">
        <v>1604</v>
      </c>
      <c r="C1273" s="967">
        <v>94601</v>
      </c>
    </row>
    <row r="1274" spans="2:3" x14ac:dyDescent="0.25">
      <c r="B1274" s="984" t="s">
        <v>3804</v>
      </c>
      <c r="C1274" s="967">
        <v>94604</v>
      </c>
    </row>
    <row r="1275" spans="2:3" x14ac:dyDescent="0.25">
      <c r="B1275" s="984" t="s">
        <v>1606</v>
      </c>
      <c r="C1275" s="967">
        <v>94606</v>
      </c>
    </row>
    <row r="1276" spans="2:3" x14ac:dyDescent="0.25">
      <c r="B1276" s="984" t="s">
        <v>3805</v>
      </c>
      <c r="C1276" s="967">
        <v>97213</v>
      </c>
    </row>
    <row r="1277" spans="2:3" x14ac:dyDescent="0.25">
      <c r="B1277" s="984" t="s">
        <v>2287</v>
      </c>
      <c r="C1277" s="967">
        <v>91811</v>
      </c>
    </row>
    <row r="1278" spans="2:3" x14ac:dyDescent="0.25">
      <c r="B1278" s="984" t="s">
        <v>3806</v>
      </c>
      <c r="C1278" s="967">
        <v>91812</v>
      </c>
    </row>
    <row r="1279" spans="2:3" x14ac:dyDescent="0.25">
      <c r="B1279" s="984" t="s">
        <v>3807</v>
      </c>
      <c r="C1279" s="967">
        <v>91813</v>
      </c>
    </row>
    <row r="1280" spans="2:3" x14ac:dyDescent="0.25">
      <c r="B1280" s="984" t="s">
        <v>3808</v>
      </c>
      <c r="C1280" s="967">
        <v>90617</v>
      </c>
    </row>
    <row r="1281" spans="2:3" x14ac:dyDescent="0.25">
      <c r="B1281" s="984" t="s">
        <v>3809</v>
      </c>
      <c r="C1281" s="967">
        <v>94127</v>
      </c>
    </row>
    <row r="1282" spans="2:3" x14ac:dyDescent="0.25">
      <c r="B1282" s="984" t="s">
        <v>2288</v>
      </c>
      <c r="C1282" s="967">
        <v>95621</v>
      </c>
    </row>
    <row r="1283" spans="2:3" x14ac:dyDescent="0.25">
      <c r="B1283" s="984" t="s">
        <v>3810</v>
      </c>
      <c r="C1283" s="967">
        <v>95617</v>
      </c>
    </row>
    <row r="1284" spans="2:3" x14ac:dyDescent="0.25">
      <c r="B1284" s="984" t="s">
        <v>3811</v>
      </c>
      <c r="C1284" s="967">
        <v>94121</v>
      </c>
    </row>
    <row r="1285" spans="2:3" x14ac:dyDescent="0.25">
      <c r="B1285" s="984" t="s">
        <v>3812</v>
      </c>
      <c r="C1285" s="967">
        <v>91251</v>
      </c>
    </row>
    <row r="1286" spans="2:3" x14ac:dyDescent="0.25">
      <c r="B1286" s="984" t="s">
        <v>2289</v>
      </c>
      <c r="C1286" s="967">
        <v>96831</v>
      </c>
    </row>
    <row r="1287" spans="2:3" x14ac:dyDescent="0.25">
      <c r="B1287" s="984" t="s">
        <v>2290</v>
      </c>
      <c r="C1287" s="967">
        <v>94251</v>
      </c>
    </row>
    <row r="1288" spans="2:3" x14ac:dyDescent="0.25">
      <c r="B1288" s="984" t="s">
        <v>1611</v>
      </c>
      <c r="C1288" s="967">
        <v>94701</v>
      </c>
    </row>
    <row r="1289" spans="2:3" x14ac:dyDescent="0.25">
      <c r="B1289" s="984" t="s">
        <v>3813</v>
      </c>
      <c r="C1289" s="967">
        <v>94704</v>
      </c>
    </row>
    <row r="1290" spans="2:3" x14ac:dyDescent="0.25">
      <c r="B1290" s="984" t="s">
        <v>2291</v>
      </c>
      <c r="C1290" s="967">
        <v>91014</v>
      </c>
    </row>
    <row r="1291" spans="2:3" x14ac:dyDescent="0.25">
      <c r="B1291" s="984" t="s">
        <v>2292</v>
      </c>
      <c r="C1291" s="967">
        <v>96731</v>
      </c>
    </row>
    <row r="1292" spans="2:3" x14ac:dyDescent="0.25">
      <c r="B1292" s="984" t="s">
        <v>1773</v>
      </c>
      <c r="C1292" s="967">
        <v>96733</v>
      </c>
    </row>
    <row r="1293" spans="2:3" x14ac:dyDescent="0.25">
      <c r="B1293" s="984" t="s">
        <v>2293</v>
      </c>
      <c r="C1293" s="967">
        <v>99202</v>
      </c>
    </row>
    <row r="1294" spans="2:3" x14ac:dyDescent="0.25">
      <c r="B1294" s="984" t="s">
        <v>2294</v>
      </c>
      <c r="C1294" s="967">
        <v>94011</v>
      </c>
    </row>
    <row r="1295" spans="2:3" x14ac:dyDescent="0.25">
      <c r="B1295" s="984" t="s">
        <v>2295</v>
      </c>
      <c r="C1295" s="967">
        <v>92631</v>
      </c>
    </row>
    <row r="1296" spans="2:3" x14ac:dyDescent="0.25">
      <c r="B1296" s="984" t="s">
        <v>1679</v>
      </c>
      <c r="C1296" s="967">
        <v>95733</v>
      </c>
    </row>
    <row r="1297" spans="2:3" x14ac:dyDescent="0.25">
      <c r="B1297" s="984" t="s">
        <v>3814</v>
      </c>
      <c r="C1297" s="967">
        <v>95413</v>
      </c>
    </row>
    <row r="1298" spans="2:3" x14ac:dyDescent="0.25">
      <c r="B1298" s="984" t="s">
        <v>3815</v>
      </c>
      <c r="C1298" s="967">
        <v>98013</v>
      </c>
    </row>
    <row r="1299" spans="2:3" x14ac:dyDescent="0.25">
      <c r="B1299" s="984" t="s">
        <v>3816</v>
      </c>
      <c r="C1299" s="967">
        <v>99613</v>
      </c>
    </row>
    <row r="1300" spans="2:3" x14ac:dyDescent="0.25">
      <c r="B1300" s="984" t="s">
        <v>2296</v>
      </c>
      <c r="C1300" s="967">
        <v>91431</v>
      </c>
    </row>
    <row r="1301" spans="2:3" x14ac:dyDescent="0.25">
      <c r="B1301" s="984" t="s">
        <v>2297</v>
      </c>
      <c r="C1301" s="967">
        <v>96041</v>
      </c>
    </row>
    <row r="1302" spans="2:3" x14ac:dyDescent="0.25">
      <c r="B1302" s="984" t="s">
        <v>1614</v>
      </c>
      <c r="C1302" s="967">
        <v>94801</v>
      </c>
    </row>
    <row r="1303" spans="2:3" x14ac:dyDescent="0.25">
      <c r="B1303" s="984" t="s">
        <v>3817</v>
      </c>
      <c r="C1303" s="967">
        <v>94804</v>
      </c>
    </row>
    <row r="1304" spans="2:3" x14ac:dyDescent="0.25">
      <c r="B1304" s="984" t="s">
        <v>2298</v>
      </c>
      <c r="C1304" s="967">
        <v>91661</v>
      </c>
    </row>
    <row r="1305" spans="2:3" x14ac:dyDescent="0.25">
      <c r="B1305" s="984" t="s">
        <v>2299</v>
      </c>
      <c r="C1305" s="967">
        <v>99051</v>
      </c>
    </row>
    <row r="1306" spans="2:3" x14ac:dyDescent="0.25">
      <c r="B1306" s="984" t="s">
        <v>3555</v>
      </c>
      <c r="C1306" s="967">
        <v>99014</v>
      </c>
    </row>
    <row r="1307" spans="2:3" x14ac:dyDescent="0.25">
      <c r="B1307" s="984" t="s">
        <v>1617</v>
      </c>
      <c r="C1307" s="967">
        <v>94901</v>
      </c>
    </row>
    <row r="1308" spans="2:3" x14ac:dyDescent="0.25">
      <c r="B1308" s="984" t="s">
        <v>3818</v>
      </c>
      <c r="C1308" s="967">
        <v>98109</v>
      </c>
    </row>
    <row r="1309" spans="2:3" x14ac:dyDescent="0.25">
      <c r="B1309" s="984" t="s">
        <v>3819</v>
      </c>
      <c r="C1309" s="967">
        <v>98205</v>
      </c>
    </row>
    <row r="1310" spans="2:3" x14ac:dyDescent="0.25">
      <c r="B1310" s="984" t="s">
        <v>2300</v>
      </c>
      <c r="C1310" s="967">
        <v>96661</v>
      </c>
    </row>
    <row r="1311" spans="2:3" x14ac:dyDescent="0.25">
      <c r="B1311" s="984" t="s">
        <v>1626</v>
      </c>
      <c r="C1311" s="967">
        <v>95001</v>
      </c>
    </row>
    <row r="1312" spans="2:3" x14ac:dyDescent="0.25">
      <c r="B1312" s="984" t="s">
        <v>3556</v>
      </c>
      <c r="C1312" s="967">
        <v>95017</v>
      </c>
    </row>
    <row r="1313" spans="2:3" x14ac:dyDescent="0.25">
      <c r="B1313" s="984" t="s">
        <v>2301</v>
      </c>
      <c r="C1313" s="967">
        <v>96711</v>
      </c>
    </row>
    <row r="1314" spans="2:3" x14ac:dyDescent="0.25">
      <c r="B1314" s="984" t="s">
        <v>2302</v>
      </c>
      <c r="C1314" s="967">
        <v>94131</v>
      </c>
    </row>
    <row r="1315" spans="2:3" x14ac:dyDescent="0.25">
      <c r="B1315" s="984" t="s">
        <v>2303</v>
      </c>
      <c r="C1315" s="967">
        <v>95841</v>
      </c>
    </row>
    <row r="1316" spans="2:3" x14ac:dyDescent="0.25">
      <c r="B1316" s="984" t="s">
        <v>2304</v>
      </c>
      <c r="C1316" s="967">
        <v>90511</v>
      </c>
    </row>
    <row r="1317" spans="2:3" x14ac:dyDescent="0.25">
      <c r="B1317" s="984" t="s">
        <v>1632</v>
      </c>
      <c r="C1317" s="967">
        <v>95101</v>
      </c>
    </row>
    <row r="1318" spans="2:3" x14ac:dyDescent="0.25">
      <c r="B1318" s="984" t="s">
        <v>3820</v>
      </c>
      <c r="C1318" s="967">
        <v>95104</v>
      </c>
    </row>
    <row r="1319" spans="2:3" x14ac:dyDescent="0.25">
      <c r="B1319" s="984" t="s">
        <v>3557</v>
      </c>
      <c r="C1319" s="967">
        <v>95110</v>
      </c>
    </row>
    <row r="1320" spans="2:3" x14ac:dyDescent="0.25">
      <c r="B1320" s="984" t="s">
        <v>1649</v>
      </c>
      <c r="C1320" s="967">
        <v>95201</v>
      </c>
    </row>
    <row r="1321" spans="2:3" x14ac:dyDescent="0.25">
      <c r="B1321" s="984" t="s">
        <v>3821</v>
      </c>
      <c r="C1321" s="967">
        <v>95204</v>
      </c>
    </row>
    <row r="1322" spans="2:3" x14ac:dyDescent="0.25">
      <c r="B1322" s="984" t="s">
        <v>2305</v>
      </c>
      <c r="C1322" s="967">
        <v>99921</v>
      </c>
    </row>
    <row r="1323" spans="2:3" x14ac:dyDescent="0.25">
      <c r="B1323" s="984" t="s">
        <v>1585</v>
      </c>
      <c r="C1323" s="967">
        <v>94408</v>
      </c>
    </row>
    <row r="1324" spans="2:3" x14ac:dyDescent="0.25">
      <c r="B1324" s="984" t="s">
        <v>2306</v>
      </c>
      <c r="C1324" s="967">
        <v>91331</v>
      </c>
    </row>
    <row r="1325" spans="2:3" x14ac:dyDescent="0.25">
      <c r="B1325" s="984" t="s">
        <v>2307</v>
      </c>
      <c r="C1325" s="967">
        <v>93121</v>
      </c>
    </row>
    <row r="1326" spans="2:3" x14ac:dyDescent="0.25">
      <c r="B1326" s="984" t="s">
        <v>3822</v>
      </c>
      <c r="C1326" s="967">
        <v>93127</v>
      </c>
    </row>
    <row r="1327" spans="2:3" x14ac:dyDescent="0.25">
      <c r="B1327" s="984" t="s">
        <v>2308</v>
      </c>
      <c r="C1327" s="967">
        <v>95171</v>
      </c>
    </row>
    <row r="1328" spans="2:3" x14ac:dyDescent="0.25">
      <c r="B1328" s="984" t="s">
        <v>2309</v>
      </c>
      <c r="C1328" s="967">
        <v>93421</v>
      </c>
    </row>
    <row r="1329" spans="2:3" x14ac:dyDescent="0.25">
      <c r="B1329" s="984" t="s">
        <v>3823</v>
      </c>
      <c r="C1329" s="967">
        <v>99110</v>
      </c>
    </row>
    <row r="1330" spans="2:3" x14ac:dyDescent="0.25">
      <c r="B1330" s="984" t="s">
        <v>3824</v>
      </c>
      <c r="C1330" s="967">
        <v>99109</v>
      </c>
    </row>
    <row r="1331" spans="2:3" x14ac:dyDescent="0.25">
      <c r="B1331" s="984" t="s">
        <v>2310</v>
      </c>
      <c r="C1331" s="967">
        <v>92821</v>
      </c>
    </row>
    <row r="1332" spans="2:3" x14ac:dyDescent="0.25">
      <c r="B1332" s="984" t="s">
        <v>2311</v>
      </c>
      <c r="C1332" s="967">
        <v>98521</v>
      </c>
    </row>
    <row r="1333" spans="2:3" x14ac:dyDescent="0.25">
      <c r="B1333" s="984" t="s">
        <v>3825</v>
      </c>
      <c r="C1333" s="967">
        <v>92327</v>
      </c>
    </row>
    <row r="1334" spans="2:3" x14ac:dyDescent="0.25">
      <c r="B1334" s="984" t="s">
        <v>3826</v>
      </c>
      <c r="C1334" s="967">
        <v>92321</v>
      </c>
    </row>
    <row r="1335" spans="2:3" x14ac:dyDescent="0.25">
      <c r="B1335" s="984" t="s">
        <v>2312</v>
      </c>
      <c r="C1335" s="967">
        <v>95411</v>
      </c>
    </row>
    <row r="1336" spans="2:3" x14ac:dyDescent="0.25">
      <c r="B1336" s="984" t="s">
        <v>3827</v>
      </c>
      <c r="C1336" s="967">
        <v>95415</v>
      </c>
    </row>
    <row r="1337" spans="2:3" x14ac:dyDescent="0.25">
      <c r="B1337" s="984" t="s">
        <v>2313</v>
      </c>
      <c r="C1337" s="967">
        <v>92851</v>
      </c>
    </row>
    <row r="1338" spans="2:3" x14ac:dyDescent="0.25">
      <c r="B1338" s="984" t="s">
        <v>2314</v>
      </c>
      <c r="C1338" s="967">
        <v>99291</v>
      </c>
    </row>
    <row r="1339" spans="2:3" x14ac:dyDescent="0.25">
      <c r="B1339" s="984" t="s">
        <v>2315</v>
      </c>
      <c r="C1339" s="967">
        <v>96541</v>
      </c>
    </row>
    <row r="1340" spans="2:3" x14ac:dyDescent="0.25">
      <c r="B1340" s="984" t="s">
        <v>2316</v>
      </c>
      <c r="C1340" s="967">
        <v>95431</v>
      </c>
    </row>
    <row r="1341" spans="2:3" x14ac:dyDescent="0.25">
      <c r="B1341" s="984" t="s">
        <v>2317</v>
      </c>
      <c r="C1341" s="967">
        <v>98131</v>
      </c>
    </row>
    <row r="1342" spans="2:3" x14ac:dyDescent="0.25">
      <c r="B1342" s="984" t="s">
        <v>3828</v>
      </c>
      <c r="C1342" s="967">
        <v>92461</v>
      </c>
    </row>
    <row r="1343" spans="2:3" x14ac:dyDescent="0.25">
      <c r="B1343" s="984" t="s">
        <v>3829</v>
      </c>
      <c r="C1343" s="967">
        <v>92427</v>
      </c>
    </row>
    <row r="1344" spans="2:3" x14ac:dyDescent="0.25">
      <c r="B1344" s="984" t="s">
        <v>2318</v>
      </c>
      <c r="C1344" s="967">
        <v>98051</v>
      </c>
    </row>
    <row r="1345" spans="2:3" x14ac:dyDescent="0.25">
      <c r="B1345" s="984" t="s">
        <v>1283</v>
      </c>
      <c r="C1345" s="967">
        <v>91102</v>
      </c>
    </row>
    <row r="1346" spans="2:3" x14ac:dyDescent="0.25">
      <c r="B1346" s="984" t="s">
        <v>2319</v>
      </c>
      <c r="C1346" s="967">
        <v>94521</v>
      </c>
    </row>
    <row r="1347" spans="2:3" x14ac:dyDescent="0.25">
      <c r="B1347" s="984" t="s">
        <v>3830</v>
      </c>
      <c r="C1347" s="967">
        <v>94527</v>
      </c>
    </row>
    <row r="1348" spans="2:3" x14ac:dyDescent="0.25">
      <c r="B1348" s="984" t="s">
        <v>2320</v>
      </c>
      <c r="C1348" s="967">
        <v>98311</v>
      </c>
    </row>
    <row r="1349" spans="2:3" x14ac:dyDescent="0.25">
      <c r="B1349" s="984" t="s">
        <v>3831</v>
      </c>
      <c r="C1349" s="967">
        <v>98313</v>
      </c>
    </row>
    <row r="1350" spans="2:3" x14ac:dyDescent="0.25">
      <c r="B1350" s="984" t="s">
        <v>1920</v>
      </c>
      <c r="C1350" s="967">
        <v>98308</v>
      </c>
    </row>
    <row r="1351" spans="2:3" x14ac:dyDescent="0.25">
      <c r="B1351" s="984" t="s">
        <v>2321</v>
      </c>
      <c r="C1351" s="967">
        <v>92341</v>
      </c>
    </row>
    <row r="1352" spans="2:3" x14ac:dyDescent="0.25">
      <c r="B1352" s="984" t="s">
        <v>1654</v>
      </c>
      <c r="C1352" s="967">
        <v>95301</v>
      </c>
    </row>
    <row r="1353" spans="2:3" x14ac:dyDescent="0.25">
      <c r="B1353" s="984" t="s">
        <v>2322</v>
      </c>
      <c r="C1353" s="967">
        <v>91002</v>
      </c>
    </row>
    <row r="1354" spans="2:3" x14ac:dyDescent="0.25">
      <c r="B1354" s="984" t="s">
        <v>2323</v>
      </c>
      <c r="C1354" s="967">
        <v>91451</v>
      </c>
    </row>
    <row r="1355" spans="2:3" x14ac:dyDescent="0.25">
      <c r="B1355" s="984" t="s">
        <v>1658</v>
      </c>
      <c r="C1355" s="967">
        <v>95401</v>
      </c>
    </row>
    <row r="1356" spans="2:3" x14ac:dyDescent="0.25">
      <c r="B1356" s="984" t="s">
        <v>3832</v>
      </c>
      <c r="C1356" s="967">
        <v>95404</v>
      </c>
    </row>
    <row r="1357" spans="2:3" x14ac:dyDescent="0.25">
      <c r="B1357" s="984" t="s">
        <v>1329</v>
      </c>
      <c r="C1357" s="967">
        <v>91423</v>
      </c>
    </row>
    <row r="1358" spans="2:3" x14ac:dyDescent="0.25">
      <c r="B1358" s="984" t="s">
        <v>3833</v>
      </c>
      <c r="C1358" s="967">
        <v>91457</v>
      </c>
    </row>
    <row r="1359" spans="2:3" x14ac:dyDescent="0.25">
      <c r="B1359" s="984" t="s">
        <v>3834</v>
      </c>
      <c r="C1359" s="967">
        <v>90861</v>
      </c>
    </row>
    <row r="1360" spans="2:3" x14ac:dyDescent="0.25">
      <c r="B1360" s="984" t="s">
        <v>2324</v>
      </c>
      <c r="C1360" s="967">
        <v>93451</v>
      </c>
    </row>
    <row r="1361" spans="2:3" x14ac:dyDescent="0.25">
      <c r="B1361" s="984" t="s">
        <v>2325</v>
      </c>
      <c r="C1361" s="967">
        <v>92931</v>
      </c>
    </row>
    <row r="1362" spans="2:3" x14ac:dyDescent="0.25">
      <c r="B1362" s="984" t="s">
        <v>3835</v>
      </c>
      <c r="C1362" s="967">
        <v>92917</v>
      </c>
    </row>
    <row r="1363" spans="2:3" x14ac:dyDescent="0.25">
      <c r="B1363" s="984" t="s">
        <v>2326</v>
      </c>
      <c r="C1363" s="967">
        <v>97631</v>
      </c>
    </row>
    <row r="1364" spans="2:3" x14ac:dyDescent="0.25">
      <c r="B1364" s="984" t="s">
        <v>3836</v>
      </c>
      <c r="C1364" s="967">
        <v>97637</v>
      </c>
    </row>
    <row r="1365" spans="2:3" x14ac:dyDescent="0.25">
      <c r="B1365" s="984" t="s">
        <v>2327</v>
      </c>
      <c r="C1365" s="967">
        <v>90421</v>
      </c>
    </row>
    <row r="1366" spans="2:3" x14ac:dyDescent="0.25">
      <c r="B1366" s="984" t="s">
        <v>2328</v>
      </c>
      <c r="C1366" s="967">
        <v>94321</v>
      </c>
    </row>
    <row r="1367" spans="2:3" x14ac:dyDescent="0.25">
      <c r="B1367" s="984" t="s">
        <v>1667</v>
      </c>
      <c r="C1367" s="967">
        <v>95501</v>
      </c>
    </row>
    <row r="1368" spans="2:3" x14ac:dyDescent="0.25">
      <c r="B1368" s="984" t="s">
        <v>3837</v>
      </c>
      <c r="C1368" s="967">
        <v>95504</v>
      </c>
    </row>
    <row r="1369" spans="2:3" x14ac:dyDescent="0.25">
      <c r="B1369" s="984" t="s">
        <v>2329</v>
      </c>
      <c r="C1369" s="967">
        <v>95511</v>
      </c>
    </row>
    <row r="1370" spans="2:3" x14ac:dyDescent="0.25">
      <c r="B1370" s="984" t="s">
        <v>3838</v>
      </c>
      <c r="C1370" s="967">
        <v>95517</v>
      </c>
    </row>
    <row r="1371" spans="2:3" x14ac:dyDescent="0.25">
      <c r="B1371" s="984" t="s">
        <v>1670</v>
      </c>
      <c r="C1371" s="967">
        <v>95513</v>
      </c>
    </row>
    <row r="1372" spans="2:3" x14ac:dyDescent="0.25">
      <c r="B1372" s="984" t="s">
        <v>2330</v>
      </c>
      <c r="C1372" s="967">
        <v>92651</v>
      </c>
    </row>
    <row r="1373" spans="2:3" x14ac:dyDescent="0.25">
      <c r="B1373" s="984" t="s">
        <v>2331</v>
      </c>
      <c r="C1373" s="967">
        <v>94261</v>
      </c>
    </row>
    <row r="1374" spans="2:3" x14ac:dyDescent="0.25">
      <c r="B1374" s="984" t="s">
        <v>2332</v>
      </c>
      <c r="C1374" s="967">
        <v>98431</v>
      </c>
    </row>
    <row r="1375" spans="2:3" x14ac:dyDescent="0.25">
      <c r="B1375" s="984" t="s">
        <v>3839</v>
      </c>
      <c r="C1375" s="967">
        <v>98404</v>
      </c>
    </row>
    <row r="1376" spans="2:3" x14ac:dyDescent="0.25">
      <c r="B1376" s="984" t="s">
        <v>3840</v>
      </c>
      <c r="C1376" s="967">
        <v>91841</v>
      </c>
    </row>
    <row r="1377" spans="2:3" x14ac:dyDescent="0.25">
      <c r="B1377" s="984" t="s">
        <v>2333</v>
      </c>
      <c r="C1377" s="967">
        <v>93521</v>
      </c>
    </row>
    <row r="1378" spans="2:3" x14ac:dyDescent="0.25">
      <c r="B1378" s="984" t="s">
        <v>3841</v>
      </c>
      <c r="C1378" s="967">
        <v>93527</v>
      </c>
    </row>
    <row r="1379" spans="2:3" x14ac:dyDescent="0.25">
      <c r="B1379" s="984" t="s">
        <v>2334</v>
      </c>
      <c r="C1379" s="967">
        <v>93661</v>
      </c>
    </row>
    <row r="1380" spans="2:3" x14ac:dyDescent="0.25">
      <c r="B1380" s="984" t="s">
        <v>1749</v>
      </c>
      <c r="C1380" s="967">
        <v>96508</v>
      </c>
    </row>
    <row r="1381" spans="2:3" x14ac:dyDescent="0.25">
      <c r="B1381" s="984" t="s">
        <v>2335</v>
      </c>
      <c r="C1381" s="967">
        <v>99841</v>
      </c>
    </row>
    <row r="1382" spans="2:3" x14ac:dyDescent="0.25">
      <c r="B1382" s="984" t="s">
        <v>1852</v>
      </c>
      <c r="C1382" s="967">
        <v>97802</v>
      </c>
    </row>
    <row r="1383" spans="2:3" x14ac:dyDescent="0.25">
      <c r="B1383" s="984" t="s">
        <v>2336</v>
      </c>
      <c r="C1383" s="967">
        <v>97811</v>
      </c>
    </row>
    <row r="1384" spans="2:3" x14ac:dyDescent="0.25">
      <c r="B1384" s="984" t="s">
        <v>3842</v>
      </c>
      <c r="C1384" s="967">
        <v>97817</v>
      </c>
    </row>
    <row r="1385" spans="2:3" x14ac:dyDescent="0.25">
      <c r="B1385" s="984" t="s">
        <v>3843</v>
      </c>
      <c r="C1385" s="967">
        <v>97818</v>
      </c>
    </row>
    <row r="1386" spans="2:3" x14ac:dyDescent="0.25">
      <c r="B1386" s="984" t="s">
        <v>2337</v>
      </c>
      <c r="C1386" s="967">
        <v>93341</v>
      </c>
    </row>
    <row r="1387" spans="2:3" x14ac:dyDescent="0.25">
      <c r="B1387" s="984" t="s">
        <v>1672</v>
      </c>
      <c r="C1387" s="967">
        <v>95601</v>
      </c>
    </row>
    <row r="1388" spans="2:3" x14ac:dyDescent="0.25">
      <c r="B1388" s="984" t="s">
        <v>2338</v>
      </c>
      <c r="C1388" s="967">
        <v>97941</v>
      </c>
    </row>
    <row r="1389" spans="2:3" x14ac:dyDescent="0.25">
      <c r="B1389" s="984" t="s">
        <v>3844</v>
      </c>
      <c r="C1389" s="967">
        <v>97947</v>
      </c>
    </row>
    <row r="1390" spans="2:3" x14ac:dyDescent="0.25">
      <c r="B1390" s="984" t="s">
        <v>1676</v>
      </c>
      <c r="C1390" s="967">
        <v>95701</v>
      </c>
    </row>
    <row r="1391" spans="2:3" x14ac:dyDescent="0.25">
      <c r="B1391" s="984" t="s">
        <v>1877</v>
      </c>
      <c r="C1391" s="967">
        <v>97948</v>
      </c>
    </row>
    <row r="1392" spans="2:3" x14ac:dyDescent="0.25">
      <c r="B1392" s="984" t="s">
        <v>2339</v>
      </c>
      <c r="C1392" s="967">
        <v>94421</v>
      </c>
    </row>
    <row r="1393" spans="2:3" x14ac:dyDescent="0.25">
      <c r="B1393" s="984" t="s">
        <v>3845</v>
      </c>
      <c r="C1393" s="967">
        <v>94427</v>
      </c>
    </row>
    <row r="1394" spans="2:3" x14ac:dyDescent="0.25">
      <c r="B1394" s="984" t="s">
        <v>3846</v>
      </c>
      <c r="C1394" s="967">
        <v>94428</v>
      </c>
    </row>
    <row r="1395" spans="2:3" x14ac:dyDescent="0.25">
      <c r="B1395" s="984" t="s">
        <v>2340</v>
      </c>
      <c r="C1395" s="967">
        <v>93191</v>
      </c>
    </row>
    <row r="1396" spans="2:3" x14ac:dyDescent="0.25">
      <c r="B1396" s="984" t="s">
        <v>2341</v>
      </c>
      <c r="C1396" s="967">
        <v>91831</v>
      </c>
    </row>
    <row r="1397" spans="2:3" x14ac:dyDescent="0.25">
      <c r="B1397" s="984" t="s">
        <v>2342</v>
      </c>
      <c r="C1397" s="967">
        <v>92831</v>
      </c>
    </row>
    <row r="1398" spans="2:3" x14ac:dyDescent="0.25">
      <c r="B1398" s="984" t="s">
        <v>2343</v>
      </c>
      <c r="C1398" s="967">
        <v>95911</v>
      </c>
    </row>
    <row r="1399" spans="2:3" x14ac:dyDescent="0.25">
      <c r="B1399" s="984" t="s">
        <v>3847</v>
      </c>
      <c r="C1399" s="967">
        <v>95917</v>
      </c>
    </row>
    <row r="1400" spans="2:3" x14ac:dyDescent="0.25">
      <c r="B1400" s="984" t="s">
        <v>2344</v>
      </c>
      <c r="C1400" s="967">
        <v>95711</v>
      </c>
    </row>
    <row r="1401" spans="2:3" x14ac:dyDescent="0.25">
      <c r="B1401" s="984" t="s">
        <v>2345</v>
      </c>
      <c r="C1401" s="967">
        <v>95721</v>
      </c>
    </row>
    <row r="1402" spans="2:3" x14ac:dyDescent="0.25">
      <c r="B1402" s="984" t="s">
        <v>2346</v>
      </c>
      <c r="C1402" s="967">
        <v>99021</v>
      </c>
    </row>
    <row r="1403" spans="2:3" x14ac:dyDescent="0.25">
      <c r="B1403" s="984" t="s">
        <v>3848</v>
      </c>
      <c r="C1403" s="967">
        <v>95802</v>
      </c>
    </row>
    <row r="1404" spans="2:3" x14ac:dyDescent="0.25">
      <c r="B1404" s="984" t="s">
        <v>1680</v>
      </c>
      <c r="C1404" s="967">
        <v>95801</v>
      </c>
    </row>
    <row r="1405" spans="2:3" x14ac:dyDescent="0.25">
      <c r="B1405" s="984" t="s">
        <v>3849</v>
      </c>
      <c r="C1405" s="967">
        <v>95804</v>
      </c>
    </row>
    <row r="1406" spans="2:3" x14ac:dyDescent="0.25">
      <c r="B1406" s="984" t="s">
        <v>3850</v>
      </c>
      <c r="C1406" s="967">
        <v>90092</v>
      </c>
    </row>
    <row r="1407" spans="2:3" x14ac:dyDescent="0.25">
      <c r="B1407" s="984" t="s">
        <v>2347</v>
      </c>
      <c r="C1407" s="967">
        <v>99081</v>
      </c>
    </row>
    <row r="1408" spans="2:3" x14ac:dyDescent="0.25">
      <c r="B1408" s="984" t="s">
        <v>2348</v>
      </c>
      <c r="C1408" s="967">
        <v>96071</v>
      </c>
    </row>
    <row r="1409" spans="2:3" x14ac:dyDescent="0.25">
      <c r="B1409" s="984" t="s">
        <v>1541</v>
      </c>
      <c r="C1409" s="967">
        <v>94002</v>
      </c>
    </row>
    <row r="1410" spans="2:3" x14ac:dyDescent="0.25">
      <c r="B1410" s="984" t="s">
        <v>2349</v>
      </c>
      <c r="C1410" s="967">
        <v>97840</v>
      </c>
    </row>
    <row r="1411" spans="2:3" x14ac:dyDescent="0.25">
      <c r="B1411" s="984" t="s">
        <v>3851</v>
      </c>
      <c r="C1411" s="967">
        <v>97847</v>
      </c>
    </row>
    <row r="1412" spans="2:3" x14ac:dyDescent="0.25">
      <c r="B1412" s="984" t="s">
        <v>2350</v>
      </c>
      <c r="C1412" s="967">
        <v>97921</v>
      </c>
    </row>
    <row r="1413" spans="2:3" x14ac:dyDescent="0.25">
      <c r="B1413" s="984" t="s">
        <v>2351</v>
      </c>
      <c r="C1413" s="967">
        <v>95221</v>
      </c>
    </row>
    <row r="1414" spans="2:3" x14ac:dyDescent="0.25">
      <c r="B1414" s="984" t="s">
        <v>2352</v>
      </c>
      <c r="C1414" s="967">
        <v>93610</v>
      </c>
    </row>
    <row r="1415" spans="2:3" x14ac:dyDescent="0.25">
      <c r="B1415" s="984" t="s">
        <v>3852</v>
      </c>
      <c r="C1415" s="967">
        <v>95901</v>
      </c>
    </row>
    <row r="1416" spans="2:3" x14ac:dyDescent="0.25">
      <c r="B1416" s="984" t="s">
        <v>2110</v>
      </c>
      <c r="C1416" s="967">
        <v>90114</v>
      </c>
    </row>
    <row r="1417" spans="2:3" x14ac:dyDescent="0.25">
      <c r="B1417" s="984" t="s">
        <v>1694</v>
      </c>
      <c r="C1417" s="967">
        <v>96001</v>
      </c>
    </row>
    <row r="1418" spans="2:3" x14ac:dyDescent="0.25">
      <c r="B1418" s="984" t="s">
        <v>3853</v>
      </c>
      <c r="C1418" s="967">
        <v>96004</v>
      </c>
    </row>
    <row r="1419" spans="2:3" x14ac:dyDescent="0.25">
      <c r="B1419" s="984" t="s">
        <v>3854</v>
      </c>
      <c r="C1419" s="967">
        <v>96008</v>
      </c>
    </row>
    <row r="1420" spans="2:3" x14ac:dyDescent="0.25">
      <c r="B1420" s="984" t="s">
        <v>1286</v>
      </c>
      <c r="C1420" s="967">
        <v>91108</v>
      </c>
    </row>
    <row r="1421" spans="2:3" x14ac:dyDescent="0.25">
      <c r="B1421" s="984" t="s">
        <v>3855</v>
      </c>
      <c r="C1421" s="967">
        <v>94941</v>
      </c>
    </row>
    <row r="1422" spans="2:3" x14ac:dyDescent="0.25">
      <c r="B1422" s="984" t="s">
        <v>2353</v>
      </c>
      <c r="C1422" s="967">
        <v>95122</v>
      </c>
    </row>
    <row r="1423" spans="2:3" x14ac:dyDescent="0.25">
      <c r="B1423" s="984" t="s">
        <v>3856</v>
      </c>
      <c r="C1423" s="967">
        <v>92607</v>
      </c>
    </row>
    <row r="1424" spans="2:3" x14ac:dyDescent="0.25">
      <c r="B1424" s="984" t="s">
        <v>2354</v>
      </c>
      <c r="C1424" s="967">
        <v>96431</v>
      </c>
    </row>
    <row r="1425" spans="2:3" x14ac:dyDescent="0.25">
      <c r="B1425" s="984" t="s">
        <v>3560</v>
      </c>
      <c r="C1425" s="967">
        <v>90709</v>
      </c>
    </row>
    <row r="1426" spans="2:3" x14ac:dyDescent="0.25">
      <c r="B1426" s="984" t="s">
        <v>2355</v>
      </c>
      <c r="C1426" s="967">
        <v>91341</v>
      </c>
    </row>
    <row r="1427" spans="2:3" x14ac:dyDescent="0.25">
      <c r="B1427" s="984" t="s">
        <v>2356</v>
      </c>
      <c r="C1427" s="967">
        <v>92941</v>
      </c>
    </row>
    <row r="1428" spans="2:3" x14ac:dyDescent="0.25">
      <c r="B1428" s="984" t="s">
        <v>2357</v>
      </c>
      <c r="C1428" s="967">
        <v>94551</v>
      </c>
    </row>
    <row r="1429" spans="2:3" x14ac:dyDescent="0.25">
      <c r="B1429" s="984" t="s">
        <v>2358</v>
      </c>
      <c r="C1429" s="967">
        <v>99022</v>
      </c>
    </row>
    <row r="1430" spans="2:3" x14ac:dyDescent="0.25">
      <c r="B1430" s="984" t="s">
        <v>2359</v>
      </c>
      <c r="C1430" s="967">
        <v>96031</v>
      </c>
    </row>
    <row r="1431" spans="2:3" x14ac:dyDescent="0.25">
      <c r="B1431" s="984" t="s">
        <v>2360</v>
      </c>
      <c r="C1431" s="967">
        <v>98414</v>
      </c>
    </row>
    <row r="1432" spans="2:3" x14ac:dyDescent="0.25">
      <c r="B1432" s="984" t="s">
        <v>1709</v>
      </c>
      <c r="C1432" s="967">
        <v>96101</v>
      </c>
    </row>
    <row r="1433" spans="2:3" x14ac:dyDescent="0.25">
      <c r="B1433" s="984" t="s">
        <v>3857</v>
      </c>
      <c r="C1433" s="967">
        <v>96102</v>
      </c>
    </row>
    <row r="1434" spans="2:3" x14ac:dyDescent="0.25">
      <c r="B1434" s="984" t="s">
        <v>2361</v>
      </c>
      <c r="C1434" s="967">
        <v>93011</v>
      </c>
    </row>
    <row r="1435" spans="2:3" x14ac:dyDescent="0.25">
      <c r="B1435" s="984" t="s">
        <v>2362</v>
      </c>
      <c r="C1435" s="967">
        <v>99011</v>
      </c>
    </row>
    <row r="1436" spans="2:3" x14ac:dyDescent="0.25">
      <c r="B1436" s="984" t="s">
        <v>3858</v>
      </c>
      <c r="C1436" s="967">
        <v>99017</v>
      </c>
    </row>
    <row r="1437" spans="2:3" x14ac:dyDescent="0.25">
      <c r="B1437" s="984" t="s">
        <v>3859</v>
      </c>
      <c r="C1437" s="967">
        <v>99013</v>
      </c>
    </row>
    <row r="1438" spans="2:3" x14ac:dyDescent="0.25">
      <c r="B1438" s="984" t="s">
        <v>1713</v>
      </c>
      <c r="C1438" s="967">
        <v>96201</v>
      </c>
    </row>
    <row r="1439" spans="2:3" x14ac:dyDescent="0.25">
      <c r="B1439" s="984" t="s">
        <v>3860</v>
      </c>
      <c r="C1439" s="967">
        <v>96204</v>
      </c>
    </row>
    <row r="1440" spans="2:3" x14ac:dyDescent="0.25">
      <c r="B1440" s="984" t="s">
        <v>2363</v>
      </c>
      <c r="C1440" s="967">
        <v>91161</v>
      </c>
    </row>
    <row r="1441" spans="2:3" x14ac:dyDescent="0.25">
      <c r="B1441" s="984" t="s">
        <v>1720</v>
      </c>
      <c r="C1441" s="967">
        <v>96301</v>
      </c>
    </row>
    <row r="1442" spans="2:3" x14ac:dyDescent="0.25">
      <c r="B1442" s="984" t="s">
        <v>3861</v>
      </c>
      <c r="C1442" s="967">
        <v>96304</v>
      </c>
    </row>
    <row r="1443" spans="2:3" x14ac:dyDescent="0.25">
      <c r="B1443" s="984" t="s">
        <v>1724</v>
      </c>
      <c r="C1443" s="967">
        <v>96310</v>
      </c>
    </row>
    <row r="1444" spans="2:3" x14ac:dyDescent="0.25">
      <c r="B1444" s="984" t="s">
        <v>3862</v>
      </c>
      <c r="C1444" s="967">
        <v>96305</v>
      </c>
    </row>
    <row r="1445" spans="2:3" x14ac:dyDescent="0.25">
      <c r="B1445" s="984" t="s">
        <v>2364</v>
      </c>
      <c r="C1445" s="967">
        <v>94921</v>
      </c>
    </row>
    <row r="1446" spans="2:3" x14ac:dyDescent="0.25">
      <c r="B1446" s="984" t="s">
        <v>3863</v>
      </c>
      <c r="C1446" s="967">
        <v>94927</v>
      </c>
    </row>
    <row r="1447" spans="2:3" x14ac:dyDescent="0.25">
      <c r="B1447" s="984" t="s">
        <v>1622</v>
      </c>
      <c r="C1447" s="967">
        <v>94923</v>
      </c>
    </row>
    <row r="1448" spans="2:3" x14ac:dyDescent="0.25">
      <c r="B1448" s="984" t="s">
        <v>2365</v>
      </c>
      <c r="C1448" s="967">
        <v>91611</v>
      </c>
    </row>
    <row r="1449" spans="2:3" x14ac:dyDescent="0.25">
      <c r="B1449" s="984" t="s">
        <v>2366</v>
      </c>
      <c r="C1449" s="967">
        <v>91231</v>
      </c>
    </row>
    <row r="1450" spans="2:3" x14ac:dyDescent="0.25">
      <c r="B1450" s="984" t="s">
        <v>3864</v>
      </c>
      <c r="C1450" s="967">
        <v>91217</v>
      </c>
    </row>
    <row r="1451" spans="2:3" x14ac:dyDescent="0.25">
      <c r="B1451" s="984" t="s">
        <v>1311</v>
      </c>
      <c r="C1451" s="967">
        <v>91233</v>
      </c>
    </row>
    <row r="1452" spans="2:3" x14ac:dyDescent="0.25">
      <c r="B1452" s="984" t="s">
        <v>2367</v>
      </c>
      <c r="C1452" s="967">
        <v>99206</v>
      </c>
    </row>
    <row r="1453" spans="2:3" x14ac:dyDescent="0.25">
      <c r="B1453" s="984" t="s">
        <v>2368</v>
      </c>
      <c r="C1453" s="967">
        <v>90461</v>
      </c>
    </row>
    <row r="1454" spans="2:3" x14ac:dyDescent="0.25">
      <c r="B1454" s="984" t="s">
        <v>3865</v>
      </c>
      <c r="C1454" s="967">
        <v>98637</v>
      </c>
    </row>
    <row r="1455" spans="2:3" x14ac:dyDescent="0.25">
      <c r="B1455" s="984" t="s">
        <v>2369</v>
      </c>
      <c r="C1455" s="967">
        <v>96251</v>
      </c>
    </row>
    <row r="1456" spans="2:3" x14ac:dyDescent="0.25">
      <c r="B1456" s="984" t="s">
        <v>2370</v>
      </c>
      <c r="C1456" s="967">
        <v>99621</v>
      </c>
    </row>
    <row r="1457" spans="2:3" x14ac:dyDescent="0.25">
      <c r="B1457" s="984" t="s">
        <v>2371</v>
      </c>
      <c r="C1457" s="967">
        <v>91321</v>
      </c>
    </row>
    <row r="1458" spans="2:3" x14ac:dyDescent="0.25">
      <c r="B1458" s="984" t="s">
        <v>3866</v>
      </c>
      <c r="C1458" s="967">
        <v>98631</v>
      </c>
    </row>
    <row r="1459" spans="2:3" x14ac:dyDescent="0.25">
      <c r="B1459" s="984" t="s">
        <v>3867</v>
      </c>
      <c r="C1459" s="967">
        <v>93691</v>
      </c>
    </row>
    <row r="1460" spans="2:3" x14ac:dyDescent="0.25">
      <c r="B1460" s="984" t="s">
        <v>3868</v>
      </c>
      <c r="C1460" s="967">
        <v>99623</v>
      </c>
    </row>
    <row r="1461" spans="2:3" x14ac:dyDescent="0.25">
      <c r="B1461" s="984" t="s">
        <v>3869</v>
      </c>
      <c r="C1461" s="967">
        <v>91327</v>
      </c>
    </row>
    <row r="1462" spans="2:3" x14ac:dyDescent="0.25">
      <c r="B1462" s="984" t="s">
        <v>2372</v>
      </c>
      <c r="C1462" s="967">
        <v>94621</v>
      </c>
    </row>
    <row r="1463" spans="2:3" x14ac:dyDescent="0.25">
      <c r="B1463" s="984" t="s">
        <v>2373</v>
      </c>
      <c r="C1463" s="967">
        <v>92011</v>
      </c>
    </row>
    <row r="1464" spans="2:3" x14ac:dyDescent="0.25">
      <c r="B1464" s="984" t="s">
        <v>3870</v>
      </c>
      <c r="C1464" s="967">
        <v>92017</v>
      </c>
    </row>
    <row r="1465" spans="2:3" x14ac:dyDescent="0.25">
      <c r="B1465" s="984" t="s">
        <v>3871</v>
      </c>
      <c r="C1465" s="967">
        <v>99991</v>
      </c>
    </row>
    <row r="1466" spans="2:3" x14ac:dyDescent="0.25">
      <c r="B1466" s="984" t="s">
        <v>3872</v>
      </c>
      <c r="C1466" s="967">
        <v>99999</v>
      </c>
    </row>
    <row r="1467" spans="2:3" x14ac:dyDescent="0.25">
      <c r="B1467" s="984" t="s">
        <v>2374</v>
      </c>
      <c r="C1467" s="967">
        <v>92811</v>
      </c>
    </row>
    <row r="1468" spans="2:3" x14ac:dyDescent="0.25">
      <c r="B1468" s="984" t="s">
        <v>1375</v>
      </c>
      <c r="C1468" s="967">
        <v>92005</v>
      </c>
    </row>
    <row r="1469" spans="2:3" x14ac:dyDescent="0.25">
      <c r="B1469" s="984" t="s">
        <v>1735</v>
      </c>
      <c r="C1469" s="967">
        <v>96401</v>
      </c>
    </row>
    <row r="1470" spans="2:3" x14ac:dyDescent="0.25">
      <c r="B1470" s="984" t="s">
        <v>3873</v>
      </c>
      <c r="C1470" s="967">
        <v>96404</v>
      </c>
    </row>
    <row r="1471" spans="2:3" x14ac:dyDescent="0.25">
      <c r="B1471" s="984" t="s">
        <v>2375</v>
      </c>
      <c r="C1471" s="967">
        <v>96421</v>
      </c>
    </row>
    <row r="1472" spans="2:3" x14ac:dyDescent="0.25">
      <c r="B1472" s="984" t="s">
        <v>2376</v>
      </c>
      <c r="C1472" s="967">
        <v>91026</v>
      </c>
    </row>
    <row r="1473" spans="2:3" x14ac:dyDescent="0.25">
      <c r="B1473" s="984" t="s">
        <v>1660</v>
      </c>
      <c r="C1473" s="967">
        <v>95405</v>
      </c>
    </row>
    <row r="1474" spans="2:3" x14ac:dyDescent="0.25">
      <c r="B1474" s="984" t="s">
        <v>3874</v>
      </c>
      <c r="C1474" s="967">
        <v>94005</v>
      </c>
    </row>
    <row r="1475" spans="2:3" x14ac:dyDescent="0.25">
      <c r="B1475" s="984" t="s">
        <v>3875</v>
      </c>
      <c r="C1475" s="967">
        <v>95205</v>
      </c>
    </row>
    <row r="1476" spans="2:3" x14ac:dyDescent="0.25">
      <c r="B1476" s="984" t="s">
        <v>1410</v>
      </c>
      <c r="C1476" s="967">
        <v>92507</v>
      </c>
    </row>
    <row r="1477" spans="2:3" x14ac:dyDescent="0.25">
      <c r="B1477" s="984" t="s">
        <v>3876</v>
      </c>
      <c r="C1477" s="967">
        <v>92113</v>
      </c>
    </row>
    <row r="1478" spans="2:3" x14ac:dyDescent="0.25">
      <c r="B1478" s="984" t="s">
        <v>3877</v>
      </c>
      <c r="C1478" s="967">
        <v>96502</v>
      </c>
    </row>
    <row r="1479" spans="2:3" x14ac:dyDescent="0.25">
      <c r="B1479" s="984" t="s">
        <v>1744</v>
      </c>
      <c r="C1479" s="967">
        <v>96501</v>
      </c>
    </row>
    <row r="1480" spans="2:3" x14ac:dyDescent="0.25">
      <c r="B1480" s="984" t="s">
        <v>3878</v>
      </c>
      <c r="C1480" s="967">
        <v>96504</v>
      </c>
    </row>
    <row r="1481" spans="2:3" x14ac:dyDescent="0.25">
      <c r="B1481" s="984" t="s">
        <v>3879</v>
      </c>
      <c r="C1481" s="967">
        <v>97913</v>
      </c>
    </row>
    <row r="1482" spans="2:3" x14ac:dyDescent="0.25">
      <c r="B1482" s="984" t="s">
        <v>3880</v>
      </c>
      <c r="C1482" s="967">
        <v>92511</v>
      </c>
    </row>
    <row r="1483" spans="2:3" x14ac:dyDescent="0.25">
      <c r="B1483" s="984" t="s">
        <v>2377</v>
      </c>
      <c r="C1483" s="967">
        <v>90621</v>
      </c>
    </row>
    <row r="1484" spans="2:3" x14ac:dyDescent="0.25">
      <c r="B1484" s="984" t="s">
        <v>2378</v>
      </c>
      <c r="C1484" s="967">
        <v>91621</v>
      </c>
    </row>
    <row r="1485" spans="2:3" x14ac:dyDescent="0.25">
      <c r="B1485" s="984" t="s">
        <v>2379</v>
      </c>
      <c r="C1485" s="967">
        <v>91871</v>
      </c>
    </row>
    <row r="1486" spans="2:3" x14ac:dyDescent="0.25">
      <c r="B1486" s="984" t="s">
        <v>2380</v>
      </c>
      <c r="C1486" s="967">
        <v>98231</v>
      </c>
    </row>
    <row r="1487" spans="2:3" x14ac:dyDescent="0.25">
      <c r="B1487" s="984" t="s">
        <v>2381</v>
      </c>
      <c r="C1487" s="967">
        <v>99311</v>
      </c>
    </row>
    <row r="1488" spans="2:3" x14ac:dyDescent="0.25">
      <c r="B1488" s="984" t="s">
        <v>2382</v>
      </c>
      <c r="C1488" s="967">
        <v>96751</v>
      </c>
    </row>
    <row r="1489" spans="2:3" x14ac:dyDescent="0.25">
      <c r="B1489" s="984" t="s">
        <v>2383</v>
      </c>
      <c r="C1489" s="967">
        <v>99711</v>
      </c>
    </row>
    <row r="1490" spans="2:3" x14ac:dyDescent="0.25">
      <c r="B1490" s="984" t="s">
        <v>3881</v>
      </c>
      <c r="C1490" s="967">
        <v>99717</v>
      </c>
    </row>
    <row r="1491" spans="2:3" x14ac:dyDescent="0.25">
      <c r="B1491" s="984" t="s">
        <v>1756</v>
      </c>
      <c r="C1491" s="967">
        <v>96601</v>
      </c>
    </row>
    <row r="1492" spans="2:3" x14ac:dyDescent="0.25">
      <c r="B1492" s="984" t="s">
        <v>3882</v>
      </c>
      <c r="C1492" s="967">
        <v>96604</v>
      </c>
    </row>
    <row r="1493" spans="2:3" x14ac:dyDescent="0.25">
      <c r="B1493" s="984" t="s">
        <v>2384</v>
      </c>
      <c r="C1493" s="967">
        <v>91012</v>
      </c>
    </row>
    <row r="1494" spans="2:3" x14ac:dyDescent="0.25">
      <c r="B1494" s="984" t="s">
        <v>1208</v>
      </c>
      <c r="C1494" s="967">
        <v>90305</v>
      </c>
    </row>
    <row r="1495" spans="2:3" x14ac:dyDescent="0.25">
      <c r="B1495" s="984" t="s">
        <v>2385</v>
      </c>
      <c r="C1495" s="967">
        <v>98421</v>
      </c>
    </row>
    <row r="1496" spans="2:3" x14ac:dyDescent="0.25">
      <c r="B1496" s="984" t="s">
        <v>3883</v>
      </c>
      <c r="C1496" s="967">
        <v>98427</v>
      </c>
    </row>
    <row r="1497" spans="2:3" x14ac:dyDescent="0.25">
      <c r="B1497" s="984" t="s">
        <v>2386</v>
      </c>
      <c r="C1497" s="967">
        <v>95821</v>
      </c>
    </row>
    <row r="1498" spans="2:3" x14ac:dyDescent="0.25">
      <c r="B1498" s="984" t="s">
        <v>2387</v>
      </c>
      <c r="C1498" s="967">
        <v>91021</v>
      </c>
    </row>
    <row r="1499" spans="2:3" x14ac:dyDescent="0.25">
      <c r="B1499" s="984" t="s">
        <v>3884</v>
      </c>
      <c r="C1499" s="967">
        <v>91027</v>
      </c>
    </row>
    <row r="1500" spans="2:3" x14ac:dyDescent="0.25">
      <c r="B1500" s="984" t="s">
        <v>2388</v>
      </c>
      <c r="C1500" s="967">
        <v>94161</v>
      </c>
    </row>
    <row r="1501" spans="2:3" x14ac:dyDescent="0.25">
      <c r="B1501" s="984" t="s">
        <v>2389</v>
      </c>
      <c r="C1501" s="967">
        <v>98441</v>
      </c>
    </row>
    <row r="1502" spans="2:3" x14ac:dyDescent="0.25">
      <c r="B1502" s="984" t="s">
        <v>2390</v>
      </c>
      <c r="C1502" s="967">
        <v>91061</v>
      </c>
    </row>
    <row r="1503" spans="2:3" x14ac:dyDescent="0.25">
      <c r="B1503" s="984" t="s">
        <v>3885</v>
      </c>
      <c r="C1503" s="967">
        <v>91067</v>
      </c>
    </row>
    <row r="1504" spans="2:3" x14ac:dyDescent="0.25">
      <c r="B1504" s="984" t="s">
        <v>3886</v>
      </c>
      <c r="C1504" s="967">
        <v>94812</v>
      </c>
    </row>
    <row r="1505" spans="2:3" x14ac:dyDescent="0.25">
      <c r="B1505" s="984" t="s">
        <v>2391</v>
      </c>
      <c r="C1505" s="967">
        <v>95921</v>
      </c>
    </row>
    <row r="1506" spans="2:3" x14ac:dyDescent="0.25">
      <c r="B1506" s="984" t="s">
        <v>1767</v>
      </c>
      <c r="C1506" s="967">
        <v>96701</v>
      </c>
    </row>
    <row r="1507" spans="2:3" x14ac:dyDescent="0.25">
      <c r="B1507" s="984" t="s">
        <v>3887</v>
      </c>
      <c r="C1507" s="967">
        <v>96704</v>
      </c>
    </row>
    <row r="1508" spans="2:3" x14ac:dyDescent="0.25">
      <c r="B1508" s="984" t="s">
        <v>3888</v>
      </c>
      <c r="C1508" s="967">
        <v>96708</v>
      </c>
    </row>
    <row r="1509" spans="2:3" x14ac:dyDescent="0.25">
      <c r="B1509" s="984" t="s">
        <v>1776</v>
      </c>
      <c r="C1509" s="967">
        <v>96801</v>
      </c>
    </row>
    <row r="1510" spans="2:3" x14ac:dyDescent="0.25">
      <c r="B1510" s="984" t="s">
        <v>3889</v>
      </c>
      <c r="C1510" s="967">
        <v>96804</v>
      </c>
    </row>
    <row r="1511" spans="2:3" x14ac:dyDescent="0.25">
      <c r="B1511" s="984" t="s">
        <v>3890</v>
      </c>
      <c r="C1511" s="967">
        <v>96808</v>
      </c>
    </row>
    <row r="1512" spans="2:3" x14ac:dyDescent="0.25">
      <c r="B1512" s="984" t="s">
        <v>2392</v>
      </c>
      <c r="C1512" s="967">
        <v>96912</v>
      </c>
    </row>
    <row r="1513" spans="2:3" x14ac:dyDescent="0.25">
      <c r="B1513" s="984" t="s">
        <v>2393</v>
      </c>
      <c r="C1513" s="967">
        <v>93911</v>
      </c>
    </row>
    <row r="1514" spans="2:3" x14ac:dyDescent="0.25">
      <c r="B1514" s="984" t="s">
        <v>1536</v>
      </c>
      <c r="C1514" s="967">
        <v>93913</v>
      </c>
    </row>
    <row r="1515" spans="2:3" x14ac:dyDescent="0.25">
      <c r="B1515" s="984" t="s">
        <v>1782</v>
      </c>
      <c r="C1515" s="967">
        <v>96901</v>
      </c>
    </row>
    <row r="1516" spans="2:3" x14ac:dyDescent="0.25">
      <c r="B1516" s="984" t="s">
        <v>3891</v>
      </c>
      <c r="C1516" s="967">
        <v>97841</v>
      </c>
    </row>
    <row r="1517" spans="2:3" x14ac:dyDescent="0.25">
      <c r="B1517" s="984" t="s">
        <v>1471</v>
      </c>
      <c r="C1517" s="967">
        <v>93202</v>
      </c>
    </row>
    <row r="1518" spans="2:3" x14ac:dyDescent="0.25">
      <c r="B1518" s="984" t="s">
        <v>3563</v>
      </c>
      <c r="C1518" s="967">
        <v>93609</v>
      </c>
    </row>
    <row r="1519" spans="2:3" x14ac:dyDescent="0.25">
      <c r="B1519" s="984" t="s">
        <v>3892</v>
      </c>
      <c r="C1519" s="967">
        <v>97004</v>
      </c>
    </row>
    <row r="1520" spans="2:3" x14ac:dyDescent="0.25">
      <c r="B1520" s="984" t="s">
        <v>1786</v>
      </c>
      <c r="C1520" s="967">
        <v>97001</v>
      </c>
    </row>
    <row r="1521" spans="2:3" x14ac:dyDescent="0.25">
      <c r="B1521" s="984" t="s">
        <v>1787</v>
      </c>
      <c r="C1521" s="967">
        <v>97002</v>
      </c>
    </row>
    <row r="1522" spans="2:3" x14ac:dyDescent="0.25">
      <c r="B1522" s="984" t="s">
        <v>1795</v>
      </c>
      <c r="C1522" s="967">
        <v>97015</v>
      </c>
    </row>
    <row r="1523" spans="2:3" x14ac:dyDescent="0.25">
      <c r="B1523" s="984" t="s">
        <v>2394</v>
      </c>
      <c r="C1523" s="967">
        <v>90441</v>
      </c>
    </row>
    <row r="1524" spans="2:3" x14ac:dyDescent="0.25">
      <c r="B1524" s="984" t="s">
        <v>2395</v>
      </c>
      <c r="C1524" s="967">
        <v>97851</v>
      </c>
    </row>
    <row r="1525" spans="2:3" x14ac:dyDescent="0.25">
      <c r="B1525" s="984" t="s">
        <v>1865</v>
      </c>
      <c r="C1525" s="967">
        <v>97853</v>
      </c>
    </row>
    <row r="1526" spans="2:3" x14ac:dyDescent="0.25">
      <c r="B1526" s="984" t="s">
        <v>1797</v>
      </c>
      <c r="C1526" s="967">
        <v>97101</v>
      </c>
    </row>
    <row r="1527" spans="2:3" x14ac:dyDescent="0.25">
      <c r="B1527" s="984" t="s">
        <v>3893</v>
      </c>
      <c r="C1527" s="967">
        <v>97104</v>
      </c>
    </row>
    <row r="1528" spans="2:3" x14ac:dyDescent="0.25">
      <c r="B1528" s="984" t="s">
        <v>1802</v>
      </c>
      <c r="C1528" s="967">
        <v>97201</v>
      </c>
    </row>
    <row r="1529" spans="2:3" x14ac:dyDescent="0.25">
      <c r="B1529" s="984" t="s">
        <v>3894</v>
      </c>
      <c r="C1529" s="967">
        <v>97304</v>
      </c>
    </row>
    <row r="1530" spans="2:3" x14ac:dyDescent="0.25">
      <c r="B1530" s="984" t="s">
        <v>1807</v>
      </c>
      <c r="C1530" s="967">
        <v>97301</v>
      </c>
    </row>
    <row r="1531" spans="2:3" x14ac:dyDescent="0.25">
      <c r="B1531" s="984" t="s">
        <v>2004</v>
      </c>
      <c r="C1531" s="967">
        <v>99405</v>
      </c>
    </row>
    <row r="1532" spans="2:3" x14ac:dyDescent="0.25">
      <c r="B1532" s="984" t="s">
        <v>1186</v>
      </c>
      <c r="C1532" s="967">
        <v>72265</v>
      </c>
    </row>
    <row r="1533" spans="2:3" x14ac:dyDescent="0.25">
      <c r="B1533" s="984" t="s">
        <v>3895</v>
      </c>
      <c r="C1533" s="967">
        <v>94112</v>
      </c>
    </row>
    <row r="1534" spans="2:3" x14ac:dyDescent="0.25">
      <c r="B1534" s="984" t="s">
        <v>1490</v>
      </c>
      <c r="C1534" s="967">
        <v>93406</v>
      </c>
    </row>
    <row r="1535" spans="2:3" x14ac:dyDescent="0.25">
      <c r="B1535" s="984" t="s">
        <v>2396</v>
      </c>
      <c r="C1535" s="967">
        <v>99651</v>
      </c>
    </row>
    <row r="1536" spans="2:3" x14ac:dyDescent="0.25">
      <c r="B1536" s="984" t="s">
        <v>2397</v>
      </c>
      <c r="C1536" s="967">
        <v>98611</v>
      </c>
    </row>
    <row r="1537" spans="2:3" x14ac:dyDescent="0.25">
      <c r="B1537" s="984" t="s">
        <v>3896</v>
      </c>
      <c r="C1537" s="967">
        <v>98607</v>
      </c>
    </row>
    <row r="1538" spans="2:3" x14ac:dyDescent="0.25">
      <c r="B1538" s="984" t="s">
        <v>2398</v>
      </c>
      <c r="C1538" s="967">
        <v>91641</v>
      </c>
    </row>
    <row r="1539" spans="2:3" x14ac:dyDescent="0.25">
      <c r="B1539" s="984" t="s">
        <v>2399</v>
      </c>
      <c r="C1539" s="967">
        <v>95161</v>
      </c>
    </row>
    <row r="1540" spans="2:3" x14ac:dyDescent="0.25">
      <c r="B1540" s="984" t="s">
        <v>2400</v>
      </c>
      <c r="C1540" s="967">
        <v>96361</v>
      </c>
    </row>
    <row r="1541" spans="2:3" x14ac:dyDescent="0.25">
      <c r="B1541" s="984" t="s">
        <v>3897</v>
      </c>
      <c r="C1541" s="967">
        <v>94108</v>
      </c>
    </row>
    <row r="1542" spans="2:3" x14ac:dyDescent="0.25">
      <c r="B1542" s="984" t="s">
        <v>2401</v>
      </c>
      <c r="C1542" s="967">
        <v>96351</v>
      </c>
    </row>
    <row r="1543" spans="2:3" x14ac:dyDescent="0.25">
      <c r="B1543" s="984" t="s">
        <v>2402</v>
      </c>
      <c r="C1543" s="967">
        <v>93331</v>
      </c>
    </row>
    <row r="1544" spans="2:3" x14ac:dyDescent="0.25">
      <c r="B1544" s="984" t="s">
        <v>2403</v>
      </c>
      <c r="C1544" s="967">
        <v>96021</v>
      </c>
    </row>
    <row r="1545" spans="2:3" x14ac:dyDescent="0.25">
      <c r="B1545" s="984" t="s">
        <v>2404</v>
      </c>
      <c r="C1545" s="967">
        <v>95421</v>
      </c>
    </row>
    <row r="1546" spans="2:3" x14ac:dyDescent="0.25">
      <c r="B1546" s="984" t="s">
        <v>1810</v>
      </c>
      <c r="C1546" s="967">
        <v>97401</v>
      </c>
    </row>
    <row r="1547" spans="2:3" x14ac:dyDescent="0.25">
      <c r="B1547" s="984" t="s">
        <v>3898</v>
      </c>
      <c r="C1547" s="967">
        <v>97404</v>
      </c>
    </row>
    <row r="1548" spans="2:3" x14ac:dyDescent="0.25">
      <c r="B1548" s="984" t="s">
        <v>3899</v>
      </c>
      <c r="C1548" s="967">
        <v>97402</v>
      </c>
    </row>
    <row r="1549" spans="2:3" x14ac:dyDescent="0.25">
      <c r="B1549" s="984" t="s">
        <v>2405</v>
      </c>
      <c r="C1549" s="967">
        <v>91921</v>
      </c>
    </row>
    <row r="1550" spans="2:3" x14ac:dyDescent="0.25">
      <c r="B1550" s="984" t="s">
        <v>3900</v>
      </c>
      <c r="C1550" s="967">
        <v>95908</v>
      </c>
    </row>
    <row r="1551" spans="2:3" x14ac:dyDescent="0.25">
      <c r="B1551" s="984" t="s">
        <v>2406</v>
      </c>
      <c r="C1551" s="967">
        <v>99411</v>
      </c>
    </row>
    <row r="1552" spans="2:3" x14ac:dyDescent="0.25">
      <c r="B1552" s="984" t="s">
        <v>2006</v>
      </c>
      <c r="C1552" s="967">
        <v>99413</v>
      </c>
    </row>
    <row r="1553" spans="2:3" x14ac:dyDescent="0.25">
      <c r="B1553" s="984" t="s">
        <v>1827</v>
      </c>
      <c r="C1553" s="967">
        <v>97501</v>
      </c>
    </row>
    <row r="1554" spans="2:3" x14ac:dyDescent="0.25">
      <c r="B1554" s="984" t="s">
        <v>2407</v>
      </c>
      <c r="C1554" s="967">
        <v>90431</v>
      </c>
    </row>
    <row r="1555" spans="2:3" x14ac:dyDescent="0.25">
      <c r="B1555" s="984" t="s">
        <v>2408</v>
      </c>
      <c r="C1555" s="967">
        <v>95211</v>
      </c>
    </row>
    <row r="1556" spans="2:3" x14ac:dyDescent="0.25">
      <c r="B1556" s="984" t="s">
        <v>2409</v>
      </c>
      <c r="C1556" s="967">
        <v>95181</v>
      </c>
    </row>
    <row r="1557" spans="2:3" x14ac:dyDescent="0.25">
      <c r="B1557" s="984" t="s">
        <v>2410</v>
      </c>
      <c r="C1557" s="967">
        <v>93351</v>
      </c>
    </row>
    <row r="1558" spans="2:3" x14ac:dyDescent="0.25">
      <c r="B1558" s="984" t="s">
        <v>3901</v>
      </c>
      <c r="C1558" s="967">
        <v>95105</v>
      </c>
    </row>
    <row r="1559" spans="2:3" x14ac:dyDescent="0.25">
      <c r="B1559" s="984" t="s">
        <v>3902</v>
      </c>
      <c r="C1559" s="967">
        <v>92614</v>
      </c>
    </row>
    <row r="1560" spans="2:3" x14ac:dyDescent="0.25">
      <c r="B1560" s="984" t="s">
        <v>2411</v>
      </c>
      <c r="C1560" s="967">
        <v>94711</v>
      </c>
    </row>
    <row r="1561" spans="2:3" x14ac:dyDescent="0.25">
      <c r="B1561" s="984" t="s">
        <v>2412</v>
      </c>
      <c r="C1561" s="967">
        <v>99211</v>
      </c>
    </row>
    <row r="1562" spans="2:3" x14ac:dyDescent="0.25">
      <c r="B1562" s="984" t="s">
        <v>1987</v>
      </c>
      <c r="C1562" s="967">
        <v>99218</v>
      </c>
    </row>
    <row r="1563" spans="2:3" x14ac:dyDescent="0.25">
      <c r="B1563" s="984" t="s">
        <v>3903</v>
      </c>
      <c r="C1563" s="967">
        <v>99213</v>
      </c>
    </row>
    <row r="1564" spans="2:3" x14ac:dyDescent="0.25">
      <c r="B1564" s="984" t="s">
        <v>2413</v>
      </c>
      <c r="C1564" s="967">
        <v>97641</v>
      </c>
    </row>
    <row r="1565" spans="2:3" x14ac:dyDescent="0.25">
      <c r="B1565" s="984" t="s">
        <v>2414</v>
      </c>
      <c r="C1565" s="967">
        <v>97621</v>
      </c>
    </row>
    <row r="1566" spans="2:3" x14ac:dyDescent="0.25">
      <c r="B1566" s="984" t="s">
        <v>3904</v>
      </c>
      <c r="C1566" s="967">
        <v>97627</v>
      </c>
    </row>
    <row r="1567" spans="2:3" x14ac:dyDescent="0.25">
      <c r="B1567" s="984" t="s">
        <v>3905</v>
      </c>
      <c r="C1567" s="967">
        <v>97623</v>
      </c>
    </row>
    <row r="1568" spans="2:3" x14ac:dyDescent="0.25">
      <c r="B1568" s="984" t="s">
        <v>1831</v>
      </c>
      <c r="C1568" s="967">
        <v>97601</v>
      </c>
    </row>
    <row r="1569" spans="2:3" x14ac:dyDescent="0.25">
      <c r="B1569" s="984" t="s">
        <v>2415</v>
      </c>
      <c r="C1569" s="967">
        <v>93681</v>
      </c>
    </row>
    <row r="1570" spans="2:3" x14ac:dyDescent="0.25">
      <c r="B1570" s="984" t="s">
        <v>2416</v>
      </c>
      <c r="C1570" s="967">
        <v>97871</v>
      </c>
    </row>
    <row r="1571" spans="2:3" x14ac:dyDescent="0.25">
      <c r="B1571" s="984" t="s">
        <v>3906</v>
      </c>
      <c r="C1571" s="967">
        <v>97877</v>
      </c>
    </row>
    <row r="1572" spans="2:3" x14ac:dyDescent="0.25">
      <c r="B1572" s="984" t="s">
        <v>2010</v>
      </c>
      <c r="C1572" s="967">
        <v>99502</v>
      </c>
    </row>
    <row r="1573" spans="2:3" x14ac:dyDescent="0.25">
      <c r="B1573" s="984" t="s">
        <v>2417</v>
      </c>
      <c r="C1573" s="967">
        <v>97911</v>
      </c>
    </row>
    <row r="1574" spans="2:3" x14ac:dyDescent="0.25">
      <c r="B1574" s="984" t="s">
        <v>3907</v>
      </c>
      <c r="C1574" s="967">
        <v>97917</v>
      </c>
    </row>
    <row r="1575" spans="2:3" x14ac:dyDescent="0.25">
      <c r="B1575" s="984" t="s">
        <v>2418</v>
      </c>
      <c r="C1575" s="967">
        <v>96611</v>
      </c>
    </row>
    <row r="1576" spans="2:3" x14ac:dyDescent="0.25">
      <c r="B1576" s="984" t="s">
        <v>2419</v>
      </c>
      <c r="C1576" s="967">
        <v>96741</v>
      </c>
    </row>
    <row r="1577" spans="2:3" x14ac:dyDescent="0.25">
      <c r="B1577" s="984" t="s">
        <v>1843</v>
      </c>
      <c r="C1577" s="967">
        <v>97701</v>
      </c>
    </row>
    <row r="1578" spans="2:3" x14ac:dyDescent="0.25">
      <c r="B1578" s="984" t="s">
        <v>2420</v>
      </c>
      <c r="C1578" s="967">
        <v>92541</v>
      </c>
    </row>
    <row r="1579" spans="2:3" x14ac:dyDescent="0.25">
      <c r="B1579" s="984" t="s">
        <v>1567</v>
      </c>
      <c r="C1579" s="967">
        <v>94209</v>
      </c>
    </row>
    <row r="1580" spans="2:3" x14ac:dyDescent="0.25">
      <c r="B1580" s="984" t="s">
        <v>3908</v>
      </c>
      <c r="C1580" s="967">
        <v>94221</v>
      </c>
    </row>
    <row r="1581" spans="2:3" x14ac:dyDescent="0.25">
      <c r="B1581" s="984" t="s">
        <v>2421</v>
      </c>
      <c r="C1581" s="967">
        <v>96341</v>
      </c>
    </row>
    <row r="1582" spans="2:3" x14ac:dyDescent="0.25">
      <c r="B1582" s="984" t="s">
        <v>2422</v>
      </c>
      <c r="C1582" s="967">
        <v>93821</v>
      </c>
    </row>
    <row r="1583" spans="2:3" x14ac:dyDescent="0.25">
      <c r="B1583" s="984" t="s">
        <v>2423</v>
      </c>
      <c r="C1583" s="967">
        <v>95851</v>
      </c>
    </row>
    <row r="1584" spans="2:3" x14ac:dyDescent="0.25">
      <c r="B1584" s="984" t="s">
        <v>1689</v>
      </c>
      <c r="C1584" s="967">
        <v>95853</v>
      </c>
    </row>
    <row r="1585" spans="2:3" x14ac:dyDescent="0.25">
      <c r="B1585" s="984" t="s">
        <v>1851</v>
      </c>
      <c r="C1585" s="967">
        <v>97801</v>
      </c>
    </row>
    <row r="1586" spans="2:3" x14ac:dyDescent="0.25">
      <c r="B1586" s="984" t="s">
        <v>1853</v>
      </c>
      <c r="C1586" s="967">
        <v>97803</v>
      </c>
    </row>
    <row r="1587" spans="2:3" x14ac:dyDescent="0.25">
      <c r="B1587" s="984" t="s">
        <v>1854</v>
      </c>
      <c r="C1587" s="967">
        <v>97805</v>
      </c>
    </row>
    <row r="1588" spans="2:3" x14ac:dyDescent="0.25">
      <c r="B1588" s="984" t="s">
        <v>2424</v>
      </c>
      <c r="C1588" s="967">
        <v>97711</v>
      </c>
    </row>
    <row r="1589" spans="2:3" x14ac:dyDescent="0.25">
      <c r="B1589" s="984" t="s">
        <v>1869</v>
      </c>
      <c r="C1589" s="967">
        <v>97901</v>
      </c>
    </row>
    <row r="1590" spans="2:3" x14ac:dyDescent="0.25">
      <c r="B1590" s="984" t="s">
        <v>1846</v>
      </c>
      <c r="C1590" s="967">
        <v>97713</v>
      </c>
    </row>
    <row r="1591" spans="2:3" x14ac:dyDescent="0.25">
      <c r="B1591" s="984" t="s">
        <v>3909</v>
      </c>
      <c r="C1591" s="967">
        <v>97727</v>
      </c>
    </row>
    <row r="1592" spans="2:3" x14ac:dyDescent="0.25">
      <c r="B1592" s="984" t="s">
        <v>2425</v>
      </c>
      <c r="C1592" s="967">
        <v>98071</v>
      </c>
    </row>
    <row r="1593" spans="2:3" x14ac:dyDescent="0.25">
      <c r="B1593" s="984" t="s">
        <v>1483</v>
      </c>
      <c r="C1593" s="967">
        <v>93323</v>
      </c>
    </row>
    <row r="1594" spans="2:3" x14ac:dyDescent="0.25">
      <c r="B1594" s="984" t="s">
        <v>3910</v>
      </c>
      <c r="C1594" s="967">
        <v>93333</v>
      </c>
    </row>
    <row r="1595" spans="2:3" x14ac:dyDescent="0.25">
      <c r="B1595" s="984" t="s">
        <v>3911</v>
      </c>
      <c r="C1595" s="967">
        <v>93321</v>
      </c>
    </row>
    <row r="1596" spans="2:3" x14ac:dyDescent="0.25">
      <c r="B1596" s="984" t="s">
        <v>2426</v>
      </c>
      <c r="C1596" s="967">
        <v>99203</v>
      </c>
    </row>
    <row r="1597" spans="2:3" x14ac:dyDescent="0.25">
      <c r="B1597" s="984" t="s">
        <v>2427</v>
      </c>
      <c r="C1597" s="967">
        <v>99421</v>
      </c>
    </row>
    <row r="1598" spans="2:3" x14ac:dyDescent="0.25">
      <c r="B1598" s="984" t="s">
        <v>2428</v>
      </c>
      <c r="C1598" s="967">
        <v>93161</v>
      </c>
    </row>
    <row r="1599" spans="2:3" x14ac:dyDescent="0.25">
      <c r="B1599" s="984" t="s">
        <v>2429</v>
      </c>
      <c r="C1599" s="967">
        <v>98261</v>
      </c>
    </row>
    <row r="1600" spans="2:3" x14ac:dyDescent="0.25">
      <c r="B1600" s="984" t="s">
        <v>3912</v>
      </c>
      <c r="C1600" s="967">
        <v>98237</v>
      </c>
    </row>
    <row r="1601" spans="2:3" x14ac:dyDescent="0.25">
      <c r="B1601" s="984" t="s">
        <v>3913</v>
      </c>
      <c r="C1601" s="967">
        <v>98003</v>
      </c>
    </row>
    <row r="1602" spans="2:3" x14ac:dyDescent="0.25">
      <c r="B1602" s="984" t="s">
        <v>3914</v>
      </c>
      <c r="C1602" s="967">
        <v>98008</v>
      </c>
    </row>
    <row r="1603" spans="2:3" x14ac:dyDescent="0.25">
      <c r="B1603" s="984" t="s">
        <v>3915</v>
      </c>
      <c r="C1603" s="967">
        <v>98002</v>
      </c>
    </row>
    <row r="1604" spans="2:3" x14ac:dyDescent="0.25">
      <c r="B1604" s="984" t="s">
        <v>1880</v>
      </c>
      <c r="C1604" s="967">
        <v>98001</v>
      </c>
    </row>
    <row r="1605" spans="2:3" x14ac:dyDescent="0.25">
      <c r="B1605" s="984" t="s">
        <v>3916</v>
      </c>
      <c r="C1605" s="967">
        <v>98004</v>
      </c>
    </row>
    <row r="1606" spans="2:3" x14ac:dyDescent="0.25">
      <c r="B1606" s="984" t="s">
        <v>2430</v>
      </c>
      <c r="C1606" s="967">
        <v>97861</v>
      </c>
    </row>
    <row r="1607" spans="2:3" x14ac:dyDescent="0.25">
      <c r="B1607" s="984" t="s">
        <v>2431</v>
      </c>
      <c r="C1607" s="967">
        <v>97311</v>
      </c>
    </row>
    <row r="1608" spans="2:3" x14ac:dyDescent="0.25">
      <c r="B1608" s="984" t="s">
        <v>2432</v>
      </c>
      <c r="C1608" s="967">
        <v>93431</v>
      </c>
    </row>
    <row r="1609" spans="2:3" x14ac:dyDescent="0.25">
      <c r="B1609" s="984" t="s">
        <v>2433</v>
      </c>
      <c r="C1609" s="967">
        <v>91214</v>
      </c>
    </row>
    <row r="1610" spans="2:3" x14ac:dyDescent="0.25">
      <c r="B1610" s="984" t="s">
        <v>1895</v>
      </c>
      <c r="C1610" s="967">
        <v>98101</v>
      </c>
    </row>
    <row r="1611" spans="2:3" x14ac:dyDescent="0.25">
      <c r="B1611" s="984" t="s">
        <v>3917</v>
      </c>
      <c r="C1611" s="967">
        <v>98103</v>
      </c>
    </row>
    <row r="1612" spans="2:3" x14ac:dyDescent="0.25">
      <c r="B1612" s="984" t="s">
        <v>2434</v>
      </c>
      <c r="C1612" s="967">
        <v>98141</v>
      </c>
    </row>
    <row r="1613" spans="2:3" x14ac:dyDescent="0.25">
      <c r="B1613" s="984" t="s">
        <v>3918</v>
      </c>
      <c r="C1613" s="967">
        <v>98147</v>
      </c>
    </row>
    <row r="1614" spans="2:3" x14ac:dyDescent="0.25">
      <c r="B1614" s="984" t="s">
        <v>2435</v>
      </c>
      <c r="C1614" s="967">
        <v>98221</v>
      </c>
    </row>
    <row r="1615" spans="2:3" x14ac:dyDescent="0.25">
      <c r="B1615" s="984" t="s">
        <v>2436</v>
      </c>
      <c r="C1615" s="967">
        <v>98011</v>
      </c>
    </row>
    <row r="1616" spans="2:3" x14ac:dyDescent="0.25">
      <c r="B1616" s="984" t="s">
        <v>2437</v>
      </c>
      <c r="C1616" s="967">
        <v>97531</v>
      </c>
    </row>
    <row r="1617" spans="2:3" x14ac:dyDescent="0.25">
      <c r="B1617" s="984" t="s">
        <v>1907</v>
      </c>
      <c r="C1617" s="967">
        <v>98201</v>
      </c>
    </row>
    <row r="1618" spans="2:3" x14ac:dyDescent="0.25">
      <c r="B1618" s="984" t="s">
        <v>1844</v>
      </c>
      <c r="C1618" s="967">
        <v>97705</v>
      </c>
    </row>
    <row r="1619" spans="2:3" x14ac:dyDescent="0.25">
      <c r="B1619" s="984" t="s">
        <v>3565</v>
      </c>
      <c r="C1619" s="967">
        <v>96318</v>
      </c>
    </row>
    <row r="1620" spans="2:3" x14ac:dyDescent="0.25">
      <c r="B1620" s="984" t="s">
        <v>2438</v>
      </c>
      <c r="C1620" s="967">
        <v>95311</v>
      </c>
    </row>
    <row r="1621" spans="2:3" x14ac:dyDescent="0.25">
      <c r="B1621" s="984" t="s">
        <v>3919</v>
      </c>
      <c r="C1621" s="967">
        <v>95317</v>
      </c>
    </row>
    <row r="1622" spans="2:3" x14ac:dyDescent="0.25">
      <c r="B1622" s="984" t="s">
        <v>2439</v>
      </c>
      <c r="C1622" s="967">
        <v>91421</v>
      </c>
    </row>
    <row r="1623" spans="2:3" x14ac:dyDescent="0.25">
      <c r="B1623" s="984" t="s">
        <v>1918</v>
      </c>
      <c r="C1623" s="967">
        <v>98301</v>
      </c>
    </row>
    <row r="1624" spans="2:3" x14ac:dyDescent="0.25">
      <c r="B1624" s="984" t="s">
        <v>3920</v>
      </c>
      <c r="C1624" s="967">
        <v>98304</v>
      </c>
    </row>
    <row r="1625" spans="2:3" x14ac:dyDescent="0.25">
      <c r="B1625" s="984" t="s">
        <v>2440</v>
      </c>
      <c r="C1625" s="967">
        <v>94241</v>
      </c>
    </row>
    <row r="1626" spans="2:3" x14ac:dyDescent="0.25">
      <c r="B1626" s="984" t="s">
        <v>2441</v>
      </c>
      <c r="C1626" s="967">
        <v>96681</v>
      </c>
    </row>
    <row r="1627" spans="2:3" x14ac:dyDescent="0.25">
      <c r="B1627" s="984" t="s">
        <v>3921</v>
      </c>
      <c r="C1627" s="967">
        <v>72593</v>
      </c>
    </row>
    <row r="1628" spans="2:3" x14ac:dyDescent="0.25">
      <c r="B1628" s="984" t="s">
        <v>2442</v>
      </c>
      <c r="C1628" s="967">
        <v>95121</v>
      </c>
    </row>
    <row r="1629" spans="2:3" x14ac:dyDescent="0.25">
      <c r="B1629" s="984" t="s">
        <v>1641</v>
      </c>
      <c r="C1629" s="967">
        <v>95123</v>
      </c>
    </row>
    <row r="1630" spans="2:3" x14ac:dyDescent="0.25">
      <c r="B1630" s="984" t="s">
        <v>2443</v>
      </c>
      <c r="C1630" s="967">
        <v>99531</v>
      </c>
    </row>
    <row r="1631" spans="2:3" x14ac:dyDescent="0.25">
      <c r="B1631" s="984" t="s">
        <v>2444</v>
      </c>
      <c r="C1631" s="967">
        <v>96671</v>
      </c>
    </row>
    <row r="1632" spans="2:3" x14ac:dyDescent="0.25">
      <c r="B1632" s="984" t="s">
        <v>2445</v>
      </c>
      <c r="C1632" s="967">
        <v>91081</v>
      </c>
    </row>
    <row r="1633" spans="2:3" x14ac:dyDescent="0.25">
      <c r="B1633" s="984" t="s">
        <v>3922</v>
      </c>
      <c r="C1633" s="967">
        <v>91057</v>
      </c>
    </row>
    <row r="1634" spans="2:3" x14ac:dyDescent="0.25">
      <c r="B1634" s="984" t="s">
        <v>2446</v>
      </c>
      <c r="C1634" s="967">
        <v>96461</v>
      </c>
    </row>
    <row r="1635" spans="2:3" x14ac:dyDescent="0.25">
      <c r="B1635" s="984" t="s">
        <v>2447</v>
      </c>
      <c r="C1635" s="967">
        <v>92311</v>
      </c>
    </row>
    <row r="1636" spans="2:3" x14ac:dyDescent="0.25">
      <c r="B1636" s="984" t="s">
        <v>3923</v>
      </c>
      <c r="C1636" s="967">
        <v>92317</v>
      </c>
    </row>
    <row r="1637" spans="2:3" x14ac:dyDescent="0.25">
      <c r="B1637" s="984" t="s">
        <v>1813</v>
      </c>
      <c r="C1637" s="967">
        <v>97405</v>
      </c>
    </row>
    <row r="1638" spans="2:3" x14ac:dyDescent="0.25">
      <c r="B1638" s="984" t="s">
        <v>2448</v>
      </c>
      <c r="C1638" s="967">
        <v>91911</v>
      </c>
    </row>
    <row r="1639" spans="2:3" x14ac:dyDescent="0.25">
      <c r="B1639" s="984" t="s">
        <v>3924</v>
      </c>
      <c r="C1639" s="967">
        <v>91917</v>
      </c>
    </row>
    <row r="1640" spans="2:3" x14ac:dyDescent="0.25">
      <c r="B1640" s="984" t="s">
        <v>2449</v>
      </c>
      <c r="C1640" s="967">
        <v>97481</v>
      </c>
    </row>
    <row r="1641" spans="2:3" x14ac:dyDescent="0.25">
      <c r="B1641" s="984" t="s">
        <v>3925</v>
      </c>
      <c r="C1641" s="967">
        <v>91138</v>
      </c>
    </row>
    <row r="1642" spans="2:3" x14ac:dyDescent="0.25">
      <c r="B1642" s="984" t="s">
        <v>2450</v>
      </c>
      <c r="C1642" s="967">
        <v>95111</v>
      </c>
    </row>
    <row r="1643" spans="2:3" x14ac:dyDescent="0.25">
      <c r="B1643" s="984" t="s">
        <v>1638</v>
      </c>
      <c r="C1643" s="967">
        <v>95113</v>
      </c>
    </row>
    <row r="1644" spans="2:3" x14ac:dyDescent="0.25">
      <c r="B1644" s="984" t="s">
        <v>2451</v>
      </c>
      <c r="C1644" s="967">
        <v>94021</v>
      </c>
    </row>
    <row r="1645" spans="2:3" x14ac:dyDescent="0.25">
      <c r="B1645" s="984" t="s">
        <v>3926</v>
      </c>
      <c r="C1645" s="967">
        <v>90918</v>
      </c>
    </row>
    <row r="1646" spans="2:3" x14ac:dyDescent="0.25">
      <c r="B1646" s="984" t="s">
        <v>3927</v>
      </c>
      <c r="C1646" s="967">
        <v>93910</v>
      </c>
    </row>
    <row r="1647" spans="2:3" x14ac:dyDescent="0.25">
      <c r="B1647" s="984" t="s">
        <v>3566</v>
      </c>
      <c r="C1647" s="967">
        <v>91013</v>
      </c>
    </row>
    <row r="1648" spans="2:3" x14ac:dyDescent="0.25">
      <c r="B1648" s="984" t="s">
        <v>2452</v>
      </c>
      <c r="C1648" s="967">
        <v>96311</v>
      </c>
    </row>
    <row r="1649" spans="2:3" x14ac:dyDescent="0.25">
      <c r="B1649" s="984" t="s">
        <v>2453</v>
      </c>
      <c r="C1649" s="967">
        <v>92841</v>
      </c>
    </row>
    <row r="1650" spans="2:3" x14ac:dyDescent="0.25">
      <c r="B1650" s="984" t="s">
        <v>2021</v>
      </c>
      <c r="C1650" s="967">
        <v>99609</v>
      </c>
    </row>
    <row r="1651" spans="2:3" x14ac:dyDescent="0.25">
      <c r="B1651" s="984" t="s">
        <v>2454</v>
      </c>
      <c r="C1651" s="967">
        <v>91011</v>
      </c>
    </row>
    <row r="1652" spans="2:3" x14ac:dyDescent="0.25">
      <c r="B1652" s="984" t="s">
        <v>3928</v>
      </c>
      <c r="C1652" s="967">
        <v>91017</v>
      </c>
    </row>
    <row r="1653" spans="2:3" x14ac:dyDescent="0.25">
      <c r="B1653" s="984" t="s">
        <v>3929</v>
      </c>
      <c r="C1653" s="967">
        <v>95008</v>
      </c>
    </row>
    <row r="1654" spans="2:3" x14ac:dyDescent="0.25">
      <c r="B1654" s="984" t="s">
        <v>2455</v>
      </c>
      <c r="C1654" s="967">
        <v>72657</v>
      </c>
    </row>
    <row r="1655" spans="2:3" x14ac:dyDescent="0.25">
      <c r="B1655" s="984" t="s">
        <v>3930</v>
      </c>
      <c r="C1655" s="967">
        <v>90307</v>
      </c>
    </row>
    <row r="1656" spans="2:3" x14ac:dyDescent="0.25">
      <c r="B1656" s="984" t="s">
        <v>2456</v>
      </c>
      <c r="C1656" s="967">
        <v>98031</v>
      </c>
    </row>
    <row r="1657" spans="2:3" x14ac:dyDescent="0.25">
      <c r="B1657" s="984" t="s">
        <v>2457</v>
      </c>
      <c r="C1657" s="967">
        <v>98121</v>
      </c>
    </row>
    <row r="1658" spans="2:3" x14ac:dyDescent="0.25">
      <c r="B1658" s="984" t="s">
        <v>2458</v>
      </c>
      <c r="C1658" s="967">
        <v>96411</v>
      </c>
    </row>
    <row r="1659" spans="2:3" x14ac:dyDescent="0.25">
      <c r="B1659" s="984" t="s">
        <v>2459</v>
      </c>
      <c r="C1659" s="967">
        <v>92661</v>
      </c>
    </row>
    <row r="1660" spans="2:3" x14ac:dyDescent="0.25">
      <c r="B1660" s="984" t="s">
        <v>2460</v>
      </c>
      <c r="C1660" s="967">
        <v>96111</v>
      </c>
    </row>
    <row r="1661" spans="2:3" x14ac:dyDescent="0.25">
      <c r="B1661" s="984" t="s">
        <v>3931</v>
      </c>
      <c r="C1661" s="967">
        <v>91032</v>
      </c>
    </row>
    <row r="1662" spans="2:3" x14ac:dyDescent="0.25">
      <c r="B1662" s="984" t="s">
        <v>3932</v>
      </c>
      <c r="C1662" s="967">
        <v>97831</v>
      </c>
    </row>
    <row r="1663" spans="2:3" x14ac:dyDescent="0.25">
      <c r="B1663" s="984" t="s">
        <v>3933</v>
      </c>
      <c r="C1663" s="967">
        <v>97837</v>
      </c>
    </row>
    <row r="1664" spans="2:3" x14ac:dyDescent="0.25">
      <c r="B1664" s="984" t="s">
        <v>2461</v>
      </c>
      <c r="C1664" s="967">
        <v>96061</v>
      </c>
    </row>
    <row r="1665" spans="2:3" x14ac:dyDescent="0.25">
      <c r="B1665" s="984" t="s">
        <v>2462</v>
      </c>
      <c r="C1665" s="967">
        <v>98481</v>
      </c>
    </row>
    <row r="1666" spans="2:3" x14ac:dyDescent="0.25">
      <c r="B1666" s="984" t="s">
        <v>2463</v>
      </c>
      <c r="C1666" s="967">
        <v>93602</v>
      </c>
    </row>
    <row r="1667" spans="2:3" x14ac:dyDescent="0.25">
      <c r="B1667" s="984" t="s">
        <v>1925</v>
      </c>
      <c r="C1667" s="967">
        <v>98401</v>
      </c>
    </row>
    <row r="1668" spans="2:3" x14ac:dyDescent="0.25">
      <c r="B1668" s="984" t="s">
        <v>2464</v>
      </c>
      <c r="C1668" s="967">
        <v>99821</v>
      </c>
    </row>
    <row r="1669" spans="2:3" x14ac:dyDescent="0.25">
      <c r="B1669" s="984" t="s">
        <v>2465</v>
      </c>
      <c r="C1669" s="967">
        <v>96211</v>
      </c>
    </row>
    <row r="1670" spans="2:3" x14ac:dyDescent="0.25">
      <c r="B1670" s="984" t="s">
        <v>2466</v>
      </c>
      <c r="C1670" s="967">
        <v>94911</v>
      </c>
    </row>
    <row r="1671" spans="2:3" x14ac:dyDescent="0.25">
      <c r="B1671" s="984" t="s">
        <v>3934</v>
      </c>
      <c r="C1671" s="967">
        <v>94917</v>
      </c>
    </row>
    <row r="1672" spans="2:3" x14ac:dyDescent="0.25">
      <c r="B1672" s="984" t="s">
        <v>2467</v>
      </c>
      <c r="C1672" s="967">
        <v>92621</v>
      </c>
    </row>
    <row r="1673" spans="2:3" x14ac:dyDescent="0.25">
      <c r="B1673" s="984" t="s">
        <v>1934</v>
      </c>
      <c r="C1673" s="967">
        <v>98501</v>
      </c>
    </row>
    <row r="1674" spans="2:3" x14ac:dyDescent="0.25">
      <c r="B1674" s="984" t="s">
        <v>2468</v>
      </c>
      <c r="C1674" s="967">
        <v>97931</v>
      </c>
    </row>
    <row r="1675" spans="2:3" x14ac:dyDescent="0.25">
      <c r="B1675" s="984" t="s">
        <v>2469</v>
      </c>
      <c r="C1675" s="967">
        <v>93914</v>
      </c>
    </row>
    <row r="1676" spans="2:3" x14ac:dyDescent="0.25">
      <c r="B1676" s="984" t="s">
        <v>2470</v>
      </c>
      <c r="C1676" s="967">
        <v>90651</v>
      </c>
    </row>
    <row r="1677" spans="2:3" x14ac:dyDescent="0.25">
      <c r="B1677" s="984" t="s">
        <v>2471</v>
      </c>
      <c r="C1677" s="967">
        <v>94171</v>
      </c>
    </row>
    <row r="1678" spans="2:3" x14ac:dyDescent="0.25">
      <c r="B1678" s="984" t="s">
        <v>1563</v>
      </c>
      <c r="C1678" s="967">
        <v>94172</v>
      </c>
    </row>
    <row r="1679" spans="2:3" x14ac:dyDescent="0.25">
      <c r="B1679" s="984" t="s">
        <v>2472</v>
      </c>
      <c r="C1679" s="967">
        <v>91041</v>
      </c>
    </row>
    <row r="1680" spans="2:3" x14ac:dyDescent="0.25">
      <c r="B1680" s="984" t="s">
        <v>3935</v>
      </c>
      <c r="C1680" s="967">
        <v>91047</v>
      </c>
    </row>
    <row r="1681" spans="2:3" x14ac:dyDescent="0.25">
      <c r="B1681" s="984" t="s">
        <v>1801</v>
      </c>
      <c r="C1681" s="967">
        <v>97131</v>
      </c>
    </row>
    <row r="1682" spans="2:3" x14ac:dyDescent="0.25">
      <c r="B1682" s="984" t="s">
        <v>1938</v>
      </c>
      <c r="C1682" s="967">
        <v>98601</v>
      </c>
    </row>
    <row r="1683" spans="2:3" x14ac:dyDescent="0.25">
      <c r="B1683" s="984" t="s">
        <v>1948</v>
      </c>
      <c r="C1683" s="967">
        <v>98701</v>
      </c>
    </row>
    <row r="1684" spans="2:3" x14ac:dyDescent="0.25">
      <c r="B1684" s="984" t="s">
        <v>2473</v>
      </c>
      <c r="C1684" s="967">
        <v>96721</v>
      </c>
    </row>
    <row r="1685" spans="2:3" x14ac:dyDescent="0.25">
      <c r="B1685" s="984" t="s">
        <v>2474</v>
      </c>
      <c r="C1685" s="967">
        <v>95011</v>
      </c>
    </row>
    <row r="1686" spans="2:3" x14ac:dyDescent="0.25">
      <c r="B1686" s="984" t="s">
        <v>2475</v>
      </c>
      <c r="C1686" s="967">
        <v>92451</v>
      </c>
    </row>
    <row r="1687" spans="2:3" x14ac:dyDescent="0.25">
      <c r="B1687" s="984" t="s">
        <v>2476</v>
      </c>
      <c r="C1687" s="967">
        <v>93311</v>
      </c>
    </row>
    <row r="1688" spans="2:3" x14ac:dyDescent="0.25">
      <c r="B1688" s="984" t="s">
        <v>1481</v>
      </c>
      <c r="C1688" s="967">
        <v>93317</v>
      </c>
    </row>
    <row r="1689" spans="2:3" x14ac:dyDescent="0.25">
      <c r="B1689" s="984" t="s">
        <v>2477</v>
      </c>
      <c r="C1689" s="967">
        <v>90211</v>
      </c>
    </row>
    <row r="1690" spans="2:3" x14ac:dyDescent="0.25">
      <c r="B1690" s="984" t="s">
        <v>2478</v>
      </c>
      <c r="C1690" s="967">
        <v>96302</v>
      </c>
    </row>
    <row r="1691" spans="2:3" x14ac:dyDescent="0.25">
      <c r="B1691" s="984" t="s">
        <v>2479</v>
      </c>
      <c r="C1691" s="967">
        <v>93181</v>
      </c>
    </row>
    <row r="1692" spans="2:3" x14ac:dyDescent="0.25">
      <c r="B1692" s="984" t="s">
        <v>2480</v>
      </c>
      <c r="C1692" s="967">
        <v>92911</v>
      </c>
    </row>
    <row r="1693" spans="2:3" x14ac:dyDescent="0.25">
      <c r="B1693" s="984" t="s">
        <v>3936</v>
      </c>
      <c r="C1693" s="967">
        <v>92914</v>
      </c>
    </row>
    <row r="1694" spans="2:3" x14ac:dyDescent="0.25">
      <c r="B1694" s="984" t="s">
        <v>1446</v>
      </c>
      <c r="C1694" s="967">
        <v>92913</v>
      </c>
    </row>
    <row r="1695" spans="2:3" x14ac:dyDescent="0.25">
      <c r="B1695" s="984" t="s">
        <v>2481</v>
      </c>
      <c r="C1695" s="967">
        <v>93471</v>
      </c>
    </row>
    <row r="1696" spans="2:3" x14ac:dyDescent="0.25">
      <c r="B1696" s="984" t="s">
        <v>3937</v>
      </c>
      <c r="C1696" s="967">
        <v>90098</v>
      </c>
    </row>
    <row r="1697" spans="2:3" x14ac:dyDescent="0.25">
      <c r="B1697" s="984" t="s">
        <v>2482</v>
      </c>
      <c r="C1697" s="967">
        <v>97121</v>
      </c>
    </row>
    <row r="1698" spans="2:3" x14ac:dyDescent="0.25">
      <c r="B1698" s="984" t="s">
        <v>1951</v>
      </c>
      <c r="C1698" s="967">
        <v>98801</v>
      </c>
    </row>
    <row r="1699" spans="2:3" x14ac:dyDescent="0.25">
      <c r="B1699" s="984" t="s">
        <v>2483</v>
      </c>
      <c r="C1699" s="967">
        <v>92521</v>
      </c>
    </row>
    <row r="1700" spans="2:3" x14ac:dyDescent="0.25">
      <c r="B1700" s="984" t="s">
        <v>3567</v>
      </c>
      <c r="C1700" s="967">
        <v>93417</v>
      </c>
    </row>
    <row r="1701" spans="2:3" x14ac:dyDescent="0.25">
      <c r="B1701" s="984" t="s">
        <v>1476</v>
      </c>
      <c r="C1701" s="967">
        <v>93219</v>
      </c>
    </row>
    <row r="1702" spans="2:3" x14ac:dyDescent="0.25">
      <c r="B1702" s="984" t="s">
        <v>3568</v>
      </c>
      <c r="C1702" s="967">
        <v>92513</v>
      </c>
    </row>
    <row r="1703" spans="2:3" x14ac:dyDescent="0.25">
      <c r="B1703" s="984" t="s">
        <v>2484</v>
      </c>
      <c r="C1703" s="967">
        <v>97661</v>
      </c>
    </row>
    <row r="1704" spans="2:3" x14ac:dyDescent="0.25">
      <c r="B1704" s="984" t="s">
        <v>2485</v>
      </c>
      <c r="C1704" s="967">
        <v>94931</v>
      </c>
    </row>
    <row r="1705" spans="2:3" x14ac:dyDescent="0.25">
      <c r="B1705" s="984" t="s">
        <v>2486</v>
      </c>
      <c r="C1705" s="967">
        <v>96221</v>
      </c>
    </row>
    <row r="1706" spans="2:3" x14ac:dyDescent="0.25">
      <c r="B1706" s="984" t="s">
        <v>2487</v>
      </c>
      <c r="C1706" s="967">
        <v>97511</v>
      </c>
    </row>
    <row r="1707" spans="2:3" x14ac:dyDescent="0.25">
      <c r="B1707" s="984" t="s">
        <v>3938</v>
      </c>
      <c r="C1707" s="967">
        <v>95002</v>
      </c>
    </row>
    <row r="1708" spans="2:3" x14ac:dyDescent="0.25">
      <c r="B1708" s="984" t="s">
        <v>2488</v>
      </c>
      <c r="C1708" s="967">
        <v>98251</v>
      </c>
    </row>
    <row r="1709" spans="2:3" x14ac:dyDescent="0.25">
      <c r="B1709" s="984" t="s">
        <v>3939</v>
      </c>
      <c r="C1709" s="967">
        <v>98904</v>
      </c>
    </row>
    <row r="1710" spans="2:3" x14ac:dyDescent="0.25">
      <c r="B1710" s="984" t="s">
        <v>1954</v>
      </c>
      <c r="C1710" s="967">
        <v>98901</v>
      </c>
    </row>
    <row r="1711" spans="2:3" x14ac:dyDescent="0.25">
      <c r="B1711" s="984" t="s">
        <v>1957</v>
      </c>
      <c r="C1711" s="967">
        <v>99001</v>
      </c>
    </row>
    <row r="1712" spans="2:3" x14ac:dyDescent="0.25">
      <c r="B1712" s="984" t="s">
        <v>2489</v>
      </c>
      <c r="C1712" s="967">
        <v>99061</v>
      </c>
    </row>
    <row r="1713" spans="2:3" x14ac:dyDescent="0.25">
      <c r="B1713" s="984" t="s">
        <v>3940</v>
      </c>
      <c r="C1713" s="967">
        <v>93309</v>
      </c>
    </row>
    <row r="1714" spans="2:3" x14ac:dyDescent="0.25">
      <c r="B1714" s="984" t="s">
        <v>2490</v>
      </c>
      <c r="C1714" s="967">
        <v>91211</v>
      </c>
    </row>
    <row r="1715" spans="2:3" x14ac:dyDescent="0.25">
      <c r="B1715" s="984" t="s">
        <v>1306</v>
      </c>
      <c r="C1715" s="967">
        <v>91213</v>
      </c>
    </row>
    <row r="1716" spans="2:3" x14ac:dyDescent="0.25">
      <c r="B1716" s="984" t="s">
        <v>1971</v>
      </c>
      <c r="C1716" s="967">
        <v>99101</v>
      </c>
    </row>
    <row r="1717" spans="2:3" x14ac:dyDescent="0.25">
      <c r="B1717" s="984" t="s">
        <v>3941</v>
      </c>
      <c r="C1717" s="967">
        <v>99104</v>
      </c>
    </row>
    <row r="1718" spans="2:3" x14ac:dyDescent="0.25">
      <c r="B1718" s="984" t="s">
        <v>2491</v>
      </c>
      <c r="C1718" s="967">
        <v>92551</v>
      </c>
    </row>
    <row r="1719" spans="2:3" x14ac:dyDescent="0.25">
      <c r="B1719" s="984" t="s">
        <v>2492</v>
      </c>
      <c r="C1719" s="967">
        <v>96321</v>
      </c>
    </row>
    <row r="1720" spans="2:3" x14ac:dyDescent="0.25">
      <c r="B1720" s="984" t="s">
        <v>3942</v>
      </c>
      <c r="C1720" s="967">
        <v>95009</v>
      </c>
    </row>
    <row r="1721" spans="2:3" x14ac:dyDescent="0.25">
      <c r="B1721" s="984" t="s">
        <v>2493</v>
      </c>
      <c r="C1721" s="967">
        <v>92641</v>
      </c>
    </row>
    <row r="1722" spans="2:3" x14ac:dyDescent="0.25">
      <c r="B1722" s="984" t="s">
        <v>2494</v>
      </c>
      <c r="C1722" s="967">
        <v>90411</v>
      </c>
    </row>
    <row r="1723" spans="2:3" x14ac:dyDescent="0.25">
      <c r="B1723" s="984" t="s">
        <v>3943</v>
      </c>
      <c r="C1723" s="967">
        <v>90417</v>
      </c>
    </row>
    <row r="1724" spans="2:3" x14ac:dyDescent="0.25">
      <c r="B1724" s="984" t="s">
        <v>1212</v>
      </c>
      <c r="C1724" s="967">
        <v>90413</v>
      </c>
    </row>
    <row r="1725" spans="2:3" x14ac:dyDescent="0.25">
      <c r="B1725" s="984" t="s">
        <v>2495</v>
      </c>
      <c r="C1725" s="967">
        <v>98321</v>
      </c>
    </row>
    <row r="1726" spans="2:3" x14ac:dyDescent="0.25">
      <c r="B1726" s="984" t="s">
        <v>1976</v>
      </c>
      <c r="C1726" s="967">
        <v>99201</v>
      </c>
    </row>
    <row r="1727" spans="2:3" x14ac:dyDescent="0.25">
      <c r="B1727" s="984" t="s">
        <v>3944</v>
      </c>
      <c r="C1727" s="967">
        <v>99204</v>
      </c>
    </row>
    <row r="1728" spans="2:3" x14ac:dyDescent="0.25">
      <c r="B1728" s="984" t="s">
        <v>1981</v>
      </c>
      <c r="C1728" s="967">
        <v>99207</v>
      </c>
    </row>
    <row r="1729" spans="2:3" x14ac:dyDescent="0.25">
      <c r="B1729" s="984" t="s">
        <v>2496</v>
      </c>
      <c r="C1729" s="967">
        <v>99281</v>
      </c>
    </row>
    <row r="1730" spans="2:3" x14ac:dyDescent="0.25">
      <c r="B1730" s="984" t="s">
        <v>2497</v>
      </c>
      <c r="C1730" s="967">
        <v>93461</v>
      </c>
    </row>
    <row r="1731" spans="2:3" x14ac:dyDescent="0.25">
      <c r="B1731" s="984" t="s">
        <v>2498</v>
      </c>
      <c r="C1731" s="967">
        <v>93151</v>
      </c>
    </row>
    <row r="1732" spans="2:3" x14ac:dyDescent="0.25">
      <c r="B1732" s="984" t="s">
        <v>3945</v>
      </c>
      <c r="C1732" s="967">
        <v>93157</v>
      </c>
    </row>
    <row r="1733" spans="2:3" x14ac:dyDescent="0.25">
      <c r="B1733" s="984" t="s">
        <v>2499</v>
      </c>
      <c r="C1733" s="967">
        <v>98511</v>
      </c>
    </row>
    <row r="1734" spans="2:3" x14ac:dyDescent="0.25">
      <c r="B1734" s="984" t="s">
        <v>3946</v>
      </c>
      <c r="C1734" s="967">
        <v>98517</v>
      </c>
    </row>
    <row r="1735" spans="2:3" x14ac:dyDescent="0.25">
      <c r="B1735" s="984" t="s">
        <v>2500</v>
      </c>
      <c r="C1735" s="967">
        <v>99661</v>
      </c>
    </row>
    <row r="1736" spans="2:3" x14ac:dyDescent="0.25">
      <c r="B1736" s="984" t="s">
        <v>2501</v>
      </c>
      <c r="C1736" s="967">
        <v>94031</v>
      </c>
    </row>
    <row r="1737" spans="2:3" x14ac:dyDescent="0.25">
      <c r="B1737" s="984" t="s">
        <v>1998</v>
      </c>
      <c r="C1737" s="967">
        <v>99301</v>
      </c>
    </row>
    <row r="1738" spans="2:3" x14ac:dyDescent="0.25">
      <c r="B1738" s="984" t="s">
        <v>3947</v>
      </c>
      <c r="C1738" s="967">
        <v>99304</v>
      </c>
    </row>
    <row r="1739" spans="2:3" x14ac:dyDescent="0.25">
      <c r="B1739" s="984" t="s">
        <v>2502</v>
      </c>
      <c r="C1739" s="967">
        <v>99321</v>
      </c>
    </row>
    <row r="1740" spans="2:3" x14ac:dyDescent="0.25">
      <c r="B1740" s="984" t="s">
        <v>2503</v>
      </c>
      <c r="C1740" s="967">
        <v>93131</v>
      </c>
    </row>
    <row r="1741" spans="2:3" x14ac:dyDescent="0.25">
      <c r="B1741" s="984" t="s">
        <v>3948</v>
      </c>
      <c r="C1741" s="967">
        <v>93137</v>
      </c>
    </row>
    <row r="1742" spans="2:3" x14ac:dyDescent="0.25">
      <c r="B1742" s="984" t="s">
        <v>2504</v>
      </c>
      <c r="C1742" s="967">
        <v>90711</v>
      </c>
    </row>
    <row r="1743" spans="2:3" x14ac:dyDescent="0.25">
      <c r="B1743" s="984" t="s">
        <v>2002</v>
      </c>
      <c r="C1743" s="967">
        <v>99401</v>
      </c>
    </row>
    <row r="1744" spans="2:3" x14ac:dyDescent="0.25">
      <c r="B1744" s="984" t="s">
        <v>3949</v>
      </c>
      <c r="C1744" s="967">
        <v>99404</v>
      </c>
    </row>
    <row r="1745" spans="2:3" x14ac:dyDescent="0.25">
      <c r="B1745" s="984" t="s">
        <v>2505</v>
      </c>
      <c r="C1745" s="967">
        <v>90741</v>
      </c>
    </row>
    <row r="1746" spans="2:3" x14ac:dyDescent="0.25">
      <c r="B1746" s="984" t="s">
        <v>2009</v>
      </c>
      <c r="C1746" s="967">
        <v>99501</v>
      </c>
    </row>
    <row r="1747" spans="2:3" x14ac:dyDescent="0.25">
      <c r="B1747" s="984" t="s">
        <v>3950</v>
      </c>
      <c r="C1747" s="967">
        <v>99509</v>
      </c>
    </row>
    <row r="1748" spans="2:3" x14ac:dyDescent="0.25">
      <c r="B1748" s="984" t="s">
        <v>3951</v>
      </c>
      <c r="C1748" s="974">
        <v>91302</v>
      </c>
    </row>
    <row r="1749" spans="2:3" x14ac:dyDescent="0.25">
      <c r="B1749" s="984" t="s">
        <v>2506</v>
      </c>
      <c r="C1749" s="967">
        <v>99041</v>
      </c>
    </row>
    <row r="1750" spans="2:3" x14ac:dyDescent="0.25">
      <c r="B1750" s="984" t="s">
        <v>3952</v>
      </c>
      <c r="C1750" s="967">
        <v>99047</v>
      </c>
    </row>
    <row r="1751" spans="2:3" x14ac:dyDescent="0.25">
      <c r="B1751" s="984" t="s">
        <v>2017</v>
      </c>
      <c r="C1751" s="967">
        <v>99601</v>
      </c>
    </row>
    <row r="1752" spans="2:3" x14ac:dyDescent="0.25">
      <c r="B1752" s="984" t="s">
        <v>3953</v>
      </c>
      <c r="C1752" s="967">
        <v>99604</v>
      </c>
    </row>
    <row r="1753" spans="2:3" x14ac:dyDescent="0.25">
      <c r="B1753" s="984" t="s">
        <v>2507</v>
      </c>
      <c r="C1753" s="967">
        <v>94411</v>
      </c>
    </row>
    <row r="1754" spans="2:3" x14ac:dyDescent="0.25">
      <c r="B1754" s="984" t="s">
        <v>3954</v>
      </c>
      <c r="C1754" s="967">
        <v>94412</v>
      </c>
    </row>
    <row r="1755" spans="2:3" x14ac:dyDescent="0.25">
      <c r="B1755" s="984" t="s">
        <v>2508</v>
      </c>
      <c r="C1755" s="967">
        <v>91141</v>
      </c>
    </row>
    <row r="1756" spans="2:3" x14ac:dyDescent="0.25">
      <c r="B1756" s="984" t="s">
        <v>3955</v>
      </c>
      <c r="C1756" s="967">
        <v>91147</v>
      </c>
    </row>
    <row r="1757" spans="2:3" x14ac:dyDescent="0.25">
      <c r="B1757" s="984" t="s">
        <v>2509</v>
      </c>
      <c r="C1757" s="967">
        <v>99071</v>
      </c>
    </row>
    <row r="1758" spans="2:3" x14ac:dyDescent="0.25">
      <c r="B1758" s="984" t="s">
        <v>2510</v>
      </c>
      <c r="C1758" s="967">
        <v>94231</v>
      </c>
    </row>
    <row r="1759" spans="2:3" x14ac:dyDescent="0.25">
      <c r="B1759" s="984" t="s">
        <v>2511</v>
      </c>
      <c r="C1759" s="967">
        <v>99231</v>
      </c>
    </row>
    <row r="1760" spans="2:3" x14ac:dyDescent="0.25">
      <c r="B1760" s="984" t="s">
        <v>2512</v>
      </c>
      <c r="C1760" s="967">
        <v>99091</v>
      </c>
    </row>
    <row r="1761" spans="2:3" x14ac:dyDescent="0.25">
      <c r="B1761" s="984" t="s">
        <v>3956</v>
      </c>
      <c r="C1761" s="967">
        <v>91120</v>
      </c>
    </row>
    <row r="1762" spans="2:3" x14ac:dyDescent="0.25">
      <c r="B1762" s="984" t="s">
        <v>3570</v>
      </c>
      <c r="C1762" s="967">
        <v>92444</v>
      </c>
    </row>
    <row r="1763" spans="2:3" x14ac:dyDescent="0.25">
      <c r="B1763" s="984" t="s">
        <v>2513</v>
      </c>
      <c r="C1763" s="967">
        <v>90521</v>
      </c>
    </row>
    <row r="1764" spans="2:3" x14ac:dyDescent="0.25">
      <c r="B1764" s="984" t="s">
        <v>3957</v>
      </c>
      <c r="C1764" s="967">
        <v>90507</v>
      </c>
    </row>
    <row r="1765" spans="2:3" x14ac:dyDescent="0.25">
      <c r="B1765" s="984" t="s">
        <v>3958</v>
      </c>
      <c r="C1765" s="967">
        <v>92602</v>
      </c>
    </row>
    <row r="1766" spans="2:3" x14ac:dyDescent="0.25">
      <c r="B1766" s="984" t="s">
        <v>3959</v>
      </c>
      <c r="C1766" s="967">
        <v>91608</v>
      </c>
    </row>
    <row r="1767" spans="2:3" x14ac:dyDescent="0.25">
      <c r="B1767" s="984" t="s">
        <v>2514</v>
      </c>
      <c r="C1767" s="967">
        <v>91119</v>
      </c>
    </row>
    <row r="1768" spans="2:3" x14ac:dyDescent="0.25">
      <c r="B1768" s="984" t="s">
        <v>3960</v>
      </c>
      <c r="C1768" s="967">
        <v>91107</v>
      </c>
    </row>
    <row r="1769" spans="2:3" x14ac:dyDescent="0.25">
      <c r="B1769" s="984" t="s">
        <v>3961</v>
      </c>
      <c r="C1769" s="967">
        <v>91818</v>
      </c>
    </row>
    <row r="1770" spans="2:3" x14ac:dyDescent="0.25">
      <c r="B1770" s="984" t="s">
        <v>1359</v>
      </c>
      <c r="C1770" s="967">
        <v>91819</v>
      </c>
    </row>
    <row r="1771" spans="2:3" x14ac:dyDescent="0.25">
      <c r="B1771" s="984" t="s">
        <v>2515</v>
      </c>
      <c r="C1771" s="967">
        <v>96371</v>
      </c>
    </row>
    <row r="1772" spans="2:3" x14ac:dyDescent="0.25">
      <c r="B1772" s="984" t="s">
        <v>2516</v>
      </c>
      <c r="C1772" s="967">
        <v>96441</v>
      </c>
    </row>
    <row r="1773" spans="2:3" x14ac:dyDescent="0.25">
      <c r="B1773" s="984" t="s">
        <v>2517</v>
      </c>
      <c r="C1773" s="967">
        <v>90921</v>
      </c>
    </row>
    <row r="1774" spans="2:3" x14ac:dyDescent="0.25">
      <c r="B1774" s="984" t="s">
        <v>2518</v>
      </c>
      <c r="C1774" s="967">
        <v>92411</v>
      </c>
    </row>
    <row r="1775" spans="2:3" x14ac:dyDescent="0.25">
      <c r="B1775" s="984" t="s">
        <v>3962</v>
      </c>
      <c r="C1775" s="967">
        <v>92417</v>
      </c>
    </row>
    <row r="1776" spans="2:3" x14ac:dyDescent="0.25">
      <c r="B1776" s="984" t="s">
        <v>1395</v>
      </c>
      <c r="C1776" s="967">
        <v>92403</v>
      </c>
    </row>
    <row r="1777" spans="2:3" x14ac:dyDescent="0.25">
      <c r="B1777" s="984" t="s">
        <v>2029</v>
      </c>
      <c r="C1777" s="967">
        <v>99701</v>
      </c>
    </row>
    <row r="1778" spans="2:3" x14ac:dyDescent="0.25">
      <c r="B1778" s="984" t="s">
        <v>2519</v>
      </c>
      <c r="C1778" s="967">
        <v>99721</v>
      </c>
    </row>
    <row r="1779" spans="2:3" x14ac:dyDescent="0.25">
      <c r="B1779" s="984" t="s">
        <v>3963</v>
      </c>
      <c r="C1779" s="967">
        <v>99727</v>
      </c>
    </row>
    <row r="1780" spans="2:3" x14ac:dyDescent="0.25">
      <c r="B1780" s="984" t="s">
        <v>2520</v>
      </c>
      <c r="C1780" s="967">
        <v>95811</v>
      </c>
    </row>
    <row r="1781" spans="2:3" x14ac:dyDescent="0.25">
      <c r="B1781" s="984" t="s">
        <v>1684</v>
      </c>
      <c r="C1781" s="967">
        <v>95813</v>
      </c>
    </row>
    <row r="1782" spans="2:3" x14ac:dyDescent="0.25">
      <c r="B1782" s="984" t="s">
        <v>2521</v>
      </c>
      <c r="C1782" s="967">
        <v>96531</v>
      </c>
    </row>
    <row r="1783" spans="2:3" x14ac:dyDescent="0.25">
      <c r="B1783" s="984" t="s">
        <v>1746</v>
      </c>
      <c r="C1783" s="967">
        <v>96503</v>
      </c>
    </row>
    <row r="1784" spans="2:3" x14ac:dyDescent="0.25">
      <c r="B1784" s="984" t="s">
        <v>2522</v>
      </c>
      <c r="C1784" s="967">
        <v>99811</v>
      </c>
    </row>
    <row r="1785" spans="2:3" x14ac:dyDescent="0.25">
      <c r="B1785" s="984" t="s">
        <v>3964</v>
      </c>
      <c r="C1785" s="967">
        <v>99818</v>
      </c>
    </row>
    <row r="1786" spans="2:3" x14ac:dyDescent="0.25">
      <c r="B1786" s="984" t="s">
        <v>2035</v>
      </c>
      <c r="C1786" s="967">
        <v>99801</v>
      </c>
    </row>
    <row r="1787" spans="2:3" x14ac:dyDescent="0.25">
      <c r="B1787" s="984" t="s">
        <v>3965</v>
      </c>
      <c r="C1787" s="967">
        <v>99804</v>
      </c>
    </row>
    <row r="1788" spans="2:3" x14ac:dyDescent="0.25">
      <c r="B1788" s="984" t="s">
        <v>3966</v>
      </c>
      <c r="C1788" s="967">
        <v>99802</v>
      </c>
    </row>
    <row r="1789" spans="2:3" x14ac:dyDescent="0.25">
      <c r="B1789" s="984" t="s">
        <v>3967</v>
      </c>
      <c r="C1789" s="967">
        <v>99812</v>
      </c>
    </row>
    <row r="1790" spans="2:3" x14ac:dyDescent="0.25">
      <c r="B1790" s="984" t="s">
        <v>3968</v>
      </c>
      <c r="C1790" s="967">
        <v>95191</v>
      </c>
    </row>
    <row r="1791" spans="2:3" x14ac:dyDescent="0.25">
      <c r="B1791" s="984" t="s">
        <v>2523</v>
      </c>
      <c r="C1791" s="967">
        <v>90812</v>
      </c>
    </row>
    <row r="1792" spans="2:3" x14ac:dyDescent="0.25">
      <c r="B1792" s="984" t="s">
        <v>2524</v>
      </c>
      <c r="C1792" s="967">
        <v>97221</v>
      </c>
    </row>
    <row r="1793" spans="2:3" x14ac:dyDescent="0.25">
      <c r="B1793" s="984" t="s">
        <v>2525</v>
      </c>
      <c r="C1793" s="967">
        <v>99031</v>
      </c>
    </row>
    <row r="1794" spans="2:3" x14ac:dyDescent="0.25">
      <c r="B1794" s="984" t="s">
        <v>2526</v>
      </c>
      <c r="C1794" s="967">
        <v>93411</v>
      </c>
    </row>
    <row r="1795" spans="2:3" x14ac:dyDescent="0.25">
      <c r="B1795" s="984" t="s">
        <v>1492</v>
      </c>
      <c r="C1795" s="967">
        <v>93413</v>
      </c>
    </row>
    <row r="1796" spans="2:3" x14ac:dyDescent="0.25">
      <c r="B1796" s="984" t="s">
        <v>2527</v>
      </c>
      <c r="C1796" s="967">
        <v>97451</v>
      </c>
    </row>
    <row r="1797" spans="2:3" x14ac:dyDescent="0.25">
      <c r="B1797" s="984" t="s">
        <v>2528</v>
      </c>
      <c r="C1797" s="967">
        <v>94631</v>
      </c>
    </row>
    <row r="1798" spans="2:3" x14ac:dyDescent="0.25">
      <c r="B1798" s="984" t="s">
        <v>2529</v>
      </c>
      <c r="C1798" s="967">
        <v>91171</v>
      </c>
    </row>
    <row r="1799" spans="2:3" x14ac:dyDescent="0.25">
      <c r="B1799" s="984" t="s">
        <v>1284</v>
      </c>
      <c r="C1799" s="967">
        <v>91104</v>
      </c>
    </row>
    <row r="1800" spans="2:3" x14ac:dyDescent="0.25">
      <c r="B1800" s="984" t="s">
        <v>3969</v>
      </c>
      <c r="C1800" s="967">
        <v>91109</v>
      </c>
    </row>
    <row r="1801" spans="2:3" x14ac:dyDescent="0.25">
      <c r="B1801" s="984" t="s">
        <v>2530</v>
      </c>
      <c r="C1801" s="967">
        <v>96621</v>
      </c>
    </row>
    <row r="1802" spans="2:3" x14ac:dyDescent="0.25">
      <c r="B1802" s="984" t="s">
        <v>2531</v>
      </c>
      <c r="C1802" s="967">
        <v>96511</v>
      </c>
    </row>
    <row r="1803" spans="2:3" x14ac:dyDescent="0.25">
      <c r="B1803" s="984" t="s">
        <v>2045</v>
      </c>
      <c r="C1803" s="967">
        <v>99901</v>
      </c>
    </row>
    <row r="1804" spans="2:3" x14ac:dyDescent="0.25">
      <c r="B1804" s="984" t="s">
        <v>3571</v>
      </c>
      <c r="C1804" s="967">
        <v>98604</v>
      </c>
    </row>
    <row r="1805" spans="2:3" x14ac:dyDescent="0.25">
      <c r="B1805" s="984" t="s">
        <v>1940</v>
      </c>
      <c r="C1805" s="967">
        <v>98608</v>
      </c>
    </row>
    <row r="1806" spans="2:3" x14ac:dyDescent="0.25">
      <c r="B1806" s="984" t="s">
        <v>2532</v>
      </c>
      <c r="C1806" s="967">
        <v>99911</v>
      </c>
    </row>
    <row r="1807" spans="2:3" x14ac:dyDescent="0.25">
      <c r="B1807" s="984" t="s">
        <v>1188</v>
      </c>
      <c r="C1807" s="967">
        <v>90001</v>
      </c>
    </row>
    <row r="1808" spans="2:3" x14ac:dyDescent="0.25">
      <c r="B1808" s="984" t="s">
        <v>3970</v>
      </c>
      <c r="C1808" s="967">
        <v>90002</v>
      </c>
    </row>
    <row r="1809" spans="2:3" x14ac:dyDescent="0.25">
      <c r="B1809" s="984" t="s">
        <v>2533</v>
      </c>
      <c r="C1809" s="967">
        <v>91719</v>
      </c>
    </row>
    <row r="1810" spans="2:3" x14ac:dyDescent="0.25">
      <c r="B1810" s="984" t="s">
        <v>2534</v>
      </c>
      <c r="C1810" s="967">
        <v>93541</v>
      </c>
    </row>
    <row r="1811" spans="2:3" x14ac:dyDescent="0.25">
      <c r="B1811" s="984" t="s">
        <v>2535</v>
      </c>
      <c r="C1811" s="967">
        <v>99241</v>
      </c>
    </row>
    <row r="1812" spans="2:3" x14ac:dyDescent="0.25">
      <c r="B1812" s="796" t="s">
        <v>2646</v>
      </c>
      <c r="C1812" s="823" t="s">
        <v>2647</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490EA-7FCD-4806-920A-7185A8AD6034}">
  <sheetPr>
    <pageSetUpPr fitToPage="1"/>
  </sheetPr>
  <dimension ref="A1:U1910"/>
  <sheetViews>
    <sheetView zoomScale="90" zoomScaleNormal="90" workbookViewId="0">
      <pane ySplit="7" topLeftCell="A557" activePane="bottomLeft" state="frozen"/>
      <selection activeCell="E4" sqref="E4"/>
      <selection pane="bottomLeft" activeCell="E594" sqref="E594"/>
    </sheetView>
  </sheetViews>
  <sheetFormatPr defaultColWidth="9.140625" defaultRowHeight="15" x14ac:dyDescent="0.25"/>
  <cols>
    <col min="1" max="1" width="10.5703125" style="1308" customWidth="1"/>
    <col min="2" max="2" width="48.85546875" style="1308" customWidth="1"/>
    <col min="3" max="3" width="13.85546875" style="1308" customWidth="1"/>
    <col min="4" max="4" width="13.85546875" style="1324" customWidth="1"/>
    <col min="5" max="5" width="30.140625" style="1308" customWidth="1"/>
    <col min="6" max="6" width="3.85546875" style="1308" customWidth="1"/>
    <col min="7" max="7" width="18.28515625" style="1308" customWidth="1"/>
    <col min="8" max="8" width="20" style="1311" customWidth="1"/>
    <col min="9" max="9" width="16.85546875" style="1308" customWidth="1"/>
    <col min="10" max="10" width="19.42578125" style="1308" customWidth="1"/>
    <col min="11" max="11" width="20" style="1311" customWidth="1"/>
    <col min="12" max="12" width="3.85546875" style="1308" customWidth="1"/>
    <col min="13" max="13" width="18.28515625" style="1308" customWidth="1"/>
    <col min="14" max="14" width="11.85546875" style="1308" customWidth="1"/>
    <col min="15" max="15" width="19.42578125" style="1308" customWidth="1"/>
    <col min="16" max="16" width="20" style="1311" customWidth="1"/>
    <col min="17" max="17" width="3.85546875" style="1308" customWidth="1"/>
    <col min="18" max="18" width="21.140625" style="1308" bestFit="1" customWidth="1"/>
    <col min="19" max="19" width="22.42578125" style="1308" customWidth="1"/>
    <col min="20" max="20" width="19.140625" style="1308" bestFit="1" customWidth="1"/>
    <col min="21" max="21" width="13.28515625" style="1308" bestFit="1" customWidth="1"/>
    <col min="22" max="16384" width="9.140625" style="1308"/>
  </cols>
  <sheetData>
    <row r="1" spans="1:21" ht="30" x14ac:dyDescent="0.25">
      <c r="A1" s="1308" t="s">
        <v>4779</v>
      </c>
      <c r="C1" s="1309" t="s">
        <v>4796</v>
      </c>
      <c r="D1" s="1310" t="s">
        <v>4820</v>
      </c>
      <c r="H1" s="1308"/>
    </row>
    <row r="2" spans="1:21" x14ac:dyDescent="0.25">
      <c r="A2" s="1308" t="s">
        <v>3678</v>
      </c>
      <c r="C2" s="1312">
        <v>0</v>
      </c>
      <c r="D2" s="1312">
        <v>0</v>
      </c>
      <c r="E2" s="1313">
        <v>0</v>
      </c>
      <c r="G2" s="1313">
        <v>0</v>
      </c>
      <c r="H2" s="1313">
        <v>0</v>
      </c>
      <c r="I2" s="1313">
        <v>0</v>
      </c>
      <c r="J2" s="1313">
        <v>0</v>
      </c>
      <c r="K2" s="1313">
        <v>0</v>
      </c>
      <c r="M2" s="1313">
        <v>0</v>
      </c>
      <c r="N2" s="1313">
        <v>0</v>
      </c>
      <c r="O2" s="1313">
        <v>0</v>
      </c>
      <c r="P2" s="1313">
        <v>0</v>
      </c>
      <c r="R2" s="1313">
        <v>0</v>
      </c>
      <c r="S2" s="1313">
        <v>0</v>
      </c>
      <c r="T2" s="1313">
        <v>0</v>
      </c>
    </row>
    <row r="3" spans="1:21" s="1318" customFormat="1" x14ac:dyDescent="0.25">
      <c r="A3" s="1314"/>
      <c r="B3" s="1315" t="s">
        <v>923</v>
      </c>
      <c r="C3" s="1316">
        <f>SUM(C8:C920)</f>
        <v>1</v>
      </c>
      <c r="D3" s="1316">
        <f>SUM(D8:D920)</f>
        <v>1</v>
      </c>
      <c r="E3" s="1313">
        <f>SUM(E8:E920)</f>
        <v>2730922015</v>
      </c>
      <c r="F3" s="1313"/>
      <c r="G3" s="1313">
        <f>SUM(G8:G920)</f>
        <v>467603002</v>
      </c>
      <c r="H3" s="1313">
        <f>SUM(H8:H920)</f>
        <v>66610997</v>
      </c>
      <c r="I3" s="1313">
        <f>SUM(I8:I920)</f>
        <v>445095014</v>
      </c>
      <c r="J3" s="1313">
        <f>SUM(J8:J920)</f>
        <v>38373065</v>
      </c>
      <c r="K3" s="1313">
        <f>SUM(K8:K920)</f>
        <v>1017682078</v>
      </c>
      <c r="L3" s="1313"/>
      <c r="M3" s="1313">
        <f>SUM(M8:M920)</f>
        <v>0</v>
      </c>
      <c r="N3" s="1313">
        <f>SUM(N8:N920)</f>
        <v>0</v>
      </c>
      <c r="O3" s="1313">
        <f>SUM(O8:O920)</f>
        <v>38372960</v>
      </c>
      <c r="P3" s="1313">
        <f>SUM(P8:P920)</f>
        <v>38372960</v>
      </c>
      <c r="Q3" s="1313"/>
      <c r="R3" s="1313">
        <f>SUM(R8:R920)</f>
        <v>1216512993</v>
      </c>
      <c r="S3" s="1313">
        <f>SUM(S8:S920)</f>
        <v>24</v>
      </c>
      <c r="T3" s="1313">
        <f>SUM(T8:T920)</f>
        <v>1216513017</v>
      </c>
      <c r="U3" s="1317"/>
    </row>
    <row r="4" spans="1:21" s="1318" customFormat="1" x14ac:dyDescent="0.25">
      <c r="A4" s="1314"/>
      <c r="B4" s="1315" t="s">
        <v>4798</v>
      </c>
      <c r="C4" s="1316">
        <v>1</v>
      </c>
      <c r="D4" s="1316">
        <v>1</v>
      </c>
      <c r="E4" s="1319">
        <v>2730922015</v>
      </c>
      <c r="F4" s="1317"/>
      <c r="G4" s="1317">
        <v>467603002</v>
      </c>
      <c r="H4" s="1320">
        <v>66610997</v>
      </c>
      <c r="I4" s="1317">
        <v>445095014</v>
      </c>
      <c r="J4" s="1317">
        <v>38373065</v>
      </c>
      <c r="K4" s="1320">
        <v>1017682078</v>
      </c>
      <c r="L4" s="1317"/>
      <c r="M4" s="1313">
        <v>0</v>
      </c>
      <c r="N4" s="1313">
        <v>0</v>
      </c>
      <c r="O4" s="1317">
        <v>38372960</v>
      </c>
      <c r="P4" s="1321">
        <v>38372960</v>
      </c>
      <c r="Q4" s="1322"/>
      <c r="R4" s="1322">
        <v>1216512993</v>
      </c>
      <c r="S4" s="1322">
        <v>24</v>
      </c>
      <c r="T4" s="1322">
        <v>1216513017</v>
      </c>
    </row>
    <row r="5" spans="1:21" x14ac:dyDescent="0.25">
      <c r="B5" s="1323">
        <v>0</v>
      </c>
      <c r="C5" s="1323">
        <v>0</v>
      </c>
      <c r="D5" s="1323">
        <v>0</v>
      </c>
      <c r="E5" s="1323">
        <v>0</v>
      </c>
      <c r="G5" s="1323">
        <v>0</v>
      </c>
      <c r="H5" s="1323">
        <v>0</v>
      </c>
      <c r="I5" s="1323">
        <v>0</v>
      </c>
      <c r="J5" s="1323">
        <v>0</v>
      </c>
      <c r="K5" s="1323">
        <v>0</v>
      </c>
      <c r="M5" s="1323">
        <v>0</v>
      </c>
      <c r="N5" s="1323">
        <v>0</v>
      </c>
      <c r="O5" s="1323">
        <v>0</v>
      </c>
      <c r="P5" s="1323">
        <v>0</v>
      </c>
      <c r="R5" s="1323">
        <v>0</v>
      </c>
      <c r="S5" s="1323">
        <v>0</v>
      </c>
      <c r="T5" s="1323">
        <v>0</v>
      </c>
    </row>
    <row r="6" spans="1:21" x14ac:dyDescent="0.25">
      <c r="G6" s="1325" t="s">
        <v>1171</v>
      </c>
      <c r="H6" s="1325"/>
      <c r="I6" s="1325"/>
      <c r="J6" s="1325"/>
      <c r="K6" s="1326"/>
      <c r="M6" s="1325" t="s">
        <v>1172</v>
      </c>
      <c r="N6" s="1325"/>
      <c r="O6" s="1325"/>
      <c r="P6" s="1326"/>
      <c r="R6" s="1325" t="s">
        <v>1173</v>
      </c>
      <c r="S6" s="1325"/>
      <c r="T6" s="1325"/>
    </row>
    <row r="7" spans="1:21" ht="120" x14ac:dyDescent="0.25">
      <c r="A7" s="1327" t="s">
        <v>1174</v>
      </c>
      <c r="B7" s="1327" t="s">
        <v>1175</v>
      </c>
      <c r="C7" s="1327" t="s">
        <v>2113</v>
      </c>
      <c r="D7" s="1327" t="s">
        <v>2114</v>
      </c>
      <c r="E7" s="1327" t="s">
        <v>2055</v>
      </c>
      <c r="F7" s="1327"/>
      <c r="G7" s="1327" t="s">
        <v>1177</v>
      </c>
      <c r="H7" s="1328" t="s">
        <v>1178</v>
      </c>
      <c r="I7" s="1327" t="s">
        <v>1179</v>
      </c>
      <c r="J7" s="1327" t="s">
        <v>1180</v>
      </c>
      <c r="K7" s="1328" t="s">
        <v>3679</v>
      </c>
      <c r="L7" s="1327"/>
      <c r="M7" s="1327" t="s">
        <v>1177</v>
      </c>
      <c r="N7" s="1327" t="s">
        <v>1179</v>
      </c>
      <c r="O7" s="1327" t="s">
        <v>1180</v>
      </c>
      <c r="P7" s="1328" t="s">
        <v>3680</v>
      </c>
      <c r="Q7" s="1327"/>
      <c r="R7" s="1327" t="s">
        <v>1181</v>
      </c>
      <c r="S7" s="1327" t="s">
        <v>1182</v>
      </c>
      <c r="T7" s="1327" t="s">
        <v>1183</v>
      </c>
    </row>
    <row r="8" spans="1:21" x14ac:dyDescent="0.25">
      <c r="A8" s="1329">
        <v>91414</v>
      </c>
      <c r="B8" s="1330" t="s">
        <v>4145</v>
      </c>
      <c r="C8" s="1324">
        <v>2.2200000000000001E-5</v>
      </c>
      <c r="D8" s="1331"/>
      <c r="E8" s="1332">
        <v>60626</v>
      </c>
      <c r="F8" s="1333"/>
      <c r="G8" s="1332">
        <v>10381</v>
      </c>
      <c r="H8" s="1332">
        <v>1478</v>
      </c>
      <c r="I8" s="1332">
        <v>9881</v>
      </c>
      <c r="J8" s="1332">
        <v>17022</v>
      </c>
      <c r="K8" s="1332">
        <v>38762</v>
      </c>
      <c r="L8" s="1333"/>
      <c r="M8" s="1332">
        <v>0</v>
      </c>
      <c r="N8" s="1332">
        <v>0</v>
      </c>
      <c r="O8" s="1332">
        <v>0</v>
      </c>
      <c r="P8" s="1332">
        <v>0</v>
      </c>
      <c r="Q8" s="1333"/>
      <c r="R8" s="1332">
        <v>27007</v>
      </c>
      <c r="S8" s="1332">
        <v>4255</v>
      </c>
      <c r="T8" s="1332">
        <v>31262</v>
      </c>
    </row>
    <row r="9" spans="1:21" x14ac:dyDescent="0.25">
      <c r="A9" s="1334">
        <v>92414</v>
      </c>
      <c r="B9" s="1335" t="s">
        <v>1397</v>
      </c>
      <c r="C9" s="1331"/>
      <c r="D9" s="1324">
        <v>0</v>
      </c>
      <c r="E9" s="1332">
        <v>0</v>
      </c>
      <c r="F9" s="1333"/>
      <c r="G9" s="1332">
        <v>0</v>
      </c>
      <c r="H9" s="1332">
        <v>0</v>
      </c>
      <c r="I9" s="1332">
        <v>0</v>
      </c>
      <c r="J9" s="1332">
        <v>0</v>
      </c>
      <c r="K9" s="1332">
        <v>0</v>
      </c>
      <c r="L9" s="1333"/>
      <c r="M9" s="1332">
        <v>0</v>
      </c>
      <c r="N9" s="1332">
        <v>0</v>
      </c>
      <c r="O9" s="1332">
        <v>1184</v>
      </c>
      <c r="P9" s="1332">
        <v>1184</v>
      </c>
      <c r="Q9" s="1333"/>
      <c r="R9" s="1332">
        <v>0</v>
      </c>
      <c r="S9" s="1332">
        <v>-2085</v>
      </c>
      <c r="T9" s="1332">
        <v>-2085</v>
      </c>
    </row>
    <row r="10" spans="1:21" ht="30" x14ac:dyDescent="0.25">
      <c r="A10" s="1334">
        <v>92608</v>
      </c>
      <c r="B10" s="1335" t="s">
        <v>4821</v>
      </c>
      <c r="C10" s="1331"/>
      <c r="D10" s="1324">
        <v>0</v>
      </c>
      <c r="E10" s="1332">
        <v>0</v>
      </c>
      <c r="F10" s="1333"/>
      <c r="G10" s="1332">
        <v>0</v>
      </c>
      <c r="H10" s="1332">
        <v>0</v>
      </c>
      <c r="I10" s="1332">
        <v>0</v>
      </c>
      <c r="J10" s="1332">
        <v>0</v>
      </c>
      <c r="K10" s="1332">
        <v>0</v>
      </c>
      <c r="L10" s="1333"/>
      <c r="M10" s="1332">
        <v>0</v>
      </c>
      <c r="N10" s="1332">
        <v>0</v>
      </c>
      <c r="O10" s="1332">
        <v>0</v>
      </c>
      <c r="P10" s="1332">
        <v>0</v>
      </c>
      <c r="Q10" s="1333"/>
      <c r="R10" s="1332">
        <v>0</v>
      </c>
      <c r="S10" s="1332">
        <v>-752</v>
      </c>
      <c r="T10" s="1332">
        <v>-752</v>
      </c>
    </row>
    <row r="11" spans="1:21" x14ac:dyDescent="0.25">
      <c r="A11" s="1336">
        <v>93027</v>
      </c>
      <c r="B11" s="1337" t="s">
        <v>2931</v>
      </c>
      <c r="C11" s="1331"/>
      <c r="D11" s="1324">
        <v>1.5E-5</v>
      </c>
      <c r="E11" s="1332">
        <v>0</v>
      </c>
      <c r="F11" s="1333"/>
      <c r="G11" s="1332">
        <v>0</v>
      </c>
      <c r="H11" s="1332">
        <v>0</v>
      </c>
      <c r="I11" s="1332">
        <v>0</v>
      </c>
      <c r="J11" s="1332">
        <v>441</v>
      </c>
      <c r="K11" s="1332">
        <v>441</v>
      </c>
      <c r="L11" s="1333"/>
      <c r="M11" s="1332">
        <v>0</v>
      </c>
      <c r="N11" s="1332">
        <v>0</v>
      </c>
      <c r="O11" s="1332">
        <v>14352</v>
      </c>
      <c r="P11" s="1332">
        <v>14352</v>
      </c>
      <c r="Q11" s="1333"/>
      <c r="R11" s="1332">
        <v>0</v>
      </c>
      <c r="S11" s="1332">
        <v>-3541</v>
      </c>
      <c r="T11" s="1332">
        <v>-3541</v>
      </c>
    </row>
    <row r="12" spans="1:21" x14ac:dyDescent="0.25">
      <c r="A12" s="1336">
        <v>93028</v>
      </c>
      <c r="B12" s="1337" t="s">
        <v>4164</v>
      </c>
      <c r="C12" s="1331"/>
      <c r="D12" s="1331"/>
      <c r="E12" s="1332">
        <v>0</v>
      </c>
      <c r="F12" s="1333"/>
      <c r="G12" s="1332">
        <v>0</v>
      </c>
      <c r="H12" s="1332">
        <v>0</v>
      </c>
      <c r="I12" s="1332">
        <v>0</v>
      </c>
      <c r="J12" s="1332">
        <v>3696</v>
      </c>
      <c r="K12" s="1332">
        <v>3696</v>
      </c>
      <c r="L12" s="1333"/>
      <c r="M12" s="1332">
        <v>0</v>
      </c>
      <c r="N12" s="1332">
        <v>0</v>
      </c>
      <c r="O12" s="1332">
        <v>0</v>
      </c>
      <c r="P12" s="1332">
        <v>0</v>
      </c>
      <c r="Q12" s="1333"/>
      <c r="R12" s="1332">
        <v>0</v>
      </c>
      <c r="S12" s="1332">
        <v>924</v>
      </c>
      <c r="T12" s="1332">
        <v>924</v>
      </c>
    </row>
    <row r="13" spans="1:21" x14ac:dyDescent="0.25">
      <c r="A13" s="1334">
        <v>93202</v>
      </c>
      <c r="B13" s="1335" t="s">
        <v>2948</v>
      </c>
      <c r="C13" s="1331"/>
      <c r="D13" s="1324">
        <v>0</v>
      </c>
      <c r="E13" s="1332">
        <v>0</v>
      </c>
      <c r="F13" s="1333"/>
      <c r="G13" s="1332">
        <v>0</v>
      </c>
      <c r="H13" s="1332">
        <v>0</v>
      </c>
      <c r="I13" s="1332">
        <v>0</v>
      </c>
      <c r="J13" s="1332">
        <v>0</v>
      </c>
      <c r="K13" s="1332">
        <v>0</v>
      </c>
      <c r="L13" s="1333"/>
      <c r="M13" s="1332">
        <v>0</v>
      </c>
      <c r="N13" s="1332">
        <v>0</v>
      </c>
      <c r="O13" s="1332">
        <v>25055</v>
      </c>
      <c r="P13" s="1332">
        <v>25055</v>
      </c>
      <c r="Q13" s="1333"/>
      <c r="R13" s="1332">
        <v>0</v>
      </c>
      <c r="S13" s="1332">
        <v>-78126</v>
      </c>
      <c r="T13" s="1332">
        <v>-78126</v>
      </c>
    </row>
    <row r="14" spans="1:21" x14ac:dyDescent="0.25">
      <c r="A14" s="1336">
        <v>93402</v>
      </c>
      <c r="B14" s="1337" t="s">
        <v>2967</v>
      </c>
      <c r="C14" s="1331"/>
      <c r="D14" s="1324">
        <v>9.6399999999999999E-5</v>
      </c>
      <c r="E14" s="1332">
        <v>0</v>
      </c>
      <c r="F14" s="1333"/>
      <c r="G14" s="1332">
        <v>0</v>
      </c>
      <c r="H14" s="1332">
        <v>0</v>
      </c>
      <c r="I14" s="1332">
        <v>0</v>
      </c>
      <c r="J14" s="1332">
        <v>0</v>
      </c>
      <c r="K14" s="1332">
        <v>0</v>
      </c>
      <c r="L14" s="1333"/>
      <c r="M14" s="1332">
        <v>0</v>
      </c>
      <c r="N14" s="1332">
        <v>0</v>
      </c>
      <c r="O14" s="1332">
        <v>72060</v>
      </c>
      <c r="P14" s="1332">
        <v>72060</v>
      </c>
      <c r="Q14" s="1333"/>
      <c r="R14" s="1332">
        <v>0</v>
      </c>
      <c r="S14" s="1332">
        <v>-17741</v>
      </c>
      <c r="T14" s="1332">
        <v>-17741</v>
      </c>
    </row>
    <row r="15" spans="1:21" x14ac:dyDescent="0.25">
      <c r="A15" s="1334">
        <v>93408</v>
      </c>
      <c r="B15" s="1335" t="s">
        <v>2969</v>
      </c>
      <c r="C15" s="1331"/>
      <c r="D15" s="1324">
        <v>0</v>
      </c>
      <c r="E15" s="1332">
        <v>0</v>
      </c>
      <c r="F15" s="1333"/>
      <c r="G15" s="1332">
        <v>0</v>
      </c>
      <c r="H15" s="1332">
        <v>0</v>
      </c>
      <c r="I15" s="1332">
        <v>0</v>
      </c>
      <c r="J15" s="1332">
        <v>0</v>
      </c>
      <c r="K15" s="1332">
        <v>0</v>
      </c>
      <c r="L15" s="1333"/>
      <c r="M15" s="1332">
        <v>0</v>
      </c>
      <c r="N15" s="1332">
        <v>0</v>
      </c>
      <c r="O15" s="1332">
        <v>724296</v>
      </c>
      <c r="P15" s="1332">
        <v>724296</v>
      </c>
      <c r="Q15" s="1333"/>
      <c r="R15" s="1332">
        <v>0</v>
      </c>
      <c r="S15" s="1332">
        <v>-413845</v>
      </c>
      <c r="T15" s="1332">
        <v>-413845</v>
      </c>
    </row>
    <row r="16" spans="1:21" x14ac:dyDescent="0.25">
      <c r="A16" s="1334">
        <v>94402</v>
      </c>
      <c r="B16" s="1335" t="s">
        <v>3064</v>
      </c>
      <c r="C16" s="1331"/>
      <c r="D16" s="1324">
        <v>0</v>
      </c>
      <c r="E16" s="1332">
        <v>0</v>
      </c>
      <c r="F16" s="1333"/>
      <c r="G16" s="1332">
        <v>0</v>
      </c>
      <c r="H16" s="1332">
        <v>0</v>
      </c>
      <c r="I16" s="1332">
        <v>0</v>
      </c>
      <c r="J16" s="1332">
        <v>0</v>
      </c>
      <c r="K16" s="1332">
        <v>0</v>
      </c>
      <c r="L16" s="1333"/>
      <c r="M16" s="1332">
        <v>0</v>
      </c>
      <c r="N16" s="1332">
        <v>0</v>
      </c>
      <c r="O16" s="1332">
        <v>0</v>
      </c>
      <c r="P16" s="1332">
        <v>0</v>
      </c>
      <c r="Q16" s="1333"/>
      <c r="R16" s="1332">
        <v>0</v>
      </c>
      <c r="S16" s="1332">
        <v>-767649</v>
      </c>
      <c r="T16" s="1332">
        <v>-767649</v>
      </c>
    </row>
    <row r="17" spans="1:20" x14ac:dyDescent="0.25">
      <c r="A17" s="1334">
        <v>94512</v>
      </c>
      <c r="B17" s="1335" t="s">
        <v>3075</v>
      </c>
      <c r="C17" s="1331"/>
      <c r="D17" s="1324">
        <v>0</v>
      </c>
      <c r="E17" s="1332">
        <v>0</v>
      </c>
      <c r="F17" s="1333"/>
      <c r="G17" s="1332">
        <v>0</v>
      </c>
      <c r="H17" s="1332">
        <v>0</v>
      </c>
      <c r="I17" s="1332">
        <v>0</v>
      </c>
      <c r="J17" s="1332">
        <v>0</v>
      </c>
      <c r="K17" s="1332">
        <v>0</v>
      </c>
      <c r="L17" s="1333"/>
      <c r="M17" s="1332">
        <v>0</v>
      </c>
      <c r="N17" s="1332">
        <v>0</v>
      </c>
      <c r="O17" s="1332">
        <v>0</v>
      </c>
      <c r="P17" s="1332">
        <v>0</v>
      </c>
      <c r="Q17" s="1333"/>
      <c r="R17" s="1332">
        <v>0</v>
      </c>
      <c r="S17" s="1332">
        <v>-59923</v>
      </c>
      <c r="T17" s="1332">
        <v>-59923</v>
      </c>
    </row>
    <row r="18" spans="1:20" x14ac:dyDescent="0.25">
      <c r="A18" s="1336">
        <v>94606</v>
      </c>
      <c r="B18" s="1337" t="s">
        <v>3086</v>
      </c>
      <c r="C18" s="1331"/>
      <c r="D18" s="1324">
        <v>1.9019999999999999E-4</v>
      </c>
      <c r="E18" s="1332">
        <v>0</v>
      </c>
      <c r="F18" s="1333"/>
      <c r="G18" s="1332">
        <v>0</v>
      </c>
      <c r="H18" s="1332">
        <v>0</v>
      </c>
      <c r="I18" s="1332">
        <v>0</v>
      </c>
      <c r="J18" s="1332">
        <v>0</v>
      </c>
      <c r="K18" s="1332">
        <v>0</v>
      </c>
      <c r="L18" s="1333"/>
      <c r="M18" s="1332">
        <v>0</v>
      </c>
      <c r="N18" s="1332">
        <v>0</v>
      </c>
      <c r="O18" s="1332">
        <v>194185</v>
      </c>
      <c r="P18" s="1332">
        <v>194185</v>
      </c>
      <c r="Q18" s="1333"/>
      <c r="R18" s="1332">
        <v>0</v>
      </c>
      <c r="S18" s="1332">
        <v>-60935</v>
      </c>
      <c r="T18" s="1332">
        <v>-60935</v>
      </c>
    </row>
    <row r="19" spans="1:20" x14ac:dyDescent="0.25">
      <c r="A19" s="1334">
        <v>95412</v>
      </c>
      <c r="B19" s="1335" t="s">
        <v>4822</v>
      </c>
      <c r="C19" s="1331"/>
      <c r="D19" s="1324">
        <v>0</v>
      </c>
      <c r="E19" s="1332">
        <v>0</v>
      </c>
      <c r="F19" s="1333"/>
      <c r="G19" s="1332">
        <v>0</v>
      </c>
      <c r="H19" s="1332">
        <v>0</v>
      </c>
      <c r="I19" s="1332">
        <v>0</v>
      </c>
      <c r="J19" s="1332">
        <v>0</v>
      </c>
      <c r="K19" s="1332">
        <v>0</v>
      </c>
      <c r="L19" s="1333"/>
      <c r="M19" s="1332">
        <v>0</v>
      </c>
      <c r="N19" s="1332">
        <v>0</v>
      </c>
      <c r="O19" s="1332">
        <v>0</v>
      </c>
      <c r="P19" s="1332">
        <v>0</v>
      </c>
      <c r="Q19" s="1333"/>
      <c r="R19" s="1332">
        <v>0</v>
      </c>
      <c r="S19" s="1332">
        <v>-9383</v>
      </c>
      <c r="T19" s="1332">
        <v>-9383</v>
      </c>
    </row>
    <row r="20" spans="1:20" x14ac:dyDescent="0.25">
      <c r="A20" s="1334">
        <v>97010</v>
      </c>
      <c r="B20" s="1335" t="s">
        <v>3276</v>
      </c>
      <c r="C20" s="1331"/>
      <c r="D20" s="1324">
        <v>0</v>
      </c>
      <c r="E20" s="1332">
        <v>0</v>
      </c>
      <c r="F20" s="1333"/>
      <c r="G20" s="1332">
        <v>0</v>
      </c>
      <c r="H20" s="1332">
        <v>0</v>
      </c>
      <c r="I20" s="1332">
        <v>0</v>
      </c>
      <c r="J20" s="1332">
        <v>0</v>
      </c>
      <c r="K20" s="1332">
        <v>0</v>
      </c>
      <c r="L20" s="1333"/>
      <c r="M20" s="1332">
        <v>0</v>
      </c>
      <c r="N20" s="1332">
        <v>0</v>
      </c>
      <c r="O20" s="1332">
        <v>0</v>
      </c>
      <c r="P20" s="1332">
        <v>0</v>
      </c>
      <c r="Q20" s="1333"/>
      <c r="R20" s="1332">
        <v>0</v>
      </c>
      <c r="S20" s="1332">
        <v>-777787</v>
      </c>
      <c r="T20" s="1332">
        <v>-777787</v>
      </c>
    </row>
    <row r="21" spans="1:20" x14ac:dyDescent="0.25">
      <c r="A21" s="1334">
        <v>97302</v>
      </c>
      <c r="B21" s="1335" t="s">
        <v>4201</v>
      </c>
      <c r="C21" s="1331"/>
      <c r="D21" s="1331"/>
      <c r="E21" s="1332">
        <v>0</v>
      </c>
      <c r="F21" s="1333"/>
      <c r="G21" s="1332">
        <v>0</v>
      </c>
      <c r="H21" s="1332">
        <v>0</v>
      </c>
      <c r="I21" s="1332">
        <v>0</v>
      </c>
      <c r="J21" s="1332">
        <v>10885</v>
      </c>
      <c r="K21" s="1332">
        <v>10885</v>
      </c>
      <c r="L21" s="1333"/>
      <c r="M21" s="1332">
        <v>0</v>
      </c>
      <c r="N21" s="1332">
        <v>0</v>
      </c>
      <c r="O21" s="1332">
        <v>0</v>
      </c>
      <c r="P21" s="1332">
        <v>0</v>
      </c>
      <c r="Q21" s="1333"/>
      <c r="R21" s="1332">
        <v>0</v>
      </c>
      <c r="S21" s="1332">
        <v>2721</v>
      </c>
      <c r="T21" s="1332">
        <v>2721</v>
      </c>
    </row>
    <row r="22" spans="1:20" x14ac:dyDescent="0.25">
      <c r="A22" s="1334">
        <v>97491</v>
      </c>
      <c r="B22" s="1335" t="s">
        <v>4823</v>
      </c>
      <c r="C22" s="1331"/>
      <c r="D22" s="1324">
        <v>0</v>
      </c>
      <c r="E22" s="1332">
        <v>0</v>
      </c>
      <c r="F22" s="1333"/>
      <c r="G22" s="1332">
        <v>0</v>
      </c>
      <c r="H22" s="1332">
        <v>0</v>
      </c>
      <c r="I22" s="1332">
        <v>0</v>
      </c>
      <c r="J22" s="1332">
        <v>0</v>
      </c>
      <c r="K22" s="1332">
        <v>0</v>
      </c>
      <c r="L22" s="1333"/>
      <c r="M22" s="1332">
        <v>0</v>
      </c>
      <c r="N22" s="1332">
        <v>0</v>
      </c>
      <c r="O22" s="1332">
        <v>0</v>
      </c>
      <c r="P22" s="1332">
        <v>0</v>
      </c>
      <c r="Q22" s="1333"/>
      <c r="R22" s="1332">
        <v>0</v>
      </c>
      <c r="S22" s="1332">
        <v>-2921</v>
      </c>
      <c r="T22" s="1332">
        <v>-2921</v>
      </c>
    </row>
    <row r="23" spans="1:20" x14ac:dyDescent="0.25">
      <c r="A23" s="1338">
        <v>71786</v>
      </c>
      <c r="B23" s="1335" t="s">
        <v>2654</v>
      </c>
      <c r="C23" s="1331"/>
      <c r="D23" s="1331"/>
      <c r="E23" s="1332">
        <v>0</v>
      </c>
      <c r="F23" s="1333"/>
      <c r="G23" s="1332">
        <v>0</v>
      </c>
      <c r="H23" s="1332">
        <v>0</v>
      </c>
      <c r="I23" s="1332">
        <v>0</v>
      </c>
      <c r="J23" s="1332">
        <v>0</v>
      </c>
      <c r="K23" s="1332">
        <v>0</v>
      </c>
      <c r="L23" s="1333"/>
      <c r="M23" s="1332">
        <v>0</v>
      </c>
      <c r="N23" s="1332">
        <v>0</v>
      </c>
      <c r="O23" s="1332">
        <v>16309</v>
      </c>
      <c r="P23" s="1332">
        <v>16309</v>
      </c>
      <c r="Q23" s="1333"/>
      <c r="R23" s="1332">
        <v>0</v>
      </c>
      <c r="S23" s="1332">
        <v>-8040</v>
      </c>
      <c r="T23" s="1332">
        <v>-8040</v>
      </c>
    </row>
    <row r="24" spans="1:20" x14ac:dyDescent="0.25">
      <c r="A24" s="1339">
        <v>98414</v>
      </c>
      <c r="B24" s="1340" t="s">
        <v>2654</v>
      </c>
      <c r="C24" s="1324">
        <v>3.01E-5</v>
      </c>
      <c r="D24" s="1324">
        <v>4.1600000000000002E-5</v>
      </c>
      <c r="E24" s="1332">
        <v>82201</v>
      </c>
      <c r="F24" s="1333"/>
      <c r="G24" s="1332">
        <v>14075</v>
      </c>
      <c r="H24" s="1332">
        <v>2005</v>
      </c>
      <c r="I24" s="1332">
        <v>13397</v>
      </c>
      <c r="J24" s="1332">
        <v>12992</v>
      </c>
      <c r="K24" s="1332">
        <v>42469</v>
      </c>
      <c r="L24" s="1333"/>
      <c r="M24" s="1332">
        <v>0</v>
      </c>
      <c r="N24" s="1332">
        <v>0</v>
      </c>
      <c r="O24" s="1332">
        <v>8099</v>
      </c>
      <c r="P24" s="1332">
        <v>8099</v>
      </c>
      <c r="Q24" s="1333"/>
      <c r="R24" s="1332">
        <v>36617</v>
      </c>
      <c r="S24" s="1332">
        <v>3512</v>
      </c>
      <c r="T24" s="1332">
        <v>40129</v>
      </c>
    </row>
    <row r="25" spans="1:20" x14ac:dyDescent="0.25">
      <c r="A25" s="1338">
        <v>92509</v>
      </c>
      <c r="B25" s="1335" t="s">
        <v>2886</v>
      </c>
      <c r="C25" s="1331"/>
      <c r="D25" s="1331"/>
      <c r="E25" s="1332">
        <v>0</v>
      </c>
      <c r="F25" s="1333"/>
      <c r="G25" s="1332">
        <v>0</v>
      </c>
      <c r="H25" s="1332">
        <v>0</v>
      </c>
      <c r="I25" s="1332">
        <v>0</v>
      </c>
      <c r="J25" s="1332">
        <v>0</v>
      </c>
      <c r="K25" s="1332">
        <v>0</v>
      </c>
      <c r="L25" s="1333"/>
      <c r="M25" s="1332">
        <v>0</v>
      </c>
      <c r="N25" s="1332">
        <v>0</v>
      </c>
      <c r="O25" s="1332">
        <v>260868</v>
      </c>
      <c r="P25" s="1332">
        <v>260868</v>
      </c>
      <c r="Q25" s="1333"/>
      <c r="R25" s="1332">
        <v>0</v>
      </c>
      <c r="S25" s="1332">
        <v>-295145</v>
      </c>
      <c r="T25" s="1332">
        <v>-295145</v>
      </c>
    </row>
    <row r="26" spans="1:20" x14ac:dyDescent="0.25">
      <c r="A26" s="1338">
        <v>96519</v>
      </c>
      <c r="B26" s="1335" t="s">
        <v>3237</v>
      </c>
      <c r="C26" s="1331"/>
      <c r="D26" s="1331"/>
      <c r="E26" s="1332">
        <v>0</v>
      </c>
      <c r="F26" s="1333"/>
      <c r="G26" s="1332">
        <v>0</v>
      </c>
      <c r="H26" s="1332">
        <v>0</v>
      </c>
      <c r="I26" s="1332">
        <v>0</v>
      </c>
      <c r="J26" s="1332">
        <v>0</v>
      </c>
      <c r="K26" s="1332">
        <v>0</v>
      </c>
      <c r="L26" s="1333"/>
      <c r="M26" s="1332">
        <v>0</v>
      </c>
      <c r="N26" s="1332">
        <v>0</v>
      </c>
      <c r="O26" s="1332">
        <v>207555</v>
      </c>
      <c r="P26" s="1332">
        <v>207555</v>
      </c>
      <c r="Q26" s="1333"/>
      <c r="R26" s="1332">
        <v>0</v>
      </c>
      <c r="S26" s="1332">
        <v>-216126</v>
      </c>
      <c r="T26" s="1332">
        <v>-216126</v>
      </c>
    </row>
    <row r="27" spans="1:20" x14ac:dyDescent="0.25">
      <c r="A27" s="1339">
        <v>97461</v>
      </c>
      <c r="B27" s="1341" t="s">
        <v>3308</v>
      </c>
      <c r="C27" s="1324">
        <v>5.7600000000000001E-4</v>
      </c>
      <c r="D27" s="1324">
        <v>5.3019999999999999E-4</v>
      </c>
      <c r="E27" s="1332">
        <v>1573011</v>
      </c>
      <c r="F27" s="1333"/>
      <c r="G27" s="1332">
        <v>269339</v>
      </c>
      <c r="H27" s="1332">
        <v>38368</v>
      </c>
      <c r="I27" s="1332">
        <v>256375</v>
      </c>
      <c r="J27" s="1332">
        <v>14572</v>
      </c>
      <c r="K27" s="1332">
        <v>578654</v>
      </c>
      <c r="L27" s="1333"/>
      <c r="M27" s="1332">
        <v>0</v>
      </c>
      <c r="N27" s="1332">
        <v>0</v>
      </c>
      <c r="O27" s="1332">
        <v>33434</v>
      </c>
      <c r="P27" s="1332">
        <v>33434</v>
      </c>
      <c r="Q27" s="1333"/>
      <c r="R27" s="1332">
        <v>700711</v>
      </c>
      <c r="S27" s="1332">
        <v>-18371</v>
      </c>
      <c r="T27" s="1332">
        <v>682340</v>
      </c>
    </row>
    <row r="28" spans="1:20" x14ac:dyDescent="0.25">
      <c r="A28" s="1338">
        <v>97463</v>
      </c>
      <c r="B28" s="1335" t="s">
        <v>3309</v>
      </c>
      <c r="C28" s="1331"/>
      <c r="D28" s="1331"/>
      <c r="E28" s="1332">
        <v>0</v>
      </c>
      <c r="F28" s="1333"/>
      <c r="G28" s="1332">
        <v>0</v>
      </c>
      <c r="H28" s="1332">
        <v>0</v>
      </c>
      <c r="I28" s="1332">
        <v>0</v>
      </c>
      <c r="J28" s="1332">
        <v>0</v>
      </c>
      <c r="K28" s="1332">
        <v>0</v>
      </c>
      <c r="L28" s="1333"/>
      <c r="M28" s="1332">
        <v>0</v>
      </c>
      <c r="N28" s="1332">
        <v>0</v>
      </c>
      <c r="O28" s="1332">
        <v>22190</v>
      </c>
      <c r="P28" s="1332">
        <v>22190</v>
      </c>
      <c r="Q28" s="1333"/>
      <c r="R28" s="1332">
        <v>0</v>
      </c>
      <c r="S28" s="1332">
        <v>-8862</v>
      </c>
      <c r="T28" s="1332">
        <v>-8862</v>
      </c>
    </row>
    <row r="29" spans="1:20" ht="13.5" customHeight="1" x14ac:dyDescent="0.25">
      <c r="A29" s="1339">
        <v>98604</v>
      </c>
      <c r="B29" s="1341" t="s">
        <v>3427</v>
      </c>
      <c r="C29" s="1324">
        <v>1.2099999999999999E-5</v>
      </c>
      <c r="D29" s="1324">
        <v>1.29E-5</v>
      </c>
      <c r="E29" s="1332">
        <v>33044</v>
      </c>
      <c r="F29" s="1333"/>
      <c r="G29" s="1332">
        <v>5658</v>
      </c>
      <c r="H29" s="1332">
        <v>806</v>
      </c>
      <c r="I29" s="1332">
        <v>5386</v>
      </c>
      <c r="J29" s="1332">
        <v>3783</v>
      </c>
      <c r="K29" s="1332">
        <v>15633</v>
      </c>
      <c r="L29" s="1333"/>
      <c r="M29" s="1332">
        <v>0</v>
      </c>
      <c r="N29" s="1332">
        <v>0</v>
      </c>
      <c r="O29" s="1332">
        <v>263</v>
      </c>
      <c r="P29" s="1332">
        <v>263</v>
      </c>
      <c r="Q29" s="1333"/>
      <c r="R29" s="1332">
        <v>14720</v>
      </c>
      <c r="S29" s="1332">
        <v>2511</v>
      </c>
      <c r="T29" s="1332">
        <v>17231</v>
      </c>
    </row>
    <row r="30" spans="1:20" x14ac:dyDescent="0.25">
      <c r="A30" s="1338">
        <v>98647</v>
      </c>
      <c r="B30" s="1335" t="s">
        <v>3436</v>
      </c>
      <c r="C30" s="1331"/>
      <c r="D30" s="1331"/>
      <c r="E30" s="1332">
        <v>0</v>
      </c>
      <c r="F30" s="1333"/>
      <c r="G30" s="1332">
        <v>0</v>
      </c>
      <c r="H30" s="1332">
        <v>0</v>
      </c>
      <c r="I30" s="1332">
        <v>0</v>
      </c>
      <c r="J30" s="1332">
        <v>0</v>
      </c>
      <c r="K30" s="1332">
        <v>0</v>
      </c>
      <c r="L30" s="1333"/>
      <c r="M30" s="1332">
        <v>0</v>
      </c>
      <c r="N30" s="1332">
        <v>0</v>
      </c>
      <c r="O30" s="1332">
        <v>1498</v>
      </c>
      <c r="P30" s="1332">
        <v>1498</v>
      </c>
      <c r="Q30" s="1333"/>
      <c r="R30" s="1332">
        <v>0</v>
      </c>
      <c r="S30" s="1332">
        <v>-684</v>
      </c>
      <c r="T30" s="1332">
        <v>-684</v>
      </c>
    </row>
    <row r="31" spans="1:20" x14ac:dyDescent="0.25">
      <c r="A31" s="1342">
        <v>70505</v>
      </c>
      <c r="B31" s="1340" t="s">
        <v>2653</v>
      </c>
      <c r="C31" s="1324">
        <v>3.2890000000000003E-4</v>
      </c>
      <c r="D31" s="1324">
        <v>3.6600000000000001E-4</v>
      </c>
      <c r="E31" s="1332">
        <v>898200</v>
      </c>
      <c r="F31" s="1333"/>
      <c r="G31" s="1332">
        <v>153795</v>
      </c>
      <c r="H31" s="1332">
        <v>21909</v>
      </c>
      <c r="I31" s="1332">
        <v>146392</v>
      </c>
      <c r="J31" s="1332">
        <v>0</v>
      </c>
      <c r="K31" s="1332">
        <v>322096</v>
      </c>
      <c r="L31" s="1333"/>
      <c r="M31" s="1332">
        <v>0</v>
      </c>
      <c r="N31" s="1332">
        <v>0</v>
      </c>
      <c r="O31" s="1332">
        <v>58557</v>
      </c>
      <c r="P31" s="1332">
        <v>58557</v>
      </c>
      <c r="Q31" s="1333"/>
      <c r="R31" s="1332">
        <v>400111</v>
      </c>
      <c r="S31" s="1332">
        <v>-24557</v>
      </c>
      <c r="T31" s="1332">
        <v>375554</v>
      </c>
    </row>
    <row r="32" spans="1:20" x14ac:dyDescent="0.25">
      <c r="A32" s="1342">
        <v>72265</v>
      </c>
      <c r="B32" s="1340" t="s">
        <v>2655</v>
      </c>
      <c r="C32" s="1324">
        <v>1.44E-4</v>
      </c>
      <c r="D32" s="1324">
        <v>1.538E-4</v>
      </c>
      <c r="E32" s="1332">
        <v>393253</v>
      </c>
      <c r="F32" s="1333"/>
      <c r="G32" s="1332">
        <v>67335</v>
      </c>
      <c r="H32" s="1332">
        <v>9592</v>
      </c>
      <c r="I32" s="1332">
        <v>64094</v>
      </c>
      <c r="J32" s="1332">
        <v>7536</v>
      </c>
      <c r="K32" s="1332">
        <v>148557</v>
      </c>
      <c r="L32" s="1333"/>
      <c r="M32" s="1332">
        <v>0</v>
      </c>
      <c r="N32" s="1332">
        <v>0</v>
      </c>
      <c r="O32" s="1332">
        <v>6839</v>
      </c>
      <c r="P32" s="1332">
        <v>6839</v>
      </c>
      <c r="Q32" s="1333"/>
      <c r="R32" s="1332">
        <v>175178</v>
      </c>
      <c r="S32" s="1332">
        <v>-2</v>
      </c>
      <c r="T32" s="1332">
        <v>175176</v>
      </c>
    </row>
    <row r="33" spans="1:20" x14ac:dyDescent="0.25">
      <c r="A33" s="1342">
        <v>72593</v>
      </c>
      <c r="B33" s="1340" t="s">
        <v>3681</v>
      </c>
      <c r="C33" s="1324">
        <v>6.1E-6</v>
      </c>
      <c r="D33" s="1324">
        <v>6.0000000000000002E-6</v>
      </c>
      <c r="E33" s="1332">
        <v>16659</v>
      </c>
      <c r="F33" s="1333"/>
      <c r="G33" s="1332">
        <v>2852</v>
      </c>
      <c r="H33" s="1332">
        <v>406</v>
      </c>
      <c r="I33" s="1332">
        <v>2715</v>
      </c>
      <c r="J33" s="1332">
        <v>1508</v>
      </c>
      <c r="K33" s="1332">
        <v>7481</v>
      </c>
      <c r="L33" s="1333"/>
      <c r="M33" s="1332">
        <v>0</v>
      </c>
      <c r="N33" s="1332">
        <v>0</v>
      </c>
      <c r="O33" s="1332">
        <v>844</v>
      </c>
      <c r="P33" s="1332">
        <v>844</v>
      </c>
      <c r="Q33" s="1333"/>
      <c r="R33" s="1332">
        <v>7421</v>
      </c>
      <c r="S33" s="1332">
        <v>505</v>
      </c>
      <c r="T33" s="1332">
        <v>7926</v>
      </c>
    </row>
    <row r="34" spans="1:20" x14ac:dyDescent="0.25">
      <c r="A34" s="1342">
        <v>72657</v>
      </c>
      <c r="B34" s="1340" t="s">
        <v>2656</v>
      </c>
      <c r="C34" s="1324">
        <v>3.7200000000000003E-5</v>
      </c>
      <c r="D34" s="1324">
        <v>3.9199999999999997E-5</v>
      </c>
      <c r="E34" s="1332">
        <v>101590</v>
      </c>
      <c r="F34" s="1333"/>
      <c r="G34" s="1332">
        <v>17395</v>
      </c>
      <c r="H34" s="1332">
        <v>2478</v>
      </c>
      <c r="I34" s="1332">
        <v>16558</v>
      </c>
      <c r="J34" s="1332">
        <v>0</v>
      </c>
      <c r="K34" s="1332">
        <v>36431</v>
      </c>
      <c r="L34" s="1333"/>
      <c r="M34" s="1332">
        <v>0</v>
      </c>
      <c r="N34" s="1332">
        <v>0</v>
      </c>
      <c r="O34" s="1332">
        <v>6739</v>
      </c>
      <c r="P34" s="1332">
        <v>6739</v>
      </c>
      <c r="Q34" s="1333"/>
      <c r="R34" s="1332">
        <v>45254</v>
      </c>
      <c r="S34" s="1332">
        <v>-3514</v>
      </c>
      <c r="T34" s="1332">
        <v>41740</v>
      </c>
    </row>
    <row r="35" spans="1:20" x14ac:dyDescent="0.25">
      <c r="A35" s="1342">
        <v>90001</v>
      </c>
      <c r="B35" s="1340" t="s">
        <v>2657</v>
      </c>
      <c r="C35" s="1324">
        <v>8.6050000000000005E-4</v>
      </c>
      <c r="D35" s="1324">
        <v>8.61E-4</v>
      </c>
      <c r="E35" s="1332">
        <v>2349958</v>
      </c>
      <c r="F35" s="1333"/>
      <c r="G35" s="1332">
        <v>402372</v>
      </c>
      <c r="H35" s="1332">
        <v>57319</v>
      </c>
      <c r="I35" s="1332">
        <v>383004</v>
      </c>
      <c r="J35" s="1332">
        <v>12346</v>
      </c>
      <c r="K35" s="1332">
        <v>855041</v>
      </c>
      <c r="L35" s="1333"/>
      <c r="M35" s="1332">
        <v>0</v>
      </c>
      <c r="N35" s="1332">
        <v>0</v>
      </c>
      <c r="O35" s="1332">
        <v>6268</v>
      </c>
      <c r="P35" s="1332">
        <v>6268</v>
      </c>
      <c r="Q35" s="1333"/>
      <c r="R35" s="1332">
        <v>1046809</v>
      </c>
      <c r="S35" s="1332">
        <v>1394</v>
      </c>
      <c r="T35" s="1332">
        <v>1048203</v>
      </c>
    </row>
    <row r="36" spans="1:20" x14ac:dyDescent="0.25">
      <c r="A36" s="1342">
        <v>90002</v>
      </c>
      <c r="B36" s="1340" t="s">
        <v>4119</v>
      </c>
      <c r="C36" s="1324">
        <v>8.3999999999999992E-6</v>
      </c>
      <c r="D36" s="1324">
        <v>9.5000000000000005E-6</v>
      </c>
      <c r="E36" s="1332">
        <v>22940</v>
      </c>
      <c r="F36" s="1333"/>
      <c r="G36" s="1332">
        <v>3928</v>
      </c>
      <c r="H36" s="1332">
        <v>559</v>
      </c>
      <c r="I36" s="1332">
        <v>3739</v>
      </c>
      <c r="J36" s="1332">
        <v>1912</v>
      </c>
      <c r="K36" s="1332">
        <v>10138</v>
      </c>
      <c r="L36" s="1333"/>
      <c r="M36" s="1332">
        <v>0</v>
      </c>
      <c r="N36" s="1332">
        <v>0</v>
      </c>
      <c r="O36" s="1332">
        <v>0</v>
      </c>
      <c r="P36" s="1332">
        <v>0</v>
      </c>
      <c r="Q36" s="1333"/>
      <c r="R36" s="1332">
        <v>10219</v>
      </c>
      <c r="S36" s="1332">
        <v>873</v>
      </c>
      <c r="T36" s="1332">
        <v>11092</v>
      </c>
    </row>
    <row r="37" spans="1:20" x14ac:dyDescent="0.25">
      <c r="A37" s="1342">
        <v>90011</v>
      </c>
      <c r="B37" s="1340" t="s">
        <v>2659</v>
      </c>
      <c r="C37" s="1324">
        <v>1.8009999999999999E-4</v>
      </c>
      <c r="D37" s="1324">
        <v>1.916E-4</v>
      </c>
      <c r="E37" s="1332">
        <v>491839</v>
      </c>
      <c r="F37" s="1333"/>
      <c r="G37" s="1332">
        <v>84215</v>
      </c>
      <c r="H37" s="1332">
        <v>11996</v>
      </c>
      <c r="I37" s="1332">
        <v>80162</v>
      </c>
      <c r="J37" s="1332">
        <v>0</v>
      </c>
      <c r="K37" s="1332">
        <v>176373</v>
      </c>
      <c r="L37" s="1333"/>
      <c r="M37" s="1332">
        <v>0</v>
      </c>
      <c r="N37" s="1332">
        <v>0</v>
      </c>
      <c r="O37" s="1332">
        <v>25090</v>
      </c>
      <c r="P37" s="1332">
        <v>25090</v>
      </c>
      <c r="Q37" s="1333"/>
      <c r="R37" s="1332">
        <v>219094</v>
      </c>
      <c r="S37" s="1332">
        <v>-13726</v>
      </c>
      <c r="T37" s="1332">
        <v>205368</v>
      </c>
    </row>
    <row r="38" spans="1:20" ht="30" x14ac:dyDescent="0.25">
      <c r="A38" s="1342">
        <v>90092</v>
      </c>
      <c r="B38" s="1340" t="s">
        <v>4120</v>
      </c>
      <c r="C38" s="1324">
        <v>3.9530000000000001E-4</v>
      </c>
      <c r="D38" s="1324">
        <v>3.547E-4</v>
      </c>
      <c r="E38" s="1332">
        <v>1079533</v>
      </c>
      <c r="F38" s="1333"/>
      <c r="G38" s="1332">
        <v>184843</v>
      </c>
      <c r="H38" s="1332">
        <v>26332</v>
      </c>
      <c r="I38" s="1332">
        <v>175946</v>
      </c>
      <c r="J38" s="1332">
        <v>52449</v>
      </c>
      <c r="K38" s="1332">
        <v>439570</v>
      </c>
      <c r="L38" s="1333"/>
      <c r="M38" s="1332">
        <v>0</v>
      </c>
      <c r="N38" s="1332">
        <v>0</v>
      </c>
      <c r="O38" s="1332">
        <v>13888</v>
      </c>
      <c r="P38" s="1332">
        <v>13888</v>
      </c>
      <c r="Q38" s="1333"/>
      <c r="R38" s="1332">
        <v>480888</v>
      </c>
      <c r="S38" s="1332">
        <v>-12591</v>
      </c>
      <c r="T38" s="1332">
        <v>468297</v>
      </c>
    </row>
    <row r="39" spans="1:20" x14ac:dyDescent="0.25">
      <c r="A39" s="1342">
        <v>90096</v>
      </c>
      <c r="B39" s="1340" t="s">
        <v>2661</v>
      </c>
      <c r="C39" s="1324">
        <v>9.722E-4</v>
      </c>
      <c r="D39" s="1324">
        <v>9.1730000000000002E-4</v>
      </c>
      <c r="E39" s="1332">
        <v>2655002</v>
      </c>
      <c r="F39" s="1333"/>
      <c r="G39" s="1332">
        <v>454604</v>
      </c>
      <c r="H39" s="1332">
        <v>64759</v>
      </c>
      <c r="I39" s="1332">
        <v>432721</v>
      </c>
      <c r="J39" s="1332">
        <v>154352</v>
      </c>
      <c r="K39" s="1332">
        <v>1106436</v>
      </c>
      <c r="L39" s="1333"/>
      <c r="M39" s="1332">
        <v>0</v>
      </c>
      <c r="N39" s="1332">
        <v>0</v>
      </c>
      <c r="O39" s="1332">
        <v>112677</v>
      </c>
      <c r="P39" s="1332">
        <v>112677</v>
      </c>
      <c r="Q39" s="1333"/>
      <c r="R39" s="1332">
        <v>1182694</v>
      </c>
      <c r="S39" s="1332">
        <v>-13741</v>
      </c>
      <c r="T39" s="1332">
        <v>1168953</v>
      </c>
    </row>
    <row r="40" spans="1:20" x14ac:dyDescent="0.25">
      <c r="A40" s="1342">
        <v>90098</v>
      </c>
      <c r="B40" s="1340" t="s">
        <v>2662</v>
      </c>
      <c r="C40" s="1324">
        <v>2.521E-4</v>
      </c>
      <c r="D40" s="1324">
        <v>3.1510000000000002E-4</v>
      </c>
      <c r="E40" s="1332">
        <v>688465</v>
      </c>
      <c r="F40" s="1333"/>
      <c r="G40" s="1332">
        <v>117883</v>
      </c>
      <c r="H40" s="1332">
        <v>16793</v>
      </c>
      <c r="I40" s="1332">
        <v>112208</v>
      </c>
      <c r="J40" s="1332">
        <v>14122</v>
      </c>
      <c r="K40" s="1332">
        <v>261006</v>
      </c>
      <c r="L40" s="1333"/>
      <c r="M40" s="1332">
        <v>0</v>
      </c>
      <c r="N40" s="1332">
        <v>0</v>
      </c>
      <c r="O40" s="1332">
        <v>69540</v>
      </c>
      <c r="P40" s="1332">
        <v>69540</v>
      </c>
      <c r="Q40" s="1333"/>
      <c r="R40" s="1332">
        <v>306683</v>
      </c>
      <c r="S40" s="1332">
        <v>-39915</v>
      </c>
      <c r="T40" s="1332">
        <v>266768</v>
      </c>
    </row>
    <row r="41" spans="1:20" x14ac:dyDescent="0.25">
      <c r="A41" s="1342">
        <v>90099</v>
      </c>
      <c r="B41" s="1340" t="s">
        <v>4121</v>
      </c>
      <c r="C41" s="1324">
        <v>6.7389999999999995E-4</v>
      </c>
      <c r="D41" s="1324">
        <v>6.8800000000000003E-4</v>
      </c>
      <c r="E41" s="1332">
        <v>1840368</v>
      </c>
      <c r="F41" s="1333"/>
      <c r="G41" s="1332">
        <v>315118</v>
      </c>
      <c r="H41" s="1332">
        <v>44889</v>
      </c>
      <c r="I41" s="1332">
        <v>299950</v>
      </c>
      <c r="J41" s="1332">
        <v>43670</v>
      </c>
      <c r="K41" s="1332">
        <v>703627</v>
      </c>
      <c r="L41" s="1333"/>
      <c r="M41" s="1332">
        <v>0</v>
      </c>
      <c r="N41" s="1332">
        <v>0</v>
      </c>
      <c r="O41" s="1332">
        <v>63390</v>
      </c>
      <c r="P41" s="1332">
        <v>63390</v>
      </c>
      <c r="Q41" s="1333"/>
      <c r="R41" s="1332">
        <v>819808</v>
      </c>
      <c r="S41" s="1332">
        <v>-7313</v>
      </c>
      <c r="T41" s="1332">
        <v>812495</v>
      </c>
    </row>
    <row r="42" spans="1:20" x14ac:dyDescent="0.25">
      <c r="A42" s="1342">
        <v>90101</v>
      </c>
      <c r="B42" s="1340" t="s">
        <v>2664</v>
      </c>
      <c r="C42" s="1324">
        <v>6.2302E-3</v>
      </c>
      <c r="D42" s="1324">
        <v>6.4729000000000002E-3</v>
      </c>
      <c r="E42" s="1332">
        <v>17014190</v>
      </c>
      <c r="F42" s="1333"/>
      <c r="G42" s="1332">
        <v>2913260</v>
      </c>
      <c r="H42" s="1332">
        <v>415000</v>
      </c>
      <c r="I42" s="1332">
        <v>2773031</v>
      </c>
      <c r="J42" s="1332">
        <v>66528</v>
      </c>
      <c r="K42" s="1332">
        <v>6167819</v>
      </c>
      <c r="L42" s="1333"/>
      <c r="M42" s="1332">
        <v>0</v>
      </c>
      <c r="N42" s="1332">
        <v>0</v>
      </c>
      <c r="O42" s="1332">
        <v>337135</v>
      </c>
      <c r="P42" s="1332">
        <v>337135</v>
      </c>
      <c r="Q42" s="1333"/>
      <c r="R42" s="1332">
        <v>7579119</v>
      </c>
      <c r="S42" s="1332">
        <v>-7540</v>
      </c>
      <c r="T42" s="1332">
        <v>7571579</v>
      </c>
    </row>
    <row r="43" spans="1:20" x14ac:dyDescent="0.25">
      <c r="A43" s="1342">
        <v>90111</v>
      </c>
      <c r="B43" s="1340" t="s">
        <v>2665</v>
      </c>
      <c r="C43" s="1324">
        <v>4.9528000000000003E-3</v>
      </c>
      <c r="D43" s="1324">
        <v>5.0667999999999998E-3</v>
      </c>
      <c r="E43" s="1332">
        <v>13525710</v>
      </c>
      <c r="F43" s="1333"/>
      <c r="G43" s="1332">
        <v>2315944</v>
      </c>
      <c r="H43" s="1332">
        <v>329911</v>
      </c>
      <c r="I43" s="1332">
        <v>2204467</v>
      </c>
      <c r="J43" s="1332">
        <v>12792</v>
      </c>
      <c r="K43" s="1332">
        <v>4863114</v>
      </c>
      <c r="L43" s="1333"/>
      <c r="M43" s="1332">
        <v>0</v>
      </c>
      <c r="N43" s="1332">
        <v>0</v>
      </c>
      <c r="O43" s="1332">
        <v>170370</v>
      </c>
      <c r="P43" s="1332">
        <v>170370</v>
      </c>
      <c r="Q43" s="1333"/>
      <c r="R43" s="1332">
        <v>6025146</v>
      </c>
      <c r="S43" s="1332">
        <v>-63111</v>
      </c>
      <c r="T43" s="1332">
        <v>5962035</v>
      </c>
    </row>
    <row r="44" spans="1:20" x14ac:dyDescent="0.25">
      <c r="A44" s="1342">
        <v>90114</v>
      </c>
      <c r="B44" s="1340" t="s">
        <v>2666</v>
      </c>
      <c r="C44" s="1324">
        <v>1.1188999999999999E-3</v>
      </c>
      <c r="D44" s="1324">
        <v>1.0735E-3</v>
      </c>
      <c r="E44" s="1332">
        <v>3055629</v>
      </c>
      <c r="F44" s="1333"/>
      <c r="G44" s="1332">
        <v>523201</v>
      </c>
      <c r="H44" s="1332">
        <v>74531</v>
      </c>
      <c r="I44" s="1332">
        <v>498017</v>
      </c>
      <c r="J44" s="1332">
        <v>1384955</v>
      </c>
      <c r="K44" s="1332">
        <v>2480704</v>
      </c>
      <c r="L44" s="1333"/>
      <c r="M44" s="1332">
        <v>0</v>
      </c>
      <c r="N44" s="1332">
        <v>0</v>
      </c>
      <c r="O44" s="1332">
        <v>0</v>
      </c>
      <c r="P44" s="1332">
        <v>0</v>
      </c>
      <c r="Q44" s="1333"/>
      <c r="R44" s="1332">
        <v>1361156</v>
      </c>
      <c r="S44" s="1332">
        <v>632710</v>
      </c>
      <c r="T44" s="1332">
        <v>1993866</v>
      </c>
    </row>
    <row r="45" spans="1:20" x14ac:dyDescent="0.25">
      <c r="A45" s="1342">
        <v>90117</v>
      </c>
      <c r="B45" s="1340" t="s">
        <v>2667</v>
      </c>
      <c r="C45" s="1324">
        <v>1.3219999999999999E-4</v>
      </c>
      <c r="D45" s="1324">
        <v>1.36E-4</v>
      </c>
      <c r="E45" s="1332">
        <v>361028</v>
      </c>
      <c r="F45" s="1333"/>
      <c r="G45" s="1332">
        <v>61817</v>
      </c>
      <c r="H45" s="1332">
        <v>8806</v>
      </c>
      <c r="I45" s="1332">
        <v>58842</v>
      </c>
      <c r="J45" s="1332">
        <v>38678</v>
      </c>
      <c r="K45" s="1332">
        <v>168143</v>
      </c>
      <c r="L45" s="1333"/>
      <c r="M45" s="1332">
        <v>0</v>
      </c>
      <c r="N45" s="1332">
        <v>0</v>
      </c>
      <c r="O45" s="1332">
        <v>0</v>
      </c>
      <c r="P45" s="1332">
        <v>0</v>
      </c>
      <c r="Q45" s="1333"/>
      <c r="R45" s="1332">
        <v>160823</v>
      </c>
      <c r="S45" s="1332">
        <v>20680</v>
      </c>
      <c r="T45" s="1332">
        <v>181503</v>
      </c>
    </row>
    <row r="46" spans="1:20" x14ac:dyDescent="0.25">
      <c r="A46" s="1342">
        <v>90121</v>
      </c>
      <c r="B46" s="1340" t="s">
        <v>2668</v>
      </c>
      <c r="C46" s="1324">
        <v>1.1077999999999999E-3</v>
      </c>
      <c r="D46" s="1324">
        <v>1.0601E-3</v>
      </c>
      <c r="E46" s="1332">
        <v>3025315</v>
      </c>
      <c r="F46" s="1333"/>
      <c r="G46" s="1332">
        <v>518011</v>
      </c>
      <c r="H46" s="1332">
        <v>73792</v>
      </c>
      <c r="I46" s="1332">
        <v>493076</v>
      </c>
      <c r="J46" s="1332">
        <v>0</v>
      </c>
      <c r="K46" s="1332">
        <v>1084879</v>
      </c>
      <c r="L46" s="1333"/>
      <c r="M46" s="1332">
        <v>0</v>
      </c>
      <c r="N46" s="1332">
        <v>0</v>
      </c>
      <c r="O46" s="1332">
        <v>82679</v>
      </c>
      <c r="P46" s="1332">
        <v>82679</v>
      </c>
      <c r="Q46" s="1333"/>
      <c r="R46" s="1332">
        <v>1347653</v>
      </c>
      <c r="S46" s="1332">
        <v>-45699</v>
      </c>
      <c r="T46" s="1332">
        <v>1301954</v>
      </c>
    </row>
    <row r="47" spans="1:20" x14ac:dyDescent="0.25">
      <c r="A47" s="1342">
        <v>90131</v>
      </c>
      <c r="B47" s="1340" t="s">
        <v>2669</v>
      </c>
      <c r="C47" s="1324">
        <v>4.9050000000000005E-4</v>
      </c>
      <c r="D47" s="1324">
        <v>4.7830000000000003E-4</v>
      </c>
      <c r="E47" s="1332">
        <v>1339517</v>
      </c>
      <c r="F47" s="1333"/>
      <c r="G47" s="1332">
        <v>229359</v>
      </c>
      <c r="H47" s="1332">
        <v>32673</v>
      </c>
      <c r="I47" s="1332">
        <v>218319</v>
      </c>
      <c r="J47" s="1332">
        <v>2990</v>
      </c>
      <c r="K47" s="1332">
        <v>483341</v>
      </c>
      <c r="L47" s="1333"/>
      <c r="M47" s="1332">
        <v>0</v>
      </c>
      <c r="N47" s="1332">
        <v>0</v>
      </c>
      <c r="O47" s="1332">
        <v>23769</v>
      </c>
      <c r="P47" s="1332">
        <v>23769</v>
      </c>
      <c r="Q47" s="1333"/>
      <c r="R47" s="1332">
        <v>596700</v>
      </c>
      <c r="S47" s="1332">
        <v>-11874</v>
      </c>
      <c r="T47" s="1332">
        <v>584826</v>
      </c>
    </row>
    <row r="48" spans="1:20" x14ac:dyDescent="0.25">
      <c r="A48" s="1342">
        <v>90141</v>
      </c>
      <c r="B48" s="1340" t="s">
        <v>2670</v>
      </c>
      <c r="C48" s="1324">
        <v>1.4770000000000001E-4</v>
      </c>
      <c r="D48" s="1324">
        <v>1.4770000000000001E-4</v>
      </c>
      <c r="E48" s="1332">
        <v>403357</v>
      </c>
      <c r="F48" s="1333"/>
      <c r="G48" s="1332">
        <v>69065</v>
      </c>
      <c r="H48" s="1332">
        <v>9838</v>
      </c>
      <c r="I48" s="1332">
        <v>65741</v>
      </c>
      <c r="J48" s="1332">
        <v>5227</v>
      </c>
      <c r="K48" s="1332">
        <v>149871</v>
      </c>
      <c r="L48" s="1333"/>
      <c r="M48" s="1332">
        <v>0</v>
      </c>
      <c r="N48" s="1332">
        <v>0</v>
      </c>
      <c r="O48" s="1332">
        <v>5164</v>
      </c>
      <c r="P48" s="1332">
        <v>5164</v>
      </c>
      <c r="Q48" s="1333"/>
      <c r="R48" s="1332">
        <v>179679</v>
      </c>
      <c r="S48" s="1332">
        <v>-1596</v>
      </c>
      <c r="T48" s="1332">
        <v>178083</v>
      </c>
    </row>
    <row r="49" spans="1:20" x14ac:dyDescent="0.25">
      <c r="A49" s="1342">
        <v>90151</v>
      </c>
      <c r="B49" s="1340" t="s">
        <v>2671</v>
      </c>
      <c r="C49" s="1324">
        <v>9.3000000000000007E-6</v>
      </c>
      <c r="D49" s="1324">
        <v>9.7000000000000003E-6</v>
      </c>
      <c r="E49" s="1332">
        <v>25398</v>
      </c>
      <c r="F49" s="1333"/>
      <c r="G49" s="1332">
        <v>4349</v>
      </c>
      <c r="H49" s="1332">
        <v>620</v>
      </c>
      <c r="I49" s="1332">
        <v>4139</v>
      </c>
      <c r="J49" s="1332">
        <v>0</v>
      </c>
      <c r="K49" s="1332">
        <v>9108</v>
      </c>
      <c r="L49" s="1333"/>
      <c r="M49" s="1332">
        <v>0</v>
      </c>
      <c r="N49" s="1332">
        <v>0</v>
      </c>
      <c r="O49" s="1332">
        <v>3296</v>
      </c>
      <c r="P49" s="1332">
        <v>3296</v>
      </c>
      <c r="Q49" s="1333"/>
      <c r="R49" s="1332">
        <v>11314</v>
      </c>
      <c r="S49" s="1332">
        <v>-1485</v>
      </c>
      <c r="T49" s="1332">
        <v>9829</v>
      </c>
    </row>
    <row r="50" spans="1:20" x14ac:dyDescent="0.25">
      <c r="A50" s="1342">
        <v>90161</v>
      </c>
      <c r="B50" s="1340" t="s">
        <v>2672</v>
      </c>
      <c r="C50" s="1324">
        <v>3.57E-5</v>
      </c>
      <c r="D50" s="1324">
        <v>4.3999999999999999E-5</v>
      </c>
      <c r="E50" s="1332">
        <v>97494</v>
      </c>
      <c r="F50" s="1333"/>
      <c r="G50" s="1332">
        <v>16693</v>
      </c>
      <c r="H50" s="1332">
        <v>2378</v>
      </c>
      <c r="I50" s="1332">
        <v>15890</v>
      </c>
      <c r="J50" s="1332">
        <v>2808</v>
      </c>
      <c r="K50" s="1332">
        <v>37769</v>
      </c>
      <c r="L50" s="1333"/>
      <c r="M50" s="1332">
        <v>0</v>
      </c>
      <c r="N50" s="1332">
        <v>0</v>
      </c>
      <c r="O50" s="1332">
        <v>7097</v>
      </c>
      <c r="P50" s="1332">
        <v>7097</v>
      </c>
      <c r="Q50" s="1333"/>
      <c r="R50" s="1332">
        <v>43430</v>
      </c>
      <c r="S50" s="1332">
        <v>336</v>
      </c>
      <c r="T50" s="1332">
        <v>43766</v>
      </c>
    </row>
    <row r="51" spans="1:20" x14ac:dyDescent="0.25">
      <c r="A51" s="1342">
        <v>90201</v>
      </c>
      <c r="B51" s="1340" t="s">
        <v>2673</v>
      </c>
      <c r="C51" s="1324">
        <v>1.2569E-3</v>
      </c>
      <c r="D51" s="1324">
        <v>1.1705999999999999E-3</v>
      </c>
      <c r="E51" s="1332">
        <v>3432496</v>
      </c>
      <c r="F51" s="1333"/>
      <c r="G51" s="1332">
        <v>587730</v>
      </c>
      <c r="H51" s="1332">
        <v>83723</v>
      </c>
      <c r="I51" s="1332">
        <v>559440</v>
      </c>
      <c r="J51" s="1332">
        <v>62679</v>
      </c>
      <c r="K51" s="1332">
        <v>1293572</v>
      </c>
      <c r="L51" s="1333"/>
      <c r="M51" s="1332">
        <v>0</v>
      </c>
      <c r="N51" s="1332">
        <v>0</v>
      </c>
      <c r="O51" s="1332">
        <v>37432</v>
      </c>
      <c r="P51" s="1332">
        <v>37432</v>
      </c>
      <c r="Q51" s="1333"/>
      <c r="R51" s="1332">
        <v>1529035</v>
      </c>
      <c r="S51" s="1332">
        <v>2957</v>
      </c>
      <c r="T51" s="1332">
        <v>1531992</v>
      </c>
    </row>
    <row r="52" spans="1:20" x14ac:dyDescent="0.25">
      <c r="A52" s="1342">
        <v>90203</v>
      </c>
      <c r="B52" s="1340" t="s">
        <v>4122</v>
      </c>
      <c r="C52" s="1324">
        <v>2.0019999999999999E-4</v>
      </c>
      <c r="D52" s="1324">
        <v>1.9909999999999999E-4</v>
      </c>
      <c r="E52" s="1332">
        <v>546731</v>
      </c>
      <c r="F52" s="1333"/>
      <c r="G52" s="1332">
        <v>93614</v>
      </c>
      <c r="H52" s="1332">
        <v>13336</v>
      </c>
      <c r="I52" s="1332">
        <v>89108</v>
      </c>
      <c r="J52" s="1332">
        <v>5278</v>
      </c>
      <c r="K52" s="1332">
        <v>201336</v>
      </c>
      <c r="L52" s="1333"/>
      <c r="M52" s="1332">
        <v>0</v>
      </c>
      <c r="N52" s="1332">
        <v>0</v>
      </c>
      <c r="O52" s="1332">
        <v>17742</v>
      </c>
      <c r="P52" s="1332">
        <v>17742</v>
      </c>
      <c r="Q52" s="1333"/>
      <c r="R52" s="1332">
        <v>243546</v>
      </c>
      <c r="S52" s="1332">
        <v>-9710</v>
      </c>
      <c r="T52" s="1332">
        <v>233836</v>
      </c>
    </row>
    <row r="53" spans="1:20" x14ac:dyDescent="0.25">
      <c r="A53" s="1342">
        <v>90205</v>
      </c>
      <c r="B53" s="1340" t="s">
        <v>2675</v>
      </c>
      <c r="C53" s="1324">
        <v>3.04E-5</v>
      </c>
      <c r="D53" s="1324">
        <v>3.2499999999999997E-5</v>
      </c>
      <c r="E53" s="1332">
        <v>83020</v>
      </c>
      <c r="F53" s="1333"/>
      <c r="G53" s="1332">
        <v>14215</v>
      </c>
      <c r="H53" s="1332">
        <v>2025</v>
      </c>
      <c r="I53" s="1332">
        <v>13531</v>
      </c>
      <c r="J53" s="1332">
        <v>1777</v>
      </c>
      <c r="K53" s="1332">
        <v>31548</v>
      </c>
      <c r="L53" s="1333"/>
      <c r="M53" s="1332">
        <v>0</v>
      </c>
      <c r="N53" s="1332">
        <v>0</v>
      </c>
      <c r="O53" s="1332">
        <v>1763</v>
      </c>
      <c r="P53" s="1332">
        <v>1763</v>
      </c>
      <c r="Q53" s="1333"/>
      <c r="R53" s="1332">
        <v>36982</v>
      </c>
      <c r="S53" s="1332">
        <v>-98</v>
      </c>
      <c r="T53" s="1332">
        <v>36884</v>
      </c>
    </row>
    <row r="54" spans="1:20" x14ac:dyDescent="0.25">
      <c r="A54" s="1342">
        <v>90206</v>
      </c>
      <c r="B54" s="1340" t="s">
        <v>4123</v>
      </c>
      <c r="C54" s="1324">
        <v>3.6160000000000001E-4</v>
      </c>
      <c r="D54" s="1324">
        <v>4.1950000000000001E-4</v>
      </c>
      <c r="E54" s="1332">
        <v>987501</v>
      </c>
      <c r="F54" s="1333"/>
      <c r="G54" s="1332">
        <v>169085</v>
      </c>
      <c r="H54" s="1332">
        <v>24086</v>
      </c>
      <c r="I54" s="1332">
        <v>160946</v>
      </c>
      <c r="J54" s="1332">
        <v>0</v>
      </c>
      <c r="K54" s="1332">
        <v>354117</v>
      </c>
      <c r="L54" s="1333"/>
      <c r="M54" s="1332">
        <v>0</v>
      </c>
      <c r="N54" s="1332">
        <v>0</v>
      </c>
      <c r="O54" s="1332">
        <v>57571</v>
      </c>
      <c r="P54" s="1332">
        <v>57571</v>
      </c>
      <c r="Q54" s="1333"/>
      <c r="R54" s="1332">
        <v>439891</v>
      </c>
      <c r="S54" s="1332">
        <v>-19711</v>
      </c>
      <c r="T54" s="1332">
        <v>420180</v>
      </c>
    </row>
    <row r="55" spans="1:20" x14ac:dyDescent="0.25">
      <c r="A55" s="1342">
        <v>90211</v>
      </c>
      <c r="B55" s="1340" t="s">
        <v>2677</v>
      </c>
      <c r="C55" s="1324">
        <v>1.5799999999999999E-4</v>
      </c>
      <c r="D55" s="1324">
        <v>1.5330000000000001E-4</v>
      </c>
      <c r="E55" s="1332">
        <v>431486</v>
      </c>
      <c r="F55" s="1333"/>
      <c r="G55" s="1332">
        <v>73881</v>
      </c>
      <c r="H55" s="1332">
        <v>10525</v>
      </c>
      <c r="I55" s="1332">
        <v>70325</v>
      </c>
      <c r="J55" s="1332">
        <v>10065</v>
      </c>
      <c r="K55" s="1332">
        <v>164796</v>
      </c>
      <c r="L55" s="1333"/>
      <c r="M55" s="1332">
        <v>0</v>
      </c>
      <c r="N55" s="1332">
        <v>0</v>
      </c>
      <c r="O55" s="1332">
        <v>4315</v>
      </c>
      <c r="P55" s="1332">
        <v>4315</v>
      </c>
      <c r="Q55" s="1333"/>
      <c r="R55" s="1332">
        <v>192209</v>
      </c>
      <c r="S55" s="1332">
        <v>-1941</v>
      </c>
      <c r="T55" s="1332">
        <v>190268</v>
      </c>
    </row>
    <row r="56" spans="1:20" x14ac:dyDescent="0.25">
      <c r="A56" s="1342">
        <v>90301</v>
      </c>
      <c r="B56" s="1340" t="s">
        <v>2678</v>
      </c>
      <c r="C56" s="1324">
        <v>7.339E-4</v>
      </c>
      <c r="D56" s="1324">
        <v>7.0640000000000004E-4</v>
      </c>
      <c r="E56" s="1332">
        <v>2004224</v>
      </c>
      <c r="F56" s="1333"/>
      <c r="G56" s="1332">
        <v>343174</v>
      </c>
      <c r="H56" s="1332">
        <v>48886</v>
      </c>
      <c r="I56" s="1332">
        <v>326655</v>
      </c>
      <c r="J56" s="1332">
        <v>0</v>
      </c>
      <c r="K56" s="1332">
        <v>718715</v>
      </c>
      <c r="L56" s="1333"/>
      <c r="M56" s="1332">
        <v>0</v>
      </c>
      <c r="N56" s="1332">
        <v>0</v>
      </c>
      <c r="O56" s="1332">
        <v>7727</v>
      </c>
      <c r="P56" s="1332">
        <v>7727</v>
      </c>
      <c r="Q56" s="1333"/>
      <c r="R56" s="1332">
        <v>892799</v>
      </c>
      <c r="S56" s="1332">
        <v>-2404</v>
      </c>
      <c r="T56" s="1332">
        <v>890395</v>
      </c>
    </row>
    <row r="57" spans="1:20" x14ac:dyDescent="0.25">
      <c r="A57" s="1342">
        <v>90305</v>
      </c>
      <c r="B57" s="1340" t="s">
        <v>2679</v>
      </c>
      <c r="C57" s="1324">
        <v>1.404E-4</v>
      </c>
      <c r="D57" s="1324">
        <v>1.4909999999999999E-4</v>
      </c>
      <c r="E57" s="1332">
        <v>383421</v>
      </c>
      <c r="F57" s="1333"/>
      <c r="G57" s="1332">
        <v>65651</v>
      </c>
      <c r="H57" s="1332">
        <v>9352</v>
      </c>
      <c r="I57" s="1332">
        <v>62491</v>
      </c>
      <c r="J57" s="1332">
        <v>13757</v>
      </c>
      <c r="K57" s="1332">
        <v>151251</v>
      </c>
      <c r="L57" s="1333"/>
      <c r="M57" s="1332">
        <v>0</v>
      </c>
      <c r="N57" s="1332">
        <v>0</v>
      </c>
      <c r="O57" s="1332">
        <v>0</v>
      </c>
      <c r="P57" s="1332">
        <v>0</v>
      </c>
      <c r="Q57" s="1333"/>
      <c r="R57" s="1332">
        <v>170798</v>
      </c>
      <c r="S57" s="1332">
        <v>9721</v>
      </c>
      <c r="T57" s="1332">
        <v>180519</v>
      </c>
    </row>
    <row r="58" spans="1:20" x14ac:dyDescent="0.25">
      <c r="A58" s="1342">
        <v>90307</v>
      </c>
      <c r="B58" s="1340" t="s">
        <v>2680</v>
      </c>
      <c r="C58" s="1324">
        <v>5.8000000000000004E-6</v>
      </c>
      <c r="D58" s="1324">
        <v>6.6000000000000003E-6</v>
      </c>
      <c r="E58" s="1332">
        <v>15839</v>
      </c>
      <c r="F58" s="1333"/>
      <c r="G58" s="1332">
        <v>2712</v>
      </c>
      <c r="H58" s="1332">
        <v>386</v>
      </c>
      <c r="I58" s="1332">
        <v>2582</v>
      </c>
      <c r="J58" s="1332">
        <v>746</v>
      </c>
      <c r="K58" s="1332">
        <v>6426</v>
      </c>
      <c r="L58" s="1333"/>
      <c r="M58" s="1332">
        <v>0</v>
      </c>
      <c r="N58" s="1332">
        <v>0</v>
      </c>
      <c r="O58" s="1332">
        <v>24</v>
      </c>
      <c r="P58" s="1332">
        <v>24</v>
      </c>
      <c r="Q58" s="1333"/>
      <c r="R58" s="1332">
        <v>7056</v>
      </c>
      <c r="S58" s="1332">
        <v>303</v>
      </c>
      <c r="T58" s="1332">
        <v>7359</v>
      </c>
    </row>
    <row r="59" spans="1:20" x14ac:dyDescent="0.25">
      <c r="A59" s="1342">
        <v>90401</v>
      </c>
      <c r="B59" s="1340" t="s">
        <v>2681</v>
      </c>
      <c r="C59" s="1324">
        <v>1.2876000000000001E-3</v>
      </c>
      <c r="D59" s="1324">
        <v>1.2583E-3</v>
      </c>
      <c r="E59" s="1332">
        <v>3516335</v>
      </c>
      <c r="F59" s="1333"/>
      <c r="G59" s="1332">
        <v>602086</v>
      </c>
      <c r="H59" s="1332">
        <v>85768</v>
      </c>
      <c r="I59" s="1332">
        <v>573104</v>
      </c>
      <c r="J59" s="1332">
        <v>79589</v>
      </c>
      <c r="K59" s="1332">
        <v>1340547</v>
      </c>
      <c r="L59" s="1333"/>
      <c r="M59" s="1332">
        <v>0</v>
      </c>
      <c r="N59" s="1332">
        <v>0</v>
      </c>
      <c r="O59" s="1332">
        <v>12903</v>
      </c>
      <c r="P59" s="1332">
        <v>12903</v>
      </c>
      <c r="Q59" s="1333"/>
      <c r="R59" s="1332">
        <v>1566382</v>
      </c>
      <c r="S59" s="1332">
        <v>29320</v>
      </c>
      <c r="T59" s="1332">
        <v>1595702</v>
      </c>
    </row>
    <row r="60" spans="1:20" x14ac:dyDescent="0.25">
      <c r="A60" s="1342">
        <v>90411</v>
      </c>
      <c r="B60" s="1340" t="s">
        <v>2682</v>
      </c>
      <c r="C60" s="1324">
        <v>3.2929999999999998E-4</v>
      </c>
      <c r="D60" s="1324">
        <v>3.5110000000000002E-4</v>
      </c>
      <c r="E60" s="1332">
        <v>899293</v>
      </c>
      <c r="F60" s="1333"/>
      <c r="G60" s="1332">
        <v>153982</v>
      </c>
      <c r="H60" s="1332">
        <v>21935</v>
      </c>
      <c r="I60" s="1332">
        <v>146570</v>
      </c>
      <c r="J60" s="1332">
        <v>0</v>
      </c>
      <c r="K60" s="1332">
        <v>322487</v>
      </c>
      <c r="L60" s="1333"/>
      <c r="M60" s="1332">
        <v>0</v>
      </c>
      <c r="N60" s="1332">
        <v>0</v>
      </c>
      <c r="O60" s="1332">
        <v>39964</v>
      </c>
      <c r="P60" s="1332">
        <v>39964</v>
      </c>
      <c r="Q60" s="1333"/>
      <c r="R60" s="1332">
        <v>400598</v>
      </c>
      <c r="S60" s="1332">
        <v>-22186</v>
      </c>
      <c r="T60" s="1332">
        <v>378412</v>
      </c>
    </row>
    <row r="61" spans="1:20" x14ac:dyDescent="0.25">
      <c r="A61" s="1342">
        <v>90413</v>
      </c>
      <c r="B61" s="1340" t="s">
        <v>2683</v>
      </c>
      <c r="C61" s="1324">
        <v>3.4900000000000001E-5</v>
      </c>
      <c r="D61" s="1324">
        <v>3.4700000000000003E-5</v>
      </c>
      <c r="E61" s="1332">
        <v>95309</v>
      </c>
      <c r="F61" s="1333"/>
      <c r="G61" s="1332">
        <v>16319</v>
      </c>
      <c r="H61" s="1332">
        <v>2324</v>
      </c>
      <c r="I61" s="1332">
        <v>15534</v>
      </c>
      <c r="J61" s="1332">
        <v>3239</v>
      </c>
      <c r="K61" s="1332">
        <v>37416</v>
      </c>
      <c r="L61" s="1333"/>
      <c r="M61" s="1332">
        <v>0</v>
      </c>
      <c r="N61" s="1332">
        <v>0</v>
      </c>
      <c r="O61" s="1332">
        <v>458</v>
      </c>
      <c r="P61" s="1332">
        <v>458</v>
      </c>
      <c r="Q61" s="1333"/>
      <c r="R61" s="1332">
        <v>42456</v>
      </c>
      <c r="S61" s="1332">
        <v>2578</v>
      </c>
      <c r="T61" s="1332">
        <v>45034</v>
      </c>
    </row>
    <row r="62" spans="1:20" x14ac:dyDescent="0.25">
      <c r="A62" s="1342">
        <v>90417</v>
      </c>
      <c r="B62" s="1340" t="s">
        <v>2684</v>
      </c>
      <c r="C62" s="1324">
        <v>1.06E-5</v>
      </c>
      <c r="D62" s="1324">
        <v>1.19E-5</v>
      </c>
      <c r="E62" s="1332">
        <v>28948</v>
      </c>
      <c r="F62" s="1333"/>
      <c r="G62" s="1332">
        <v>4957</v>
      </c>
      <c r="H62" s="1332">
        <v>706</v>
      </c>
      <c r="I62" s="1332">
        <v>4718</v>
      </c>
      <c r="J62" s="1332">
        <v>4847</v>
      </c>
      <c r="K62" s="1332">
        <v>15228</v>
      </c>
      <c r="L62" s="1333"/>
      <c r="M62" s="1332">
        <v>0</v>
      </c>
      <c r="N62" s="1332">
        <v>0</v>
      </c>
      <c r="O62" s="1332">
        <v>0</v>
      </c>
      <c r="P62" s="1332">
        <v>0</v>
      </c>
      <c r="Q62" s="1333"/>
      <c r="R62" s="1332">
        <v>12895</v>
      </c>
      <c r="S62" s="1332">
        <v>2003</v>
      </c>
      <c r="T62" s="1332">
        <v>14898</v>
      </c>
    </row>
    <row r="63" spans="1:20" x14ac:dyDescent="0.25">
      <c r="A63" s="1342">
        <v>90421</v>
      </c>
      <c r="B63" s="1340" t="s">
        <v>2685</v>
      </c>
      <c r="C63" s="1324">
        <v>1.98E-5</v>
      </c>
      <c r="D63" s="1324">
        <v>2.09E-5</v>
      </c>
      <c r="E63" s="1332">
        <v>54072</v>
      </c>
      <c r="F63" s="1333"/>
      <c r="G63" s="1332">
        <v>9259</v>
      </c>
      <c r="H63" s="1332">
        <v>1319</v>
      </c>
      <c r="I63" s="1332">
        <v>8813</v>
      </c>
      <c r="J63" s="1332">
        <v>0</v>
      </c>
      <c r="K63" s="1332">
        <v>19391</v>
      </c>
      <c r="L63" s="1333"/>
      <c r="M63" s="1332">
        <v>0</v>
      </c>
      <c r="N63" s="1332">
        <v>0</v>
      </c>
      <c r="O63" s="1332">
        <v>4296</v>
      </c>
      <c r="P63" s="1332">
        <v>4296</v>
      </c>
      <c r="Q63" s="1333"/>
      <c r="R63" s="1332">
        <v>24087</v>
      </c>
      <c r="S63" s="1332">
        <v>-2020</v>
      </c>
      <c r="T63" s="1332">
        <v>22067</v>
      </c>
    </row>
    <row r="64" spans="1:20" x14ac:dyDescent="0.25">
      <c r="A64" s="1342">
        <v>90431</v>
      </c>
      <c r="B64" s="1340" t="s">
        <v>2686</v>
      </c>
      <c r="C64" s="1324">
        <v>4.8099999999999997E-5</v>
      </c>
      <c r="D64" s="1324">
        <v>4.5099999999999998E-5</v>
      </c>
      <c r="E64" s="1332">
        <v>131357</v>
      </c>
      <c r="F64" s="1333"/>
      <c r="G64" s="1332">
        <v>22492</v>
      </c>
      <c r="H64" s="1332">
        <v>3204</v>
      </c>
      <c r="I64" s="1332">
        <v>21409</v>
      </c>
      <c r="J64" s="1332">
        <v>4313</v>
      </c>
      <c r="K64" s="1332">
        <v>51418</v>
      </c>
      <c r="L64" s="1333"/>
      <c r="M64" s="1332">
        <v>0</v>
      </c>
      <c r="N64" s="1332">
        <v>0</v>
      </c>
      <c r="O64" s="1332">
        <v>1462</v>
      </c>
      <c r="P64" s="1332">
        <v>1462</v>
      </c>
      <c r="Q64" s="1333"/>
      <c r="R64" s="1332">
        <v>58514</v>
      </c>
      <c r="S64" s="1332">
        <v>2712</v>
      </c>
      <c r="T64" s="1332">
        <v>61226</v>
      </c>
    </row>
    <row r="65" spans="1:20" x14ac:dyDescent="0.25">
      <c r="A65" s="1342">
        <v>90441</v>
      </c>
      <c r="B65" s="1340" t="s">
        <v>2687</v>
      </c>
      <c r="C65" s="1324">
        <v>6.7000000000000002E-6</v>
      </c>
      <c r="D65" s="1324">
        <v>7.5000000000000002E-6</v>
      </c>
      <c r="E65" s="1332">
        <v>18297</v>
      </c>
      <c r="F65" s="1333"/>
      <c r="G65" s="1332">
        <v>3133</v>
      </c>
      <c r="H65" s="1332">
        <v>447</v>
      </c>
      <c r="I65" s="1332">
        <v>2982</v>
      </c>
      <c r="J65" s="1332">
        <v>1456</v>
      </c>
      <c r="K65" s="1332">
        <v>8018</v>
      </c>
      <c r="L65" s="1333"/>
      <c r="M65" s="1332">
        <v>0</v>
      </c>
      <c r="N65" s="1332">
        <v>0</v>
      </c>
      <c r="O65" s="1332">
        <v>0</v>
      </c>
      <c r="P65" s="1332">
        <v>0</v>
      </c>
      <c r="Q65" s="1333"/>
      <c r="R65" s="1332">
        <v>8151</v>
      </c>
      <c r="S65" s="1332">
        <v>398</v>
      </c>
      <c r="T65" s="1332">
        <v>8549</v>
      </c>
    </row>
    <row r="66" spans="1:20" x14ac:dyDescent="0.25">
      <c r="A66" s="1342">
        <v>90451</v>
      </c>
      <c r="B66" s="1340" t="s">
        <v>2688</v>
      </c>
      <c r="C66" s="1324">
        <v>2.3099999999999999E-5</v>
      </c>
      <c r="D66" s="1324">
        <v>2.05E-5</v>
      </c>
      <c r="E66" s="1332">
        <v>63084</v>
      </c>
      <c r="F66" s="1333"/>
      <c r="G66" s="1332">
        <v>10802</v>
      </c>
      <c r="H66" s="1332">
        <v>1539</v>
      </c>
      <c r="I66" s="1332">
        <v>10282</v>
      </c>
      <c r="J66" s="1332">
        <v>4388</v>
      </c>
      <c r="K66" s="1332">
        <v>27011</v>
      </c>
      <c r="L66" s="1333"/>
      <c r="M66" s="1332">
        <v>0</v>
      </c>
      <c r="N66" s="1332">
        <v>0</v>
      </c>
      <c r="O66" s="1332">
        <v>360</v>
      </c>
      <c r="P66" s="1332">
        <v>360</v>
      </c>
      <c r="Q66" s="1333"/>
      <c r="R66" s="1332">
        <v>28101</v>
      </c>
      <c r="S66" s="1332">
        <v>1540</v>
      </c>
      <c r="T66" s="1332">
        <v>29641</v>
      </c>
    </row>
    <row r="67" spans="1:20" x14ac:dyDescent="0.25">
      <c r="A67" s="1342">
        <v>90461</v>
      </c>
      <c r="B67" s="1340" t="s">
        <v>2689</v>
      </c>
      <c r="C67" s="1324">
        <v>2.0999999999999998E-6</v>
      </c>
      <c r="D67" s="1324">
        <v>5.5999999999999997E-6</v>
      </c>
      <c r="E67" s="1332">
        <v>5735</v>
      </c>
      <c r="F67" s="1333"/>
      <c r="G67" s="1332">
        <v>982</v>
      </c>
      <c r="H67" s="1332">
        <v>140</v>
      </c>
      <c r="I67" s="1332">
        <v>935</v>
      </c>
      <c r="J67" s="1332">
        <v>67</v>
      </c>
      <c r="K67" s="1332">
        <v>2124</v>
      </c>
      <c r="L67" s="1333"/>
      <c r="M67" s="1332">
        <v>0</v>
      </c>
      <c r="N67" s="1332">
        <v>0</v>
      </c>
      <c r="O67" s="1332">
        <v>5895</v>
      </c>
      <c r="P67" s="1332">
        <v>5895</v>
      </c>
      <c r="Q67" s="1333"/>
      <c r="R67" s="1332">
        <v>2555</v>
      </c>
      <c r="S67" s="1332">
        <v>-961</v>
      </c>
      <c r="T67" s="1332">
        <v>1594</v>
      </c>
    </row>
    <row r="68" spans="1:20" x14ac:dyDescent="0.25">
      <c r="A68" s="1342">
        <v>90501</v>
      </c>
      <c r="B68" s="1340" t="s">
        <v>2690</v>
      </c>
      <c r="C68" s="1324">
        <v>1.4587000000000001E-3</v>
      </c>
      <c r="D68" s="1324">
        <v>1.3675E-3</v>
      </c>
      <c r="E68" s="1332">
        <v>3983596</v>
      </c>
      <c r="F68" s="1333"/>
      <c r="G68" s="1332">
        <v>682092</v>
      </c>
      <c r="H68" s="1332">
        <v>97166</v>
      </c>
      <c r="I68" s="1332">
        <v>649260</v>
      </c>
      <c r="J68" s="1332">
        <v>104668</v>
      </c>
      <c r="K68" s="1332">
        <v>1533186</v>
      </c>
      <c r="L68" s="1333"/>
      <c r="M68" s="1332">
        <v>0</v>
      </c>
      <c r="N68" s="1332">
        <v>0</v>
      </c>
      <c r="O68" s="1332">
        <v>4461</v>
      </c>
      <c r="P68" s="1332">
        <v>4461</v>
      </c>
      <c r="Q68" s="1333"/>
      <c r="R68" s="1332">
        <v>1774528</v>
      </c>
      <c r="S68" s="1332">
        <v>33610</v>
      </c>
      <c r="T68" s="1332">
        <v>1808138</v>
      </c>
    </row>
    <row r="69" spans="1:20" x14ac:dyDescent="0.25">
      <c r="A69" s="1342">
        <v>90507</v>
      </c>
      <c r="B69" s="1340" t="s">
        <v>1220</v>
      </c>
      <c r="C69" s="1324">
        <v>3.4000000000000001E-6</v>
      </c>
      <c r="D69" s="1324">
        <v>6.3999999999999997E-6</v>
      </c>
      <c r="E69" s="1332">
        <v>9285</v>
      </c>
      <c r="F69" s="1333"/>
      <c r="G69" s="1332">
        <v>1590</v>
      </c>
      <c r="H69" s="1332">
        <v>226</v>
      </c>
      <c r="I69" s="1332">
        <v>1513</v>
      </c>
      <c r="J69" s="1332">
        <v>11773</v>
      </c>
      <c r="K69" s="1332">
        <v>15102</v>
      </c>
      <c r="L69" s="1333"/>
      <c r="M69" s="1332">
        <v>0</v>
      </c>
      <c r="N69" s="1332">
        <v>0</v>
      </c>
      <c r="O69" s="1332">
        <v>0</v>
      </c>
      <c r="P69" s="1332">
        <v>0</v>
      </c>
      <c r="Q69" s="1333"/>
      <c r="R69" s="1332">
        <v>4136</v>
      </c>
      <c r="S69" s="1332">
        <v>5978</v>
      </c>
      <c r="T69" s="1332">
        <v>10114</v>
      </c>
    </row>
    <row r="70" spans="1:20" x14ac:dyDescent="0.25">
      <c r="A70" s="1342">
        <v>90511</v>
      </c>
      <c r="B70" s="1340" t="s">
        <v>2691</v>
      </c>
      <c r="C70" s="1324">
        <v>1.011E-4</v>
      </c>
      <c r="D70" s="1324">
        <v>8.25E-5</v>
      </c>
      <c r="E70" s="1332">
        <v>276096</v>
      </c>
      <c r="F70" s="1333"/>
      <c r="G70" s="1332">
        <v>47275</v>
      </c>
      <c r="H70" s="1332">
        <v>6734</v>
      </c>
      <c r="I70" s="1332">
        <v>44999</v>
      </c>
      <c r="J70" s="1332">
        <v>31491</v>
      </c>
      <c r="K70" s="1332">
        <v>130499</v>
      </c>
      <c r="L70" s="1333"/>
      <c r="M70" s="1332">
        <v>0</v>
      </c>
      <c r="N70" s="1332">
        <v>0</v>
      </c>
      <c r="O70" s="1332">
        <v>0</v>
      </c>
      <c r="P70" s="1332">
        <v>0</v>
      </c>
      <c r="Q70" s="1333"/>
      <c r="R70" s="1332">
        <v>122989</v>
      </c>
      <c r="S70" s="1332">
        <v>11554</v>
      </c>
      <c r="T70" s="1332">
        <v>134543</v>
      </c>
    </row>
    <row r="71" spans="1:20" x14ac:dyDescent="0.25">
      <c r="A71" s="1342">
        <v>90521</v>
      </c>
      <c r="B71" s="1340" t="s">
        <v>2692</v>
      </c>
      <c r="C71" s="1324">
        <v>1.371E-4</v>
      </c>
      <c r="D71" s="1324">
        <v>1.281E-4</v>
      </c>
      <c r="E71" s="1332">
        <v>374409</v>
      </c>
      <c r="F71" s="1333"/>
      <c r="G71" s="1332">
        <v>64108</v>
      </c>
      <c r="H71" s="1332">
        <v>9132</v>
      </c>
      <c r="I71" s="1332">
        <v>61023</v>
      </c>
      <c r="J71" s="1332">
        <v>0</v>
      </c>
      <c r="K71" s="1332">
        <v>134263</v>
      </c>
      <c r="L71" s="1333"/>
      <c r="M71" s="1332">
        <v>0</v>
      </c>
      <c r="N71" s="1332">
        <v>0</v>
      </c>
      <c r="O71" s="1332">
        <v>17308</v>
      </c>
      <c r="P71" s="1332">
        <v>17308</v>
      </c>
      <c r="Q71" s="1333"/>
      <c r="R71" s="1332">
        <v>166784</v>
      </c>
      <c r="S71" s="1332">
        <v>-9423</v>
      </c>
      <c r="T71" s="1332">
        <v>157361</v>
      </c>
    </row>
    <row r="72" spans="1:20" x14ac:dyDescent="0.25">
      <c r="A72" s="1342">
        <v>90601</v>
      </c>
      <c r="B72" s="1340" t="s">
        <v>2693</v>
      </c>
      <c r="C72" s="1324">
        <v>1.1100999999999999E-3</v>
      </c>
      <c r="D72" s="1324">
        <v>1.1383999999999999E-3</v>
      </c>
      <c r="E72" s="1332">
        <v>3031597</v>
      </c>
      <c r="F72" s="1333"/>
      <c r="G72" s="1332">
        <v>519086</v>
      </c>
      <c r="H72" s="1332">
        <v>73945</v>
      </c>
      <c r="I72" s="1332">
        <v>494100</v>
      </c>
      <c r="J72" s="1332">
        <v>8511</v>
      </c>
      <c r="K72" s="1332">
        <v>1095642</v>
      </c>
      <c r="L72" s="1333"/>
      <c r="M72" s="1332">
        <v>0</v>
      </c>
      <c r="N72" s="1332">
        <v>0</v>
      </c>
      <c r="O72" s="1332">
        <v>25458</v>
      </c>
      <c r="P72" s="1332">
        <v>25458</v>
      </c>
      <c r="Q72" s="1333"/>
      <c r="R72" s="1332">
        <v>1350451</v>
      </c>
      <c r="S72" s="1332">
        <v>-7560</v>
      </c>
      <c r="T72" s="1332">
        <v>1342891</v>
      </c>
    </row>
    <row r="73" spans="1:20" x14ac:dyDescent="0.25">
      <c r="A73" s="1342">
        <v>90602</v>
      </c>
      <c r="B73" s="1340" t="s">
        <v>2125</v>
      </c>
      <c r="C73" s="1324">
        <v>9.2999999999999997E-5</v>
      </c>
      <c r="D73" s="1324">
        <v>6.3100000000000002E-5</v>
      </c>
      <c r="E73" s="1332">
        <v>253976</v>
      </c>
      <c r="F73" s="1333"/>
      <c r="G73" s="1332">
        <v>43487</v>
      </c>
      <c r="H73" s="1332">
        <v>6195</v>
      </c>
      <c r="I73" s="1332">
        <v>41394</v>
      </c>
      <c r="J73" s="1332">
        <v>48781</v>
      </c>
      <c r="K73" s="1332">
        <v>139857</v>
      </c>
      <c r="L73" s="1333"/>
      <c r="M73" s="1332">
        <v>0</v>
      </c>
      <c r="N73" s="1332">
        <v>0</v>
      </c>
      <c r="O73" s="1332">
        <v>0</v>
      </c>
      <c r="P73" s="1332">
        <v>0</v>
      </c>
      <c r="Q73" s="1333"/>
      <c r="R73" s="1332">
        <v>113136</v>
      </c>
      <c r="S73" s="1332">
        <v>23692</v>
      </c>
      <c r="T73" s="1332">
        <v>136828</v>
      </c>
    </row>
    <row r="74" spans="1:20" x14ac:dyDescent="0.25">
      <c r="A74" s="1342">
        <v>90605</v>
      </c>
      <c r="B74" s="1340" t="s">
        <v>4124</v>
      </c>
      <c r="C74" s="1324">
        <v>4.9799999999999998E-5</v>
      </c>
      <c r="D74" s="1324">
        <v>3.9199999999999997E-5</v>
      </c>
      <c r="E74" s="1332">
        <v>136000</v>
      </c>
      <c r="F74" s="1333"/>
      <c r="G74" s="1332">
        <v>23287</v>
      </c>
      <c r="H74" s="1332">
        <v>3317</v>
      </c>
      <c r="I74" s="1332">
        <v>22166</v>
      </c>
      <c r="J74" s="1332">
        <v>19578</v>
      </c>
      <c r="K74" s="1332">
        <v>68348</v>
      </c>
      <c r="L74" s="1333"/>
      <c r="M74" s="1332">
        <v>0</v>
      </c>
      <c r="N74" s="1332">
        <v>0</v>
      </c>
      <c r="O74" s="1332">
        <v>0</v>
      </c>
      <c r="P74" s="1332">
        <v>0</v>
      </c>
      <c r="Q74" s="1333"/>
      <c r="R74" s="1332">
        <v>60582</v>
      </c>
      <c r="S74" s="1332">
        <v>8653</v>
      </c>
      <c r="T74" s="1332">
        <v>69235</v>
      </c>
    </row>
    <row r="75" spans="1:20" x14ac:dyDescent="0.25">
      <c r="A75" s="1342">
        <v>90611</v>
      </c>
      <c r="B75" s="1340" t="s">
        <v>2695</v>
      </c>
      <c r="C75" s="1324">
        <v>1.526E-4</v>
      </c>
      <c r="D75" s="1324">
        <v>1.4009999999999999E-4</v>
      </c>
      <c r="E75" s="1332">
        <v>416739</v>
      </c>
      <c r="F75" s="1333"/>
      <c r="G75" s="1332">
        <v>71356</v>
      </c>
      <c r="H75" s="1332">
        <v>10165</v>
      </c>
      <c r="I75" s="1332">
        <v>67921</v>
      </c>
      <c r="J75" s="1332">
        <v>4970</v>
      </c>
      <c r="K75" s="1332">
        <v>154412</v>
      </c>
      <c r="L75" s="1333"/>
      <c r="M75" s="1332">
        <v>0</v>
      </c>
      <c r="N75" s="1332">
        <v>0</v>
      </c>
      <c r="O75" s="1332">
        <v>13216</v>
      </c>
      <c r="P75" s="1332">
        <v>13216</v>
      </c>
      <c r="Q75" s="1333"/>
      <c r="R75" s="1332">
        <v>185640</v>
      </c>
      <c r="S75" s="1332">
        <v>-6430</v>
      </c>
      <c r="T75" s="1332">
        <v>179210</v>
      </c>
    </row>
    <row r="76" spans="1:20" x14ac:dyDescent="0.25">
      <c r="A76" s="1342">
        <v>90617</v>
      </c>
      <c r="B76" s="1340" t="s">
        <v>2696</v>
      </c>
      <c r="C76" s="1324">
        <v>2.8600000000000001E-5</v>
      </c>
      <c r="D76" s="1324">
        <v>2.72E-5</v>
      </c>
      <c r="E76" s="1332">
        <v>78104</v>
      </c>
      <c r="F76" s="1333"/>
      <c r="G76" s="1332">
        <v>13373</v>
      </c>
      <c r="H76" s="1332">
        <v>1905</v>
      </c>
      <c r="I76" s="1332">
        <v>12730</v>
      </c>
      <c r="J76" s="1332">
        <v>5886</v>
      </c>
      <c r="K76" s="1332">
        <v>33894</v>
      </c>
      <c r="L76" s="1333"/>
      <c r="M76" s="1332">
        <v>0</v>
      </c>
      <c r="N76" s="1332">
        <v>0</v>
      </c>
      <c r="O76" s="1332">
        <v>0</v>
      </c>
      <c r="P76" s="1332">
        <v>0</v>
      </c>
      <c r="Q76" s="1333"/>
      <c r="R76" s="1332">
        <v>34792</v>
      </c>
      <c r="S76" s="1332">
        <v>2840</v>
      </c>
      <c r="T76" s="1332">
        <v>37632</v>
      </c>
    </row>
    <row r="77" spans="1:20" x14ac:dyDescent="0.25">
      <c r="A77" s="1342">
        <v>90621</v>
      </c>
      <c r="B77" s="1340" t="s">
        <v>2697</v>
      </c>
      <c r="C77" s="1324">
        <v>6.97E-5</v>
      </c>
      <c r="D77" s="1324">
        <v>6.5699999999999998E-5</v>
      </c>
      <c r="E77" s="1332">
        <v>190345</v>
      </c>
      <c r="F77" s="1333"/>
      <c r="G77" s="1332">
        <v>32592</v>
      </c>
      <c r="H77" s="1332">
        <v>4642</v>
      </c>
      <c r="I77" s="1332">
        <v>31023</v>
      </c>
      <c r="J77" s="1332">
        <v>2208</v>
      </c>
      <c r="K77" s="1332">
        <v>70465</v>
      </c>
      <c r="L77" s="1333"/>
      <c r="M77" s="1332">
        <v>0</v>
      </c>
      <c r="N77" s="1332">
        <v>0</v>
      </c>
      <c r="O77" s="1332">
        <v>9522</v>
      </c>
      <c r="P77" s="1332">
        <v>9522</v>
      </c>
      <c r="Q77" s="1333"/>
      <c r="R77" s="1332">
        <v>84791</v>
      </c>
      <c r="S77" s="1332">
        <v>-5748</v>
      </c>
      <c r="T77" s="1332">
        <v>79043</v>
      </c>
    </row>
    <row r="78" spans="1:20" x14ac:dyDescent="0.25">
      <c r="A78" s="1342">
        <v>90631</v>
      </c>
      <c r="B78" s="1340" t="s">
        <v>2698</v>
      </c>
      <c r="C78" s="1324">
        <v>3.6430000000000002E-4</v>
      </c>
      <c r="D78" s="1324">
        <v>3.7120000000000002E-4</v>
      </c>
      <c r="E78" s="1332">
        <v>994875</v>
      </c>
      <c r="F78" s="1333"/>
      <c r="G78" s="1332">
        <v>170348</v>
      </c>
      <c r="H78" s="1332">
        <v>24266</v>
      </c>
      <c r="I78" s="1332">
        <v>162148</v>
      </c>
      <c r="J78" s="1332">
        <v>6544</v>
      </c>
      <c r="K78" s="1332">
        <v>363306</v>
      </c>
      <c r="L78" s="1333"/>
      <c r="M78" s="1332">
        <v>0</v>
      </c>
      <c r="N78" s="1332">
        <v>0</v>
      </c>
      <c r="O78" s="1332">
        <v>12172</v>
      </c>
      <c r="P78" s="1332">
        <v>12172</v>
      </c>
      <c r="Q78" s="1333"/>
      <c r="R78" s="1332">
        <v>443176</v>
      </c>
      <c r="S78" s="1332">
        <v>-488</v>
      </c>
      <c r="T78" s="1332">
        <v>442688</v>
      </c>
    </row>
    <row r="79" spans="1:20" x14ac:dyDescent="0.25">
      <c r="A79" s="1342">
        <v>90641</v>
      </c>
      <c r="B79" s="1340" t="s">
        <v>2699</v>
      </c>
      <c r="C79" s="1324">
        <v>1.1800000000000001E-5</v>
      </c>
      <c r="D79" s="1324">
        <v>1.2999999999999999E-5</v>
      </c>
      <c r="E79" s="1332">
        <v>32225</v>
      </c>
      <c r="F79" s="1333"/>
      <c r="G79" s="1332">
        <v>5518</v>
      </c>
      <c r="H79" s="1332">
        <v>786</v>
      </c>
      <c r="I79" s="1332">
        <v>5252</v>
      </c>
      <c r="J79" s="1332">
        <v>217</v>
      </c>
      <c r="K79" s="1332">
        <v>11773</v>
      </c>
      <c r="L79" s="1333"/>
      <c r="M79" s="1332">
        <v>0</v>
      </c>
      <c r="N79" s="1332">
        <v>0</v>
      </c>
      <c r="O79" s="1332">
        <v>117</v>
      </c>
      <c r="P79" s="1332">
        <v>117</v>
      </c>
      <c r="Q79" s="1333"/>
      <c r="R79" s="1332">
        <v>14355</v>
      </c>
      <c r="S79" s="1332">
        <v>32</v>
      </c>
      <c r="T79" s="1332">
        <v>14387</v>
      </c>
    </row>
    <row r="80" spans="1:20" x14ac:dyDescent="0.25">
      <c r="A80" s="1342">
        <v>90651</v>
      </c>
      <c r="B80" s="1340" t="s">
        <v>2700</v>
      </c>
      <c r="C80" s="1324">
        <v>1.031E-4</v>
      </c>
      <c r="D80" s="1324">
        <v>1.064E-4</v>
      </c>
      <c r="E80" s="1332">
        <v>281558</v>
      </c>
      <c r="F80" s="1333"/>
      <c r="G80" s="1332">
        <v>48210</v>
      </c>
      <c r="H80" s="1332">
        <v>6868</v>
      </c>
      <c r="I80" s="1332">
        <v>45889</v>
      </c>
      <c r="J80" s="1332">
        <v>103130</v>
      </c>
      <c r="K80" s="1332">
        <v>204097</v>
      </c>
      <c r="L80" s="1333"/>
      <c r="M80" s="1332">
        <v>0</v>
      </c>
      <c r="N80" s="1332">
        <v>0</v>
      </c>
      <c r="O80" s="1332">
        <v>0</v>
      </c>
      <c r="P80" s="1332">
        <v>0</v>
      </c>
      <c r="Q80" s="1333"/>
      <c r="R80" s="1332">
        <v>125422</v>
      </c>
      <c r="S80" s="1332">
        <v>50353</v>
      </c>
      <c r="T80" s="1332">
        <v>175775</v>
      </c>
    </row>
    <row r="81" spans="1:20" x14ac:dyDescent="0.25">
      <c r="A81" s="1342">
        <v>90701</v>
      </c>
      <c r="B81" s="1340" t="s">
        <v>3682</v>
      </c>
      <c r="C81" s="1324">
        <v>2.6227999999999998E-3</v>
      </c>
      <c r="D81" s="1324">
        <v>2.6327999999999998E-3</v>
      </c>
      <c r="E81" s="1332">
        <v>7162662</v>
      </c>
      <c r="F81" s="1333"/>
      <c r="G81" s="1332">
        <v>1226429</v>
      </c>
      <c r="H81" s="1332">
        <v>174707</v>
      </c>
      <c r="I81" s="1332">
        <v>1167395</v>
      </c>
      <c r="J81" s="1332">
        <v>56500</v>
      </c>
      <c r="K81" s="1332">
        <v>2625031</v>
      </c>
      <c r="L81" s="1333"/>
      <c r="M81" s="1332">
        <v>0</v>
      </c>
      <c r="N81" s="1332">
        <v>0</v>
      </c>
      <c r="O81" s="1332">
        <v>161267</v>
      </c>
      <c r="P81" s="1332">
        <v>161267</v>
      </c>
      <c r="Q81" s="1333"/>
      <c r="R81" s="1332">
        <v>3190670</v>
      </c>
      <c r="S81" s="1332">
        <v>-27550</v>
      </c>
      <c r="T81" s="1332">
        <v>3163120</v>
      </c>
    </row>
    <row r="82" spans="1:20" x14ac:dyDescent="0.25">
      <c r="A82" s="1342">
        <v>90704</v>
      </c>
      <c r="B82" s="1340" t="s">
        <v>2702</v>
      </c>
      <c r="C82" s="1324">
        <v>4.4299999999999999E-5</v>
      </c>
      <c r="D82" s="1324">
        <v>3.4100000000000002E-5</v>
      </c>
      <c r="E82" s="1332">
        <v>120980</v>
      </c>
      <c r="F82" s="1333"/>
      <c r="G82" s="1332">
        <v>20715</v>
      </c>
      <c r="H82" s="1332">
        <v>2951</v>
      </c>
      <c r="I82" s="1332">
        <v>19718</v>
      </c>
      <c r="J82" s="1332">
        <v>26018</v>
      </c>
      <c r="K82" s="1332">
        <v>69402</v>
      </c>
      <c r="L82" s="1333"/>
      <c r="M82" s="1332">
        <v>0</v>
      </c>
      <c r="N82" s="1332">
        <v>0</v>
      </c>
      <c r="O82" s="1332">
        <v>0</v>
      </c>
      <c r="P82" s="1332">
        <v>0</v>
      </c>
      <c r="Q82" s="1333"/>
      <c r="R82" s="1332">
        <v>53892</v>
      </c>
      <c r="S82" s="1332">
        <v>10331</v>
      </c>
      <c r="T82" s="1332">
        <v>64223</v>
      </c>
    </row>
    <row r="83" spans="1:20" x14ac:dyDescent="0.25">
      <c r="A83" s="1342">
        <v>90705</v>
      </c>
      <c r="B83" s="1340" t="s">
        <v>2703</v>
      </c>
      <c r="C83" s="1324">
        <v>4.1199999999999999E-5</v>
      </c>
      <c r="D83" s="1324">
        <v>3.6000000000000001E-5</v>
      </c>
      <c r="E83" s="1332">
        <v>112514</v>
      </c>
      <c r="F83" s="1333"/>
      <c r="G83" s="1332">
        <v>19265</v>
      </c>
      <c r="H83" s="1332">
        <v>2745</v>
      </c>
      <c r="I83" s="1332">
        <v>18338</v>
      </c>
      <c r="J83" s="1332">
        <v>14850</v>
      </c>
      <c r="K83" s="1332">
        <v>55198</v>
      </c>
      <c r="L83" s="1333"/>
      <c r="M83" s="1332">
        <v>0</v>
      </c>
      <c r="N83" s="1332">
        <v>0</v>
      </c>
      <c r="O83" s="1332">
        <v>5580</v>
      </c>
      <c r="P83" s="1332">
        <v>5580</v>
      </c>
      <c r="Q83" s="1333"/>
      <c r="R83" s="1332">
        <v>50120</v>
      </c>
      <c r="S83" s="1332">
        <v>5322</v>
      </c>
      <c r="T83" s="1332">
        <v>55442</v>
      </c>
    </row>
    <row r="84" spans="1:20" x14ac:dyDescent="0.25">
      <c r="A84" s="1342">
        <v>90709</v>
      </c>
      <c r="B84" s="1340" t="s">
        <v>2704</v>
      </c>
      <c r="C84" s="1324">
        <v>1.474E-4</v>
      </c>
      <c r="D84" s="1324">
        <v>1.683E-4</v>
      </c>
      <c r="E84" s="1332">
        <v>402538</v>
      </c>
      <c r="F84" s="1333"/>
      <c r="G84" s="1332">
        <v>68925</v>
      </c>
      <c r="H84" s="1332">
        <v>9819</v>
      </c>
      <c r="I84" s="1332">
        <v>65607</v>
      </c>
      <c r="J84" s="1332">
        <v>29311</v>
      </c>
      <c r="K84" s="1332">
        <v>173662</v>
      </c>
      <c r="L84" s="1333"/>
      <c r="M84" s="1332">
        <v>0</v>
      </c>
      <c r="N84" s="1332">
        <v>0</v>
      </c>
      <c r="O84" s="1332">
        <v>28480</v>
      </c>
      <c r="P84" s="1332">
        <v>28480</v>
      </c>
      <c r="Q84" s="1333"/>
      <c r="R84" s="1332">
        <v>179314</v>
      </c>
      <c r="S84" s="1332">
        <v>-8090</v>
      </c>
      <c r="T84" s="1332">
        <v>171224</v>
      </c>
    </row>
    <row r="85" spans="1:20" x14ac:dyDescent="0.25">
      <c r="A85" s="1342">
        <v>90711</v>
      </c>
      <c r="B85" s="1340" t="s">
        <v>2705</v>
      </c>
      <c r="C85" s="1324">
        <v>1.5481E-3</v>
      </c>
      <c r="D85" s="1324">
        <v>1.6165000000000001E-3</v>
      </c>
      <c r="E85" s="1332">
        <v>4227740</v>
      </c>
      <c r="F85" s="1333"/>
      <c r="G85" s="1332">
        <v>723896</v>
      </c>
      <c r="H85" s="1332">
        <v>103121</v>
      </c>
      <c r="I85" s="1332">
        <v>689052</v>
      </c>
      <c r="J85" s="1332">
        <v>0</v>
      </c>
      <c r="K85" s="1332">
        <v>1516069</v>
      </c>
      <c r="L85" s="1333"/>
      <c r="M85" s="1332">
        <v>0</v>
      </c>
      <c r="N85" s="1332">
        <v>0</v>
      </c>
      <c r="O85" s="1332">
        <v>141744</v>
      </c>
      <c r="P85" s="1332">
        <v>141744</v>
      </c>
      <c r="Q85" s="1333"/>
      <c r="R85" s="1332">
        <v>1883284</v>
      </c>
      <c r="S85" s="1332">
        <v>-80901</v>
      </c>
      <c r="T85" s="1332">
        <v>1802383</v>
      </c>
    </row>
    <row r="86" spans="1:20" x14ac:dyDescent="0.25">
      <c r="A86" s="1342">
        <v>90721</v>
      </c>
      <c r="B86" s="1340" t="s">
        <v>2706</v>
      </c>
      <c r="C86" s="1324">
        <v>2.1399999999999998E-5</v>
      </c>
      <c r="D86" s="1324">
        <v>2.8200000000000001E-5</v>
      </c>
      <c r="E86" s="1332">
        <v>58442</v>
      </c>
      <c r="F86" s="1333"/>
      <c r="G86" s="1332">
        <v>10007</v>
      </c>
      <c r="H86" s="1332">
        <v>1425</v>
      </c>
      <c r="I86" s="1332">
        <v>9525</v>
      </c>
      <c r="J86" s="1332">
        <v>157</v>
      </c>
      <c r="K86" s="1332">
        <v>21114</v>
      </c>
      <c r="L86" s="1333"/>
      <c r="M86" s="1332">
        <v>0</v>
      </c>
      <c r="N86" s="1332">
        <v>0</v>
      </c>
      <c r="O86" s="1332">
        <v>6486</v>
      </c>
      <c r="P86" s="1332">
        <v>6486</v>
      </c>
      <c r="Q86" s="1333"/>
      <c r="R86" s="1332">
        <v>26033</v>
      </c>
      <c r="S86" s="1332">
        <v>-1729</v>
      </c>
      <c r="T86" s="1332">
        <v>24304</v>
      </c>
    </row>
    <row r="87" spans="1:20" x14ac:dyDescent="0.25">
      <c r="A87" s="1342">
        <v>90731</v>
      </c>
      <c r="B87" s="1340" t="s">
        <v>2707</v>
      </c>
      <c r="C87" s="1324">
        <v>1.384E-4</v>
      </c>
      <c r="D87" s="1324">
        <v>1.4919999999999999E-4</v>
      </c>
      <c r="E87" s="1332">
        <v>377960</v>
      </c>
      <c r="F87" s="1333"/>
      <c r="G87" s="1332">
        <v>64716</v>
      </c>
      <c r="H87" s="1332">
        <v>9219</v>
      </c>
      <c r="I87" s="1332">
        <v>61601</v>
      </c>
      <c r="J87" s="1332">
        <v>0</v>
      </c>
      <c r="K87" s="1332">
        <v>135536</v>
      </c>
      <c r="L87" s="1333"/>
      <c r="M87" s="1332">
        <v>0</v>
      </c>
      <c r="N87" s="1332">
        <v>0</v>
      </c>
      <c r="O87" s="1332">
        <v>17153</v>
      </c>
      <c r="P87" s="1332">
        <v>17153</v>
      </c>
      <c r="Q87" s="1333"/>
      <c r="R87" s="1332">
        <v>168365</v>
      </c>
      <c r="S87" s="1332">
        <v>-7847</v>
      </c>
      <c r="T87" s="1332">
        <v>160518</v>
      </c>
    </row>
    <row r="88" spans="1:20" x14ac:dyDescent="0.25">
      <c r="A88" s="1342">
        <v>90741</v>
      </c>
      <c r="B88" s="1340" t="s">
        <v>2708</v>
      </c>
      <c r="C88" s="1324">
        <v>1.38E-5</v>
      </c>
      <c r="D88" s="1324">
        <v>1.52E-5</v>
      </c>
      <c r="E88" s="1332">
        <v>37687</v>
      </c>
      <c r="F88" s="1333"/>
      <c r="G88" s="1332">
        <v>6453</v>
      </c>
      <c r="H88" s="1332">
        <v>919</v>
      </c>
      <c r="I88" s="1332">
        <v>6142</v>
      </c>
      <c r="J88" s="1332">
        <v>3237</v>
      </c>
      <c r="K88" s="1332">
        <v>16751</v>
      </c>
      <c r="L88" s="1333"/>
      <c r="M88" s="1332">
        <v>0</v>
      </c>
      <c r="N88" s="1332">
        <v>0</v>
      </c>
      <c r="O88" s="1332">
        <v>1091</v>
      </c>
      <c r="P88" s="1332">
        <v>1091</v>
      </c>
      <c r="Q88" s="1333"/>
      <c r="R88" s="1332">
        <v>16788</v>
      </c>
      <c r="S88" s="1332">
        <v>1605</v>
      </c>
      <c r="T88" s="1332">
        <v>18393</v>
      </c>
    </row>
    <row r="89" spans="1:20" x14ac:dyDescent="0.25">
      <c r="A89" s="1342">
        <v>90751</v>
      </c>
      <c r="B89" s="1340" t="s">
        <v>2709</v>
      </c>
      <c r="C89" s="1324">
        <v>6.3E-5</v>
      </c>
      <c r="D89" s="1324">
        <v>7.9499999999999994E-5</v>
      </c>
      <c r="E89" s="1332">
        <v>172048</v>
      </c>
      <c r="F89" s="1333"/>
      <c r="G89" s="1332">
        <v>29459</v>
      </c>
      <c r="H89" s="1332">
        <v>4197</v>
      </c>
      <c r="I89" s="1332">
        <v>28041</v>
      </c>
      <c r="J89" s="1332">
        <v>1902</v>
      </c>
      <c r="K89" s="1332">
        <v>63599</v>
      </c>
      <c r="L89" s="1333"/>
      <c r="M89" s="1332">
        <v>0</v>
      </c>
      <c r="N89" s="1332">
        <v>0</v>
      </c>
      <c r="O89" s="1332">
        <v>16916</v>
      </c>
      <c r="P89" s="1332">
        <v>16916</v>
      </c>
      <c r="Q89" s="1333"/>
      <c r="R89" s="1332">
        <v>76640</v>
      </c>
      <c r="S89" s="1332">
        <v>-2503</v>
      </c>
      <c r="T89" s="1332">
        <v>74137</v>
      </c>
    </row>
    <row r="90" spans="1:20" x14ac:dyDescent="0.25">
      <c r="A90" s="1342">
        <v>90801</v>
      </c>
      <c r="B90" s="1340" t="s">
        <v>2710</v>
      </c>
      <c r="C90" s="1324">
        <v>1.2669999999999999E-3</v>
      </c>
      <c r="D90" s="1324">
        <v>1.338E-3</v>
      </c>
      <c r="E90" s="1332">
        <v>3460078</v>
      </c>
      <c r="F90" s="1333"/>
      <c r="G90" s="1332">
        <v>592453</v>
      </c>
      <c r="H90" s="1332">
        <v>84396</v>
      </c>
      <c r="I90" s="1332">
        <v>563935</v>
      </c>
      <c r="J90" s="1332">
        <v>30862</v>
      </c>
      <c r="K90" s="1332">
        <v>1271646</v>
      </c>
      <c r="L90" s="1333"/>
      <c r="M90" s="1332">
        <v>0</v>
      </c>
      <c r="N90" s="1332">
        <v>0</v>
      </c>
      <c r="O90" s="1332">
        <v>151759</v>
      </c>
      <c r="P90" s="1332">
        <v>151759</v>
      </c>
      <c r="Q90" s="1333"/>
      <c r="R90" s="1332">
        <v>1541322</v>
      </c>
      <c r="S90" s="1332">
        <v>14339</v>
      </c>
      <c r="T90" s="1332">
        <v>1555661</v>
      </c>
    </row>
    <row r="91" spans="1:20" x14ac:dyDescent="0.25">
      <c r="A91" s="1342">
        <v>90804</v>
      </c>
      <c r="B91" s="1340" t="s">
        <v>2711</v>
      </c>
      <c r="C91" s="1324">
        <v>5.5999999999999997E-6</v>
      </c>
      <c r="D91" s="1324">
        <v>6.0000000000000002E-6</v>
      </c>
      <c r="E91" s="1332">
        <v>15293</v>
      </c>
      <c r="F91" s="1333"/>
      <c r="G91" s="1332">
        <v>2619</v>
      </c>
      <c r="H91" s="1332">
        <v>373</v>
      </c>
      <c r="I91" s="1332">
        <v>2493</v>
      </c>
      <c r="J91" s="1332">
        <v>189</v>
      </c>
      <c r="K91" s="1332">
        <v>5674</v>
      </c>
      <c r="L91" s="1333"/>
      <c r="M91" s="1332">
        <v>0</v>
      </c>
      <c r="N91" s="1332">
        <v>0</v>
      </c>
      <c r="O91" s="1332">
        <v>479</v>
      </c>
      <c r="P91" s="1332">
        <v>479</v>
      </c>
      <c r="Q91" s="1333"/>
      <c r="R91" s="1332">
        <v>6812</v>
      </c>
      <c r="S91" s="1332">
        <v>251</v>
      </c>
      <c r="T91" s="1332">
        <v>7063</v>
      </c>
    </row>
    <row r="92" spans="1:20" x14ac:dyDescent="0.25">
      <c r="A92" s="1342">
        <v>90805</v>
      </c>
      <c r="B92" s="1340" t="s">
        <v>2712</v>
      </c>
      <c r="C92" s="1324">
        <v>6.5900000000000003E-5</v>
      </c>
      <c r="D92" s="1324">
        <v>6.6600000000000006E-5</v>
      </c>
      <c r="E92" s="1332">
        <v>179968</v>
      </c>
      <c r="F92" s="1333"/>
      <c r="G92" s="1332">
        <v>30815</v>
      </c>
      <c r="H92" s="1332">
        <v>4390</v>
      </c>
      <c r="I92" s="1332">
        <v>29332</v>
      </c>
      <c r="J92" s="1332">
        <v>26214</v>
      </c>
      <c r="K92" s="1332">
        <v>90751</v>
      </c>
      <c r="L92" s="1333"/>
      <c r="M92" s="1332">
        <v>0</v>
      </c>
      <c r="N92" s="1332">
        <v>0</v>
      </c>
      <c r="O92" s="1332">
        <v>0</v>
      </c>
      <c r="P92" s="1332">
        <v>0</v>
      </c>
      <c r="Q92" s="1333"/>
      <c r="R92" s="1332">
        <v>80168</v>
      </c>
      <c r="S92" s="1332">
        <v>12759</v>
      </c>
      <c r="T92" s="1332">
        <v>92927</v>
      </c>
    </row>
    <row r="93" spans="1:20" x14ac:dyDescent="0.25">
      <c r="A93" s="1342">
        <v>90808</v>
      </c>
      <c r="B93" s="1340" t="s">
        <v>4125</v>
      </c>
      <c r="C93" s="1324">
        <v>1.395E-4</v>
      </c>
      <c r="D93" s="1324">
        <v>1.0119999999999999E-4</v>
      </c>
      <c r="E93" s="1332">
        <v>380964</v>
      </c>
      <c r="F93" s="1333"/>
      <c r="G93" s="1332">
        <v>65231</v>
      </c>
      <c r="H93" s="1332">
        <v>9292</v>
      </c>
      <c r="I93" s="1332">
        <v>62091</v>
      </c>
      <c r="J93" s="1332">
        <v>40200</v>
      </c>
      <c r="K93" s="1332">
        <v>176814</v>
      </c>
      <c r="L93" s="1333"/>
      <c r="M93" s="1332">
        <v>0</v>
      </c>
      <c r="N93" s="1332">
        <v>0</v>
      </c>
      <c r="O93" s="1332">
        <v>702</v>
      </c>
      <c r="P93" s="1332">
        <v>702</v>
      </c>
      <c r="Q93" s="1333"/>
      <c r="R93" s="1332">
        <v>169704</v>
      </c>
      <c r="S93" s="1332">
        <v>10423</v>
      </c>
      <c r="T93" s="1332">
        <v>180127</v>
      </c>
    </row>
    <row r="94" spans="1:20" x14ac:dyDescent="0.25">
      <c r="A94" s="1342">
        <v>90811</v>
      </c>
      <c r="B94" s="1340" t="s">
        <v>2714</v>
      </c>
      <c r="C94" s="1324">
        <v>3.4900000000000001E-5</v>
      </c>
      <c r="D94" s="1324">
        <v>3.6199999999999999E-5</v>
      </c>
      <c r="E94" s="1332">
        <v>95309</v>
      </c>
      <c r="F94" s="1333"/>
      <c r="G94" s="1332">
        <v>16319</v>
      </c>
      <c r="H94" s="1332">
        <v>2324</v>
      </c>
      <c r="I94" s="1332">
        <v>15534</v>
      </c>
      <c r="J94" s="1332">
        <v>0</v>
      </c>
      <c r="K94" s="1332">
        <v>34177</v>
      </c>
      <c r="L94" s="1333"/>
      <c r="M94" s="1332">
        <v>0</v>
      </c>
      <c r="N94" s="1332">
        <v>0</v>
      </c>
      <c r="O94" s="1332">
        <v>9832</v>
      </c>
      <c r="P94" s="1332">
        <v>9832</v>
      </c>
      <c r="Q94" s="1333"/>
      <c r="R94" s="1332">
        <v>42456</v>
      </c>
      <c r="S94" s="1332">
        <v>-4056</v>
      </c>
      <c r="T94" s="1332">
        <v>38400</v>
      </c>
    </row>
    <row r="95" spans="1:20" x14ac:dyDescent="0.25">
      <c r="A95" s="1342">
        <v>90812</v>
      </c>
      <c r="B95" s="1340" t="s">
        <v>2715</v>
      </c>
      <c r="C95" s="1324">
        <v>2.2100000000000001E-4</v>
      </c>
      <c r="D95" s="1324">
        <v>2.2489999999999999E-4</v>
      </c>
      <c r="E95" s="1332">
        <v>603534</v>
      </c>
      <c r="F95" s="1333"/>
      <c r="G95" s="1332">
        <v>103340</v>
      </c>
      <c r="H95" s="1332">
        <v>14721</v>
      </c>
      <c r="I95" s="1332">
        <v>98366</v>
      </c>
      <c r="J95" s="1332">
        <v>5327</v>
      </c>
      <c r="K95" s="1332">
        <v>221754</v>
      </c>
      <c r="L95" s="1333"/>
      <c r="M95" s="1332">
        <v>0</v>
      </c>
      <c r="N95" s="1332">
        <v>0</v>
      </c>
      <c r="O95" s="1332">
        <v>12070</v>
      </c>
      <c r="P95" s="1332">
        <v>12070</v>
      </c>
      <c r="Q95" s="1333"/>
      <c r="R95" s="1332">
        <v>268849</v>
      </c>
      <c r="S95" s="1332">
        <v>-3204</v>
      </c>
      <c r="T95" s="1332">
        <v>265645</v>
      </c>
    </row>
    <row r="96" spans="1:20" x14ac:dyDescent="0.25">
      <c r="A96" s="1342">
        <v>90813</v>
      </c>
      <c r="B96" s="1340" t="s">
        <v>2716</v>
      </c>
      <c r="C96" s="1324">
        <v>4.6E-6</v>
      </c>
      <c r="D96" s="1324">
        <v>5.0000000000000004E-6</v>
      </c>
      <c r="E96" s="1332">
        <v>12562</v>
      </c>
      <c r="F96" s="1333"/>
      <c r="G96" s="1332">
        <v>2151</v>
      </c>
      <c r="H96" s="1332">
        <v>307</v>
      </c>
      <c r="I96" s="1332">
        <v>2047</v>
      </c>
      <c r="J96" s="1332">
        <v>0</v>
      </c>
      <c r="K96" s="1332">
        <v>4505</v>
      </c>
      <c r="L96" s="1333"/>
      <c r="M96" s="1332">
        <v>0</v>
      </c>
      <c r="N96" s="1332">
        <v>0</v>
      </c>
      <c r="O96" s="1332">
        <v>1049</v>
      </c>
      <c r="P96" s="1332">
        <v>1049</v>
      </c>
      <c r="Q96" s="1333"/>
      <c r="R96" s="1332">
        <v>5596</v>
      </c>
      <c r="S96" s="1332">
        <v>-559</v>
      </c>
      <c r="T96" s="1332">
        <v>5037</v>
      </c>
    </row>
    <row r="97" spans="1:20" x14ac:dyDescent="0.25">
      <c r="A97" s="1342">
        <v>90861</v>
      </c>
      <c r="B97" s="1340" t="s">
        <v>2717</v>
      </c>
      <c r="C97" s="1324">
        <v>8.4999999999999999E-6</v>
      </c>
      <c r="D97" s="1324">
        <v>7.7999999999999999E-6</v>
      </c>
      <c r="E97" s="1332">
        <v>23213</v>
      </c>
      <c r="F97" s="1333"/>
      <c r="G97" s="1332">
        <v>3975</v>
      </c>
      <c r="H97" s="1332">
        <v>566</v>
      </c>
      <c r="I97" s="1332">
        <v>3783</v>
      </c>
      <c r="J97" s="1332">
        <v>7590</v>
      </c>
      <c r="K97" s="1332">
        <v>15914</v>
      </c>
      <c r="L97" s="1333"/>
      <c r="M97" s="1332">
        <v>0</v>
      </c>
      <c r="N97" s="1332">
        <v>0</v>
      </c>
      <c r="O97" s="1332">
        <v>0</v>
      </c>
      <c r="P97" s="1332">
        <v>0</v>
      </c>
      <c r="Q97" s="1333"/>
      <c r="R97" s="1332">
        <v>10340</v>
      </c>
      <c r="S97" s="1332">
        <v>3178</v>
      </c>
      <c r="T97" s="1332">
        <v>13518</v>
      </c>
    </row>
    <row r="98" spans="1:20" x14ac:dyDescent="0.25">
      <c r="A98" s="1342">
        <v>90901</v>
      </c>
      <c r="B98" s="1340" t="s">
        <v>2718</v>
      </c>
      <c r="C98" s="1324">
        <v>2.274E-3</v>
      </c>
      <c r="D98" s="1324">
        <v>2.1440000000000001E-3</v>
      </c>
      <c r="E98" s="1332">
        <v>6210117</v>
      </c>
      <c r="F98" s="1333"/>
      <c r="G98" s="1332">
        <v>1063329</v>
      </c>
      <c r="H98" s="1332">
        <v>151474</v>
      </c>
      <c r="I98" s="1332">
        <v>1012146</v>
      </c>
      <c r="J98" s="1332">
        <v>94867</v>
      </c>
      <c r="K98" s="1332">
        <v>2321816</v>
      </c>
      <c r="L98" s="1333"/>
      <c r="M98" s="1332">
        <v>0</v>
      </c>
      <c r="N98" s="1332">
        <v>0</v>
      </c>
      <c r="O98" s="1332">
        <v>12787</v>
      </c>
      <c r="P98" s="1332">
        <v>12787</v>
      </c>
      <c r="Q98" s="1333"/>
      <c r="R98" s="1332">
        <v>2766351</v>
      </c>
      <c r="S98" s="1332">
        <v>10469</v>
      </c>
      <c r="T98" s="1332">
        <v>2776820</v>
      </c>
    </row>
    <row r="99" spans="1:20" x14ac:dyDescent="0.25">
      <c r="A99" s="1342">
        <v>90911</v>
      </c>
      <c r="B99" s="1340" t="s">
        <v>2719</v>
      </c>
      <c r="C99" s="1324">
        <v>3.8539999999999999E-4</v>
      </c>
      <c r="D99" s="1324">
        <v>4.037E-4</v>
      </c>
      <c r="E99" s="1332">
        <v>1052497</v>
      </c>
      <c r="F99" s="1333"/>
      <c r="G99" s="1332">
        <v>180214</v>
      </c>
      <c r="H99" s="1332">
        <v>25672</v>
      </c>
      <c r="I99" s="1332">
        <v>171540</v>
      </c>
      <c r="J99" s="1332">
        <v>3402</v>
      </c>
      <c r="K99" s="1332">
        <v>380828</v>
      </c>
      <c r="L99" s="1333"/>
      <c r="M99" s="1332">
        <v>0</v>
      </c>
      <c r="N99" s="1332">
        <v>0</v>
      </c>
      <c r="O99" s="1332">
        <v>47605</v>
      </c>
      <c r="P99" s="1332">
        <v>47605</v>
      </c>
      <c r="Q99" s="1333"/>
      <c r="R99" s="1332">
        <v>468844</v>
      </c>
      <c r="S99" s="1332">
        <v>-17641</v>
      </c>
      <c r="T99" s="1332">
        <v>451203</v>
      </c>
    </row>
    <row r="100" spans="1:20" x14ac:dyDescent="0.25">
      <c r="A100" s="1342">
        <v>90917</v>
      </c>
      <c r="B100" s="1340" t="s">
        <v>2720</v>
      </c>
      <c r="C100" s="1324">
        <v>8.1000000000000004E-6</v>
      </c>
      <c r="D100" s="1324">
        <v>1.1800000000000001E-5</v>
      </c>
      <c r="E100" s="1332">
        <v>22120</v>
      </c>
      <c r="F100" s="1333"/>
      <c r="G100" s="1332">
        <v>3788</v>
      </c>
      <c r="H100" s="1332">
        <v>539</v>
      </c>
      <c r="I100" s="1332">
        <v>3605</v>
      </c>
      <c r="J100" s="1332">
        <v>377</v>
      </c>
      <c r="K100" s="1332">
        <v>8309</v>
      </c>
      <c r="L100" s="1333"/>
      <c r="M100" s="1332">
        <v>0</v>
      </c>
      <c r="N100" s="1332">
        <v>0</v>
      </c>
      <c r="O100" s="1332">
        <v>3369</v>
      </c>
      <c r="P100" s="1332">
        <v>3369</v>
      </c>
      <c r="Q100" s="1333"/>
      <c r="R100" s="1332">
        <v>9854</v>
      </c>
      <c r="S100" s="1332">
        <v>-461</v>
      </c>
      <c r="T100" s="1332">
        <v>9393</v>
      </c>
    </row>
    <row r="101" spans="1:20" ht="30" x14ac:dyDescent="0.25">
      <c r="A101" s="1342">
        <v>90918</v>
      </c>
      <c r="B101" s="1340" t="s">
        <v>4126</v>
      </c>
      <c r="C101" s="1324">
        <v>1.06E-5</v>
      </c>
      <c r="D101" s="1324">
        <v>1.13E-5</v>
      </c>
      <c r="E101" s="1332">
        <v>28948</v>
      </c>
      <c r="F101" s="1333"/>
      <c r="G101" s="1332">
        <v>4957</v>
      </c>
      <c r="H101" s="1332">
        <v>706</v>
      </c>
      <c r="I101" s="1332">
        <v>4718</v>
      </c>
      <c r="J101" s="1332">
        <v>0</v>
      </c>
      <c r="K101" s="1332">
        <v>10381</v>
      </c>
      <c r="L101" s="1333"/>
      <c r="M101" s="1332">
        <v>0</v>
      </c>
      <c r="N101" s="1332">
        <v>0</v>
      </c>
      <c r="O101" s="1332">
        <v>2125</v>
      </c>
      <c r="P101" s="1332">
        <v>2125</v>
      </c>
      <c r="Q101" s="1333"/>
      <c r="R101" s="1332">
        <v>12895</v>
      </c>
      <c r="S101" s="1332">
        <v>-1151</v>
      </c>
      <c r="T101" s="1332">
        <v>11744</v>
      </c>
    </row>
    <row r="102" spans="1:20" x14ac:dyDescent="0.25">
      <c r="A102" s="1342">
        <v>90921</v>
      </c>
      <c r="B102" s="1340" t="s">
        <v>2722</v>
      </c>
      <c r="C102" s="1324">
        <v>1.2129999999999999E-4</v>
      </c>
      <c r="D102" s="1324">
        <v>1.2789999999999999E-4</v>
      </c>
      <c r="E102" s="1332">
        <v>331261</v>
      </c>
      <c r="F102" s="1333"/>
      <c r="G102" s="1332">
        <v>56720</v>
      </c>
      <c r="H102" s="1332">
        <v>8080</v>
      </c>
      <c r="I102" s="1332">
        <v>53990</v>
      </c>
      <c r="J102" s="1332">
        <v>14157</v>
      </c>
      <c r="K102" s="1332">
        <v>132947</v>
      </c>
      <c r="L102" s="1333"/>
      <c r="M102" s="1332">
        <v>0</v>
      </c>
      <c r="N102" s="1332">
        <v>0</v>
      </c>
      <c r="O102" s="1332">
        <v>3883</v>
      </c>
      <c r="P102" s="1332">
        <v>3883</v>
      </c>
      <c r="Q102" s="1333"/>
      <c r="R102" s="1332">
        <v>147563</v>
      </c>
      <c r="S102" s="1332">
        <v>5889</v>
      </c>
      <c r="T102" s="1332">
        <v>153452</v>
      </c>
    </row>
    <row r="103" spans="1:20" x14ac:dyDescent="0.25">
      <c r="A103" s="1342">
        <v>90931</v>
      </c>
      <c r="B103" s="1340" t="s">
        <v>2723</v>
      </c>
      <c r="C103" s="1324">
        <v>3.7299999999999999E-5</v>
      </c>
      <c r="D103" s="1324">
        <v>3.8099999999999998E-5</v>
      </c>
      <c r="E103" s="1332">
        <v>101863</v>
      </c>
      <c r="F103" s="1333"/>
      <c r="G103" s="1332">
        <v>17442</v>
      </c>
      <c r="H103" s="1332">
        <v>2484</v>
      </c>
      <c r="I103" s="1332">
        <v>16602</v>
      </c>
      <c r="J103" s="1332">
        <v>0</v>
      </c>
      <c r="K103" s="1332">
        <v>36528</v>
      </c>
      <c r="L103" s="1333"/>
      <c r="M103" s="1332">
        <v>0</v>
      </c>
      <c r="N103" s="1332">
        <v>0</v>
      </c>
      <c r="O103" s="1332">
        <v>11531</v>
      </c>
      <c r="P103" s="1332">
        <v>11531</v>
      </c>
      <c r="Q103" s="1333"/>
      <c r="R103" s="1332">
        <v>45376</v>
      </c>
      <c r="S103" s="1332">
        <v>-4509</v>
      </c>
      <c r="T103" s="1332">
        <v>40867</v>
      </c>
    </row>
    <row r="104" spans="1:20" x14ac:dyDescent="0.25">
      <c r="A104" s="1342">
        <v>90941</v>
      </c>
      <c r="B104" s="1340" t="s">
        <v>2724</v>
      </c>
      <c r="C104" s="1324">
        <v>8.5400000000000002E-5</v>
      </c>
      <c r="D104" s="1324">
        <v>8.2000000000000001E-5</v>
      </c>
      <c r="E104" s="1332">
        <v>233221</v>
      </c>
      <c r="F104" s="1333"/>
      <c r="G104" s="1332">
        <v>39933</v>
      </c>
      <c r="H104" s="1332">
        <v>5688</v>
      </c>
      <c r="I104" s="1332">
        <v>38011</v>
      </c>
      <c r="J104" s="1332">
        <v>6140</v>
      </c>
      <c r="K104" s="1332">
        <v>89772</v>
      </c>
      <c r="L104" s="1333"/>
      <c r="M104" s="1332">
        <v>0</v>
      </c>
      <c r="N104" s="1332">
        <v>0</v>
      </c>
      <c r="O104" s="1332">
        <v>5789</v>
      </c>
      <c r="P104" s="1332">
        <v>5789</v>
      </c>
      <c r="Q104" s="1333"/>
      <c r="R104" s="1332">
        <v>103890</v>
      </c>
      <c r="S104" s="1332">
        <v>-2436</v>
      </c>
      <c r="T104" s="1332">
        <v>101454</v>
      </c>
    </row>
    <row r="105" spans="1:20" x14ac:dyDescent="0.25">
      <c r="A105" s="1342">
        <v>91001</v>
      </c>
      <c r="B105" s="1340" t="s">
        <v>2725</v>
      </c>
      <c r="C105" s="1324">
        <v>7.2779999999999997E-3</v>
      </c>
      <c r="D105" s="1324">
        <v>6.6366999999999997E-3</v>
      </c>
      <c r="E105" s="1332">
        <v>19875650</v>
      </c>
      <c r="F105" s="1333"/>
      <c r="G105" s="1332">
        <v>3403215</v>
      </c>
      <c r="H105" s="1332">
        <v>484794</v>
      </c>
      <c r="I105" s="1332">
        <v>3239401</v>
      </c>
      <c r="J105" s="1332">
        <v>348849</v>
      </c>
      <c r="K105" s="1332">
        <v>7476259</v>
      </c>
      <c r="L105" s="1333"/>
      <c r="M105" s="1332">
        <v>0</v>
      </c>
      <c r="N105" s="1332">
        <v>0</v>
      </c>
      <c r="O105" s="1332">
        <v>211170</v>
      </c>
      <c r="P105" s="1332">
        <v>211170</v>
      </c>
      <c r="Q105" s="1333"/>
      <c r="R105" s="1332">
        <v>8853782</v>
      </c>
      <c r="S105" s="1332">
        <v>-34417</v>
      </c>
      <c r="T105" s="1332">
        <v>8819365</v>
      </c>
    </row>
    <row r="106" spans="1:20" x14ac:dyDescent="0.25">
      <c r="A106" s="1342">
        <v>91002</v>
      </c>
      <c r="B106" s="1340" t="s">
        <v>2726</v>
      </c>
      <c r="C106" s="1324">
        <v>1.2939E-3</v>
      </c>
      <c r="D106" s="1324">
        <v>9.4410000000000002E-4</v>
      </c>
      <c r="E106" s="1332">
        <v>3533540</v>
      </c>
      <c r="F106" s="1333"/>
      <c r="G106" s="1332">
        <v>605032</v>
      </c>
      <c r="H106" s="1332">
        <v>86188</v>
      </c>
      <c r="I106" s="1332">
        <v>575908</v>
      </c>
      <c r="J106" s="1332">
        <v>305840</v>
      </c>
      <c r="K106" s="1332">
        <v>1572968</v>
      </c>
      <c r="L106" s="1333"/>
      <c r="M106" s="1332">
        <v>0</v>
      </c>
      <c r="N106" s="1332">
        <v>0</v>
      </c>
      <c r="O106" s="1332">
        <v>9040</v>
      </c>
      <c r="P106" s="1332">
        <v>9040</v>
      </c>
      <c r="Q106" s="1333"/>
      <c r="R106" s="1332">
        <v>1574046</v>
      </c>
      <c r="S106" s="1332">
        <v>70870</v>
      </c>
      <c r="T106" s="1332">
        <v>1644916</v>
      </c>
    </row>
    <row r="107" spans="1:20" x14ac:dyDescent="0.25">
      <c r="A107" s="1342">
        <v>91003</v>
      </c>
      <c r="B107" s="1340" t="s">
        <v>4127</v>
      </c>
      <c r="C107" s="1324">
        <v>5.9570000000000001E-4</v>
      </c>
      <c r="D107" s="1324">
        <v>5.354E-4</v>
      </c>
      <c r="E107" s="1332">
        <v>1626810</v>
      </c>
      <c r="F107" s="1333"/>
      <c r="G107" s="1332">
        <v>278551</v>
      </c>
      <c r="H107" s="1332">
        <v>39680</v>
      </c>
      <c r="I107" s="1332">
        <v>265143</v>
      </c>
      <c r="J107" s="1332">
        <v>53688</v>
      </c>
      <c r="K107" s="1332">
        <v>637062</v>
      </c>
      <c r="L107" s="1333"/>
      <c r="M107" s="1332">
        <v>0</v>
      </c>
      <c r="N107" s="1332">
        <v>0</v>
      </c>
      <c r="O107" s="1332">
        <v>23363</v>
      </c>
      <c r="P107" s="1332">
        <v>23363</v>
      </c>
      <c r="Q107" s="1333"/>
      <c r="R107" s="1332">
        <v>724677</v>
      </c>
      <c r="S107" s="1332">
        <v>3187</v>
      </c>
      <c r="T107" s="1332">
        <v>727864</v>
      </c>
    </row>
    <row r="108" spans="1:20" x14ac:dyDescent="0.25">
      <c r="A108" s="1342">
        <v>91004</v>
      </c>
      <c r="B108" s="1340" t="s">
        <v>2728</v>
      </c>
      <c r="C108" s="1324">
        <v>3.3300000000000003E-5</v>
      </c>
      <c r="D108" s="1324">
        <v>3.6600000000000002E-5</v>
      </c>
      <c r="E108" s="1332">
        <v>90940</v>
      </c>
      <c r="F108" s="1333"/>
      <c r="G108" s="1332">
        <v>15571</v>
      </c>
      <c r="H108" s="1332">
        <v>2219</v>
      </c>
      <c r="I108" s="1332">
        <v>14822</v>
      </c>
      <c r="J108" s="1332">
        <v>9268</v>
      </c>
      <c r="K108" s="1332">
        <v>41880</v>
      </c>
      <c r="L108" s="1333"/>
      <c r="M108" s="1332">
        <v>0</v>
      </c>
      <c r="N108" s="1332">
        <v>0</v>
      </c>
      <c r="O108" s="1332">
        <v>3368</v>
      </c>
      <c r="P108" s="1332">
        <v>3368</v>
      </c>
      <c r="Q108" s="1333"/>
      <c r="R108" s="1332">
        <v>40510</v>
      </c>
      <c r="S108" s="1332">
        <v>4961</v>
      </c>
      <c r="T108" s="1332">
        <v>45471</v>
      </c>
    </row>
    <row r="109" spans="1:20" ht="30" x14ac:dyDescent="0.25">
      <c r="A109" s="1342">
        <v>91006</v>
      </c>
      <c r="B109" s="1340" t="s">
        <v>4128</v>
      </c>
      <c r="C109" s="1324">
        <v>1.0489E-3</v>
      </c>
      <c r="D109" s="1324">
        <v>1.0660999999999999E-3</v>
      </c>
      <c r="E109" s="1332">
        <v>2864464</v>
      </c>
      <c r="F109" s="1333"/>
      <c r="G109" s="1332">
        <v>490469</v>
      </c>
      <c r="H109" s="1332">
        <v>69869</v>
      </c>
      <c r="I109" s="1332">
        <v>466860</v>
      </c>
      <c r="J109" s="1332">
        <v>0</v>
      </c>
      <c r="K109" s="1332">
        <v>1027198</v>
      </c>
      <c r="L109" s="1333"/>
      <c r="M109" s="1332">
        <v>0</v>
      </c>
      <c r="N109" s="1332">
        <v>0</v>
      </c>
      <c r="O109" s="1332">
        <v>63246</v>
      </c>
      <c r="P109" s="1332">
        <v>63246</v>
      </c>
      <c r="Q109" s="1333"/>
      <c r="R109" s="1332">
        <v>1276000</v>
      </c>
      <c r="S109" s="1332">
        <v>-14322</v>
      </c>
      <c r="T109" s="1332">
        <v>1261678</v>
      </c>
    </row>
    <row r="110" spans="1:20" x14ac:dyDescent="0.25">
      <c r="A110" s="1342">
        <v>91007</v>
      </c>
      <c r="B110" s="1340" t="s">
        <v>2730</v>
      </c>
      <c r="C110" s="1324">
        <v>1.0900000000000001E-5</v>
      </c>
      <c r="D110" s="1324">
        <v>8.4999999999999999E-6</v>
      </c>
      <c r="E110" s="1332">
        <v>29767</v>
      </c>
      <c r="F110" s="1333"/>
      <c r="G110" s="1332">
        <v>5097</v>
      </c>
      <c r="H110" s="1332">
        <v>726</v>
      </c>
      <c r="I110" s="1332">
        <v>4852</v>
      </c>
      <c r="J110" s="1332">
        <v>4515</v>
      </c>
      <c r="K110" s="1332">
        <v>15190</v>
      </c>
      <c r="L110" s="1333"/>
      <c r="M110" s="1332">
        <v>0</v>
      </c>
      <c r="N110" s="1332">
        <v>0</v>
      </c>
      <c r="O110" s="1332">
        <v>0</v>
      </c>
      <c r="P110" s="1332">
        <v>0</v>
      </c>
      <c r="Q110" s="1333"/>
      <c r="R110" s="1332">
        <v>13260</v>
      </c>
      <c r="S110" s="1332">
        <v>3098</v>
      </c>
      <c r="T110" s="1332">
        <v>16358</v>
      </c>
    </row>
    <row r="111" spans="1:20" x14ac:dyDescent="0.25">
      <c r="A111" s="1342">
        <v>91008</v>
      </c>
      <c r="B111" s="1340" t="s">
        <v>2731</v>
      </c>
      <c r="C111" s="1324">
        <v>1.474E-4</v>
      </c>
      <c r="D111" s="1324">
        <v>1.3909999999999999E-4</v>
      </c>
      <c r="E111" s="1332">
        <v>402538</v>
      </c>
      <c r="F111" s="1333"/>
      <c r="G111" s="1332">
        <v>68925</v>
      </c>
      <c r="H111" s="1332">
        <v>9819</v>
      </c>
      <c r="I111" s="1332">
        <v>65607</v>
      </c>
      <c r="J111" s="1332">
        <v>30807</v>
      </c>
      <c r="K111" s="1332">
        <v>175158</v>
      </c>
      <c r="L111" s="1333"/>
      <c r="M111" s="1332">
        <v>0</v>
      </c>
      <c r="N111" s="1332">
        <v>0</v>
      </c>
      <c r="O111" s="1332">
        <v>0</v>
      </c>
      <c r="P111" s="1332">
        <v>0</v>
      </c>
      <c r="Q111" s="1333"/>
      <c r="R111" s="1332">
        <v>179314</v>
      </c>
      <c r="S111" s="1332">
        <v>19442</v>
      </c>
      <c r="T111" s="1332">
        <v>198756</v>
      </c>
    </row>
    <row r="112" spans="1:20" x14ac:dyDescent="0.25">
      <c r="A112" s="1342">
        <v>91009</v>
      </c>
      <c r="B112" s="1340" t="s">
        <v>2732</v>
      </c>
      <c r="C112" s="1324">
        <v>8.3000000000000002E-6</v>
      </c>
      <c r="D112" s="1324">
        <v>1.59E-5</v>
      </c>
      <c r="E112" s="1332">
        <v>22667</v>
      </c>
      <c r="F112" s="1333"/>
      <c r="G112" s="1332">
        <v>3881</v>
      </c>
      <c r="H112" s="1332">
        <v>553</v>
      </c>
      <c r="I112" s="1332">
        <v>3694</v>
      </c>
      <c r="J112" s="1332">
        <v>3287</v>
      </c>
      <c r="K112" s="1332">
        <v>11415</v>
      </c>
      <c r="L112" s="1333"/>
      <c r="M112" s="1332">
        <v>0</v>
      </c>
      <c r="N112" s="1332">
        <v>0</v>
      </c>
      <c r="O112" s="1332">
        <v>642</v>
      </c>
      <c r="P112" s="1332">
        <v>642</v>
      </c>
      <c r="Q112" s="1333"/>
      <c r="R112" s="1332">
        <v>10097</v>
      </c>
      <c r="S112" s="1332">
        <v>756</v>
      </c>
      <c r="T112" s="1332">
        <v>10853</v>
      </c>
    </row>
    <row r="113" spans="1:20" x14ac:dyDescent="0.25">
      <c r="A113" s="1342">
        <v>91010</v>
      </c>
      <c r="B113" s="1340" t="s">
        <v>2733</v>
      </c>
      <c r="C113" s="1324">
        <v>5.1E-5</v>
      </c>
      <c r="D113" s="1324">
        <v>5.8699999999999997E-5</v>
      </c>
      <c r="E113" s="1332">
        <v>139277</v>
      </c>
      <c r="F113" s="1333"/>
      <c r="G113" s="1332">
        <v>23848</v>
      </c>
      <c r="H113" s="1332">
        <v>3397</v>
      </c>
      <c r="I113" s="1332">
        <v>22700</v>
      </c>
      <c r="J113" s="1332">
        <v>704</v>
      </c>
      <c r="K113" s="1332">
        <v>50649</v>
      </c>
      <c r="L113" s="1333"/>
      <c r="M113" s="1332">
        <v>0</v>
      </c>
      <c r="N113" s="1332">
        <v>0</v>
      </c>
      <c r="O113" s="1332">
        <v>7679</v>
      </c>
      <c r="P113" s="1332">
        <v>7679</v>
      </c>
      <c r="Q113" s="1333"/>
      <c r="R113" s="1332">
        <v>62042</v>
      </c>
      <c r="S113" s="1332">
        <v>-338</v>
      </c>
      <c r="T113" s="1332">
        <v>61704</v>
      </c>
    </row>
    <row r="114" spans="1:20" x14ac:dyDescent="0.25">
      <c r="A114" s="1342">
        <v>91011</v>
      </c>
      <c r="B114" s="1340" t="s">
        <v>2734</v>
      </c>
      <c r="C114" s="1324">
        <v>3.2009999999999997E-4</v>
      </c>
      <c r="D114" s="1324">
        <v>3.6509999999999998E-4</v>
      </c>
      <c r="E114" s="1332">
        <v>874168</v>
      </c>
      <c r="F114" s="1333"/>
      <c r="G114" s="1332">
        <v>149680</v>
      </c>
      <c r="H114" s="1332">
        <v>21322</v>
      </c>
      <c r="I114" s="1332">
        <v>142475</v>
      </c>
      <c r="J114" s="1332">
        <v>14173</v>
      </c>
      <c r="K114" s="1332">
        <v>327650</v>
      </c>
      <c r="L114" s="1333"/>
      <c r="M114" s="1332">
        <v>0</v>
      </c>
      <c r="N114" s="1332">
        <v>0</v>
      </c>
      <c r="O114" s="1332">
        <v>26422</v>
      </c>
      <c r="P114" s="1332">
        <v>26422</v>
      </c>
      <c r="Q114" s="1333"/>
      <c r="R114" s="1332">
        <v>389406</v>
      </c>
      <c r="S114" s="1332">
        <v>6664</v>
      </c>
      <c r="T114" s="1332">
        <v>396070</v>
      </c>
    </row>
    <row r="115" spans="1:20" x14ac:dyDescent="0.25">
      <c r="A115" s="1342">
        <v>91012</v>
      </c>
      <c r="B115" s="1340" t="s">
        <v>2735</v>
      </c>
      <c r="C115" s="1324">
        <v>1.4600000000000001E-5</v>
      </c>
      <c r="D115" s="1324">
        <v>1.42E-5</v>
      </c>
      <c r="E115" s="1332">
        <v>39871</v>
      </c>
      <c r="F115" s="1333"/>
      <c r="G115" s="1332">
        <v>6827</v>
      </c>
      <c r="H115" s="1332">
        <v>973</v>
      </c>
      <c r="I115" s="1332">
        <v>6498</v>
      </c>
      <c r="J115" s="1332">
        <v>4187</v>
      </c>
      <c r="K115" s="1332">
        <v>18485</v>
      </c>
      <c r="L115" s="1333"/>
      <c r="M115" s="1332">
        <v>0</v>
      </c>
      <c r="N115" s="1332">
        <v>0</v>
      </c>
      <c r="O115" s="1332">
        <v>2327</v>
      </c>
      <c r="P115" s="1332">
        <v>2327</v>
      </c>
      <c r="Q115" s="1333"/>
      <c r="R115" s="1332">
        <v>17761</v>
      </c>
      <c r="S115" s="1332">
        <v>1138</v>
      </c>
      <c r="T115" s="1332">
        <v>18899</v>
      </c>
    </row>
    <row r="116" spans="1:20" x14ac:dyDescent="0.25">
      <c r="A116" s="1342">
        <v>91013</v>
      </c>
      <c r="B116" s="1340" t="s">
        <v>2736</v>
      </c>
      <c r="C116" s="1324">
        <v>3.4999999999999997E-5</v>
      </c>
      <c r="D116" s="1324">
        <v>1.9899999999999999E-5</v>
      </c>
      <c r="E116" s="1332">
        <v>95582</v>
      </c>
      <c r="F116" s="1333"/>
      <c r="G116" s="1332">
        <v>16366</v>
      </c>
      <c r="H116" s="1332">
        <v>2331</v>
      </c>
      <c r="I116" s="1332">
        <v>15578</v>
      </c>
      <c r="J116" s="1332">
        <v>48607</v>
      </c>
      <c r="K116" s="1332">
        <v>82882</v>
      </c>
      <c r="L116" s="1333"/>
      <c r="M116" s="1332">
        <v>0</v>
      </c>
      <c r="N116" s="1332">
        <v>0</v>
      </c>
      <c r="O116" s="1332">
        <v>0</v>
      </c>
      <c r="P116" s="1332">
        <v>0</v>
      </c>
      <c r="Q116" s="1333"/>
      <c r="R116" s="1332">
        <v>42578</v>
      </c>
      <c r="S116" s="1332">
        <v>19543</v>
      </c>
      <c r="T116" s="1332">
        <v>62121</v>
      </c>
    </row>
    <row r="117" spans="1:20" x14ac:dyDescent="0.25">
      <c r="A117" s="1342">
        <v>91014</v>
      </c>
      <c r="B117" s="1340" t="s">
        <v>2737</v>
      </c>
      <c r="C117" s="1324">
        <v>1.7640000000000001E-4</v>
      </c>
      <c r="D117" s="1324">
        <v>2.02E-4</v>
      </c>
      <c r="E117" s="1332">
        <v>481735</v>
      </c>
      <c r="F117" s="1333"/>
      <c r="G117" s="1332">
        <v>82485</v>
      </c>
      <c r="H117" s="1332">
        <v>11750</v>
      </c>
      <c r="I117" s="1332">
        <v>78515</v>
      </c>
      <c r="J117" s="1332">
        <v>658</v>
      </c>
      <c r="K117" s="1332">
        <v>173408</v>
      </c>
      <c r="L117" s="1333"/>
      <c r="M117" s="1332">
        <v>0</v>
      </c>
      <c r="N117" s="1332">
        <v>0</v>
      </c>
      <c r="O117" s="1332">
        <v>26573</v>
      </c>
      <c r="P117" s="1332">
        <v>26573</v>
      </c>
      <c r="Q117" s="1333"/>
      <c r="R117" s="1332">
        <v>214593</v>
      </c>
      <c r="S117" s="1332">
        <v>-9823</v>
      </c>
      <c r="T117" s="1332">
        <v>204770</v>
      </c>
    </row>
    <row r="118" spans="1:20" x14ac:dyDescent="0.25">
      <c r="A118" s="1342">
        <v>91015</v>
      </c>
      <c r="B118" s="1340" t="s">
        <v>4129</v>
      </c>
      <c r="C118" s="1324">
        <v>1.8499999999999999E-5</v>
      </c>
      <c r="D118" s="1324">
        <v>1.9400000000000001E-5</v>
      </c>
      <c r="E118" s="1332">
        <v>50522</v>
      </c>
      <c r="F118" s="1333"/>
      <c r="G118" s="1332">
        <v>8651</v>
      </c>
      <c r="H118" s="1332">
        <v>1232</v>
      </c>
      <c r="I118" s="1332">
        <v>8234</v>
      </c>
      <c r="J118" s="1332">
        <v>21884</v>
      </c>
      <c r="K118" s="1332">
        <v>40001</v>
      </c>
      <c r="L118" s="1333"/>
      <c r="M118" s="1332">
        <v>0</v>
      </c>
      <c r="N118" s="1332">
        <v>0</v>
      </c>
      <c r="O118" s="1332">
        <v>0</v>
      </c>
      <c r="P118" s="1332">
        <v>0</v>
      </c>
      <c r="Q118" s="1333"/>
      <c r="R118" s="1332">
        <v>22505</v>
      </c>
      <c r="S118" s="1332">
        <v>6737</v>
      </c>
      <c r="T118" s="1332">
        <v>29242</v>
      </c>
    </row>
    <row r="119" spans="1:20" x14ac:dyDescent="0.25">
      <c r="A119" s="1342">
        <v>91017</v>
      </c>
      <c r="B119" s="1340" t="s">
        <v>2738</v>
      </c>
      <c r="C119" s="1324">
        <v>2.4700000000000001E-5</v>
      </c>
      <c r="D119" s="1324">
        <v>2.3499999999999999E-5</v>
      </c>
      <c r="E119" s="1332">
        <v>67454</v>
      </c>
      <c r="F119" s="1333"/>
      <c r="G119" s="1332">
        <v>11550</v>
      </c>
      <c r="H119" s="1332">
        <v>1645</v>
      </c>
      <c r="I119" s="1332">
        <v>10994</v>
      </c>
      <c r="J119" s="1332">
        <v>5489</v>
      </c>
      <c r="K119" s="1332">
        <v>29678</v>
      </c>
      <c r="L119" s="1333"/>
      <c r="M119" s="1332">
        <v>0</v>
      </c>
      <c r="N119" s="1332">
        <v>0</v>
      </c>
      <c r="O119" s="1332">
        <v>0</v>
      </c>
      <c r="P119" s="1332">
        <v>0</v>
      </c>
      <c r="Q119" s="1333"/>
      <c r="R119" s="1332">
        <v>30048</v>
      </c>
      <c r="S119" s="1332">
        <v>4188</v>
      </c>
      <c r="T119" s="1332">
        <v>34236</v>
      </c>
    </row>
    <row r="120" spans="1:20" x14ac:dyDescent="0.25">
      <c r="A120" s="1342">
        <v>91020</v>
      </c>
      <c r="B120" s="1340" t="s">
        <v>2739</v>
      </c>
      <c r="C120" s="1324">
        <v>2.2900000000000001E-5</v>
      </c>
      <c r="D120" s="1324">
        <v>2.9200000000000002E-5</v>
      </c>
      <c r="E120" s="1332">
        <v>62538</v>
      </c>
      <c r="F120" s="1333"/>
      <c r="G120" s="1332">
        <v>10708</v>
      </c>
      <c r="H120" s="1332">
        <v>1526</v>
      </c>
      <c r="I120" s="1332">
        <v>10193</v>
      </c>
      <c r="J120" s="1332">
        <v>4697</v>
      </c>
      <c r="K120" s="1332">
        <v>27124</v>
      </c>
      <c r="L120" s="1333"/>
      <c r="M120" s="1332">
        <v>0</v>
      </c>
      <c r="N120" s="1332">
        <v>0</v>
      </c>
      <c r="O120" s="1332">
        <v>5632</v>
      </c>
      <c r="P120" s="1332">
        <v>5632</v>
      </c>
      <c r="Q120" s="1333"/>
      <c r="R120" s="1332">
        <v>27858</v>
      </c>
      <c r="S120" s="1332">
        <v>516</v>
      </c>
      <c r="T120" s="1332">
        <v>28374</v>
      </c>
    </row>
    <row r="121" spans="1:20" x14ac:dyDescent="0.25">
      <c r="A121" s="1342">
        <v>91021</v>
      </c>
      <c r="B121" s="1340" t="s">
        <v>2740</v>
      </c>
      <c r="C121" s="1324">
        <v>9.2460000000000003E-4</v>
      </c>
      <c r="D121" s="1324">
        <v>8.8009999999999998E-4</v>
      </c>
      <c r="E121" s="1332">
        <v>2525010</v>
      </c>
      <c r="F121" s="1333"/>
      <c r="G121" s="1332">
        <v>432346</v>
      </c>
      <c r="H121" s="1332">
        <v>61588</v>
      </c>
      <c r="I121" s="1332">
        <v>411535</v>
      </c>
      <c r="J121" s="1332">
        <v>56023</v>
      </c>
      <c r="K121" s="1332">
        <v>961492</v>
      </c>
      <c r="L121" s="1333"/>
      <c r="M121" s="1332">
        <v>0</v>
      </c>
      <c r="N121" s="1332">
        <v>0</v>
      </c>
      <c r="O121" s="1332">
        <v>13548</v>
      </c>
      <c r="P121" s="1332">
        <v>13548</v>
      </c>
      <c r="Q121" s="1333"/>
      <c r="R121" s="1332">
        <v>1124788</v>
      </c>
      <c r="S121" s="1332">
        <v>-5680</v>
      </c>
      <c r="T121" s="1332">
        <v>1119108</v>
      </c>
    </row>
    <row r="122" spans="1:20" x14ac:dyDescent="0.25">
      <c r="A122" s="1342">
        <v>91024</v>
      </c>
      <c r="B122" s="1340" t="s">
        <v>2741</v>
      </c>
      <c r="C122" s="1324">
        <v>9.3599999999999998E-5</v>
      </c>
      <c r="D122" s="1324">
        <v>9.3800000000000003E-5</v>
      </c>
      <c r="E122" s="1332">
        <v>255614</v>
      </c>
      <c r="F122" s="1333"/>
      <c r="G122" s="1332">
        <v>43768</v>
      </c>
      <c r="H122" s="1332">
        <v>6234</v>
      </c>
      <c r="I122" s="1332">
        <v>41661</v>
      </c>
      <c r="J122" s="1332">
        <v>22087</v>
      </c>
      <c r="K122" s="1332">
        <v>113750</v>
      </c>
      <c r="L122" s="1333"/>
      <c r="M122" s="1332">
        <v>0</v>
      </c>
      <c r="N122" s="1332">
        <v>0</v>
      </c>
      <c r="O122" s="1332">
        <v>0</v>
      </c>
      <c r="P122" s="1332">
        <v>0</v>
      </c>
      <c r="Q122" s="1333"/>
      <c r="R122" s="1332">
        <v>113866</v>
      </c>
      <c r="S122" s="1332">
        <v>13315</v>
      </c>
      <c r="T122" s="1332">
        <v>127181</v>
      </c>
    </row>
    <row r="123" spans="1:20" x14ac:dyDescent="0.25">
      <c r="A123" s="1342">
        <v>91026</v>
      </c>
      <c r="B123" s="1340" t="s">
        <v>1269</v>
      </c>
      <c r="C123" s="1324">
        <v>3.1099999999999997E-5</v>
      </c>
      <c r="D123" s="1324">
        <v>4.5599999999999997E-5</v>
      </c>
      <c r="E123" s="1332">
        <v>84932</v>
      </c>
      <c r="F123" s="1333"/>
      <c r="G123" s="1332">
        <v>14542</v>
      </c>
      <c r="H123" s="1332">
        <v>2072</v>
      </c>
      <c r="I123" s="1332">
        <v>13842</v>
      </c>
      <c r="J123" s="1332">
        <v>32022</v>
      </c>
      <c r="K123" s="1332">
        <v>62478</v>
      </c>
      <c r="L123" s="1333"/>
      <c r="M123" s="1332">
        <v>0</v>
      </c>
      <c r="N123" s="1332">
        <v>0</v>
      </c>
      <c r="O123" s="1332">
        <v>0</v>
      </c>
      <c r="P123" s="1332">
        <v>0</v>
      </c>
      <c r="Q123" s="1333"/>
      <c r="R123" s="1332">
        <v>37834</v>
      </c>
      <c r="S123" s="1332">
        <v>20924</v>
      </c>
      <c r="T123" s="1332">
        <v>58758</v>
      </c>
    </row>
    <row r="124" spans="1:20" x14ac:dyDescent="0.25">
      <c r="A124" s="1342">
        <v>91027</v>
      </c>
      <c r="B124" s="1340" t="s">
        <v>4130</v>
      </c>
      <c r="C124" s="1324">
        <v>1.7E-5</v>
      </c>
      <c r="D124" s="1324">
        <v>1.6699999999999999E-5</v>
      </c>
      <c r="E124" s="1332">
        <v>46426</v>
      </c>
      <c r="F124" s="1333"/>
      <c r="G124" s="1332">
        <v>7949</v>
      </c>
      <c r="H124" s="1332">
        <v>1132</v>
      </c>
      <c r="I124" s="1332">
        <v>7567</v>
      </c>
      <c r="J124" s="1332">
        <v>15193</v>
      </c>
      <c r="K124" s="1332">
        <v>31841</v>
      </c>
      <c r="L124" s="1333"/>
      <c r="M124" s="1332">
        <v>0</v>
      </c>
      <c r="N124" s="1332">
        <v>0</v>
      </c>
      <c r="O124" s="1332">
        <v>0</v>
      </c>
      <c r="P124" s="1332">
        <v>0</v>
      </c>
      <c r="Q124" s="1333"/>
      <c r="R124" s="1332">
        <v>20681</v>
      </c>
      <c r="S124" s="1332">
        <v>8116</v>
      </c>
      <c r="T124" s="1332">
        <v>28797</v>
      </c>
    </row>
    <row r="125" spans="1:20" x14ac:dyDescent="0.25">
      <c r="A125" s="1342">
        <v>91032</v>
      </c>
      <c r="B125" s="1340" t="s">
        <v>2743</v>
      </c>
      <c r="C125" s="1324">
        <v>1.66E-5</v>
      </c>
      <c r="D125" s="1324">
        <v>1.6399999999999999E-5</v>
      </c>
      <c r="E125" s="1332">
        <v>45333</v>
      </c>
      <c r="F125" s="1333"/>
      <c r="G125" s="1332">
        <v>7762</v>
      </c>
      <c r="H125" s="1332">
        <v>1105</v>
      </c>
      <c r="I125" s="1332">
        <v>7389</v>
      </c>
      <c r="J125" s="1332">
        <v>19226</v>
      </c>
      <c r="K125" s="1332">
        <v>35482</v>
      </c>
      <c r="L125" s="1333"/>
      <c r="M125" s="1332">
        <v>0</v>
      </c>
      <c r="N125" s="1332">
        <v>0</v>
      </c>
      <c r="O125" s="1332">
        <v>0</v>
      </c>
      <c r="P125" s="1332">
        <v>0</v>
      </c>
      <c r="Q125" s="1333"/>
      <c r="R125" s="1332">
        <v>20194</v>
      </c>
      <c r="S125" s="1332">
        <v>9093</v>
      </c>
      <c r="T125" s="1332">
        <v>29287</v>
      </c>
    </row>
    <row r="126" spans="1:20" x14ac:dyDescent="0.25">
      <c r="A126" s="1342">
        <v>91041</v>
      </c>
      <c r="B126" s="1340" t="s">
        <v>2744</v>
      </c>
      <c r="C126" s="1324">
        <v>4.3379999999999997E-4</v>
      </c>
      <c r="D126" s="1324">
        <v>4.373E-4</v>
      </c>
      <c r="E126" s="1332">
        <v>1184674</v>
      </c>
      <c r="F126" s="1333"/>
      <c r="G126" s="1332">
        <v>202846</v>
      </c>
      <c r="H126" s="1332">
        <v>28895</v>
      </c>
      <c r="I126" s="1332">
        <v>193082</v>
      </c>
      <c r="J126" s="1332">
        <v>0</v>
      </c>
      <c r="K126" s="1332">
        <v>424823</v>
      </c>
      <c r="L126" s="1333"/>
      <c r="M126" s="1332">
        <v>0</v>
      </c>
      <c r="N126" s="1332">
        <v>0</v>
      </c>
      <c r="O126" s="1332">
        <v>62219</v>
      </c>
      <c r="P126" s="1332">
        <v>62219</v>
      </c>
      <c r="Q126" s="1333"/>
      <c r="R126" s="1332">
        <v>527723</v>
      </c>
      <c r="S126" s="1332">
        <v>-42923</v>
      </c>
      <c r="T126" s="1332">
        <v>484800</v>
      </c>
    </row>
    <row r="127" spans="1:20" x14ac:dyDescent="0.25">
      <c r="A127" s="1342">
        <v>91042</v>
      </c>
      <c r="B127" s="1340" t="s">
        <v>2745</v>
      </c>
      <c r="C127" s="1324">
        <v>2.6259999999999999E-4</v>
      </c>
      <c r="D127" s="1324">
        <v>2.6630000000000002E-4</v>
      </c>
      <c r="E127" s="1332">
        <v>717140</v>
      </c>
      <c r="F127" s="1333"/>
      <c r="G127" s="1332">
        <v>122793</v>
      </c>
      <c r="H127" s="1332">
        <v>17493</v>
      </c>
      <c r="I127" s="1332">
        <v>116882</v>
      </c>
      <c r="J127" s="1332">
        <v>14664</v>
      </c>
      <c r="K127" s="1332">
        <v>271832</v>
      </c>
      <c r="L127" s="1333"/>
      <c r="M127" s="1332">
        <v>0</v>
      </c>
      <c r="N127" s="1332">
        <v>0</v>
      </c>
      <c r="O127" s="1332">
        <v>14986</v>
      </c>
      <c r="P127" s="1332">
        <v>14986</v>
      </c>
      <c r="Q127" s="1333"/>
      <c r="R127" s="1332">
        <v>319456</v>
      </c>
      <c r="S127" s="1332">
        <v>273</v>
      </c>
      <c r="T127" s="1332">
        <v>319729</v>
      </c>
    </row>
    <row r="128" spans="1:20" x14ac:dyDescent="0.25">
      <c r="A128" s="1342">
        <v>91047</v>
      </c>
      <c r="B128" s="1340" t="s">
        <v>2746</v>
      </c>
      <c r="C128" s="1324">
        <v>1.15E-5</v>
      </c>
      <c r="D128" s="1324">
        <v>1.24E-5</v>
      </c>
      <c r="E128" s="1332">
        <v>31406</v>
      </c>
      <c r="F128" s="1333"/>
      <c r="G128" s="1332">
        <v>5377</v>
      </c>
      <c r="H128" s="1332">
        <v>766</v>
      </c>
      <c r="I128" s="1332">
        <v>5119</v>
      </c>
      <c r="J128" s="1332">
        <v>22634</v>
      </c>
      <c r="K128" s="1332">
        <v>33896</v>
      </c>
      <c r="L128" s="1333"/>
      <c r="M128" s="1332">
        <v>0</v>
      </c>
      <c r="N128" s="1332">
        <v>0</v>
      </c>
      <c r="O128" s="1332">
        <v>0</v>
      </c>
      <c r="P128" s="1332">
        <v>0</v>
      </c>
      <c r="Q128" s="1333"/>
      <c r="R128" s="1332">
        <v>13990</v>
      </c>
      <c r="S128" s="1332">
        <v>11270</v>
      </c>
      <c r="T128" s="1332">
        <v>25260</v>
      </c>
    </row>
    <row r="129" spans="1:20" x14ac:dyDescent="0.25">
      <c r="A129" s="1342">
        <v>91051</v>
      </c>
      <c r="B129" s="1340" t="s">
        <v>2747</v>
      </c>
      <c r="C129" s="1324">
        <v>6.2799999999999995E-5</v>
      </c>
      <c r="D129" s="1324">
        <v>6.7999999999999999E-5</v>
      </c>
      <c r="E129" s="1332">
        <v>171502</v>
      </c>
      <c r="F129" s="1333"/>
      <c r="G129" s="1332">
        <v>29365</v>
      </c>
      <c r="H129" s="1332">
        <v>4183</v>
      </c>
      <c r="I129" s="1332">
        <v>27952</v>
      </c>
      <c r="J129" s="1332">
        <v>871</v>
      </c>
      <c r="K129" s="1332">
        <v>62371</v>
      </c>
      <c r="L129" s="1333"/>
      <c r="M129" s="1332">
        <v>0</v>
      </c>
      <c r="N129" s="1332">
        <v>0</v>
      </c>
      <c r="O129" s="1332">
        <v>4847</v>
      </c>
      <c r="P129" s="1332">
        <v>4847</v>
      </c>
      <c r="Q129" s="1333"/>
      <c r="R129" s="1332">
        <v>76397</v>
      </c>
      <c r="S129" s="1332">
        <v>-1473</v>
      </c>
      <c r="T129" s="1332">
        <v>74924</v>
      </c>
    </row>
    <row r="130" spans="1:20" x14ac:dyDescent="0.25">
      <c r="A130" s="1342">
        <v>91057</v>
      </c>
      <c r="B130" s="1340" t="s">
        <v>2748</v>
      </c>
      <c r="C130" s="1324">
        <v>1.5699999999999999E-5</v>
      </c>
      <c r="D130" s="1324">
        <v>1.3699999999999999E-5</v>
      </c>
      <c r="E130" s="1332">
        <v>42875</v>
      </c>
      <c r="F130" s="1333"/>
      <c r="G130" s="1332">
        <v>7341</v>
      </c>
      <c r="H130" s="1332">
        <v>1046</v>
      </c>
      <c r="I130" s="1332">
        <v>6988</v>
      </c>
      <c r="J130" s="1332">
        <v>8738</v>
      </c>
      <c r="K130" s="1332">
        <v>24113</v>
      </c>
      <c r="L130" s="1333"/>
      <c r="M130" s="1332">
        <v>0</v>
      </c>
      <c r="N130" s="1332">
        <v>0</v>
      </c>
      <c r="O130" s="1332">
        <v>0</v>
      </c>
      <c r="P130" s="1332">
        <v>0</v>
      </c>
      <c r="Q130" s="1333"/>
      <c r="R130" s="1332">
        <v>19099</v>
      </c>
      <c r="S130" s="1332">
        <v>3957</v>
      </c>
      <c r="T130" s="1332">
        <v>23056</v>
      </c>
    </row>
    <row r="131" spans="1:20" x14ac:dyDescent="0.25">
      <c r="A131" s="1342">
        <v>91061</v>
      </c>
      <c r="B131" s="1340" t="s">
        <v>2749</v>
      </c>
      <c r="C131" s="1324">
        <v>3.8039999999999998E-4</v>
      </c>
      <c r="D131" s="1324">
        <v>3.657E-4</v>
      </c>
      <c r="E131" s="1332">
        <v>1038843</v>
      </c>
      <c r="F131" s="1333"/>
      <c r="G131" s="1332">
        <v>177876</v>
      </c>
      <c r="H131" s="1332">
        <v>25339</v>
      </c>
      <c r="I131" s="1332">
        <v>169314</v>
      </c>
      <c r="J131" s="1332">
        <v>11692</v>
      </c>
      <c r="K131" s="1332">
        <v>384221</v>
      </c>
      <c r="L131" s="1333"/>
      <c r="M131" s="1332">
        <v>0</v>
      </c>
      <c r="N131" s="1332">
        <v>0</v>
      </c>
      <c r="O131" s="1332">
        <v>19860</v>
      </c>
      <c r="P131" s="1332">
        <v>19860</v>
      </c>
      <c r="Q131" s="1333"/>
      <c r="R131" s="1332">
        <v>462762</v>
      </c>
      <c r="S131" s="1332">
        <v>-8533</v>
      </c>
      <c r="T131" s="1332">
        <v>454229</v>
      </c>
    </row>
    <row r="132" spans="1:20" x14ac:dyDescent="0.25">
      <c r="A132" s="1342">
        <v>91067</v>
      </c>
      <c r="B132" s="1340" t="s">
        <v>2750</v>
      </c>
      <c r="C132" s="1324">
        <v>1.6200000000000001E-5</v>
      </c>
      <c r="D132" s="1324">
        <v>1.6900000000000001E-5</v>
      </c>
      <c r="E132" s="1332">
        <v>44241</v>
      </c>
      <c r="F132" s="1333"/>
      <c r="G132" s="1332">
        <v>7575</v>
      </c>
      <c r="H132" s="1332">
        <v>1079</v>
      </c>
      <c r="I132" s="1332">
        <v>7211</v>
      </c>
      <c r="J132" s="1332">
        <v>1968</v>
      </c>
      <c r="K132" s="1332">
        <v>17833</v>
      </c>
      <c r="L132" s="1333"/>
      <c r="M132" s="1332">
        <v>0</v>
      </c>
      <c r="N132" s="1332">
        <v>0</v>
      </c>
      <c r="O132" s="1332">
        <v>203</v>
      </c>
      <c r="P132" s="1332">
        <v>203</v>
      </c>
      <c r="Q132" s="1333"/>
      <c r="R132" s="1332">
        <v>19708</v>
      </c>
      <c r="S132" s="1332">
        <v>1241</v>
      </c>
      <c r="T132" s="1332">
        <v>20949</v>
      </c>
    </row>
    <row r="133" spans="1:20" x14ac:dyDescent="0.25">
      <c r="A133" s="1342">
        <v>91071</v>
      </c>
      <c r="B133" s="1340" t="s">
        <v>4131</v>
      </c>
      <c r="C133" s="1324">
        <v>2.4489999999999999E-4</v>
      </c>
      <c r="D133" s="1324">
        <v>2.354E-4</v>
      </c>
      <c r="E133" s="1332">
        <v>668803</v>
      </c>
      <c r="F133" s="1333"/>
      <c r="G133" s="1332">
        <v>114516</v>
      </c>
      <c r="H133" s="1332">
        <v>16313</v>
      </c>
      <c r="I133" s="1332">
        <v>109004</v>
      </c>
      <c r="J133" s="1332">
        <v>0</v>
      </c>
      <c r="K133" s="1332">
        <v>239833</v>
      </c>
      <c r="L133" s="1333"/>
      <c r="M133" s="1332">
        <v>0</v>
      </c>
      <c r="N133" s="1332">
        <v>0</v>
      </c>
      <c r="O133" s="1332">
        <v>12755</v>
      </c>
      <c r="P133" s="1332">
        <v>12755</v>
      </c>
      <c r="Q133" s="1333"/>
      <c r="R133" s="1332">
        <v>297924</v>
      </c>
      <c r="S133" s="1332">
        <v>-6634</v>
      </c>
      <c r="T133" s="1332">
        <v>291290</v>
      </c>
    </row>
    <row r="134" spans="1:20" x14ac:dyDescent="0.25">
      <c r="A134" s="1342">
        <v>91077</v>
      </c>
      <c r="B134" s="1340" t="s">
        <v>2752</v>
      </c>
      <c r="C134" s="1324">
        <v>5.9000000000000003E-6</v>
      </c>
      <c r="D134" s="1324">
        <v>3.1E-6</v>
      </c>
      <c r="E134" s="1332">
        <v>16112</v>
      </c>
      <c r="F134" s="1333"/>
      <c r="G134" s="1332">
        <v>2759</v>
      </c>
      <c r="H134" s="1332">
        <v>393</v>
      </c>
      <c r="I134" s="1332">
        <v>2626</v>
      </c>
      <c r="J134" s="1332">
        <v>3562</v>
      </c>
      <c r="K134" s="1332">
        <v>9340</v>
      </c>
      <c r="L134" s="1333"/>
      <c r="M134" s="1332">
        <v>0</v>
      </c>
      <c r="N134" s="1332">
        <v>0</v>
      </c>
      <c r="O134" s="1332">
        <v>0</v>
      </c>
      <c r="P134" s="1332">
        <v>0</v>
      </c>
      <c r="Q134" s="1333"/>
      <c r="R134" s="1332">
        <v>7177</v>
      </c>
      <c r="S134" s="1332">
        <v>1342</v>
      </c>
      <c r="T134" s="1332">
        <v>8519</v>
      </c>
    </row>
    <row r="135" spans="1:20" x14ac:dyDescent="0.25">
      <c r="A135" s="1342">
        <v>91081</v>
      </c>
      <c r="B135" s="1340" t="s">
        <v>2753</v>
      </c>
      <c r="C135" s="1324">
        <v>4.2739999999999998E-4</v>
      </c>
      <c r="D135" s="1324">
        <v>3.8870000000000002E-4</v>
      </c>
      <c r="E135" s="1332">
        <v>1167196</v>
      </c>
      <c r="F135" s="1333"/>
      <c r="G135" s="1332">
        <v>199854</v>
      </c>
      <c r="H135" s="1332">
        <v>28470</v>
      </c>
      <c r="I135" s="1332">
        <v>190234</v>
      </c>
      <c r="J135" s="1332">
        <v>30285</v>
      </c>
      <c r="K135" s="1332">
        <v>448843</v>
      </c>
      <c r="L135" s="1333"/>
      <c r="M135" s="1332">
        <v>0</v>
      </c>
      <c r="N135" s="1332">
        <v>0</v>
      </c>
      <c r="O135" s="1332">
        <v>0</v>
      </c>
      <c r="P135" s="1332">
        <v>0</v>
      </c>
      <c r="Q135" s="1333"/>
      <c r="R135" s="1332">
        <v>519938</v>
      </c>
      <c r="S135" s="1332">
        <v>9199</v>
      </c>
      <c r="T135" s="1332">
        <v>529137</v>
      </c>
    </row>
    <row r="136" spans="1:20" x14ac:dyDescent="0.25">
      <c r="A136" s="1342">
        <v>91091</v>
      </c>
      <c r="B136" s="1340" t="s">
        <v>2754</v>
      </c>
      <c r="C136" s="1324">
        <v>5.4540000000000003E-4</v>
      </c>
      <c r="D136" s="1324">
        <v>5.0319999999999998E-4</v>
      </c>
      <c r="E136" s="1332">
        <v>1489445</v>
      </c>
      <c r="F136" s="1333"/>
      <c r="G136" s="1332">
        <v>255031</v>
      </c>
      <c r="H136" s="1332">
        <v>36330</v>
      </c>
      <c r="I136" s="1332">
        <v>242755</v>
      </c>
      <c r="J136" s="1332">
        <v>27236</v>
      </c>
      <c r="K136" s="1332">
        <v>561352</v>
      </c>
      <c r="L136" s="1333"/>
      <c r="M136" s="1332">
        <v>0</v>
      </c>
      <c r="N136" s="1332">
        <v>0</v>
      </c>
      <c r="O136" s="1332">
        <v>39624</v>
      </c>
      <c r="P136" s="1332">
        <v>39624</v>
      </c>
      <c r="Q136" s="1333"/>
      <c r="R136" s="1332">
        <v>663486</v>
      </c>
      <c r="S136" s="1332">
        <v>-17164</v>
      </c>
      <c r="T136" s="1332">
        <v>646322</v>
      </c>
    </row>
    <row r="137" spans="1:20" x14ac:dyDescent="0.25">
      <c r="A137" s="1342">
        <v>91101</v>
      </c>
      <c r="B137" s="1340" t="s">
        <v>2755</v>
      </c>
      <c r="C137" s="1324">
        <v>1.32874E-2</v>
      </c>
      <c r="D137" s="1324">
        <v>1.3608800000000001E-2</v>
      </c>
      <c r="E137" s="1332">
        <v>36286853</v>
      </c>
      <c r="F137" s="1333"/>
      <c r="G137" s="1332">
        <v>6213228</v>
      </c>
      <c r="H137" s="1332">
        <v>885087</v>
      </c>
      <c r="I137" s="1332">
        <v>5914155</v>
      </c>
      <c r="J137" s="1332">
        <v>0</v>
      </c>
      <c r="K137" s="1332">
        <v>13012470</v>
      </c>
      <c r="L137" s="1333"/>
      <c r="M137" s="1332">
        <v>0</v>
      </c>
      <c r="N137" s="1332">
        <v>0</v>
      </c>
      <c r="O137" s="1332">
        <v>935259</v>
      </c>
      <c r="P137" s="1332">
        <v>935259</v>
      </c>
      <c r="Q137" s="1333"/>
      <c r="R137" s="1332">
        <v>16164295</v>
      </c>
      <c r="S137" s="1332">
        <v>-203601</v>
      </c>
      <c r="T137" s="1332">
        <v>15960694</v>
      </c>
    </row>
    <row r="138" spans="1:20" x14ac:dyDescent="0.25">
      <c r="A138" s="1342">
        <v>91102</v>
      </c>
      <c r="B138" s="1340" t="s">
        <v>2756</v>
      </c>
      <c r="C138" s="1324">
        <v>3.279E-4</v>
      </c>
      <c r="D138" s="1324">
        <v>3.2509999999999999E-4</v>
      </c>
      <c r="E138" s="1332">
        <v>895469</v>
      </c>
      <c r="F138" s="1333"/>
      <c r="G138" s="1332">
        <v>153327</v>
      </c>
      <c r="H138" s="1332">
        <v>21841</v>
      </c>
      <c r="I138" s="1332">
        <v>145947</v>
      </c>
      <c r="J138" s="1332">
        <v>15005</v>
      </c>
      <c r="K138" s="1332">
        <v>336120</v>
      </c>
      <c r="L138" s="1333"/>
      <c r="M138" s="1332">
        <v>0</v>
      </c>
      <c r="N138" s="1332">
        <v>0</v>
      </c>
      <c r="O138" s="1332">
        <v>925</v>
      </c>
      <c r="P138" s="1332">
        <v>925</v>
      </c>
      <c r="Q138" s="1333"/>
      <c r="R138" s="1332">
        <v>398895</v>
      </c>
      <c r="S138" s="1332">
        <v>-5501</v>
      </c>
      <c r="T138" s="1332">
        <v>393394</v>
      </c>
    </row>
    <row r="139" spans="1:20" x14ac:dyDescent="0.25">
      <c r="A139" s="1342">
        <v>91104</v>
      </c>
      <c r="B139" s="1340" t="s">
        <v>2757</v>
      </c>
      <c r="C139" s="1324">
        <v>1.66E-5</v>
      </c>
      <c r="D139" s="1324">
        <v>6.9999999999999999E-6</v>
      </c>
      <c r="E139" s="1332">
        <v>45333</v>
      </c>
      <c r="F139" s="1333"/>
      <c r="G139" s="1332">
        <v>7762</v>
      </c>
      <c r="H139" s="1332">
        <v>1105</v>
      </c>
      <c r="I139" s="1332">
        <v>7389</v>
      </c>
      <c r="J139" s="1332">
        <v>13759</v>
      </c>
      <c r="K139" s="1332">
        <v>30015</v>
      </c>
      <c r="L139" s="1333"/>
      <c r="M139" s="1332">
        <v>0</v>
      </c>
      <c r="N139" s="1332">
        <v>0</v>
      </c>
      <c r="O139" s="1332">
        <v>0</v>
      </c>
      <c r="P139" s="1332">
        <v>0</v>
      </c>
      <c r="Q139" s="1333"/>
      <c r="R139" s="1332">
        <v>20194</v>
      </c>
      <c r="S139" s="1332">
        <v>4017</v>
      </c>
      <c r="T139" s="1332">
        <v>24211</v>
      </c>
    </row>
    <row r="140" spans="1:20" x14ac:dyDescent="0.25">
      <c r="A140" s="1342">
        <v>91107</v>
      </c>
      <c r="B140" s="1340" t="s">
        <v>4132</v>
      </c>
      <c r="C140" s="1324">
        <v>5.4500000000000003E-5</v>
      </c>
      <c r="D140" s="1324">
        <v>5.8999999999999998E-5</v>
      </c>
      <c r="E140" s="1332">
        <v>148835</v>
      </c>
      <c r="F140" s="1333"/>
      <c r="G140" s="1332">
        <v>25484</v>
      </c>
      <c r="H140" s="1332">
        <v>3631</v>
      </c>
      <c r="I140" s="1332">
        <v>24258</v>
      </c>
      <c r="J140" s="1332">
        <v>12685</v>
      </c>
      <c r="K140" s="1332">
        <v>66058</v>
      </c>
      <c r="L140" s="1333"/>
      <c r="M140" s="1332">
        <v>0</v>
      </c>
      <c r="N140" s="1332">
        <v>0</v>
      </c>
      <c r="O140" s="1332">
        <v>2257</v>
      </c>
      <c r="P140" s="1332">
        <v>2257</v>
      </c>
      <c r="Q140" s="1333"/>
      <c r="R140" s="1332">
        <v>66300</v>
      </c>
      <c r="S140" s="1332">
        <v>5016</v>
      </c>
      <c r="T140" s="1332">
        <v>71316</v>
      </c>
    </row>
    <row r="141" spans="1:20" x14ac:dyDescent="0.25">
      <c r="A141" s="1342">
        <v>91108</v>
      </c>
      <c r="B141" s="1340" t="s">
        <v>4133</v>
      </c>
      <c r="C141" s="1324">
        <v>1.1929E-3</v>
      </c>
      <c r="D141" s="1324">
        <v>1.2019000000000001E-3</v>
      </c>
      <c r="E141" s="1332">
        <v>3257717</v>
      </c>
      <c r="F141" s="1333"/>
      <c r="G141" s="1332">
        <v>557804</v>
      </c>
      <c r="H141" s="1332">
        <v>79460</v>
      </c>
      <c r="I141" s="1332">
        <v>530954</v>
      </c>
      <c r="J141" s="1332">
        <v>81445</v>
      </c>
      <c r="K141" s="1332">
        <v>1249663</v>
      </c>
      <c r="L141" s="1333"/>
      <c r="M141" s="1332">
        <v>0</v>
      </c>
      <c r="N141" s="1332">
        <v>0</v>
      </c>
      <c r="O141" s="1332">
        <v>0</v>
      </c>
      <c r="P141" s="1332">
        <v>0</v>
      </c>
      <c r="Q141" s="1333"/>
      <c r="R141" s="1332">
        <v>1451178</v>
      </c>
      <c r="S141" s="1332">
        <v>40685</v>
      </c>
      <c r="T141" s="1332">
        <v>1491863</v>
      </c>
    </row>
    <row r="142" spans="1:20" x14ac:dyDescent="0.25">
      <c r="A142" s="1342">
        <v>91109</v>
      </c>
      <c r="B142" s="1340" t="s">
        <v>4134</v>
      </c>
      <c r="C142" s="1324">
        <v>9.8300000000000004E-5</v>
      </c>
      <c r="D142" s="1324">
        <v>1E-4</v>
      </c>
      <c r="E142" s="1332">
        <v>268450</v>
      </c>
      <c r="F142" s="1333"/>
      <c r="G142" s="1332">
        <v>45965</v>
      </c>
      <c r="H142" s="1332">
        <v>6548</v>
      </c>
      <c r="I142" s="1332">
        <v>43753</v>
      </c>
      <c r="J142" s="1332">
        <v>5573</v>
      </c>
      <c r="K142" s="1332">
        <v>101839</v>
      </c>
      <c r="L142" s="1333"/>
      <c r="M142" s="1332">
        <v>0</v>
      </c>
      <c r="N142" s="1332">
        <v>0</v>
      </c>
      <c r="O142" s="1332">
        <v>108</v>
      </c>
      <c r="P142" s="1332">
        <v>108</v>
      </c>
      <c r="Q142" s="1333"/>
      <c r="R142" s="1332">
        <v>119583</v>
      </c>
      <c r="S142" s="1332">
        <v>2680</v>
      </c>
      <c r="T142" s="1332">
        <v>122263</v>
      </c>
    </row>
    <row r="143" spans="1:20" x14ac:dyDescent="0.25">
      <c r="A143" s="1342">
        <v>91111</v>
      </c>
      <c r="B143" s="1340" t="s">
        <v>2761</v>
      </c>
      <c r="C143" s="1324">
        <v>1.973E-4</v>
      </c>
      <c r="D143" s="1324">
        <v>2.3499999999999999E-4</v>
      </c>
      <c r="E143" s="1332">
        <v>538811</v>
      </c>
      <c r="F143" s="1333"/>
      <c r="G143" s="1332">
        <v>92258</v>
      </c>
      <c r="H143" s="1332">
        <v>13143</v>
      </c>
      <c r="I143" s="1332">
        <v>87817</v>
      </c>
      <c r="J143" s="1332">
        <v>8882</v>
      </c>
      <c r="K143" s="1332">
        <v>202100</v>
      </c>
      <c r="L143" s="1333"/>
      <c r="M143" s="1332">
        <v>0</v>
      </c>
      <c r="N143" s="1332">
        <v>0</v>
      </c>
      <c r="O143" s="1332">
        <v>19294</v>
      </c>
      <c r="P143" s="1332">
        <v>19294</v>
      </c>
      <c r="Q143" s="1333"/>
      <c r="R143" s="1332">
        <v>240018</v>
      </c>
      <c r="S143" s="1332">
        <v>5623</v>
      </c>
      <c r="T143" s="1332">
        <v>245641</v>
      </c>
    </row>
    <row r="144" spans="1:20" x14ac:dyDescent="0.25">
      <c r="A144" s="1342">
        <v>91120</v>
      </c>
      <c r="B144" s="1340" t="s">
        <v>4135</v>
      </c>
      <c r="C144" s="1324">
        <v>1.807E-4</v>
      </c>
      <c r="D144" s="1324">
        <v>1.2679999999999999E-4</v>
      </c>
      <c r="E144" s="1332">
        <v>493478</v>
      </c>
      <c r="F144" s="1333"/>
      <c r="G144" s="1332">
        <v>84496</v>
      </c>
      <c r="H144" s="1332">
        <v>12036</v>
      </c>
      <c r="I144" s="1332">
        <v>80429</v>
      </c>
      <c r="J144" s="1332">
        <v>34909</v>
      </c>
      <c r="K144" s="1332">
        <v>211870</v>
      </c>
      <c r="L144" s="1333"/>
      <c r="M144" s="1332">
        <v>0</v>
      </c>
      <c r="N144" s="1332">
        <v>0</v>
      </c>
      <c r="O144" s="1332">
        <v>10750</v>
      </c>
      <c r="P144" s="1332">
        <v>10750</v>
      </c>
      <c r="Q144" s="1333"/>
      <c r="R144" s="1332">
        <v>219824</v>
      </c>
      <c r="S144" s="1332">
        <v>-1266</v>
      </c>
      <c r="T144" s="1332">
        <v>218558</v>
      </c>
    </row>
    <row r="145" spans="1:20" x14ac:dyDescent="0.25">
      <c r="A145" s="1342">
        <v>91121</v>
      </c>
      <c r="B145" s="1340" t="s">
        <v>2763</v>
      </c>
      <c r="C145" s="1324">
        <v>1.03844E-2</v>
      </c>
      <c r="D145" s="1324">
        <v>1.02925E-2</v>
      </c>
      <c r="E145" s="1332">
        <v>28358986</v>
      </c>
      <c r="F145" s="1333"/>
      <c r="G145" s="1332">
        <v>4855777</v>
      </c>
      <c r="H145" s="1332">
        <v>691716</v>
      </c>
      <c r="I145" s="1332">
        <v>4622045</v>
      </c>
      <c r="J145" s="1332">
        <v>0</v>
      </c>
      <c r="K145" s="1332">
        <v>10169538</v>
      </c>
      <c r="L145" s="1333"/>
      <c r="M145" s="1332">
        <v>0</v>
      </c>
      <c r="N145" s="1332">
        <v>0</v>
      </c>
      <c r="O145" s="1332">
        <v>462767</v>
      </c>
      <c r="P145" s="1332">
        <v>462767</v>
      </c>
      <c r="Q145" s="1333"/>
      <c r="R145" s="1332">
        <v>12632758</v>
      </c>
      <c r="S145" s="1332">
        <v>-250458</v>
      </c>
      <c r="T145" s="1332">
        <v>12382300</v>
      </c>
    </row>
    <row r="146" spans="1:20" x14ac:dyDescent="0.25">
      <c r="A146" s="1342">
        <v>91127</v>
      </c>
      <c r="B146" s="1340" t="s">
        <v>2764</v>
      </c>
      <c r="C146" s="1324">
        <v>2.7989999999999997E-4</v>
      </c>
      <c r="D146" s="1324">
        <v>2.8370000000000001E-4</v>
      </c>
      <c r="E146" s="1332">
        <v>764385</v>
      </c>
      <c r="F146" s="1333"/>
      <c r="G146" s="1332">
        <v>130882</v>
      </c>
      <c r="H146" s="1332">
        <v>18644</v>
      </c>
      <c r="I146" s="1332">
        <v>124582</v>
      </c>
      <c r="J146" s="1332">
        <v>45499</v>
      </c>
      <c r="K146" s="1332">
        <v>319607</v>
      </c>
      <c r="L146" s="1333"/>
      <c r="M146" s="1332">
        <v>0</v>
      </c>
      <c r="N146" s="1332">
        <v>0</v>
      </c>
      <c r="O146" s="1332">
        <v>0</v>
      </c>
      <c r="P146" s="1332">
        <v>0</v>
      </c>
      <c r="Q146" s="1333"/>
      <c r="R146" s="1332">
        <v>340502</v>
      </c>
      <c r="S146" s="1332">
        <v>23566</v>
      </c>
      <c r="T146" s="1332">
        <v>364068</v>
      </c>
    </row>
    <row r="147" spans="1:20" x14ac:dyDescent="0.25">
      <c r="A147" s="1342">
        <v>91128</v>
      </c>
      <c r="B147" s="1340" t="s">
        <v>2765</v>
      </c>
      <c r="C147" s="1324">
        <v>4.6710000000000002E-4</v>
      </c>
      <c r="D147" s="1324">
        <v>5.1060000000000005E-4</v>
      </c>
      <c r="E147" s="1332">
        <v>1275614</v>
      </c>
      <c r="F147" s="1333"/>
      <c r="G147" s="1332">
        <v>218417</v>
      </c>
      <c r="H147" s="1332">
        <v>31114</v>
      </c>
      <c r="I147" s="1332">
        <v>207904</v>
      </c>
      <c r="J147" s="1332">
        <v>4437</v>
      </c>
      <c r="K147" s="1332">
        <v>461872</v>
      </c>
      <c r="L147" s="1333"/>
      <c r="M147" s="1332">
        <v>0</v>
      </c>
      <c r="N147" s="1332">
        <v>0</v>
      </c>
      <c r="O147" s="1332">
        <v>31667</v>
      </c>
      <c r="P147" s="1332">
        <v>31667</v>
      </c>
      <c r="Q147" s="1333"/>
      <c r="R147" s="1332">
        <v>568233</v>
      </c>
      <c r="S147" s="1332">
        <v>-3537</v>
      </c>
      <c r="T147" s="1332">
        <v>564696</v>
      </c>
    </row>
    <row r="148" spans="1:20" x14ac:dyDescent="0.25">
      <c r="A148" s="1342">
        <v>91138</v>
      </c>
      <c r="B148" s="1340" t="s">
        <v>4136</v>
      </c>
      <c r="C148" s="1324">
        <v>4.8010000000000001E-4</v>
      </c>
      <c r="D148" s="1324">
        <v>4.8819999999999999E-4</v>
      </c>
      <c r="E148" s="1332">
        <v>1311116</v>
      </c>
      <c r="F148" s="1333"/>
      <c r="G148" s="1332">
        <v>224496</v>
      </c>
      <c r="H148" s="1332">
        <v>31980</v>
      </c>
      <c r="I148" s="1332">
        <v>213690</v>
      </c>
      <c r="J148" s="1332">
        <v>0</v>
      </c>
      <c r="K148" s="1332">
        <v>470166</v>
      </c>
      <c r="L148" s="1333"/>
      <c r="M148" s="1332">
        <v>0</v>
      </c>
      <c r="N148" s="1332">
        <v>0</v>
      </c>
      <c r="O148" s="1332">
        <v>174521</v>
      </c>
      <c r="P148" s="1332">
        <v>174521</v>
      </c>
      <c r="Q148" s="1333"/>
      <c r="R148" s="1332">
        <v>584048</v>
      </c>
      <c r="S148" s="1332">
        <v>-78769</v>
      </c>
      <c r="T148" s="1332">
        <v>505279</v>
      </c>
    </row>
    <row r="149" spans="1:20" x14ac:dyDescent="0.25">
      <c r="A149" s="1342">
        <v>91141</v>
      </c>
      <c r="B149" s="1340" t="s">
        <v>2767</v>
      </c>
      <c r="C149" s="1324">
        <v>6.3610000000000001E-4</v>
      </c>
      <c r="D149" s="1324">
        <v>5.5960000000000005E-4</v>
      </c>
      <c r="E149" s="1332">
        <v>1737139</v>
      </c>
      <c r="F149" s="1333"/>
      <c r="G149" s="1332">
        <v>297442</v>
      </c>
      <c r="H149" s="1332">
        <v>42371</v>
      </c>
      <c r="I149" s="1332">
        <v>283125</v>
      </c>
      <c r="J149" s="1332">
        <v>30937</v>
      </c>
      <c r="K149" s="1332">
        <v>653875</v>
      </c>
      <c r="L149" s="1333"/>
      <c r="M149" s="1332">
        <v>0</v>
      </c>
      <c r="N149" s="1332">
        <v>0</v>
      </c>
      <c r="O149" s="1332">
        <v>33284</v>
      </c>
      <c r="P149" s="1332">
        <v>33284</v>
      </c>
      <c r="Q149" s="1333"/>
      <c r="R149" s="1332">
        <v>773824</v>
      </c>
      <c r="S149" s="1332">
        <v>-24712</v>
      </c>
      <c r="T149" s="1332">
        <v>749112</v>
      </c>
    </row>
    <row r="150" spans="1:20" x14ac:dyDescent="0.25">
      <c r="A150" s="1342">
        <v>91147</v>
      </c>
      <c r="B150" s="1340" t="s">
        <v>2768</v>
      </c>
      <c r="C150" s="1324">
        <v>2.5400000000000001E-5</v>
      </c>
      <c r="D150" s="1324">
        <v>2.87E-5</v>
      </c>
      <c r="E150" s="1332">
        <v>69365</v>
      </c>
      <c r="F150" s="1333"/>
      <c r="G150" s="1332">
        <v>11877</v>
      </c>
      <c r="H150" s="1332">
        <v>1692</v>
      </c>
      <c r="I150" s="1332">
        <v>11305</v>
      </c>
      <c r="J150" s="1332">
        <v>2503</v>
      </c>
      <c r="K150" s="1332">
        <v>27377</v>
      </c>
      <c r="L150" s="1333"/>
      <c r="M150" s="1332">
        <v>0</v>
      </c>
      <c r="N150" s="1332">
        <v>0</v>
      </c>
      <c r="O150" s="1332">
        <v>541</v>
      </c>
      <c r="P150" s="1332">
        <v>541</v>
      </c>
      <c r="Q150" s="1333"/>
      <c r="R150" s="1332">
        <v>30899</v>
      </c>
      <c r="S150" s="1332">
        <v>3267</v>
      </c>
      <c r="T150" s="1332">
        <v>34166</v>
      </c>
    </row>
    <row r="151" spans="1:20" x14ac:dyDescent="0.25">
      <c r="A151" s="1342">
        <v>91151</v>
      </c>
      <c r="B151" s="1340" t="s">
        <v>2769</v>
      </c>
      <c r="C151" s="1324">
        <v>5.8460000000000001E-4</v>
      </c>
      <c r="D151" s="1324">
        <v>6.2589999999999998E-4</v>
      </c>
      <c r="E151" s="1332">
        <v>1596497</v>
      </c>
      <c r="F151" s="1333"/>
      <c r="G151" s="1332">
        <v>273361</v>
      </c>
      <c r="H151" s="1332">
        <v>38941</v>
      </c>
      <c r="I151" s="1332">
        <v>260203</v>
      </c>
      <c r="J151" s="1332">
        <v>0</v>
      </c>
      <c r="K151" s="1332">
        <v>572505</v>
      </c>
      <c r="L151" s="1333"/>
      <c r="M151" s="1332">
        <v>0</v>
      </c>
      <c r="N151" s="1332">
        <v>0</v>
      </c>
      <c r="O151" s="1332">
        <v>101019</v>
      </c>
      <c r="P151" s="1332">
        <v>101019</v>
      </c>
      <c r="Q151" s="1333"/>
      <c r="R151" s="1332">
        <v>711173</v>
      </c>
      <c r="S151" s="1332">
        <v>-34619</v>
      </c>
      <c r="T151" s="1332">
        <v>676554</v>
      </c>
    </row>
    <row r="152" spans="1:20" x14ac:dyDescent="0.25">
      <c r="A152" s="1342">
        <v>91154</v>
      </c>
      <c r="B152" s="1340" t="s">
        <v>4137</v>
      </c>
      <c r="C152" s="1324">
        <v>2.0999999999999999E-5</v>
      </c>
      <c r="D152" s="1324">
        <v>2.41E-5</v>
      </c>
      <c r="E152" s="1332">
        <v>57349</v>
      </c>
      <c r="F152" s="1333"/>
      <c r="G152" s="1332">
        <v>9820</v>
      </c>
      <c r="H152" s="1332">
        <v>1399</v>
      </c>
      <c r="I152" s="1332">
        <v>9347</v>
      </c>
      <c r="J152" s="1332">
        <v>2221</v>
      </c>
      <c r="K152" s="1332">
        <v>22787</v>
      </c>
      <c r="L152" s="1333"/>
      <c r="M152" s="1332">
        <v>0</v>
      </c>
      <c r="N152" s="1332">
        <v>0</v>
      </c>
      <c r="O152" s="1332">
        <v>5358</v>
      </c>
      <c r="P152" s="1332">
        <v>5358</v>
      </c>
      <c r="Q152" s="1333"/>
      <c r="R152" s="1332">
        <v>25547</v>
      </c>
      <c r="S152" s="1332">
        <v>672</v>
      </c>
      <c r="T152" s="1332">
        <v>26219</v>
      </c>
    </row>
    <row r="153" spans="1:20" x14ac:dyDescent="0.25">
      <c r="A153" s="1342">
        <v>91161</v>
      </c>
      <c r="B153" s="1340" t="s">
        <v>2771</v>
      </c>
      <c r="C153" s="1324">
        <v>1.0509999999999999E-4</v>
      </c>
      <c r="D153" s="1324">
        <v>7.9699999999999999E-5</v>
      </c>
      <c r="E153" s="1332">
        <v>287020</v>
      </c>
      <c r="F153" s="1333"/>
      <c r="G153" s="1332">
        <v>49145</v>
      </c>
      <c r="H153" s="1332">
        <v>7001</v>
      </c>
      <c r="I153" s="1332">
        <v>46779</v>
      </c>
      <c r="J153" s="1332">
        <v>11514</v>
      </c>
      <c r="K153" s="1332">
        <v>114439</v>
      </c>
      <c r="L153" s="1333"/>
      <c r="M153" s="1332">
        <v>0</v>
      </c>
      <c r="N153" s="1332">
        <v>0</v>
      </c>
      <c r="O153" s="1332">
        <v>7092</v>
      </c>
      <c r="P153" s="1332">
        <v>7092</v>
      </c>
      <c r="Q153" s="1333"/>
      <c r="R153" s="1332">
        <v>127856</v>
      </c>
      <c r="S153" s="1332">
        <v>2399</v>
      </c>
      <c r="T153" s="1332">
        <v>130255</v>
      </c>
    </row>
    <row r="154" spans="1:20" x14ac:dyDescent="0.25">
      <c r="A154" s="1342">
        <v>91171</v>
      </c>
      <c r="B154" s="1340" t="s">
        <v>2772</v>
      </c>
      <c r="C154" s="1324">
        <v>2.6820000000000001E-4</v>
      </c>
      <c r="D154" s="1324">
        <v>2.3790000000000001E-4</v>
      </c>
      <c r="E154" s="1332">
        <v>732433</v>
      </c>
      <c r="F154" s="1333"/>
      <c r="G154" s="1332">
        <v>125411</v>
      </c>
      <c r="H154" s="1332">
        <v>17865</v>
      </c>
      <c r="I154" s="1332">
        <v>119374</v>
      </c>
      <c r="J154" s="1332">
        <v>27025</v>
      </c>
      <c r="K154" s="1332">
        <v>289675</v>
      </c>
      <c r="L154" s="1333"/>
      <c r="M154" s="1332">
        <v>0</v>
      </c>
      <c r="N154" s="1332">
        <v>0</v>
      </c>
      <c r="O154" s="1332">
        <v>21019</v>
      </c>
      <c r="P154" s="1332">
        <v>21019</v>
      </c>
      <c r="Q154" s="1333"/>
      <c r="R154" s="1332">
        <v>326269</v>
      </c>
      <c r="S154" s="1332">
        <v>-7372</v>
      </c>
      <c r="T154" s="1332">
        <v>318897</v>
      </c>
    </row>
    <row r="155" spans="1:20" x14ac:dyDescent="0.25">
      <c r="A155" s="1342">
        <v>91201</v>
      </c>
      <c r="B155" s="1340" t="s">
        <v>2773</v>
      </c>
      <c r="C155" s="1324">
        <v>2.2897999999999998E-3</v>
      </c>
      <c r="D155" s="1324">
        <v>2.2587000000000002E-3</v>
      </c>
      <c r="E155" s="1332">
        <v>6253265</v>
      </c>
      <c r="F155" s="1333"/>
      <c r="G155" s="1332">
        <v>1070717</v>
      </c>
      <c r="H155" s="1332">
        <v>152526</v>
      </c>
      <c r="I155" s="1332">
        <v>1019179</v>
      </c>
      <c r="J155" s="1332">
        <v>0</v>
      </c>
      <c r="K155" s="1332">
        <v>2242422</v>
      </c>
      <c r="L155" s="1333"/>
      <c r="M155" s="1332">
        <v>0</v>
      </c>
      <c r="N155" s="1332">
        <v>0</v>
      </c>
      <c r="O155" s="1332">
        <v>119721</v>
      </c>
      <c r="P155" s="1332">
        <v>119721</v>
      </c>
      <c r="Q155" s="1333"/>
      <c r="R155" s="1332">
        <v>2785571</v>
      </c>
      <c r="S155" s="1332">
        <v>-32799</v>
      </c>
      <c r="T155" s="1332">
        <v>2752772</v>
      </c>
    </row>
    <row r="156" spans="1:20" x14ac:dyDescent="0.25">
      <c r="A156" s="1342">
        <v>91202</v>
      </c>
      <c r="B156" s="1340" t="s">
        <v>4138</v>
      </c>
      <c r="C156" s="1324">
        <v>1.752E-4</v>
      </c>
      <c r="D156" s="1324">
        <v>1.9579999999999999E-4</v>
      </c>
      <c r="E156" s="1332">
        <v>478458</v>
      </c>
      <c r="F156" s="1333"/>
      <c r="G156" s="1332">
        <v>81924</v>
      </c>
      <c r="H156" s="1332">
        <v>11670</v>
      </c>
      <c r="I156" s="1332">
        <v>77981</v>
      </c>
      <c r="J156" s="1332">
        <v>10225</v>
      </c>
      <c r="K156" s="1332">
        <v>181800</v>
      </c>
      <c r="L156" s="1333"/>
      <c r="M156" s="1332">
        <v>0</v>
      </c>
      <c r="N156" s="1332">
        <v>0</v>
      </c>
      <c r="O156" s="1332">
        <v>16754</v>
      </c>
      <c r="P156" s="1332">
        <v>16754</v>
      </c>
      <c r="Q156" s="1333"/>
      <c r="R156" s="1332">
        <v>213133</v>
      </c>
      <c r="S156" s="1332">
        <v>5067</v>
      </c>
      <c r="T156" s="1332">
        <v>218200</v>
      </c>
    </row>
    <row r="157" spans="1:20" x14ac:dyDescent="0.25">
      <c r="A157" s="1342">
        <v>91203</v>
      </c>
      <c r="B157" s="1340" t="s">
        <v>4139</v>
      </c>
      <c r="C157" s="1324">
        <v>2.2670000000000001E-4</v>
      </c>
      <c r="D157" s="1324">
        <v>2.3000000000000001E-4</v>
      </c>
      <c r="E157" s="1332">
        <v>619100</v>
      </c>
      <c r="F157" s="1333"/>
      <c r="G157" s="1332">
        <v>106006</v>
      </c>
      <c r="H157" s="1332">
        <v>15101</v>
      </c>
      <c r="I157" s="1332">
        <v>100903</v>
      </c>
      <c r="J157" s="1332">
        <v>40050</v>
      </c>
      <c r="K157" s="1332">
        <v>262060</v>
      </c>
      <c r="L157" s="1333"/>
      <c r="M157" s="1332">
        <v>0</v>
      </c>
      <c r="N157" s="1332">
        <v>0</v>
      </c>
      <c r="O157" s="1332">
        <v>0</v>
      </c>
      <c r="P157" s="1332">
        <v>0</v>
      </c>
      <c r="Q157" s="1333"/>
      <c r="R157" s="1332">
        <v>275783</v>
      </c>
      <c r="S157" s="1332">
        <v>17405</v>
      </c>
      <c r="T157" s="1332">
        <v>293188</v>
      </c>
    </row>
    <row r="158" spans="1:20" x14ac:dyDescent="0.25">
      <c r="A158" s="1342">
        <v>91206</v>
      </c>
      <c r="B158" s="1340" t="s">
        <v>4140</v>
      </c>
      <c r="C158" s="1324">
        <v>9.525E-4</v>
      </c>
      <c r="D158" s="1324">
        <v>9.0660000000000003E-4</v>
      </c>
      <c r="E158" s="1332">
        <v>2601203</v>
      </c>
      <c r="F158" s="1333"/>
      <c r="G158" s="1332">
        <v>445392</v>
      </c>
      <c r="H158" s="1332">
        <v>63447</v>
      </c>
      <c r="I158" s="1332">
        <v>423953</v>
      </c>
      <c r="J158" s="1332">
        <v>57771</v>
      </c>
      <c r="K158" s="1332">
        <v>990563</v>
      </c>
      <c r="L158" s="1333"/>
      <c r="M158" s="1332">
        <v>0</v>
      </c>
      <c r="N158" s="1332">
        <v>0</v>
      </c>
      <c r="O158" s="1332">
        <v>341</v>
      </c>
      <c r="P158" s="1332">
        <v>341</v>
      </c>
      <c r="Q158" s="1333"/>
      <c r="R158" s="1332">
        <v>1158729</v>
      </c>
      <c r="S158" s="1332">
        <v>19006</v>
      </c>
      <c r="T158" s="1332">
        <v>1177735</v>
      </c>
    </row>
    <row r="159" spans="1:20" x14ac:dyDescent="0.25">
      <c r="A159" s="1342">
        <v>91208</v>
      </c>
      <c r="B159" s="1340" t="s">
        <v>4141</v>
      </c>
      <c r="C159" s="1324">
        <v>1.9000000000000001E-5</v>
      </c>
      <c r="D159" s="1324">
        <v>1.3200000000000001E-5</v>
      </c>
      <c r="E159" s="1332">
        <v>51888</v>
      </c>
      <c r="F159" s="1333"/>
      <c r="G159" s="1332">
        <v>8884</v>
      </c>
      <c r="H159" s="1332">
        <v>1265</v>
      </c>
      <c r="I159" s="1332">
        <v>8457</v>
      </c>
      <c r="J159" s="1332">
        <v>5152</v>
      </c>
      <c r="K159" s="1332">
        <v>23758</v>
      </c>
      <c r="L159" s="1333"/>
      <c r="M159" s="1332">
        <v>0</v>
      </c>
      <c r="N159" s="1332">
        <v>0</v>
      </c>
      <c r="O159" s="1332">
        <v>391</v>
      </c>
      <c r="P159" s="1332">
        <v>391</v>
      </c>
      <c r="Q159" s="1333"/>
      <c r="R159" s="1332">
        <v>23114</v>
      </c>
      <c r="S159" s="1332">
        <v>1443</v>
      </c>
      <c r="T159" s="1332">
        <v>24557</v>
      </c>
    </row>
    <row r="160" spans="1:20" x14ac:dyDescent="0.25">
      <c r="A160" s="1342">
        <v>91211</v>
      </c>
      <c r="B160" s="1340" t="s">
        <v>2778</v>
      </c>
      <c r="C160" s="1324">
        <v>4.4870000000000001E-4</v>
      </c>
      <c r="D160" s="1324">
        <v>4.526E-4</v>
      </c>
      <c r="E160" s="1332">
        <v>1225365</v>
      </c>
      <c r="F160" s="1333"/>
      <c r="G160" s="1332">
        <v>209813</v>
      </c>
      <c r="H160" s="1332">
        <v>29888</v>
      </c>
      <c r="I160" s="1332">
        <v>199714</v>
      </c>
      <c r="J160" s="1332">
        <v>2140</v>
      </c>
      <c r="K160" s="1332">
        <v>441555</v>
      </c>
      <c r="L160" s="1333"/>
      <c r="M160" s="1332">
        <v>0</v>
      </c>
      <c r="N160" s="1332">
        <v>0</v>
      </c>
      <c r="O160" s="1332">
        <v>30724</v>
      </c>
      <c r="P160" s="1332">
        <v>30724</v>
      </c>
      <c r="Q160" s="1333"/>
      <c r="R160" s="1332">
        <v>545849</v>
      </c>
      <c r="S160" s="1332">
        <v>-8662</v>
      </c>
      <c r="T160" s="1332">
        <v>537187</v>
      </c>
    </row>
    <row r="161" spans="1:20" s="1343" customFormat="1" x14ac:dyDescent="0.25">
      <c r="A161" s="1342">
        <v>91213</v>
      </c>
      <c r="B161" s="1340" t="s">
        <v>2779</v>
      </c>
      <c r="C161" s="1324">
        <v>2.9200000000000002E-5</v>
      </c>
      <c r="D161" s="1324">
        <v>2.4700000000000001E-5</v>
      </c>
      <c r="E161" s="1332">
        <v>79743</v>
      </c>
      <c r="F161" s="1333"/>
      <c r="G161" s="1332">
        <v>13654</v>
      </c>
      <c r="H161" s="1332">
        <v>1945</v>
      </c>
      <c r="I161" s="1332">
        <v>12997</v>
      </c>
      <c r="J161" s="1332">
        <v>2582</v>
      </c>
      <c r="K161" s="1332">
        <v>31178</v>
      </c>
      <c r="L161" s="1333"/>
      <c r="M161" s="1332">
        <v>0</v>
      </c>
      <c r="N161" s="1332">
        <v>0</v>
      </c>
      <c r="O161" s="1332">
        <v>7181</v>
      </c>
      <c r="P161" s="1332">
        <v>7181</v>
      </c>
      <c r="Q161" s="1333"/>
      <c r="R161" s="1332">
        <v>35522</v>
      </c>
      <c r="S161" s="1332">
        <v>-3069</v>
      </c>
      <c r="T161" s="1332">
        <v>32453</v>
      </c>
    </row>
    <row r="162" spans="1:20" x14ac:dyDescent="0.25">
      <c r="A162" s="1342">
        <v>91214</v>
      </c>
      <c r="B162" s="1340" t="s">
        <v>2780</v>
      </c>
      <c r="C162" s="1324">
        <v>3.5800000000000003E-5</v>
      </c>
      <c r="D162" s="1324">
        <v>3.0499999999999999E-5</v>
      </c>
      <c r="E162" s="1332">
        <v>97767</v>
      </c>
      <c r="F162" s="1333"/>
      <c r="G162" s="1332">
        <v>16740</v>
      </c>
      <c r="H162" s="1332">
        <v>2385</v>
      </c>
      <c r="I162" s="1332">
        <v>15934</v>
      </c>
      <c r="J162" s="1332">
        <v>616</v>
      </c>
      <c r="K162" s="1332">
        <v>35675</v>
      </c>
      <c r="L162" s="1333"/>
      <c r="M162" s="1332">
        <v>0</v>
      </c>
      <c r="N162" s="1332">
        <v>0</v>
      </c>
      <c r="O162" s="1332">
        <v>2786</v>
      </c>
      <c r="P162" s="1332">
        <v>2786</v>
      </c>
      <c r="Q162" s="1333"/>
      <c r="R162" s="1332">
        <v>43551</v>
      </c>
      <c r="S162" s="1332">
        <v>-780</v>
      </c>
      <c r="T162" s="1332">
        <v>42771</v>
      </c>
    </row>
    <row r="163" spans="1:20" x14ac:dyDescent="0.25">
      <c r="A163" s="1342">
        <v>91217</v>
      </c>
      <c r="B163" s="1340" t="s">
        <v>2781</v>
      </c>
      <c r="C163" s="1324">
        <v>2.0400000000000001E-5</v>
      </c>
      <c r="D163" s="1324">
        <v>1.77E-5</v>
      </c>
      <c r="E163" s="1332">
        <v>55711</v>
      </c>
      <c r="F163" s="1333"/>
      <c r="G163" s="1332">
        <v>9539</v>
      </c>
      <c r="H163" s="1332">
        <v>1359</v>
      </c>
      <c r="I163" s="1332">
        <v>9080</v>
      </c>
      <c r="J163" s="1332">
        <v>10923</v>
      </c>
      <c r="K163" s="1332">
        <v>30901</v>
      </c>
      <c r="L163" s="1333"/>
      <c r="M163" s="1332">
        <v>0</v>
      </c>
      <c r="N163" s="1332">
        <v>0</v>
      </c>
      <c r="O163" s="1332">
        <v>2432</v>
      </c>
      <c r="P163" s="1332">
        <v>2432</v>
      </c>
      <c r="Q163" s="1333"/>
      <c r="R163" s="1332">
        <v>24817</v>
      </c>
      <c r="S163" s="1332">
        <v>4556</v>
      </c>
      <c r="T163" s="1332">
        <v>29373</v>
      </c>
    </row>
    <row r="164" spans="1:20" x14ac:dyDescent="0.25">
      <c r="A164" s="1342">
        <v>91221</v>
      </c>
      <c r="B164" s="1340" t="s">
        <v>2782</v>
      </c>
      <c r="C164" s="1324">
        <v>1.099E-4</v>
      </c>
      <c r="D164" s="1324">
        <v>1.2329999999999999E-4</v>
      </c>
      <c r="E164" s="1332">
        <v>300128</v>
      </c>
      <c r="F164" s="1333"/>
      <c r="G164" s="1332">
        <v>51390</v>
      </c>
      <c r="H164" s="1332">
        <v>7321</v>
      </c>
      <c r="I164" s="1332">
        <v>48916</v>
      </c>
      <c r="J164" s="1332">
        <v>654</v>
      </c>
      <c r="K164" s="1332">
        <v>108281</v>
      </c>
      <c r="L164" s="1333"/>
      <c r="M164" s="1332">
        <v>0</v>
      </c>
      <c r="N164" s="1332">
        <v>0</v>
      </c>
      <c r="O164" s="1332">
        <v>20665</v>
      </c>
      <c r="P164" s="1332">
        <v>20665</v>
      </c>
      <c r="Q164" s="1333"/>
      <c r="R164" s="1332">
        <v>133695</v>
      </c>
      <c r="S164" s="1332">
        <v>-7573</v>
      </c>
      <c r="T164" s="1332">
        <v>126122</v>
      </c>
    </row>
    <row r="165" spans="1:20" x14ac:dyDescent="0.25">
      <c r="A165" s="1342">
        <v>91231</v>
      </c>
      <c r="B165" s="1340" t="s">
        <v>2783</v>
      </c>
      <c r="C165" s="1324">
        <v>1.8722999999999999E-3</v>
      </c>
      <c r="D165" s="1324">
        <v>1.8527000000000001E-3</v>
      </c>
      <c r="E165" s="1332">
        <v>5113105</v>
      </c>
      <c r="F165" s="1333"/>
      <c r="G165" s="1332">
        <v>875493</v>
      </c>
      <c r="H165" s="1332">
        <v>124716</v>
      </c>
      <c r="I165" s="1332">
        <v>833351</v>
      </c>
      <c r="J165" s="1332">
        <v>18006</v>
      </c>
      <c r="K165" s="1332">
        <v>1851566</v>
      </c>
      <c r="L165" s="1333"/>
      <c r="M165" s="1332">
        <v>0</v>
      </c>
      <c r="N165" s="1332">
        <v>0</v>
      </c>
      <c r="O165" s="1332">
        <v>66031</v>
      </c>
      <c r="P165" s="1332">
        <v>66031</v>
      </c>
      <c r="Q165" s="1333"/>
      <c r="R165" s="1332">
        <v>2277677</v>
      </c>
      <c r="S165" s="1332">
        <v>-42184</v>
      </c>
      <c r="T165" s="1332">
        <v>2235493</v>
      </c>
    </row>
    <row r="166" spans="1:20" x14ac:dyDescent="0.25">
      <c r="A166" s="1342">
        <v>91233</v>
      </c>
      <c r="B166" s="1340" t="s">
        <v>2784</v>
      </c>
      <c r="C166" s="1324">
        <v>6.1699999999999995E-5</v>
      </c>
      <c r="D166" s="1324">
        <v>5.3499999999999999E-5</v>
      </c>
      <c r="E166" s="1332">
        <v>168498</v>
      </c>
      <c r="F166" s="1333"/>
      <c r="G166" s="1332">
        <v>28851</v>
      </c>
      <c r="H166" s="1332">
        <v>4110</v>
      </c>
      <c r="I166" s="1332">
        <v>27462</v>
      </c>
      <c r="J166" s="1332">
        <v>7267</v>
      </c>
      <c r="K166" s="1332">
        <v>67690</v>
      </c>
      <c r="L166" s="1333"/>
      <c r="M166" s="1332">
        <v>0</v>
      </c>
      <c r="N166" s="1332">
        <v>0</v>
      </c>
      <c r="O166" s="1332">
        <v>4782</v>
      </c>
      <c r="P166" s="1332">
        <v>4782</v>
      </c>
      <c r="Q166" s="1333"/>
      <c r="R166" s="1332">
        <v>75059</v>
      </c>
      <c r="S166" s="1332">
        <v>2602</v>
      </c>
      <c r="T166" s="1332">
        <v>77661</v>
      </c>
    </row>
    <row r="167" spans="1:20" x14ac:dyDescent="0.25">
      <c r="A167" s="1342">
        <v>91241</v>
      </c>
      <c r="B167" s="1340" t="s">
        <v>2785</v>
      </c>
      <c r="C167" s="1324">
        <v>5.3499999999999999E-5</v>
      </c>
      <c r="D167" s="1324">
        <v>4.3099999999999997E-5</v>
      </c>
      <c r="E167" s="1332">
        <v>146104</v>
      </c>
      <c r="F167" s="1333"/>
      <c r="G167" s="1332">
        <v>25017</v>
      </c>
      <c r="H167" s="1332">
        <v>3563</v>
      </c>
      <c r="I167" s="1332">
        <v>23813</v>
      </c>
      <c r="J167" s="1332">
        <v>10739</v>
      </c>
      <c r="K167" s="1332">
        <v>63132</v>
      </c>
      <c r="L167" s="1333"/>
      <c r="M167" s="1332">
        <v>0</v>
      </c>
      <c r="N167" s="1332">
        <v>0</v>
      </c>
      <c r="O167" s="1332">
        <v>757</v>
      </c>
      <c r="P167" s="1332">
        <v>757</v>
      </c>
      <c r="Q167" s="1333"/>
      <c r="R167" s="1332">
        <v>65083</v>
      </c>
      <c r="S167" s="1332">
        <v>2335</v>
      </c>
      <c r="T167" s="1332">
        <v>67418</v>
      </c>
    </row>
    <row r="168" spans="1:20" x14ac:dyDescent="0.25">
      <c r="A168" s="1342">
        <v>91251</v>
      </c>
      <c r="B168" s="1340" t="s">
        <v>2786</v>
      </c>
      <c r="C168" s="1324">
        <v>2.0000000000000002E-5</v>
      </c>
      <c r="D168" s="1324">
        <v>2.9499999999999999E-5</v>
      </c>
      <c r="E168" s="1332">
        <v>54618</v>
      </c>
      <c r="F168" s="1333"/>
      <c r="G168" s="1332">
        <v>9352</v>
      </c>
      <c r="H168" s="1332">
        <v>1333</v>
      </c>
      <c r="I168" s="1332">
        <v>8902</v>
      </c>
      <c r="J168" s="1332">
        <v>6811</v>
      </c>
      <c r="K168" s="1332">
        <v>26398</v>
      </c>
      <c r="L168" s="1333"/>
      <c r="M168" s="1332">
        <v>0</v>
      </c>
      <c r="N168" s="1332">
        <v>0</v>
      </c>
      <c r="O168" s="1332">
        <v>8749</v>
      </c>
      <c r="P168" s="1332">
        <v>8749</v>
      </c>
      <c r="Q168" s="1333"/>
      <c r="R168" s="1332">
        <v>24330</v>
      </c>
      <c r="S168" s="1332">
        <v>-538</v>
      </c>
      <c r="T168" s="1332">
        <v>23792</v>
      </c>
    </row>
    <row r="169" spans="1:20" x14ac:dyDescent="0.25">
      <c r="A169" s="1342">
        <v>91261</v>
      </c>
      <c r="B169" s="1340" t="s">
        <v>2787</v>
      </c>
      <c r="C169" s="1324">
        <v>9.7000000000000003E-6</v>
      </c>
      <c r="D169" s="1324">
        <v>1.06E-5</v>
      </c>
      <c r="E169" s="1332">
        <v>26490</v>
      </c>
      <c r="F169" s="1333"/>
      <c r="G169" s="1332">
        <v>4536</v>
      </c>
      <c r="H169" s="1332">
        <v>646</v>
      </c>
      <c r="I169" s="1332">
        <v>4317</v>
      </c>
      <c r="J169" s="1332">
        <v>369</v>
      </c>
      <c r="K169" s="1332">
        <v>9868</v>
      </c>
      <c r="L169" s="1333"/>
      <c r="M169" s="1332">
        <v>0</v>
      </c>
      <c r="N169" s="1332">
        <v>0</v>
      </c>
      <c r="O169" s="1332">
        <v>1669</v>
      </c>
      <c r="P169" s="1332">
        <v>1669</v>
      </c>
      <c r="Q169" s="1333"/>
      <c r="R169" s="1332">
        <v>11800</v>
      </c>
      <c r="S169" s="1332">
        <v>153</v>
      </c>
      <c r="T169" s="1332">
        <v>11953</v>
      </c>
    </row>
    <row r="170" spans="1:20" x14ac:dyDescent="0.25">
      <c r="A170" s="1342">
        <v>91301</v>
      </c>
      <c r="B170" s="1340" t="s">
        <v>2788</v>
      </c>
      <c r="C170" s="1324">
        <v>7.9497999999999999E-3</v>
      </c>
      <c r="D170" s="1324">
        <v>7.7812000000000003E-3</v>
      </c>
      <c r="E170" s="1332">
        <v>21710284</v>
      </c>
      <c r="F170" s="1333"/>
      <c r="G170" s="1332">
        <v>3717350</v>
      </c>
      <c r="H170" s="1332">
        <v>529544</v>
      </c>
      <c r="I170" s="1332">
        <v>3538416</v>
      </c>
      <c r="J170" s="1332">
        <v>36295</v>
      </c>
      <c r="K170" s="1332">
        <v>7821605</v>
      </c>
      <c r="L170" s="1333"/>
      <c r="M170" s="1332">
        <v>0</v>
      </c>
      <c r="N170" s="1332">
        <v>0</v>
      </c>
      <c r="O170" s="1332">
        <v>128256</v>
      </c>
      <c r="P170" s="1332">
        <v>128256</v>
      </c>
      <c r="Q170" s="1333"/>
      <c r="R170" s="1332">
        <v>9671035</v>
      </c>
      <c r="S170" s="1332">
        <v>-81376</v>
      </c>
      <c r="T170" s="1332">
        <v>9589659</v>
      </c>
    </row>
    <row r="171" spans="1:20" x14ac:dyDescent="0.25">
      <c r="A171" s="1342">
        <v>91302</v>
      </c>
      <c r="B171" s="1340" t="s">
        <v>4142</v>
      </c>
      <c r="C171" s="1324">
        <v>5.354E-4</v>
      </c>
      <c r="D171" s="1324">
        <v>5.4440000000000001E-4</v>
      </c>
      <c r="E171" s="1332">
        <v>1462136</v>
      </c>
      <c r="F171" s="1333"/>
      <c r="G171" s="1332">
        <v>250355</v>
      </c>
      <c r="H171" s="1332">
        <v>35664</v>
      </c>
      <c r="I171" s="1332">
        <v>238304</v>
      </c>
      <c r="J171" s="1332">
        <v>990</v>
      </c>
      <c r="K171" s="1332">
        <v>525313</v>
      </c>
      <c r="L171" s="1333"/>
      <c r="M171" s="1332">
        <v>0</v>
      </c>
      <c r="N171" s="1332">
        <v>0</v>
      </c>
      <c r="O171" s="1332">
        <v>50684</v>
      </c>
      <c r="P171" s="1332">
        <v>50684</v>
      </c>
      <c r="Q171" s="1333"/>
      <c r="R171" s="1332">
        <v>651321</v>
      </c>
      <c r="S171" s="1332">
        <v>-4776</v>
      </c>
      <c r="T171" s="1332">
        <v>646545</v>
      </c>
    </row>
    <row r="172" spans="1:20" x14ac:dyDescent="0.25">
      <c r="A172" s="1342">
        <v>91306</v>
      </c>
      <c r="B172" s="1340" t="s">
        <v>4143</v>
      </c>
      <c r="C172" s="1324">
        <v>1.8244999999999999E-3</v>
      </c>
      <c r="D172" s="1324">
        <v>1.8347000000000001E-3</v>
      </c>
      <c r="E172" s="1332">
        <v>4982567</v>
      </c>
      <c r="F172" s="1333"/>
      <c r="G172" s="1332">
        <v>853142</v>
      </c>
      <c r="H172" s="1332">
        <v>121531</v>
      </c>
      <c r="I172" s="1332">
        <v>812076</v>
      </c>
      <c r="J172" s="1332">
        <v>128481</v>
      </c>
      <c r="K172" s="1332">
        <v>1915230</v>
      </c>
      <c r="L172" s="1333"/>
      <c r="M172" s="1332">
        <v>0</v>
      </c>
      <c r="N172" s="1332">
        <v>0</v>
      </c>
      <c r="O172" s="1332">
        <v>8842</v>
      </c>
      <c r="P172" s="1332">
        <v>8842</v>
      </c>
      <c r="Q172" s="1333"/>
      <c r="R172" s="1332">
        <v>2219528</v>
      </c>
      <c r="S172" s="1332">
        <v>72569</v>
      </c>
      <c r="T172" s="1332">
        <v>2292097</v>
      </c>
    </row>
    <row r="173" spans="1:20" x14ac:dyDescent="0.25">
      <c r="A173" s="1342">
        <v>91308</v>
      </c>
      <c r="B173" s="1340" t="s">
        <v>2791</v>
      </c>
      <c r="C173" s="1324">
        <v>1.7009999999999999E-4</v>
      </c>
      <c r="D173" s="1324">
        <v>1.7149999999999999E-4</v>
      </c>
      <c r="E173" s="1332">
        <v>464530</v>
      </c>
      <c r="F173" s="1333"/>
      <c r="G173" s="1332">
        <v>79539</v>
      </c>
      <c r="H173" s="1332">
        <v>11330</v>
      </c>
      <c r="I173" s="1332">
        <v>75711</v>
      </c>
      <c r="J173" s="1332">
        <v>54</v>
      </c>
      <c r="K173" s="1332">
        <v>166634</v>
      </c>
      <c r="L173" s="1333"/>
      <c r="M173" s="1332">
        <v>0</v>
      </c>
      <c r="N173" s="1332">
        <v>0</v>
      </c>
      <c r="O173" s="1332">
        <v>16458</v>
      </c>
      <c r="P173" s="1332">
        <v>16458</v>
      </c>
      <c r="Q173" s="1333"/>
      <c r="R173" s="1332">
        <v>206929</v>
      </c>
      <c r="S173" s="1332">
        <v>-7994</v>
      </c>
      <c r="T173" s="1332">
        <v>198935</v>
      </c>
    </row>
    <row r="174" spans="1:20" x14ac:dyDescent="0.25">
      <c r="A174" s="1342">
        <v>91311</v>
      </c>
      <c r="B174" s="1340" t="s">
        <v>2792</v>
      </c>
      <c r="C174" s="1324">
        <v>7.9030000000000003E-3</v>
      </c>
      <c r="D174" s="1324">
        <v>7.7199E-3</v>
      </c>
      <c r="E174" s="1332">
        <v>21582477</v>
      </c>
      <c r="F174" s="1333"/>
      <c r="G174" s="1332">
        <v>3695467</v>
      </c>
      <c r="H174" s="1332">
        <v>526426</v>
      </c>
      <c r="I174" s="1332">
        <v>3517586</v>
      </c>
      <c r="J174" s="1332">
        <v>82171</v>
      </c>
      <c r="K174" s="1332">
        <v>7821650</v>
      </c>
      <c r="L174" s="1333"/>
      <c r="M174" s="1332">
        <v>0</v>
      </c>
      <c r="N174" s="1332">
        <v>0</v>
      </c>
      <c r="O174" s="1332">
        <v>216662</v>
      </c>
      <c r="P174" s="1332">
        <v>216662</v>
      </c>
      <c r="Q174" s="1333"/>
      <c r="R174" s="1332">
        <v>9614102</v>
      </c>
      <c r="S174" s="1332">
        <v>-91910</v>
      </c>
      <c r="T174" s="1332">
        <v>9522192</v>
      </c>
    </row>
    <row r="175" spans="1:20" x14ac:dyDescent="0.25">
      <c r="A175" s="1342">
        <v>91317</v>
      </c>
      <c r="B175" s="1340" t="s">
        <v>2793</v>
      </c>
      <c r="C175" s="1324">
        <v>1.015E-4</v>
      </c>
      <c r="D175" s="1324">
        <v>1.004E-4</v>
      </c>
      <c r="E175" s="1332">
        <v>277189</v>
      </c>
      <c r="F175" s="1333"/>
      <c r="G175" s="1332">
        <v>47462</v>
      </c>
      <c r="H175" s="1332">
        <v>6761</v>
      </c>
      <c r="I175" s="1332">
        <v>45177</v>
      </c>
      <c r="J175" s="1332">
        <v>18241</v>
      </c>
      <c r="K175" s="1332">
        <v>117641</v>
      </c>
      <c r="L175" s="1333"/>
      <c r="M175" s="1332">
        <v>0</v>
      </c>
      <c r="N175" s="1332">
        <v>0</v>
      </c>
      <c r="O175" s="1332">
        <v>279</v>
      </c>
      <c r="P175" s="1332">
        <v>279</v>
      </c>
      <c r="Q175" s="1333"/>
      <c r="R175" s="1332">
        <v>123476</v>
      </c>
      <c r="S175" s="1332">
        <v>6895</v>
      </c>
      <c r="T175" s="1332">
        <v>130371</v>
      </c>
    </row>
    <row r="176" spans="1:20" x14ac:dyDescent="0.25">
      <c r="A176" s="1342">
        <v>91321</v>
      </c>
      <c r="B176" s="1340" t="s">
        <v>2794</v>
      </c>
      <c r="C176" s="1324">
        <v>5.3600000000000002E-5</v>
      </c>
      <c r="D176" s="1324">
        <v>4.5899999999999998E-5</v>
      </c>
      <c r="E176" s="1332">
        <v>146377</v>
      </c>
      <c r="F176" s="1333"/>
      <c r="G176" s="1332">
        <v>25064</v>
      </c>
      <c r="H176" s="1332">
        <v>3570</v>
      </c>
      <c r="I176" s="1332">
        <v>23857</v>
      </c>
      <c r="J176" s="1332">
        <v>48416</v>
      </c>
      <c r="K176" s="1332">
        <v>100907</v>
      </c>
      <c r="L176" s="1333"/>
      <c r="M176" s="1332">
        <v>0</v>
      </c>
      <c r="N176" s="1332">
        <v>0</v>
      </c>
      <c r="O176" s="1332">
        <v>0</v>
      </c>
      <c r="P176" s="1332">
        <v>0</v>
      </c>
      <c r="Q176" s="1333"/>
      <c r="R176" s="1332">
        <v>65205</v>
      </c>
      <c r="S176" s="1332">
        <v>14649</v>
      </c>
      <c r="T176" s="1332">
        <v>79854</v>
      </c>
    </row>
    <row r="177" spans="1:20" x14ac:dyDescent="0.25">
      <c r="A177" s="1342">
        <v>91327</v>
      </c>
      <c r="B177" s="1340" t="s">
        <v>4144</v>
      </c>
      <c r="C177" s="1324">
        <v>1.0900000000000001E-5</v>
      </c>
      <c r="D177" s="1324">
        <v>7.7000000000000008E-6</v>
      </c>
      <c r="E177" s="1332">
        <v>29767</v>
      </c>
      <c r="F177" s="1333"/>
      <c r="G177" s="1332">
        <v>5097</v>
      </c>
      <c r="H177" s="1332">
        <v>726</v>
      </c>
      <c r="I177" s="1332">
        <v>4852</v>
      </c>
      <c r="J177" s="1332">
        <v>3160</v>
      </c>
      <c r="K177" s="1332">
        <v>13835</v>
      </c>
      <c r="L177" s="1333"/>
      <c r="M177" s="1332">
        <v>0</v>
      </c>
      <c r="N177" s="1332">
        <v>0</v>
      </c>
      <c r="O177" s="1332">
        <v>553</v>
      </c>
      <c r="P177" s="1332">
        <v>553</v>
      </c>
      <c r="Q177" s="1333"/>
      <c r="R177" s="1332">
        <v>13260</v>
      </c>
      <c r="S177" s="1332">
        <v>331</v>
      </c>
      <c r="T177" s="1332">
        <v>13591</v>
      </c>
    </row>
    <row r="178" spans="1:20" x14ac:dyDescent="0.25">
      <c r="A178" s="1342">
        <v>91331</v>
      </c>
      <c r="B178" s="1340" t="s">
        <v>2796</v>
      </c>
      <c r="C178" s="1324">
        <v>2.9286E-3</v>
      </c>
      <c r="D178" s="1324">
        <v>3.0000000000000001E-3</v>
      </c>
      <c r="E178" s="1332">
        <v>7997778</v>
      </c>
      <c r="F178" s="1333"/>
      <c r="G178" s="1332">
        <v>1369422</v>
      </c>
      <c r="H178" s="1332">
        <v>195077</v>
      </c>
      <c r="I178" s="1332">
        <v>1303505</v>
      </c>
      <c r="J178" s="1332">
        <v>0</v>
      </c>
      <c r="K178" s="1332">
        <v>2868004</v>
      </c>
      <c r="L178" s="1333"/>
      <c r="M178" s="1332">
        <v>0</v>
      </c>
      <c r="N178" s="1332">
        <v>0</v>
      </c>
      <c r="O178" s="1332">
        <v>337473</v>
      </c>
      <c r="P178" s="1332">
        <v>337473</v>
      </c>
      <c r="Q178" s="1333"/>
      <c r="R178" s="1332">
        <v>3562680</v>
      </c>
      <c r="S178" s="1332">
        <v>-173864</v>
      </c>
      <c r="T178" s="1332">
        <v>3388816</v>
      </c>
    </row>
    <row r="179" spans="1:20" x14ac:dyDescent="0.25">
      <c r="A179" s="1342">
        <v>91341</v>
      </c>
      <c r="B179" s="1340" t="s">
        <v>2797</v>
      </c>
      <c r="C179" s="1324">
        <v>3.79E-5</v>
      </c>
      <c r="D179" s="1324">
        <v>2.44E-5</v>
      </c>
      <c r="E179" s="1332">
        <v>103502</v>
      </c>
      <c r="F179" s="1333"/>
      <c r="G179" s="1332">
        <v>17722</v>
      </c>
      <c r="H179" s="1332">
        <v>2524</v>
      </c>
      <c r="I179" s="1332">
        <v>16869</v>
      </c>
      <c r="J179" s="1332">
        <v>12871</v>
      </c>
      <c r="K179" s="1332">
        <v>49986</v>
      </c>
      <c r="L179" s="1333"/>
      <c r="M179" s="1332">
        <v>0</v>
      </c>
      <c r="N179" s="1332">
        <v>0</v>
      </c>
      <c r="O179" s="1332">
        <v>529</v>
      </c>
      <c r="P179" s="1332">
        <v>529</v>
      </c>
      <c r="Q179" s="1333"/>
      <c r="R179" s="1332">
        <v>46106</v>
      </c>
      <c r="S179" s="1332">
        <v>3405</v>
      </c>
      <c r="T179" s="1332">
        <v>49511</v>
      </c>
    </row>
    <row r="180" spans="1:20" x14ac:dyDescent="0.25">
      <c r="A180" s="1342">
        <v>91401</v>
      </c>
      <c r="B180" s="1340" t="s">
        <v>2798</v>
      </c>
      <c r="C180" s="1324">
        <v>3.3915999999999998E-3</v>
      </c>
      <c r="D180" s="1324">
        <v>3.5492000000000002E-3</v>
      </c>
      <c r="E180" s="1332">
        <v>9262195</v>
      </c>
      <c r="F180" s="1333"/>
      <c r="G180" s="1332">
        <v>1585922</v>
      </c>
      <c r="H180" s="1332">
        <v>225917</v>
      </c>
      <c r="I180" s="1332">
        <v>1509584</v>
      </c>
      <c r="J180" s="1332">
        <v>0</v>
      </c>
      <c r="K180" s="1332">
        <v>3321423</v>
      </c>
      <c r="L180" s="1333"/>
      <c r="M180" s="1332">
        <v>0</v>
      </c>
      <c r="N180" s="1332">
        <v>0</v>
      </c>
      <c r="O180" s="1332">
        <v>224703</v>
      </c>
      <c r="P180" s="1332">
        <v>224703</v>
      </c>
      <c r="Q180" s="1333"/>
      <c r="R180" s="1332">
        <v>4125925</v>
      </c>
      <c r="S180" s="1332">
        <v>-76492</v>
      </c>
      <c r="T180" s="1332">
        <v>4049433</v>
      </c>
    </row>
    <row r="181" spans="1:20" x14ac:dyDescent="0.25">
      <c r="A181" s="1342">
        <v>91411</v>
      </c>
      <c r="B181" s="1340" t="s">
        <v>2799</v>
      </c>
      <c r="C181" s="1324">
        <v>3.9639999999999999E-4</v>
      </c>
      <c r="D181" s="1324">
        <v>3.8479999999999997E-4</v>
      </c>
      <c r="E181" s="1332">
        <v>1082537</v>
      </c>
      <c r="F181" s="1333"/>
      <c r="G181" s="1332">
        <v>185358</v>
      </c>
      <c r="H181" s="1332">
        <v>26404</v>
      </c>
      <c r="I181" s="1332">
        <v>176436</v>
      </c>
      <c r="J181" s="1332">
        <v>12845</v>
      </c>
      <c r="K181" s="1332">
        <v>401043</v>
      </c>
      <c r="L181" s="1333"/>
      <c r="M181" s="1332">
        <v>0</v>
      </c>
      <c r="N181" s="1332">
        <v>0</v>
      </c>
      <c r="O181" s="1332">
        <v>0</v>
      </c>
      <c r="P181" s="1332">
        <v>0</v>
      </c>
      <c r="Q181" s="1333"/>
      <c r="R181" s="1332">
        <v>482226</v>
      </c>
      <c r="S181" s="1332">
        <v>9667</v>
      </c>
      <c r="T181" s="1332">
        <v>491893</v>
      </c>
    </row>
    <row r="182" spans="1:20" x14ac:dyDescent="0.25">
      <c r="A182" s="1342">
        <v>91417</v>
      </c>
      <c r="B182" s="1340" t="s">
        <v>2800</v>
      </c>
      <c r="C182" s="1324">
        <v>7.3000000000000004E-6</v>
      </c>
      <c r="D182" s="1324">
        <v>8.3999999999999992E-6</v>
      </c>
      <c r="E182" s="1332">
        <v>19936</v>
      </c>
      <c r="F182" s="1333"/>
      <c r="G182" s="1332">
        <v>3414</v>
      </c>
      <c r="H182" s="1332">
        <v>486</v>
      </c>
      <c r="I182" s="1332">
        <v>3249</v>
      </c>
      <c r="J182" s="1332">
        <v>1474</v>
      </c>
      <c r="K182" s="1332">
        <v>8623</v>
      </c>
      <c r="L182" s="1333"/>
      <c r="M182" s="1332">
        <v>0</v>
      </c>
      <c r="N182" s="1332">
        <v>0</v>
      </c>
      <c r="O182" s="1332">
        <v>0</v>
      </c>
      <c r="P182" s="1332">
        <v>0</v>
      </c>
      <c r="Q182" s="1333"/>
      <c r="R182" s="1332">
        <v>8881</v>
      </c>
      <c r="S182" s="1332">
        <v>644</v>
      </c>
      <c r="T182" s="1332">
        <v>9525</v>
      </c>
    </row>
    <row r="183" spans="1:20" x14ac:dyDescent="0.25">
      <c r="A183" s="1342">
        <v>91421</v>
      </c>
      <c r="B183" s="1340" t="s">
        <v>2801</v>
      </c>
      <c r="C183" s="1324">
        <v>6.69E-5</v>
      </c>
      <c r="D183" s="1324">
        <v>7.2299999999999996E-5</v>
      </c>
      <c r="E183" s="1332">
        <v>182699</v>
      </c>
      <c r="F183" s="1333"/>
      <c r="G183" s="1332">
        <v>31283</v>
      </c>
      <c r="H183" s="1332">
        <v>4456</v>
      </c>
      <c r="I183" s="1332">
        <v>29777</v>
      </c>
      <c r="J183" s="1332">
        <v>5107</v>
      </c>
      <c r="K183" s="1332">
        <v>70623</v>
      </c>
      <c r="L183" s="1333"/>
      <c r="M183" s="1332">
        <v>0</v>
      </c>
      <c r="N183" s="1332">
        <v>0</v>
      </c>
      <c r="O183" s="1332">
        <v>644</v>
      </c>
      <c r="P183" s="1332">
        <v>644</v>
      </c>
      <c r="Q183" s="1333"/>
      <c r="R183" s="1332">
        <v>81385</v>
      </c>
      <c r="S183" s="1332">
        <v>414</v>
      </c>
      <c r="T183" s="1332">
        <v>81799</v>
      </c>
    </row>
    <row r="184" spans="1:20" x14ac:dyDescent="0.25">
      <c r="A184" s="1342">
        <v>91423</v>
      </c>
      <c r="B184" s="1340" t="s">
        <v>2802</v>
      </c>
      <c r="C184" s="1324">
        <v>5.2899999999999998E-5</v>
      </c>
      <c r="D184" s="1324">
        <v>4.88E-5</v>
      </c>
      <c r="E184" s="1332">
        <v>144466</v>
      </c>
      <c r="F184" s="1333"/>
      <c r="G184" s="1332">
        <v>24736</v>
      </c>
      <c r="H184" s="1332">
        <v>3524</v>
      </c>
      <c r="I184" s="1332">
        <v>23546</v>
      </c>
      <c r="J184" s="1332">
        <v>4469</v>
      </c>
      <c r="K184" s="1332">
        <v>56275</v>
      </c>
      <c r="L184" s="1333"/>
      <c r="M184" s="1332">
        <v>0</v>
      </c>
      <c r="N184" s="1332">
        <v>0</v>
      </c>
      <c r="O184" s="1332">
        <v>5138</v>
      </c>
      <c r="P184" s="1332">
        <v>5138</v>
      </c>
      <c r="Q184" s="1333"/>
      <c r="R184" s="1332">
        <v>64354</v>
      </c>
      <c r="S184" s="1332">
        <v>3157</v>
      </c>
      <c r="T184" s="1332">
        <v>67511</v>
      </c>
    </row>
    <row r="185" spans="1:20" x14ac:dyDescent="0.25">
      <c r="A185" s="1342">
        <v>91431</v>
      </c>
      <c r="B185" s="1340" t="s">
        <v>2803</v>
      </c>
      <c r="C185" s="1324">
        <v>1.819E-4</v>
      </c>
      <c r="D185" s="1324">
        <v>1.6229999999999999E-4</v>
      </c>
      <c r="E185" s="1332">
        <v>496755</v>
      </c>
      <c r="F185" s="1333"/>
      <c r="G185" s="1332">
        <v>85057</v>
      </c>
      <c r="H185" s="1332">
        <v>12117</v>
      </c>
      <c r="I185" s="1332">
        <v>80963</v>
      </c>
      <c r="J185" s="1332">
        <v>35128</v>
      </c>
      <c r="K185" s="1332">
        <v>213265</v>
      </c>
      <c r="L185" s="1333"/>
      <c r="M185" s="1332">
        <v>0</v>
      </c>
      <c r="N185" s="1332">
        <v>0</v>
      </c>
      <c r="O185" s="1332">
        <v>478</v>
      </c>
      <c r="P185" s="1332">
        <v>478</v>
      </c>
      <c r="Q185" s="1333"/>
      <c r="R185" s="1332">
        <v>221284</v>
      </c>
      <c r="S185" s="1332">
        <v>11541</v>
      </c>
      <c r="T185" s="1332">
        <v>232825</v>
      </c>
    </row>
    <row r="186" spans="1:20" x14ac:dyDescent="0.25">
      <c r="A186" s="1342">
        <v>91441</v>
      </c>
      <c r="B186" s="1340" t="s">
        <v>2804</v>
      </c>
      <c r="C186" s="1324">
        <v>9.8020000000000008E-4</v>
      </c>
      <c r="D186" s="1324">
        <v>9.4680000000000003E-4</v>
      </c>
      <c r="E186" s="1332">
        <v>2676850</v>
      </c>
      <c r="F186" s="1333"/>
      <c r="G186" s="1332">
        <v>458344</v>
      </c>
      <c r="H186" s="1332">
        <v>65292</v>
      </c>
      <c r="I186" s="1332">
        <v>436282</v>
      </c>
      <c r="J186" s="1332">
        <v>23476</v>
      </c>
      <c r="K186" s="1332">
        <v>983394</v>
      </c>
      <c r="L186" s="1333"/>
      <c r="M186" s="1332">
        <v>0</v>
      </c>
      <c r="N186" s="1332">
        <v>0</v>
      </c>
      <c r="O186" s="1332">
        <v>162075</v>
      </c>
      <c r="P186" s="1332">
        <v>162075</v>
      </c>
      <c r="Q186" s="1333"/>
      <c r="R186" s="1332">
        <v>1192426</v>
      </c>
      <c r="S186" s="1332">
        <v>-63420</v>
      </c>
      <c r="T186" s="1332">
        <v>1129006</v>
      </c>
    </row>
    <row r="187" spans="1:20" x14ac:dyDescent="0.25">
      <c r="A187" s="1342">
        <v>91451</v>
      </c>
      <c r="B187" s="1340" t="s">
        <v>2805</v>
      </c>
      <c r="C187" s="1324">
        <v>1.5533999999999999E-3</v>
      </c>
      <c r="D187" s="1324">
        <v>1.4832000000000001E-3</v>
      </c>
      <c r="E187" s="1332">
        <v>4242214</v>
      </c>
      <c r="F187" s="1333"/>
      <c r="G187" s="1332">
        <v>726375</v>
      </c>
      <c r="H187" s="1332">
        <v>103474</v>
      </c>
      <c r="I187" s="1332">
        <v>691411</v>
      </c>
      <c r="J187" s="1332">
        <v>33074</v>
      </c>
      <c r="K187" s="1332">
        <v>1554334</v>
      </c>
      <c r="L187" s="1333"/>
      <c r="M187" s="1332">
        <v>0</v>
      </c>
      <c r="N187" s="1332">
        <v>0</v>
      </c>
      <c r="O187" s="1332">
        <v>57246</v>
      </c>
      <c r="P187" s="1332">
        <v>57246</v>
      </c>
      <c r="Q187" s="1333"/>
      <c r="R187" s="1332">
        <v>1889731</v>
      </c>
      <c r="S187" s="1332">
        <v>-49758</v>
      </c>
      <c r="T187" s="1332">
        <v>1839973</v>
      </c>
    </row>
    <row r="188" spans="1:20" x14ac:dyDescent="0.25">
      <c r="A188" s="1342">
        <v>91457</v>
      </c>
      <c r="B188" s="1340" t="s">
        <v>4146</v>
      </c>
      <c r="C188" s="1324">
        <v>1.5500000000000001E-5</v>
      </c>
      <c r="D188" s="1324">
        <v>2.2099999999999998E-5</v>
      </c>
      <c r="E188" s="1332">
        <v>42329</v>
      </c>
      <c r="F188" s="1333"/>
      <c r="G188" s="1332">
        <v>7248</v>
      </c>
      <c r="H188" s="1332">
        <v>1033</v>
      </c>
      <c r="I188" s="1332">
        <v>6899</v>
      </c>
      <c r="J188" s="1332">
        <v>33737</v>
      </c>
      <c r="K188" s="1332">
        <v>48917</v>
      </c>
      <c r="L188" s="1333"/>
      <c r="M188" s="1332">
        <v>0</v>
      </c>
      <c r="N188" s="1332">
        <v>0</v>
      </c>
      <c r="O188" s="1332">
        <v>0</v>
      </c>
      <c r="P188" s="1332">
        <v>0</v>
      </c>
      <c r="Q188" s="1333"/>
      <c r="R188" s="1332">
        <v>18856</v>
      </c>
      <c r="S188" s="1332">
        <v>16875</v>
      </c>
      <c r="T188" s="1332">
        <v>35731</v>
      </c>
    </row>
    <row r="189" spans="1:20" x14ac:dyDescent="0.25">
      <c r="A189" s="1342">
        <v>91461</v>
      </c>
      <c r="B189" s="1340" t="s">
        <v>2807</v>
      </c>
      <c r="C189" s="1324">
        <v>9.5000000000000005E-6</v>
      </c>
      <c r="D189" s="1324">
        <v>9.5999999999999996E-6</v>
      </c>
      <c r="E189" s="1332">
        <v>25944</v>
      </c>
      <c r="F189" s="1333"/>
      <c r="G189" s="1332">
        <v>4442</v>
      </c>
      <c r="H189" s="1332">
        <v>633</v>
      </c>
      <c r="I189" s="1332">
        <v>4228</v>
      </c>
      <c r="J189" s="1332">
        <v>123</v>
      </c>
      <c r="K189" s="1332">
        <v>9426</v>
      </c>
      <c r="L189" s="1333"/>
      <c r="M189" s="1332">
        <v>0</v>
      </c>
      <c r="N189" s="1332">
        <v>0</v>
      </c>
      <c r="O189" s="1332">
        <v>2588</v>
      </c>
      <c r="P189" s="1332">
        <v>2588</v>
      </c>
      <c r="Q189" s="1333"/>
      <c r="R189" s="1332">
        <v>11557</v>
      </c>
      <c r="S189" s="1332">
        <v>32</v>
      </c>
      <c r="T189" s="1332">
        <v>11589</v>
      </c>
    </row>
    <row r="190" spans="1:20" x14ac:dyDescent="0.25">
      <c r="A190" s="1342">
        <v>91501</v>
      </c>
      <c r="B190" s="1340" t="s">
        <v>2808</v>
      </c>
      <c r="C190" s="1324">
        <v>5.1179999999999997E-4</v>
      </c>
      <c r="D190" s="1324">
        <v>4.6460000000000002E-4</v>
      </c>
      <c r="E190" s="1332">
        <v>1397686</v>
      </c>
      <c r="F190" s="1333"/>
      <c r="G190" s="1332">
        <v>239319</v>
      </c>
      <c r="H190" s="1332">
        <v>34092</v>
      </c>
      <c r="I190" s="1332">
        <v>227800</v>
      </c>
      <c r="J190" s="1332">
        <v>32151</v>
      </c>
      <c r="K190" s="1332">
        <v>533362</v>
      </c>
      <c r="L190" s="1333"/>
      <c r="M190" s="1332">
        <v>0</v>
      </c>
      <c r="N190" s="1332">
        <v>0</v>
      </c>
      <c r="O190" s="1332">
        <v>15090</v>
      </c>
      <c r="P190" s="1332">
        <v>15090</v>
      </c>
      <c r="Q190" s="1333"/>
      <c r="R190" s="1332">
        <v>622611</v>
      </c>
      <c r="S190" s="1332">
        <v>6590</v>
      </c>
      <c r="T190" s="1332">
        <v>629201</v>
      </c>
    </row>
    <row r="191" spans="1:20" x14ac:dyDescent="0.25">
      <c r="A191" s="1342">
        <v>91504</v>
      </c>
      <c r="B191" s="1340" t="s">
        <v>2809</v>
      </c>
      <c r="C191" s="1324">
        <v>8.3999999999999992E-6</v>
      </c>
      <c r="D191" s="1324">
        <v>9.7999999999999993E-6</v>
      </c>
      <c r="E191" s="1332">
        <v>22940</v>
      </c>
      <c r="F191" s="1333"/>
      <c r="G191" s="1332">
        <v>3928</v>
      </c>
      <c r="H191" s="1332">
        <v>559</v>
      </c>
      <c r="I191" s="1332">
        <v>3739</v>
      </c>
      <c r="J191" s="1332">
        <v>3458</v>
      </c>
      <c r="K191" s="1332">
        <v>11684</v>
      </c>
      <c r="L191" s="1333"/>
      <c r="M191" s="1332">
        <v>0</v>
      </c>
      <c r="N191" s="1332">
        <v>0</v>
      </c>
      <c r="O191" s="1332">
        <v>0</v>
      </c>
      <c r="P191" s="1332">
        <v>0</v>
      </c>
      <c r="Q191" s="1333"/>
      <c r="R191" s="1332">
        <v>10219</v>
      </c>
      <c r="S191" s="1332">
        <v>2720</v>
      </c>
      <c r="T191" s="1332">
        <v>12939</v>
      </c>
    </row>
    <row r="192" spans="1:20" x14ac:dyDescent="0.25">
      <c r="A192" s="1342">
        <v>91601</v>
      </c>
      <c r="B192" s="1340" t="s">
        <v>2810</v>
      </c>
      <c r="C192" s="1324">
        <v>3.0071E-3</v>
      </c>
      <c r="D192" s="1324">
        <v>2.7648E-3</v>
      </c>
      <c r="E192" s="1332">
        <v>8212156</v>
      </c>
      <c r="F192" s="1333"/>
      <c r="G192" s="1332">
        <v>1406129</v>
      </c>
      <c r="H192" s="1332">
        <v>200306</v>
      </c>
      <c r="I192" s="1332">
        <v>1338445</v>
      </c>
      <c r="J192" s="1332">
        <v>259180</v>
      </c>
      <c r="K192" s="1332">
        <v>3204060</v>
      </c>
      <c r="L192" s="1333"/>
      <c r="M192" s="1332">
        <v>0</v>
      </c>
      <c r="N192" s="1332">
        <v>0</v>
      </c>
      <c r="O192" s="1332">
        <v>20183</v>
      </c>
      <c r="P192" s="1332">
        <v>20183</v>
      </c>
      <c r="Q192" s="1333"/>
      <c r="R192" s="1332">
        <v>3658176</v>
      </c>
      <c r="S192" s="1332">
        <v>98841</v>
      </c>
      <c r="T192" s="1332">
        <v>3757017</v>
      </c>
    </row>
    <row r="193" spans="1:20" x14ac:dyDescent="0.25">
      <c r="A193" s="1342">
        <v>91604</v>
      </c>
      <c r="B193" s="1340" t="s">
        <v>2811</v>
      </c>
      <c r="C193" s="1324">
        <v>8.5599999999999994E-5</v>
      </c>
      <c r="D193" s="1324">
        <v>8.5000000000000006E-5</v>
      </c>
      <c r="E193" s="1332">
        <v>233767</v>
      </c>
      <c r="F193" s="1333"/>
      <c r="G193" s="1332">
        <v>40027</v>
      </c>
      <c r="H193" s="1332">
        <v>5701</v>
      </c>
      <c r="I193" s="1332">
        <v>38100</v>
      </c>
      <c r="J193" s="1332">
        <v>26874</v>
      </c>
      <c r="K193" s="1332">
        <v>110702</v>
      </c>
      <c r="L193" s="1333"/>
      <c r="M193" s="1332">
        <v>0</v>
      </c>
      <c r="N193" s="1332">
        <v>0</v>
      </c>
      <c r="O193" s="1332">
        <v>0</v>
      </c>
      <c r="P193" s="1332">
        <v>0</v>
      </c>
      <c r="Q193" s="1333"/>
      <c r="R193" s="1332">
        <v>104134</v>
      </c>
      <c r="S193" s="1332">
        <v>12119</v>
      </c>
      <c r="T193" s="1332">
        <v>116253</v>
      </c>
    </row>
    <row r="194" spans="1:20" ht="30" x14ac:dyDescent="0.25">
      <c r="A194" s="1342">
        <v>91608</v>
      </c>
      <c r="B194" s="1340" t="s">
        <v>2812</v>
      </c>
      <c r="C194" s="1324">
        <v>1.5420000000000001E-4</v>
      </c>
      <c r="D194" s="1324">
        <v>1.5909999999999999E-4</v>
      </c>
      <c r="E194" s="1332">
        <v>421108</v>
      </c>
      <c r="F194" s="1333"/>
      <c r="G194" s="1332">
        <v>72104</v>
      </c>
      <c r="H194" s="1332">
        <v>10271</v>
      </c>
      <c r="I194" s="1332">
        <v>68634</v>
      </c>
      <c r="J194" s="1332">
        <v>779</v>
      </c>
      <c r="K194" s="1332">
        <v>151788</v>
      </c>
      <c r="L194" s="1333"/>
      <c r="M194" s="1332">
        <v>0</v>
      </c>
      <c r="N194" s="1332">
        <v>0</v>
      </c>
      <c r="O194" s="1332">
        <v>37447</v>
      </c>
      <c r="P194" s="1332">
        <v>37447</v>
      </c>
      <c r="Q194" s="1333"/>
      <c r="R194" s="1332">
        <v>187586</v>
      </c>
      <c r="S194" s="1332">
        <v>-21503</v>
      </c>
      <c r="T194" s="1332">
        <v>166083</v>
      </c>
    </row>
    <row r="195" spans="1:20" x14ac:dyDescent="0.25">
      <c r="A195" s="1342">
        <v>91611</v>
      </c>
      <c r="B195" s="1340" t="s">
        <v>2813</v>
      </c>
      <c r="C195" s="1324">
        <v>1.4658E-3</v>
      </c>
      <c r="D195" s="1324">
        <v>1.4744000000000001E-3</v>
      </c>
      <c r="E195" s="1332">
        <v>4002985</v>
      </c>
      <c r="F195" s="1333"/>
      <c r="G195" s="1332">
        <v>685412</v>
      </c>
      <c r="H195" s="1332">
        <v>97639</v>
      </c>
      <c r="I195" s="1332">
        <v>652420</v>
      </c>
      <c r="J195" s="1332">
        <v>0</v>
      </c>
      <c r="K195" s="1332">
        <v>1435471</v>
      </c>
      <c r="L195" s="1333"/>
      <c r="M195" s="1332">
        <v>0</v>
      </c>
      <c r="N195" s="1332">
        <v>0</v>
      </c>
      <c r="O195" s="1332">
        <v>168711</v>
      </c>
      <c r="P195" s="1332">
        <v>168711</v>
      </c>
      <c r="Q195" s="1333"/>
      <c r="R195" s="1332">
        <v>1783165</v>
      </c>
      <c r="S195" s="1332">
        <v>-54413</v>
      </c>
      <c r="T195" s="1332">
        <v>1728752</v>
      </c>
    </row>
    <row r="196" spans="1:20" x14ac:dyDescent="0.25">
      <c r="A196" s="1342">
        <v>91621</v>
      </c>
      <c r="B196" s="1340" t="s">
        <v>2814</v>
      </c>
      <c r="C196" s="1324">
        <v>2.418E-4</v>
      </c>
      <c r="D196" s="1324">
        <v>2.6800000000000001E-4</v>
      </c>
      <c r="E196" s="1332">
        <v>660337</v>
      </c>
      <c r="F196" s="1333"/>
      <c r="G196" s="1332">
        <v>113066</v>
      </c>
      <c r="H196" s="1332">
        <v>16107</v>
      </c>
      <c r="I196" s="1332">
        <v>107624</v>
      </c>
      <c r="J196" s="1332">
        <v>0</v>
      </c>
      <c r="K196" s="1332">
        <v>236797</v>
      </c>
      <c r="L196" s="1333"/>
      <c r="M196" s="1332">
        <v>0</v>
      </c>
      <c r="N196" s="1332">
        <v>0</v>
      </c>
      <c r="O196" s="1332">
        <v>24050</v>
      </c>
      <c r="P196" s="1332">
        <v>24050</v>
      </c>
      <c r="Q196" s="1333"/>
      <c r="R196" s="1332">
        <v>294153</v>
      </c>
      <c r="S196" s="1332">
        <v>-1790</v>
      </c>
      <c r="T196" s="1332">
        <v>292363</v>
      </c>
    </row>
    <row r="197" spans="1:20" x14ac:dyDescent="0.25">
      <c r="A197" s="1342">
        <v>91631</v>
      </c>
      <c r="B197" s="1340" t="s">
        <v>2815</v>
      </c>
      <c r="C197" s="1324">
        <v>5.9349999999999995E-4</v>
      </c>
      <c r="D197" s="1324">
        <v>5.509E-4</v>
      </c>
      <c r="E197" s="1332">
        <v>1620802</v>
      </c>
      <c r="F197" s="1333"/>
      <c r="G197" s="1332">
        <v>277522</v>
      </c>
      <c r="H197" s="1332">
        <v>39534</v>
      </c>
      <c r="I197" s="1332">
        <v>264164</v>
      </c>
      <c r="J197" s="1332">
        <v>12055</v>
      </c>
      <c r="K197" s="1332">
        <v>593275</v>
      </c>
      <c r="L197" s="1333"/>
      <c r="M197" s="1332">
        <v>0</v>
      </c>
      <c r="N197" s="1332">
        <v>0</v>
      </c>
      <c r="O197" s="1332">
        <v>23175</v>
      </c>
      <c r="P197" s="1332">
        <v>23175</v>
      </c>
      <c r="Q197" s="1333"/>
      <c r="R197" s="1332">
        <v>722000</v>
      </c>
      <c r="S197" s="1332">
        <v>-13170</v>
      </c>
      <c r="T197" s="1332">
        <v>708830</v>
      </c>
    </row>
    <row r="198" spans="1:20" x14ac:dyDescent="0.25">
      <c r="A198" s="1342">
        <v>91633</v>
      </c>
      <c r="B198" s="1340" t="s">
        <v>4147</v>
      </c>
      <c r="C198" s="1324">
        <v>3.15E-5</v>
      </c>
      <c r="D198" s="1324">
        <v>1.8600000000000001E-5</v>
      </c>
      <c r="E198" s="1332">
        <v>86024</v>
      </c>
      <c r="F198" s="1333"/>
      <c r="G198" s="1332">
        <v>14729</v>
      </c>
      <c r="H198" s="1332">
        <v>2098</v>
      </c>
      <c r="I198" s="1332">
        <v>14020</v>
      </c>
      <c r="J198" s="1332">
        <v>9155</v>
      </c>
      <c r="K198" s="1332">
        <v>40002</v>
      </c>
      <c r="L198" s="1333"/>
      <c r="M198" s="1332">
        <v>0</v>
      </c>
      <c r="N198" s="1332">
        <v>0</v>
      </c>
      <c r="O198" s="1332">
        <v>2815</v>
      </c>
      <c r="P198" s="1332">
        <v>2815</v>
      </c>
      <c r="Q198" s="1333"/>
      <c r="R198" s="1332">
        <v>38320</v>
      </c>
      <c r="S198" s="1332">
        <v>328</v>
      </c>
      <c r="T198" s="1332">
        <v>38648</v>
      </c>
    </row>
    <row r="199" spans="1:20" x14ac:dyDescent="0.25">
      <c r="A199" s="1342">
        <v>91641</v>
      </c>
      <c r="B199" s="1340" t="s">
        <v>2817</v>
      </c>
      <c r="C199" s="1324">
        <v>2.8519999999999999E-4</v>
      </c>
      <c r="D199" s="1324">
        <v>2.652E-4</v>
      </c>
      <c r="E199" s="1332">
        <v>778859</v>
      </c>
      <c r="F199" s="1333"/>
      <c r="G199" s="1332">
        <v>133360</v>
      </c>
      <c r="H199" s="1332">
        <v>18997</v>
      </c>
      <c r="I199" s="1332">
        <v>126941</v>
      </c>
      <c r="J199" s="1332">
        <v>1596</v>
      </c>
      <c r="K199" s="1332">
        <v>280894</v>
      </c>
      <c r="L199" s="1333"/>
      <c r="M199" s="1332">
        <v>0</v>
      </c>
      <c r="N199" s="1332">
        <v>0</v>
      </c>
      <c r="O199" s="1332">
        <v>44958</v>
      </c>
      <c r="P199" s="1332">
        <v>44958</v>
      </c>
      <c r="Q199" s="1333"/>
      <c r="R199" s="1332">
        <v>346950</v>
      </c>
      <c r="S199" s="1332">
        <v>-28778</v>
      </c>
      <c r="T199" s="1332">
        <v>318172</v>
      </c>
    </row>
    <row r="200" spans="1:20" x14ac:dyDescent="0.25">
      <c r="A200" s="1342">
        <v>91651</v>
      </c>
      <c r="B200" s="1340" t="s">
        <v>2818</v>
      </c>
      <c r="C200" s="1324">
        <v>5.4049999999999996E-4</v>
      </c>
      <c r="D200" s="1324">
        <v>4.73E-4</v>
      </c>
      <c r="E200" s="1332">
        <v>1476063</v>
      </c>
      <c r="F200" s="1333"/>
      <c r="G200" s="1332">
        <v>252739</v>
      </c>
      <c r="H200" s="1332">
        <v>36003</v>
      </c>
      <c r="I200" s="1332">
        <v>240574</v>
      </c>
      <c r="J200" s="1332">
        <v>72033</v>
      </c>
      <c r="K200" s="1332">
        <v>601349</v>
      </c>
      <c r="L200" s="1333"/>
      <c r="M200" s="1332">
        <v>0</v>
      </c>
      <c r="N200" s="1332">
        <v>0</v>
      </c>
      <c r="O200" s="1332">
        <v>8700</v>
      </c>
      <c r="P200" s="1332">
        <v>8700</v>
      </c>
      <c r="Q200" s="1333"/>
      <c r="R200" s="1332">
        <v>657525</v>
      </c>
      <c r="S200" s="1332">
        <v>10016</v>
      </c>
      <c r="T200" s="1332">
        <v>667541</v>
      </c>
    </row>
    <row r="201" spans="1:20" x14ac:dyDescent="0.25">
      <c r="A201" s="1342">
        <v>91661</v>
      </c>
      <c r="B201" s="1340" t="s">
        <v>2819</v>
      </c>
      <c r="C201" s="1324">
        <v>1.8760000000000001E-4</v>
      </c>
      <c r="D201" s="1324">
        <v>1.8259999999999999E-4</v>
      </c>
      <c r="E201" s="1332">
        <v>512321</v>
      </c>
      <c r="F201" s="1333"/>
      <c r="G201" s="1332">
        <v>87722</v>
      </c>
      <c r="H201" s="1332">
        <v>12496</v>
      </c>
      <c r="I201" s="1332">
        <v>83500</v>
      </c>
      <c r="J201" s="1332">
        <v>0</v>
      </c>
      <c r="K201" s="1332">
        <v>183718</v>
      </c>
      <c r="L201" s="1333"/>
      <c r="M201" s="1332">
        <v>0</v>
      </c>
      <c r="N201" s="1332">
        <v>0</v>
      </c>
      <c r="O201" s="1332">
        <v>33864</v>
      </c>
      <c r="P201" s="1332">
        <v>33864</v>
      </c>
      <c r="Q201" s="1333"/>
      <c r="R201" s="1332">
        <v>228218</v>
      </c>
      <c r="S201" s="1332">
        <v>-20283</v>
      </c>
      <c r="T201" s="1332">
        <v>207935</v>
      </c>
    </row>
    <row r="202" spans="1:20" x14ac:dyDescent="0.25">
      <c r="A202" s="1342">
        <v>91671</v>
      </c>
      <c r="B202" s="1340" t="s">
        <v>2820</v>
      </c>
      <c r="C202" s="1324">
        <v>1.076E-4</v>
      </c>
      <c r="D202" s="1324">
        <v>1.132E-4</v>
      </c>
      <c r="E202" s="1332">
        <v>293847</v>
      </c>
      <c r="F202" s="1333"/>
      <c r="G202" s="1332">
        <v>50314</v>
      </c>
      <c r="H202" s="1332">
        <v>7168</v>
      </c>
      <c r="I202" s="1332">
        <v>47892</v>
      </c>
      <c r="J202" s="1332">
        <v>4956</v>
      </c>
      <c r="K202" s="1332">
        <v>110330</v>
      </c>
      <c r="L202" s="1333"/>
      <c r="M202" s="1332">
        <v>0</v>
      </c>
      <c r="N202" s="1332">
        <v>0</v>
      </c>
      <c r="O202" s="1332">
        <v>13929</v>
      </c>
      <c r="P202" s="1332">
        <v>13929</v>
      </c>
      <c r="Q202" s="1333"/>
      <c r="R202" s="1332">
        <v>130897</v>
      </c>
      <c r="S202" s="1332">
        <v>2169</v>
      </c>
      <c r="T202" s="1332">
        <v>133066</v>
      </c>
    </row>
    <row r="203" spans="1:20" x14ac:dyDescent="0.25">
      <c r="A203" s="1342">
        <v>91681</v>
      </c>
      <c r="B203" s="1340" t="s">
        <v>2821</v>
      </c>
      <c r="C203" s="1324">
        <v>4.5909999999999999E-4</v>
      </c>
      <c r="D203" s="1324">
        <v>4.6460000000000002E-4</v>
      </c>
      <c r="E203" s="1332">
        <v>1253766</v>
      </c>
      <c r="F203" s="1333"/>
      <c r="G203" s="1332">
        <v>214677</v>
      </c>
      <c r="H203" s="1332">
        <v>30581</v>
      </c>
      <c r="I203" s="1332">
        <v>204343</v>
      </c>
      <c r="J203" s="1332">
        <v>328837</v>
      </c>
      <c r="K203" s="1332">
        <v>778438</v>
      </c>
      <c r="L203" s="1333"/>
      <c r="M203" s="1332">
        <v>0</v>
      </c>
      <c r="N203" s="1332">
        <v>0</v>
      </c>
      <c r="O203" s="1332">
        <v>0</v>
      </c>
      <c r="P203" s="1332">
        <v>0</v>
      </c>
      <c r="Q203" s="1333"/>
      <c r="R203" s="1332">
        <v>558501</v>
      </c>
      <c r="S203" s="1332">
        <v>155780</v>
      </c>
      <c r="T203" s="1332">
        <v>714281</v>
      </c>
    </row>
    <row r="204" spans="1:20" x14ac:dyDescent="0.25">
      <c r="A204" s="1342">
        <v>91691</v>
      </c>
      <c r="B204" s="1340" t="s">
        <v>2822</v>
      </c>
      <c r="C204" s="1324">
        <v>2.2900000000000001E-5</v>
      </c>
      <c r="D204" s="1324">
        <v>2.26E-5</v>
      </c>
      <c r="E204" s="1332">
        <v>62538</v>
      </c>
      <c r="F204" s="1333"/>
      <c r="G204" s="1332">
        <v>10708</v>
      </c>
      <c r="H204" s="1332">
        <v>1526</v>
      </c>
      <c r="I204" s="1332">
        <v>10193</v>
      </c>
      <c r="J204" s="1332">
        <v>2558</v>
      </c>
      <c r="K204" s="1332">
        <v>24985</v>
      </c>
      <c r="L204" s="1333"/>
      <c r="M204" s="1332">
        <v>0</v>
      </c>
      <c r="N204" s="1332">
        <v>0</v>
      </c>
      <c r="O204" s="1332">
        <v>802</v>
      </c>
      <c r="P204" s="1332">
        <v>802</v>
      </c>
      <c r="Q204" s="1333"/>
      <c r="R204" s="1332">
        <v>27858</v>
      </c>
      <c r="S204" s="1332">
        <v>524</v>
      </c>
      <c r="T204" s="1332">
        <v>28382</v>
      </c>
    </row>
    <row r="205" spans="1:20" x14ac:dyDescent="0.25">
      <c r="A205" s="1342">
        <v>91701</v>
      </c>
      <c r="B205" s="1340" t="s">
        <v>2823</v>
      </c>
      <c r="C205" s="1324">
        <v>1.1343E-3</v>
      </c>
      <c r="D205" s="1324">
        <v>1.2348999999999999E-3</v>
      </c>
      <c r="E205" s="1332">
        <v>3097685</v>
      </c>
      <c r="F205" s="1333"/>
      <c r="G205" s="1332">
        <v>530402</v>
      </c>
      <c r="H205" s="1332">
        <v>75557</v>
      </c>
      <c r="I205" s="1332">
        <v>504871</v>
      </c>
      <c r="J205" s="1332">
        <v>44619</v>
      </c>
      <c r="K205" s="1332">
        <v>1155449</v>
      </c>
      <c r="L205" s="1333"/>
      <c r="M205" s="1332">
        <v>0</v>
      </c>
      <c r="N205" s="1332">
        <v>0</v>
      </c>
      <c r="O205" s="1332">
        <v>128468</v>
      </c>
      <c r="P205" s="1332">
        <v>128468</v>
      </c>
      <c r="Q205" s="1333"/>
      <c r="R205" s="1332">
        <v>1379891</v>
      </c>
      <c r="S205" s="1332">
        <v>-8971</v>
      </c>
      <c r="T205" s="1332">
        <v>1370920</v>
      </c>
    </row>
    <row r="206" spans="1:20" x14ac:dyDescent="0.25">
      <c r="A206" s="1342">
        <v>91704</v>
      </c>
      <c r="B206" s="1340" t="s">
        <v>2824</v>
      </c>
      <c r="C206" s="1324">
        <v>1.7600000000000001E-5</v>
      </c>
      <c r="D206" s="1324">
        <v>1.73E-5</v>
      </c>
      <c r="E206" s="1332">
        <v>48064</v>
      </c>
      <c r="F206" s="1333"/>
      <c r="G206" s="1332">
        <v>8230</v>
      </c>
      <c r="H206" s="1332">
        <v>1173</v>
      </c>
      <c r="I206" s="1332">
        <v>7834</v>
      </c>
      <c r="J206" s="1332">
        <v>715</v>
      </c>
      <c r="K206" s="1332">
        <v>17952</v>
      </c>
      <c r="L206" s="1333"/>
      <c r="M206" s="1332">
        <v>0</v>
      </c>
      <c r="N206" s="1332">
        <v>0</v>
      </c>
      <c r="O206" s="1332">
        <v>0</v>
      </c>
      <c r="P206" s="1332">
        <v>0</v>
      </c>
      <c r="Q206" s="1333"/>
      <c r="R206" s="1332">
        <v>21411</v>
      </c>
      <c r="S206" s="1332">
        <v>568</v>
      </c>
      <c r="T206" s="1332">
        <v>21979</v>
      </c>
    </row>
    <row r="207" spans="1:20" ht="30" x14ac:dyDescent="0.25">
      <c r="A207" s="1342">
        <v>91706</v>
      </c>
      <c r="B207" s="1340" t="s">
        <v>4148</v>
      </c>
      <c r="C207" s="1324">
        <v>2.543E-4</v>
      </c>
      <c r="D207" s="1324">
        <v>2.2139999999999999E-4</v>
      </c>
      <c r="E207" s="1332">
        <v>694473</v>
      </c>
      <c r="F207" s="1333"/>
      <c r="G207" s="1332">
        <v>118911</v>
      </c>
      <c r="H207" s="1332">
        <v>16939</v>
      </c>
      <c r="I207" s="1332">
        <v>113188</v>
      </c>
      <c r="J207" s="1332">
        <v>57709</v>
      </c>
      <c r="K207" s="1332">
        <v>306747</v>
      </c>
      <c r="L207" s="1333"/>
      <c r="M207" s="1332">
        <v>0</v>
      </c>
      <c r="N207" s="1332">
        <v>0</v>
      </c>
      <c r="O207" s="1332">
        <v>820</v>
      </c>
      <c r="P207" s="1332">
        <v>820</v>
      </c>
      <c r="Q207" s="1333"/>
      <c r="R207" s="1332">
        <v>309359</v>
      </c>
      <c r="S207" s="1332">
        <v>16678</v>
      </c>
      <c r="T207" s="1332">
        <v>326037</v>
      </c>
    </row>
    <row r="208" spans="1:20" x14ac:dyDescent="0.25">
      <c r="A208" s="1342">
        <v>91719</v>
      </c>
      <c r="B208" s="1340" t="s">
        <v>2826</v>
      </c>
      <c r="C208" s="1324">
        <v>5.6700000000000003E-5</v>
      </c>
      <c r="D208" s="1324">
        <v>5.6799999999999998E-5</v>
      </c>
      <c r="E208" s="1332">
        <v>154843</v>
      </c>
      <c r="F208" s="1333"/>
      <c r="G208" s="1332">
        <v>26513</v>
      </c>
      <c r="H208" s="1332">
        <v>3776</v>
      </c>
      <c r="I208" s="1332">
        <v>25237</v>
      </c>
      <c r="J208" s="1332">
        <v>400</v>
      </c>
      <c r="K208" s="1332">
        <v>55926</v>
      </c>
      <c r="L208" s="1333"/>
      <c r="M208" s="1332">
        <v>0</v>
      </c>
      <c r="N208" s="1332">
        <v>0</v>
      </c>
      <c r="O208" s="1332">
        <v>6742</v>
      </c>
      <c r="P208" s="1332">
        <v>6742</v>
      </c>
      <c r="Q208" s="1333"/>
      <c r="R208" s="1332">
        <v>68976</v>
      </c>
      <c r="S208" s="1332">
        <v>-8</v>
      </c>
      <c r="T208" s="1332">
        <v>68968</v>
      </c>
    </row>
    <row r="209" spans="1:20" x14ac:dyDescent="0.25">
      <c r="A209" s="1342">
        <v>91801</v>
      </c>
      <c r="B209" s="1340" t="s">
        <v>2827</v>
      </c>
      <c r="C209" s="1324">
        <v>7.5972000000000001E-3</v>
      </c>
      <c r="D209" s="1324">
        <v>7.9632999999999995E-3</v>
      </c>
      <c r="E209" s="1332">
        <v>20747361</v>
      </c>
      <c r="F209" s="1333"/>
      <c r="G209" s="1332">
        <v>3552474</v>
      </c>
      <c r="H209" s="1332">
        <v>506057</v>
      </c>
      <c r="I209" s="1332">
        <v>3381476</v>
      </c>
      <c r="J209" s="1332">
        <v>0</v>
      </c>
      <c r="K209" s="1332">
        <v>7440007</v>
      </c>
      <c r="L209" s="1333"/>
      <c r="M209" s="1332">
        <v>0</v>
      </c>
      <c r="N209" s="1332">
        <v>0</v>
      </c>
      <c r="O209" s="1332">
        <v>468580</v>
      </c>
      <c r="P209" s="1332">
        <v>468580</v>
      </c>
      <c r="Q209" s="1333"/>
      <c r="R209" s="1332">
        <v>9242093</v>
      </c>
      <c r="S209" s="1332">
        <v>-160612</v>
      </c>
      <c r="T209" s="1332">
        <v>9081481</v>
      </c>
    </row>
    <row r="210" spans="1:20" x14ac:dyDescent="0.25">
      <c r="A210" s="1342">
        <v>91804</v>
      </c>
      <c r="B210" s="1340" t="s">
        <v>2828</v>
      </c>
      <c r="C210" s="1324">
        <v>1.2459999999999999E-4</v>
      </c>
      <c r="D210" s="1324">
        <v>1.4770000000000001E-4</v>
      </c>
      <c r="E210" s="1332">
        <v>340273</v>
      </c>
      <c r="F210" s="1333"/>
      <c r="G210" s="1332">
        <v>58263</v>
      </c>
      <c r="H210" s="1332">
        <v>8300</v>
      </c>
      <c r="I210" s="1332">
        <v>55459</v>
      </c>
      <c r="J210" s="1332">
        <v>54729</v>
      </c>
      <c r="K210" s="1332">
        <v>176751</v>
      </c>
      <c r="L210" s="1333"/>
      <c r="M210" s="1332">
        <v>0</v>
      </c>
      <c r="N210" s="1332">
        <v>0</v>
      </c>
      <c r="O210" s="1332">
        <v>0</v>
      </c>
      <c r="P210" s="1332">
        <v>0</v>
      </c>
      <c r="Q210" s="1333"/>
      <c r="R210" s="1332">
        <v>151578</v>
      </c>
      <c r="S210" s="1332">
        <v>28815</v>
      </c>
      <c r="T210" s="1332">
        <v>180393</v>
      </c>
    </row>
    <row r="211" spans="1:20" x14ac:dyDescent="0.25">
      <c r="A211" s="1342">
        <v>91811</v>
      </c>
      <c r="B211" s="1340" t="s">
        <v>2829</v>
      </c>
      <c r="C211" s="1324">
        <v>4.2429E-3</v>
      </c>
      <c r="D211" s="1324">
        <v>4.4413999999999999E-3</v>
      </c>
      <c r="E211" s="1332">
        <v>11587029</v>
      </c>
      <c r="F211" s="1333"/>
      <c r="G211" s="1332">
        <v>1983993</v>
      </c>
      <c r="H211" s="1332">
        <v>282624</v>
      </c>
      <c r="I211" s="1332">
        <v>1888494</v>
      </c>
      <c r="J211" s="1332">
        <v>0</v>
      </c>
      <c r="K211" s="1332">
        <v>4155111</v>
      </c>
      <c r="L211" s="1333"/>
      <c r="M211" s="1332">
        <v>0</v>
      </c>
      <c r="N211" s="1332">
        <v>0</v>
      </c>
      <c r="O211" s="1332">
        <v>476711</v>
      </c>
      <c r="P211" s="1332">
        <v>476711</v>
      </c>
      <c r="Q211" s="1333"/>
      <c r="R211" s="1332">
        <v>5161543</v>
      </c>
      <c r="S211" s="1332">
        <v>-260791</v>
      </c>
      <c r="T211" s="1332">
        <v>4900752</v>
      </c>
    </row>
    <row r="212" spans="1:20" ht="30" x14ac:dyDescent="0.25">
      <c r="A212" s="1342">
        <v>91812</v>
      </c>
      <c r="B212" s="1340" t="s">
        <v>4149</v>
      </c>
      <c r="C212" s="1324">
        <v>4.5599999999999997E-5</v>
      </c>
      <c r="D212" s="1324">
        <v>5.3600000000000002E-5</v>
      </c>
      <c r="E212" s="1332">
        <v>124530</v>
      </c>
      <c r="F212" s="1333"/>
      <c r="G212" s="1332">
        <v>21323</v>
      </c>
      <c r="H212" s="1332">
        <v>3037</v>
      </c>
      <c r="I212" s="1332">
        <v>20296</v>
      </c>
      <c r="J212" s="1332">
        <v>4936</v>
      </c>
      <c r="K212" s="1332">
        <v>49592</v>
      </c>
      <c r="L212" s="1333"/>
      <c r="M212" s="1332">
        <v>0</v>
      </c>
      <c r="N212" s="1332">
        <v>0</v>
      </c>
      <c r="O212" s="1332">
        <v>3846</v>
      </c>
      <c r="P212" s="1332">
        <v>3846</v>
      </c>
      <c r="Q212" s="1333"/>
      <c r="R212" s="1332">
        <v>55473</v>
      </c>
      <c r="S212" s="1332">
        <v>3554</v>
      </c>
      <c r="T212" s="1332">
        <v>59027</v>
      </c>
    </row>
    <row r="213" spans="1:20" x14ac:dyDescent="0.25">
      <c r="A213" s="1342">
        <v>91813</v>
      </c>
      <c r="B213" s="1340" t="s">
        <v>2831</v>
      </c>
      <c r="C213" s="1324">
        <v>7.1500000000000003E-5</v>
      </c>
      <c r="D213" s="1324">
        <v>8.1299999999999997E-5</v>
      </c>
      <c r="E213" s="1332">
        <v>195261</v>
      </c>
      <c r="F213" s="1333"/>
      <c r="G213" s="1332">
        <v>33434</v>
      </c>
      <c r="H213" s="1332">
        <v>4763</v>
      </c>
      <c r="I213" s="1332">
        <v>31824</v>
      </c>
      <c r="J213" s="1332">
        <v>1216</v>
      </c>
      <c r="K213" s="1332">
        <v>71237</v>
      </c>
      <c r="L213" s="1333"/>
      <c r="M213" s="1332">
        <v>0</v>
      </c>
      <c r="N213" s="1332">
        <v>0</v>
      </c>
      <c r="O213" s="1332">
        <v>13295</v>
      </c>
      <c r="P213" s="1332">
        <v>13295</v>
      </c>
      <c r="Q213" s="1333"/>
      <c r="R213" s="1332">
        <v>86981</v>
      </c>
      <c r="S213" s="1332">
        <v>-270</v>
      </c>
      <c r="T213" s="1332">
        <v>86711</v>
      </c>
    </row>
    <row r="214" spans="1:20" x14ac:dyDescent="0.25">
      <c r="A214" s="1342">
        <v>91818</v>
      </c>
      <c r="B214" s="1340" t="s">
        <v>4150</v>
      </c>
      <c r="C214" s="1324">
        <v>4.0620000000000001E-4</v>
      </c>
      <c r="D214" s="1324">
        <v>3.9429999999999999E-4</v>
      </c>
      <c r="E214" s="1332">
        <v>1109301</v>
      </c>
      <c r="F214" s="1333"/>
      <c r="G214" s="1332">
        <v>189940</v>
      </c>
      <c r="H214" s="1332">
        <v>27057</v>
      </c>
      <c r="I214" s="1332">
        <v>180798</v>
      </c>
      <c r="J214" s="1332">
        <v>342085</v>
      </c>
      <c r="K214" s="1332">
        <v>739880</v>
      </c>
      <c r="L214" s="1333"/>
      <c r="M214" s="1332">
        <v>0</v>
      </c>
      <c r="N214" s="1332">
        <v>0</v>
      </c>
      <c r="O214" s="1332">
        <v>0</v>
      </c>
      <c r="P214" s="1332">
        <v>0</v>
      </c>
      <c r="Q214" s="1333"/>
      <c r="R214" s="1332">
        <v>494148</v>
      </c>
      <c r="S214" s="1332">
        <v>210448</v>
      </c>
      <c r="T214" s="1332">
        <v>704596</v>
      </c>
    </row>
    <row r="215" spans="1:20" x14ac:dyDescent="0.25">
      <c r="A215" s="1342">
        <v>91819</v>
      </c>
      <c r="B215" s="1340" t="s">
        <v>2833</v>
      </c>
      <c r="C215" s="1324">
        <v>3.1260000000000001E-4</v>
      </c>
      <c r="D215" s="1324">
        <v>3.0469999999999998E-4</v>
      </c>
      <c r="E215" s="1332">
        <v>853686</v>
      </c>
      <c r="F215" s="1333"/>
      <c r="G215" s="1332">
        <v>146173</v>
      </c>
      <c r="H215" s="1332">
        <v>20822</v>
      </c>
      <c r="I215" s="1332">
        <v>139137</v>
      </c>
      <c r="J215" s="1332">
        <v>39076</v>
      </c>
      <c r="K215" s="1332">
        <v>345208</v>
      </c>
      <c r="L215" s="1333"/>
      <c r="M215" s="1332">
        <v>0</v>
      </c>
      <c r="N215" s="1332">
        <v>0</v>
      </c>
      <c r="O215" s="1332">
        <v>1296</v>
      </c>
      <c r="P215" s="1332">
        <v>1296</v>
      </c>
      <c r="Q215" s="1333"/>
      <c r="R215" s="1332">
        <v>380282</v>
      </c>
      <c r="S215" s="1332">
        <v>8784</v>
      </c>
      <c r="T215" s="1332">
        <v>389066</v>
      </c>
    </row>
    <row r="216" spans="1:20" x14ac:dyDescent="0.25">
      <c r="A216" s="1342">
        <v>91821</v>
      </c>
      <c r="B216" s="1340" t="s">
        <v>2834</v>
      </c>
      <c r="C216" s="1324">
        <v>1.6750000000000001E-4</v>
      </c>
      <c r="D216" s="1324">
        <v>1.671E-4</v>
      </c>
      <c r="E216" s="1332">
        <v>457429</v>
      </c>
      <c r="F216" s="1333"/>
      <c r="G216" s="1332">
        <v>78324</v>
      </c>
      <c r="H216" s="1332">
        <v>11157</v>
      </c>
      <c r="I216" s="1332">
        <v>74553</v>
      </c>
      <c r="J216" s="1332">
        <v>79</v>
      </c>
      <c r="K216" s="1332">
        <v>164113</v>
      </c>
      <c r="L216" s="1333"/>
      <c r="M216" s="1332">
        <v>0</v>
      </c>
      <c r="N216" s="1332">
        <v>0</v>
      </c>
      <c r="O216" s="1332">
        <v>8924</v>
      </c>
      <c r="P216" s="1332">
        <v>8924</v>
      </c>
      <c r="Q216" s="1333"/>
      <c r="R216" s="1332">
        <v>203766</v>
      </c>
      <c r="S216" s="1332">
        <v>-2704</v>
      </c>
      <c r="T216" s="1332">
        <v>201062</v>
      </c>
    </row>
    <row r="217" spans="1:20" x14ac:dyDescent="0.25">
      <c r="A217" s="1342">
        <v>91831</v>
      </c>
      <c r="B217" s="1340" t="s">
        <v>2835</v>
      </c>
      <c r="C217" s="1324">
        <v>3.7990000000000002E-4</v>
      </c>
      <c r="D217" s="1324">
        <v>3.7740000000000001E-4</v>
      </c>
      <c r="E217" s="1332">
        <v>1037477</v>
      </c>
      <c r="F217" s="1333"/>
      <c r="G217" s="1332">
        <v>177642</v>
      </c>
      <c r="H217" s="1332">
        <v>25306</v>
      </c>
      <c r="I217" s="1332">
        <v>169092</v>
      </c>
      <c r="J217" s="1332">
        <v>10362</v>
      </c>
      <c r="K217" s="1332">
        <v>382402</v>
      </c>
      <c r="L217" s="1333"/>
      <c r="M217" s="1332">
        <v>0</v>
      </c>
      <c r="N217" s="1332">
        <v>0</v>
      </c>
      <c r="O217" s="1332">
        <v>7372</v>
      </c>
      <c r="P217" s="1332">
        <v>7372</v>
      </c>
      <c r="Q217" s="1333"/>
      <c r="R217" s="1332">
        <v>462153</v>
      </c>
      <c r="S217" s="1332">
        <v>2204</v>
      </c>
      <c r="T217" s="1332">
        <v>464357</v>
      </c>
    </row>
    <row r="218" spans="1:20" x14ac:dyDescent="0.25">
      <c r="A218" s="1342">
        <v>91841</v>
      </c>
      <c r="B218" s="1340" t="s">
        <v>2836</v>
      </c>
      <c r="C218" s="1324">
        <v>2.5090000000000003E-4</v>
      </c>
      <c r="D218" s="1324">
        <v>2.6479999999999999E-4</v>
      </c>
      <c r="E218" s="1332">
        <v>685188</v>
      </c>
      <c r="F218" s="1333"/>
      <c r="G218" s="1332">
        <v>117322</v>
      </c>
      <c r="H218" s="1332">
        <v>16713</v>
      </c>
      <c r="I218" s="1332">
        <v>111674</v>
      </c>
      <c r="J218" s="1332">
        <v>4358</v>
      </c>
      <c r="K218" s="1332">
        <v>250067</v>
      </c>
      <c r="L218" s="1333"/>
      <c r="M218" s="1332">
        <v>0</v>
      </c>
      <c r="N218" s="1332">
        <v>0</v>
      </c>
      <c r="O218" s="1332">
        <v>7918</v>
      </c>
      <c r="P218" s="1332">
        <v>7918</v>
      </c>
      <c r="Q218" s="1333"/>
      <c r="R218" s="1332">
        <v>305223</v>
      </c>
      <c r="S218" s="1332">
        <v>-4400</v>
      </c>
      <c r="T218" s="1332">
        <v>300823</v>
      </c>
    </row>
    <row r="219" spans="1:20" x14ac:dyDescent="0.25">
      <c r="A219" s="1342">
        <v>91851</v>
      </c>
      <c r="B219" s="1340" t="s">
        <v>2837</v>
      </c>
      <c r="C219" s="1324">
        <v>7.004E-4</v>
      </c>
      <c r="D219" s="1324">
        <v>7.3039999999999997E-4</v>
      </c>
      <c r="E219" s="1332">
        <v>1912738</v>
      </c>
      <c r="F219" s="1333"/>
      <c r="G219" s="1332">
        <v>327509</v>
      </c>
      <c r="H219" s="1332">
        <v>46654</v>
      </c>
      <c r="I219" s="1332">
        <v>311745</v>
      </c>
      <c r="J219" s="1332">
        <v>2729</v>
      </c>
      <c r="K219" s="1332">
        <v>688637</v>
      </c>
      <c r="L219" s="1333"/>
      <c r="M219" s="1332">
        <v>0</v>
      </c>
      <c r="N219" s="1332">
        <v>0</v>
      </c>
      <c r="O219" s="1332">
        <v>34237</v>
      </c>
      <c r="P219" s="1332">
        <v>34237</v>
      </c>
      <c r="Q219" s="1333"/>
      <c r="R219" s="1332">
        <v>852046</v>
      </c>
      <c r="S219" s="1332">
        <v>-22514</v>
      </c>
      <c r="T219" s="1332">
        <v>829532</v>
      </c>
    </row>
    <row r="220" spans="1:20" x14ac:dyDescent="0.25">
      <c r="A220" s="1342">
        <v>91861</v>
      </c>
      <c r="B220" s="1340" t="s">
        <v>2838</v>
      </c>
      <c r="C220" s="1324">
        <v>7.7000000000000008E-6</v>
      </c>
      <c r="D220" s="1324">
        <v>1.1800000000000001E-5</v>
      </c>
      <c r="E220" s="1332">
        <v>21028</v>
      </c>
      <c r="F220" s="1333"/>
      <c r="G220" s="1332">
        <v>3601</v>
      </c>
      <c r="H220" s="1332">
        <v>513</v>
      </c>
      <c r="I220" s="1332">
        <v>3427</v>
      </c>
      <c r="J220" s="1332">
        <v>129</v>
      </c>
      <c r="K220" s="1332">
        <v>7670</v>
      </c>
      <c r="L220" s="1333"/>
      <c r="M220" s="1332">
        <v>0</v>
      </c>
      <c r="N220" s="1332">
        <v>0</v>
      </c>
      <c r="O220" s="1332">
        <v>7542</v>
      </c>
      <c r="P220" s="1332">
        <v>7542</v>
      </c>
      <c r="Q220" s="1333"/>
      <c r="R220" s="1332">
        <v>9367</v>
      </c>
      <c r="S220" s="1332">
        <v>-1401</v>
      </c>
      <c r="T220" s="1332">
        <v>7966</v>
      </c>
    </row>
    <row r="221" spans="1:20" x14ac:dyDescent="0.25">
      <c r="A221" s="1342">
        <v>91871</v>
      </c>
      <c r="B221" s="1340" t="s">
        <v>2839</v>
      </c>
      <c r="C221" s="1324">
        <v>1.3121000000000001E-3</v>
      </c>
      <c r="D221" s="1324">
        <v>1.3219E-3</v>
      </c>
      <c r="E221" s="1332">
        <v>3583243</v>
      </c>
      <c r="F221" s="1333"/>
      <c r="G221" s="1332">
        <v>613542</v>
      </c>
      <c r="H221" s="1332">
        <v>87400</v>
      </c>
      <c r="I221" s="1332">
        <v>584009</v>
      </c>
      <c r="J221" s="1332">
        <v>11268</v>
      </c>
      <c r="K221" s="1332">
        <v>1296219</v>
      </c>
      <c r="L221" s="1333"/>
      <c r="M221" s="1332">
        <v>0</v>
      </c>
      <c r="N221" s="1332">
        <v>0</v>
      </c>
      <c r="O221" s="1332">
        <v>53022</v>
      </c>
      <c r="P221" s="1332">
        <v>53022</v>
      </c>
      <c r="Q221" s="1333"/>
      <c r="R221" s="1332">
        <v>1596187</v>
      </c>
      <c r="S221" s="1332">
        <v>-33723</v>
      </c>
      <c r="T221" s="1332">
        <v>1562464</v>
      </c>
    </row>
    <row r="222" spans="1:20" x14ac:dyDescent="0.25">
      <c r="A222" s="1342">
        <v>91881</v>
      </c>
      <c r="B222" s="1340" t="s">
        <v>2840</v>
      </c>
      <c r="C222" s="1324">
        <v>2.1399999999999998E-5</v>
      </c>
      <c r="D222" s="1324">
        <v>8.1000000000000004E-6</v>
      </c>
      <c r="E222" s="1332">
        <v>58442</v>
      </c>
      <c r="F222" s="1333"/>
      <c r="G222" s="1332">
        <v>10007</v>
      </c>
      <c r="H222" s="1332">
        <v>1425</v>
      </c>
      <c r="I222" s="1332">
        <v>9525</v>
      </c>
      <c r="J222" s="1332">
        <v>9726</v>
      </c>
      <c r="K222" s="1332">
        <v>30683</v>
      </c>
      <c r="L222" s="1333"/>
      <c r="M222" s="1332">
        <v>0</v>
      </c>
      <c r="N222" s="1332">
        <v>0</v>
      </c>
      <c r="O222" s="1332">
        <v>1059</v>
      </c>
      <c r="P222" s="1332">
        <v>1059</v>
      </c>
      <c r="Q222" s="1333"/>
      <c r="R222" s="1332">
        <v>26033</v>
      </c>
      <c r="S222" s="1332">
        <v>693</v>
      </c>
      <c r="T222" s="1332">
        <v>26726</v>
      </c>
    </row>
    <row r="223" spans="1:20" x14ac:dyDescent="0.25">
      <c r="A223" s="1342">
        <v>91901</v>
      </c>
      <c r="B223" s="1340" t="s">
        <v>2841</v>
      </c>
      <c r="C223" s="1324">
        <v>3.6947999999999998E-3</v>
      </c>
      <c r="D223" s="1324">
        <v>3.6922000000000001E-3</v>
      </c>
      <c r="E223" s="1332">
        <v>10090211</v>
      </c>
      <c r="F223" s="1333"/>
      <c r="G223" s="1332">
        <v>1727700</v>
      </c>
      <c r="H223" s="1332">
        <v>246114</v>
      </c>
      <c r="I223" s="1332">
        <v>1644537</v>
      </c>
      <c r="J223" s="1332">
        <v>8156</v>
      </c>
      <c r="K223" s="1332">
        <v>3626507</v>
      </c>
      <c r="L223" s="1333"/>
      <c r="M223" s="1332">
        <v>0</v>
      </c>
      <c r="N223" s="1332">
        <v>0</v>
      </c>
      <c r="O223" s="1332">
        <v>80060</v>
      </c>
      <c r="P223" s="1332">
        <v>80060</v>
      </c>
      <c r="Q223" s="1333"/>
      <c r="R223" s="1332">
        <v>4494772</v>
      </c>
      <c r="S223" s="1332">
        <v>-252</v>
      </c>
      <c r="T223" s="1332">
        <v>4494520</v>
      </c>
    </row>
    <row r="224" spans="1:20" x14ac:dyDescent="0.25">
      <c r="A224" s="1342">
        <v>91903</v>
      </c>
      <c r="B224" s="1340" t="s">
        <v>4151</v>
      </c>
      <c r="C224" s="1324">
        <v>7.1999999999999997E-6</v>
      </c>
      <c r="D224" s="1324">
        <v>8.8000000000000004E-6</v>
      </c>
      <c r="E224" s="1332">
        <v>19663</v>
      </c>
      <c r="F224" s="1333"/>
      <c r="G224" s="1332">
        <v>3367</v>
      </c>
      <c r="H224" s="1332">
        <v>480</v>
      </c>
      <c r="I224" s="1332">
        <v>3205</v>
      </c>
      <c r="J224" s="1332">
        <v>3228</v>
      </c>
      <c r="K224" s="1332">
        <v>10280</v>
      </c>
      <c r="L224" s="1333"/>
      <c r="M224" s="1332">
        <v>0</v>
      </c>
      <c r="N224" s="1332">
        <v>0</v>
      </c>
      <c r="O224" s="1332">
        <v>0</v>
      </c>
      <c r="P224" s="1332">
        <v>0</v>
      </c>
      <c r="Q224" s="1333"/>
      <c r="R224" s="1332">
        <v>8759</v>
      </c>
      <c r="S224" s="1332">
        <v>1299</v>
      </c>
      <c r="T224" s="1332">
        <v>10058</v>
      </c>
    </row>
    <row r="225" spans="1:20" x14ac:dyDescent="0.25">
      <c r="A225" s="1342">
        <v>91904</v>
      </c>
      <c r="B225" s="1340" t="s">
        <v>2843</v>
      </c>
      <c r="C225" s="1324">
        <v>3.26E-5</v>
      </c>
      <c r="D225" s="1324">
        <v>3.1399999999999998E-5</v>
      </c>
      <c r="E225" s="1332">
        <v>89028</v>
      </c>
      <c r="F225" s="1333"/>
      <c r="G225" s="1332">
        <v>15244</v>
      </c>
      <c r="H225" s="1332">
        <v>2171</v>
      </c>
      <c r="I225" s="1332">
        <v>14510</v>
      </c>
      <c r="J225" s="1332">
        <v>7163</v>
      </c>
      <c r="K225" s="1332">
        <v>39088</v>
      </c>
      <c r="L225" s="1333"/>
      <c r="M225" s="1332">
        <v>0</v>
      </c>
      <c r="N225" s="1332">
        <v>0</v>
      </c>
      <c r="O225" s="1332">
        <v>326</v>
      </c>
      <c r="P225" s="1332">
        <v>326</v>
      </c>
      <c r="Q225" s="1333"/>
      <c r="R225" s="1332">
        <v>39658</v>
      </c>
      <c r="S225" s="1332">
        <v>3692</v>
      </c>
      <c r="T225" s="1332">
        <v>43350</v>
      </c>
    </row>
    <row r="226" spans="1:20" x14ac:dyDescent="0.25">
      <c r="A226" s="1342">
        <v>91908</v>
      </c>
      <c r="B226" s="1340" t="s">
        <v>2844</v>
      </c>
      <c r="C226" s="1324">
        <v>1.59E-5</v>
      </c>
      <c r="D226" s="1324">
        <v>1.5299999999999999E-5</v>
      </c>
      <c r="E226" s="1332">
        <v>43422</v>
      </c>
      <c r="F226" s="1333"/>
      <c r="G226" s="1332">
        <v>7435</v>
      </c>
      <c r="H226" s="1332">
        <v>1059</v>
      </c>
      <c r="I226" s="1332">
        <v>7077</v>
      </c>
      <c r="J226" s="1332">
        <v>53</v>
      </c>
      <c r="K226" s="1332">
        <v>15624</v>
      </c>
      <c r="L226" s="1333"/>
      <c r="M226" s="1332">
        <v>0</v>
      </c>
      <c r="N226" s="1332">
        <v>0</v>
      </c>
      <c r="O226" s="1332">
        <v>4807</v>
      </c>
      <c r="P226" s="1332">
        <v>4807</v>
      </c>
      <c r="Q226" s="1333"/>
      <c r="R226" s="1332">
        <v>19343</v>
      </c>
      <c r="S226" s="1332">
        <v>-2037</v>
      </c>
      <c r="T226" s="1332">
        <v>17306</v>
      </c>
    </row>
    <row r="227" spans="1:20" x14ac:dyDescent="0.25">
      <c r="A227" s="1342">
        <v>91911</v>
      </c>
      <c r="B227" s="1340" t="s">
        <v>2845</v>
      </c>
      <c r="C227" s="1324">
        <v>4.46E-4</v>
      </c>
      <c r="D227" s="1324">
        <v>4.8529999999999998E-4</v>
      </c>
      <c r="E227" s="1332">
        <v>1217991</v>
      </c>
      <c r="F227" s="1333"/>
      <c r="G227" s="1332">
        <v>208551</v>
      </c>
      <c r="H227" s="1332">
        <v>29708</v>
      </c>
      <c r="I227" s="1332">
        <v>198512</v>
      </c>
      <c r="J227" s="1332">
        <v>17660</v>
      </c>
      <c r="K227" s="1332">
        <v>454431</v>
      </c>
      <c r="L227" s="1333"/>
      <c r="M227" s="1332">
        <v>0</v>
      </c>
      <c r="N227" s="1332">
        <v>0</v>
      </c>
      <c r="O227" s="1332">
        <v>30971</v>
      </c>
      <c r="P227" s="1332">
        <v>30971</v>
      </c>
      <c r="Q227" s="1333"/>
      <c r="R227" s="1332">
        <v>542565</v>
      </c>
      <c r="S227" s="1332">
        <v>-1135</v>
      </c>
      <c r="T227" s="1332">
        <v>541430</v>
      </c>
    </row>
    <row r="228" spans="1:20" x14ac:dyDescent="0.25">
      <c r="A228" s="1342">
        <v>91917</v>
      </c>
      <c r="B228" s="1340" t="s">
        <v>2846</v>
      </c>
      <c r="C228" s="1324">
        <v>1.31E-5</v>
      </c>
      <c r="D228" s="1324">
        <v>1.04E-5</v>
      </c>
      <c r="E228" s="1332">
        <v>35775</v>
      </c>
      <c r="F228" s="1333"/>
      <c r="G228" s="1332">
        <v>6126</v>
      </c>
      <c r="H228" s="1332">
        <v>873</v>
      </c>
      <c r="I228" s="1332">
        <v>5831</v>
      </c>
      <c r="J228" s="1332">
        <v>3327</v>
      </c>
      <c r="K228" s="1332">
        <v>16157</v>
      </c>
      <c r="L228" s="1333"/>
      <c r="M228" s="1332">
        <v>0</v>
      </c>
      <c r="N228" s="1332">
        <v>0</v>
      </c>
      <c r="O228" s="1332">
        <v>156</v>
      </c>
      <c r="P228" s="1332">
        <v>156</v>
      </c>
      <c r="Q228" s="1333"/>
      <c r="R228" s="1332">
        <v>15936</v>
      </c>
      <c r="S228" s="1332">
        <v>925</v>
      </c>
      <c r="T228" s="1332">
        <v>16861</v>
      </c>
    </row>
    <row r="229" spans="1:20" x14ac:dyDescent="0.25">
      <c r="A229" s="1342">
        <v>91921</v>
      </c>
      <c r="B229" s="1340" t="s">
        <v>2847</v>
      </c>
      <c r="C229" s="1324">
        <v>3.8479999999999997E-4</v>
      </c>
      <c r="D229" s="1324">
        <v>3.5619999999999998E-4</v>
      </c>
      <c r="E229" s="1332">
        <v>1050859</v>
      </c>
      <c r="F229" s="1333"/>
      <c r="G229" s="1332">
        <v>179934</v>
      </c>
      <c r="H229" s="1332">
        <v>25632</v>
      </c>
      <c r="I229" s="1332">
        <v>171273</v>
      </c>
      <c r="J229" s="1332">
        <v>14091</v>
      </c>
      <c r="K229" s="1332">
        <v>390930</v>
      </c>
      <c r="L229" s="1333"/>
      <c r="M229" s="1332">
        <v>0</v>
      </c>
      <c r="N229" s="1332">
        <v>0</v>
      </c>
      <c r="O229" s="1332">
        <v>17696</v>
      </c>
      <c r="P229" s="1332">
        <v>17696</v>
      </c>
      <c r="Q229" s="1333"/>
      <c r="R229" s="1332">
        <v>468114</v>
      </c>
      <c r="S229" s="1332">
        <v>-5556</v>
      </c>
      <c r="T229" s="1332">
        <v>462558</v>
      </c>
    </row>
    <row r="230" spans="1:20" x14ac:dyDescent="0.25">
      <c r="A230" s="1342">
        <v>92001</v>
      </c>
      <c r="B230" s="1340" t="s">
        <v>2848</v>
      </c>
      <c r="C230" s="1324">
        <v>1.7757000000000001E-3</v>
      </c>
      <c r="D230" s="1324">
        <v>1.8332999999999999E-3</v>
      </c>
      <c r="E230" s="1332">
        <v>4849298</v>
      </c>
      <c r="F230" s="1333"/>
      <c r="G230" s="1332">
        <v>830323</v>
      </c>
      <c r="H230" s="1332">
        <v>118281</v>
      </c>
      <c r="I230" s="1332">
        <v>790355</v>
      </c>
      <c r="J230" s="1332">
        <v>13845</v>
      </c>
      <c r="K230" s="1332">
        <v>1752804</v>
      </c>
      <c r="L230" s="1333"/>
      <c r="M230" s="1332">
        <v>0</v>
      </c>
      <c r="N230" s="1332">
        <v>0</v>
      </c>
      <c r="O230" s="1332">
        <v>130820</v>
      </c>
      <c r="P230" s="1332">
        <v>130820</v>
      </c>
      <c r="Q230" s="1333"/>
      <c r="R230" s="1332">
        <v>2160162</v>
      </c>
      <c r="S230" s="1332">
        <v>-32957</v>
      </c>
      <c r="T230" s="1332">
        <v>2127205</v>
      </c>
    </row>
    <row r="231" spans="1:20" x14ac:dyDescent="0.25">
      <c r="A231" s="1342">
        <v>92005</v>
      </c>
      <c r="B231" s="1340" t="s">
        <v>2849</v>
      </c>
      <c r="C231" s="1324">
        <v>3.5299999999999997E-5</v>
      </c>
      <c r="D231" s="1324">
        <v>4.2700000000000001E-5</v>
      </c>
      <c r="E231" s="1332">
        <v>96402</v>
      </c>
      <c r="F231" s="1333"/>
      <c r="G231" s="1332">
        <v>16506</v>
      </c>
      <c r="H231" s="1332">
        <v>2351</v>
      </c>
      <c r="I231" s="1332">
        <v>15712</v>
      </c>
      <c r="J231" s="1332">
        <v>2841</v>
      </c>
      <c r="K231" s="1332">
        <v>37410</v>
      </c>
      <c r="L231" s="1333"/>
      <c r="M231" s="1332">
        <v>0</v>
      </c>
      <c r="N231" s="1332">
        <v>0</v>
      </c>
      <c r="O231" s="1332">
        <v>3594</v>
      </c>
      <c r="P231" s="1332">
        <v>3594</v>
      </c>
      <c r="Q231" s="1333"/>
      <c r="R231" s="1332">
        <v>42943</v>
      </c>
      <c r="S231" s="1332">
        <v>-28</v>
      </c>
      <c r="T231" s="1332">
        <v>42915</v>
      </c>
    </row>
    <row r="232" spans="1:20" x14ac:dyDescent="0.25">
      <c r="A232" s="1342">
        <v>92011</v>
      </c>
      <c r="B232" s="1340" t="s">
        <v>2850</v>
      </c>
      <c r="C232" s="1324">
        <v>1.9100000000000001E-4</v>
      </c>
      <c r="D232" s="1324">
        <v>1.916E-4</v>
      </c>
      <c r="E232" s="1332">
        <v>521606</v>
      </c>
      <c r="F232" s="1333"/>
      <c r="G232" s="1332">
        <v>89312</v>
      </c>
      <c r="H232" s="1332">
        <v>12722</v>
      </c>
      <c r="I232" s="1332">
        <v>85013</v>
      </c>
      <c r="J232" s="1332">
        <v>4687</v>
      </c>
      <c r="K232" s="1332">
        <v>191734</v>
      </c>
      <c r="L232" s="1333"/>
      <c r="M232" s="1332">
        <v>0</v>
      </c>
      <c r="N232" s="1332">
        <v>0</v>
      </c>
      <c r="O232" s="1332">
        <v>9533</v>
      </c>
      <c r="P232" s="1332">
        <v>9533</v>
      </c>
      <c r="Q232" s="1333"/>
      <c r="R232" s="1332">
        <v>232354</v>
      </c>
      <c r="S232" s="1332">
        <v>469</v>
      </c>
      <c r="T232" s="1332">
        <v>232823</v>
      </c>
    </row>
    <row r="233" spans="1:20" ht="14.25" customHeight="1" x14ac:dyDescent="0.25">
      <c r="A233" s="1342">
        <v>92017</v>
      </c>
      <c r="B233" s="1340" t="s">
        <v>2851</v>
      </c>
      <c r="C233" s="1324">
        <v>3.1900000000000003E-5</v>
      </c>
      <c r="D233" s="1324">
        <v>3.3200000000000001E-5</v>
      </c>
      <c r="E233" s="1332">
        <v>87116</v>
      </c>
      <c r="F233" s="1333"/>
      <c r="G233" s="1332">
        <v>14917</v>
      </c>
      <c r="H233" s="1332">
        <v>2125</v>
      </c>
      <c r="I233" s="1332">
        <v>14199</v>
      </c>
      <c r="J233" s="1332">
        <v>2208</v>
      </c>
      <c r="K233" s="1332">
        <v>33449</v>
      </c>
      <c r="L233" s="1333"/>
      <c r="M233" s="1332">
        <v>0</v>
      </c>
      <c r="N233" s="1332">
        <v>0</v>
      </c>
      <c r="O233" s="1332">
        <v>167</v>
      </c>
      <c r="P233" s="1332">
        <v>167</v>
      </c>
      <c r="Q233" s="1333"/>
      <c r="R233" s="1332">
        <v>38807</v>
      </c>
      <c r="S233" s="1332">
        <v>581</v>
      </c>
      <c r="T233" s="1332">
        <v>39388</v>
      </c>
    </row>
    <row r="234" spans="1:20" x14ac:dyDescent="0.25">
      <c r="A234" s="1342">
        <v>92021</v>
      </c>
      <c r="B234" s="1340" t="s">
        <v>2852</v>
      </c>
      <c r="C234" s="1324">
        <v>1.054E-4</v>
      </c>
      <c r="D234" s="1324">
        <v>1.451E-4</v>
      </c>
      <c r="E234" s="1332">
        <v>287839</v>
      </c>
      <c r="F234" s="1333"/>
      <c r="G234" s="1332">
        <v>49285</v>
      </c>
      <c r="H234" s="1332">
        <v>7021</v>
      </c>
      <c r="I234" s="1332">
        <v>46913</v>
      </c>
      <c r="J234" s="1332">
        <v>11247</v>
      </c>
      <c r="K234" s="1332">
        <v>114466</v>
      </c>
      <c r="L234" s="1333"/>
      <c r="M234" s="1332">
        <v>0</v>
      </c>
      <c r="N234" s="1332">
        <v>0</v>
      </c>
      <c r="O234" s="1332">
        <v>51028</v>
      </c>
      <c r="P234" s="1332">
        <v>51028</v>
      </c>
      <c r="Q234" s="1333"/>
      <c r="R234" s="1332">
        <v>128220</v>
      </c>
      <c r="S234" s="1332">
        <v>-7729</v>
      </c>
      <c r="T234" s="1332">
        <v>120491</v>
      </c>
    </row>
    <row r="235" spans="1:20" x14ac:dyDescent="0.25">
      <c r="A235" s="1342">
        <v>92101</v>
      </c>
      <c r="B235" s="1340" t="s">
        <v>2853</v>
      </c>
      <c r="C235" s="1324">
        <v>7.8700000000000005E-4</v>
      </c>
      <c r="D235" s="1324">
        <v>8.183E-4</v>
      </c>
      <c r="E235" s="1332">
        <v>2149236</v>
      </c>
      <c r="F235" s="1333"/>
      <c r="G235" s="1332">
        <v>368004</v>
      </c>
      <c r="H235" s="1332">
        <v>52423</v>
      </c>
      <c r="I235" s="1332">
        <v>350290</v>
      </c>
      <c r="J235" s="1332">
        <v>0</v>
      </c>
      <c r="K235" s="1332">
        <v>770717</v>
      </c>
      <c r="L235" s="1333"/>
      <c r="M235" s="1332">
        <v>0</v>
      </c>
      <c r="N235" s="1332">
        <v>0</v>
      </c>
      <c r="O235" s="1332">
        <v>87757</v>
      </c>
      <c r="P235" s="1332">
        <v>87757</v>
      </c>
      <c r="Q235" s="1333"/>
      <c r="R235" s="1332">
        <v>957396</v>
      </c>
      <c r="S235" s="1332">
        <v>-36597</v>
      </c>
      <c r="T235" s="1332">
        <v>920799</v>
      </c>
    </row>
    <row r="236" spans="1:20" x14ac:dyDescent="0.25">
      <c r="A236" s="1342">
        <v>92104</v>
      </c>
      <c r="B236" s="1340" t="s">
        <v>2854</v>
      </c>
      <c r="C236" s="1324">
        <v>7.0999999999999998E-6</v>
      </c>
      <c r="D236" s="1324">
        <v>8.3999999999999992E-6</v>
      </c>
      <c r="E236" s="1332">
        <v>19390</v>
      </c>
      <c r="F236" s="1333"/>
      <c r="G236" s="1332">
        <v>3320</v>
      </c>
      <c r="H236" s="1332">
        <v>473</v>
      </c>
      <c r="I236" s="1332">
        <v>3160</v>
      </c>
      <c r="J236" s="1332">
        <v>1780</v>
      </c>
      <c r="K236" s="1332">
        <v>8733</v>
      </c>
      <c r="L236" s="1333"/>
      <c r="M236" s="1332">
        <v>0</v>
      </c>
      <c r="N236" s="1332">
        <v>0</v>
      </c>
      <c r="O236" s="1332">
        <v>0</v>
      </c>
      <c r="P236" s="1332">
        <v>0</v>
      </c>
      <c r="Q236" s="1333"/>
      <c r="R236" s="1332">
        <v>8637</v>
      </c>
      <c r="S236" s="1332">
        <v>1182</v>
      </c>
      <c r="T236" s="1332">
        <v>9819</v>
      </c>
    </row>
    <row r="237" spans="1:20" ht="30" x14ac:dyDescent="0.25">
      <c r="A237" s="1342">
        <v>92109</v>
      </c>
      <c r="B237" s="1340" t="s">
        <v>4152</v>
      </c>
      <c r="C237" s="1324">
        <v>1.6799999999999999E-4</v>
      </c>
      <c r="D237" s="1324">
        <v>1.7239999999999999E-4</v>
      </c>
      <c r="E237" s="1332">
        <v>458795</v>
      </c>
      <c r="F237" s="1333"/>
      <c r="G237" s="1332">
        <v>78557</v>
      </c>
      <c r="H237" s="1332">
        <v>11191</v>
      </c>
      <c r="I237" s="1332">
        <v>74776</v>
      </c>
      <c r="J237" s="1332">
        <v>305</v>
      </c>
      <c r="K237" s="1332">
        <v>164829</v>
      </c>
      <c r="L237" s="1333"/>
      <c r="M237" s="1332">
        <v>0</v>
      </c>
      <c r="N237" s="1332">
        <v>0</v>
      </c>
      <c r="O237" s="1332">
        <v>14980</v>
      </c>
      <c r="P237" s="1332">
        <v>14980</v>
      </c>
      <c r="Q237" s="1333"/>
      <c r="R237" s="1332">
        <v>204374</v>
      </c>
      <c r="S237" s="1332">
        <v>-10022</v>
      </c>
      <c r="T237" s="1332">
        <v>194352</v>
      </c>
    </row>
    <row r="238" spans="1:20" x14ac:dyDescent="0.25">
      <c r="A238" s="1342">
        <v>92111</v>
      </c>
      <c r="B238" s="1340" t="s">
        <v>2856</v>
      </c>
      <c r="C238" s="1324">
        <v>4.9209999999999998E-4</v>
      </c>
      <c r="D238" s="1324">
        <v>5.2209999999999995E-4</v>
      </c>
      <c r="E238" s="1332">
        <v>1343887</v>
      </c>
      <c r="F238" s="1333"/>
      <c r="G238" s="1332">
        <v>230107</v>
      </c>
      <c r="H238" s="1332">
        <v>32780</v>
      </c>
      <c r="I238" s="1332">
        <v>219031</v>
      </c>
      <c r="J238" s="1332">
        <v>2267</v>
      </c>
      <c r="K238" s="1332">
        <v>484185</v>
      </c>
      <c r="L238" s="1333"/>
      <c r="M238" s="1332">
        <v>0</v>
      </c>
      <c r="N238" s="1332">
        <v>0</v>
      </c>
      <c r="O238" s="1332">
        <v>32417</v>
      </c>
      <c r="P238" s="1332">
        <v>32417</v>
      </c>
      <c r="Q238" s="1333"/>
      <c r="R238" s="1332">
        <v>598646</v>
      </c>
      <c r="S238" s="1332">
        <v>-9122</v>
      </c>
      <c r="T238" s="1332">
        <v>589524</v>
      </c>
    </row>
    <row r="239" spans="1:20" x14ac:dyDescent="0.25">
      <c r="A239" s="1342">
        <v>92113</v>
      </c>
      <c r="B239" s="1340" t="s">
        <v>4153</v>
      </c>
      <c r="C239" s="1324">
        <v>1.7099999999999999E-5</v>
      </c>
      <c r="D239" s="1324">
        <v>1.56E-5</v>
      </c>
      <c r="E239" s="1332">
        <v>46699</v>
      </c>
      <c r="F239" s="1333"/>
      <c r="G239" s="1332">
        <v>7996</v>
      </c>
      <c r="H239" s="1332">
        <v>1139</v>
      </c>
      <c r="I239" s="1332">
        <v>7611</v>
      </c>
      <c r="J239" s="1332">
        <v>11968</v>
      </c>
      <c r="K239" s="1332">
        <v>28714</v>
      </c>
      <c r="L239" s="1333"/>
      <c r="M239" s="1332">
        <v>0</v>
      </c>
      <c r="N239" s="1332">
        <v>0</v>
      </c>
      <c r="O239" s="1332">
        <v>1088</v>
      </c>
      <c r="P239" s="1332">
        <v>1088</v>
      </c>
      <c r="Q239" s="1333"/>
      <c r="R239" s="1332">
        <v>20802</v>
      </c>
      <c r="S239" s="1332">
        <v>8614</v>
      </c>
      <c r="T239" s="1332">
        <v>29416</v>
      </c>
    </row>
    <row r="240" spans="1:20" x14ac:dyDescent="0.25">
      <c r="A240" s="1342">
        <v>92201</v>
      </c>
      <c r="B240" s="1340" t="s">
        <v>2858</v>
      </c>
      <c r="C240" s="1324">
        <v>8.3589999999999999E-4</v>
      </c>
      <c r="D240" s="1324">
        <v>9.1100000000000003E-4</v>
      </c>
      <c r="E240" s="1332">
        <v>2282778</v>
      </c>
      <c r="F240" s="1333"/>
      <c r="G240" s="1332">
        <v>390869</v>
      </c>
      <c r="H240" s="1332">
        <v>55680</v>
      </c>
      <c r="I240" s="1332">
        <v>372055</v>
      </c>
      <c r="J240" s="1332">
        <v>2788</v>
      </c>
      <c r="K240" s="1332">
        <v>821392</v>
      </c>
      <c r="L240" s="1333"/>
      <c r="M240" s="1332">
        <v>0</v>
      </c>
      <c r="N240" s="1332">
        <v>0</v>
      </c>
      <c r="O240" s="1332">
        <v>61033</v>
      </c>
      <c r="P240" s="1332">
        <v>61033</v>
      </c>
      <c r="Q240" s="1333"/>
      <c r="R240" s="1332">
        <v>1016883</v>
      </c>
      <c r="S240" s="1332">
        <v>-10220</v>
      </c>
      <c r="T240" s="1332">
        <v>1006663</v>
      </c>
    </row>
    <row r="241" spans="1:20" x14ac:dyDescent="0.25">
      <c r="A241" s="1342">
        <v>92214</v>
      </c>
      <c r="B241" s="1340" t="s">
        <v>4154</v>
      </c>
      <c r="C241" s="1324">
        <v>2.02E-5</v>
      </c>
      <c r="D241" s="1324">
        <v>1.9000000000000001E-5</v>
      </c>
      <c r="E241" s="1332">
        <v>55165</v>
      </c>
      <c r="F241" s="1333"/>
      <c r="G241" s="1332">
        <v>9446</v>
      </c>
      <c r="H241" s="1332">
        <v>1346</v>
      </c>
      <c r="I241" s="1332">
        <v>8991</v>
      </c>
      <c r="J241" s="1332">
        <v>11219</v>
      </c>
      <c r="K241" s="1332">
        <v>31002</v>
      </c>
      <c r="L241" s="1333"/>
      <c r="M241" s="1332">
        <v>0</v>
      </c>
      <c r="N241" s="1332">
        <v>0</v>
      </c>
      <c r="O241" s="1332">
        <v>0</v>
      </c>
      <c r="P241" s="1332">
        <v>0</v>
      </c>
      <c r="Q241" s="1333"/>
      <c r="R241" s="1332">
        <v>24574</v>
      </c>
      <c r="S241" s="1332">
        <v>3681</v>
      </c>
      <c r="T241" s="1332">
        <v>28255</v>
      </c>
    </row>
    <row r="242" spans="1:20" x14ac:dyDescent="0.25">
      <c r="A242" s="1342">
        <v>92301</v>
      </c>
      <c r="B242" s="1340" t="s">
        <v>2859</v>
      </c>
      <c r="C242" s="1324">
        <v>5.6146E-3</v>
      </c>
      <c r="D242" s="1324">
        <v>5.1875999999999997E-3</v>
      </c>
      <c r="E242" s="1332">
        <v>15333035</v>
      </c>
      <c r="F242" s="1333"/>
      <c r="G242" s="1332">
        <v>2625404</v>
      </c>
      <c r="H242" s="1332">
        <v>373994</v>
      </c>
      <c r="I242" s="1332">
        <v>2499030</v>
      </c>
      <c r="J242" s="1332">
        <v>147901</v>
      </c>
      <c r="K242" s="1332">
        <v>5646329</v>
      </c>
      <c r="L242" s="1333"/>
      <c r="M242" s="1332">
        <v>0</v>
      </c>
      <c r="N242" s="1332">
        <v>0</v>
      </c>
      <c r="O242" s="1332">
        <v>16034</v>
      </c>
      <c r="P242" s="1332">
        <v>16034</v>
      </c>
      <c r="Q242" s="1333"/>
      <c r="R242" s="1332">
        <v>6830234</v>
      </c>
      <c r="S242" s="1332">
        <v>50309</v>
      </c>
      <c r="T242" s="1332">
        <v>6880543</v>
      </c>
    </row>
    <row r="243" spans="1:20" x14ac:dyDescent="0.25">
      <c r="A243" s="1342">
        <v>92302</v>
      </c>
      <c r="B243" s="1340" t="s">
        <v>3685</v>
      </c>
      <c r="C243" s="1324">
        <v>3.0249999999999998E-4</v>
      </c>
      <c r="D243" s="1324">
        <v>3.2410000000000002E-4</v>
      </c>
      <c r="E243" s="1332">
        <v>826104</v>
      </c>
      <c r="F243" s="1333"/>
      <c r="G243" s="1332">
        <v>141450</v>
      </c>
      <c r="H243" s="1332">
        <v>20150</v>
      </c>
      <c r="I243" s="1332">
        <v>134641</v>
      </c>
      <c r="J243" s="1332">
        <v>4846</v>
      </c>
      <c r="K243" s="1332">
        <v>301087</v>
      </c>
      <c r="L243" s="1333"/>
      <c r="M243" s="1332">
        <v>0</v>
      </c>
      <c r="N243" s="1332">
        <v>0</v>
      </c>
      <c r="O243" s="1332">
        <v>36506</v>
      </c>
      <c r="P243" s="1332">
        <v>36506</v>
      </c>
      <c r="Q243" s="1333"/>
      <c r="R243" s="1332">
        <v>367995</v>
      </c>
      <c r="S243" s="1332">
        <v>-11729</v>
      </c>
      <c r="T243" s="1332">
        <v>356266</v>
      </c>
    </row>
    <row r="244" spans="1:20" x14ac:dyDescent="0.25">
      <c r="A244" s="1342">
        <v>92311</v>
      </c>
      <c r="B244" s="1340" t="s">
        <v>2861</v>
      </c>
      <c r="C244" s="1324">
        <v>2.2645999999999999E-3</v>
      </c>
      <c r="D244" s="1324">
        <v>2.2258999999999998E-3</v>
      </c>
      <c r="E244" s="1332">
        <v>6184446</v>
      </c>
      <c r="F244" s="1333"/>
      <c r="G244" s="1332">
        <v>1058934</v>
      </c>
      <c r="H244" s="1332">
        <v>150847</v>
      </c>
      <c r="I244" s="1332">
        <v>1007962</v>
      </c>
      <c r="J244" s="1332">
        <v>12324</v>
      </c>
      <c r="K244" s="1332">
        <v>2230067</v>
      </c>
      <c r="L244" s="1333"/>
      <c r="M244" s="1332">
        <v>0</v>
      </c>
      <c r="N244" s="1332">
        <v>0</v>
      </c>
      <c r="O244" s="1332">
        <v>50003</v>
      </c>
      <c r="P244" s="1332">
        <v>50003</v>
      </c>
      <c r="Q244" s="1333"/>
      <c r="R244" s="1332">
        <v>2754915</v>
      </c>
      <c r="S244" s="1332">
        <v>-23476</v>
      </c>
      <c r="T244" s="1332">
        <v>2731439</v>
      </c>
    </row>
    <row r="245" spans="1:20" x14ac:dyDescent="0.25">
      <c r="A245" s="1342">
        <v>92317</v>
      </c>
      <c r="B245" s="1340" t="s">
        <v>2862</v>
      </c>
      <c r="C245" s="1324">
        <v>2.97E-5</v>
      </c>
      <c r="D245" s="1324">
        <v>2.1800000000000001E-5</v>
      </c>
      <c r="E245" s="1332">
        <v>81108</v>
      </c>
      <c r="F245" s="1333"/>
      <c r="G245" s="1332">
        <v>13888</v>
      </c>
      <c r="H245" s="1332">
        <v>1978</v>
      </c>
      <c r="I245" s="1332">
        <v>13219</v>
      </c>
      <c r="J245" s="1332">
        <v>21658</v>
      </c>
      <c r="K245" s="1332">
        <v>50743</v>
      </c>
      <c r="L245" s="1333"/>
      <c r="M245" s="1332">
        <v>0</v>
      </c>
      <c r="N245" s="1332">
        <v>0</v>
      </c>
      <c r="O245" s="1332">
        <v>0</v>
      </c>
      <c r="P245" s="1332">
        <v>0</v>
      </c>
      <c r="Q245" s="1333"/>
      <c r="R245" s="1332">
        <v>36130</v>
      </c>
      <c r="S245" s="1332">
        <v>9275</v>
      </c>
      <c r="T245" s="1332">
        <v>45405</v>
      </c>
    </row>
    <row r="246" spans="1:20" x14ac:dyDescent="0.25">
      <c r="A246" s="1342">
        <v>92321</v>
      </c>
      <c r="B246" s="1340" t="s">
        <v>2863</v>
      </c>
      <c r="C246" s="1324">
        <v>1.2122999999999999E-3</v>
      </c>
      <c r="D246" s="1324">
        <v>1.2386000000000001E-3</v>
      </c>
      <c r="E246" s="1332">
        <v>3310697</v>
      </c>
      <c r="F246" s="1333"/>
      <c r="G246" s="1332">
        <v>566875</v>
      </c>
      <c r="H246" s="1332">
        <v>80752</v>
      </c>
      <c r="I246" s="1332">
        <v>539589</v>
      </c>
      <c r="J246" s="1332">
        <v>30833</v>
      </c>
      <c r="K246" s="1332">
        <v>1218049</v>
      </c>
      <c r="L246" s="1333"/>
      <c r="M246" s="1332">
        <v>0</v>
      </c>
      <c r="N246" s="1332">
        <v>0</v>
      </c>
      <c r="O246" s="1332">
        <v>19782</v>
      </c>
      <c r="P246" s="1332">
        <v>19782</v>
      </c>
      <c r="Q246" s="1333"/>
      <c r="R246" s="1332">
        <v>1474779</v>
      </c>
      <c r="S246" s="1332">
        <v>12437</v>
      </c>
      <c r="T246" s="1332">
        <v>1487216</v>
      </c>
    </row>
    <row r="247" spans="1:20" x14ac:dyDescent="0.25">
      <c r="A247" s="1342">
        <v>92327</v>
      </c>
      <c r="B247" s="1340" t="s">
        <v>2864</v>
      </c>
      <c r="C247" s="1324">
        <v>6.4999999999999996E-6</v>
      </c>
      <c r="D247" s="1324">
        <v>6.8000000000000001E-6</v>
      </c>
      <c r="E247" s="1332">
        <v>17751</v>
      </c>
      <c r="F247" s="1333"/>
      <c r="G247" s="1332">
        <v>3039</v>
      </c>
      <c r="H247" s="1332">
        <v>433</v>
      </c>
      <c r="I247" s="1332">
        <v>2893</v>
      </c>
      <c r="J247" s="1332">
        <v>6635</v>
      </c>
      <c r="K247" s="1332">
        <v>13000</v>
      </c>
      <c r="L247" s="1333"/>
      <c r="M247" s="1332">
        <v>0</v>
      </c>
      <c r="N247" s="1332">
        <v>0</v>
      </c>
      <c r="O247" s="1332">
        <v>0</v>
      </c>
      <c r="P247" s="1332">
        <v>0</v>
      </c>
      <c r="Q247" s="1333"/>
      <c r="R247" s="1332">
        <v>7907</v>
      </c>
      <c r="S247" s="1332">
        <v>2578</v>
      </c>
      <c r="T247" s="1332">
        <v>10485</v>
      </c>
    </row>
    <row r="248" spans="1:20" x14ac:dyDescent="0.25">
      <c r="A248" s="1342">
        <v>92331</v>
      </c>
      <c r="B248" s="1340" t="s">
        <v>2865</v>
      </c>
      <c r="C248" s="1324">
        <v>1.351E-4</v>
      </c>
      <c r="D248" s="1324">
        <v>1.315E-4</v>
      </c>
      <c r="E248" s="1332">
        <v>368948</v>
      </c>
      <c r="F248" s="1333"/>
      <c r="G248" s="1332">
        <v>63173</v>
      </c>
      <c r="H248" s="1332">
        <v>8999</v>
      </c>
      <c r="I248" s="1332">
        <v>60132</v>
      </c>
      <c r="J248" s="1332">
        <v>6806</v>
      </c>
      <c r="K248" s="1332">
        <v>139110</v>
      </c>
      <c r="L248" s="1333"/>
      <c r="M248" s="1332">
        <v>0</v>
      </c>
      <c r="N248" s="1332">
        <v>0</v>
      </c>
      <c r="O248" s="1332">
        <v>6009</v>
      </c>
      <c r="P248" s="1332">
        <v>6009</v>
      </c>
      <c r="Q248" s="1333"/>
      <c r="R248" s="1332">
        <v>164351</v>
      </c>
      <c r="S248" s="1332">
        <v>-1371</v>
      </c>
      <c r="T248" s="1332">
        <v>162980</v>
      </c>
    </row>
    <row r="249" spans="1:20" x14ac:dyDescent="0.25">
      <c r="A249" s="1342">
        <v>92341</v>
      </c>
      <c r="B249" s="1340" t="s">
        <v>2866</v>
      </c>
      <c r="C249" s="1324">
        <v>8.4999999999999999E-6</v>
      </c>
      <c r="D249" s="1324">
        <v>9.2E-6</v>
      </c>
      <c r="E249" s="1332">
        <v>23213</v>
      </c>
      <c r="F249" s="1333"/>
      <c r="G249" s="1332">
        <v>3975</v>
      </c>
      <c r="H249" s="1332">
        <v>566</v>
      </c>
      <c r="I249" s="1332">
        <v>3783</v>
      </c>
      <c r="J249" s="1332">
        <v>172</v>
      </c>
      <c r="K249" s="1332">
        <v>8496</v>
      </c>
      <c r="L249" s="1333"/>
      <c r="M249" s="1332">
        <v>0</v>
      </c>
      <c r="N249" s="1332">
        <v>0</v>
      </c>
      <c r="O249" s="1332">
        <v>2534</v>
      </c>
      <c r="P249" s="1332">
        <v>2534</v>
      </c>
      <c r="Q249" s="1333"/>
      <c r="R249" s="1332">
        <v>10340</v>
      </c>
      <c r="S249" s="1332">
        <v>-1489</v>
      </c>
      <c r="T249" s="1332">
        <v>8851</v>
      </c>
    </row>
    <row r="250" spans="1:20" x14ac:dyDescent="0.25">
      <c r="A250" s="1342">
        <v>92351</v>
      </c>
      <c r="B250" s="1340" t="s">
        <v>2867</v>
      </c>
      <c r="C250" s="1324">
        <v>1.7499999999999998E-5</v>
      </c>
      <c r="D250" s="1324">
        <v>1.9400000000000001E-5</v>
      </c>
      <c r="E250" s="1332">
        <v>47791</v>
      </c>
      <c r="F250" s="1333"/>
      <c r="G250" s="1332">
        <v>8183</v>
      </c>
      <c r="H250" s="1332">
        <v>1166</v>
      </c>
      <c r="I250" s="1332">
        <v>7789</v>
      </c>
      <c r="J250" s="1332">
        <v>2491</v>
      </c>
      <c r="K250" s="1332">
        <v>19629</v>
      </c>
      <c r="L250" s="1333"/>
      <c r="M250" s="1332">
        <v>0</v>
      </c>
      <c r="N250" s="1332">
        <v>0</v>
      </c>
      <c r="O250" s="1332">
        <v>1712</v>
      </c>
      <c r="P250" s="1332">
        <v>1712</v>
      </c>
      <c r="Q250" s="1333"/>
      <c r="R250" s="1332">
        <v>21289</v>
      </c>
      <c r="S250" s="1332">
        <v>-880</v>
      </c>
      <c r="T250" s="1332">
        <v>20409</v>
      </c>
    </row>
    <row r="251" spans="1:20" x14ac:dyDescent="0.25">
      <c r="A251" s="1342">
        <v>92401</v>
      </c>
      <c r="B251" s="1340" t="s">
        <v>2868</v>
      </c>
      <c r="C251" s="1324">
        <v>2.6340000000000001E-3</v>
      </c>
      <c r="D251" s="1324">
        <v>2.4808E-3</v>
      </c>
      <c r="E251" s="1332">
        <v>7193249</v>
      </c>
      <c r="F251" s="1333"/>
      <c r="G251" s="1332">
        <v>1231666</v>
      </c>
      <c r="H251" s="1332">
        <v>175453</v>
      </c>
      <c r="I251" s="1332">
        <v>1172380</v>
      </c>
      <c r="J251" s="1332">
        <v>226873</v>
      </c>
      <c r="K251" s="1332">
        <v>2806372</v>
      </c>
      <c r="L251" s="1333"/>
      <c r="M251" s="1332">
        <v>0</v>
      </c>
      <c r="N251" s="1332">
        <v>0</v>
      </c>
      <c r="O251" s="1332">
        <v>40702</v>
      </c>
      <c r="P251" s="1332">
        <v>40702</v>
      </c>
      <c r="Q251" s="1333"/>
      <c r="R251" s="1332">
        <v>3204295</v>
      </c>
      <c r="S251" s="1332">
        <v>44125</v>
      </c>
      <c r="T251" s="1332">
        <v>3248420</v>
      </c>
    </row>
    <row r="252" spans="1:20" x14ac:dyDescent="0.25">
      <c r="A252" s="1342">
        <v>92403</v>
      </c>
      <c r="B252" s="1340" t="s">
        <v>2869</v>
      </c>
      <c r="C252" s="1324">
        <v>9.0999999999999993E-6</v>
      </c>
      <c r="D252" s="1324">
        <v>1.0200000000000001E-5</v>
      </c>
      <c r="E252" s="1332">
        <v>24851</v>
      </c>
      <c r="F252" s="1333"/>
      <c r="G252" s="1332">
        <v>4255</v>
      </c>
      <c r="H252" s="1332">
        <v>606</v>
      </c>
      <c r="I252" s="1332">
        <v>4050</v>
      </c>
      <c r="J252" s="1332">
        <v>1653</v>
      </c>
      <c r="K252" s="1332">
        <v>10564</v>
      </c>
      <c r="L252" s="1333"/>
      <c r="M252" s="1332">
        <v>0</v>
      </c>
      <c r="N252" s="1332">
        <v>0</v>
      </c>
      <c r="O252" s="1332">
        <v>394</v>
      </c>
      <c r="P252" s="1332">
        <v>394</v>
      </c>
      <c r="Q252" s="1333"/>
      <c r="R252" s="1332">
        <v>11070</v>
      </c>
      <c r="S252" s="1332">
        <v>304</v>
      </c>
      <c r="T252" s="1332">
        <v>11374</v>
      </c>
    </row>
    <row r="253" spans="1:20" x14ac:dyDescent="0.25">
      <c r="A253" s="1342">
        <v>92411</v>
      </c>
      <c r="B253" s="1340" t="s">
        <v>2870</v>
      </c>
      <c r="C253" s="1324">
        <v>4.5199999999999998E-4</v>
      </c>
      <c r="D253" s="1324">
        <v>4.4569999999999999E-4</v>
      </c>
      <c r="E253" s="1332">
        <v>1234377</v>
      </c>
      <c r="F253" s="1333"/>
      <c r="G253" s="1332">
        <v>211357</v>
      </c>
      <c r="H253" s="1332">
        <v>30108</v>
      </c>
      <c r="I253" s="1332">
        <v>201183</v>
      </c>
      <c r="J253" s="1332">
        <v>5996</v>
      </c>
      <c r="K253" s="1332">
        <v>448644</v>
      </c>
      <c r="L253" s="1333"/>
      <c r="M253" s="1332">
        <v>0</v>
      </c>
      <c r="N253" s="1332">
        <v>0</v>
      </c>
      <c r="O253" s="1332">
        <v>47846</v>
      </c>
      <c r="P253" s="1332">
        <v>47846</v>
      </c>
      <c r="Q253" s="1333"/>
      <c r="R253" s="1332">
        <v>549864</v>
      </c>
      <c r="S253" s="1332">
        <v>-23070</v>
      </c>
      <c r="T253" s="1332">
        <v>526794</v>
      </c>
    </row>
    <row r="254" spans="1:20" x14ac:dyDescent="0.25">
      <c r="A254" s="1342">
        <v>92417</v>
      </c>
      <c r="B254" s="1340" t="s">
        <v>2871</v>
      </c>
      <c r="C254" s="1324">
        <v>1.73E-5</v>
      </c>
      <c r="D254" s="1324">
        <v>1.8600000000000001E-5</v>
      </c>
      <c r="E254" s="1332">
        <v>47245</v>
      </c>
      <c r="F254" s="1333"/>
      <c r="G254" s="1332">
        <v>8090</v>
      </c>
      <c r="H254" s="1332">
        <v>1153</v>
      </c>
      <c r="I254" s="1332">
        <v>7700</v>
      </c>
      <c r="J254" s="1332">
        <v>0</v>
      </c>
      <c r="K254" s="1332">
        <v>16943</v>
      </c>
      <c r="L254" s="1333"/>
      <c r="M254" s="1332">
        <v>0</v>
      </c>
      <c r="N254" s="1332">
        <v>0</v>
      </c>
      <c r="O254" s="1332">
        <v>5960</v>
      </c>
      <c r="P254" s="1332">
        <v>5960</v>
      </c>
      <c r="Q254" s="1333"/>
      <c r="R254" s="1332">
        <v>21046</v>
      </c>
      <c r="S254" s="1332">
        <v>-2197</v>
      </c>
      <c r="T254" s="1332">
        <v>18849</v>
      </c>
    </row>
    <row r="255" spans="1:20" x14ac:dyDescent="0.25">
      <c r="A255" s="1342">
        <v>92421</v>
      </c>
      <c r="B255" s="1340" t="s">
        <v>2872</v>
      </c>
      <c r="C255" s="1324">
        <v>1.6399999999999999E-5</v>
      </c>
      <c r="D255" s="1324">
        <v>8.6999999999999997E-6</v>
      </c>
      <c r="E255" s="1332">
        <v>44787</v>
      </c>
      <c r="F255" s="1333"/>
      <c r="G255" s="1332">
        <v>7669</v>
      </c>
      <c r="H255" s="1332">
        <v>1092</v>
      </c>
      <c r="I255" s="1332">
        <v>7300</v>
      </c>
      <c r="J255" s="1332">
        <v>10480</v>
      </c>
      <c r="K255" s="1332">
        <v>26541</v>
      </c>
      <c r="L255" s="1333"/>
      <c r="M255" s="1332">
        <v>0</v>
      </c>
      <c r="N255" s="1332">
        <v>0</v>
      </c>
      <c r="O255" s="1332">
        <v>344</v>
      </c>
      <c r="P255" s="1332">
        <v>344</v>
      </c>
      <c r="Q255" s="1333"/>
      <c r="R255" s="1332">
        <v>19951</v>
      </c>
      <c r="S255" s="1332">
        <v>2995</v>
      </c>
      <c r="T255" s="1332">
        <v>22946</v>
      </c>
    </row>
    <row r="256" spans="1:20" x14ac:dyDescent="0.25">
      <c r="A256" s="1342">
        <v>92427</v>
      </c>
      <c r="B256" s="1340" t="s">
        <v>2873</v>
      </c>
      <c r="C256" s="1324">
        <v>1.9E-6</v>
      </c>
      <c r="D256" s="1324">
        <v>1.9999999999999999E-6</v>
      </c>
      <c r="E256" s="1332">
        <v>5189</v>
      </c>
      <c r="F256" s="1333"/>
      <c r="G256" s="1332">
        <v>888</v>
      </c>
      <c r="H256" s="1332">
        <v>127</v>
      </c>
      <c r="I256" s="1332">
        <v>846</v>
      </c>
      <c r="J256" s="1332">
        <v>2423</v>
      </c>
      <c r="K256" s="1332">
        <v>4284</v>
      </c>
      <c r="L256" s="1333"/>
      <c r="M256" s="1332">
        <v>0</v>
      </c>
      <c r="N256" s="1332">
        <v>0</v>
      </c>
      <c r="O256" s="1332">
        <v>0</v>
      </c>
      <c r="P256" s="1332">
        <v>0</v>
      </c>
      <c r="Q256" s="1333"/>
      <c r="R256" s="1332">
        <v>2311</v>
      </c>
      <c r="S256" s="1332">
        <v>1137</v>
      </c>
      <c r="T256" s="1332">
        <v>3448</v>
      </c>
    </row>
    <row r="257" spans="1:20" x14ac:dyDescent="0.25">
      <c r="A257" s="1342">
        <v>92431</v>
      </c>
      <c r="B257" s="1340" t="s">
        <v>2874</v>
      </c>
      <c r="C257" s="1324">
        <v>2.6999999999999999E-5</v>
      </c>
      <c r="D257" s="1324">
        <v>2.1999999999999999E-5</v>
      </c>
      <c r="E257" s="1332">
        <v>73735</v>
      </c>
      <c r="F257" s="1333"/>
      <c r="G257" s="1332">
        <v>12625</v>
      </c>
      <c r="H257" s="1332">
        <v>1798</v>
      </c>
      <c r="I257" s="1332">
        <v>12018</v>
      </c>
      <c r="J257" s="1332">
        <v>14717</v>
      </c>
      <c r="K257" s="1332">
        <v>41158</v>
      </c>
      <c r="L257" s="1333"/>
      <c r="M257" s="1332">
        <v>0</v>
      </c>
      <c r="N257" s="1332">
        <v>0</v>
      </c>
      <c r="O257" s="1332">
        <v>2198</v>
      </c>
      <c r="P257" s="1332">
        <v>2198</v>
      </c>
      <c r="Q257" s="1333"/>
      <c r="R257" s="1332">
        <v>32846</v>
      </c>
      <c r="S257" s="1332">
        <v>5801</v>
      </c>
      <c r="T257" s="1332">
        <v>38647</v>
      </c>
    </row>
    <row r="258" spans="1:20" x14ac:dyDescent="0.25">
      <c r="A258" s="1342">
        <v>92441</v>
      </c>
      <c r="B258" s="1340" t="s">
        <v>2875</v>
      </c>
      <c r="C258" s="1324">
        <v>8.6500000000000002E-5</v>
      </c>
      <c r="D258" s="1324">
        <v>1.002E-4</v>
      </c>
      <c r="E258" s="1332">
        <v>236225</v>
      </c>
      <c r="F258" s="1333"/>
      <c r="G258" s="1332">
        <v>40448</v>
      </c>
      <c r="H258" s="1332">
        <v>5762</v>
      </c>
      <c r="I258" s="1332">
        <v>38501</v>
      </c>
      <c r="J258" s="1332">
        <v>11504</v>
      </c>
      <c r="K258" s="1332">
        <v>96215</v>
      </c>
      <c r="L258" s="1333"/>
      <c r="M258" s="1332">
        <v>0</v>
      </c>
      <c r="N258" s="1332">
        <v>0</v>
      </c>
      <c r="O258" s="1332">
        <v>17766</v>
      </c>
      <c r="P258" s="1332">
        <v>17766</v>
      </c>
      <c r="Q258" s="1333"/>
      <c r="R258" s="1332">
        <v>105228</v>
      </c>
      <c r="S258" s="1332">
        <v>-2772</v>
      </c>
      <c r="T258" s="1332">
        <v>102456</v>
      </c>
    </row>
    <row r="259" spans="1:20" x14ac:dyDescent="0.25">
      <c r="A259" s="1342">
        <v>92444</v>
      </c>
      <c r="B259" s="1340" t="s">
        <v>2876</v>
      </c>
      <c r="C259" s="1324">
        <v>5.1000000000000003E-6</v>
      </c>
      <c r="D259" s="1324">
        <v>1.7E-6</v>
      </c>
      <c r="E259" s="1332">
        <v>13928</v>
      </c>
      <c r="F259" s="1333"/>
      <c r="G259" s="1332">
        <v>2385</v>
      </c>
      <c r="H259" s="1332">
        <v>340</v>
      </c>
      <c r="I259" s="1332">
        <v>2270</v>
      </c>
      <c r="J259" s="1332">
        <v>6146</v>
      </c>
      <c r="K259" s="1332">
        <v>11141</v>
      </c>
      <c r="L259" s="1333"/>
      <c r="M259" s="1332">
        <v>0</v>
      </c>
      <c r="N259" s="1332">
        <v>0</v>
      </c>
      <c r="O259" s="1332">
        <v>0</v>
      </c>
      <c r="P259" s="1332">
        <v>0</v>
      </c>
      <c r="Q259" s="1333"/>
      <c r="R259" s="1332">
        <v>6204</v>
      </c>
      <c r="S259" s="1332">
        <v>2192</v>
      </c>
      <c r="T259" s="1332">
        <v>8396</v>
      </c>
    </row>
    <row r="260" spans="1:20" x14ac:dyDescent="0.25">
      <c r="A260" s="1342">
        <v>92451</v>
      </c>
      <c r="B260" s="1340" t="s">
        <v>2877</v>
      </c>
      <c r="C260" s="1324">
        <v>1.143E-4</v>
      </c>
      <c r="D260" s="1324">
        <v>1.2650000000000001E-4</v>
      </c>
      <c r="E260" s="1332">
        <v>312144</v>
      </c>
      <c r="F260" s="1333"/>
      <c r="G260" s="1332">
        <v>53447</v>
      </c>
      <c r="H260" s="1332">
        <v>7613</v>
      </c>
      <c r="I260" s="1332">
        <v>50874</v>
      </c>
      <c r="J260" s="1332">
        <v>25219</v>
      </c>
      <c r="K260" s="1332">
        <v>137153</v>
      </c>
      <c r="L260" s="1333"/>
      <c r="M260" s="1332">
        <v>0</v>
      </c>
      <c r="N260" s="1332">
        <v>0</v>
      </c>
      <c r="O260" s="1332">
        <v>0</v>
      </c>
      <c r="P260" s="1332">
        <v>0</v>
      </c>
      <c r="Q260" s="1333"/>
      <c r="R260" s="1332">
        <v>139047</v>
      </c>
      <c r="S260" s="1332">
        <v>14680</v>
      </c>
      <c r="T260" s="1332">
        <v>153727</v>
      </c>
    </row>
    <row r="261" spans="1:20" ht="14.25" customHeight="1" x14ac:dyDescent="0.25">
      <c r="A261" s="1342">
        <v>92461</v>
      </c>
      <c r="B261" s="1340" t="s">
        <v>2878</v>
      </c>
      <c r="C261" s="1324">
        <v>5.8400000000000003E-5</v>
      </c>
      <c r="D261" s="1324">
        <v>6.7500000000000001E-5</v>
      </c>
      <c r="E261" s="1332">
        <v>159486</v>
      </c>
      <c r="F261" s="1333"/>
      <c r="G261" s="1332">
        <v>27308</v>
      </c>
      <c r="H261" s="1332">
        <v>3890</v>
      </c>
      <c r="I261" s="1332">
        <v>25994</v>
      </c>
      <c r="J261" s="1332">
        <v>10583</v>
      </c>
      <c r="K261" s="1332">
        <v>67775</v>
      </c>
      <c r="L261" s="1333"/>
      <c r="M261" s="1332">
        <v>0</v>
      </c>
      <c r="N261" s="1332">
        <v>0</v>
      </c>
      <c r="O261" s="1332">
        <v>0</v>
      </c>
      <c r="P261" s="1332">
        <v>0</v>
      </c>
      <c r="Q261" s="1333"/>
      <c r="R261" s="1332">
        <v>71044</v>
      </c>
      <c r="S261" s="1332">
        <v>3640</v>
      </c>
      <c r="T261" s="1332">
        <v>74684</v>
      </c>
    </row>
    <row r="262" spans="1:20" x14ac:dyDescent="0.25">
      <c r="A262" s="1342">
        <v>92501</v>
      </c>
      <c r="B262" s="1340" t="s">
        <v>2879</v>
      </c>
      <c r="C262" s="1324">
        <v>3.7055999999999999E-3</v>
      </c>
      <c r="D262" s="1324">
        <v>3.7823000000000002E-3</v>
      </c>
      <c r="E262" s="1332">
        <v>10119705</v>
      </c>
      <c r="F262" s="1333"/>
      <c r="G262" s="1332">
        <v>1732750</v>
      </c>
      <c r="H262" s="1332">
        <v>246833</v>
      </c>
      <c r="I262" s="1332">
        <v>1649344</v>
      </c>
      <c r="J262" s="1332">
        <v>208346</v>
      </c>
      <c r="K262" s="1332">
        <v>3837273</v>
      </c>
      <c r="L262" s="1333"/>
      <c r="M262" s="1332">
        <v>0</v>
      </c>
      <c r="N262" s="1332">
        <v>0</v>
      </c>
      <c r="O262" s="1332">
        <v>0</v>
      </c>
      <c r="P262" s="1332">
        <v>0</v>
      </c>
      <c r="Q262" s="1333"/>
      <c r="R262" s="1332">
        <v>4507911</v>
      </c>
      <c r="S262" s="1332">
        <v>71797</v>
      </c>
      <c r="T262" s="1332">
        <v>4579708</v>
      </c>
    </row>
    <row r="263" spans="1:20" x14ac:dyDescent="0.25">
      <c r="A263" s="1342">
        <v>92502</v>
      </c>
      <c r="B263" s="1340" t="s">
        <v>4155</v>
      </c>
      <c r="C263" s="1324">
        <v>2.3600000000000001E-5</v>
      </c>
      <c r="D263" s="1324">
        <v>2.5700000000000001E-5</v>
      </c>
      <c r="E263" s="1332">
        <v>64450</v>
      </c>
      <c r="F263" s="1333"/>
      <c r="G263" s="1332">
        <v>11035</v>
      </c>
      <c r="H263" s="1332">
        <v>1572</v>
      </c>
      <c r="I263" s="1332">
        <v>10504</v>
      </c>
      <c r="J263" s="1332">
        <v>3229</v>
      </c>
      <c r="K263" s="1332">
        <v>26340</v>
      </c>
      <c r="L263" s="1333"/>
      <c r="M263" s="1332">
        <v>0</v>
      </c>
      <c r="N263" s="1332">
        <v>0</v>
      </c>
      <c r="O263" s="1332">
        <v>0</v>
      </c>
      <c r="P263" s="1332">
        <v>0</v>
      </c>
      <c r="Q263" s="1333"/>
      <c r="R263" s="1332">
        <v>28710</v>
      </c>
      <c r="S263" s="1332">
        <v>1085</v>
      </c>
      <c r="T263" s="1332">
        <v>29795</v>
      </c>
    </row>
    <row r="264" spans="1:20" x14ac:dyDescent="0.25">
      <c r="A264" s="1342">
        <v>92504</v>
      </c>
      <c r="B264" s="1340" t="s">
        <v>4156</v>
      </c>
      <c r="C264" s="1324">
        <v>7.6299999999999998E-5</v>
      </c>
      <c r="D264" s="1324">
        <v>7.86E-5</v>
      </c>
      <c r="E264" s="1332">
        <v>208369</v>
      </c>
      <c r="F264" s="1333"/>
      <c r="G264" s="1332">
        <v>35678</v>
      </c>
      <c r="H264" s="1332">
        <v>5083</v>
      </c>
      <c r="I264" s="1332">
        <v>33961</v>
      </c>
      <c r="J264" s="1332">
        <v>23999</v>
      </c>
      <c r="K264" s="1332">
        <v>98721</v>
      </c>
      <c r="L264" s="1333"/>
      <c r="M264" s="1332">
        <v>0</v>
      </c>
      <c r="N264" s="1332">
        <v>0</v>
      </c>
      <c r="O264" s="1332">
        <v>0</v>
      </c>
      <c r="P264" s="1332">
        <v>0</v>
      </c>
      <c r="Q264" s="1333"/>
      <c r="R264" s="1332">
        <v>92820</v>
      </c>
      <c r="S264" s="1332">
        <v>13220</v>
      </c>
      <c r="T264" s="1332">
        <v>106040</v>
      </c>
    </row>
    <row r="265" spans="1:20" x14ac:dyDescent="0.25">
      <c r="A265" s="1342">
        <v>92505</v>
      </c>
      <c r="B265" s="1340" t="s">
        <v>2882</v>
      </c>
      <c r="C265" s="1324">
        <v>1.7090000000000001E-4</v>
      </c>
      <c r="D265" s="1324">
        <v>1.8330000000000001E-4</v>
      </c>
      <c r="E265" s="1332">
        <v>466715</v>
      </c>
      <c r="F265" s="1333"/>
      <c r="G265" s="1332">
        <v>79913</v>
      </c>
      <c r="H265" s="1332">
        <v>11384</v>
      </c>
      <c r="I265" s="1332">
        <v>76067</v>
      </c>
      <c r="J265" s="1332">
        <v>61772</v>
      </c>
      <c r="K265" s="1332">
        <v>229136</v>
      </c>
      <c r="L265" s="1333"/>
      <c r="M265" s="1332">
        <v>0</v>
      </c>
      <c r="N265" s="1332">
        <v>0</v>
      </c>
      <c r="O265" s="1332">
        <v>0</v>
      </c>
      <c r="P265" s="1332">
        <v>0</v>
      </c>
      <c r="Q265" s="1333"/>
      <c r="R265" s="1332">
        <v>207902</v>
      </c>
      <c r="S265" s="1332">
        <v>30052</v>
      </c>
      <c r="T265" s="1332">
        <v>237954</v>
      </c>
    </row>
    <row r="266" spans="1:20" x14ac:dyDescent="0.25">
      <c r="A266" s="1342">
        <v>92506</v>
      </c>
      <c r="B266" s="1340" t="s">
        <v>2883</v>
      </c>
      <c r="C266" s="1324">
        <v>5.38E-5</v>
      </c>
      <c r="D266" s="1324">
        <v>6.05E-5</v>
      </c>
      <c r="E266" s="1332">
        <v>146924</v>
      </c>
      <c r="F266" s="1333"/>
      <c r="G266" s="1332">
        <v>25157</v>
      </c>
      <c r="H266" s="1332">
        <v>3583</v>
      </c>
      <c r="I266" s="1332">
        <v>23946</v>
      </c>
      <c r="J266" s="1332">
        <v>14720</v>
      </c>
      <c r="K266" s="1332">
        <v>67406</v>
      </c>
      <c r="L266" s="1333"/>
      <c r="M266" s="1332">
        <v>0</v>
      </c>
      <c r="N266" s="1332">
        <v>0</v>
      </c>
      <c r="O266" s="1332">
        <v>1333</v>
      </c>
      <c r="P266" s="1332">
        <v>1333</v>
      </c>
      <c r="Q266" s="1333"/>
      <c r="R266" s="1332">
        <v>65448</v>
      </c>
      <c r="S266" s="1332">
        <v>8751</v>
      </c>
      <c r="T266" s="1332">
        <v>74199</v>
      </c>
    </row>
    <row r="267" spans="1:20" x14ac:dyDescent="0.25">
      <c r="A267" s="1342">
        <v>92507</v>
      </c>
      <c r="B267" s="1340" t="s">
        <v>2884</v>
      </c>
      <c r="C267" s="1324">
        <v>1.01E-4</v>
      </c>
      <c r="D267" s="1324">
        <v>9.2800000000000006E-5</v>
      </c>
      <c r="E267" s="1332">
        <v>275823</v>
      </c>
      <c r="F267" s="1333"/>
      <c r="G267" s="1332">
        <v>47228</v>
      </c>
      <c r="H267" s="1332">
        <v>6727</v>
      </c>
      <c r="I267" s="1332">
        <v>44955</v>
      </c>
      <c r="J267" s="1332">
        <v>6887</v>
      </c>
      <c r="K267" s="1332">
        <v>105797</v>
      </c>
      <c r="L267" s="1333"/>
      <c r="M267" s="1332">
        <v>0</v>
      </c>
      <c r="N267" s="1332">
        <v>0</v>
      </c>
      <c r="O267" s="1332">
        <v>8456</v>
      </c>
      <c r="P267" s="1332">
        <v>8456</v>
      </c>
      <c r="Q267" s="1333"/>
      <c r="R267" s="1332">
        <v>122868</v>
      </c>
      <c r="S267" s="1332">
        <v>-2095</v>
      </c>
      <c r="T267" s="1332">
        <v>120773</v>
      </c>
    </row>
    <row r="268" spans="1:20" ht="30" x14ac:dyDescent="0.25">
      <c r="A268" s="1342">
        <v>92508</v>
      </c>
      <c r="B268" s="1340" t="s">
        <v>4157</v>
      </c>
      <c r="C268" s="1324">
        <v>3.102E-4</v>
      </c>
      <c r="D268" s="1324">
        <v>3.076E-4</v>
      </c>
      <c r="E268" s="1332">
        <v>847132</v>
      </c>
      <c r="F268" s="1333"/>
      <c r="G268" s="1332">
        <v>145050</v>
      </c>
      <c r="H268" s="1332">
        <v>20663</v>
      </c>
      <c r="I268" s="1332">
        <v>138068</v>
      </c>
      <c r="J268" s="1332">
        <v>34835</v>
      </c>
      <c r="K268" s="1332">
        <v>338616</v>
      </c>
      <c r="L268" s="1333"/>
      <c r="M268" s="1332">
        <v>0</v>
      </c>
      <c r="N268" s="1332">
        <v>0</v>
      </c>
      <c r="O268" s="1332">
        <v>423</v>
      </c>
      <c r="P268" s="1332">
        <v>423</v>
      </c>
      <c r="Q268" s="1333"/>
      <c r="R268" s="1332">
        <v>377362</v>
      </c>
      <c r="S268" s="1332">
        <v>9624</v>
      </c>
      <c r="T268" s="1332">
        <v>386986</v>
      </c>
    </row>
    <row r="269" spans="1:20" x14ac:dyDescent="0.25">
      <c r="A269" s="1342">
        <v>92511</v>
      </c>
      <c r="B269" s="1340" t="s">
        <v>2887</v>
      </c>
      <c r="C269" s="1324">
        <v>3.5699999999999998E-3</v>
      </c>
      <c r="D269" s="1324">
        <v>3.3249999999999998E-3</v>
      </c>
      <c r="E269" s="1332">
        <v>9749392</v>
      </c>
      <c r="F269" s="1333"/>
      <c r="G269" s="1332">
        <v>1669343</v>
      </c>
      <c r="H269" s="1332">
        <v>237801</v>
      </c>
      <c r="I269" s="1332">
        <v>1588989</v>
      </c>
      <c r="J269" s="1332">
        <v>182563</v>
      </c>
      <c r="K269" s="1332">
        <v>3678696</v>
      </c>
      <c r="L269" s="1333"/>
      <c r="M269" s="1332">
        <v>0</v>
      </c>
      <c r="N269" s="1332">
        <v>0</v>
      </c>
      <c r="O269" s="1332">
        <v>71532</v>
      </c>
      <c r="P269" s="1332">
        <v>71532</v>
      </c>
      <c r="Q269" s="1333"/>
      <c r="R269" s="1332">
        <v>4342951</v>
      </c>
      <c r="S269" s="1332">
        <v>-34616</v>
      </c>
      <c r="T269" s="1332">
        <v>4308335</v>
      </c>
    </row>
    <row r="270" spans="1:20" x14ac:dyDescent="0.25">
      <c r="A270" s="1342">
        <v>92513</v>
      </c>
      <c r="B270" s="1340" t="s">
        <v>2888</v>
      </c>
      <c r="C270" s="1324">
        <v>3.9484999999999998E-3</v>
      </c>
      <c r="D270" s="1324">
        <v>3.9129000000000004E-3</v>
      </c>
      <c r="E270" s="1332">
        <v>10783046</v>
      </c>
      <c r="F270" s="1333"/>
      <c r="G270" s="1332">
        <v>1846330</v>
      </c>
      <c r="H270" s="1332">
        <v>263013</v>
      </c>
      <c r="I270" s="1332">
        <v>1757458</v>
      </c>
      <c r="J270" s="1332">
        <v>445498</v>
      </c>
      <c r="K270" s="1332">
        <v>4312299</v>
      </c>
      <c r="L270" s="1333"/>
      <c r="M270" s="1332">
        <v>0</v>
      </c>
      <c r="N270" s="1332">
        <v>0</v>
      </c>
      <c r="O270" s="1332">
        <v>304141</v>
      </c>
      <c r="P270" s="1332">
        <v>304141</v>
      </c>
      <c r="Q270" s="1333"/>
      <c r="R270" s="1332">
        <v>4803402</v>
      </c>
      <c r="S270" s="1332">
        <v>415640</v>
      </c>
      <c r="T270" s="1332">
        <v>5219042</v>
      </c>
    </row>
    <row r="271" spans="1:20" x14ac:dyDescent="0.25">
      <c r="A271" s="1342">
        <v>92521</v>
      </c>
      <c r="B271" s="1340" t="s">
        <v>2889</v>
      </c>
      <c r="C271" s="1324">
        <v>7.7399999999999998E-5</v>
      </c>
      <c r="D271" s="1324">
        <v>8.6799999999999996E-5</v>
      </c>
      <c r="E271" s="1332">
        <v>211373</v>
      </c>
      <c r="F271" s="1333"/>
      <c r="G271" s="1332">
        <v>36192</v>
      </c>
      <c r="H271" s="1332">
        <v>5155</v>
      </c>
      <c r="I271" s="1332">
        <v>34450</v>
      </c>
      <c r="J271" s="1332">
        <v>0</v>
      </c>
      <c r="K271" s="1332">
        <v>75797</v>
      </c>
      <c r="L271" s="1333"/>
      <c r="M271" s="1332">
        <v>0</v>
      </c>
      <c r="N271" s="1332">
        <v>0</v>
      </c>
      <c r="O271" s="1332">
        <v>11823</v>
      </c>
      <c r="P271" s="1332">
        <v>11823</v>
      </c>
      <c r="Q271" s="1333"/>
      <c r="R271" s="1332">
        <v>94158</v>
      </c>
      <c r="S271" s="1332">
        <v>-3553</v>
      </c>
      <c r="T271" s="1332">
        <v>90605</v>
      </c>
    </row>
    <row r="272" spans="1:20" x14ac:dyDescent="0.25">
      <c r="A272" s="1342">
        <v>92531</v>
      </c>
      <c r="B272" s="1340" t="s">
        <v>2890</v>
      </c>
      <c r="C272" s="1324">
        <v>8.2580000000000001E-4</v>
      </c>
      <c r="D272" s="1324">
        <v>8.4360000000000001E-4</v>
      </c>
      <c r="E272" s="1332">
        <v>2255195</v>
      </c>
      <c r="F272" s="1333"/>
      <c r="G272" s="1332">
        <v>386147</v>
      </c>
      <c r="H272" s="1332">
        <v>55007</v>
      </c>
      <c r="I272" s="1332">
        <v>367559</v>
      </c>
      <c r="J272" s="1332">
        <v>0</v>
      </c>
      <c r="K272" s="1332">
        <v>808713</v>
      </c>
      <c r="L272" s="1333"/>
      <c r="M272" s="1332">
        <v>0</v>
      </c>
      <c r="N272" s="1332">
        <v>0</v>
      </c>
      <c r="O272" s="1332">
        <v>99856</v>
      </c>
      <c r="P272" s="1332">
        <v>99856</v>
      </c>
      <c r="Q272" s="1333"/>
      <c r="R272" s="1332">
        <v>1004596</v>
      </c>
      <c r="S272" s="1332">
        <v>-60500</v>
      </c>
      <c r="T272" s="1332">
        <v>944096</v>
      </c>
    </row>
    <row r="273" spans="1:20" x14ac:dyDescent="0.25">
      <c r="A273" s="1342">
        <v>92541</v>
      </c>
      <c r="B273" s="1340" t="s">
        <v>2891</v>
      </c>
      <c r="C273" s="1324">
        <v>1.3740000000000001E-4</v>
      </c>
      <c r="D273" s="1324">
        <v>1.2459999999999999E-4</v>
      </c>
      <c r="E273" s="1332">
        <v>375229</v>
      </c>
      <c r="F273" s="1333"/>
      <c r="G273" s="1332">
        <v>64249</v>
      </c>
      <c r="H273" s="1332">
        <v>9152</v>
      </c>
      <c r="I273" s="1332">
        <v>61156</v>
      </c>
      <c r="J273" s="1332">
        <v>11832</v>
      </c>
      <c r="K273" s="1332">
        <v>146389</v>
      </c>
      <c r="L273" s="1333"/>
      <c r="M273" s="1332">
        <v>0</v>
      </c>
      <c r="N273" s="1332">
        <v>0</v>
      </c>
      <c r="O273" s="1332">
        <v>13694</v>
      </c>
      <c r="P273" s="1332">
        <v>13694</v>
      </c>
      <c r="Q273" s="1333"/>
      <c r="R273" s="1332">
        <v>167149</v>
      </c>
      <c r="S273" s="1332">
        <v>-1967</v>
      </c>
      <c r="T273" s="1332">
        <v>165182</v>
      </c>
    </row>
    <row r="274" spans="1:20" x14ac:dyDescent="0.25">
      <c r="A274" s="1342">
        <v>92551</v>
      </c>
      <c r="B274" s="1340" t="s">
        <v>2892</v>
      </c>
      <c r="C274" s="1324">
        <v>5.7099999999999999E-5</v>
      </c>
      <c r="D274" s="1324">
        <v>4.3399999999999998E-5</v>
      </c>
      <c r="E274" s="1332">
        <v>155936</v>
      </c>
      <c r="F274" s="1333"/>
      <c r="G274" s="1332">
        <v>26700</v>
      </c>
      <c r="H274" s="1332">
        <v>3804</v>
      </c>
      <c r="I274" s="1332">
        <v>25415</v>
      </c>
      <c r="J274" s="1332">
        <v>9274</v>
      </c>
      <c r="K274" s="1332">
        <v>65193</v>
      </c>
      <c r="L274" s="1333"/>
      <c r="M274" s="1332">
        <v>0</v>
      </c>
      <c r="N274" s="1332">
        <v>0</v>
      </c>
      <c r="O274" s="1332">
        <v>6936</v>
      </c>
      <c r="P274" s="1332">
        <v>6936</v>
      </c>
      <c r="Q274" s="1333"/>
      <c r="R274" s="1332">
        <v>69463</v>
      </c>
      <c r="S274" s="1332">
        <v>-2150</v>
      </c>
      <c r="T274" s="1332">
        <v>67313</v>
      </c>
    </row>
    <row r="275" spans="1:20" x14ac:dyDescent="0.25">
      <c r="A275" s="1342">
        <v>92561</v>
      </c>
      <c r="B275" s="1340" t="s">
        <v>2893</v>
      </c>
      <c r="C275" s="1324">
        <v>1.7900000000000001E-5</v>
      </c>
      <c r="D275" s="1324">
        <v>2.1399999999999998E-5</v>
      </c>
      <c r="E275" s="1332">
        <v>48884</v>
      </c>
      <c r="F275" s="1333"/>
      <c r="G275" s="1332">
        <v>8370</v>
      </c>
      <c r="H275" s="1332">
        <v>1193</v>
      </c>
      <c r="I275" s="1332">
        <v>7967</v>
      </c>
      <c r="J275" s="1332">
        <v>1119</v>
      </c>
      <c r="K275" s="1332">
        <v>18649</v>
      </c>
      <c r="L275" s="1333"/>
      <c r="M275" s="1332">
        <v>0</v>
      </c>
      <c r="N275" s="1332">
        <v>0</v>
      </c>
      <c r="O275" s="1332">
        <v>2514</v>
      </c>
      <c r="P275" s="1332">
        <v>2514</v>
      </c>
      <c r="Q275" s="1333"/>
      <c r="R275" s="1332">
        <v>21776</v>
      </c>
      <c r="S275" s="1332">
        <v>983</v>
      </c>
      <c r="T275" s="1332">
        <v>22759</v>
      </c>
    </row>
    <row r="276" spans="1:20" x14ac:dyDescent="0.25">
      <c r="A276" s="1342">
        <v>92571</v>
      </c>
      <c r="B276" s="1340" t="s">
        <v>2894</v>
      </c>
      <c r="C276" s="1324">
        <v>8.1999999999999994E-6</v>
      </c>
      <c r="D276" s="1324">
        <v>8.1000000000000004E-6</v>
      </c>
      <c r="E276" s="1332">
        <v>22394</v>
      </c>
      <c r="F276" s="1333"/>
      <c r="G276" s="1332">
        <v>3834</v>
      </c>
      <c r="H276" s="1332">
        <v>546</v>
      </c>
      <c r="I276" s="1332">
        <v>3650</v>
      </c>
      <c r="J276" s="1332">
        <v>4864</v>
      </c>
      <c r="K276" s="1332">
        <v>12894</v>
      </c>
      <c r="L276" s="1333"/>
      <c r="M276" s="1332">
        <v>0</v>
      </c>
      <c r="N276" s="1332">
        <v>0</v>
      </c>
      <c r="O276" s="1332">
        <v>0</v>
      </c>
      <c r="P276" s="1332">
        <v>0</v>
      </c>
      <c r="Q276" s="1333"/>
      <c r="R276" s="1332">
        <v>9975</v>
      </c>
      <c r="S276" s="1332">
        <v>3043</v>
      </c>
      <c r="T276" s="1332">
        <v>13018</v>
      </c>
    </row>
    <row r="277" spans="1:20" x14ac:dyDescent="0.25">
      <c r="A277" s="1342">
        <v>92601</v>
      </c>
      <c r="B277" s="1340" t="s">
        <v>2895</v>
      </c>
      <c r="C277" s="1324">
        <v>1.32598E-2</v>
      </c>
      <c r="D277" s="1324">
        <v>1.34308E-2</v>
      </c>
      <c r="E277" s="1332">
        <v>36211480</v>
      </c>
      <c r="F277" s="1333"/>
      <c r="G277" s="1332">
        <v>6200322</v>
      </c>
      <c r="H277" s="1332">
        <v>883248</v>
      </c>
      <c r="I277" s="1332">
        <v>5901871</v>
      </c>
      <c r="J277" s="1332">
        <v>4255</v>
      </c>
      <c r="K277" s="1332">
        <v>12989696</v>
      </c>
      <c r="L277" s="1333"/>
      <c r="M277" s="1332">
        <v>0</v>
      </c>
      <c r="N277" s="1332">
        <v>0</v>
      </c>
      <c r="O277" s="1332">
        <v>897535</v>
      </c>
      <c r="P277" s="1332">
        <v>897535</v>
      </c>
      <c r="Q277" s="1333"/>
      <c r="R277" s="1332">
        <v>16130719</v>
      </c>
      <c r="S277" s="1332">
        <v>-294286</v>
      </c>
      <c r="T277" s="1332">
        <v>15836433</v>
      </c>
    </row>
    <row r="278" spans="1:20" x14ac:dyDescent="0.25">
      <c r="A278" s="1342">
        <v>92602</v>
      </c>
      <c r="B278" s="1340" t="s">
        <v>4158</v>
      </c>
      <c r="C278" s="1324">
        <v>4.8999999999999997E-6</v>
      </c>
      <c r="D278" s="1324">
        <v>6.3999999999999997E-6</v>
      </c>
      <c r="E278" s="1332">
        <v>13382</v>
      </c>
      <c r="F278" s="1333"/>
      <c r="G278" s="1332">
        <v>2291</v>
      </c>
      <c r="H278" s="1332">
        <v>327</v>
      </c>
      <c r="I278" s="1332">
        <v>2181</v>
      </c>
      <c r="J278" s="1332">
        <v>0</v>
      </c>
      <c r="K278" s="1332">
        <v>4799</v>
      </c>
      <c r="L278" s="1333"/>
      <c r="M278" s="1332">
        <v>0</v>
      </c>
      <c r="N278" s="1332">
        <v>0</v>
      </c>
      <c r="O278" s="1332">
        <v>3457</v>
      </c>
      <c r="P278" s="1332">
        <v>3457</v>
      </c>
      <c r="Q278" s="1333"/>
      <c r="R278" s="1332">
        <v>5961</v>
      </c>
      <c r="S278" s="1332">
        <v>-1346</v>
      </c>
      <c r="T278" s="1332">
        <v>4615</v>
      </c>
    </row>
    <row r="279" spans="1:20" x14ac:dyDescent="0.25">
      <c r="A279" s="1342">
        <v>92604</v>
      </c>
      <c r="B279" s="1340" t="s">
        <v>4159</v>
      </c>
      <c r="C279" s="1324">
        <v>3.501E-4</v>
      </c>
      <c r="D279" s="1324">
        <v>3.3560000000000003E-4</v>
      </c>
      <c r="E279" s="1332">
        <v>956096</v>
      </c>
      <c r="F279" s="1333"/>
      <c r="G279" s="1332">
        <v>163708</v>
      </c>
      <c r="H279" s="1332">
        <v>23321</v>
      </c>
      <c r="I279" s="1332">
        <v>155828</v>
      </c>
      <c r="J279" s="1332">
        <v>65403</v>
      </c>
      <c r="K279" s="1332">
        <v>408260</v>
      </c>
      <c r="L279" s="1333"/>
      <c r="M279" s="1332">
        <v>0</v>
      </c>
      <c r="N279" s="1332">
        <v>0</v>
      </c>
      <c r="O279" s="1332">
        <v>0</v>
      </c>
      <c r="P279" s="1332">
        <v>0</v>
      </c>
      <c r="Q279" s="1333"/>
      <c r="R279" s="1332">
        <v>425901</v>
      </c>
      <c r="S279" s="1332">
        <v>27996</v>
      </c>
      <c r="T279" s="1332">
        <v>453897</v>
      </c>
    </row>
    <row r="280" spans="1:20" x14ac:dyDescent="0.25">
      <c r="A280" s="1342">
        <v>92607</v>
      </c>
      <c r="B280" s="1340" t="s">
        <v>2898</v>
      </c>
      <c r="C280" s="1324">
        <v>5.6700000000000003E-5</v>
      </c>
      <c r="D280" s="1324">
        <v>6.1699999999999995E-5</v>
      </c>
      <c r="E280" s="1332">
        <v>154843</v>
      </c>
      <c r="F280" s="1333"/>
      <c r="G280" s="1332">
        <v>26513</v>
      </c>
      <c r="H280" s="1332">
        <v>3776</v>
      </c>
      <c r="I280" s="1332">
        <v>25237</v>
      </c>
      <c r="J280" s="1332">
        <v>6120</v>
      </c>
      <c r="K280" s="1332">
        <v>61646</v>
      </c>
      <c r="L280" s="1333"/>
      <c r="M280" s="1332">
        <v>0</v>
      </c>
      <c r="N280" s="1332">
        <v>0</v>
      </c>
      <c r="O280" s="1332">
        <v>758</v>
      </c>
      <c r="P280" s="1332">
        <v>758</v>
      </c>
      <c r="Q280" s="1333"/>
      <c r="R280" s="1332">
        <v>68976</v>
      </c>
      <c r="S280" s="1332">
        <v>3395</v>
      </c>
      <c r="T280" s="1332">
        <v>72371</v>
      </c>
    </row>
    <row r="281" spans="1:20" x14ac:dyDescent="0.25">
      <c r="A281" s="1342">
        <v>92611</v>
      </c>
      <c r="B281" s="1340" t="s">
        <v>2900</v>
      </c>
      <c r="C281" s="1324">
        <v>1.22078E-2</v>
      </c>
      <c r="D281" s="1324">
        <v>1.26649E-2</v>
      </c>
      <c r="E281" s="1332">
        <v>33338550</v>
      </c>
      <c r="F281" s="1333"/>
      <c r="G281" s="1332">
        <v>5708404</v>
      </c>
      <c r="H281" s="1332">
        <v>813174</v>
      </c>
      <c r="I281" s="1332">
        <v>5433631</v>
      </c>
      <c r="J281" s="1332">
        <v>0</v>
      </c>
      <c r="K281" s="1332">
        <v>11955209</v>
      </c>
      <c r="L281" s="1333"/>
      <c r="M281" s="1332">
        <v>0</v>
      </c>
      <c r="N281" s="1332">
        <v>0</v>
      </c>
      <c r="O281" s="1332">
        <v>1375351</v>
      </c>
      <c r="P281" s="1332">
        <v>1375351</v>
      </c>
      <c r="Q281" s="1333"/>
      <c r="R281" s="1332">
        <v>14850947</v>
      </c>
      <c r="S281" s="1332">
        <v>-601384</v>
      </c>
      <c r="T281" s="1332">
        <v>14249563</v>
      </c>
    </row>
    <row r="282" spans="1:20" x14ac:dyDescent="0.25">
      <c r="A282" s="1342">
        <v>92613</v>
      </c>
      <c r="B282" s="1340" t="s">
        <v>4160</v>
      </c>
      <c r="C282" s="1324">
        <v>2.23E-4</v>
      </c>
      <c r="D282" s="1324">
        <v>2.3599999999999999E-4</v>
      </c>
      <c r="E282" s="1332">
        <v>608996</v>
      </c>
      <c r="F282" s="1333"/>
      <c r="G282" s="1332">
        <v>104275</v>
      </c>
      <c r="H282" s="1332">
        <v>14855</v>
      </c>
      <c r="I282" s="1332">
        <v>99256</v>
      </c>
      <c r="J282" s="1332">
        <v>9981</v>
      </c>
      <c r="K282" s="1332">
        <v>228367</v>
      </c>
      <c r="L282" s="1333"/>
      <c r="M282" s="1332">
        <v>0</v>
      </c>
      <c r="N282" s="1332">
        <v>0</v>
      </c>
      <c r="O282" s="1332">
        <v>815</v>
      </c>
      <c r="P282" s="1332">
        <v>815</v>
      </c>
      <c r="Q282" s="1333"/>
      <c r="R282" s="1332">
        <v>271282</v>
      </c>
      <c r="S282" s="1332">
        <v>36410</v>
      </c>
      <c r="T282" s="1332">
        <v>307692</v>
      </c>
    </row>
    <row r="283" spans="1:20" x14ac:dyDescent="0.25">
      <c r="A283" s="1342">
        <v>92614</v>
      </c>
      <c r="B283" s="1340" t="s">
        <v>4161</v>
      </c>
      <c r="C283" s="1324">
        <v>5.7201999999999999E-3</v>
      </c>
      <c r="D283" s="1324">
        <v>5.5757000000000003E-3</v>
      </c>
      <c r="E283" s="1332">
        <v>15621420</v>
      </c>
      <c r="F283" s="1333"/>
      <c r="G283" s="1332">
        <v>2674783</v>
      </c>
      <c r="H283" s="1332">
        <v>381028</v>
      </c>
      <c r="I283" s="1332">
        <v>2546032</v>
      </c>
      <c r="J283" s="1332">
        <v>4572156</v>
      </c>
      <c r="K283" s="1332">
        <v>10173999</v>
      </c>
      <c r="L283" s="1333"/>
      <c r="M283" s="1332">
        <v>0</v>
      </c>
      <c r="N283" s="1332">
        <v>0</v>
      </c>
      <c r="O283" s="1332">
        <v>0</v>
      </c>
      <c r="P283" s="1332">
        <v>0</v>
      </c>
      <c r="Q283" s="1333"/>
      <c r="R283" s="1332">
        <v>6958698</v>
      </c>
      <c r="S283" s="1332">
        <v>2169149</v>
      </c>
      <c r="T283" s="1332">
        <v>9127847</v>
      </c>
    </row>
    <row r="284" spans="1:20" x14ac:dyDescent="0.25">
      <c r="A284" s="1342">
        <v>92621</v>
      </c>
      <c r="B284" s="1340" t="s">
        <v>2903</v>
      </c>
      <c r="C284" s="1324">
        <v>2.8900000000000001E-5</v>
      </c>
      <c r="D284" s="1324">
        <v>2.4600000000000002E-5</v>
      </c>
      <c r="E284" s="1332">
        <v>78924</v>
      </c>
      <c r="F284" s="1333"/>
      <c r="G284" s="1332">
        <v>13514</v>
      </c>
      <c r="H284" s="1332">
        <v>1925</v>
      </c>
      <c r="I284" s="1332">
        <v>12863</v>
      </c>
      <c r="J284" s="1332">
        <v>3366</v>
      </c>
      <c r="K284" s="1332">
        <v>31668</v>
      </c>
      <c r="L284" s="1333"/>
      <c r="M284" s="1332">
        <v>0</v>
      </c>
      <c r="N284" s="1332">
        <v>0</v>
      </c>
      <c r="O284" s="1332">
        <v>3093</v>
      </c>
      <c r="P284" s="1332">
        <v>3093</v>
      </c>
      <c r="Q284" s="1333"/>
      <c r="R284" s="1332">
        <v>35157</v>
      </c>
      <c r="S284" s="1332">
        <v>-385</v>
      </c>
      <c r="T284" s="1332">
        <v>34772</v>
      </c>
    </row>
    <row r="285" spans="1:20" x14ac:dyDescent="0.25">
      <c r="A285" s="1342">
        <v>92631</v>
      </c>
      <c r="B285" s="1340" t="s">
        <v>2904</v>
      </c>
      <c r="C285" s="1324">
        <v>9.3329999999999997E-4</v>
      </c>
      <c r="D285" s="1324">
        <v>9.0030000000000004E-4</v>
      </c>
      <c r="E285" s="1332">
        <v>2548770</v>
      </c>
      <c r="F285" s="1333"/>
      <c r="G285" s="1332">
        <v>436414</v>
      </c>
      <c r="H285" s="1332">
        <v>62168</v>
      </c>
      <c r="I285" s="1332">
        <v>415407</v>
      </c>
      <c r="J285" s="1332">
        <v>0</v>
      </c>
      <c r="K285" s="1332">
        <v>913989</v>
      </c>
      <c r="L285" s="1333"/>
      <c r="M285" s="1332">
        <v>0</v>
      </c>
      <c r="N285" s="1332">
        <v>0</v>
      </c>
      <c r="O285" s="1332">
        <v>84635</v>
      </c>
      <c r="P285" s="1332">
        <v>84635</v>
      </c>
      <c r="Q285" s="1333"/>
      <c r="R285" s="1332">
        <v>1135372</v>
      </c>
      <c r="S285" s="1332">
        <v>-54823</v>
      </c>
      <c r="T285" s="1332">
        <v>1080549</v>
      </c>
    </row>
    <row r="286" spans="1:20" x14ac:dyDescent="0.25">
      <c r="A286" s="1342">
        <v>92641</v>
      </c>
      <c r="B286" s="1340" t="s">
        <v>2905</v>
      </c>
      <c r="C286" s="1324">
        <v>1.11E-5</v>
      </c>
      <c r="D286" s="1324">
        <v>9.7000000000000003E-6</v>
      </c>
      <c r="E286" s="1332">
        <v>30313</v>
      </c>
      <c r="F286" s="1333"/>
      <c r="G286" s="1332">
        <v>5190</v>
      </c>
      <c r="H286" s="1332">
        <v>739</v>
      </c>
      <c r="I286" s="1332">
        <v>4941</v>
      </c>
      <c r="J286" s="1332">
        <v>4477</v>
      </c>
      <c r="K286" s="1332">
        <v>15347</v>
      </c>
      <c r="L286" s="1333"/>
      <c r="M286" s="1332">
        <v>0</v>
      </c>
      <c r="N286" s="1332">
        <v>0</v>
      </c>
      <c r="O286" s="1332">
        <v>0</v>
      </c>
      <c r="P286" s="1332">
        <v>0</v>
      </c>
      <c r="Q286" s="1333"/>
      <c r="R286" s="1332">
        <v>13503</v>
      </c>
      <c r="S286" s="1332">
        <v>2071</v>
      </c>
      <c r="T286" s="1332">
        <v>15574</v>
      </c>
    </row>
    <row r="287" spans="1:20" x14ac:dyDescent="0.25">
      <c r="A287" s="1342">
        <v>92651</v>
      </c>
      <c r="B287" s="1340" t="s">
        <v>2906</v>
      </c>
      <c r="C287" s="1324">
        <v>4.3000000000000003E-6</v>
      </c>
      <c r="D287" s="1324">
        <v>4.4000000000000002E-6</v>
      </c>
      <c r="E287" s="1332">
        <v>11743</v>
      </c>
      <c r="F287" s="1333"/>
      <c r="G287" s="1332">
        <v>2011</v>
      </c>
      <c r="H287" s="1332">
        <v>287</v>
      </c>
      <c r="I287" s="1332">
        <v>1914</v>
      </c>
      <c r="J287" s="1332">
        <v>2560</v>
      </c>
      <c r="K287" s="1332">
        <v>6772</v>
      </c>
      <c r="L287" s="1333"/>
      <c r="M287" s="1332">
        <v>0</v>
      </c>
      <c r="N287" s="1332">
        <v>0</v>
      </c>
      <c r="O287" s="1332">
        <v>0</v>
      </c>
      <c r="P287" s="1332">
        <v>0</v>
      </c>
      <c r="Q287" s="1333"/>
      <c r="R287" s="1332">
        <v>5231</v>
      </c>
      <c r="S287" s="1332">
        <v>1459</v>
      </c>
      <c r="T287" s="1332">
        <v>6690</v>
      </c>
    </row>
    <row r="288" spans="1:20" x14ac:dyDescent="0.25">
      <c r="A288" s="1342">
        <v>92661</v>
      </c>
      <c r="B288" s="1340" t="s">
        <v>2907</v>
      </c>
      <c r="C288" s="1324">
        <v>6.2509999999999996E-4</v>
      </c>
      <c r="D288" s="1324">
        <v>6.334E-4</v>
      </c>
      <c r="E288" s="1332">
        <v>1707099</v>
      </c>
      <c r="F288" s="1333"/>
      <c r="G288" s="1332">
        <v>292299</v>
      </c>
      <c r="H288" s="1332">
        <v>41639</v>
      </c>
      <c r="I288" s="1332">
        <v>278229</v>
      </c>
      <c r="J288" s="1332">
        <v>451004</v>
      </c>
      <c r="K288" s="1332">
        <v>1063171</v>
      </c>
      <c r="L288" s="1333"/>
      <c r="M288" s="1332">
        <v>0</v>
      </c>
      <c r="N288" s="1332">
        <v>0</v>
      </c>
      <c r="O288" s="1332">
        <v>0</v>
      </c>
      <c r="P288" s="1332">
        <v>0</v>
      </c>
      <c r="Q288" s="1333"/>
      <c r="R288" s="1332">
        <v>760442</v>
      </c>
      <c r="S288" s="1332">
        <v>221566</v>
      </c>
      <c r="T288" s="1332">
        <v>982008</v>
      </c>
    </row>
    <row r="289" spans="1:20" x14ac:dyDescent="0.25">
      <c r="A289" s="1342">
        <v>92671</v>
      </c>
      <c r="B289" s="1340" t="s">
        <v>2908</v>
      </c>
      <c r="C289" s="1324">
        <v>2.0999999999999998E-6</v>
      </c>
      <c r="D289" s="1324">
        <v>2.3999999999999999E-6</v>
      </c>
      <c r="E289" s="1332">
        <v>5735</v>
      </c>
      <c r="F289" s="1333"/>
      <c r="G289" s="1332">
        <v>982</v>
      </c>
      <c r="H289" s="1332">
        <v>140</v>
      </c>
      <c r="I289" s="1332">
        <v>935</v>
      </c>
      <c r="J289" s="1332">
        <v>7841</v>
      </c>
      <c r="K289" s="1332">
        <v>9898</v>
      </c>
      <c r="L289" s="1333"/>
      <c r="M289" s="1332">
        <v>0</v>
      </c>
      <c r="N289" s="1332">
        <v>0</v>
      </c>
      <c r="O289" s="1332">
        <v>0</v>
      </c>
      <c r="P289" s="1332">
        <v>0</v>
      </c>
      <c r="Q289" s="1333"/>
      <c r="R289" s="1332">
        <v>2555</v>
      </c>
      <c r="S289" s="1332">
        <v>3581</v>
      </c>
      <c r="T289" s="1332">
        <v>6136</v>
      </c>
    </row>
    <row r="290" spans="1:20" x14ac:dyDescent="0.25">
      <c r="A290" s="1342">
        <v>92681</v>
      </c>
      <c r="B290" s="1340" t="s">
        <v>2909</v>
      </c>
      <c r="C290" s="1324">
        <v>1.1800000000000001E-5</v>
      </c>
      <c r="D290" s="1324">
        <v>1.1800000000000001E-5</v>
      </c>
      <c r="E290" s="1332">
        <v>32225</v>
      </c>
      <c r="F290" s="1333"/>
      <c r="G290" s="1332">
        <v>5518</v>
      </c>
      <c r="H290" s="1332">
        <v>786</v>
      </c>
      <c r="I290" s="1332">
        <v>5252</v>
      </c>
      <c r="J290" s="1332">
        <v>10687</v>
      </c>
      <c r="K290" s="1332">
        <v>22243</v>
      </c>
      <c r="L290" s="1333"/>
      <c r="M290" s="1332">
        <v>0</v>
      </c>
      <c r="N290" s="1332">
        <v>0</v>
      </c>
      <c r="O290" s="1332">
        <v>0</v>
      </c>
      <c r="P290" s="1332">
        <v>0</v>
      </c>
      <c r="Q290" s="1333"/>
      <c r="R290" s="1332">
        <v>14355</v>
      </c>
      <c r="S290" s="1332">
        <v>5975</v>
      </c>
      <c r="T290" s="1332">
        <v>20330</v>
      </c>
    </row>
    <row r="291" spans="1:20" x14ac:dyDescent="0.25">
      <c r="A291" s="1342">
        <v>92701</v>
      </c>
      <c r="B291" s="1340" t="s">
        <v>2910</v>
      </c>
      <c r="C291" s="1324">
        <v>3.0688999999999998E-3</v>
      </c>
      <c r="D291" s="1324">
        <v>2.8871000000000001E-3</v>
      </c>
      <c r="E291" s="1332">
        <v>8380927</v>
      </c>
      <c r="F291" s="1333"/>
      <c r="G291" s="1332">
        <v>1435027</v>
      </c>
      <c r="H291" s="1332">
        <v>204422</v>
      </c>
      <c r="I291" s="1332">
        <v>1365952</v>
      </c>
      <c r="J291" s="1332">
        <v>123035</v>
      </c>
      <c r="K291" s="1332">
        <v>3128436</v>
      </c>
      <c r="L291" s="1333"/>
      <c r="M291" s="1332">
        <v>0</v>
      </c>
      <c r="N291" s="1332">
        <v>0</v>
      </c>
      <c r="O291" s="1332">
        <v>112999</v>
      </c>
      <c r="P291" s="1332">
        <v>112999</v>
      </c>
      <c r="Q291" s="1333"/>
      <c r="R291" s="1332">
        <v>3733357</v>
      </c>
      <c r="S291" s="1332">
        <v>-3483</v>
      </c>
      <c r="T291" s="1332">
        <v>3729874</v>
      </c>
    </row>
    <row r="292" spans="1:20" x14ac:dyDescent="0.25">
      <c r="A292" s="1342">
        <v>92704</v>
      </c>
      <c r="B292" s="1340" t="s">
        <v>4162</v>
      </c>
      <c r="C292" s="1324">
        <v>3.6900000000000002E-5</v>
      </c>
      <c r="D292" s="1324">
        <v>3.9400000000000002E-5</v>
      </c>
      <c r="E292" s="1332">
        <v>100771</v>
      </c>
      <c r="F292" s="1333"/>
      <c r="G292" s="1332">
        <v>17255</v>
      </c>
      <c r="H292" s="1332">
        <v>2458</v>
      </c>
      <c r="I292" s="1332">
        <v>16424</v>
      </c>
      <c r="J292" s="1332">
        <v>0</v>
      </c>
      <c r="K292" s="1332">
        <v>36137</v>
      </c>
      <c r="L292" s="1333"/>
      <c r="M292" s="1332">
        <v>0</v>
      </c>
      <c r="N292" s="1332">
        <v>0</v>
      </c>
      <c r="O292" s="1332">
        <v>5075</v>
      </c>
      <c r="P292" s="1332">
        <v>5075</v>
      </c>
      <c r="Q292" s="1333"/>
      <c r="R292" s="1332">
        <v>44889</v>
      </c>
      <c r="S292" s="1332">
        <v>-1568</v>
      </c>
      <c r="T292" s="1332">
        <v>43321</v>
      </c>
    </row>
    <row r="293" spans="1:20" x14ac:dyDescent="0.25">
      <c r="A293" s="1342">
        <v>92801</v>
      </c>
      <c r="B293" s="1340" t="s">
        <v>2912</v>
      </c>
      <c r="C293" s="1324">
        <v>5.4352999999999997E-3</v>
      </c>
      <c r="D293" s="1324">
        <v>5.2335999999999997E-3</v>
      </c>
      <c r="E293" s="1332">
        <v>14843380</v>
      </c>
      <c r="F293" s="1333"/>
      <c r="G293" s="1332">
        <v>2541563</v>
      </c>
      <c r="H293" s="1332">
        <v>362051</v>
      </c>
      <c r="I293" s="1332">
        <v>2419225</v>
      </c>
      <c r="J293" s="1332">
        <v>372203</v>
      </c>
      <c r="K293" s="1332">
        <v>5695042</v>
      </c>
      <c r="L293" s="1333"/>
      <c r="M293" s="1332">
        <v>0</v>
      </c>
      <c r="N293" s="1332">
        <v>0</v>
      </c>
      <c r="O293" s="1332">
        <v>0</v>
      </c>
      <c r="P293" s="1332">
        <v>0</v>
      </c>
      <c r="Q293" s="1333"/>
      <c r="R293" s="1332">
        <v>6612113</v>
      </c>
      <c r="S293" s="1332">
        <v>156138</v>
      </c>
      <c r="T293" s="1332">
        <v>6768251</v>
      </c>
    </row>
    <row r="294" spans="1:20" ht="14.25" customHeight="1" x14ac:dyDescent="0.25">
      <c r="A294" s="1342">
        <v>92802</v>
      </c>
      <c r="B294" s="1340" t="s">
        <v>2913</v>
      </c>
      <c r="C294" s="1324">
        <v>1.198E-4</v>
      </c>
      <c r="D294" s="1324">
        <v>1.2799999999999999E-4</v>
      </c>
      <c r="E294" s="1332">
        <v>327164</v>
      </c>
      <c r="F294" s="1333"/>
      <c r="G294" s="1332">
        <v>56019</v>
      </c>
      <c r="H294" s="1332">
        <v>7980</v>
      </c>
      <c r="I294" s="1332">
        <v>53322</v>
      </c>
      <c r="J294" s="1332">
        <v>0</v>
      </c>
      <c r="K294" s="1332">
        <v>117321</v>
      </c>
      <c r="L294" s="1333"/>
      <c r="M294" s="1332">
        <v>0</v>
      </c>
      <c r="N294" s="1332">
        <v>0</v>
      </c>
      <c r="O294" s="1332">
        <v>18832</v>
      </c>
      <c r="P294" s="1332">
        <v>18832</v>
      </c>
      <c r="Q294" s="1333"/>
      <c r="R294" s="1332">
        <v>145738</v>
      </c>
      <c r="S294" s="1332">
        <v>-9182</v>
      </c>
      <c r="T294" s="1332">
        <v>136556</v>
      </c>
    </row>
    <row r="295" spans="1:20" s="1344" customFormat="1" ht="14.25" customHeight="1" x14ac:dyDescent="0.25">
      <c r="A295" s="1342">
        <v>92804</v>
      </c>
      <c r="B295" s="1340" t="s">
        <v>2914</v>
      </c>
      <c r="C295" s="1324">
        <v>1.427E-4</v>
      </c>
      <c r="D295" s="1324">
        <v>1.4990000000000001E-4</v>
      </c>
      <c r="E295" s="1332">
        <v>389703</v>
      </c>
      <c r="F295" s="1333"/>
      <c r="G295" s="1332">
        <v>66727</v>
      </c>
      <c r="H295" s="1332">
        <v>9505</v>
      </c>
      <c r="I295" s="1332">
        <v>63515</v>
      </c>
      <c r="J295" s="1332">
        <v>4663</v>
      </c>
      <c r="K295" s="1332">
        <v>144410</v>
      </c>
      <c r="L295" s="1333"/>
      <c r="M295" s="1332">
        <v>0</v>
      </c>
      <c r="N295" s="1332">
        <v>0</v>
      </c>
      <c r="O295" s="1332">
        <v>15239</v>
      </c>
      <c r="P295" s="1332">
        <v>15239</v>
      </c>
      <c r="Q295" s="1333"/>
      <c r="R295" s="1332">
        <v>173596</v>
      </c>
      <c r="S295" s="1332">
        <v>-571</v>
      </c>
      <c r="T295" s="1332">
        <v>173025</v>
      </c>
    </row>
    <row r="296" spans="1:20" s="1344" customFormat="1" ht="14.25" customHeight="1" x14ac:dyDescent="0.25">
      <c r="A296" s="1342">
        <v>92811</v>
      </c>
      <c r="B296" s="1340" t="s">
        <v>2915</v>
      </c>
      <c r="C296" s="1324">
        <v>9.1160000000000004E-4</v>
      </c>
      <c r="D296" s="1324">
        <v>9.6909999999999997E-4</v>
      </c>
      <c r="E296" s="1332">
        <v>2489508</v>
      </c>
      <c r="F296" s="1333"/>
      <c r="G296" s="1332">
        <v>426267</v>
      </c>
      <c r="H296" s="1332">
        <v>60722</v>
      </c>
      <c r="I296" s="1332">
        <v>405749</v>
      </c>
      <c r="J296" s="1332">
        <v>0</v>
      </c>
      <c r="K296" s="1332">
        <v>892738</v>
      </c>
      <c r="L296" s="1333"/>
      <c r="M296" s="1332">
        <v>0</v>
      </c>
      <c r="N296" s="1332">
        <v>0</v>
      </c>
      <c r="O296" s="1332">
        <v>70333</v>
      </c>
      <c r="P296" s="1332">
        <v>70333</v>
      </c>
      <c r="Q296" s="1333"/>
      <c r="R296" s="1332">
        <v>1108973</v>
      </c>
      <c r="S296" s="1332">
        <v>-39478</v>
      </c>
      <c r="T296" s="1332">
        <v>1069495</v>
      </c>
    </row>
    <row r="297" spans="1:20" x14ac:dyDescent="0.25">
      <c r="A297" s="1342">
        <v>92821</v>
      </c>
      <c r="B297" s="1340" t="s">
        <v>2916</v>
      </c>
      <c r="C297" s="1324">
        <v>9.8409999999999991E-4</v>
      </c>
      <c r="D297" s="1324">
        <v>1.0001999999999999E-3</v>
      </c>
      <c r="E297" s="1332">
        <v>2687500</v>
      </c>
      <c r="F297" s="1333"/>
      <c r="G297" s="1332">
        <v>460168</v>
      </c>
      <c r="H297" s="1332">
        <v>65552</v>
      </c>
      <c r="I297" s="1332">
        <v>438018</v>
      </c>
      <c r="J297" s="1332">
        <v>21378</v>
      </c>
      <c r="K297" s="1332">
        <v>985116</v>
      </c>
      <c r="L297" s="1333"/>
      <c r="M297" s="1332">
        <v>0</v>
      </c>
      <c r="N297" s="1332">
        <v>0</v>
      </c>
      <c r="O297" s="1332">
        <v>0</v>
      </c>
      <c r="P297" s="1332">
        <v>0</v>
      </c>
      <c r="Q297" s="1333"/>
      <c r="R297" s="1332">
        <v>1197170</v>
      </c>
      <c r="S297" s="1332">
        <v>12668</v>
      </c>
      <c r="T297" s="1332">
        <v>1209838</v>
      </c>
    </row>
    <row r="298" spans="1:20" x14ac:dyDescent="0.25">
      <c r="A298" s="1342">
        <v>92831</v>
      </c>
      <c r="B298" s="1340" t="s">
        <v>2917</v>
      </c>
      <c r="C298" s="1324">
        <v>2.5230000000000001E-4</v>
      </c>
      <c r="D298" s="1324">
        <v>2.3580000000000001E-4</v>
      </c>
      <c r="E298" s="1332">
        <v>689012</v>
      </c>
      <c r="F298" s="1333"/>
      <c r="G298" s="1332">
        <v>117976</v>
      </c>
      <c r="H298" s="1332">
        <v>16806</v>
      </c>
      <c r="I298" s="1332">
        <v>112297</v>
      </c>
      <c r="J298" s="1332">
        <v>49093</v>
      </c>
      <c r="K298" s="1332">
        <v>296172</v>
      </c>
      <c r="L298" s="1333"/>
      <c r="M298" s="1332">
        <v>0</v>
      </c>
      <c r="N298" s="1332">
        <v>0</v>
      </c>
      <c r="O298" s="1332">
        <v>1078</v>
      </c>
      <c r="P298" s="1332">
        <v>1078</v>
      </c>
      <c r="Q298" s="1333"/>
      <c r="R298" s="1332">
        <v>306926</v>
      </c>
      <c r="S298" s="1332">
        <v>18160</v>
      </c>
      <c r="T298" s="1332">
        <v>325086</v>
      </c>
    </row>
    <row r="299" spans="1:20" x14ac:dyDescent="0.25">
      <c r="A299" s="1342">
        <v>92841</v>
      </c>
      <c r="B299" s="1340" t="s">
        <v>2918</v>
      </c>
      <c r="C299" s="1324">
        <v>2.4340000000000001E-4</v>
      </c>
      <c r="D299" s="1324">
        <v>2.5769999999999998E-4</v>
      </c>
      <c r="E299" s="1332">
        <v>664706</v>
      </c>
      <c r="F299" s="1333"/>
      <c r="G299" s="1332">
        <v>113815</v>
      </c>
      <c r="H299" s="1332">
        <v>16213</v>
      </c>
      <c r="I299" s="1332">
        <v>108336</v>
      </c>
      <c r="J299" s="1332">
        <v>0</v>
      </c>
      <c r="K299" s="1332">
        <v>238364</v>
      </c>
      <c r="L299" s="1333"/>
      <c r="M299" s="1332">
        <v>0</v>
      </c>
      <c r="N299" s="1332">
        <v>0</v>
      </c>
      <c r="O299" s="1332">
        <v>25404</v>
      </c>
      <c r="P299" s="1332">
        <v>25404</v>
      </c>
      <c r="Q299" s="1333"/>
      <c r="R299" s="1332">
        <v>296099</v>
      </c>
      <c r="S299" s="1332">
        <v>-9365</v>
      </c>
      <c r="T299" s="1332">
        <v>286734</v>
      </c>
    </row>
    <row r="300" spans="1:20" x14ac:dyDescent="0.25">
      <c r="A300" s="1342">
        <v>92851</v>
      </c>
      <c r="B300" s="1340" t="s">
        <v>2919</v>
      </c>
      <c r="C300" s="1324">
        <v>4.2850000000000001E-4</v>
      </c>
      <c r="D300" s="1324">
        <v>4.3899999999999999E-4</v>
      </c>
      <c r="E300" s="1332">
        <v>1170200</v>
      </c>
      <c r="F300" s="1333"/>
      <c r="G300" s="1332">
        <v>200368</v>
      </c>
      <c r="H300" s="1332">
        <v>28542</v>
      </c>
      <c r="I300" s="1332">
        <v>190723</v>
      </c>
      <c r="J300" s="1332">
        <v>0</v>
      </c>
      <c r="K300" s="1332">
        <v>419633</v>
      </c>
      <c r="L300" s="1333"/>
      <c r="M300" s="1332">
        <v>0</v>
      </c>
      <c r="N300" s="1332">
        <v>0</v>
      </c>
      <c r="O300" s="1332">
        <v>64195</v>
      </c>
      <c r="P300" s="1332">
        <v>64195</v>
      </c>
      <c r="Q300" s="1333"/>
      <c r="R300" s="1332">
        <v>521276</v>
      </c>
      <c r="S300" s="1332">
        <v>-33079</v>
      </c>
      <c r="T300" s="1332">
        <v>488197</v>
      </c>
    </row>
    <row r="301" spans="1:20" x14ac:dyDescent="0.25">
      <c r="A301" s="1342">
        <v>92861</v>
      </c>
      <c r="B301" s="1340" t="s">
        <v>2920</v>
      </c>
      <c r="C301" s="1324">
        <v>3.6309999999999999E-4</v>
      </c>
      <c r="D301" s="1324">
        <v>3.7629999999999999E-4</v>
      </c>
      <c r="E301" s="1332">
        <v>991598</v>
      </c>
      <c r="F301" s="1333"/>
      <c r="G301" s="1332">
        <v>169787</v>
      </c>
      <c r="H301" s="1332">
        <v>24187</v>
      </c>
      <c r="I301" s="1332">
        <v>161614</v>
      </c>
      <c r="J301" s="1332">
        <v>0</v>
      </c>
      <c r="K301" s="1332">
        <v>355588</v>
      </c>
      <c r="L301" s="1333"/>
      <c r="M301" s="1332">
        <v>0</v>
      </c>
      <c r="N301" s="1332">
        <v>0</v>
      </c>
      <c r="O301" s="1332">
        <v>75179</v>
      </c>
      <c r="P301" s="1332">
        <v>75179</v>
      </c>
      <c r="Q301" s="1333"/>
      <c r="R301" s="1332">
        <v>441716</v>
      </c>
      <c r="S301" s="1332">
        <v>-40752</v>
      </c>
      <c r="T301" s="1332">
        <v>400964</v>
      </c>
    </row>
    <row r="302" spans="1:20" x14ac:dyDescent="0.25">
      <c r="A302" s="1342">
        <v>92901</v>
      </c>
      <c r="B302" s="1340" t="s">
        <v>2921</v>
      </c>
      <c r="C302" s="1324">
        <v>5.4326000000000001E-3</v>
      </c>
      <c r="D302" s="1324">
        <v>5.4257999999999997E-3</v>
      </c>
      <c r="E302" s="1332">
        <v>14836007</v>
      </c>
      <c r="F302" s="1333"/>
      <c r="G302" s="1332">
        <v>2540300</v>
      </c>
      <c r="H302" s="1332">
        <v>361871</v>
      </c>
      <c r="I302" s="1332">
        <v>2418023</v>
      </c>
      <c r="J302" s="1332">
        <v>38960</v>
      </c>
      <c r="K302" s="1332">
        <v>5359154</v>
      </c>
      <c r="L302" s="1333"/>
      <c r="M302" s="1332">
        <v>0</v>
      </c>
      <c r="N302" s="1332">
        <v>0</v>
      </c>
      <c r="O302" s="1332">
        <v>54506</v>
      </c>
      <c r="P302" s="1332">
        <v>54506</v>
      </c>
      <c r="Q302" s="1333"/>
      <c r="R302" s="1332">
        <v>6608829</v>
      </c>
      <c r="S302" s="1332">
        <v>-4364</v>
      </c>
      <c r="T302" s="1332">
        <v>6604465</v>
      </c>
    </row>
    <row r="303" spans="1:20" x14ac:dyDescent="0.25">
      <c r="A303" s="1342">
        <v>92911</v>
      </c>
      <c r="B303" s="1340" t="s">
        <v>2922</v>
      </c>
      <c r="C303" s="1324">
        <v>1.9161E-3</v>
      </c>
      <c r="D303" s="1324">
        <v>1.9322E-3</v>
      </c>
      <c r="E303" s="1332">
        <v>5232720</v>
      </c>
      <c r="F303" s="1333"/>
      <c r="G303" s="1332">
        <v>895974</v>
      </c>
      <c r="H303" s="1332">
        <v>127633</v>
      </c>
      <c r="I303" s="1332">
        <v>852847</v>
      </c>
      <c r="J303" s="1332">
        <v>59315</v>
      </c>
      <c r="K303" s="1332">
        <v>1935769</v>
      </c>
      <c r="L303" s="1333"/>
      <c r="M303" s="1332">
        <v>0</v>
      </c>
      <c r="N303" s="1332">
        <v>0</v>
      </c>
      <c r="O303" s="1332">
        <v>12601</v>
      </c>
      <c r="P303" s="1332">
        <v>12601</v>
      </c>
      <c r="Q303" s="1333"/>
      <c r="R303" s="1332">
        <v>2330961</v>
      </c>
      <c r="S303" s="1332">
        <v>-19454</v>
      </c>
      <c r="T303" s="1332">
        <v>2311507</v>
      </c>
    </row>
    <row r="304" spans="1:20" x14ac:dyDescent="0.25">
      <c r="A304" s="1342">
        <v>92913</v>
      </c>
      <c r="B304" s="1340" t="s">
        <v>2923</v>
      </c>
      <c r="C304" s="1324">
        <v>2.0400000000000001E-5</v>
      </c>
      <c r="D304" s="1324">
        <v>2.1500000000000001E-5</v>
      </c>
      <c r="E304" s="1332">
        <v>55711</v>
      </c>
      <c r="F304" s="1333"/>
      <c r="G304" s="1332">
        <v>9539</v>
      </c>
      <c r="H304" s="1332">
        <v>1359</v>
      </c>
      <c r="I304" s="1332">
        <v>9080</v>
      </c>
      <c r="J304" s="1332">
        <v>95515</v>
      </c>
      <c r="K304" s="1332">
        <v>115493</v>
      </c>
      <c r="L304" s="1333"/>
      <c r="M304" s="1332">
        <v>0</v>
      </c>
      <c r="N304" s="1332">
        <v>0</v>
      </c>
      <c r="O304" s="1332">
        <v>0</v>
      </c>
      <c r="P304" s="1332">
        <v>0</v>
      </c>
      <c r="Q304" s="1333"/>
      <c r="R304" s="1332">
        <v>24817</v>
      </c>
      <c r="S304" s="1332">
        <v>45531</v>
      </c>
      <c r="T304" s="1332">
        <v>70348</v>
      </c>
    </row>
    <row r="305" spans="1:20" x14ac:dyDescent="0.25">
      <c r="A305" s="1342">
        <v>92914</v>
      </c>
      <c r="B305" s="1340" t="s">
        <v>3686</v>
      </c>
      <c r="C305" s="1324">
        <v>2.55E-5</v>
      </c>
      <c r="D305" s="1324">
        <v>2.4899999999999999E-5</v>
      </c>
      <c r="E305" s="1332">
        <v>69639</v>
      </c>
      <c r="F305" s="1333"/>
      <c r="G305" s="1332">
        <v>11924</v>
      </c>
      <c r="H305" s="1332">
        <v>1699</v>
      </c>
      <c r="I305" s="1332">
        <v>11350</v>
      </c>
      <c r="J305" s="1332">
        <v>10211</v>
      </c>
      <c r="K305" s="1332">
        <v>35184</v>
      </c>
      <c r="L305" s="1333"/>
      <c r="M305" s="1332">
        <v>0</v>
      </c>
      <c r="N305" s="1332">
        <v>0</v>
      </c>
      <c r="O305" s="1332">
        <v>934</v>
      </c>
      <c r="P305" s="1332">
        <v>934</v>
      </c>
      <c r="Q305" s="1333"/>
      <c r="R305" s="1332">
        <v>31021</v>
      </c>
      <c r="S305" s="1332">
        <v>4387</v>
      </c>
      <c r="T305" s="1332">
        <v>35408</v>
      </c>
    </row>
    <row r="306" spans="1:20" x14ac:dyDescent="0.25">
      <c r="A306" s="1342">
        <v>92917</v>
      </c>
      <c r="B306" s="1340" t="s">
        <v>2924</v>
      </c>
      <c r="C306" s="1324">
        <v>1.9199999999999999E-5</v>
      </c>
      <c r="D306" s="1324">
        <v>1.6099999999999998E-5</v>
      </c>
      <c r="E306" s="1332">
        <v>52434</v>
      </c>
      <c r="F306" s="1333"/>
      <c r="G306" s="1332">
        <v>8978</v>
      </c>
      <c r="H306" s="1332">
        <v>1279</v>
      </c>
      <c r="I306" s="1332">
        <v>8546</v>
      </c>
      <c r="J306" s="1332">
        <v>16266</v>
      </c>
      <c r="K306" s="1332">
        <v>35069</v>
      </c>
      <c r="L306" s="1333"/>
      <c r="M306" s="1332">
        <v>0</v>
      </c>
      <c r="N306" s="1332">
        <v>0</v>
      </c>
      <c r="O306" s="1332">
        <v>0</v>
      </c>
      <c r="P306" s="1332">
        <v>0</v>
      </c>
      <c r="Q306" s="1333"/>
      <c r="R306" s="1332">
        <v>23357</v>
      </c>
      <c r="S306" s="1332">
        <v>7245</v>
      </c>
      <c r="T306" s="1332">
        <v>30602</v>
      </c>
    </row>
    <row r="307" spans="1:20" x14ac:dyDescent="0.25">
      <c r="A307" s="1342">
        <v>92921</v>
      </c>
      <c r="B307" s="1340" t="s">
        <v>2925</v>
      </c>
      <c r="C307" s="1324">
        <v>9.6600000000000003E-5</v>
      </c>
      <c r="D307" s="1324">
        <v>9.2499999999999999E-5</v>
      </c>
      <c r="E307" s="1332">
        <v>263807</v>
      </c>
      <c r="F307" s="1333"/>
      <c r="G307" s="1332">
        <v>45170</v>
      </c>
      <c r="H307" s="1332">
        <v>6435</v>
      </c>
      <c r="I307" s="1332">
        <v>42996</v>
      </c>
      <c r="J307" s="1332">
        <v>27274</v>
      </c>
      <c r="K307" s="1332">
        <v>121875</v>
      </c>
      <c r="L307" s="1333"/>
      <c r="M307" s="1332">
        <v>0</v>
      </c>
      <c r="N307" s="1332">
        <v>0</v>
      </c>
      <c r="O307" s="1332">
        <v>766</v>
      </c>
      <c r="P307" s="1332">
        <v>766</v>
      </c>
      <c r="Q307" s="1333"/>
      <c r="R307" s="1332">
        <v>117515</v>
      </c>
      <c r="S307" s="1332">
        <v>8501</v>
      </c>
      <c r="T307" s="1332">
        <v>126016</v>
      </c>
    </row>
    <row r="308" spans="1:20" x14ac:dyDescent="0.25">
      <c r="A308" s="1342">
        <v>92931</v>
      </c>
      <c r="B308" s="1340" t="s">
        <v>2926</v>
      </c>
      <c r="C308" s="1324">
        <v>2.2504999999999999E-3</v>
      </c>
      <c r="D308" s="1324">
        <v>2.4600999999999998E-3</v>
      </c>
      <c r="E308" s="1332">
        <v>6145940</v>
      </c>
      <c r="F308" s="1333"/>
      <c r="G308" s="1332">
        <v>1052341</v>
      </c>
      <c r="H308" s="1332">
        <v>149908</v>
      </c>
      <c r="I308" s="1332">
        <v>1001686</v>
      </c>
      <c r="J308" s="1332">
        <v>21154</v>
      </c>
      <c r="K308" s="1332">
        <v>2225089</v>
      </c>
      <c r="L308" s="1333"/>
      <c r="M308" s="1332">
        <v>0</v>
      </c>
      <c r="N308" s="1332">
        <v>0</v>
      </c>
      <c r="O308" s="1332">
        <v>242689</v>
      </c>
      <c r="P308" s="1332">
        <v>242689</v>
      </c>
      <c r="Q308" s="1333"/>
      <c r="R308" s="1332">
        <v>2737763</v>
      </c>
      <c r="S308" s="1332">
        <v>-87922</v>
      </c>
      <c r="T308" s="1332">
        <v>2649841</v>
      </c>
    </row>
    <row r="309" spans="1:20" x14ac:dyDescent="0.25">
      <c r="A309" s="1342">
        <v>92941</v>
      </c>
      <c r="B309" s="1340" t="s">
        <v>1450</v>
      </c>
      <c r="C309" s="1324">
        <v>4.1999999999999996E-6</v>
      </c>
      <c r="D309" s="1324">
        <v>4.3000000000000003E-6</v>
      </c>
      <c r="E309" s="1332">
        <v>11470</v>
      </c>
      <c r="F309" s="1333"/>
      <c r="G309" s="1332">
        <v>1964</v>
      </c>
      <c r="H309" s="1332">
        <v>280</v>
      </c>
      <c r="I309" s="1332">
        <v>1869</v>
      </c>
      <c r="J309" s="1332">
        <v>1299</v>
      </c>
      <c r="K309" s="1332">
        <v>5412</v>
      </c>
      <c r="L309" s="1333"/>
      <c r="M309" s="1332">
        <v>0</v>
      </c>
      <c r="N309" s="1332">
        <v>0</v>
      </c>
      <c r="O309" s="1332">
        <v>2959</v>
      </c>
      <c r="P309" s="1332">
        <v>2959</v>
      </c>
      <c r="Q309" s="1333"/>
      <c r="R309" s="1332">
        <v>5109</v>
      </c>
      <c r="S309" s="1332">
        <v>1923</v>
      </c>
      <c r="T309" s="1332">
        <v>7032</v>
      </c>
    </row>
    <row r="310" spans="1:20" x14ac:dyDescent="0.25">
      <c r="A310" s="1342">
        <v>93001</v>
      </c>
      <c r="B310" s="1340" t="s">
        <v>2927</v>
      </c>
      <c r="C310" s="1324">
        <v>2.2536000000000001E-3</v>
      </c>
      <c r="D310" s="1324">
        <v>2.2772000000000001E-3</v>
      </c>
      <c r="E310" s="1332">
        <v>6154406</v>
      </c>
      <c r="F310" s="1333"/>
      <c r="G310" s="1332">
        <v>1053790</v>
      </c>
      <c r="H310" s="1332">
        <v>150114</v>
      </c>
      <c r="I310" s="1332">
        <v>1003066</v>
      </c>
      <c r="J310" s="1332">
        <v>8068</v>
      </c>
      <c r="K310" s="1332">
        <v>2215038</v>
      </c>
      <c r="L310" s="1333"/>
      <c r="M310" s="1332">
        <v>0</v>
      </c>
      <c r="N310" s="1332">
        <v>0</v>
      </c>
      <c r="O310" s="1332">
        <v>85648</v>
      </c>
      <c r="P310" s="1332">
        <v>85648</v>
      </c>
      <c r="Q310" s="1333"/>
      <c r="R310" s="1332">
        <v>2741534</v>
      </c>
      <c r="S310" s="1332">
        <v>-28337</v>
      </c>
      <c r="T310" s="1332">
        <v>2713197</v>
      </c>
    </row>
    <row r="311" spans="1:20" x14ac:dyDescent="0.25">
      <c r="A311" s="1342">
        <v>93009</v>
      </c>
      <c r="B311" s="1340" t="s">
        <v>4163</v>
      </c>
      <c r="C311" s="1324">
        <v>1.2799999999999999E-5</v>
      </c>
      <c r="D311" s="1324">
        <v>1.38E-5</v>
      </c>
      <c r="E311" s="1332">
        <v>34956</v>
      </c>
      <c r="F311" s="1333"/>
      <c r="G311" s="1332">
        <v>5985</v>
      </c>
      <c r="H311" s="1332">
        <v>853</v>
      </c>
      <c r="I311" s="1332">
        <v>5697</v>
      </c>
      <c r="J311" s="1332">
        <v>0</v>
      </c>
      <c r="K311" s="1332">
        <v>12535</v>
      </c>
      <c r="L311" s="1333"/>
      <c r="M311" s="1332">
        <v>0</v>
      </c>
      <c r="N311" s="1332">
        <v>0</v>
      </c>
      <c r="O311" s="1332">
        <v>4121</v>
      </c>
      <c r="P311" s="1332">
        <v>4121</v>
      </c>
      <c r="Q311" s="1333"/>
      <c r="R311" s="1332">
        <v>15571</v>
      </c>
      <c r="S311" s="1332">
        <v>-2017</v>
      </c>
      <c r="T311" s="1332">
        <v>13554</v>
      </c>
    </row>
    <row r="312" spans="1:20" x14ac:dyDescent="0.25">
      <c r="A312" s="1342">
        <v>93011</v>
      </c>
      <c r="B312" s="1340" t="s">
        <v>2929</v>
      </c>
      <c r="C312" s="1324">
        <v>3.0909999999999998E-4</v>
      </c>
      <c r="D312" s="1324">
        <v>2.7599999999999999E-4</v>
      </c>
      <c r="E312" s="1332">
        <v>844128</v>
      </c>
      <c r="F312" s="1333"/>
      <c r="G312" s="1332">
        <v>144536</v>
      </c>
      <c r="H312" s="1332">
        <v>20589</v>
      </c>
      <c r="I312" s="1332">
        <v>137579</v>
      </c>
      <c r="J312" s="1332">
        <v>64840</v>
      </c>
      <c r="K312" s="1332">
        <v>367544</v>
      </c>
      <c r="L312" s="1333"/>
      <c r="M312" s="1332">
        <v>0</v>
      </c>
      <c r="N312" s="1332">
        <v>0</v>
      </c>
      <c r="O312" s="1332">
        <v>6573</v>
      </c>
      <c r="P312" s="1332">
        <v>6573</v>
      </c>
      <c r="Q312" s="1333"/>
      <c r="R312" s="1332">
        <v>376024</v>
      </c>
      <c r="S312" s="1332">
        <v>16344</v>
      </c>
      <c r="T312" s="1332">
        <v>392368</v>
      </c>
    </row>
    <row r="313" spans="1:20" x14ac:dyDescent="0.25">
      <c r="A313" s="1342">
        <v>93021</v>
      </c>
      <c r="B313" s="1340" t="s">
        <v>2930</v>
      </c>
      <c r="C313" s="1324">
        <v>3.0499999999999999E-5</v>
      </c>
      <c r="D313" s="1324">
        <v>3.3399999999999999E-5</v>
      </c>
      <c r="E313" s="1332">
        <v>83293</v>
      </c>
      <c r="F313" s="1333"/>
      <c r="G313" s="1332">
        <v>14262</v>
      </c>
      <c r="H313" s="1332">
        <v>2032</v>
      </c>
      <c r="I313" s="1332">
        <v>13575</v>
      </c>
      <c r="J313" s="1332">
        <v>694</v>
      </c>
      <c r="K313" s="1332">
        <v>30563</v>
      </c>
      <c r="L313" s="1333"/>
      <c r="M313" s="1332">
        <v>0</v>
      </c>
      <c r="N313" s="1332">
        <v>0</v>
      </c>
      <c r="O313" s="1332">
        <v>6729</v>
      </c>
      <c r="P313" s="1332">
        <v>6729</v>
      </c>
      <c r="Q313" s="1333"/>
      <c r="R313" s="1332">
        <v>37104</v>
      </c>
      <c r="S313" s="1332">
        <v>-2102</v>
      </c>
      <c r="T313" s="1332">
        <v>35002</v>
      </c>
    </row>
    <row r="314" spans="1:20" ht="14.25" customHeight="1" x14ac:dyDescent="0.25">
      <c r="A314" s="1342">
        <v>93031</v>
      </c>
      <c r="B314" s="1340" t="s">
        <v>2932</v>
      </c>
      <c r="C314" s="1324">
        <v>7.7000000000000008E-6</v>
      </c>
      <c r="D314" s="1324">
        <v>1.26E-5</v>
      </c>
      <c r="E314" s="1332">
        <v>21028</v>
      </c>
      <c r="F314" s="1333"/>
      <c r="G314" s="1332">
        <v>3601</v>
      </c>
      <c r="H314" s="1332">
        <v>513</v>
      </c>
      <c r="I314" s="1332">
        <v>3427</v>
      </c>
      <c r="J314" s="1332">
        <v>13846</v>
      </c>
      <c r="K314" s="1332">
        <v>21387</v>
      </c>
      <c r="L314" s="1333"/>
      <c r="M314" s="1332">
        <v>0</v>
      </c>
      <c r="N314" s="1332">
        <v>0</v>
      </c>
      <c r="O314" s="1332">
        <v>0</v>
      </c>
      <c r="P314" s="1332">
        <v>0</v>
      </c>
      <c r="Q314" s="1333"/>
      <c r="R314" s="1332">
        <v>9367</v>
      </c>
      <c r="S314" s="1332">
        <v>8191</v>
      </c>
      <c r="T314" s="1332">
        <v>17558</v>
      </c>
    </row>
    <row r="315" spans="1:20" x14ac:dyDescent="0.25">
      <c r="A315" s="1342">
        <v>93101</v>
      </c>
      <c r="B315" s="1340" t="s">
        <v>2933</v>
      </c>
      <c r="C315" s="1324">
        <v>3.1914999999999999E-3</v>
      </c>
      <c r="D315" s="1324">
        <v>3.2376000000000002E-3</v>
      </c>
      <c r="E315" s="1332">
        <v>8715738</v>
      </c>
      <c r="F315" s="1333"/>
      <c r="G315" s="1332">
        <v>1492355</v>
      </c>
      <c r="H315" s="1332">
        <v>212589</v>
      </c>
      <c r="I315" s="1332">
        <v>1420521</v>
      </c>
      <c r="J315" s="1332">
        <v>9298</v>
      </c>
      <c r="K315" s="1332">
        <v>3134763</v>
      </c>
      <c r="L315" s="1333"/>
      <c r="M315" s="1332">
        <v>0</v>
      </c>
      <c r="N315" s="1332">
        <v>0</v>
      </c>
      <c r="O315" s="1332">
        <v>325706</v>
      </c>
      <c r="P315" s="1332">
        <v>325706</v>
      </c>
      <c r="Q315" s="1333"/>
      <c r="R315" s="1332">
        <v>3882501</v>
      </c>
      <c r="S315" s="1332">
        <v>-82519</v>
      </c>
      <c r="T315" s="1332">
        <v>3799982</v>
      </c>
    </row>
    <row r="316" spans="1:20" ht="30" x14ac:dyDescent="0.25">
      <c r="A316" s="1342">
        <v>93103</v>
      </c>
      <c r="B316" s="1340" t="s">
        <v>2126</v>
      </c>
      <c r="C316" s="1324">
        <v>1.56E-5</v>
      </c>
      <c r="D316" s="1324">
        <v>1.6699999999999999E-5</v>
      </c>
      <c r="E316" s="1332">
        <v>42602</v>
      </c>
      <c r="F316" s="1333"/>
      <c r="G316" s="1332">
        <v>7295</v>
      </c>
      <c r="H316" s="1332">
        <v>1039</v>
      </c>
      <c r="I316" s="1332">
        <v>6943</v>
      </c>
      <c r="J316" s="1332">
        <v>1741</v>
      </c>
      <c r="K316" s="1332">
        <v>17018</v>
      </c>
      <c r="L316" s="1333"/>
      <c r="M316" s="1332">
        <v>0</v>
      </c>
      <c r="N316" s="1332">
        <v>0</v>
      </c>
      <c r="O316" s="1332">
        <v>4919</v>
      </c>
      <c r="P316" s="1332">
        <v>4919</v>
      </c>
      <c r="Q316" s="1333"/>
      <c r="R316" s="1332">
        <v>18978</v>
      </c>
      <c r="S316" s="1332">
        <v>862</v>
      </c>
      <c r="T316" s="1332">
        <v>19840</v>
      </c>
    </row>
    <row r="317" spans="1:20" x14ac:dyDescent="0.25">
      <c r="A317" s="1342">
        <v>93108</v>
      </c>
      <c r="B317" s="1340" t="s">
        <v>2934</v>
      </c>
      <c r="C317" s="1324">
        <v>2.2694E-3</v>
      </c>
      <c r="D317" s="1324">
        <v>2.4109999999999999E-3</v>
      </c>
      <c r="E317" s="1332">
        <v>6197554</v>
      </c>
      <c r="F317" s="1333"/>
      <c r="G317" s="1332">
        <v>1061178</v>
      </c>
      <c r="H317" s="1332">
        <v>151167</v>
      </c>
      <c r="I317" s="1332">
        <v>1010099</v>
      </c>
      <c r="J317" s="1332">
        <v>33498</v>
      </c>
      <c r="K317" s="1332">
        <v>2255942</v>
      </c>
      <c r="L317" s="1333"/>
      <c r="M317" s="1332">
        <v>0</v>
      </c>
      <c r="N317" s="1332">
        <v>0</v>
      </c>
      <c r="O317" s="1332">
        <v>242634</v>
      </c>
      <c r="P317" s="1332">
        <v>242634</v>
      </c>
      <c r="Q317" s="1333"/>
      <c r="R317" s="1332">
        <v>2760755</v>
      </c>
      <c r="S317" s="1332">
        <v>-19113</v>
      </c>
      <c r="T317" s="1332">
        <v>2741642</v>
      </c>
    </row>
    <row r="318" spans="1:20" x14ac:dyDescent="0.25">
      <c r="A318" s="1342">
        <v>93111</v>
      </c>
      <c r="B318" s="1340" t="s">
        <v>2935</v>
      </c>
      <c r="C318" s="1324">
        <v>5.8199999999999998E-5</v>
      </c>
      <c r="D318" s="1324">
        <v>6.1500000000000004E-5</v>
      </c>
      <c r="E318" s="1332">
        <v>158940</v>
      </c>
      <c r="F318" s="1333"/>
      <c r="G318" s="1332">
        <v>27214</v>
      </c>
      <c r="H318" s="1332">
        <v>3877</v>
      </c>
      <c r="I318" s="1332">
        <v>25905</v>
      </c>
      <c r="J318" s="1332">
        <v>457</v>
      </c>
      <c r="K318" s="1332">
        <v>57453</v>
      </c>
      <c r="L318" s="1333"/>
      <c r="M318" s="1332">
        <v>0</v>
      </c>
      <c r="N318" s="1332">
        <v>0</v>
      </c>
      <c r="O318" s="1332">
        <v>8959</v>
      </c>
      <c r="P318" s="1332">
        <v>8959</v>
      </c>
      <c r="Q318" s="1333"/>
      <c r="R318" s="1332">
        <v>70801</v>
      </c>
      <c r="S318" s="1332">
        <v>-5584</v>
      </c>
      <c r="T318" s="1332">
        <v>65217</v>
      </c>
    </row>
    <row r="319" spans="1:20" x14ac:dyDescent="0.25">
      <c r="A319" s="1342">
        <v>93121</v>
      </c>
      <c r="B319" s="1340" t="s">
        <v>2936</v>
      </c>
      <c r="C319" s="1324">
        <v>6.2199999999999994E-5</v>
      </c>
      <c r="D319" s="1324">
        <v>5.3300000000000001E-5</v>
      </c>
      <c r="E319" s="1332">
        <v>169863</v>
      </c>
      <c r="F319" s="1333"/>
      <c r="G319" s="1332">
        <v>29085</v>
      </c>
      <c r="H319" s="1332">
        <v>4144</v>
      </c>
      <c r="I319" s="1332">
        <v>27685</v>
      </c>
      <c r="J319" s="1332">
        <v>9804</v>
      </c>
      <c r="K319" s="1332">
        <v>70718</v>
      </c>
      <c r="L319" s="1333"/>
      <c r="M319" s="1332">
        <v>0</v>
      </c>
      <c r="N319" s="1332">
        <v>0</v>
      </c>
      <c r="O319" s="1332">
        <v>4161</v>
      </c>
      <c r="P319" s="1332">
        <v>4161</v>
      </c>
      <c r="Q319" s="1333"/>
      <c r="R319" s="1332">
        <v>75667</v>
      </c>
      <c r="S319" s="1332">
        <v>-617</v>
      </c>
      <c r="T319" s="1332">
        <v>75050</v>
      </c>
    </row>
    <row r="320" spans="1:20" x14ac:dyDescent="0.25">
      <c r="A320" s="1342">
        <v>93127</v>
      </c>
      <c r="B320" s="1340" t="s">
        <v>2937</v>
      </c>
      <c r="C320" s="1324">
        <v>5.9000000000000003E-6</v>
      </c>
      <c r="D320" s="1324">
        <v>6.8000000000000001E-6</v>
      </c>
      <c r="E320" s="1332">
        <v>16112</v>
      </c>
      <c r="F320" s="1333"/>
      <c r="G320" s="1332">
        <v>2759</v>
      </c>
      <c r="H320" s="1332">
        <v>393</v>
      </c>
      <c r="I320" s="1332">
        <v>2626</v>
      </c>
      <c r="J320" s="1332">
        <v>62</v>
      </c>
      <c r="K320" s="1332">
        <v>5840</v>
      </c>
      <c r="L320" s="1333"/>
      <c r="M320" s="1332">
        <v>0</v>
      </c>
      <c r="N320" s="1332">
        <v>0</v>
      </c>
      <c r="O320" s="1332">
        <v>1037</v>
      </c>
      <c r="P320" s="1332">
        <v>1037</v>
      </c>
      <c r="Q320" s="1333"/>
      <c r="R320" s="1332">
        <v>7177</v>
      </c>
      <c r="S320" s="1332">
        <v>-424</v>
      </c>
      <c r="T320" s="1332">
        <v>6753</v>
      </c>
    </row>
    <row r="321" spans="1:20" x14ac:dyDescent="0.25">
      <c r="A321" s="1342">
        <v>93131</v>
      </c>
      <c r="B321" s="1340" t="s">
        <v>2938</v>
      </c>
      <c r="C321" s="1324">
        <v>1.7799999999999999E-4</v>
      </c>
      <c r="D321" s="1324">
        <v>2.0129999999999999E-4</v>
      </c>
      <c r="E321" s="1332">
        <v>486104</v>
      </c>
      <c r="F321" s="1333"/>
      <c r="G321" s="1332">
        <v>83233</v>
      </c>
      <c r="H321" s="1332">
        <v>11856</v>
      </c>
      <c r="I321" s="1332">
        <v>79227</v>
      </c>
      <c r="J321" s="1332">
        <v>0</v>
      </c>
      <c r="K321" s="1332">
        <v>174316</v>
      </c>
      <c r="L321" s="1333"/>
      <c r="M321" s="1332">
        <v>0</v>
      </c>
      <c r="N321" s="1332">
        <v>0</v>
      </c>
      <c r="O321" s="1332">
        <v>39396</v>
      </c>
      <c r="P321" s="1332">
        <v>39396</v>
      </c>
      <c r="Q321" s="1333"/>
      <c r="R321" s="1332">
        <v>216539</v>
      </c>
      <c r="S321" s="1332">
        <v>-11948</v>
      </c>
      <c r="T321" s="1332">
        <v>204591</v>
      </c>
    </row>
    <row r="322" spans="1:20" x14ac:dyDescent="0.25">
      <c r="A322" s="1342">
        <v>93137</v>
      </c>
      <c r="B322" s="1340" t="s">
        <v>2939</v>
      </c>
      <c r="C322" s="1324">
        <v>4.7999999999999998E-6</v>
      </c>
      <c r="D322" s="1324">
        <v>4.7999999999999998E-6</v>
      </c>
      <c r="E322" s="1332">
        <v>13108</v>
      </c>
      <c r="F322" s="1333"/>
      <c r="G322" s="1332">
        <v>2244</v>
      </c>
      <c r="H322" s="1332">
        <v>320</v>
      </c>
      <c r="I322" s="1332">
        <v>2136</v>
      </c>
      <c r="J322" s="1332">
        <v>2774</v>
      </c>
      <c r="K322" s="1332">
        <v>7474</v>
      </c>
      <c r="L322" s="1333"/>
      <c r="M322" s="1332">
        <v>0</v>
      </c>
      <c r="N322" s="1332">
        <v>0</v>
      </c>
      <c r="O322" s="1332">
        <v>0</v>
      </c>
      <c r="P322" s="1332">
        <v>0</v>
      </c>
      <c r="Q322" s="1333"/>
      <c r="R322" s="1332">
        <v>5839</v>
      </c>
      <c r="S322" s="1332">
        <v>1331</v>
      </c>
      <c r="T322" s="1332">
        <v>7170</v>
      </c>
    </row>
    <row r="323" spans="1:20" x14ac:dyDescent="0.25">
      <c r="A323" s="1342">
        <v>93141</v>
      </c>
      <c r="B323" s="1340" t="s">
        <v>2940</v>
      </c>
      <c r="C323" s="1324">
        <v>3.2499999999999997E-5</v>
      </c>
      <c r="D323" s="1324">
        <v>3.2299999999999999E-5</v>
      </c>
      <c r="E323" s="1332">
        <v>88755</v>
      </c>
      <c r="F323" s="1333"/>
      <c r="G323" s="1332">
        <v>15197</v>
      </c>
      <c r="H323" s="1332">
        <v>2165</v>
      </c>
      <c r="I323" s="1332">
        <v>14466</v>
      </c>
      <c r="J323" s="1332">
        <v>1366</v>
      </c>
      <c r="K323" s="1332">
        <v>33194</v>
      </c>
      <c r="L323" s="1333"/>
      <c r="M323" s="1332">
        <v>0</v>
      </c>
      <c r="N323" s="1332">
        <v>0</v>
      </c>
      <c r="O323" s="1332">
        <v>7233</v>
      </c>
      <c r="P323" s="1332">
        <v>7233</v>
      </c>
      <c r="Q323" s="1333"/>
      <c r="R323" s="1332">
        <v>39537</v>
      </c>
      <c r="S323" s="1332">
        <v>-3447</v>
      </c>
      <c r="T323" s="1332">
        <v>36090</v>
      </c>
    </row>
    <row r="324" spans="1:20" x14ac:dyDescent="0.25">
      <c r="A324" s="1342">
        <v>93151</v>
      </c>
      <c r="B324" s="1340" t="s">
        <v>2941</v>
      </c>
      <c r="C324" s="1324">
        <v>3.7100000000000002E-4</v>
      </c>
      <c r="D324" s="1324">
        <v>3.2410000000000002E-4</v>
      </c>
      <c r="E324" s="1332">
        <v>1013172</v>
      </c>
      <c r="F324" s="1333"/>
      <c r="G324" s="1332">
        <v>173481</v>
      </c>
      <c r="H324" s="1332">
        <v>24713</v>
      </c>
      <c r="I324" s="1332">
        <v>165130</v>
      </c>
      <c r="J324" s="1332">
        <v>18022</v>
      </c>
      <c r="K324" s="1332">
        <v>381346</v>
      </c>
      <c r="L324" s="1333"/>
      <c r="M324" s="1332">
        <v>0</v>
      </c>
      <c r="N324" s="1332">
        <v>0</v>
      </c>
      <c r="O324" s="1332">
        <v>17464</v>
      </c>
      <c r="P324" s="1332">
        <v>17464</v>
      </c>
      <c r="Q324" s="1333"/>
      <c r="R324" s="1332">
        <v>451326</v>
      </c>
      <c r="S324" s="1332">
        <v>-1518</v>
      </c>
      <c r="T324" s="1332">
        <v>449808</v>
      </c>
    </row>
    <row r="325" spans="1:20" x14ac:dyDescent="0.25">
      <c r="A325" s="1342">
        <v>93157</v>
      </c>
      <c r="B325" s="1340" t="s">
        <v>4165</v>
      </c>
      <c r="C325" s="1324">
        <v>7.9000000000000006E-6</v>
      </c>
      <c r="D325" s="1324">
        <v>3.4999999999999999E-6</v>
      </c>
      <c r="E325" s="1332">
        <v>21574</v>
      </c>
      <c r="F325" s="1333"/>
      <c r="G325" s="1332">
        <v>3694</v>
      </c>
      <c r="H325" s="1332">
        <v>526</v>
      </c>
      <c r="I325" s="1332">
        <v>3516</v>
      </c>
      <c r="J325" s="1332">
        <v>11256</v>
      </c>
      <c r="K325" s="1332">
        <v>18992</v>
      </c>
      <c r="L325" s="1333"/>
      <c r="M325" s="1332">
        <v>0</v>
      </c>
      <c r="N325" s="1332">
        <v>0</v>
      </c>
      <c r="O325" s="1332">
        <v>0</v>
      </c>
      <c r="P325" s="1332">
        <v>0</v>
      </c>
      <c r="Q325" s="1333"/>
      <c r="R325" s="1332">
        <v>9610</v>
      </c>
      <c r="S325" s="1332">
        <v>3943</v>
      </c>
      <c r="T325" s="1332">
        <v>13553</v>
      </c>
    </row>
    <row r="326" spans="1:20" x14ac:dyDescent="0.25">
      <c r="A326" s="1342">
        <v>93161</v>
      </c>
      <c r="B326" s="1340" t="s">
        <v>2943</v>
      </c>
      <c r="C326" s="1324">
        <v>1.2180000000000001E-4</v>
      </c>
      <c r="D326" s="1324">
        <v>1.105E-4</v>
      </c>
      <c r="E326" s="1332">
        <v>332626</v>
      </c>
      <c r="F326" s="1333"/>
      <c r="G326" s="1332">
        <v>56954</v>
      </c>
      <c r="H326" s="1332">
        <v>8113</v>
      </c>
      <c r="I326" s="1332">
        <v>54213</v>
      </c>
      <c r="J326" s="1332">
        <v>20926</v>
      </c>
      <c r="K326" s="1332">
        <v>140206</v>
      </c>
      <c r="L326" s="1333"/>
      <c r="M326" s="1332">
        <v>0</v>
      </c>
      <c r="N326" s="1332">
        <v>0</v>
      </c>
      <c r="O326" s="1332">
        <v>0</v>
      </c>
      <c r="P326" s="1332">
        <v>0</v>
      </c>
      <c r="Q326" s="1333"/>
      <c r="R326" s="1332">
        <v>148171</v>
      </c>
      <c r="S326" s="1332">
        <v>10103</v>
      </c>
      <c r="T326" s="1332">
        <v>158274</v>
      </c>
    </row>
    <row r="327" spans="1:20" x14ac:dyDescent="0.25">
      <c r="A327" s="1342">
        <v>93171</v>
      </c>
      <c r="B327" s="1340" t="s">
        <v>2944</v>
      </c>
      <c r="C327" s="1324">
        <v>5.3000000000000001E-6</v>
      </c>
      <c r="D327" s="1324">
        <v>2.7E-6</v>
      </c>
      <c r="E327" s="1332">
        <v>14474</v>
      </c>
      <c r="F327" s="1333"/>
      <c r="G327" s="1332">
        <v>2478</v>
      </c>
      <c r="H327" s="1332">
        <v>353</v>
      </c>
      <c r="I327" s="1332">
        <v>2359</v>
      </c>
      <c r="J327" s="1332">
        <v>4617</v>
      </c>
      <c r="K327" s="1332">
        <v>9807</v>
      </c>
      <c r="L327" s="1333"/>
      <c r="M327" s="1332">
        <v>0</v>
      </c>
      <c r="N327" s="1332">
        <v>0</v>
      </c>
      <c r="O327" s="1332">
        <v>740</v>
      </c>
      <c r="P327" s="1332">
        <v>740</v>
      </c>
      <c r="Q327" s="1333"/>
      <c r="R327" s="1332">
        <v>6448</v>
      </c>
      <c r="S327" s="1332">
        <v>1322</v>
      </c>
      <c r="T327" s="1332">
        <v>7770</v>
      </c>
    </row>
    <row r="328" spans="1:20" x14ac:dyDescent="0.25">
      <c r="A328" s="1342">
        <v>93181</v>
      </c>
      <c r="B328" s="1340" t="s">
        <v>2945</v>
      </c>
      <c r="C328" s="1324">
        <v>1.04E-5</v>
      </c>
      <c r="D328" s="1324">
        <v>1.1E-5</v>
      </c>
      <c r="E328" s="1332">
        <v>28402</v>
      </c>
      <c r="F328" s="1333"/>
      <c r="G328" s="1332">
        <v>4863</v>
      </c>
      <c r="H328" s="1332">
        <v>693</v>
      </c>
      <c r="I328" s="1332">
        <v>4629</v>
      </c>
      <c r="J328" s="1332">
        <v>422</v>
      </c>
      <c r="K328" s="1332">
        <v>10607</v>
      </c>
      <c r="L328" s="1333"/>
      <c r="M328" s="1332">
        <v>0</v>
      </c>
      <c r="N328" s="1332">
        <v>0</v>
      </c>
      <c r="O328" s="1332">
        <v>0</v>
      </c>
      <c r="P328" s="1332">
        <v>0</v>
      </c>
      <c r="Q328" s="1333"/>
      <c r="R328" s="1332">
        <v>12652</v>
      </c>
      <c r="S328" s="1332">
        <v>175</v>
      </c>
      <c r="T328" s="1332">
        <v>12827</v>
      </c>
    </row>
    <row r="329" spans="1:20" x14ac:dyDescent="0.25">
      <c r="A329" s="1342">
        <v>93191</v>
      </c>
      <c r="B329" s="1340" t="s">
        <v>2946</v>
      </c>
      <c r="C329" s="1324">
        <v>2.34E-5</v>
      </c>
      <c r="D329" s="1324">
        <v>2.2500000000000001E-5</v>
      </c>
      <c r="E329" s="1332">
        <v>63904</v>
      </c>
      <c r="F329" s="1333"/>
      <c r="G329" s="1332">
        <v>10942</v>
      </c>
      <c r="H329" s="1332">
        <v>1559</v>
      </c>
      <c r="I329" s="1332">
        <v>10415</v>
      </c>
      <c r="J329" s="1332">
        <v>7490</v>
      </c>
      <c r="K329" s="1332">
        <v>30406</v>
      </c>
      <c r="L329" s="1333"/>
      <c r="M329" s="1332">
        <v>0</v>
      </c>
      <c r="N329" s="1332">
        <v>0</v>
      </c>
      <c r="O329" s="1332">
        <v>897</v>
      </c>
      <c r="P329" s="1332">
        <v>897</v>
      </c>
      <c r="Q329" s="1333"/>
      <c r="R329" s="1332">
        <v>28466</v>
      </c>
      <c r="S329" s="1332">
        <v>2375</v>
      </c>
      <c r="T329" s="1332">
        <v>30841</v>
      </c>
    </row>
    <row r="330" spans="1:20" x14ac:dyDescent="0.25">
      <c r="A330" s="1342">
        <v>93201</v>
      </c>
      <c r="B330" s="1340" t="s">
        <v>2947</v>
      </c>
      <c r="C330" s="1324">
        <v>1.5197799999999999E-2</v>
      </c>
      <c r="D330" s="1324">
        <v>1.5763099999999999E-2</v>
      </c>
      <c r="E330" s="1332">
        <v>41504006</v>
      </c>
      <c r="F330" s="1333"/>
      <c r="G330" s="1332">
        <v>7106537</v>
      </c>
      <c r="H330" s="1332">
        <v>1012341</v>
      </c>
      <c r="I330" s="1332">
        <v>6764465</v>
      </c>
      <c r="J330" s="1332">
        <v>274846</v>
      </c>
      <c r="K330" s="1332">
        <v>15158189</v>
      </c>
      <c r="L330" s="1333"/>
      <c r="M330" s="1332">
        <v>0</v>
      </c>
      <c r="N330" s="1332">
        <v>0</v>
      </c>
      <c r="O330" s="1332">
        <v>451750</v>
      </c>
      <c r="P330" s="1332">
        <v>451750</v>
      </c>
      <c r="Q330" s="1333"/>
      <c r="R330" s="1332">
        <v>18488321</v>
      </c>
      <c r="S330" s="1332">
        <v>183653</v>
      </c>
      <c r="T330" s="1332">
        <v>18671974</v>
      </c>
    </row>
    <row r="331" spans="1:20" x14ac:dyDescent="0.25">
      <c r="A331" s="1342">
        <v>93204</v>
      </c>
      <c r="B331" s="1340" t="s">
        <v>2949</v>
      </c>
      <c r="C331" s="1324">
        <v>2.9710000000000001E-4</v>
      </c>
      <c r="D331" s="1324">
        <v>3.28E-4</v>
      </c>
      <c r="E331" s="1332">
        <v>811357</v>
      </c>
      <c r="F331" s="1333"/>
      <c r="G331" s="1332">
        <v>138925</v>
      </c>
      <c r="H331" s="1332">
        <v>19791</v>
      </c>
      <c r="I331" s="1332">
        <v>132238</v>
      </c>
      <c r="J331" s="1332">
        <v>29186</v>
      </c>
      <c r="K331" s="1332">
        <v>320140</v>
      </c>
      <c r="L331" s="1333"/>
      <c r="M331" s="1332">
        <v>0</v>
      </c>
      <c r="N331" s="1332">
        <v>0</v>
      </c>
      <c r="O331" s="1332">
        <v>10100</v>
      </c>
      <c r="P331" s="1332">
        <v>10100</v>
      </c>
      <c r="Q331" s="1333"/>
      <c r="R331" s="1332">
        <v>361426</v>
      </c>
      <c r="S331" s="1332">
        <v>9389</v>
      </c>
      <c r="T331" s="1332">
        <v>370815</v>
      </c>
    </row>
    <row r="332" spans="1:20" x14ac:dyDescent="0.25">
      <c r="A332" s="1342">
        <v>93209</v>
      </c>
      <c r="B332" s="1340" t="s">
        <v>2950</v>
      </c>
      <c r="C332" s="1324">
        <v>5.5938000000000003E-3</v>
      </c>
      <c r="D332" s="1324">
        <v>5.1598E-3</v>
      </c>
      <c r="E332" s="1332">
        <v>15276231</v>
      </c>
      <c r="F332" s="1333"/>
      <c r="G332" s="1332">
        <v>2615678</v>
      </c>
      <c r="H332" s="1332">
        <v>372609</v>
      </c>
      <c r="I332" s="1332">
        <v>2489772</v>
      </c>
      <c r="J332" s="1332">
        <v>360929</v>
      </c>
      <c r="K332" s="1332">
        <v>5838988</v>
      </c>
      <c r="L332" s="1333"/>
      <c r="M332" s="1332">
        <v>0</v>
      </c>
      <c r="N332" s="1332">
        <v>0</v>
      </c>
      <c r="O332" s="1332">
        <v>0</v>
      </c>
      <c r="P332" s="1332">
        <v>0</v>
      </c>
      <c r="Q332" s="1333"/>
      <c r="R332" s="1332">
        <v>6804930</v>
      </c>
      <c r="S332" s="1332">
        <v>243537</v>
      </c>
      <c r="T332" s="1332">
        <v>7048467</v>
      </c>
    </row>
    <row r="333" spans="1:20" x14ac:dyDescent="0.25">
      <c r="A333" s="1342">
        <v>93211</v>
      </c>
      <c r="B333" s="1340" t="s">
        <v>2951</v>
      </c>
      <c r="C333" s="1324">
        <v>2.16165E-2</v>
      </c>
      <c r="D333" s="1324">
        <v>2.1090299999999999E-2</v>
      </c>
      <c r="E333" s="1332">
        <v>59032975</v>
      </c>
      <c r="F333" s="1333"/>
      <c r="G333" s="1332">
        <v>10107940</v>
      </c>
      <c r="H333" s="1332">
        <v>1439897</v>
      </c>
      <c r="I333" s="1332">
        <v>9621396</v>
      </c>
      <c r="J333" s="1332">
        <v>782085</v>
      </c>
      <c r="K333" s="1332">
        <v>21951318</v>
      </c>
      <c r="L333" s="1333"/>
      <c r="M333" s="1332">
        <v>0</v>
      </c>
      <c r="N333" s="1332">
        <v>0</v>
      </c>
      <c r="O333" s="1332">
        <v>193585</v>
      </c>
      <c r="P333" s="1332">
        <v>193585</v>
      </c>
      <c r="Q333" s="1333"/>
      <c r="R333" s="1332">
        <v>26296753</v>
      </c>
      <c r="S333" s="1332">
        <v>-70449</v>
      </c>
      <c r="T333" s="1332">
        <v>26226304</v>
      </c>
    </row>
    <row r="334" spans="1:20" x14ac:dyDescent="0.25">
      <c r="A334" s="1342">
        <v>93212</v>
      </c>
      <c r="B334" s="1340" t="s">
        <v>4166</v>
      </c>
      <c r="C334" s="1324">
        <v>2.3910000000000001E-4</v>
      </c>
      <c r="D334" s="1324">
        <v>2.7540000000000003E-4</v>
      </c>
      <c r="E334" s="1332">
        <v>652963</v>
      </c>
      <c r="F334" s="1333"/>
      <c r="G334" s="1332">
        <v>111804</v>
      </c>
      <c r="H334" s="1332">
        <v>15927</v>
      </c>
      <c r="I334" s="1332">
        <v>106422</v>
      </c>
      <c r="J334" s="1332">
        <v>211180</v>
      </c>
      <c r="K334" s="1332">
        <v>445333</v>
      </c>
      <c r="L334" s="1333"/>
      <c r="M334" s="1332">
        <v>0</v>
      </c>
      <c r="N334" s="1332">
        <v>0</v>
      </c>
      <c r="O334" s="1332">
        <v>0</v>
      </c>
      <c r="P334" s="1332">
        <v>0</v>
      </c>
      <c r="Q334" s="1333"/>
      <c r="R334" s="1332">
        <v>290868</v>
      </c>
      <c r="S334" s="1332">
        <v>95368</v>
      </c>
      <c r="T334" s="1332">
        <v>386236</v>
      </c>
    </row>
    <row r="335" spans="1:20" ht="14.25" customHeight="1" x14ac:dyDescent="0.25">
      <c r="A335" s="1342">
        <v>93219</v>
      </c>
      <c r="B335" s="1340" t="s">
        <v>2953</v>
      </c>
      <c r="C335" s="1324">
        <v>2.6229999999999998E-4</v>
      </c>
      <c r="D335" s="1324">
        <v>2.5329999999999998E-4</v>
      </c>
      <c r="E335" s="1332">
        <v>716321</v>
      </c>
      <c r="F335" s="1333"/>
      <c r="G335" s="1332">
        <v>122652</v>
      </c>
      <c r="H335" s="1332">
        <v>17472</v>
      </c>
      <c r="I335" s="1332">
        <v>116748</v>
      </c>
      <c r="J335" s="1332">
        <v>26604</v>
      </c>
      <c r="K335" s="1332">
        <v>283476</v>
      </c>
      <c r="L335" s="1333"/>
      <c r="M335" s="1332">
        <v>0</v>
      </c>
      <c r="N335" s="1332">
        <v>0</v>
      </c>
      <c r="O335" s="1332">
        <v>2871</v>
      </c>
      <c r="P335" s="1332">
        <v>2871</v>
      </c>
      <c r="Q335" s="1333"/>
      <c r="R335" s="1332">
        <v>319091</v>
      </c>
      <c r="S335" s="1332">
        <v>5110</v>
      </c>
      <c r="T335" s="1332">
        <v>324201</v>
      </c>
    </row>
    <row r="336" spans="1:20" x14ac:dyDescent="0.25">
      <c r="A336" s="1342">
        <v>93301</v>
      </c>
      <c r="B336" s="1340" t="s">
        <v>2954</v>
      </c>
      <c r="C336" s="1324">
        <v>2.2057999999999999E-3</v>
      </c>
      <c r="D336" s="1324">
        <v>2.3299000000000002E-3</v>
      </c>
      <c r="E336" s="1332">
        <v>6023868</v>
      </c>
      <c r="F336" s="1333"/>
      <c r="G336" s="1332">
        <v>1031439</v>
      </c>
      <c r="H336" s="1332">
        <v>146931</v>
      </c>
      <c r="I336" s="1332">
        <v>981791</v>
      </c>
      <c r="J336" s="1332">
        <v>14244</v>
      </c>
      <c r="K336" s="1332">
        <v>2174405</v>
      </c>
      <c r="L336" s="1333"/>
      <c r="M336" s="1332">
        <v>0</v>
      </c>
      <c r="N336" s="1332">
        <v>0</v>
      </c>
      <c r="O336" s="1332">
        <v>198450</v>
      </c>
      <c r="P336" s="1332">
        <v>198450</v>
      </c>
      <c r="Q336" s="1333"/>
      <c r="R336" s="1332">
        <v>2683384</v>
      </c>
      <c r="S336" s="1332">
        <v>-63081</v>
      </c>
      <c r="T336" s="1332">
        <v>2620303</v>
      </c>
    </row>
    <row r="337" spans="1:20" x14ac:dyDescent="0.25">
      <c r="A337" s="1342">
        <v>93304</v>
      </c>
      <c r="B337" s="1340" t="s">
        <v>2955</v>
      </c>
      <c r="C337" s="1324">
        <v>3.9400000000000002E-5</v>
      </c>
      <c r="D337" s="1324">
        <v>3.3399999999999999E-5</v>
      </c>
      <c r="E337" s="1332">
        <v>107598</v>
      </c>
      <c r="F337" s="1333"/>
      <c r="G337" s="1332">
        <v>18424</v>
      </c>
      <c r="H337" s="1332">
        <v>2625</v>
      </c>
      <c r="I337" s="1332">
        <v>17537</v>
      </c>
      <c r="J337" s="1332">
        <v>12577</v>
      </c>
      <c r="K337" s="1332">
        <v>51163</v>
      </c>
      <c r="L337" s="1333"/>
      <c r="M337" s="1332">
        <v>0</v>
      </c>
      <c r="N337" s="1332">
        <v>0</v>
      </c>
      <c r="O337" s="1332">
        <v>0</v>
      </c>
      <c r="P337" s="1332">
        <v>0</v>
      </c>
      <c r="Q337" s="1333"/>
      <c r="R337" s="1332">
        <v>47931</v>
      </c>
      <c r="S337" s="1332">
        <v>6702</v>
      </c>
      <c r="T337" s="1332">
        <v>54633</v>
      </c>
    </row>
    <row r="338" spans="1:20" x14ac:dyDescent="0.25">
      <c r="A338" s="1342">
        <v>93305</v>
      </c>
      <c r="B338" s="1340" t="s">
        <v>2956</v>
      </c>
      <c r="C338" s="1324">
        <v>4.0299999999999997E-5</v>
      </c>
      <c r="D338" s="1324">
        <v>4.4799999999999998E-5</v>
      </c>
      <c r="E338" s="1332">
        <v>110056</v>
      </c>
      <c r="F338" s="1333"/>
      <c r="G338" s="1332">
        <v>18844</v>
      </c>
      <c r="H338" s="1332">
        <v>2684</v>
      </c>
      <c r="I338" s="1332">
        <v>17937</v>
      </c>
      <c r="J338" s="1332">
        <v>0</v>
      </c>
      <c r="K338" s="1332">
        <v>39465</v>
      </c>
      <c r="L338" s="1333"/>
      <c r="M338" s="1332">
        <v>0</v>
      </c>
      <c r="N338" s="1332">
        <v>0</v>
      </c>
      <c r="O338" s="1332">
        <v>7864</v>
      </c>
      <c r="P338" s="1332">
        <v>7864</v>
      </c>
      <c r="Q338" s="1333"/>
      <c r="R338" s="1332">
        <v>49025</v>
      </c>
      <c r="S338" s="1332">
        <v>-3114</v>
      </c>
      <c r="T338" s="1332">
        <v>45911</v>
      </c>
    </row>
    <row r="339" spans="1:20" x14ac:dyDescent="0.25">
      <c r="A339" s="1342">
        <v>93309</v>
      </c>
      <c r="B339" s="1340" t="s">
        <v>2957</v>
      </c>
      <c r="C339" s="1324">
        <v>1.6239999999999999E-4</v>
      </c>
      <c r="D339" s="1324">
        <v>1.6430000000000001E-4</v>
      </c>
      <c r="E339" s="1332">
        <v>443502</v>
      </c>
      <c r="F339" s="1333"/>
      <c r="G339" s="1332">
        <v>75939</v>
      </c>
      <c r="H339" s="1332">
        <v>10818</v>
      </c>
      <c r="I339" s="1332">
        <v>72283</v>
      </c>
      <c r="J339" s="1332">
        <v>30381</v>
      </c>
      <c r="K339" s="1332">
        <v>189421</v>
      </c>
      <c r="L339" s="1333"/>
      <c r="M339" s="1332">
        <v>0</v>
      </c>
      <c r="N339" s="1332">
        <v>0</v>
      </c>
      <c r="O339" s="1332">
        <v>0</v>
      </c>
      <c r="P339" s="1332">
        <v>0</v>
      </c>
      <c r="Q339" s="1333"/>
      <c r="R339" s="1332">
        <v>197562</v>
      </c>
      <c r="S339" s="1332">
        <v>14679</v>
      </c>
      <c r="T339" s="1332">
        <v>212241</v>
      </c>
    </row>
    <row r="340" spans="1:20" x14ac:dyDescent="0.25">
      <c r="A340" s="1342">
        <v>93311</v>
      </c>
      <c r="B340" s="1340" t="s">
        <v>2958</v>
      </c>
      <c r="C340" s="1324">
        <v>1.2413999999999999E-3</v>
      </c>
      <c r="D340" s="1324">
        <v>1.2439E-3</v>
      </c>
      <c r="E340" s="1332">
        <v>3390167</v>
      </c>
      <c r="F340" s="1333"/>
      <c r="G340" s="1332">
        <v>580482</v>
      </c>
      <c r="H340" s="1332">
        <v>82690</v>
      </c>
      <c r="I340" s="1332">
        <v>552541</v>
      </c>
      <c r="J340" s="1332">
        <v>16973</v>
      </c>
      <c r="K340" s="1332">
        <v>1232686</v>
      </c>
      <c r="L340" s="1333"/>
      <c r="M340" s="1332">
        <v>0</v>
      </c>
      <c r="N340" s="1332">
        <v>0</v>
      </c>
      <c r="O340" s="1332">
        <v>75260</v>
      </c>
      <c r="P340" s="1332">
        <v>75260</v>
      </c>
      <c r="Q340" s="1333"/>
      <c r="R340" s="1332">
        <v>1510179</v>
      </c>
      <c r="S340" s="1332">
        <v>-36199</v>
      </c>
      <c r="T340" s="1332">
        <v>1473980</v>
      </c>
    </row>
    <row r="341" spans="1:20" x14ac:dyDescent="0.25">
      <c r="A341" s="1342">
        <v>93317</v>
      </c>
      <c r="B341" s="1340" t="s">
        <v>2959</v>
      </c>
      <c r="C341" s="1324">
        <v>4.1199999999999999E-5</v>
      </c>
      <c r="D341" s="1324">
        <v>4.8300000000000002E-5</v>
      </c>
      <c r="E341" s="1332">
        <v>112514</v>
      </c>
      <c r="F341" s="1333"/>
      <c r="G341" s="1332">
        <v>19265</v>
      </c>
      <c r="H341" s="1332">
        <v>2745</v>
      </c>
      <c r="I341" s="1332">
        <v>18338</v>
      </c>
      <c r="J341" s="1332">
        <v>298</v>
      </c>
      <c r="K341" s="1332">
        <v>40646</v>
      </c>
      <c r="L341" s="1333"/>
      <c r="M341" s="1332">
        <v>0</v>
      </c>
      <c r="N341" s="1332">
        <v>0</v>
      </c>
      <c r="O341" s="1332">
        <v>6200</v>
      </c>
      <c r="P341" s="1332">
        <v>6200</v>
      </c>
      <c r="Q341" s="1333"/>
      <c r="R341" s="1332">
        <v>50120</v>
      </c>
      <c r="S341" s="1332">
        <v>-1471</v>
      </c>
      <c r="T341" s="1332">
        <v>48649</v>
      </c>
    </row>
    <row r="342" spans="1:20" x14ac:dyDescent="0.25">
      <c r="A342" s="1342">
        <v>93321</v>
      </c>
      <c r="B342" s="1340" t="s">
        <v>2960</v>
      </c>
      <c r="C342" s="1324">
        <v>6.7971999999999998E-3</v>
      </c>
      <c r="D342" s="1324">
        <v>7.0657000000000003E-3</v>
      </c>
      <c r="E342" s="1332">
        <v>18562623</v>
      </c>
      <c r="F342" s="1333"/>
      <c r="G342" s="1332">
        <v>3178391</v>
      </c>
      <c r="H342" s="1332">
        <v>452768</v>
      </c>
      <c r="I342" s="1332">
        <v>3025400</v>
      </c>
      <c r="J342" s="1332">
        <v>0</v>
      </c>
      <c r="K342" s="1332">
        <v>6656559</v>
      </c>
      <c r="L342" s="1333"/>
      <c r="M342" s="1332">
        <v>0</v>
      </c>
      <c r="N342" s="1332">
        <v>0</v>
      </c>
      <c r="O342" s="1332">
        <v>639533</v>
      </c>
      <c r="P342" s="1332">
        <v>639533</v>
      </c>
      <c r="Q342" s="1333"/>
      <c r="R342" s="1332">
        <v>8268882</v>
      </c>
      <c r="S342" s="1332">
        <v>-310057</v>
      </c>
      <c r="T342" s="1332">
        <v>7958825</v>
      </c>
    </row>
    <row r="343" spans="1:20" x14ac:dyDescent="0.25">
      <c r="A343" s="1342">
        <v>93323</v>
      </c>
      <c r="B343" s="1340" t="s">
        <v>2961</v>
      </c>
      <c r="C343" s="1324">
        <v>2.0100000000000001E-5</v>
      </c>
      <c r="D343" s="1324">
        <v>1.9300000000000002E-5</v>
      </c>
      <c r="E343" s="1332">
        <v>54892</v>
      </c>
      <c r="F343" s="1333"/>
      <c r="G343" s="1332">
        <v>9399</v>
      </c>
      <c r="H343" s="1332">
        <v>1339</v>
      </c>
      <c r="I343" s="1332">
        <v>8946</v>
      </c>
      <c r="J343" s="1332">
        <v>3470</v>
      </c>
      <c r="K343" s="1332">
        <v>23154</v>
      </c>
      <c r="L343" s="1333"/>
      <c r="M343" s="1332">
        <v>0</v>
      </c>
      <c r="N343" s="1332">
        <v>0</v>
      </c>
      <c r="O343" s="1332">
        <v>2394</v>
      </c>
      <c r="P343" s="1332">
        <v>2394</v>
      </c>
      <c r="Q343" s="1333"/>
      <c r="R343" s="1332">
        <v>24452</v>
      </c>
      <c r="S343" s="1332">
        <v>1221</v>
      </c>
      <c r="T343" s="1332">
        <v>25673</v>
      </c>
    </row>
    <row r="344" spans="1:20" x14ac:dyDescent="0.25">
      <c r="A344" s="1342">
        <v>93331</v>
      </c>
      <c r="B344" s="1340" t="s">
        <v>2962</v>
      </c>
      <c r="C344" s="1324">
        <v>1.161E-4</v>
      </c>
      <c r="D344" s="1324">
        <v>1.22E-4</v>
      </c>
      <c r="E344" s="1332">
        <v>317060</v>
      </c>
      <c r="F344" s="1333"/>
      <c r="G344" s="1332">
        <v>54289</v>
      </c>
      <c r="H344" s="1332">
        <v>7734</v>
      </c>
      <c r="I344" s="1332">
        <v>51676</v>
      </c>
      <c r="J344" s="1332">
        <v>4145</v>
      </c>
      <c r="K344" s="1332">
        <v>117844</v>
      </c>
      <c r="L344" s="1333"/>
      <c r="M344" s="1332">
        <v>0</v>
      </c>
      <c r="N344" s="1332">
        <v>0</v>
      </c>
      <c r="O344" s="1332">
        <v>9293</v>
      </c>
      <c r="P344" s="1332">
        <v>9293</v>
      </c>
      <c r="Q344" s="1333"/>
      <c r="R344" s="1332">
        <v>141237</v>
      </c>
      <c r="S344" s="1332">
        <v>-4173</v>
      </c>
      <c r="T344" s="1332">
        <v>137064</v>
      </c>
    </row>
    <row r="345" spans="1:20" x14ac:dyDescent="0.25">
      <c r="A345" s="1342">
        <v>93333</v>
      </c>
      <c r="B345" s="1340" t="s">
        <v>4167</v>
      </c>
      <c r="C345" s="1324">
        <v>1.6660000000000001E-4</v>
      </c>
      <c r="D345" s="1324">
        <v>1.685E-4</v>
      </c>
      <c r="E345" s="1332">
        <v>454972</v>
      </c>
      <c r="F345" s="1333"/>
      <c r="G345" s="1332">
        <v>77903</v>
      </c>
      <c r="H345" s="1332">
        <v>11097</v>
      </c>
      <c r="I345" s="1332">
        <v>74153</v>
      </c>
      <c r="J345" s="1332">
        <v>92551</v>
      </c>
      <c r="K345" s="1332">
        <v>255704</v>
      </c>
      <c r="L345" s="1333"/>
      <c r="M345" s="1332">
        <v>0</v>
      </c>
      <c r="N345" s="1332">
        <v>0</v>
      </c>
      <c r="O345" s="1332">
        <v>0</v>
      </c>
      <c r="P345" s="1332">
        <v>0</v>
      </c>
      <c r="Q345" s="1333"/>
      <c r="R345" s="1332">
        <v>202671</v>
      </c>
      <c r="S345" s="1332">
        <v>74125</v>
      </c>
      <c r="T345" s="1332">
        <v>276796</v>
      </c>
    </row>
    <row r="346" spans="1:20" x14ac:dyDescent="0.25">
      <c r="A346" s="1342">
        <v>93341</v>
      </c>
      <c r="B346" s="1340" t="s">
        <v>2964</v>
      </c>
      <c r="C346" s="1324">
        <v>2.9300000000000001E-5</v>
      </c>
      <c r="D346" s="1324">
        <v>2.7500000000000001E-5</v>
      </c>
      <c r="E346" s="1332">
        <v>80016</v>
      </c>
      <c r="F346" s="1333"/>
      <c r="G346" s="1332">
        <v>13701</v>
      </c>
      <c r="H346" s="1332">
        <v>1952</v>
      </c>
      <c r="I346" s="1332">
        <v>13041</v>
      </c>
      <c r="J346" s="1332">
        <v>5043</v>
      </c>
      <c r="K346" s="1332">
        <v>33737</v>
      </c>
      <c r="L346" s="1333"/>
      <c r="M346" s="1332">
        <v>0</v>
      </c>
      <c r="N346" s="1332">
        <v>0</v>
      </c>
      <c r="O346" s="1332">
        <v>431</v>
      </c>
      <c r="P346" s="1332">
        <v>431</v>
      </c>
      <c r="Q346" s="1333"/>
      <c r="R346" s="1332">
        <v>35644</v>
      </c>
      <c r="S346" s="1332">
        <v>1757</v>
      </c>
      <c r="T346" s="1332">
        <v>37401</v>
      </c>
    </row>
    <row r="347" spans="1:20" x14ac:dyDescent="0.25">
      <c r="A347" s="1342">
        <v>93351</v>
      </c>
      <c r="B347" s="1340" t="s">
        <v>2965</v>
      </c>
      <c r="C347" s="1324">
        <v>3.1600000000000002E-5</v>
      </c>
      <c r="D347" s="1324">
        <v>1.7600000000000001E-5</v>
      </c>
      <c r="E347" s="1332">
        <v>86297</v>
      </c>
      <c r="F347" s="1333"/>
      <c r="G347" s="1332">
        <v>14776</v>
      </c>
      <c r="H347" s="1332">
        <v>2105</v>
      </c>
      <c r="I347" s="1332">
        <v>14065</v>
      </c>
      <c r="J347" s="1332">
        <v>14630</v>
      </c>
      <c r="K347" s="1332">
        <v>45576</v>
      </c>
      <c r="L347" s="1333"/>
      <c r="M347" s="1332">
        <v>0</v>
      </c>
      <c r="N347" s="1332">
        <v>0</v>
      </c>
      <c r="O347" s="1332">
        <v>8040</v>
      </c>
      <c r="P347" s="1332">
        <v>8040</v>
      </c>
      <c r="Q347" s="1333"/>
      <c r="R347" s="1332">
        <v>38442</v>
      </c>
      <c r="S347" s="1332">
        <v>2526</v>
      </c>
      <c r="T347" s="1332">
        <v>40968</v>
      </c>
    </row>
    <row r="348" spans="1:20" x14ac:dyDescent="0.25">
      <c r="A348" s="1342">
        <v>93401</v>
      </c>
      <c r="B348" s="1340" t="s">
        <v>2966</v>
      </c>
      <c r="C348" s="1324">
        <v>1.3690799999999999E-2</v>
      </c>
      <c r="D348" s="1324">
        <v>1.40187E-2</v>
      </c>
      <c r="E348" s="1332">
        <v>37388507</v>
      </c>
      <c r="F348" s="1333"/>
      <c r="G348" s="1332">
        <v>6401859</v>
      </c>
      <c r="H348" s="1332">
        <v>911958</v>
      </c>
      <c r="I348" s="1332">
        <v>6093707</v>
      </c>
      <c r="J348" s="1332">
        <v>108458</v>
      </c>
      <c r="K348" s="1332">
        <v>13515982</v>
      </c>
      <c r="L348" s="1333"/>
      <c r="M348" s="1332">
        <v>0</v>
      </c>
      <c r="N348" s="1332">
        <v>0</v>
      </c>
      <c r="O348" s="1332">
        <v>300663</v>
      </c>
      <c r="P348" s="1332">
        <v>300663</v>
      </c>
      <c r="Q348" s="1333"/>
      <c r="R348" s="1332">
        <v>16655036</v>
      </c>
      <c r="S348" s="1332">
        <v>-31172</v>
      </c>
      <c r="T348" s="1332">
        <v>16623864</v>
      </c>
    </row>
    <row r="349" spans="1:20" x14ac:dyDescent="0.25">
      <c r="A349" s="1342">
        <v>93406</v>
      </c>
      <c r="B349" s="1340" t="s">
        <v>2968</v>
      </c>
      <c r="C349" s="1324">
        <v>4.9350000000000002E-4</v>
      </c>
      <c r="D349" s="1324">
        <v>5.0830000000000005E-4</v>
      </c>
      <c r="E349" s="1332">
        <v>1347710</v>
      </c>
      <c r="F349" s="1333"/>
      <c r="G349" s="1332">
        <v>230762</v>
      </c>
      <c r="H349" s="1332">
        <v>32872</v>
      </c>
      <c r="I349" s="1332">
        <v>219654</v>
      </c>
      <c r="J349" s="1332">
        <v>5026</v>
      </c>
      <c r="K349" s="1332">
        <v>488314</v>
      </c>
      <c r="L349" s="1333"/>
      <c r="M349" s="1332">
        <v>0</v>
      </c>
      <c r="N349" s="1332">
        <v>0</v>
      </c>
      <c r="O349" s="1332">
        <v>94368</v>
      </c>
      <c r="P349" s="1332">
        <v>94368</v>
      </c>
      <c r="Q349" s="1333"/>
      <c r="R349" s="1332">
        <v>600349</v>
      </c>
      <c r="S349" s="1332">
        <v>-28939</v>
      </c>
      <c r="T349" s="1332">
        <v>571410</v>
      </c>
    </row>
    <row r="350" spans="1:20" x14ac:dyDescent="0.25">
      <c r="A350" s="1342">
        <v>93411</v>
      </c>
      <c r="B350" s="1340" t="s">
        <v>2970</v>
      </c>
      <c r="C350" s="1324">
        <v>1.77345E-2</v>
      </c>
      <c r="D350" s="1324">
        <v>1.8113199999999999E-2</v>
      </c>
      <c r="E350" s="1332">
        <v>48431536</v>
      </c>
      <c r="F350" s="1333"/>
      <c r="G350" s="1332">
        <v>8292705</v>
      </c>
      <c r="H350" s="1332">
        <v>1181312</v>
      </c>
      <c r="I350" s="1332">
        <v>7893537</v>
      </c>
      <c r="J350" s="1332">
        <v>539076</v>
      </c>
      <c r="K350" s="1332">
        <v>17906630</v>
      </c>
      <c r="L350" s="1333"/>
      <c r="M350" s="1332">
        <v>0</v>
      </c>
      <c r="N350" s="1332">
        <v>0</v>
      </c>
      <c r="O350" s="1332">
        <v>354327</v>
      </c>
      <c r="P350" s="1332">
        <v>354327</v>
      </c>
      <c r="Q350" s="1333"/>
      <c r="R350" s="1332">
        <v>21574250</v>
      </c>
      <c r="S350" s="1332">
        <v>-1063</v>
      </c>
      <c r="T350" s="1332">
        <v>21573187</v>
      </c>
    </row>
    <row r="351" spans="1:20" x14ac:dyDescent="0.25">
      <c r="A351" s="1342">
        <v>93413</v>
      </c>
      <c r="B351" s="1340" t="s">
        <v>2971</v>
      </c>
      <c r="C351" s="1324">
        <v>6.9559999999999999E-4</v>
      </c>
      <c r="D351" s="1324">
        <v>7.1969999999999998E-4</v>
      </c>
      <c r="E351" s="1332">
        <v>1899629</v>
      </c>
      <c r="F351" s="1333"/>
      <c r="G351" s="1332">
        <v>325265</v>
      </c>
      <c r="H351" s="1332">
        <v>46335</v>
      </c>
      <c r="I351" s="1332">
        <v>309608</v>
      </c>
      <c r="J351" s="1332">
        <v>1582</v>
      </c>
      <c r="K351" s="1332">
        <v>682790</v>
      </c>
      <c r="L351" s="1333"/>
      <c r="M351" s="1332">
        <v>0</v>
      </c>
      <c r="N351" s="1332">
        <v>0</v>
      </c>
      <c r="O351" s="1332">
        <v>15616</v>
      </c>
      <c r="P351" s="1332">
        <v>15616</v>
      </c>
      <c r="Q351" s="1333"/>
      <c r="R351" s="1332">
        <v>846206</v>
      </c>
      <c r="S351" s="1332">
        <v>-16276</v>
      </c>
      <c r="T351" s="1332">
        <v>829930</v>
      </c>
    </row>
    <row r="352" spans="1:20" x14ac:dyDescent="0.25">
      <c r="A352" s="1342">
        <v>93417</v>
      </c>
      <c r="B352" s="1340" t="s">
        <v>2972</v>
      </c>
      <c r="C352" s="1324">
        <v>2.8659999999999997E-4</v>
      </c>
      <c r="D352" s="1324">
        <v>3.279E-4</v>
      </c>
      <c r="E352" s="1332">
        <v>782682</v>
      </c>
      <c r="F352" s="1333"/>
      <c r="G352" s="1332">
        <v>134015</v>
      </c>
      <c r="H352" s="1332">
        <v>19091</v>
      </c>
      <c r="I352" s="1332">
        <v>127564</v>
      </c>
      <c r="J352" s="1332">
        <v>7532</v>
      </c>
      <c r="K352" s="1332">
        <v>288202</v>
      </c>
      <c r="L352" s="1333"/>
      <c r="M352" s="1332">
        <v>0</v>
      </c>
      <c r="N352" s="1332">
        <v>0</v>
      </c>
      <c r="O352" s="1332">
        <v>19596</v>
      </c>
      <c r="P352" s="1332">
        <v>19596</v>
      </c>
      <c r="Q352" s="1333"/>
      <c r="R352" s="1332">
        <v>348653</v>
      </c>
      <c r="S352" s="1332">
        <v>-5676</v>
      </c>
      <c r="T352" s="1332">
        <v>342977</v>
      </c>
    </row>
    <row r="353" spans="1:20" x14ac:dyDescent="0.25">
      <c r="A353" s="1342">
        <v>93421</v>
      </c>
      <c r="B353" s="1340" t="s">
        <v>2973</v>
      </c>
      <c r="C353" s="1324">
        <v>2.0569E-3</v>
      </c>
      <c r="D353" s="1324">
        <v>2.1354999999999998E-3</v>
      </c>
      <c r="E353" s="1332">
        <v>5617233</v>
      </c>
      <c r="F353" s="1333"/>
      <c r="G353" s="1332">
        <v>961813</v>
      </c>
      <c r="H353" s="1332">
        <v>137013</v>
      </c>
      <c r="I353" s="1332">
        <v>915516</v>
      </c>
      <c r="J353" s="1332">
        <v>0</v>
      </c>
      <c r="K353" s="1332">
        <v>2014342</v>
      </c>
      <c r="L353" s="1333"/>
      <c r="M353" s="1332">
        <v>0</v>
      </c>
      <c r="N353" s="1332">
        <v>0</v>
      </c>
      <c r="O353" s="1332">
        <v>251030</v>
      </c>
      <c r="P353" s="1332">
        <v>251030</v>
      </c>
      <c r="Q353" s="1333"/>
      <c r="R353" s="1332">
        <v>2502246</v>
      </c>
      <c r="S353" s="1332">
        <v>-124004</v>
      </c>
      <c r="T353" s="1332">
        <v>2378242</v>
      </c>
    </row>
    <row r="354" spans="1:20" x14ac:dyDescent="0.25">
      <c r="A354" s="1342">
        <v>93431</v>
      </c>
      <c r="B354" s="1340" t="s">
        <v>2974</v>
      </c>
      <c r="C354" s="1324">
        <v>1.381E-4</v>
      </c>
      <c r="D354" s="1324">
        <v>1.393E-4</v>
      </c>
      <c r="E354" s="1332">
        <v>377140</v>
      </c>
      <c r="F354" s="1333"/>
      <c r="G354" s="1332">
        <v>64576</v>
      </c>
      <c r="H354" s="1332">
        <v>9199</v>
      </c>
      <c r="I354" s="1332">
        <v>61468</v>
      </c>
      <c r="J354" s="1332">
        <v>12502</v>
      </c>
      <c r="K354" s="1332">
        <v>147745</v>
      </c>
      <c r="L354" s="1333"/>
      <c r="M354" s="1332">
        <v>0</v>
      </c>
      <c r="N354" s="1332">
        <v>0</v>
      </c>
      <c r="O354" s="1332">
        <v>1935</v>
      </c>
      <c r="P354" s="1332">
        <v>1935</v>
      </c>
      <c r="Q354" s="1333"/>
      <c r="R354" s="1332">
        <v>168000</v>
      </c>
      <c r="S354" s="1332">
        <v>3038</v>
      </c>
      <c r="T354" s="1332">
        <v>171038</v>
      </c>
    </row>
    <row r="355" spans="1:20" x14ac:dyDescent="0.25">
      <c r="A355" s="1342">
        <v>93441</v>
      </c>
      <c r="B355" s="1340" t="s">
        <v>2975</v>
      </c>
      <c r="C355" s="1324">
        <v>1.6559999999999999E-4</v>
      </c>
      <c r="D355" s="1324">
        <v>1.651E-4</v>
      </c>
      <c r="E355" s="1332">
        <v>452241</v>
      </c>
      <c r="F355" s="1333"/>
      <c r="G355" s="1332">
        <v>77435</v>
      </c>
      <c r="H355" s="1332">
        <v>11031</v>
      </c>
      <c r="I355" s="1332">
        <v>73708</v>
      </c>
      <c r="J355" s="1332">
        <v>12655</v>
      </c>
      <c r="K355" s="1332">
        <v>174829</v>
      </c>
      <c r="L355" s="1333"/>
      <c r="M355" s="1332">
        <v>0</v>
      </c>
      <c r="N355" s="1332">
        <v>0</v>
      </c>
      <c r="O355" s="1332">
        <v>4085</v>
      </c>
      <c r="P355" s="1332">
        <v>4085</v>
      </c>
      <c r="Q355" s="1333"/>
      <c r="R355" s="1332">
        <v>201455</v>
      </c>
      <c r="S355" s="1332">
        <v>8286</v>
      </c>
      <c r="T355" s="1332">
        <v>209741</v>
      </c>
    </row>
    <row r="356" spans="1:20" x14ac:dyDescent="0.25">
      <c r="A356" s="1342">
        <v>93442</v>
      </c>
      <c r="B356" s="1340" t="s">
        <v>2976</v>
      </c>
      <c r="C356" s="1324">
        <v>1.561E-4</v>
      </c>
      <c r="D356" s="1324">
        <v>1.5139999999999999E-4</v>
      </c>
      <c r="E356" s="1332">
        <v>426297</v>
      </c>
      <c r="F356" s="1333"/>
      <c r="G356" s="1332">
        <v>72993</v>
      </c>
      <c r="H356" s="1332">
        <v>10398</v>
      </c>
      <c r="I356" s="1332">
        <v>69479</v>
      </c>
      <c r="J356" s="1332">
        <v>428</v>
      </c>
      <c r="K356" s="1332">
        <v>153298</v>
      </c>
      <c r="L356" s="1333"/>
      <c r="M356" s="1332">
        <v>0</v>
      </c>
      <c r="N356" s="1332">
        <v>0</v>
      </c>
      <c r="O356" s="1332">
        <v>15809</v>
      </c>
      <c r="P356" s="1332">
        <v>15809</v>
      </c>
      <c r="Q356" s="1333"/>
      <c r="R356" s="1332">
        <v>189898</v>
      </c>
      <c r="S356" s="1332">
        <v>-7256</v>
      </c>
      <c r="T356" s="1332">
        <v>182642</v>
      </c>
    </row>
    <row r="357" spans="1:20" x14ac:dyDescent="0.25">
      <c r="A357" s="1342">
        <v>93451</v>
      </c>
      <c r="B357" s="1340" t="s">
        <v>2977</v>
      </c>
      <c r="C357" s="1324">
        <v>6.6600000000000006E-5</v>
      </c>
      <c r="D357" s="1324">
        <v>7.9599999999999997E-5</v>
      </c>
      <c r="E357" s="1332">
        <v>181879</v>
      </c>
      <c r="F357" s="1333"/>
      <c r="G357" s="1332">
        <v>31142</v>
      </c>
      <c r="H357" s="1332">
        <v>4436</v>
      </c>
      <c r="I357" s="1332">
        <v>29643</v>
      </c>
      <c r="J357" s="1332">
        <v>12253</v>
      </c>
      <c r="K357" s="1332">
        <v>77474</v>
      </c>
      <c r="L357" s="1333"/>
      <c r="M357" s="1332">
        <v>0</v>
      </c>
      <c r="N357" s="1332">
        <v>0</v>
      </c>
      <c r="O357" s="1332">
        <v>992</v>
      </c>
      <c r="P357" s="1332">
        <v>992</v>
      </c>
      <c r="Q357" s="1333"/>
      <c r="R357" s="1332">
        <v>81020</v>
      </c>
      <c r="S357" s="1332">
        <v>8681</v>
      </c>
      <c r="T357" s="1332">
        <v>89701</v>
      </c>
    </row>
    <row r="358" spans="1:20" x14ac:dyDescent="0.25">
      <c r="A358" s="1342">
        <v>93461</v>
      </c>
      <c r="B358" s="1340" t="s">
        <v>2978</v>
      </c>
      <c r="C358" s="1324">
        <v>1.5500000000000001E-5</v>
      </c>
      <c r="D358" s="1324">
        <v>1.6200000000000001E-5</v>
      </c>
      <c r="E358" s="1332">
        <v>42329</v>
      </c>
      <c r="F358" s="1333"/>
      <c r="G358" s="1332">
        <v>7248</v>
      </c>
      <c r="H358" s="1332">
        <v>1033</v>
      </c>
      <c r="I358" s="1332">
        <v>6899</v>
      </c>
      <c r="J358" s="1332">
        <v>412</v>
      </c>
      <c r="K358" s="1332">
        <v>15592</v>
      </c>
      <c r="L358" s="1333"/>
      <c r="M358" s="1332">
        <v>0</v>
      </c>
      <c r="N358" s="1332">
        <v>0</v>
      </c>
      <c r="O358" s="1332">
        <v>298</v>
      </c>
      <c r="P358" s="1332">
        <v>298</v>
      </c>
      <c r="Q358" s="1333"/>
      <c r="R358" s="1332">
        <v>18856</v>
      </c>
      <c r="S358" s="1332">
        <v>221</v>
      </c>
      <c r="T358" s="1332">
        <v>19077</v>
      </c>
    </row>
    <row r="359" spans="1:20" x14ac:dyDescent="0.25">
      <c r="A359" s="1342">
        <v>93471</v>
      </c>
      <c r="B359" s="1340" t="s">
        <v>2979</v>
      </c>
      <c r="C359" s="1324">
        <v>1.1399999999999999E-5</v>
      </c>
      <c r="D359" s="1324">
        <v>1.15E-5</v>
      </c>
      <c r="E359" s="1332">
        <v>31133</v>
      </c>
      <c r="F359" s="1333"/>
      <c r="G359" s="1332">
        <v>5331</v>
      </c>
      <c r="H359" s="1332">
        <v>759</v>
      </c>
      <c r="I359" s="1332">
        <v>5074</v>
      </c>
      <c r="J359" s="1332">
        <v>5210</v>
      </c>
      <c r="K359" s="1332">
        <v>16374</v>
      </c>
      <c r="L359" s="1333"/>
      <c r="M359" s="1332">
        <v>0</v>
      </c>
      <c r="N359" s="1332">
        <v>0</v>
      </c>
      <c r="O359" s="1332">
        <v>0</v>
      </c>
      <c r="P359" s="1332">
        <v>0</v>
      </c>
      <c r="Q359" s="1333"/>
      <c r="R359" s="1332">
        <v>13868</v>
      </c>
      <c r="S359" s="1332">
        <v>2235</v>
      </c>
      <c r="T359" s="1332">
        <v>16103</v>
      </c>
    </row>
    <row r="360" spans="1:20" x14ac:dyDescent="0.25">
      <c r="A360" s="1342">
        <v>93501</v>
      </c>
      <c r="B360" s="1340" t="s">
        <v>2980</v>
      </c>
      <c r="C360" s="1324">
        <v>3.8463999999999998E-3</v>
      </c>
      <c r="D360" s="1324">
        <v>3.6803000000000001E-3</v>
      </c>
      <c r="E360" s="1332">
        <v>10504218</v>
      </c>
      <c r="F360" s="1333"/>
      <c r="G360" s="1332">
        <v>1798588</v>
      </c>
      <c r="H360" s="1332">
        <v>256213</v>
      </c>
      <c r="I360" s="1332">
        <v>1712013</v>
      </c>
      <c r="J360" s="1332">
        <v>194680</v>
      </c>
      <c r="K360" s="1332">
        <v>3961494</v>
      </c>
      <c r="L360" s="1333"/>
      <c r="M360" s="1332">
        <v>0</v>
      </c>
      <c r="N360" s="1332">
        <v>0</v>
      </c>
      <c r="O360" s="1332">
        <v>17318</v>
      </c>
      <c r="P360" s="1332">
        <v>17318</v>
      </c>
      <c r="Q360" s="1333"/>
      <c r="R360" s="1332">
        <v>4679196</v>
      </c>
      <c r="S360" s="1332">
        <v>69106</v>
      </c>
      <c r="T360" s="1332">
        <v>4748302</v>
      </c>
    </row>
    <row r="361" spans="1:20" x14ac:dyDescent="0.25">
      <c r="A361" s="1342">
        <v>93511</v>
      </c>
      <c r="B361" s="1340" t="s">
        <v>2981</v>
      </c>
      <c r="C361" s="1324">
        <v>8.7899999999999995E-5</v>
      </c>
      <c r="D361" s="1324">
        <v>8.8800000000000004E-5</v>
      </c>
      <c r="E361" s="1332">
        <v>240048</v>
      </c>
      <c r="F361" s="1333"/>
      <c r="G361" s="1332">
        <v>41102</v>
      </c>
      <c r="H361" s="1332">
        <v>5855</v>
      </c>
      <c r="I361" s="1332">
        <v>39124</v>
      </c>
      <c r="J361" s="1332">
        <v>10067</v>
      </c>
      <c r="K361" s="1332">
        <v>96148</v>
      </c>
      <c r="L361" s="1333"/>
      <c r="M361" s="1332">
        <v>0</v>
      </c>
      <c r="N361" s="1332">
        <v>0</v>
      </c>
      <c r="O361" s="1332">
        <v>3613</v>
      </c>
      <c r="P361" s="1332">
        <v>3613</v>
      </c>
      <c r="Q361" s="1333"/>
      <c r="R361" s="1332">
        <v>106931</v>
      </c>
      <c r="S361" s="1332">
        <v>-2023</v>
      </c>
      <c r="T361" s="1332">
        <v>104908</v>
      </c>
    </row>
    <row r="362" spans="1:20" x14ac:dyDescent="0.25">
      <c r="A362" s="1342">
        <v>93517</v>
      </c>
      <c r="B362" s="1340" t="s">
        <v>2982</v>
      </c>
      <c r="C362" s="1324">
        <v>4.3000000000000003E-6</v>
      </c>
      <c r="D362" s="1324">
        <v>5.0000000000000004E-6</v>
      </c>
      <c r="E362" s="1332">
        <v>11743</v>
      </c>
      <c r="F362" s="1333"/>
      <c r="G362" s="1332">
        <v>2011</v>
      </c>
      <c r="H362" s="1332">
        <v>287</v>
      </c>
      <c r="I362" s="1332">
        <v>1914</v>
      </c>
      <c r="J362" s="1332">
        <v>2957</v>
      </c>
      <c r="K362" s="1332">
        <v>7169</v>
      </c>
      <c r="L362" s="1333"/>
      <c r="M362" s="1332">
        <v>0</v>
      </c>
      <c r="N362" s="1332">
        <v>0</v>
      </c>
      <c r="O362" s="1332">
        <v>0</v>
      </c>
      <c r="P362" s="1332">
        <v>0</v>
      </c>
      <c r="Q362" s="1333"/>
      <c r="R362" s="1332">
        <v>5231</v>
      </c>
      <c r="S362" s="1332">
        <v>1764</v>
      </c>
      <c r="T362" s="1332">
        <v>6995</v>
      </c>
    </row>
    <row r="363" spans="1:20" x14ac:dyDescent="0.25">
      <c r="A363" s="1342">
        <v>93521</v>
      </c>
      <c r="B363" s="1340" t="s">
        <v>2983</v>
      </c>
      <c r="C363" s="1324">
        <v>4.7340000000000001E-4</v>
      </c>
      <c r="D363" s="1324">
        <v>4.639E-4</v>
      </c>
      <c r="E363" s="1332">
        <v>1292818</v>
      </c>
      <c r="F363" s="1333"/>
      <c r="G363" s="1332">
        <v>221363</v>
      </c>
      <c r="H363" s="1332">
        <v>31533</v>
      </c>
      <c r="I363" s="1332">
        <v>210708</v>
      </c>
      <c r="J363" s="1332">
        <v>15764</v>
      </c>
      <c r="K363" s="1332">
        <v>479368</v>
      </c>
      <c r="L363" s="1333"/>
      <c r="M363" s="1332">
        <v>0</v>
      </c>
      <c r="N363" s="1332">
        <v>0</v>
      </c>
      <c r="O363" s="1332">
        <v>34512</v>
      </c>
      <c r="P363" s="1332">
        <v>34512</v>
      </c>
      <c r="Q363" s="1333"/>
      <c r="R363" s="1332">
        <v>575897</v>
      </c>
      <c r="S363" s="1332">
        <v>-11720</v>
      </c>
      <c r="T363" s="1332">
        <v>564177</v>
      </c>
    </row>
    <row r="364" spans="1:20" x14ac:dyDescent="0.25">
      <c r="A364" s="1342">
        <v>93527</v>
      </c>
      <c r="B364" s="1340" t="s">
        <v>2984</v>
      </c>
      <c r="C364" s="1324">
        <v>9.5999999999999996E-6</v>
      </c>
      <c r="D364" s="1324">
        <v>1.2799999999999999E-5</v>
      </c>
      <c r="E364" s="1332">
        <v>26217</v>
      </c>
      <c r="F364" s="1333"/>
      <c r="G364" s="1332">
        <v>4489</v>
      </c>
      <c r="H364" s="1332">
        <v>640</v>
      </c>
      <c r="I364" s="1332">
        <v>4273</v>
      </c>
      <c r="J364" s="1332">
        <v>9293</v>
      </c>
      <c r="K364" s="1332">
        <v>18695</v>
      </c>
      <c r="L364" s="1333"/>
      <c r="M364" s="1332">
        <v>0</v>
      </c>
      <c r="N364" s="1332">
        <v>0</v>
      </c>
      <c r="O364" s="1332">
        <v>0</v>
      </c>
      <c r="P364" s="1332">
        <v>0</v>
      </c>
      <c r="Q364" s="1333"/>
      <c r="R364" s="1332">
        <v>11679</v>
      </c>
      <c r="S364" s="1332">
        <v>5581</v>
      </c>
      <c r="T364" s="1332">
        <v>17260</v>
      </c>
    </row>
    <row r="365" spans="1:20" x14ac:dyDescent="0.25">
      <c r="A365" s="1342">
        <v>93531</v>
      </c>
      <c r="B365" s="1340" t="s">
        <v>2985</v>
      </c>
      <c r="C365" s="1324">
        <v>2.23E-5</v>
      </c>
      <c r="D365" s="1324">
        <v>3.0700000000000001E-5</v>
      </c>
      <c r="E365" s="1332">
        <v>60900</v>
      </c>
      <c r="F365" s="1333"/>
      <c r="G365" s="1332">
        <v>10428</v>
      </c>
      <c r="H365" s="1332">
        <v>1485</v>
      </c>
      <c r="I365" s="1332">
        <v>9926</v>
      </c>
      <c r="J365" s="1332">
        <v>5643</v>
      </c>
      <c r="K365" s="1332">
        <v>27482</v>
      </c>
      <c r="L365" s="1333"/>
      <c r="M365" s="1332">
        <v>0</v>
      </c>
      <c r="N365" s="1332">
        <v>0</v>
      </c>
      <c r="O365" s="1332">
        <v>6936</v>
      </c>
      <c r="P365" s="1332">
        <v>6936</v>
      </c>
      <c r="Q365" s="1333"/>
      <c r="R365" s="1332">
        <v>27128</v>
      </c>
      <c r="S365" s="1332">
        <v>104</v>
      </c>
      <c r="T365" s="1332">
        <v>27232</v>
      </c>
    </row>
    <row r="366" spans="1:20" x14ac:dyDescent="0.25">
      <c r="A366" s="1342">
        <v>93537</v>
      </c>
      <c r="B366" s="1340" t="s">
        <v>2986</v>
      </c>
      <c r="C366" s="1324">
        <v>1.08E-5</v>
      </c>
      <c r="D366" s="1324">
        <v>1.1E-5</v>
      </c>
      <c r="E366" s="1332">
        <v>29494</v>
      </c>
      <c r="F366" s="1333"/>
      <c r="G366" s="1332">
        <v>5050</v>
      </c>
      <c r="H366" s="1332">
        <v>719</v>
      </c>
      <c r="I366" s="1332">
        <v>4807</v>
      </c>
      <c r="J366" s="1332">
        <v>0</v>
      </c>
      <c r="K366" s="1332">
        <v>10576</v>
      </c>
      <c r="L366" s="1333"/>
      <c r="M366" s="1332">
        <v>0</v>
      </c>
      <c r="N366" s="1332">
        <v>0</v>
      </c>
      <c r="O366" s="1332">
        <v>2677</v>
      </c>
      <c r="P366" s="1332">
        <v>2677</v>
      </c>
      <c r="Q366" s="1333"/>
      <c r="R366" s="1332">
        <v>13138</v>
      </c>
      <c r="S366" s="1332">
        <v>-1087</v>
      </c>
      <c r="T366" s="1332">
        <v>12051</v>
      </c>
    </row>
    <row r="367" spans="1:20" x14ac:dyDescent="0.25">
      <c r="A367" s="1342">
        <v>93541</v>
      </c>
      <c r="B367" s="1340" t="s">
        <v>2987</v>
      </c>
      <c r="C367" s="1324">
        <v>9.9699999999999998E-5</v>
      </c>
      <c r="D367" s="1324">
        <v>8.9800000000000001E-5</v>
      </c>
      <c r="E367" s="1332">
        <v>272273</v>
      </c>
      <c r="F367" s="1333"/>
      <c r="G367" s="1332">
        <v>46620</v>
      </c>
      <c r="H367" s="1332">
        <v>6641</v>
      </c>
      <c r="I367" s="1332">
        <v>44376</v>
      </c>
      <c r="J367" s="1332">
        <v>9606</v>
      </c>
      <c r="K367" s="1332">
        <v>107243</v>
      </c>
      <c r="L367" s="1333"/>
      <c r="M367" s="1332">
        <v>0</v>
      </c>
      <c r="N367" s="1332">
        <v>0</v>
      </c>
      <c r="O367" s="1332">
        <v>3639</v>
      </c>
      <c r="P367" s="1332">
        <v>3639</v>
      </c>
      <c r="Q367" s="1333"/>
      <c r="R367" s="1332">
        <v>121286</v>
      </c>
      <c r="S367" s="1332">
        <v>932</v>
      </c>
      <c r="T367" s="1332">
        <v>122218</v>
      </c>
    </row>
    <row r="368" spans="1:20" x14ac:dyDescent="0.25">
      <c r="A368" s="1342">
        <v>93601</v>
      </c>
      <c r="B368" s="1340" t="s">
        <v>2988</v>
      </c>
      <c r="C368" s="1324">
        <v>1.1220300000000001E-2</v>
      </c>
      <c r="D368" s="1324">
        <v>1.11494E-2</v>
      </c>
      <c r="E368" s="1332">
        <v>30641764</v>
      </c>
      <c r="F368" s="1333"/>
      <c r="G368" s="1332">
        <v>5246646</v>
      </c>
      <c r="H368" s="1332">
        <v>747395</v>
      </c>
      <c r="I368" s="1332">
        <v>4994099</v>
      </c>
      <c r="J368" s="1332">
        <v>422601</v>
      </c>
      <c r="K368" s="1332">
        <v>11410741</v>
      </c>
      <c r="L368" s="1333"/>
      <c r="M368" s="1332">
        <v>0</v>
      </c>
      <c r="N368" s="1332">
        <v>0</v>
      </c>
      <c r="O368" s="1332">
        <v>93806</v>
      </c>
      <c r="P368" s="1332">
        <v>93806</v>
      </c>
      <c r="Q368" s="1333"/>
      <c r="R368" s="1332">
        <v>13649641</v>
      </c>
      <c r="S368" s="1332">
        <v>68973</v>
      </c>
      <c r="T368" s="1332">
        <v>13718614</v>
      </c>
    </row>
    <row r="369" spans="1:20" x14ac:dyDescent="0.25">
      <c r="A369" s="1342">
        <v>93602</v>
      </c>
      <c r="B369" s="1340" t="s">
        <v>2989</v>
      </c>
      <c r="C369" s="1324">
        <v>1.918E-4</v>
      </c>
      <c r="D369" s="1324">
        <v>1.8340000000000001E-4</v>
      </c>
      <c r="E369" s="1332">
        <v>523791</v>
      </c>
      <c r="F369" s="1333"/>
      <c r="G369" s="1332">
        <v>89686</v>
      </c>
      <c r="H369" s="1332">
        <v>12776</v>
      </c>
      <c r="I369" s="1332">
        <v>85369</v>
      </c>
      <c r="J369" s="1332">
        <v>20240</v>
      </c>
      <c r="K369" s="1332">
        <v>208071</v>
      </c>
      <c r="L369" s="1333"/>
      <c r="M369" s="1332">
        <v>0</v>
      </c>
      <c r="N369" s="1332">
        <v>0</v>
      </c>
      <c r="O369" s="1332">
        <v>2810</v>
      </c>
      <c r="P369" s="1332">
        <v>2810</v>
      </c>
      <c r="Q369" s="1333"/>
      <c r="R369" s="1332">
        <v>233327</v>
      </c>
      <c r="S369" s="1332">
        <v>3035</v>
      </c>
      <c r="T369" s="1332">
        <v>236362</v>
      </c>
    </row>
    <row r="370" spans="1:20" x14ac:dyDescent="0.25">
      <c r="A370" s="1342">
        <v>93604</v>
      </c>
      <c r="B370" s="1340" t="s">
        <v>4168</v>
      </c>
      <c r="C370" s="1324">
        <v>2.6400000000000001E-5</v>
      </c>
      <c r="D370" s="1324">
        <v>2.0100000000000001E-5</v>
      </c>
      <c r="E370" s="1332">
        <v>72096</v>
      </c>
      <c r="F370" s="1333"/>
      <c r="G370" s="1332">
        <v>12345</v>
      </c>
      <c r="H370" s="1332">
        <v>1759</v>
      </c>
      <c r="I370" s="1332">
        <v>11751</v>
      </c>
      <c r="J370" s="1332">
        <v>21975</v>
      </c>
      <c r="K370" s="1332">
        <v>47830</v>
      </c>
      <c r="L370" s="1333"/>
      <c r="M370" s="1332">
        <v>0</v>
      </c>
      <c r="N370" s="1332">
        <v>0</v>
      </c>
      <c r="O370" s="1332">
        <v>0</v>
      </c>
      <c r="P370" s="1332">
        <v>0</v>
      </c>
      <c r="Q370" s="1333"/>
      <c r="R370" s="1332">
        <v>32116</v>
      </c>
      <c r="S370" s="1332">
        <v>6718</v>
      </c>
      <c r="T370" s="1332">
        <v>38834</v>
      </c>
    </row>
    <row r="371" spans="1:20" x14ac:dyDescent="0.25">
      <c r="A371" s="1342">
        <v>93609</v>
      </c>
      <c r="B371" s="1340" t="s">
        <v>2990</v>
      </c>
      <c r="C371" s="1324">
        <v>3.7919E-3</v>
      </c>
      <c r="D371" s="1324">
        <v>3.9097000000000003E-3</v>
      </c>
      <c r="E371" s="1332">
        <v>10355383</v>
      </c>
      <c r="F371" s="1333"/>
      <c r="G371" s="1332">
        <v>1773104</v>
      </c>
      <c r="H371" s="1332">
        <v>252582</v>
      </c>
      <c r="I371" s="1332">
        <v>1687756</v>
      </c>
      <c r="J371" s="1332">
        <v>303829</v>
      </c>
      <c r="K371" s="1332">
        <v>4017271</v>
      </c>
      <c r="L371" s="1333"/>
      <c r="M371" s="1332">
        <v>0</v>
      </c>
      <c r="N371" s="1332">
        <v>0</v>
      </c>
      <c r="O371" s="1332">
        <v>128405</v>
      </c>
      <c r="P371" s="1332">
        <v>128405</v>
      </c>
      <c r="Q371" s="1333"/>
      <c r="R371" s="1332">
        <v>4612896</v>
      </c>
      <c r="S371" s="1332">
        <v>166190</v>
      </c>
      <c r="T371" s="1332">
        <v>4779086</v>
      </c>
    </row>
    <row r="372" spans="1:20" x14ac:dyDescent="0.25">
      <c r="A372" s="1342">
        <v>93610</v>
      </c>
      <c r="B372" s="1340" t="s">
        <v>2991</v>
      </c>
      <c r="C372" s="1324">
        <v>1.63E-5</v>
      </c>
      <c r="D372" s="1324">
        <v>1.5500000000000001E-5</v>
      </c>
      <c r="E372" s="1332">
        <v>44514</v>
      </c>
      <c r="F372" s="1333"/>
      <c r="G372" s="1332">
        <v>7622</v>
      </c>
      <c r="H372" s="1332">
        <v>1086</v>
      </c>
      <c r="I372" s="1332">
        <v>7255</v>
      </c>
      <c r="J372" s="1332">
        <v>2679</v>
      </c>
      <c r="K372" s="1332">
        <v>18642</v>
      </c>
      <c r="L372" s="1333"/>
      <c r="M372" s="1332">
        <v>0</v>
      </c>
      <c r="N372" s="1332">
        <v>0</v>
      </c>
      <c r="O372" s="1332">
        <v>1500</v>
      </c>
      <c r="P372" s="1332">
        <v>1500</v>
      </c>
      <c r="Q372" s="1333"/>
      <c r="R372" s="1332">
        <v>19829</v>
      </c>
      <c r="S372" s="1332">
        <v>577</v>
      </c>
      <c r="T372" s="1332">
        <v>20406</v>
      </c>
    </row>
    <row r="373" spans="1:20" x14ac:dyDescent="0.25">
      <c r="A373" s="1342">
        <v>93611</v>
      </c>
      <c r="B373" s="1340" t="s">
        <v>2992</v>
      </c>
      <c r="C373" s="1324">
        <v>6.9186999999999999E-3</v>
      </c>
      <c r="D373" s="1324">
        <v>6.9170000000000004E-3</v>
      </c>
      <c r="E373" s="1332">
        <v>18894430</v>
      </c>
      <c r="F373" s="1333"/>
      <c r="G373" s="1332">
        <v>3235205</v>
      </c>
      <c r="H373" s="1332">
        <v>460861</v>
      </c>
      <c r="I373" s="1332">
        <v>3079479</v>
      </c>
      <c r="J373" s="1332">
        <v>30574</v>
      </c>
      <c r="K373" s="1332">
        <v>6806119</v>
      </c>
      <c r="L373" s="1333"/>
      <c r="M373" s="1332">
        <v>0</v>
      </c>
      <c r="N373" s="1332">
        <v>0</v>
      </c>
      <c r="O373" s="1332">
        <v>39809</v>
      </c>
      <c r="P373" s="1332">
        <v>39809</v>
      </c>
      <c r="Q373" s="1333"/>
      <c r="R373" s="1332">
        <v>8416688</v>
      </c>
      <c r="S373" s="1332">
        <v>-29366</v>
      </c>
      <c r="T373" s="1332">
        <v>8387322</v>
      </c>
    </row>
    <row r="374" spans="1:20" x14ac:dyDescent="0.25">
      <c r="A374" s="1342">
        <v>93617</v>
      </c>
      <c r="B374" s="1340" t="s">
        <v>2993</v>
      </c>
      <c r="C374" s="1324">
        <v>7.8899999999999993E-5</v>
      </c>
      <c r="D374" s="1324">
        <v>8.7499999999999999E-5</v>
      </c>
      <c r="E374" s="1332">
        <v>215470</v>
      </c>
      <c r="F374" s="1333"/>
      <c r="G374" s="1332">
        <v>36894</v>
      </c>
      <c r="H374" s="1332">
        <v>5256</v>
      </c>
      <c r="I374" s="1332">
        <v>35118</v>
      </c>
      <c r="J374" s="1332">
        <v>18232</v>
      </c>
      <c r="K374" s="1332">
        <v>95500</v>
      </c>
      <c r="L374" s="1333"/>
      <c r="M374" s="1332">
        <v>0</v>
      </c>
      <c r="N374" s="1332">
        <v>0</v>
      </c>
      <c r="O374" s="1332">
        <v>0</v>
      </c>
      <c r="P374" s="1332">
        <v>0</v>
      </c>
      <c r="Q374" s="1333"/>
      <c r="R374" s="1332">
        <v>95983</v>
      </c>
      <c r="S374" s="1332">
        <v>10439</v>
      </c>
      <c r="T374" s="1332">
        <v>106422</v>
      </c>
    </row>
    <row r="375" spans="1:20" ht="30" x14ac:dyDescent="0.25">
      <c r="A375" s="1342">
        <v>93618</v>
      </c>
      <c r="B375" s="1340" t="s">
        <v>4169</v>
      </c>
      <c r="C375" s="1324">
        <v>9.5000000000000005E-6</v>
      </c>
      <c r="D375" s="1324">
        <v>1.03E-5</v>
      </c>
      <c r="E375" s="1332">
        <v>25944</v>
      </c>
      <c r="F375" s="1333"/>
      <c r="G375" s="1332">
        <v>4442</v>
      </c>
      <c r="H375" s="1332">
        <v>633</v>
      </c>
      <c r="I375" s="1332">
        <v>4228</v>
      </c>
      <c r="J375" s="1332">
        <v>38732</v>
      </c>
      <c r="K375" s="1332">
        <v>48035</v>
      </c>
      <c r="L375" s="1333"/>
      <c r="M375" s="1332">
        <v>0</v>
      </c>
      <c r="N375" s="1332">
        <v>0</v>
      </c>
      <c r="O375" s="1332">
        <v>0</v>
      </c>
      <c r="P375" s="1332">
        <v>0</v>
      </c>
      <c r="Q375" s="1333"/>
      <c r="R375" s="1332">
        <v>11557</v>
      </c>
      <c r="S375" s="1332">
        <v>18739</v>
      </c>
      <c r="T375" s="1332">
        <v>30296</v>
      </c>
    </row>
    <row r="376" spans="1:20" x14ac:dyDescent="0.25">
      <c r="A376" s="1342">
        <v>93621</v>
      </c>
      <c r="B376" s="1340" t="s">
        <v>2995</v>
      </c>
      <c r="C376" s="1324">
        <v>1.0563E-3</v>
      </c>
      <c r="D376" s="1324">
        <v>1.0273000000000001E-3</v>
      </c>
      <c r="E376" s="1332">
        <v>2884673</v>
      </c>
      <c r="F376" s="1333"/>
      <c r="G376" s="1332">
        <v>493929</v>
      </c>
      <c r="H376" s="1332">
        <v>70361</v>
      </c>
      <c r="I376" s="1332">
        <v>470154</v>
      </c>
      <c r="J376" s="1332">
        <v>35293</v>
      </c>
      <c r="K376" s="1332">
        <v>1069737</v>
      </c>
      <c r="L376" s="1333"/>
      <c r="M376" s="1332">
        <v>0</v>
      </c>
      <c r="N376" s="1332">
        <v>0</v>
      </c>
      <c r="O376" s="1332">
        <v>23184</v>
      </c>
      <c r="P376" s="1332">
        <v>23184</v>
      </c>
      <c r="Q376" s="1333"/>
      <c r="R376" s="1332">
        <v>1285003</v>
      </c>
      <c r="S376" s="1332">
        <v>-10649</v>
      </c>
      <c r="T376" s="1332">
        <v>1274354</v>
      </c>
    </row>
    <row r="377" spans="1:20" x14ac:dyDescent="0.25">
      <c r="A377" s="1342">
        <v>93623</v>
      </c>
      <c r="B377" s="1340" t="s">
        <v>2996</v>
      </c>
      <c r="C377" s="1324">
        <v>1.1E-5</v>
      </c>
      <c r="D377" s="1324">
        <v>1.2E-5</v>
      </c>
      <c r="E377" s="1332">
        <v>30040</v>
      </c>
      <c r="F377" s="1333"/>
      <c r="G377" s="1332">
        <v>5144</v>
      </c>
      <c r="H377" s="1332">
        <v>733</v>
      </c>
      <c r="I377" s="1332">
        <v>4896</v>
      </c>
      <c r="J377" s="1332">
        <v>2896</v>
      </c>
      <c r="K377" s="1332">
        <v>13669</v>
      </c>
      <c r="L377" s="1333"/>
      <c r="M377" s="1332">
        <v>0</v>
      </c>
      <c r="N377" s="1332">
        <v>0</v>
      </c>
      <c r="O377" s="1332">
        <v>0</v>
      </c>
      <c r="P377" s="1332">
        <v>0</v>
      </c>
      <c r="Q377" s="1333"/>
      <c r="R377" s="1332">
        <v>13382</v>
      </c>
      <c r="S377" s="1332">
        <v>2158</v>
      </c>
      <c r="T377" s="1332">
        <v>15540</v>
      </c>
    </row>
    <row r="378" spans="1:20" x14ac:dyDescent="0.25">
      <c r="A378" s="1342">
        <v>93631</v>
      </c>
      <c r="B378" s="1340" t="s">
        <v>2997</v>
      </c>
      <c r="C378" s="1324">
        <v>2.4130000000000001E-4</v>
      </c>
      <c r="D378" s="1324">
        <v>2.232E-4</v>
      </c>
      <c r="E378" s="1332">
        <v>658971</v>
      </c>
      <c r="F378" s="1333"/>
      <c r="G378" s="1332">
        <v>112833</v>
      </c>
      <c r="H378" s="1332">
        <v>16073</v>
      </c>
      <c r="I378" s="1332">
        <v>107401</v>
      </c>
      <c r="J378" s="1332">
        <v>6404</v>
      </c>
      <c r="K378" s="1332">
        <v>242711</v>
      </c>
      <c r="L378" s="1333"/>
      <c r="M378" s="1332">
        <v>0</v>
      </c>
      <c r="N378" s="1332">
        <v>0</v>
      </c>
      <c r="O378" s="1332">
        <v>9295</v>
      </c>
      <c r="P378" s="1332">
        <v>9295</v>
      </c>
      <c r="Q378" s="1333"/>
      <c r="R378" s="1332">
        <v>293545</v>
      </c>
      <c r="S378" s="1332">
        <v>-6331</v>
      </c>
      <c r="T378" s="1332">
        <v>287214</v>
      </c>
    </row>
    <row r="379" spans="1:20" x14ac:dyDescent="0.25">
      <c r="A379" s="1342">
        <v>93641</v>
      </c>
      <c r="B379" s="1340" t="s">
        <v>2998</v>
      </c>
      <c r="C379" s="1324">
        <v>3.7300000000000001E-4</v>
      </c>
      <c r="D379" s="1324">
        <v>3.724E-4</v>
      </c>
      <c r="E379" s="1332">
        <v>1018634</v>
      </c>
      <c r="F379" s="1333"/>
      <c r="G379" s="1332">
        <v>174416</v>
      </c>
      <c r="H379" s="1332">
        <v>24846</v>
      </c>
      <c r="I379" s="1332">
        <v>166020</v>
      </c>
      <c r="J379" s="1332">
        <v>25953</v>
      </c>
      <c r="K379" s="1332">
        <v>391235</v>
      </c>
      <c r="L379" s="1333"/>
      <c r="M379" s="1332">
        <v>0</v>
      </c>
      <c r="N379" s="1332">
        <v>0</v>
      </c>
      <c r="O379" s="1332">
        <v>7161</v>
      </c>
      <c r="P379" s="1332">
        <v>7161</v>
      </c>
      <c r="Q379" s="1333"/>
      <c r="R379" s="1332">
        <v>453759</v>
      </c>
      <c r="S379" s="1332">
        <v>8170</v>
      </c>
      <c r="T379" s="1332">
        <v>461929</v>
      </c>
    </row>
    <row r="380" spans="1:20" x14ac:dyDescent="0.25">
      <c r="A380" s="1342">
        <v>93647</v>
      </c>
      <c r="B380" s="1340" t="s">
        <v>2999</v>
      </c>
      <c r="C380" s="1324">
        <v>5.2000000000000002E-6</v>
      </c>
      <c r="D380" s="1324">
        <v>6.1E-6</v>
      </c>
      <c r="E380" s="1332">
        <v>14201</v>
      </c>
      <c r="F380" s="1333"/>
      <c r="G380" s="1332">
        <v>2432</v>
      </c>
      <c r="H380" s="1332">
        <v>346</v>
      </c>
      <c r="I380" s="1332">
        <v>2314</v>
      </c>
      <c r="J380" s="1332">
        <v>12786</v>
      </c>
      <c r="K380" s="1332">
        <v>17878</v>
      </c>
      <c r="L380" s="1333"/>
      <c r="M380" s="1332">
        <v>0</v>
      </c>
      <c r="N380" s="1332">
        <v>0</v>
      </c>
      <c r="O380" s="1332">
        <v>0</v>
      </c>
      <c r="P380" s="1332">
        <v>0</v>
      </c>
      <c r="Q380" s="1333"/>
      <c r="R380" s="1332">
        <v>6326</v>
      </c>
      <c r="S380" s="1332">
        <v>6651</v>
      </c>
      <c r="T380" s="1332">
        <v>12977</v>
      </c>
    </row>
    <row r="381" spans="1:20" x14ac:dyDescent="0.25">
      <c r="A381" s="1342">
        <v>93651</v>
      </c>
      <c r="B381" s="1340" t="s">
        <v>3000</v>
      </c>
      <c r="C381" s="1324">
        <v>4.3790000000000002E-4</v>
      </c>
      <c r="D381" s="1324">
        <v>4.507E-4</v>
      </c>
      <c r="E381" s="1332">
        <v>1195871</v>
      </c>
      <c r="F381" s="1333"/>
      <c r="G381" s="1332">
        <v>204763</v>
      </c>
      <c r="H381" s="1332">
        <v>29169</v>
      </c>
      <c r="I381" s="1332">
        <v>194907</v>
      </c>
      <c r="J381" s="1332">
        <v>0</v>
      </c>
      <c r="K381" s="1332">
        <v>428839</v>
      </c>
      <c r="L381" s="1333"/>
      <c r="M381" s="1332">
        <v>0</v>
      </c>
      <c r="N381" s="1332">
        <v>0</v>
      </c>
      <c r="O381" s="1332">
        <v>30670</v>
      </c>
      <c r="P381" s="1332">
        <v>30670</v>
      </c>
      <c r="Q381" s="1333"/>
      <c r="R381" s="1332">
        <v>532711</v>
      </c>
      <c r="S381" s="1332">
        <v>-8124</v>
      </c>
      <c r="T381" s="1332">
        <v>524587</v>
      </c>
    </row>
    <row r="382" spans="1:20" x14ac:dyDescent="0.25">
      <c r="A382" s="1342">
        <v>93661</v>
      </c>
      <c r="B382" s="1340" t="s">
        <v>3001</v>
      </c>
      <c r="C382" s="1324">
        <v>1.2850000000000001E-4</v>
      </c>
      <c r="D382" s="1324">
        <v>1.4449999999999999E-4</v>
      </c>
      <c r="E382" s="1332">
        <v>350923</v>
      </c>
      <c r="F382" s="1333"/>
      <c r="G382" s="1332">
        <v>60087</v>
      </c>
      <c r="H382" s="1332">
        <v>8560</v>
      </c>
      <c r="I382" s="1332">
        <v>57195</v>
      </c>
      <c r="J382" s="1332">
        <v>6804</v>
      </c>
      <c r="K382" s="1332">
        <v>132646</v>
      </c>
      <c r="L382" s="1333"/>
      <c r="M382" s="1332">
        <v>0</v>
      </c>
      <c r="N382" s="1332">
        <v>0</v>
      </c>
      <c r="O382" s="1332">
        <v>9472</v>
      </c>
      <c r="P382" s="1332">
        <v>9472</v>
      </c>
      <c r="Q382" s="1333"/>
      <c r="R382" s="1332">
        <v>156322</v>
      </c>
      <c r="S382" s="1332">
        <v>2192</v>
      </c>
      <c r="T382" s="1332">
        <v>158514</v>
      </c>
    </row>
    <row r="383" spans="1:20" x14ac:dyDescent="0.25">
      <c r="A383" s="1342">
        <v>93671</v>
      </c>
      <c r="B383" s="1340" t="s">
        <v>3002</v>
      </c>
      <c r="C383" s="1324">
        <v>3.4840000000000001E-4</v>
      </c>
      <c r="D383" s="1324">
        <v>3.3950000000000001E-4</v>
      </c>
      <c r="E383" s="1332">
        <v>951453</v>
      </c>
      <c r="F383" s="1333"/>
      <c r="G383" s="1332">
        <v>162913</v>
      </c>
      <c r="H383" s="1332">
        <v>23207</v>
      </c>
      <c r="I383" s="1332">
        <v>155071</v>
      </c>
      <c r="J383" s="1332">
        <v>24392</v>
      </c>
      <c r="K383" s="1332">
        <v>365583</v>
      </c>
      <c r="L383" s="1333"/>
      <c r="M383" s="1332">
        <v>0</v>
      </c>
      <c r="N383" s="1332">
        <v>0</v>
      </c>
      <c r="O383" s="1332">
        <v>1177</v>
      </c>
      <c r="P383" s="1332">
        <v>1177</v>
      </c>
      <c r="Q383" s="1333"/>
      <c r="R383" s="1332">
        <v>423833</v>
      </c>
      <c r="S383" s="1332">
        <v>15132</v>
      </c>
      <c r="T383" s="1332">
        <v>438965</v>
      </c>
    </row>
    <row r="384" spans="1:20" x14ac:dyDescent="0.25">
      <c r="A384" s="1342">
        <v>93681</v>
      </c>
      <c r="B384" s="1340" t="s">
        <v>3003</v>
      </c>
      <c r="C384" s="1324">
        <v>1.284E-4</v>
      </c>
      <c r="D384" s="1324">
        <v>1.211E-4</v>
      </c>
      <c r="E384" s="1332">
        <v>350650</v>
      </c>
      <c r="F384" s="1333"/>
      <c r="G384" s="1332">
        <v>60040</v>
      </c>
      <c r="H384" s="1332">
        <v>8553</v>
      </c>
      <c r="I384" s="1332">
        <v>57150</v>
      </c>
      <c r="J384" s="1332">
        <v>6827</v>
      </c>
      <c r="K384" s="1332">
        <v>132570</v>
      </c>
      <c r="L384" s="1333"/>
      <c r="M384" s="1332">
        <v>0</v>
      </c>
      <c r="N384" s="1332">
        <v>0</v>
      </c>
      <c r="O384" s="1332">
        <v>3005</v>
      </c>
      <c r="P384" s="1332">
        <v>3005</v>
      </c>
      <c r="Q384" s="1333"/>
      <c r="R384" s="1332">
        <v>156200</v>
      </c>
      <c r="S384" s="1332">
        <v>-788</v>
      </c>
      <c r="T384" s="1332">
        <v>155412</v>
      </c>
    </row>
    <row r="385" spans="1:20" x14ac:dyDescent="0.25">
      <c r="A385" s="1342">
        <v>93691</v>
      </c>
      <c r="B385" s="1340" t="s">
        <v>3004</v>
      </c>
      <c r="C385" s="1324">
        <v>1.0889999999999999E-3</v>
      </c>
      <c r="D385" s="1324">
        <v>1.0357999999999999E-3</v>
      </c>
      <c r="E385" s="1332">
        <v>2973974</v>
      </c>
      <c r="F385" s="1333"/>
      <c r="G385" s="1332">
        <v>509220</v>
      </c>
      <c r="H385" s="1332">
        <v>72540</v>
      </c>
      <c r="I385" s="1332">
        <v>484708</v>
      </c>
      <c r="J385" s="1332">
        <v>22610</v>
      </c>
      <c r="K385" s="1332">
        <v>1089078</v>
      </c>
      <c r="L385" s="1333"/>
      <c r="M385" s="1332">
        <v>0</v>
      </c>
      <c r="N385" s="1332">
        <v>0</v>
      </c>
      <c r="O385" s="1332">
        <v>69124</v>
      </c>
      <c r="P385" s="1332">
        <v>69124</v>
      </c>
      <c r="Q385" s="1333"/>
      <c r="R385" s="1332">
        <v>1324783</v>
      </c>
      <c r="S385" s="1332">
        <v>-40466</v>
      </c>
      <c r="T385" s="1332">
        <v>1284317</v>
      </c>
    </row>
    <row r="386" spans="1:20" x14ac:dyDescent="0.25">
      <c r="A386" s="1342">
        <v>93701</v>
      </c>
      <c r="B386" s="1340" t="s">
        <v>3687</v>
      </c>
      <c r="C386" s="1324">
        <v>4.3600000000000003E-4</v>
      </c>
      <c r="D386" s="1324">
        <v>4.6779999999999999E-4</v>
      </c>
      <c r="E386" s="1332">
        <v>1190682</v>
      </c>
      <c r="F386" s="1333"/>
      <c r="G386" s="1332">
        <v>203875</v>
      </c>
      <c r="H386" s="1332">
        <v>29042</v>
      </c>
      <c r="I386" s="1332">
        <v>194061</v>
      </c>
      <c r="J386" s="1332">
        <v>0</v>
      </c>
      <c r="K386" s="1332">
        <v>426978</v>
      </c>
      <c r="L386" s="1333"/>
      <c r="M386" s="1332">
        <v>0</v>
      </c>
      <c r="N386" s="1332">
        <v>0</v>
      </c>
      <c r="O386" s="1332">
        <v>35085</v>
      </c>
      <c r="P386" s="1332">
        <v>35085</v>
      </c>
      <c r="Q386" s="1333"/>
      <c r="R386" s="1332">
        <v>530400</v>
      </c>
      <c r="S386" s="1332">
        <v>-10094</v>
      </c>
      <c r="T386" s="1332">
        <v>520306</v>
      </c>
    </row>
    <row r="387" spans="1:20" x14ac:dyDescent="0.25">
      <c r="A387" s="1342">
        <v>93704</v>
      </c>
      <c r="B387" s="1340" t="s">
        <v>3006</v>
      </c>
      <c r="C387" s="1324">
        <v>2.2000000000000001E-6</v>
      </c>
      <c r="D387" s="1324">
        <v>2.7E-6</v>
      </c>
      <c r="E387" s="1332">
        <v>6008</v>
      </c>
      <c r="F387" s="1333"/>
      <c r="G387" s="1332">
        <v>1029</v>
      </c>
      <c r="H387" s="1332">
        <v>147</v>
      </c>
      <c r="I387" s="1332">
        <v>979</v>
      </c>
      <c r="J387" s="1332">
        <v>801</v>
      </c>
      <c r="K387" s="1332">
        <v>2956</v>
      </c>
      <c r="L387" s="1333"/>
      <c r="M387" s="1332">
        <v>0</v>
      </c>
      <c r="N387" s="1332">
        <v>0</v>
      </c>
      <c r="O387" s="1332">
        <v>0</v>
      </c>
      <c r="P387" s="1332">
        <v>0</v>
      </c>
      <c r="Q387" s="1333"/>
      <c r="R387" s="1332">
        <v>2676</v>
      </c>
      <c r="S387" s="1332">
        <v>350</v>
      </c>
      <c r="T387" s="1332">
        <v>3026</v>
      </c>
    </row>
    <row r="388" spans="1:20" x14ac:dyDescent="0.25">
      <c r="A388" s="1342">
        <v>93801</v>
      </c>
      <c r="B388" s="1340" t="s">
        <v>3007</v>
      </c>
      <c r="C388" s="1324">
        <v>4.191E-4</v>
      </c>
      <c r="D388" s="1324">
        <v>4.3570000000000002E-4</v>
      </c>
      <c r="E388" s="1332">
        <v>1144529</v>
      </c>
      <c r="F388" s="1333"/>
      <c r="G388" s="1332">
        <v>195972</v>
      </c>
      <c r="H388" s="1332">
        <v>27917</v>
      </c>
      <c r="I388" s="1332">
        <v>186539</v>
      </c>
      <c r="J388" s="1332">
        <v>29475</v>
      </c>
      <c r="K388" s="1332">
        <v>439903</v>
      </c>
      <c r="L388" s="1333"/>
      <c r="M388" s="1332">
        <v>0</v>
      </c>
      <c r="N388" s="1332">
        <v>0</v>
      </c>
      <c r="O388" s="1332">
        <v>61015</v>
      </c>
      <c r="P388" s="1332">
        <v>61015</v>
      </c>
      <c r="Q388" s="1333"/>
      <c r="R388" s="1332">
        <v>509841</v>
      </c>
      <c r="S388" s="1332">
        <v>17086</v>
      </c>
      <c r="T388" s="1332">
        <v>526927</v>
      </c>
    </row>
    <row r="389" spans="1:20" x14ac:dyDescent="0.25">
      <c r="A389" s="1342">
        <v>93803</v>
      </c>
      <c r="B389" s="1340" t="s">
        <v>4170</v>
      </c>
      <c r="C389" s="1324">
        <v>9.0799999999999998E-5</v>
      </c>
      <c r="D389" s="1324">
        <v>1.122E-4</v>
      </c>
      <c r="E389" s="1332">
        <v>247968</v>
      </c>
      <c r="F389" s="1333"/>
      <c r="G389" s="1332">
        <v>42458</v>
      </c>
      <c r="H389" s="1332">
        <v>6048</v>
      </c>
      <c r="I389" s="1332">
        <v>40415</v>
      </c>
      <c r="J389" s="1332">
        <v>0</v>
      </c>
      <c r="K389" s="1332">
        <v>88921</v>
      </c>
      <c r="L389" s="1333"/>
      <c r="M389" s="1332">
        <v>0</v>
      </c>
      <c r="N389" s="1332">
        <v>0</v>
      </c>
      <c r="O389" s="1332">
        <v>39006</v>
      </c>
      <c r="P389" s="1332">
        <v>39006</v>
      </c>
      <c r="Q389" s="1333"/>
      <c r="R389" s="1332">
        <v>110459</v>
      </c>
      <c r="S389" s="1332">
        <v>-18526</v>
      </c>
      <c r="T389" s="1332">
        <v>91933</v>
      </c>
    </row>
    <row r="390" spans="1:20" ht="30" x14ac:dyDescent="0.25">
      <c r="A390" s="1342">
        <v>93806</v>
      </c>
      <c r="B390" s="1340" t="s">
        <v>4171</v>
      </c>
      <c r="C390" s="1324">
        <v>7.9599999999999997E-5</v>
      </c>
      <c r="D390" s="1324">
        <v>7.6100000000000007E-5</v>
      </c>
      <c r="E390" s="1332">
        <v>217381</v>
      </c>
      <c r="F390" s="1333"/>
      <c r="G390" s="1332">
        <v>37221</v>
      </c>
      <c r="H390" s="1332">
        <v>5302</v>
      </c>
      <c r="I390" s="1332">
        <v>35430</v>
      </c>
      <c r="J390" s="1332">
        <v>7729</v>
      </c>
      <c r="K390" s="1332">
        <v>85682</v>
      </c>
      <c r="L390" s="1333"/>
      <c r="M390" s="1332">
        <v>0</v>
      </c>
      <c r="N390" s="1332">
        <v>0</v>
      </c>
      <c r="O390" s="1332">
        <v>6523</v>
      </c>
      <c r="P390" s="1332">
        <v>6523</v>
      </c>
      <c r="Q390" s="1333"/>
      <c r="R390" s="1332">
        <v>96834</v>
      </c>
      <c r="S390" s="1332">
        <v>1656</v>
      </c>
      <c r="T390" s="1332">
        <v>98490</v>
      </c>
    </row>
    <row r="391" spans="1:20" x14ac:dyDescent="0.25">
      <c r="A391" s="1342">
        <v>93821</v>
      </c>
      <c r="B391" s="1340" t="s">
        <v>3010</v>
      </c>
      <c r="C391" s="1324">
        <v>6.9200000000000002E-5</v>
      </c>
      <c r="D391" s="1324">
        <v>5.6799999999999998E-5</v>
      </c>
      <c r="E391" s="1332">
        <v>188980</v>
      </c>
      <c r="F391" s="1333"/>
      <c r="G391" s="1332">
        <v>32358</v>
      </c>
      <c r="H391" s="1332">
        <v>4609</v>
      </c>
      <c r="I391" s="1332">
        <v>30801</v>
      </c>
      <c r="J391" s="1332">
        <v>43655</v>
      </c>
      <c r="K391" s="1332">
        <v>111423</v>
      </c>
      <c r="L391" s="1333"/>
      <c r="M391" s="1332">
        <v>0</v>
      </c>
      <c r="N391" s="1332">
        <v>0</v>
      </c>
      <c r="O391" s="1332">
        <v>172</v>
      </c>
      <c r="P391" s="1332">
        <v>172</v>
      </c>
      <c r="Q391" s="1333"/>
      <c r="R391" s="1332">
        <v>84183</v>
      </c>
      <c r="S391" s="1332">
        <v>18614</v>
      </c>
      <c r="T391" s="1332">
        <v>102797</v>
      </c>
    </row>
    <row r="392" spans="1:20" x14ac:dyDescent="0.25">
      <c r="A392" s="1342">
        <v>93901</v>
      </c>
      <c r="B392" s="1340" t="s">
        <v>3011</v>
      </c>
      <c r="C392" s="1324">
        <v>1.7884999999999999E-3</v>
      </c>
      <c r="D392" s="1324">
        <v>1.7718E-3</v>
      </c>
      <c r="E392" s="1332">
        <v>4884254</v>
      </c>
      <c r="F392" s="1333"/>
      <c r="G392" s="1332">
        <v>836308</v>
      </c>
      <c r="H392" s="1332">
        <v>119134</v>
      </c>
      <c r="I392" s="1332">
        <v>796052</v>
      </c>
      <c r="J392" s="1332">
        <v>177049</v>
      </c>
      <c r="K392" s="1332">
        <v>1928543</v>
      </c>
      <c r="L392" s="1333"/>
      <c r="M392" s="1332">
        <v>0</v>
      </c>
      <c r="N392" s="1332">
        <v>0</v>
      </c>
      <c r="O392" s="1332">
        <v>0</v>
      </c>
      <c r="P392" s="1332">
        <v>0</v>
      </c>
      <c r="Q392" s="1333"/>
      <c r="R392" s="1332">
        <v>2175734</v>
      </c>
      <c r="S392" s="1332">
        <v>67193</v>
      </c>
      <c r="T392" s="1332">
        <v>2242927</v>
      </c>
    </row>
    <row r="393" spans="1:20" x14ac:dyDescent="0.25">
      <c r="A393" s="1342">
        <v>93904</v>
      </c>
      <c r="B393" s="1340" t="s">
        <v>4172</v>
      </c>
      <c r="C393" s="1324">
        <v>3.18E-5</v>
      </c>
      <c r="D393" s="1324">
        <v>3.3099999999999998E-5</v>
      </c>
      <c r="E393" s="1332">
        <v>86843</v>
      </c>
      <c r="F393" s="1333"/>
      <c r="G393" s="1332">
        <v>14870</v>
      </c>
      <c r="H393" s="1332">
        <v>2118</v>
      </c>
      <c r="I393" s="1332">
        <v>14154</v>
      </c>
      <c r="J393" s="1332">
        <v>12284</v>
      </c>
      <c r="K393" s="1332">
        <v>43426</v>
      </c>
      <c r="L393" s="1333"/>
      <c r="M393" s="1332">
        <v>0</v>
      </c>
      <c r="N393" s="1332">
        <v>0</v>
      </c>
      <c r="O393" s="1332">
        <v>0</v>
      </c>
      <c r="P393" s="1332">
        <v>0</v>
      </c>
      <c r="Q393" s="1333"/>
      <c r="R393" s="1332">
        <v>38685</v>
      </c>
      <c r="S393" s="1332">
        <v>5506</v>
      </c>
      <c r="T393" s="1332">
        <v>44191</v>
      </c>
    </row>
    <row r="394" spans="1:20" x14ac:dyDescent="0.25">
      <c r="A394" s="1342">
        <v>93906</v>
      </c>
      <c r="B394" s="1340" t="s">
        <v>3013</v>
      </c>
      <c r="C394" s="1324">
        <v>3.1308E-3</v>
      </c>
      <c r="D394" s="1324">
        <v>3.1683000000000002E-3</v>
      </c>
      <c r="E394" s="1332">
        <v>8549971</v>
      </c>
      <c r="F394" s="1333"/>
      <c r="G394" s="1332">
        <v>1463971</v>
      </c>
      <c r="H394" s="1332">
        <v>208546</v>
      </c>
      <c r="I394" s="1332">
        <v>1393503</v>
      </c>
      <c r="J394" s="1332">
        <v>0</v>
      </c>
      <c r="K394" s="1332">
        <v>3066020</v>
      </c>
      <c r="L394" s="1333"/>
      <c r="M394" s="1332">
        <v>0</v>
      </c>
      <c r="N394" s="1332">
        <v>0</v>
      </c>
      <c r="O394" s="1332">
        <v>265792</v>
      </c>
      <c r="P394" s="1332">
        <v>265792</v>
      </c>
      <c r="Q394" s="1333"/>
      <c r="R394" s="1332">
        <v>3808659</v>
      </c>
      <c r="S394" s="1332">
        <v>-139204</v>
      </c>
      <c r="T394" s="1332">
        <v>3669455</v>
      </c>
    </row>
    <row r="395" spans="1:20" x14ac:dyDescent="0.25">
      <c r="A395" s="1342">
        <v>93908</v>
      </c>
      <c r="B395" s="1340" t="s">
        <v>3688</v>
      </c>
      <c r="C395" s="1324">
        <v>4.9540000000000001E-4</v>
      </c>
      <c r="D395" s="1324">
        <v>4.6920000000000002E-4</v>
      </c>
      <c r="E395" s="1332">
        <v>1352899</v>
      </c>
      <c r="F395" s="1333"/>
      <c r="G395" s="1332">
        <v>231651</v>
      </c>
      <c r="H395" s="1332">
        <v>32999</v>
      </c>
      <c r="I395" s="1332">
        <v>220500</v>
      </c>
      <c r="J395" s="1332">
        <v>21575</v>
      </c>
      <c r="K395" s="1332">
        <v>506725</v>
      </c>
      <c r="L395" s="1333"/>
      <c r="M395" s="1332">
        <v>0</v>
      </c>
      <c r="N395" s="1332">
        <v>0</v>
      </c>
      <c r="O395" s="1332">
        <v>15341</v>
      </c>
      <c r="P395" s="1332">
        <v>15341</v>
      </c>
      <c r="Q395" s="1333"/>
      <c r="R395" s="1332">
        <v>602661</v>
      </c>
      <c r="S395" s="1332">
        <v>-5643</v>
      </c>
      <c r="T395" s="1332">
        <v>597018</v>
      </c>
    </row>
    <row r="396" spans="1:20" x14ac:dyDescent="0.25">
      <c r="A396" s="1342">
        <v>93910</v>
      </c>
      <c r="B396" s="1340" t="s">
        <v>3015</v>
      </c>
      <c r="C396" s="1324">
        <v>2.285E-4</v>
      </c>
      <c r="D396" s="1324">
        <v>2.5769999999999998E-4</v>
      </c>
      <c r="E396" s="1332">
        <v>624016</v>
      </c>
      <c r="F396" s="1333"/>
      <c r="G396" s="1332">
        <v>106847</v>
      </c>
      <c r="H396" s="1332">
        <v>15221</v>
      </c>
      <c r="I396" s="1332">
        <v>101704</v>
      </c>
      <c r="J396" s="1332">
        <v>0</v>
      </c>
      <c r="K396" s="1332">
        <v>223772</v>
      </c>
      <c r="L396" s="1333"/>
      <c r="M396" s="1332">
        <v>0</v>
      </c>
      <c r="N396" s="1332">
        <v>0</v>
      </c>
      <c r="O396" s="1332">
        <v>40968</v>
      </c>
      <c r="P396" s="1332">
        <v>40968</v>
      </c>
      <c r="Q396" s="1333"/>
      <c r="R396" s="1332">
        <v>277973</v>
      </c>
      <c r="S396" s="1332">
        <v>-17473</v>
      </c>
      <c r="T396" s="1332">
        <v>260500</v>
      </c>
    </row>
    <row r="397" spans="1:20" x14ac:dyDescent="0.25">
      <c r="A397" s="1342">
        <v>93911</v>
      </c>
      <c r="B397" s="1340" t="s">
        <v>3016</v>
      </c>
      <c r="C397" s="1324">
        <v>6.4320000000000002E-4</v>
      </c>
      <c r="D397" s="1324">
        <v>6.5010000000000003E-4</v>
      </c>
      <c r="E397" s="1332">
        <v>1756529</v>
      </c>
      <c r="F397" s="1333"/>
      <c r="G397" s="1332">
        <v>300762</v>
      </c>
      <c r="H397" s="1332">
        <v>42844</v>
      </c>
      <c r="I397" s="1332">
        <v>286285</v>
      </c>
      <c r="J397" s="1332">
        <v>10703</v>
      </c>
      <c r="K397" s="1332">
        <v>640594</v>
      </c>
      <c r="L397" s="1333"/>
      <c r="M397" s="1332">
        <v>0</v>
      </c>
      <c r="N397" s="1332">
        <v>0</v>
      </c>
      <c r="O397" s="1332">
        <v>25625</v>
      </c>
      <c r="P397" s="1332">
        <v>25625</v>
      </c>
      <c r="Q397" s="1333"/>
      <c r="R397" s="1332">
        <v>782461</v>
      </c>
      <c r="S397" s="1332">
        <v>-7996</v>
      </c>
      <c r="T397" s="1332">
        <v>774465</v>
      </c>
    </row>
    <row r="398" spans="1:20" x14ac:dyDescent="0.25">
      <c r="A398" s="1342">
        <v>93913</v>
      </c>
      <c r="B398" s="1340" t="s">
        <v>3017</v>
      </c>
      <c r="C398" s="1324">
        <v>4.9799999999999998E-5</v>
      </c>
      <c r="D398" s="1324">
        <v>5.8799999999999999E-5</v>
      </c>
      <c r="E398" s="1332">
        <v>136000</v>
      </c>
      <c r="F398" s="1333"/>
      <c r="G398" s="1332">
        <v>23287</v>
      </c>
      <c r="H398" s="1332">
        <v>3317</v>
      </c>
      <c r="I398" s="1332">
        <v>22166</v>
      </c>
      <c r="J398" s="1332">
        <v>3063</v>
      </c>
      <c r="K398" s="1332">
        <v>51833</v>
      </c>
      <c r="L398" s="1333"/>
      <c r="M398" s="1332">
        <v>0</v>
      </c>
      <c r="N398" s="1332">
        <v>0</v>
      </c>
      <c r="O398" s="1332">
        <v>2244</v>
      </c>
      <c r="P398" s="1332">
        <v>2244</v>
      </c>
      <c r="Q398" s="1333"/>
      <c r="R398" s="1332">
        <v>60582</v>
      </c>
      <c r="S398" s="1332">
        <v>793</v>
      </c>
      <c r="T398" s="1332">
        <v>61375</v>
      </c>
    </row>
    <row r="399" spans="1:20" x14ac:dyDescent="0.25">
      <c r="A399" s="1342">
        <v>93914</v>
      </c>
      <c r="B399" s="1340" t="s">
        <v>3018</v>
      </c>
      <c r="C399" s="1324">
        <v>6.1E-6</v>
      </c>
      <c r="D399" s="1324">
        <v>7.1999999999999997E-6</v>
      </c>
      <c r="E399" s="1332">
        <v>16659</v>
      </c>
      <c r="F399" s="1333"/>
      <c r="G399" s="1332">
        <v>2852</v>
      </c>
      <c r="H399" s="1332">
        <v>406</v>
      </c>
      <c r="I399" s="1332">
        <v>2715</v>
      </c>
      <c r="J399" s="1332">
        <v>4397</v>
      </c>
      <c r="K399" s="1332">
        <v>10370</v>
      </c>
      <c r="L399" s="1333"/>
      <c r="M399" s="1332">
        <v>0</v>
      </c>
      <c r="N399" s="1332">
        <v>0</v>
      </c>
      <c r="O399" s="1332">
        <v>0</v>
      </c>
      <c r="P399" s="1332">
        <v>0</v>
      </c>
      <c r="Q399" s="1333"/>
      <c r="R399" s="1332">
        <v>7421</v>
      </c>
      <c r="S399" s="1332">
        <v>1957</v>
      </c>
      <c r="T399" s="1332">
        <v>9378</v>
      </c>
    </row>
    <row r="400" spans="1:20" x14ac:dyDescent="0.25">
      <c r="A400" s="1342">
        <v>93921</v>
      </c>
      <c r="B400" s="1340" t="s">
        <v>3019</v>
      </c>
      <c r="C400" s="1324">
        <v>2.251E-4</v>
      </c>
      <c r="D400" s="1324">
        <v>2.8259999999999998E-4</v>
      </c>
      <c r="E400" s="1332">
        <v>614731</v>
      </c>
      <c r="F400" s="1333"/>
      <c r="G400" s="1332">
        <v>105257</v>
      </c>
      <c r="H400" s="1332">
        <v>14994</v>
      </c>
      <c r="I400" s="1332">
        <v>100191</v>
      </c>
      <c r="J400" s="1332">
        <v>3765</v>
      </c>
      <c r="K400" s="1332">
        <v>224207</v>
      </c>
      <c r="L400" s="1333"/>
      <c r="M400" s="1332">
        <v>0</v>
      </c>
      <c r="N400" s="1332">
        <v>0</v>
      </c>
      <c r="O400" s="1332">
        <v>42896</v>
      </c>
      <c r="P400" s="1332">
        <v>42896</v>
      </c>
      <c r="Q400" s="1333"/>
      <c r="R400" s="1332">
        <v>273837</v>
      </c>
      <c r="S400" s="1332">
        <v>-8082</v>
      </c>
      <c r="T400" s="1332">
        <v>265755</v>
      </c>
    </row>
    <row r="401" spans="1:20" x14ac:dyDescent="0.25">
      <c r="A401" s="1342">
        <v>93931</v>
      </c>
      <c r="B401" s="1340" t="s">
        <v>3020</v>
      </c>
      <c r="C401" s="1324">
        <v>5.1590000000000002E-4</v>
      </c>
      <c r="D401" s="1324">
        <v>5.4460000000000001E-4</v>
      </c>
      <c r="E401" s="1332">
        <v>1408883</v>
      </c>
      <c r="F401" s="1333"/>
      <c r="G401" s="1332">
        <v>241236</v>
      </c>
      <c r="H401" s="1332">
        <v>34365</v>
      </c>
      <c r="I401" s="1332">
        <v>229625</v>
      </c>
      <c r="J401" s="1332">
        <v>6952</v>
      </c>
      <c r="K401" s="1332">
        <v>512178</v>
      </c>
      <c r="L401" s="1333"/>
      <c r="M401" s="1332">
        <v>0</v>
      </c>
      <c r="N401" s="1332">
        <v>0</v>
      </c>
      <c r="O401" s="1332">
        <v>58428</v>
      </c>
      <c r="P401" s="1332">
        <v>58428</v>
      </c>
      <c r="Q401" s="1333"/>
      <c r="R401" s="1332">
        <v>627599</v>
      </c>
      <c r="S401" s="1332">
        <v>-398</v>
      </c>
      <c r="T401" s="1332">
        <v>627201</v>
      </c>
    </row>
    <row r="402" spans="1:20" x14ac:dyDescent="0.25">
      <c r="A402" s="1342">
        <v>94001</v>
      </c>
      <c r="B402" s="1340" t="s">
        <v>3021</v>
      </c>
      <c r="C402" s="1324">
        <v>9.3720000000000001E-4</v>
      </c>
      <c r="D402" s="1324">
        <v>9.366E-4</v>
      </c>
      <c r="E402" s="1332">
        <v>2559420</v>
      </c>
      <c r="F402" s="1333"/>
      <c r="G402" s="1332">
        <v>438238</v>
      </c>
      <c r="H402" s="1332">
        <v>62428</v>
      </c>
      <c r="I402" s="1332">
        <v>417143</v>
      </c>
      <c r="J402" s="1332">
        <v>42467</v>
      </c>
      <c r="K402" s="1332">
        <v>960276</v>
      </c>
      <c r="L402" s="1333"/>
      <c r="M402" s="1332">
        <v>0</v>
      </c>
      <c r="N402" s="1332">
        <v>0</v>
      </c>
      <c r="O402" s="1332">
        <v>0</v>
      </c>
      <c r="P402" s="1332">
        <v>0</v>
      </c>
      <c r="Q402" s="1333"/>
      <c r="R402" s="1332">
        <v>1140116</v>
      </c>
      <c r="S402" s="1332">
        <v>20242</v>
      </c>
      <c r="T402" s="1332">
        <v>1160358</v>
      </c>
    </row>
    <row r="403" spans="1:20" x14ac:dyDescent="0.25">
      <c r="A403" s="1342">
        <v>94002</v>
      </c>
      <c r="B403" s="1340" t="s">
        <v>3022</v>
      </c>
      <c r="C403" s="1324">
        <v>5.2000000000000002E-6</v>
      </c>
      <c r="D403" s="1324">
        <v>5.9000000000000003E-6</v>
      </c>
      <c r="E403" s="1332">
        <v>14201</v>
      </c>
      <c r="F403" s="1333"/>
      <c r="G403" s="1332">
        <v>2432</v>
      </c>
      <c r="H403" s="1332">
        <v>346</v>
      </c>
      <c r="I403" s="1332">
        <v>2314</v>
      </c>
      <c r="J403" s="1332">
        <v>2300</v>
      </c>
      <c r="K403" s="1332">
        <v>7392</v>
      </c>
      <c r="L403" s="1333"/>
      <c r="M403" s="1332">
        <v>0</v>
      </c>
      <c r="N403" s="1332">
        <v>0</v>
      </c>
      <c r="O403" s="1332">
        <v>0</v>
      </c>
      <c r="P403" s="1332">
        <v>0</v>
      </c>
      <c r="Q403" s="1333"/>
      <c r="R403" s="1332">
        <v>6326</v>
      </c>
      <c r="S403" s="1332">
        <v>917</v>
      </c>
      <c r="T403" s="1332">
        <v>7243</v>
      </c>
    </row>
    <row r="404" spans="1:20" x14ac:dyDescent="0.25">
      <c r="A404" s="1342">
        <v>94004</v>
      </c>
      <c r="B404" s="1340" t="s">
        <v>3023</v>
      </c>
      <c r="C404" s="1324">
        <v>7.4000000000000003E-6</v>
      </c>
      <c r="D404" s="1324">
        <v>7.3000000000000004E-6</v>
      </c>
      <c r="E404" s="1332">
        <v>20209</v>
      </c>
      <c r="F404" s="1333"/>
      <c r="G404" s="1332">
        <v>3460</v>
      </c>
      <c r="H404" s="1332">
        <v>493</v>
      </c>
      <c r="I404" s="1332">
        <v>3294</v>
      </c>
      <c r="J404" s="1332">
        <v>3706</v>
      </c>
      <c r="K404" s="1332">
        <v>10953</v>
      </c>
      <c r="L404" s="1333"/>
      <c r="M404" s="1332">
        <v>0</v>
      </c>
      <c r="N404" s="1332">
        <v>0</v>
      </c>
      <c r="O404" s="1332">
        <v>0</v>
      </c>
      <c r="P404" s="1332">
        <v>0</v>
      </c>
      <c r="Q404" s="1333"/>
      <c r="R404" s="1332">
        <v>9002</v>
      </c>
      <c r="S404" s="1332">
        <v>1706</v>
      </c>
      <c r="T404" s="1332">
        <v>10708</v>
      </c>
    </row>
    <row r="405" spans="1:20" x14ac:dyDescent="0.25">
      <c r="A405" s="1342">
        <v>94005</v>
      </c>
      <c r="B405" s="1340" t="s">
        <v>3024</v>
      </c>
      <c r="C405" s="1324">
        <v>1.9E-6</v>
      </c>
      <c r="D405" s="1324">
        <v>4.6999999999999999E-6</v>
      </c>
      <c r="E405" s="1332">
        <v>5189</v>
      </c>
      <c r="F405" s="1333"/>
      <c r="G405" s="1332">
        <v>888</v>
      </c>
      <c r="H405" s="1332">
        <v>127</v>
      </c>
      <c r="I405" s="1332">
        <v>846</v>
      </c>
      <c r="J405" s="1332">
        <v>2612</v>
      </c>
      <c r="K405" s="1332">
        <v>4473</v>
      </c>
      <c r="L405" s="1333"/>
      <c r="M405" s="1332">
        <v>0</v>
      </c>
      <c r="N405" s="1332">
        <v>0</v>
      </c>
      <c r="O405" s="1332">
        <v>3483</v>
      </c>
      <c r="P405" s="1332">
        <v>3483</v>
      </c>
      <c r="Q405" s="1333"/>
      <c r="R405" s="1332">
        <v>2311</v>
      </c>
      <c r="S405" s="1332">
        <v>-1236</v>
      </c>
      <c r="T405" s="1332">
        <v>1075</v>
      </c>
    </row>
    <row r="406" spans="1:20" x14ac:dyDescent="0.25">
      <c r="A406" s="1342">
        <v>94011</v>
      </c>
      <c r="B406" s="1340" t="s">
        <v>3025</v>
      </c>
      <c r="C406" s="1324">
        <v>2.6699999999999998E-5</v>
      </c>
      <c r="D406" s="1324">
        <v>2.8399999999999999E-5</v>
      </c>
      <c r="E406" s="1332">
        <v>72916</v>
      </c>
      <c r="F406" s="1333"/>
      <c r="G406" s="1332">
        <v>12485</v>
      </c>
      <c r="H406" s="1332">
        <v>1778</v>
      </c>
      <c r="I406" s="1332">
        <v>11884</v>
      </c>
      <c r="J406" s="1332">
        <v>2318</v>
      </c>
      <c r="K406" s="1332">
        <v>28465</v>
      </c>
      <c r="L406" s="1333"/>
      <c r="M406" s="1332">
        <v>0</v>
      </c>
      <c r="N406" s="1332">
        <v>0</v>
      </c>
      <c r="O406" s="1332">
        <v>3814</v>
      </c>
      <c r="P406" s="1332">
        <v>3814</v>
      </c>
      <c r="Q406" s="1333"/>
      <c r="R406" s="1332">
        <v>32481</v>
      </c>
      <c r="S406" s="1332">
        <v>240</v>
      </c>
      <c r="T406" s="1332">
        <v>32721</v>
      </c>
    </row>
    <row r="407" spans="1:20" x14ac:dyDescent="0.25">
      <c r="A407" s="1342">
        <v>94021</v>
      </c>
      <c r="B407" s="1340" t="s">
        <v>3026</v>
      </c>
      <c r="C407" s="1324">
        <v>8.3300000000000005E-5</v>
      </c>
      <c r="D407" s="1324">
        <v>8.8800000000000004E-5</v>
      </c>
      <c r="E407" s="1332">
        <v>227486</v>
      </c>
      <c r="F407" s="1333"/>
      <c r="G407" s="1332">
        <v>38951</v>
      </c>
      <c r="H407" s="1332">
        <v>5549</v>
      </c>
      <c r="I407" s="1332">
        <v>37076</v>
      </c>
      <c r="J407" s="1332">
        <v>11040</v>
      </c>
      <c r="K407" s="1332">
        <v>92616</v>
      </c>
      <c r="L407" s="1333"/>
      <c r="M407" s="1332">
        <v>0</v>
      </c>
      <c r="N407" s="1332">
        <v>0</v>
      </c>
      <c r="O407" s="1332">
        <v>0</v>
      </c>
      <c r="P407" s="1332">
        <v>0</v>
      </c>
      <c r="Q407" s="1333"/>
      <c r="R407" s="1332">
        <v>101336</v>
      </c>
      <c r="S407" s="1332">
        <v>6131</v>
      </c>
      <c r="T407" s="1332">
        <v>107467</v>
      </c>
    </row>
    <row r="408" spans="1:20" x14ac:dyDescent="0.25">
      <c r="A408" s="1342">
        <v>94031</v>
      </c>
      <c r="B408" s="1340" t="s">
        <v>3027</v>
      </c>
      <c r="C408" s="1324">
        <v>4.6E-6</v>
      </c>
      <c r="D408" s="1324">
        <v>4.8999999999999997E-6</v>
      </c>
      <c r="E408" s="1332">
        <v>12562</v>
      </c>
      <c r="F408" s="1333"/>
      <c r="G408" s="1332">
        <v>2151</v>
      </c>
      <c r="H408" s="1332">
        <v>307</v>
      </c>
      <c r="I408" s="1332">
        <v>2047</v>
      </c>
      <c r="J408" s="1332">
        <v>8320</v>
      </c>
      <c r="K408" s="1332">
        <v>12825</v>
      </c>
      <c r="L408" s="1333"/>
      <c r="M408" s="1332">
        <v>0</v>
      </c>
      <c r="N408" s="1332">
        <v>0</v>
      </c>
      <c r="O408" s="1332">
        <v>0</v>
      </c>
      <c r="P408" s="1332">
        <v>0</v>
      </c>
      <c r="Q408" s="1333"/>
      <c r="R408" s="1332">
        <v>5596</v>
      </c>
      <c r="S408" s="1332">
        <v>4476</v>
      </c>
      <c r="T408" s="1332">
        <v>10072</v>
      </c>
    </row>
    <row r="409" spans="1:20" x14ac:dyDescent="0.25">
      <c r="A409" s="1342">
        <v>94101</v>
      </c>
      <c r="B409" s="1340" t="s">
        <v>3028</v>
      </c>
      <c r="C409" s="1324">
        <v>1.7750700000000001E-2</v>
      </c>
      <c r="D409" s="1324">
        <v>1.8137199999999999E-2</v>
      </c>
      <c r="E409" s="1332">
        <v>48475777</v>
      </c>
      <c r="F409" s="1333"/>
      <c r="G409" s="1332">
        <v>8300281</v>
      </c>
      <c r="H409" s="1332">
        <v>1182392</v>
      </c>
      <c r="I409" s="1332">
        <v>7900748</v>
      </c>
      <c r="J409" s="1332">
        <v>25242</v>
      </c>
      <c r="K409" s="1332">
        <v>17408663</v>
      </c>
      <c r="L409" s="1333"/>
      <c r="M409" s="1332">
        <v>0</v>
      </c>
      <c r="N409" s="1332">
        <v>0</v>
      </c>
      <c r="O409" s="1332">
        <v>298930</v>
      </c>
      <c r="P409" s="1332">
        <v>298930</v>
      </c>
      <c r="Q409" s="1333"/>
      <c r="R409" s="1332">
        <v>21593957</v>
      </c>
      <c r="S409" s="1332">
        <v>-65341</v>
      </c>
      <c r="T409" s="1332">
        <v>21528616</v>
      </c>
    </row>
    <row r="410" spans="1:20" x14ac:dyDescent="0.25">
      <c r="A410" s="1342">
        <v>94102</v>
      </c>
      <c r="B410" s="1340" t="s">
        <v>3029</v>
      </c>
      <c r="C410" s="1324">
        <v>3.3849999999999999E-4</v>
      </c>
      <c r="D410" s="1324">
        <v>2.8909999999999998E-4</v>
      </c>
      <c r="E410" s="1332">
        <v>924417</v>
      </c>
      <c r="F410" s="1333"/>
      <c r="G410" s="1332">
        <v>158284</v>
      </c>
      <c r="H410" s="1332">
        <v>22548</v>
      </c>
      <c r="I410" s="1332">
        <v>150665</v>
      </c>
      <c r="J410" s="1332">
        <v>8585</v>
      </c>
      <c r="K410" s="1332">
        <v>340082</v>
      </c>
      <c r="L410" s="1333"/>
      <c r="M410" s="1332">
        <v>0</v>
      </c>
      <c r="N410" s="1332">
        <v>0</v>
      </c>
      <c r="O410" s="1332">
        <v>33062</v>
      </c>
      <c r="P410" s="1332">
        <v>33062</v>
      </c>
      <c r="Q410" s="1333"/>
      <c r="R410" s="1332">
        <v>411790</v>
      </c>
      <c r="S410" s="1332">
        <v>-18351</v>
      </c>
      <c r="T410" s="1332">
        <v>393439</v>
      </c>
    </row>
    <row r="411" spans="1:20" x14ac:dyDescent="0.25">
      <c r="A411" s="1342">
        <v>94108</v>
      </c>
      <c r="B411" s="1340" t="s">
        <v>4173</v>
      </c>
      <c r="C411" s="1324">
        <v>3.8289999999999998E-4</v>
      </c>
      <c r="D411" s="1324">
        <v>3.8549999999999999E-4</v>
      </c>
      <c r="E411" s="1332">
        <v>1045670</v>
      </c>
      <c r="F411" s="1333"/>
      <c r="G411" s="1332">
        <v>179045</v>
      </c>
      <c r="H411" s="1332">
        <v>25505</v>
      </c>
      <c r="I411" s="1332">
        <v>170427</v>
      </c>
      <c r="J411" s="1332">
        <v>10190</v>
      </c>
      <c r="K411" s="1332">
        <v>385167</v>
      </c>
      <c r="L411" s="1333"/>
      <c r="M411" s="1332">
        <v>0</v>
      </c>
      <c r="N411" s="1332">
        <v>0</v>
      </c>
      <c r="O411" s="1332">
        <v>71880</v>
      </c>
      <c r="P411" s="1332">
        <v>71880</v>
      </c>
      <c r="Q411" s="1333"/>
      <c r="R411" s="1332">
        <v>465803</v>
      </c>
      <c r="S411" s="1332">
        <v>-39681</v>
      </c>
      <c r="T411" s="1332">
        <v>426122</v>
      </c>
    </row>
    <row r="412" spans="1:20" x14ac:dyDescent="0.25">
      <c r="A412" s="1342">
        <v>94109</v>
      </c>
      <c r="B412" s="1340" t="s">
        <v>4174</v>
      </c>
      <c r="C412" s="1324">
        <v>1.048E-4</v>
      </c>
      <c r="D412" s="1324">
        <v>9.8200000000000002E-5</v>
      </c>
      <c r="E412" s="1332">
        <v>286201</v>
      </c>
      <c r="F412" s="1333"/>
      <c r="G412" s="1332">
        <v>49005</v>
      </c>
      <c r="H412" s="1332">
        <v>6981</v>
      </c>
      <c r="I412" s="1332">
        <v>46646</v>
      </c>
      <c r="J412" s="1332">
        <v>0</v>
      </c>
      <c r="K412" s="1332">
        <v>102632</v>
      </c>
      <c r="L412" s="1333"/>
      <c r="M412" s="1332">
        <v>0</v>
      </c>
      <c r="N412" s="1332">
        <v>0</v>
      </c>
      <c r="O412" s="1332">
        <v>25222</v>
      </c>
      <c r="P412" s="1332">
        <v>25222</v>
      </c>
      <c r="Q412" s="1333"/>
      <c r="R412" s="1332">
        <v>127491</v>
      </c>
      <c r="S412" s="1332">
        <v>-16308</v>
      </c>
      <c r="T412" s="1332">
        <v>111183</v>
      </c>
    </row>
    <row r="413" spans="1:20" x14ac:dyDescent="0.25">
      <c r="A413" s="1342">
        <v>94111</v>
      </c>
      <c r="B413" s="1340" t="s">
        <v>3032</v>
      </c>
      <c r="C413" s="1324">
        <v>2.50095E-2</v>
      </c>
      <c r="D413" s="1324">
        <v>2.4882899999999999E-2</v>
      </c>
      <c r="E413" s="1332">
        <v>68298994</v>
      </c>
      <c r="F413" s="1333"/>
      <c r="G413" s="1332">
        <v>11694517</v>
      </c>
      <c r="H413" s="1332">
        <v>1665908</v>
      </c>
      <c r="I413" s="1332">
        <v>11131603</v>
      </c>
      <c r="J413" s="1332">
        <v>0</v>
      </c>
      <c r="K413" s="1332">
        <v>24492028</v>
      </c>
      <c r="L413" s="1333"/>
      <c r="M413" s="1332">
        <v>0</v>
      </c>
      <c r="N413" s="1332">
        <v>0</v>
      </c>
      <c r="O413" s="1332">
        <v>1033094</v>
      </c>
      <c r="P413" s="1332">
        <v>1033094</v>
      </c>
      <c r="Q413" s="1333"/>
      <c r="R413" s="1332">
        <v>30424382</v>
      </c>
      <c r="S413" s="1332">
        <v>-695656</v>
      </c>
      <c r="T413" s="1332">
        <v>29728726</v>
      </c>
    </row>
    <row r="414" spans="1:20" x14ac:dyDescent="0.25">
      <c r="A414" s="1342">
        <v>94112</v>
      </c>
      <c r="B414" s="1340" t="s">
        <v>4175</v>
      </c>
      <c r="C414" s="1324">
        <v>1.6870000000000001E-4</v>
      </c>
      <c r="D414" s="1324">
        <v>1.684E-4</v>
      </c>
      <c r="E414" s="1332">
        <v>460707</v>
      </c>
      <c r="F414" s="1333"/>
      <c r="G414" s="1332">
        <v>78885</v>
      </c>
      <c r="H414" s="1332">
        <v>11237</v>
      </c>
      <c r="I414" s="1332">
        <v>75088</v>
      </c>
      <c r="J414" s="1332">
        <v>0</v>
      </c>
      <c r="K414" s="1332">
        <v>165210</v>
      </c>
      <c r="L414" s="1333"/>
      <c r="M414" s="1332">
        <v>0</v>
      </c>
      <c r="N414" s="1332">
        <v>0</v>
      </c>
      <c r="O414" s="1332">
        <v>12250</v>
      </c>
      <c r="P414" s="1332">
        <v>12250</v>
      </c>
      <c r="Q414" s="1333"/>
      <c r="R414" s="1332">
        <v>205226</v>
      </c>
      <c r="S414" s="1332">
        <v>-7816</v>
      </c>
      <c r="T414" s="1332">
        <v>197410</v>
      </c>
    </row>
    <row r="415" spans="1:20" x14ac:dyDescent="0.25">
      <c r="A415" s="1342">
        <v>94117</v>
      </c>
      <c r="B415" s="1340" t="s">
        <v>4176</v>
      </c>
      <c r="C415" s="1324">
        <v>3.232E-4</v>
      </c>
      <c r="D415" s="1324">
        <v>3.5429999999999999E-4</v>
      </c>
      <c r="E415" s="1332">
        <v>882634</v>
      </c>
      <c r="F415" s="1333"/>
      <c r="G415" s="1332">
        <v>151129</v>
      </c>
      <c r="H415" s="1332">
        <v>21528</v>
      </c>
      <c r="I415" s="1332">
        <v>143855</v>
      </c>
      <c r="J415" s="1332">
        <v>0</v>
      </c>
      <c r="K415" s="1332">
        <v>316512</v>
      </c>
      <c r="L415" s="1333"/>
      <c r="M415" s="1332">
        <v>0</v>
      </c>
      <c r="N415" s="1332">
        <v>0</v>
      </c>
      <c r="O415" s="1332">
        <v>31793</v>
      </c>
      <c r="P415" s="1332">
        <v>31793</v>
      </c>
      <c r="Q415" s="1333"/>
      <c r="R415" s="1332">
        <v>393177</v>
      </c>
      <c r="S415" s="1332">
        <v>-8846</v>
      </c>
      <c r="T415" s="1332">
        <v>384331</v>
      </c>
    </row>
    <row r="416" spans="1:20" x14ac:dyDescent="0.25">
      <c r="A416" s="1342">
        <v>94118</v>
      </c>
      <c r="B416" s="1340" t="s">
        <v>3035</v>
      </c>
      <c r="C416" s="1324">
        <v>1.6009999999999999E-4</v>
      </c>
      <c r="D416" s="1324">
        <v>1.6009999999999999E-4</v>
      </c>
      <c r="E416" s="1332">
        <v>437221</v>
      </c>
      <c r="F416" s="1333"/>
      <c r="G416" s="1332">
        <v>74863</v>
      </c>
      <c r="H416" s="1332">
        <v>10665</v>
      </c>
      <c r="I416" s="1332">
        <v>71260</v>
      </c>
      <c r="J416" s="1332">
        <v>0</v>
      </c>
      <c r="K416" s="1332">
        <v>156788</v>
      </c>
      <c r="L416" s="1333"/>
      <c r="M416" s="1332">
        <v>0</v>
      </c>
      <c r="N416" s="1332">
        <v>0</v>
      </c>
      <c r="O416" s="1332">
        <v>30819</v>
      </c>
      <c r="P416" s="1332">
        <v>30819</v>
      </c>
      <c r="Q416" s="1333"/>
      <c r="R416" s="1332">
        <v>194764</v>
      </c>
      <c r="S416" s="1332">
        <v>-21004</v>
      </c>
      <c r="T416" s="1332">
        <v>173760</v>
      </c>
    </row>
    <row r="417" spans="1:20" x14ac:dyDescent="0.25">
      <c r="A417" s="1342">
        <v>94121</v>
      </c>
      <c r="B417" s="1340" t="s">
        <v>3036</v>
      </c>
      <c r="C417" s="1324">
        <v>1.1113E-2</v>
      </c>
      <c r="D417" s="1324">
        <v>1.1314299999999999E-2</v>
      </c>
      <c r="E417" s="1332">
        <v>30348736</v>
      </c>
      <c r="F417" s="1333"/>
      <c r="G417" s="1332">
        <v>5196472</v>
      </c>
      <c r="H417" s="1332">
        <v>740248</v>
      </c>
      <c r="I417" s="1332">
        <v>4946341</v>
      </c>
      <c r="J417" s="1332">
        <v>130687</v>
      </c>
      <c r="K417" s="1332">
        <v>11013748</v>
      </c>
      <c r="L417" s="1333"/>
      <c r="M417" s="1332">
        <v>0</v>
      </c>
      <c r="N417" s="1332">
        <v>0</v>
      </c>
      <c r="O417" s="1332">
        <v>57760</v>
      </c>
      <c r="P417" s="1332">
        <v>57760</v>
      </c>
      <c r="Q417" s="1333"/>
      <c r="R417" s="1332">
        <v>13519109</v>
      </c>
      <c r="S417" s="1332">
        <v>-8668</v>
      </c>
      <c r="T417" s="1332">
        <v>13510441</v>
      </c>
    </row>
    <row r="418" spans="1:20" x14ac:dyDescent="0.25">
      <c r="A418" s="1342">
        <v>94127</v>
      </c>
      <c r="B418" s="1340" t="s">
        <v>4177</v>
      </c>
      <c r="C418" s="1324">
        <v>1.4310000000000001E-4</v>
      </c>
      <c r="D418" s="1324">
        <v>1.5310000000000001E-4</v>
      </c>
      <c r="E418" s="1332">
        <v>390795</v>
      </c>
      <c r="F418" s="1333"/>
      <c r="G418" s="1332">
        <v>66914</v>
      </c>
      <c r="H418" s="1332">
        <v>9532</v>
      </c>
      <c r="I418" s="1332">
        <v>63693</v>
      </c>
      <c r="J418" s="1332">
        <v>3653</v>
      </c>
      <c r="K418" s="1332">
        <v>143792</v>
      </c>
      <c r="L418" s="1333"/>
      <c r="M418" s="1332">
        <v>0</v>
      </c>
      <c r="N418" s="1332">
        <v>0</v>
      </c>
      <c r="O418" s="1332">
        <v>15283</v>
      </c>
      <c r="P418" s="1332">
        <v>15283</v>
      </c>
      <c r="Q418" s="1333"/>
      <c r="R418" s="1332">
        <v>174083</v>
      </c>
      <c r="S418" s="1332">
        <v>-2554</v>
      </c>
      <c r="T418" s="1332">
        <v>171529</v>
      </c>
    </row>
    <row r="419" spans="1:20" x14ac:dyDescent="0.25">
      <c r="A419" s="1342">
        <v>94131</v>
      </c>
      <c r="B419" s="1340" t="s">
        <v>3038</v>
      </c>
      <c r="C419" s="1324">
        <v>2.1029999999999999E-4</v>
      </c>
      <c r="D419" s="1324">
        <v>2.039E-4</v>
      </c>
      <c r="E419" s="1332">
        <v>574313</v>
      </c>
      <c r="F419" s="1333"/>
      <c r="G419" s="1332">
        <v>98337</v>
      </c>
      <c r="H419" s="1332">
        <v>14009</v>
      </c>
      <c r="I419" s="1332">
        <v>93603</v>
      </c>
      <c r="J419" s="1332">
        <v>24110</v>
      </c>
      <c r="K419" s="1332">
        <v>230059</v>
      </c>
      <c r="L419" s="1333"/>
      <c r="M419" s="1332">
        <v>0</v>
      </c>
      <c r="N419" s="1332">
        <v>0</v>
      </c>
      <c r="O419" s="1332">
        <v>4253</v>
      </c>
      <c r="P419" s="1332">
        <v>4253</v>
      </c>
      <c r="Q419" s="1333"/>
      <c r="R419" s="1332">
        <v>255833</v>
      </c>
      <c r="S419" s="1332">
        <v>6700</v>
      </c>
      <c r="T419" s="1332">
        <v>262533</v>
      </c>
    </row>
    <row r="420" spans="1:20" x14ac:dyDescent="0.25">
      <c r="A420" s="1342">
        <v>94151</v>
      </c>
      <c r="B420" s="1340" t="s">
        <v>3039</v>
      </c>
      <c r="C420" s="1324">
        <v>4.6660000000000001E-4</v>
      </c>
      <c r="D420" s="1324">
        <v>4.6470000000000002E-4</v>
      </c>
      <c r="E420" s="1332">
        <v>1274248</v>
      </c>
      <c r="F420" s="1333"/>
      <c r="G420" s="1332">
        <v>218184</v>
      </c>
      <c r="H420" s="1332">
        <v>31081</v>
      </c>
      <c r="I420" s="1332">
        <v>207681</v>
      </c>
      <c r="J420" s="1332">
        <v>9104</v>
      </c>
      <c r="K420" s="1332">
        <v>466050</v>
      </c>
      <c r="L420" s="1333"/>
      <c r="M420" s="1332">
        <v>0</v>
      </c>
      <c r="N420" s="1332">
        <v>0</v>
      </c>
      <c r="O420" s="1332">
        <v>32628</v>
      </c>
      <c r="P420" s="1332">
        <v>32628</v>
      </c>
      <c r="Q420" s="1333"/>
      <c r="R420" s="1332">
        <v>567625</v>
      </c>
      <c r="S420" s="1332">
        <v>-11523</v>
      </c>
      <c r="T420" s="1332">
        <v>556102</v>
      </c>
    </row>
    <row r="421" spans="1:20" x14ac:dyDescent="0.25">
      <c r="A421" s="1342">
        <v>94157</v>
      </c>
      <c r="B421" s="1340" t="s">
        <v>3040</v>
      </c>
      <c r="C421" s="1324">
        <v>8.6000000000000007E-6</v>
      </c>
      <c r="D421" s="1324">
        <v>8.4999999999999999E-6</v>
      </c>
      <c r="E421" s="1332">
        <v>23486</v>
      </c>
      <c r="F421" s="1333"/>
      <c r="G421" s="1332">
        <v>4021</v>
      </c>
      <c r="H421" s="1332">
        <v>573</v>
      </c>
      <c r="I421" s="1332">
        <v>3828</v>
      </c>
      <c r="J421" s="1332">
        <v>2393</v>
      </c>
      <c r="K421" s="1332">
        <v>10815</v>
      </c>
      <c r="L421" s="1333"/>
      <c r="M421" s="1332">
        <v>0</v>
      </c>
      <c r="N421" s="1332">
        <v>0</v>
      </c>
      <c r="O421" s="1332">
        <v>0</v>
      </c>
      <c r="P421" s="1332">
        <v>0</v>
      </c>
      <c r="Q421" s="1333"/>
      <c r="R421" s="1332">
        <v>10462</v>
      </c>
      <c r="S421" s="1332">
        <v>1538</v>
      </c>
      <c r="T421" s="1332">
        <v>12000</v>
      </c>
    </row>
    <row r="422" spans="1:20" x14ac:dyDescent="0.25">
      <c r="A422" s="1342">
        <v>94161</v>
      </c>
      <c r="B422" s="1340" t="s">
        <v>3041</v>
      </c>
      <c r="C422" s="1324">
        <v>4.8600000000000002E-5</v>
      </c>
      <c r="D422" s="1324">
        <v>3.4999999999999997E-5</v>
      </c>
      <c r="E422" s="1332">
        <v>132723</v>
      </c>
      <c r="F422" s="1333"/>
      <c r="G422" s="1332">
        <v>22726</v>
      </c>
      <c r="H422" s="1332">
        <v>3237</v>
      </c>
      <c r="I422" s="1332">
        <v>21632</v>
      </c>
      <c r="J422" s="1332">
        <v>13179</v>
      </c>
      <c r="K422" s="1332">
        <v>60774</v>
      </c>
      <c r="L422" s="1333"/>
      <c r="M422" s="1332">
        <v>0</v>
      </c>
      <c r="N422" s="1332">
        <v>0</v>
      </c>
      <c r="O422" s="1332">
        <v>7165</v>
      </c>
      <c r="P422" s="1332">
        <v>7165</v>
      </c>
      <c r="Q422" s="1333"/>
      <c r="R422" s="1332">
        <v>59123</v>
      </c>
      <c r="S422" s="1332">
        <v>2701</v>
      </c>
      <c r="T422" s="1332">
        <v>61824</v>
      </c>
    </row>
    <row r="423" spans="1:20" x14ac:dyDescent="0.25">
      <c r="A423" s="1342">
        <v>94168</v>
      </c>
      <c r="B423" s="1340" t="s">
        <v>3042</v>
      </c>
      <c r="C423" s="1324">
        <v>5.5099999999999998E-5</v>
      </c>
      <c r="D423" s="1324">
        <v>5.0800000000000002E-5</v>
      </c>
      <c r="E423" s="1332">
        <v>150474</v>
      </c>
      <c r="F423" s="1333"/>
      <c r="G423" s="1332">
        <v>25765</v>
      </c>
      <c r="H423" s="1332">
        <v>3670</v>
      </c>
      <c r="I423" s="1332">
        <v>24525</v>
      </c>
      <c r="J423" s="1332">
        <v>13506</v>
      </c>
      <c r="K423" s="1332">
        <v>67466</v>
      </c>
      <c r="L423" s="1333"/>
      <c r="M423" s="1332">
        <v>0</v>
      </c>
      <c r="N423" s="1332">
        <v>0</v>
      </c>
      <c r="O423" s="1332">
        <v>2868</v>
      </c>
      <c r="P423" s="1332">
        <v>2868</v>
      </c>
      <c r="Q423" s="1333"/>
      <c r="R423" s="1332">
        <v>67030</v>
      </c>
      <c r="S423" s="1332">
        <v>1001</v>
      </c>
      <c r="T423" s="1332">
        <v>68031</v>
      </c>
    </row>
    <row r="424" spans="1:20" x14ac:dyDescent="0.25">
      <c r="A424" s="1342">
        <v>94171</v>
      </c>
      <c r="B424" s="1340" t="s">
        <v>3043</v>
      </c>
      <c r="C424" s="1324">
        <v>6.1799999999999998E-5</v>
      </c>
      <c r="D424" s="1324">
        <v>7.9800000000000002E-5</v>
      </c>
      <c r="E424" s="1332">
        <v>168771</v>
      </c>
      <c r="F424" s="1333"/>
      <c r="G424" s="1332">
        <v>28898</v>
      </c>
      <c r="H424" s="1332">
        <v>4116</v>
      </c>
      <c r="I424" s="1332">
        <v>27507</v>
      </c>
      <c r="J424" s="1332">
        <v>4442</v>
      </c>
      <c r="K424" s="1332">
        <v>64963</v>
      </c>
      <c r="L424" s="1333"/>
      <c r="M424" s="1332">
        <v>0</v>
      </c>
      <c r="N424" s="1332">
        <v>0</v>
      </c>
      <c r="O424" s="1332">
        <v>16587</v>
      </c>
      <c r="P424" s="1332">
        <v>16587</v>
      </c>
      <c r="Q424" s="1333"/>
      <c r="R424" s="1332">
        <v>75181</v>
      </c>
      <c r="S424" s="1332">
        <v>-397</v>
      </c>
      <c r="T424" s="1332">
        <v>74784</v>
      </c>
    </row>
    <row r="425" spans="1:20" x14ac:dyDescent="0.25">
      <c r="A425" s="1342">
        <v>94172</v>
      </c>
      <c r="B425" s="1340" t="s">
        <v>3044</v>
      </c>
      <c r="C425" s="1324">
        <v>2.8210000000000003E-4</v>
      </c>
      <c r="D425" s="1324">
        <v>2.833E-4</v>
      </c>
      <c r="E425" s="1332">
        <v>770393</v>
      </c>
      <c r="F425" s="1333"/>
      <c r="G425" s="1332">
        <v>131911</v>
      </c>
      <c r="H425" s="1332">
        <v>18791</v>
      </c>
      <c r="I425" s="1332">
        <v>125561</v>
      </c>
      <c r="J425" s="1332">
        <v>0</v>
      </c>
      <c r="K425" s="1332">
        <v>276263</v>
      </c>
      <c r="L425" s="1333"/>
      <c r="M425" s="1332">
        <v>0</v>
      </c>
      <c r="N425" s="1332">
        <v>0</v>
      </c>
      <c r="O425" s="1332">
        <v>60948</v>
      </c>
      <c r="P425" s="1332">
        <v>60948</v>
      </c>
      <c r="Q425" s="1333"/>
      <c r="R425" s="1332">
        <v>343178</v>
      </c>
      <c r="S425" s="1332">
        <v>-35345</v>
      </c>
      <c r="T425" s="1332">
        <v>307833</v>
      </c>
    </row>
    <row r="426" spans="1:20" x14ac:dyDescent="0.25">
      <c r="A426" s="1342">
        <v>94201</v>
      </c>
      <c r="B426" s="1340" t="s">
        <v>3045</v>
      </c>
      <c r="C426" s="1324">
        <v>3.2504999999999999E-3</v>
      </c>
      <c r="D426" s="1324">
        <v>3.2913999999999999E-3</v>
      </c>
      <c r="E426" s="1332">
        <v>8876862</v>
      </c>
      <c r="F426" s="1333"/>
      <c r="G426" s="1332">
        <v>1519944</v>
      </c>
      <c r="H426" s="1332">
        <v>216519</v>
      </c>
      <c r="I426" s="1332">
        <v>1446781</v>
      </c>
      <c r="J426" s="1332">
        <v>14622</v>
      </c>
      <c r="K426" s="1332">
        <v>3197866</v>
      </c>
      <c r="L426" s="1333"/>
      <c r="M426" s="1332">
        <v>0</v>
      </c>
      <c r="N426" s="1332">
        <v>0</v>
      </c>
      <c r="O426" s="1332">
        <v>59411</v>
      </c>
      <c r="P426" s="1332">
        <v>59411</v>
      </c>
      <c r="Q426" s="1333"/>
      <c r="R426" s="1332">
        <v>3954276</v>
      </c>
      <c r="S426" s="1332">
        <v>-7209</v>
      </c>
      <c r="T426" s="1332">
        <v>3947067</v>
      </c>
    </row>
    <row r="427" spans="1:20" x14ac:dyDescent="0.25">
      <c r="A427" s="1342">
        <v>94204</v>
      </c>
      <c r="B427" s="1340" t="s">
        <v>3046</v>
      </c>
      <c r="C427" s="1324">
        <v>2.97E-5</v>
      </c>
      <c r="D427" s="1324">
        <v>2.73E-5</v>
      </c>
      <c r="E427" s="1332">
        <v>81108</v>
      </c>
      <c r="F427" s="1333"/>
      <c r="G427" s="1332">
        <v>13888</v>
      </c>
      <c r="H427" s="1332">
        <v>1978</v>
      </c>
      <c r="I427" s="1332">
        <v>13219</v>
      </c>
      <c r="J427" s="1332">
        <v>11627</v>
      </c>
      <c r="K427" s="1332">
        <v>40712</v>
      </c>
      <c r="L427" s="1333"/>
      <c r="M427" s="1332">
        <v>0</v>
      </c>
      <c r="N427" s="1332">
        <v>0</v>
      </c>
      <c r="O427" s="1332">
        <v>0</v>
      </c>
      <c r="P427" s="1332">
        <v>0</v>
      </c>
      <c r="Q427" s="1333"/>
      <c r="R427" s="1332">
        <v>36130</v>
      </c>
      <c r="S427" s="1332">
        <v>5970</v>
      </c>
      <c r="T427" s="1332">
        <v>42100</v>
      </c>
    </row>
    <row r="428" spans="1:20" ht="30" x14ac:dyDescent="0.25">
      <c r="A428" s="1342">
        <v>94205</v>
      </c>
      <c r="B428" s="1340" t="s">
        <v>3047</v>
      </c>
      <c r="C428" s="1324">
        <v>1.6200000000000001E-5</v>
      </c>
      <c r="D428" s="1324">
        <v>1.8300000000000001E-5</v>
      </c>
      <c r="E428" s="1332">
        <v>44241</v>
      </c>
      <c r="F428" s="1333"/>
      <c r="G428" s="1332">
        <v>7575</v>
      </c>
      <c r="H428" s="1332">
        <v>1079</v>
      </c>
      <c r="I428" s="1332">
        <v>7211</v>
      </c>
      <c r="J428" s="1332">
        <v>1732</v>
      </c>
      <c r="K428" s="1332">
        <v>17597</v>
      </c>
      <c r="L428" s="1333"/>
      <c r="M428" s="1332">
        <v>0</v>
      </c>
      <c r="N428" s="1332">
        <v>0</v>
      </c>
      <c r="O428" s="1332">
        <v>852</v>
      </c>
      <c r="P428" s="1332">
        <v>852</v>
      </c>
      <c r="Q428" s="1333"/>
      <c r="R428" s="1332">
        <v>19708</v>
      </c>
      <c r="S428" s="1332">
        <v>672</v>
      </c>
      <c r="T428" s="1332">
        <v>20380</v>
      </c>
    </row>
    <row r="429" spans="1:20" x14ac:dyDescent="0.25">
      <c r="A429" s="1342">
        <v>94209</v>
      </c>
      <c r="B429" s="1340" t="s">
        <v>3048</v>
      </c>
      <c r="C429" s="1324">
        <v>3.2519999999999999E-4</v>
      </c>
      <c r="D429" s="1324">
        <v>3.1700000000000001E-4</v>
      </c>
      <c r="E429" s="1332">
        <v>888096</v>
      </c>
      <c r="F429" s="1333"/>
      <c r="G429" s="1332">
        <v>152064</v>
      </c>
      <c r="H429" s="1332">
        <v>21662</v>
      </c>
      <c r="I429" s="1332">
        <v>144745</v>
      </c>
      <c r="J429" s="1332">
        <v>11428</v>
      </c>
      <c r="K429" s="1332">
        <v>329899</v>
      </c>
      <c r="L429" s="1333"/>
      <c r="M429" s="1332">
        <v>0</v>
      </c>
      <c r="N429" s="1332">
        <v>0</v>
      </c>
      <c r="O429" s="1332">
        <v>14966</v>
      </c>
      <c r="P429" s="1332">
        <v>14966</v>
      </c>
      <c r="Q429" s="1333"/>
      <c r="R429" s="1332">
        <v>395610</v>
      </c>
      <c r="S429" s="1332">
        <v>2505</v>
      </c>
      <c r="T429" s="1332">
        <v>398115</v>
      </c>
    </row>
    <row r="430" spans="1:20" x14ac:dyDescent="0.25">
      <c r="A430" s="1342">
        <v>94211</v>
      </c>
      <c r="B430" s="1340" t="s">
        <v>3049</v>
      </c>
      <c r="C430" s="1324">
        <v>1.5359999999999999E-4</v>
      </c>
      <c r="D430" s="1324">
        <v>1.615E-4</v>
      </c>
      <c r="E430" s="1332">
        <v>419470</v>
      </c>
      <c r="F430" s="1333"/>
      <c r="G430" s="1332">
        <v>71824</v>
      </c>
      <c r="H430" s="1332">
        <v>10231</v>
      </c>
      <c r="I430" s="1332">
        <v>68367</v>
      </c>
      <c r="J430" s="1332">
        <v>8181</v>
      </c>
      <c r="K430" s="1332">
        <v>158603</v>
      </c>
      <c r="L430" s="1333"/>
      <c r="M430" s="1332">
        <v>0</v>
      </c>
      <c r="N430" s="1332">
        <v>0</v>
      </c>
      <c r="O430" s="1332">
        <v>7173</v>
      </c>
      <c r="P430" s="1332">
        <v>7173</v>
      </c>
      <c r="Q430" s="1333"/>
      <c r="R430" s="1332">
        <v>186856</v>
      </c>
      <c r="S430" s="1332">
        <v>-2244</v>
      </c>
      <c r="T430" s="1332">
        <v>184612</v>
      </c>
    </row>
    <row r="431" spans="1:20" x14ac:dyDescent="0.25">
      <c r="A431" s="1342">
        <v>94221</v>
      </c>
      <c r="B431" s="1340" t="s">
        <v>3050</v>
      </c>
      <c r="C431" s="1324">
        <v>9.8189999999999996E-4</v>
      </c>
      <c r="D431" s="1324">
        <v>1.0311999999999999E-3</v>
      </c>
      <c r="E431" s="1332">
        <v>2681492</v>
      </c>
      <c r="F431" s="1333"/>
      <c r="G431" s="1332">
        <v>459139</v>
      </c>
      <c r="H431" s="1332">
        <v>65405</v>
      </c>
      <c r="I431" s="1332">
        <v>437039</v>
      </c>
      <c r="J431" s="1332">
        <v>0</v>
      </c>
      <c r="K431" s="1332">
        <v>961583</v>
      </c>
      <c r="L431" s="1333"/>
      <c r="M431" s="1332">
        <v>0</v>
      </c>
      <c r="N431" s="1332">
        <v>0</v>
      </c>
      <c r="O431" s="1332">
        <v>108029</v>
      </c>
      <c r="P431" s="1332">
        <v>108029</v>
      </c>
      <c r="Q431" s="1333"/>
      <c r="R431" s="1332">
        <v>1194494</v>
      </c>
      <c r="S431" s="1332">
        <v>-19221</v>
      </c>
      <c r="T431" s="1332">
        <v>1175273</v>
      </c>
    </row>
    <row r="432" spans="1:20" ht="14.25" customHeight="1" x14ac:dyDescent="0.25">
      <c r="A432" s="1342">
        <v>94231</v>
      </c>
      <c r="B432" s="1340" t="s">
        <v>3051</v>
      </c>
      <c r="C432" s="1324">
        <v>1.485E-4</v>
      </c>
      <c r="D432" s="1324">
        <v>2.009E-4</v>
      </c>
      <c r="E432" s="1332">
        <v>405542</v>
      </c>
      <c r="F432" s="1333"/>
      <c r="G432" s="1332">
        <v>69439</v>
      </c>
      <c r="H432" s="1332">
        <v>9891</v>
      </c>
      <c r="I432" s="1332">
        <v>66097</v>
      </c>
      <c r="J432" s="1332">
        <v>3884</v>
      </c>
      <c r="K432" s="1332">
        <v>149311</v>
      </c>
      <c r="L432" s="1333"/>
      <c r="M432" s="1332">
        <v>0</v>
      </c>
      <c r="N432" s="1332">
        <v>0</v>
      </c>
      <c r="O432" s="1332">
        <v>58586</v>
      </c>
      <c r="P432" s="1332">
        <v>58586</v>
      </c>
      <c r="Q432" s="1333"/>
      <c r="R432" s="1332">
        <v>180652</v>
      </c>
      <c r="S432" s="1332">
        <v>-15667</v>
      </c>
      <c r="T432" s="1332">
        <v>164985</v>
      </c>
    </row>
    <row r="433" spans="1:20" x14ac:dyDescent="0.25">
      <c r="A433" s="1342">
        <v>94241</v>
      </c>
      <c r="B433" s="1340" t="s">
        <v>3052</v>
      </c>
      <c r="C433" s="1324">
        <v>1.106E-4</v>
      </c>
      <c r="D433" s="1324">
        <v>1.227E-4</v>
      </c>
      <c r="E433" s="1332">
        <v>302040</v>
      </c>
      <c r="F433" s="1333"/>
      <c r="G433" s="1332">
        <v>51717</v>
      </c>
      <c r="H433" s="1332">
        <v>7367</v>
      </c>
      <c r="I433" s="1332">
        <v>49228</v>
      </c>
      <c r="J433" s="1332">
        <v>12758</v>
      </c>
      <c r="K433" s="1332">
        <v>121070</v>
      </c>
      <c r="L433" s="1333"/>
      <c r="M433" s="1332">
        <v>0</v>
      </c>
      <c r="N433" s="1332">
        <v>0</v>
      </c>
      <c r="O433" s="1332">
        <v>14172</v>
      </c>
      <c r="P433" s="1332">
        <v>14172</v>
      </c>
      <c r="Q433" s="1333"/>
      <c r="R433" s="1332">
        <v>134546</v>
      </c>
      <c r="S433" s="1332">
        <v>2301</v>
      </c>
      <c r="T433" s="1332">
        <v>136847</v>
      </c>
    </row>
    <row r="434" spans="1:20" x14ac:dyDescent="0.25">
      <c r="A434" s="1342">
        <v>94251</v>
      </c>
      <c r="B434" s="1340" t="s">
        <v>3053</v>
      </c>
      <c r="C434" s="1324">
        <v>1.7799999999999999E-5</v>
      </c>
      <c r="D434" s="1324">
        <v>1.59E-5</v>
      </c>
      <c r="E434" s="1332">
        <v>48610</v>
      </c>
      <c r="F434" s="1333"/>
      <c r="G434" s="1332">
        <v>8323</v>
      </c>
      <c r="H434" s="1332">
        <v>1186</v>
      </c>
      <c r="I434" s="1332">
        <v>7923</v>
      </c>
      <c r="J434" s="1332">
        <v>3310</v>
      </c>
      <c r="K434" s="1332">
        <v>20742</v>
      </c>
      <c r="L434" s="1333"/>
      <c r="M434" s="1332">
        <v>0</v>
      </c>
      <c r="N434" s="1332">
        <v>0</v>
      </c>
      <c r="O434" s="1332">
        <v>1725</v>
      </c>
      <c r="P434" s="1332">
        <v>1725</v>
      </c>
      <c r="Q434" s="1333"/>
      <c r="R434" s="1332">
        <v>21654</v>
      </c>
      <c r="S434" s="1332">
        <v>-1486</v>
      </c>
      <c r="T434" s="1332">
        <v>20168</v>
      </c>
    </row>
    <row r="435" spans="1:20" x14ac:dyDescent="0.25">
      <c r="A435" s="1342">
        <v>94261</v>
      </c>
      <c r="B435" s="1340" t="s">
        <v>3054</v>
      </c>
      <c r="C435" s="1324">
        <v>4.6600000000000001E-5</v>
      </c>
      <c r="D435" s="1324">
        <v>3.6199999999999999E-5</v>
      </c>
      <c r="E435" s="1332">
        <v>127261</v>
      </c>
      <c r="F435" s="1333"/>
      <c r="G435" s="1332">
        <v>21790</v>
      </c>
      <c r="H435" s="1332">
        <v>3104</v>
      </c>
      <c r="I435" s="1332">
        <v>20741</v>
      </c>
      <c r="J435" s="1332">
        <v>12126</v>
      </c>
      <c r="K435" s="1332">
        <v>57761</v>
      </c>
      <c r="L435" s="1333"/>
      <c r="M435" s="1332">
        <v>0</v>
      </c>
      <c r="N435" s="1332">
        <v>0</v>
      </c>
      <c r="O435" s="1332">
        <v>592</v>
      </c>
      <c r="P435" s="1332">
        <v>592</v>
      </c>
      <c r="Q435" s="1333"/>
      <c r="R435" s="1332">
        <v>56690</v>
      </c>
      <c r="S435" s="1332">
        <v>6167</v>
      </c>
      <c r="T435" s="1332">
        <v>62857</v>
      </c>
    </row>
    <row r="436" spans="1:20" x14ac:dyDescent="0.25">
      <c r="A436" s="1342">
        <v>94301</v>
      </c>
      <c r="B436" s="1340" t="s">
        <v>3055</v>
      </c>
      <c r="C436" s="1324">
        <v>6.3099000000000002E-3</v>
      </c>
      <c r="D436" s="1324">
        <v>6.3552000000000001E-3</v>
      </c>
      <c r="E436" s="1332">
        <v>17231845</v>
      </c>
      <c r="F436" s="1333"/>
      <c r="G436" s="1332">
        <v>2950528</v>
      </c>
      <c r="H436" s="1332">
        <v>420308</v>
      </c>
      <c r="I436" s="1332">
        <v>2808505</v>
      </c>
      <c r="J436" s="1332">
        <v>41865</v>
      </c>
      <c r="K436" s="1332">
        <v>6221206</v>
      </c>
      <c r="L436" s="1333"/>
      <c r="M436" s="1332">
        <v>0</v>
      </c>
      <c r="N436" s="1332">
        <v>0</v>
      </c>
      <c r="O436" s="1332">
        <v>133926</v>
      </c>
      <c r="P436" s="1332">
        <v>133926</v>
      </c>
      <c r="Q436" s="1333"/>
      <c r="R436" s="1332">
        <v>7676075</v>
      </c>
      <c r="S436" s="1332">
        <v>-54423</v>
      </c>
      <c r="T436" s="1332">
        <v>7621652</v>
      </c>
    </row>
    <row r="437" spans="1:20" x14ac:dyDescent="0.25">
      <c r="A437" s="1342">
        <v>94311</v>
      </c>
      <c r="B437" s="1340" t="s">
        <v>3056</v>
      </c>
      <c r="C437" s="1324">
        <v>7.7700000000000002E-4</v>
      </c>
      <c r="D437" s="1324">
        <v>7.4359999999999997E-4</v>
      </c>
      <c r="E437" s="1332">
        <v>2121926</v>
      </c>
      <c r="F437" s="1333"/>
      <c r="G437" s="1332">
        <v>363328</v>
      </c>
      <c r="H437" s="1332">
        <v>51756</v>
      </c>
      <c r="I437" s="1332">
        <v>345839</v>
      </c>
      <c r="J437" s="1332">
        <v>47222</v>
      </c>
      <c r="K437" s="1332">
        <v>808145</v>
      </c>
      <c r="L437" s="1333"/>
      <c r="M437" s="1332">
        <v>0</v>
      </c>
      <c r="N437" s="1332">
        <v>0</v>
      </c>
      <c r="O437" s="1332">
        <v>27779</v>
      </c>
      <c r="P437" s="1332">
        <v>27779</v>
      </c>
      <c r="Q437" s="1333"/>
      <c r="R437" s="1332">
        <v>945231</v>
      </c>
      <c r="S437" s="1332">
        <v>-11350</v>
      </c>
      <c r="T437" s="1332">
        <v>933881</v>
      </c>
    </row>
    <row r="438" spans="1:20" x14ac:dyDescent="0.25">
      <c r="A438" s="1342">
        <v>94313</v>
      </c>
      <c r="B438" s="1340" t="s">
        <v>3057</v>
      </c>
      <c r="C438" s="1324">
        <v>1.4399999999999999E-5</v>
      </c>
      <c r="D438" s="1324">
        <v>2.1699999999999999E-5</v>
      </c>
      <c r="E438" s="1332">
        <v>39325</v>
      </c>
      <c r="F438" s="1333"/>
      <c r="G438" s="1332">
        <v>6733</v>
      </c>
      <c r="H438" s="1332">
        <v>959</v>
      </c>
      <c r="I438" s="1332">
        <v>6409</v>
      </c>
      <c r="J438" s="1332">
        <v>5810</v>
      </c>
      <c r="K438" s="1332">
        <v>19911</v>
      </c>
      <c r="L438" s="1333"/>
      <c r="M438" s="1332">
        <v>0</v>
      </c>
      <c r="N438" s="1332">
        <v>0</v>
      </c>
      <c r="O438" s="1332">
        <v>407</v>
      </c>
      <c r="P438" s="1332">
        <v>407</v>
      </c>
      <c r="Q438" s="1333"/>
      <c r="R438" s="1332">
        <v>17518</v>
      </c>
      <c r="S438" s="1332">
        <v>3399</v>
      </c>
      <c r="T438" s="1332">
        <v>20917</v>
      </c>
    </row>
    <row r="439" spans="1:20" x14ac:dyDescent="0.25">
      <c r="A439" s="1342">
        <v>94317</v>
      </c>
      <c r="B439" s="1340" t="s">
        <v>3058</v>
      </c>
      <c r="C439" s="1324">
        <v>1.0699999999999999E-5</v>
      </c>
      <c r="D439" s="1324">
        <v>1.15E-5</v>
      </c>
      <c r="E439" s="1332">
        <v>29221</v>
      </c>
      <c r="F439" s="1333"/>
      <c r="G439" s="1332">
        <v>5003</v>
      </c>
      <c r="H439" s="1332">
        <v>713</v>
      </c>
      <c r="I439" s="1332">
        <v>4763</v>
      </c>
      <c r="J439" s="1332">
        <v>8780</v>
      </c>
      <c r="K439" s="1332">
        <v>19259</v>
      </c>
      <c r="L439" s="1333"/>
      <c r="M439" s="1332">
        <v>0</v>
      </c>
      <c r="N439" s="1332">
        <v>0</v>
      </c>
      <c r="O439" s="1332">
        <v>0</v>
      </c>
      <c r="P439" s="1332">
        <v>0</v>
      </c>
      <c r="Q439" s="1333"/>
      <c r="R439" s="1332">
        <v>13017</v>
      </c>
      <c r="S439" s="1332">
        <v>4113</v>
      </c>
      <c r="T439" s="1332">
        <v>17130</v>
      </c>
    </row>
    <row r="440" spans="1:20" x14ac:dyDescent="0.25">
      <c r="A440" s="1342">
        <v>94321</v>
      </c>
      <c r="B440" s="1340" t="s">
        <v>3059</v>
      </c>
      <c r="C440" s="1324">
        <v>2.8079999999999999E-4</v>
      </c>
      <c r="D440" s="1324">
        <v>2.8160000000000001E-4</v>
      </c>
      <c r="E440" s="1332">
        <v>766843</v>
      </c>
      <c r="F440" s="1333"/>
      <c r="G440" s="1332">
        <v>131303</v>
      </c>
      <c r="H440" s="1332">
        <v>18704</v>
      </c>
      <c r="I440" s="1332">
        <v>124983</v>
      </c>
      <c r="J440" s="1332">
        <v>0</v>
      </c>
      <c r="K440" s="1332">
        <v>274990</v>
      </c>
      <c r="L440" s="1333"/>
      <c r="M440" s="1332">
        <v>0</v>
      </c>
      <c r="N440" s="1332">
        <v>0</v>
      </c>
      <c r="O440" s="1332">
        <v>16865</v>
      </c>
      <c r="P440" s="1332">
        <v>16865</v>
      </c>
      <c r="Q440" s="1333"/>
      <c r="R440" s="1332">
        <v>341597</v>
      </c>
      <c r="S440" s="1332">
        <v>-10396</v>
      </c>
      <c r="T440" s="1332">
        <v>331201</v>
      </c>
    </row>
    <row r="441" spans="1:20" x14ac:dyDescent="0.25">
      <c r="A441" s="1342">
        <v>94331</v>
      </c>
      <c r="B441" s="1340" t="s">
        <v>3060</v>
      </c>
      <c r="C441" s="1324">
        <v>1.5190000000000001E-4</v>
      </c>
      <c r="D441" s="1324">
        <v>1.6090000000000001E-4</v>
      </c>
      <c r="E441" s="1332">
        <v>414827</v>
      </c>
      <c r="F441" s="1333"/>
      <c r="G441" s="1332">
        <v>71029</v>
      </c>
      <c r="H441" s="1332">
        <v>10119</v>
      </c>
      <c r="I441" s="1332">
        <v>67610</v>
      </c>
      <c r="J441" s="1332">
        <v>13781</v>
      </c>
      <c r="K441" s="1332">
        <v>162539</v>
      </c>
      <c r="L441" s="1333"/>
      <c r="M441" s="1332">
        <v>0</v>
      </c>
      <c r="N441" s="1332">
        <v>0</v>
      </c>
      <c r="O441" s="1332">
        <v>11675</v>
      </c>
      <c r="P441" s="1332">
        <v>11675</v>
      </c>
      <c r="Q441" s="1333"/>
      <c r="R441" s="1332">
        <v>184788</v>
      </c>
      <c r="S441" s="1332">
        <v>1338</v>
      </c>
      <c r="T441" s="1332">
        <v>186126</v>
      </c>
    </row>
    <row r="442" spans="1:20" x14ac:dyDescent="0.25">
      <c r="A442" s="1342">
        <v>94341</v>
      </c>
      <c r="B442" s="1340" t="s">
        <v>3061</v>
      </c>
      <c r="C442" s="1324">
        <v>9.8800000000000003E-5</v>
      </c>
      <c r="D442" s="1324">
        <v>8.3300000000000005E-5</v>
      </c>
      <c r="E442" s="1332">
        <v>269815</v>
      </c>
      <c r="F442" s="1333"/>
      <c r="G442" s="1332">
        <v>46199</v>
      </c>
      <c r="H442" s="1332">
        <v>6581</v>
      </c>
      <c r="I442" s="1332">
        <v>43975</v>
      </c>
      <c r="J442" s="1332">
        <v>9215</v>
      </c>
      <c r="K442" s="1332">
        <v>105970</v>
      </c>
      <c r="L442" s="1333"/>
      <c r="M442" s="1332">
        <v>0</v>
      </c>
      <c r="N442" s="1332">
        <v>0</v>
      </c>
      <c r="O442" s="1332">
        <v>8536</v>
      </c>
      <c r="P442" s="1332">
        <v>8536</v>
      </c>
      <c r="Q442" s="1333"/>
      <c r="R442" s="1332">
        <v>120191</v>
      </c>
      <c r="S442" s="1332">
        <v>-683</v>
      </c>
      <c r="T442" s="1332">
        <v>119508</v>
      </c>
    </row>
    <row r="443" spans="1:20" x14ac:dyDescent="0.25">
      <c r="A443" s="1342">
        <v>94347</v>
      </c>
      <c r="B443" s="1340" t="s">
        <v>3062</v>
      </c>
      <c r="C443" s="1324">
        <v>1.17E-5</v>
      </c>
      <c r="D443" s="1324">
        <v>7.9999999999999996E-6</v>
      </c>
      <c r="E443" s="1332">
        <v>31952</v>
      </c>
      <c r="F443" s="1333"/>
      <c r="G443" s="1332">
        <v>5471</v>
      </c>
      <c r="H443" s="1332">
        <v>779</v>
      </c>
      <c r="I443" s="1332">
        <v>5208</v>
      </c>
      <c r="J443" s="1332">
        <v>7356</v>
      </c>
      <c r="K443" s="1332">
        <v>18814</v>
      </c>
      <c r="L443" s="1333"/>
      <c r="M443" s="1332">
        <v>0</v>
      </c>
      <c r="N443" s="1332">
        <v>0</v>
      </c>
      <c r="O443" s="1332">
        <v>711</v>
      </c>
      <c r="P443" s="1332">
        <v>711</v>
      </c>
      <c r="Q443" s="1333"/>
      <c r="R443" s="1332">
        <v>14233</v>
      </c>
      <c r="S443" s="1332">
        <v>2184</v>
      </c>
      <c r="T443" s="1332">
        <v>16417</v>
      </c>
    </row>
    <row r="444" spans="1:20" ht="14.25" customHeight="1" x14ac:dyDescent="0.25">
      <c r="A444" s="1342">
        <v>94351</v>
      </c>
      <c r="B444" s="1340" t="s">
        <v>3063</v>
      </c>
      <c r="C444" s="1324">
        <v>2.2680000000000001E-4</v>
      </c>
      <c r="D444" s="1324">
        <v>2.477E-4</v>
      </c>
      <c r="E444" s="1332">
        <v>619373</v>
      </c>
      <c r="F444" s="1333"/>
      <c r="G444" s="1332">
        <v>106052</v>
      </c>
      <c r="H444" s="1332">
        <v>15107</v>
      </c>
      <c r="I444" s="1332">
        <v>100948</v>
      </c>
      <c r="J444" s="1332">
        <v>0</v>
      </c>
      <c r="K444" s="1332">
        <v>222107</v>
      </c>
      <c r="L444" s="1333"/>
      <c r="M444" s="1332">
        <v>0</v>
      </c>
      <c r="N444" s="1332">
        <v>0</v>
      </c>
      <c r="O444" s="1332">
        <v>21256</v>
      </c>
      <c r="P444" s="1332">
        <v>21256</v>
      </c>
      <c r="Q444" s="1333"/>
      <c r="R444" s="1332">
        <v>275905</v>
      </c>
      <c r="S444" s="1332">
        <v>-5433</v>
      </c>
      <c r="T444" s="1332">
        <v>270472</v>
      </c>
    </row>
    <row r="445" spans="1:20" x14ac:dyDescent="0.25">
      <c r="A445" s="1342">
        <v>94401</v>
      </c>
      <c r="B445" s="1340" t="s">
        <v>3689</v>
      </c>
      <c r="C445" s="1324">
        <v>3.4440999999999999E-3</v>
      </c>
      <c r="D445" s="1324">
        <v>3.2688999999999999E-3</v>
      </c>
      <c r="E445" s="1332">
        <v>9405568</v>
      </c>
      <c r="F445" s="1333"/>
      <c r="G445" s="1332">
        <v>1610471</v>
      </c>
      <c r="H445" s="1332">
        <v>229415</v>
      </c>
      <c r="I445" s="1332">
        <v>1532952</v>
      </c>
      <c r="J445" s="1332">
        <v>102722</v>
      </c>
      <c r="K445" s="1332">
        <v>3475560</v>
      </c>
      <c r="L445" s="1333"/>
      <c r="M445" s="1332">
        <v>0</v>
      </c>
      <c r="N445" s="1332">
        <v>0</v>
      </c>
      <c r="O445" s="1332">
        <v>41729</v>
      </c>
      <c r="P445" s="1332">
        <v>41729</v>
      </c>
      <c r="Q445" s="1333"/>
      <c r="R445" s="1332">
        <v>4189792</v>
      </c>
      <c r="S445" s="1332">
        <v>13407</v>
      </c>
      <c r="T445" s="1332">
        <v>4203199</v>
      </c>
    </row>
    <row r="446" spans="1:20" ht="30" x14ac:dyDescent="0.25">
      <c r="A446" s="1342">
        <v>94403</v>
      </c>
      <c r="B446" s="1340" t="s">
        <v>3690</v>
      </c>
      <c r="C446" s="1324">
        <v>3.7400000000000001E-5</v>
      </c>
      <c r="D446" s="1324">
        <v>3.1900000000000003E-5</v>
      </c>
      <c r="E446" s="1332">
        <v>102136</v>
      </c>
      <c r="F446" s="1333"/>
      <c r="G446" s="1332">
        <v>17488</v>
      </c>
      <c r="H446" s="1332">
        <v>2491</v>
      </c>
      <c r="I446" s="1332">
        <v>16647</v>
      </c>
      <c r="J446" s="1332">
        <v>17346</v>
      </c>
      <c r="K446" s="1332">
        <v>53972</v>
      </c>
      <c r="L446" s="1333"/>
      <c r="M446" s="1332">
        <v>0</v>
      </c>
      <c r="N446" s="1332">
        <v>0</v>
      </c>
      <c r="O446" s="1332">
        <v>0</v>
      </c>
      <c r="P446" s="1332">
        <v>0</v>
      </c>
      <c r="Q446" s="1333"/>
      <c r="R446" s="1332">
        <v>45498</v>
      </c>
      <c r="S446" s="1332">
        <v>6656</v>
      </c>
      <c r="T446" s="1332">
        <v>52154</v>
      </c>
    </row>
    <row r="447" spans="1:20" x14ac:dyDescent="0.25">
      <c r="A447" s="1342">
        <v>94408</v>
      </c>
      <c r="B447" s="1340" t="s">
        <v>3065</v>
      </c>
      <c r="C447" s="1324">
        <v>6.2000000000000003E-5</v>
      </c>
      <c r="D447" s="1324">
        <v>4.6E-5</v>
      </c>
      <c r="E447" s="1332">
        <v>169317</v>
      </c>
      <c r="F447" s="1333"/>
      <c r="G447" s="1332">
        <v>28991</v>
      </c>
      <c r="H447" s="1332">
        <v>4129</v>
      </c>
      <c r="I447" s="1332">
        <v>27596</v>
      </c>
      <c r="J447" s="1332">
        <v>11048</v>
      </c>
      <c r="K447" s="1332">
        <v>71764</v>
      </c>
      <c r="L447" s="1333"/>
      <c r="M447" s="1332">
        <v>0</v>
      </c>
      <c r="N447" s="1332">
        <v>0</v>
      </c>
      <c r="O447" s="1332">
        <v>1930</v>
      </c>
      <c r="P447" s="1332">
        <v>1930</v>
      </c>
      <c r="Q447" s="1333"/>
      <c r="R447" s="1332">
        <v>75424</v>
      </c>
      <c r="S447" s="1332">
        <v>4138</v>
      </c>
      <c r="T447" s="1332">
        <v>79562</v>
      </c>
    </row>
    <row r="448" spans="1:20" x14ac:dyDescent="0.25">
      <c r="A448" s="1342">
        <v>94411</v>
      </c>
      <c r="B448" s="1340" t="s">
        <v>3066</v>
      </c>
      <c r="C448" s="1324">
        <v>1.2472E-3</v>
      </c>
      <c r="D448" s="1324">
        <v>1.2620000000000001E-3</v>
      </c>
      <c r="E448" s="1332">
        <v>3406006</v>
      </c>
      <c r="F448" s="1333"/>
      <c r="G448" s="1332">
        <v>583194</v>
      </c>
      <c r="H448" s="1332">
        <v>83078</v>
      </c>
      <c r="I448" s="1332">
        <v>555122</v>
      </c>
      <c r="J448" s="1332">
        <v>25546</v>
      </c>
      <c r="K448" s="1332">
        <v>1246940</v>
      </c>
      <c r="L448" s="1333"/>
      <c r="M448" s="1332">
        <v>0</v>
      </c>
      <c r="N448" s="1332">
        <v>0</v>
      </c>
      <c r="O448" s="1332">
        <v>56694</v>
      </c>
      <c r="P448" s="1332">
        <v>56694</v>
      </c>
      <c r="Q448" s="1333"/>
      <c r="R448" s="1332">
        <v>1517235</v>
      </c>
      <c r="S448" s="1332">
        <v>1267</v>
      </c>
      <c r="T448" s="1332">
        <v>1518502</v>
      </c>
    </row>
    <row r="449" spans="1:20" x14ac:dyDescent="0.25">
      <c r="A449" s="1342">
        <v>94412</v>
      </c>
      <c r="B449" s="1340" t="s">
        <v>3067</v>
      </c>
      <c r="C449" s="1324">
        <v>1.7E-5</v>
      </c>
      <c r="D449" s="1324">
        <v>1.5500000000000001E-5</v>
      </c>
      <c r="E449" s="1332">
        <v>46426</v>
      </c>
      <c r="F449" s="1333"/>
      <c r="G449" s="1332">
        <v>7949</v>
      </c>
      <c r="H449" s="1332">
        <v>1132</v>
      </c>
      <c r="I449" s="1332">
        <v>7567</v>
      </c>
      <c r="J449" s="1332">
        <v>13227</v>
      </c>
      <c r="K449" s="1332">
        <v>29875</v>
      </c>
      <c r="L449" s="1333"/>
      <c r="M449" s="1332">
        <v>0</v>
      </c>
      <c r="N449" s="1332">
        <v>0</v>
      </c>
      <c r="O449" s="1332">
        <v>0</v>
      </c>
      <c r="P449" s="1332">
        <v>0</v>
      </c>
      <c r="Q449" s="1333"/>
      <c r="R449" s="1332">
        <v>20681</v>
      </c>
      <c r="S449" s="1332">
        <v>6339</v>
      </c>
      <c r="T449" s="1332">
        <v>27020</v>
      </c>
    </row>
    <row r="450" spans="1:20" x14ac:dyDescent="0.25">
      <c r="A450" s="1342">
        <v>94421</v>
      </c>
      <c r="B450" s="1340" t="s">
        <v>3068</v>
      </c>
      <c r="C450" s="1324">
        <v>1.4880000000000001E-4</v>
      </c>
      <c r="D450" s="1324">
        <v>1.6080000000000001E-4</v>
      </c>
      <c r="E450" s="1332">
        <v>406361</v>
      </c>
      <c r="F450" s="1333"/>
      <c r="G450" s="1332">
        <v>69579</v>
      </c>
      <c r="H450" s="1332">
        <v>9911</v>
      </c>
      <c r="I450" s="1332">
        <v>66230</v>
      </c>
      <c r="J450" s="1332">
        <v>939</v>
      </c>
      <c r="K450" s="1332">
        <v>146659</v>
      </c>
      <c r="L450" s="1333"/>
      <c r="M450" s="1332">
        <v>0</v>
      </c>
      <c r="N450" s="1332">
        <v>0</v>
      </c>
      <c r="O450" s="1332">
        <v>9690</v>
      </c>
      <c r="P450" s="1332">
        <v>9690</v>
      </c>
      <c r="Q450" s="1333"/>
      <c r="R450" s="1332">
        <v>181017</v>
      </c>
      <c r="S450" s="1332">
        <v>-1761</v>
      </c>
      <c r="T450" s="1332">
        <v>179256</v>
      </c>
    </row>
    <row r="451" spans="1:20" x14ac:dyDescent="0.25">
      <c r="A451" s="1342">
        <v>94427</v>
      </c>
      <c r="B451" s="1340" t="s">
        <v>3069</v>
      </c>
      <c r="C451" s="1324">
        <v>2.7500000000000001E-5</v>
      </c>
      <c r="D451" s="1324">
        <v>1.63E-5</v>
      </c>
      <c r="E451" s="1332">
        <v>75100</v>
      </c>
      <c r="F451" s="1333"/>
      <c r="G451" s="1332">
        <v>12859</v>
      </c>
      <c r="H451" s="1332">
        <v>1831</v>
      </c>
      <c r="I451" s="1332">
        <v>12240</v>
      </c>
      <c r="J451" s="1332">
        <v>15075</v>
      </c>
      <c r="K451" s="1332">
        <v>42005</v>
      </c>
      <c r="L451" s="1333"/>
      <c r="M451" s="1332">
        <v>0</v>
      </c>
      <c r="N451" s="1332">
        <v>0</v>
      </c>
      <c r="O451" s="1332">
        <v>113</v>
      </c>
      <c r="P451" s="1332">
        <v>113</v>
      </c>
      <c r="Q451" s="1333"/>
      <c r="R451" s="1332">
        <v>33454</v>
      </c>
      <c r="S451" s="1332">
        <v>4477</v>
      </c>
      <c r="T451" s="1332">
        <v>37931</v>
      </c>
    </row>
    <row r="452" spans="1:20" x14ac:dyDescent="0.25">
      <c r="A452" s="1342">
        <v>94428</v>
      </c>
      <c r="B452" s="1340" t="s">
        <v>4178</v>
      </c>
      <c r="C452" s="1324">
        <v>7.1400000000000001E-5</v>
      </c>
      <c r="D452" s="1324">
        <v>7.2000000000000002E-5</v>
      </c>
      <c r="E452" s="1332">
        <v>194988</v>
      </c>
      <c r="F452" s="1333"/>
      <c r="G452" s="1332">
        <v>33387</v>
      </c>
      <c r="H452" s="1332">
        <v>4756</v>
      </c>
      <c r="I452" s="1332">
        <v>31780</v>
      </c>
      <c r="J452" s="1332">
        <v>5959</v>
      </c>
      <c r="K452" s="1332">
        <v>75882</v>
      </c>
      <c r="L452" s="1333"/>
      <c r="M452" s="1332">
        <v>0</v>
      </c>
      <c r="N452" s="1332">
        <v>0</v>
      </c>
      <c r="O452" s="1332">
        <v>1674</v>
      </c>
      <c r="P452" s="1332">
        <v>1674</v>
      </c>
      <c r="Q452" s="1333"/>
      <c r="R452" s="1332">
        <v>86859</v>
      </c>
      <c r="S452" s="1332">
        <v>1930</v>
      </c>
      <c r="T452" s="1332">
        <v>88789</v>
      </c>
    </row>
    <row r="453" spans="1:20" x14ac:dyDescent="0.25">
      <c r="A453" s="1342">
        <v>94431</v>
      </c>
      <c r="B453" s="1340" t="s">
        <v>3071</v>
      </c>
      <c r="C453" s="1324">
        <v>4.1829999999999998E-4</v>
      </c>
      <c r="D453" s="1324">
        <v>3.882E-4</v>
      </c>
      <c r="E453" s="1332">
        <v>1142345</v>
      </c>
      <c r="F453" s="1333"/>
      <c r="G453" s="1332">
        <v>195598</v>
      </c>
      <c r="H453" s="1332">
        <v>27864</v>
      </c>
      <c r="I453" s="1332">
        <v>186183</v>
      </c>
      <c r="J453" s="1332">
        <v>234610</v>
      </c>
      <c r="K453" s="1332">
        <v>644255</v>
      </c>
      <c r="L453" s="1333"/>
      <c r="M453" s="1332">
        <v>0</v>
      </c>
      <c r="N453" s="1332">
        <v>0</v>
      </c>
      <c r="O453" s="1332">
        <v>0</v>
      </c>
      <c r="P453" s="1332">
        <v>0</v>
      </c>
      <c r="Q453" s="1333"/>
      <c r="R453" s="1332">
        <v>508867</v>
      </c>
      <c r="S453" s="1332">
        <v>109540</v>
      </c>
      <c r="T453" s="1332">
        <v>618407</v>
      </c>
    </row>
    <row r="454" spans="1:20" x14ac:dyDescent="0.25">
      <c r="A454" s="1342">
        <v>94437</v>
      </c>
      <c r="B454" s="1340" t="s">
        <v>3072</v>
      </c>
      <c r="C454" s="1324">
        <v>1.49E-5</v>
      </c>
      <c r="D454" s="1324">
        <v>1.63E-5</v>
      </c>
      <c r="E454" s="1332">
        <v>40691</v>
      </c>
      <c r="F454" s="1333"/>
      <c r="G454" s="1332">
        <v>6967</v>
      </c>
      <c r="H454" s="1332">
        <v>993</v>
      </c>
      <c r="I454" s="1332">
        <v>6632</v>
      </c>
      <c r="J454" s="1332">
        <v>11402</v>
      </c>
      <c r="K454" s="1332">
        <v>25994</v>
      </c>
      <c r="L454" s="1333"/>
      <c r="M454" s="1332">
        <v>0</v>
      </c>
      <c r="N454" s="1332">
        <v>0</v>
      </c>
      <c r="O454" s="1332">
        <v>0</v>
      </c>
      <c r="P454" s="1332">
        <v>0</v>
      </c>
      <c r="Q454" s="1333"/>
      <c r="R454" s="1332">
        <v>18126</v>
      </c>
      <c r="S454" s="1332">
        <v>6155</v>
      </c>
      <c r="T454" s="1332">
        <v>24281</v>
      </c>
    </row>
    <row r="455" spans="1:20" x14ac:dyDescent="0.25">
      <c r="A455" s="1342">
        <v>94501</v>
      </c>
      <c r="B455" s="1340" t="s">
        <v>3073</v>
      </c>
      <c r="C455" s="1324">
        <v>5.9772999999999996E-3</v>
      </c>
      <c r="D455" s="1324">
        <v>5.8639E-3</v>
      </c>
      <c r="E455" s="1332">
        <v>16323540</v>
      </c>
      <c r="F455" s="1333"/>
      <c r="G455" s="1332">
        <v>2795003</v>
      </c>
      <c r="H455" s="1332">
        <v>398154</v>
      </c>
      <c r="I455" s="1332">
        <v>2660466</v>
      </c>
      <c r="J455" s="1332">
        <v>155195</v>
      </c>
      <c r="K455" s="1332">
        <v>6008818</v>
      </c>
      <c r="L455" s="1333"/>
      <c r="M455" s="1332">
        <v>0</v>
      </c>
      <c r="N455" s="1332">
        <v>0</v>
      </c>
      <c r="O455" s="1332">
        <v>5784</v>
      </c>
      <c r="P455" s="1332">
        <v>5784</v>
      </c>
      <c r="Q455" s="1333"/>
      <c r="R455" s="1332">
        <v>7271463</v>
      </c>
      <c r="S455" s="1332">
        <v>79086</v>
      </c>
      <c r="T455" s="1332">
        <v>7350549</v>
      </c>
    </row>
    <row r="456" spans="1:20" x14ac:dyDescent="0.25">
      <c r="A456" s="1342">
        <v>94511</v>
      </c>
      <c r="B456" s="1340" t="s">
        <v>3074</v>
      </c>
      <c r="C456" s="1324">
        <v>2.0183000000000002E-3</v>
      </c>
      <c r="D456" s="1324">
        <v>1.9548999999999999E-3</v>
      </c>
      <c r="E456" s="1332">
        <v>5511820</v>
      </c>
      <c r="F456" s="1333"/>
      <c r="G456" s="1332">
        <v>943763</v>
      </c>
      <c r="H456" s="1332">
        <v>134441</v>
      </c>
      <c r="I456" s="1332">
        <v>898335</v>
      </c>
      <c r="J456" s="1332">
        <v>20245</v>
      </c>
      <c r="K456" s="1332">
        <v>1996784</v>
      </c>
      <c r="L456" s="1333"/>
      <c r="M456" s="1332">
        <v>0</v>
      </c>
      <c r="N456" s="1332">
        <v>0</v>
      </c>
      <c r="O456" s="1332">
        <v>27110</v>
      </c>
      <c r="P456" s="1332">
        <v>27110</v>
      </c>
      <c r="Q456" s="1333"/>
      <c r="R456" s="1332">
        <v>2455288</v>
      </c>
      <c r="S456" s="1332">
        <v>55059</v>
      </c>
      <c r="T456" s="1332">
        <v>2510347</v>
      </c>
    </row>
    <row r="457" spans="1:20" x14ac:dyDescent="0.25">
      <c r="A457" s="1342">
        <v>94517</v>
      </c>
      <c r="B457" s="1340" t="s">
        <v>4179</v>
      </c>
      <c r="C457" s="1324">
        <v>5.4799999999999997E-5</v>
      </c>
      <c r="D457" s="1324">
        <v>3.6199999999999999E-5</v>
      </c>
      <c r="E457" s="1332">
        <v>149655</v>
      </c>
      <c r="F457" s="1333"/>
      <c r="G457" s="1332">
        <v>25625</v>
      </c>
      <c r="H457" s="1332">
        <v>3651</v>
      </c>
      <c r="I457" s="1332">
        <v>24391</v>
      </c>
      <c r="J457" s="1332">
        <v>31190</v>
      </c>
      <c r="K457" s="1332">
        <v>84857</v>
      </c>
      <c r="L457" s="1333"/>
      <c r="M457" s="1332">
        <v>0</v>
      </c>
      <c r="N457" s="1332">
        <v>0</v>
      </c>
      <c r="O457" s="1332">
        <v>0</v>
      </c>
      <c r="P457" s="1332">
        <v>0</v>
      </c>
      <c r="Q457" s="1333"/>
      <c r="R457" s="1332">
        <v>66665</v>
      </c>
      <c r="S457" s="1332">
        <v>11780</v>
      </c>
      <c r="T457" s="1332">
        <v>78445</v>
      </c>
    </row>
    <row r="458" spans="1:20" x14ac:dyDescent="0.25">
      <c r="A458" s="1342">
        <v>94521</v>
      </c>
      <c r="B458" s="1340" t="s">
        <v>3077</v>
      </c>
      <c r="C458" s="1324">
        <v>1.4990000000000001E-4</v>
      </c>
      <c r="D458" s="1324">
        <v>1.5880000000000001E-4</v>
      </c>
      <c r="E458" s="1332">
        <v>409365</v>
      </c>
      <c r="F458" s="1333"/>
      <c r="G458" s="1332">
        <v>70094</v>
      </c>
      <c r="H458" s="1332">
        <v>9985</v>
      </c>
      <c r="I458" s="1332">
        <v>66720</v>
      </c>
      <c r="J458" s="1332">
        <v>5912</v>
      </c>
      <c r="K458" s="1332">
        <v>152711</v>
      </c>
      <c r="L458" s="1333"/>
      <c r="M458" s="1332">
        <v>0</v>
      </c>
      <c r="N458" s="1332">
        <v>0</v>
      </c>
      <c r="O458" s="1332">
        <v>26869</v>
      </c>
      <c r="P458" s="1332">
        <v>26869</v>
      </c>
      <c r="Q458" s="1333"/>
      <c r="R458" s="1332">
        <v>182355</v>
      </c>
      <c r="S458" s="1332">
        <v>-6674</v>
      </c>
      <c r="T458" s="1332">
        <v>175681</v>
      </c>
    </row>
    <row r="459" spans="1:20" x14ac:dyDescent="0.25">
      <c r="A459" s="1342">
        <v>94527</v>
      </c>
      <c r="B459" s="1340" t="s">
        <v>3078</v>
      </c>
      <c r="C459" s="1324">
        <v>6.8000000000000001E-6</v>
      </c>
      <c r="D459" s="1324">
        <v>6.6000000000000003E-6</v>
      </c>
      <c r="E459" s="1332">
        <v>18570</v>
      </c>
      <c r="F459" s="1333"/>
      <c r="G459" s="1332">
        <v>3180</v>
      </c>
      <c r="H459" s="1332">
        <v>453</v>
      </c>
      <c r="I459" s="1332">
        <v>3027</v>
      </c>
      <c r="J459" s="1332">
        <v>526</v>
      </c>
      <c r="K459" s="1332">
        <v>7186</v>
      </c>
      <c r="L459" s="1333"/>
      <c r="M459" s="1332">
        <v>0</v>
      </c>
      <c r="N459" s="1332">
        <v>0</v>
      </c>
      <c r="O459" s="1332">
        <v>1154</v>
      </c>
      <c r="P459" s="1332">
        <v>1154</v>
      </c>
      <c r="Q459" s="1333"/>
      <c r="R459" s="1332">
        <v>8272</v>
      </c>
      <c r="S459" s="1332">
        <v>-781</v>
      </c>
      <c r="T459" s="1332">
        <v>7491</v>
      </c>
    </row>
    <row r="460" spans="1:20" x14ac:dyDescent="0.25">
      <c r="A460" s="1342">
        <v>94531</v>
      </c>
      <c r="B460" s="1340" t="s">
        <v>3079</v>
      </c>
      <c r="C460" s="1324">
        <v>2.3099999999999999E-5</v>
      </c>
      <c r="D460" s="1324">
        <v>1.4E-5</v>
      </c>
      <c r="E460" s="1332">
        <v>63084</v>
      </c>
      <c r="F460" s="1333"/>
      <c r="G460" s="1332">
        <v>10802</v>
      </c>
      <c r="H460" s="1332">
        <v>1539</v>
      </c>
      <c r="I460" s="1332">
        <v>10282</v>
      </c>
      <c r="J460" s="1332">
        <v>15853</v>
      </c>
      <c r="K460" s="1332">
        <v>38476</v>
      </c>
      <c r="L460" s="1333"/>
      <c r="M460" s="1332">
        <v>0</v>
      </c>
      <c r="N460" s="1332">
        <v>0</v>
      </c>
      <c r="O460" s="1332">
        <v>0</v>
      </c>
      <c r="P460" s="1332">
        <v>0</v>
      </c>
      <c r="Q460" s="1333"/>
      <c r="R460" s="1332">
        <v>28101</v>
      </c>
      <c r="S460" s="1332">
        <v>5524</v>
      </c>
      <c r="T460" s="1332">
        <v>33625</v>
      </c>
    </row>
    <row r="461" spans="1:20" x14ac:dyDescent="0.25">
      <c r="A461" s="1342">
        <v>94532</v>
      </c>
      <c r="B461" s="1340" t="s">
        <v>3080</v>
      </c>
      <c r="C461" s="1324">
        <v>1.0060000000000001E-4</v>
      </c>
      <c r="D461" s="1324">
        <v>1.0280000000000001E-4</v>
      </c>
      <c r="E461" s="1332">
        <v>274731</v>
      </c>
      <c r="F461" s="1333"/>
      <c r="G461" s="1332">
        <v>47041</v>
      </c>
      <c r="H461" s="1332">
        <v>6701</v>
      </c>
      <c r="I461" s="1332">
        <v>44777</v>
      </c>
      <c r="J461" s="1332">
        <v>7730</v>
      </c>
      <c r="K461" s="1332">
        <v>106249</v>
      </c>
      <c r="L461" s="1333"/>
      <c r="M461" s="1332">
        <v>0</v>
      </c>
      <c r="N461" s="1332">
        <v>0</v>
      </c>
      <c r="O461" s="1332">
        <v>2265</v>
      </c>
      <c r="P461" s="1332">
        <v>2265</v>
      </c>
      <c r="Q461" s="1333"/>
      <c r="R461" s="1332">
        <v>122381</v>
      </c>
      <c r="S461" s="1332">
        <v>-76</v>
      </c>
      <c r="T461" s="1332">
        <v>122305</v>
      </c>
    </row>
    <row r="462" spans="1:20" x14ac:dyDescent="0.25">
      <c r="A462" s="1342">
        <v>94541</v>
      </c>
      <c r="B462" s="1340" t="s">
        <v>3081</v>
      </c>
      <c r="C462" s="1324">
        <v>2.7750000000000002E-4</v>
      </c>
      <c r="D462" s="1324">
        <v>2.8219999999999997E-4</v>
      </c>
      <c r="E462" s="1332">
        <v>757831</v>
      </c>
      <c r="F462" s="1333"/>
      <c r="G462" s="1332">
        <v>129760</v>
      </c>
      <c r="H462" s="1332">
        <v>18484</v>
      </c>
      <c r="I462" s="1332">
        <v>123514</v>
      </c>
      <c r="J462" s="1332">
        <v>0</v>
      </c>
      <c r="K462" s="1332">
        <v>271758</v>
      </c>
      <c r="L462" s="1333"/>
      <c r="M462" s="1332">
        <v>0</v>
      </c>
      <c r="N462" s="1332">
        <v>0</v>
      </c>
      <c r="O462" s="1332">
        <v>28230</v>
      </c>
      <c r="P462" s="1332">
        <v>28230</v>
      </c>
      <c r="Q462" s="1333"/>
      <c r="R462" s="1332">
        <v>337582</v>
      </c>
      <c r="S462" s="1332">
        <v>-15372</v>
      </c>
      <c r="T462" s="1332">
        <v>322210</v>
      </c>
    </row>
    <row r="463" spans="1:20" x14ac:dyDescent="0.25">
      <c r="A463" s="1342">
        <v>94547</v>
      </c>
      <c r="B463" s="1340" t="s">
        <v>3082</v>
      </c>
      <c r="C463" s="1324">
        <v>1.1E-5</v>
      </c>
      <c r="D463" s="1324">
        <v>1.01E-5</v>
      </c>
      <c r="E463" s="1332">
        <v>30040</v>
      </c>
      <c r="F463" s="1333"/>
      <c r="G463" s="1332">
        <v>5144</v>
      </c>
      <c r="H463" s="1332">
        <v>733</v>
      </c>
      <c r="I463" s="1332">
        <v>4896</v>
      </c>
      <c r="J463" s="1332">
        <v>8055</v>
      </c>
      <c r="K463" s="1332">
        <v>18828</v>
      </c>
      <c r="L463" s="1333"/>
      <c r="M463" s="1332">
        <v>0</v>
      </c>
      <c r="N463" s="1332">
        <v>0</v>
      </c>
      <c r="O463" s="1332">
        <v>0</v>
      </c>
      <c r="P463" s="1332">
        <v>0</v>
      </c>
      <c r="Q463" s="1333"/>
      <c r="R463" s="1332">
        <v>13382</v>
      </c>
      <c r="S463" s="1332">
        <v>2846</v>
      </c>
      <c r="T463" s="1332">
        <v>16228</v>
      </c>
    </row>
    <row r="464" spans="1:20" x14ac:dyDescent="0.25">
      <c r="A464" s="1342">
        <v>94551</v>
      </c>
      <c r="B464" s="1340" t="s">
        <v>3083</v>
      </c>
      <c r="C464" s="1324">
        <v>5.3000000000000001E-5</v>
      </c>
      <c r="D464" s="1324">
        <v>4.9200000000000003E-5</v>
      </c>
      <c r="E464" s="1332">
        <v>144739</v>
      </c>
      <c r="F464" s="1333"/>
      <c r="G464" s="1332">
        <v>24783</v>
      </c>
      <c r="H464" s="1332">
        <v>3530</v>
      </c>
      <c r="I464" s="1332">
        <v>23590</v>
      </c>
      <c r="J464" s="1332">
        <v>11449</v>
      </c>
      <c r="K464" s="1332">
        <v>63352</v>
      </c>
      <c r="L464" s="1333"/>
      <c r="M464" s="1332">
        <v>0</v>
      </c>
      <c r="N464" s="1332">
        <v>0</v>
      </c>
      <c r="O464" s="1332">
        <v>0</v>
      </c>
      <c r="P464" s="1332">
        <v>0</v>
      </c>
      <c r="Q464" s="1333"/>
      <c r="R464" s="1332">
        <v>64475</v>
      </c>
      <c r="S464" s="1332">
        <v>5002</v>
      </c>
      <c r="T464" s="1332">
        <v>69477</v>
      </c>
    </row>
    <row r="465" spans="1:20" x14ac:dyDescent="0.25">
      <c r="A465" s="1342">
        <v>94601</v>
      </c>
      <c r="B465" s="1340" t="s">
        <v>3084</v>
      </c>
      <c r="C465" s="1324">
        <v>9.1859999999999999E-4</v>
      </c>
      <c r="D465" s="1324">
        <v>1.0712E-3</v>
      </c>
      <c r="E465" s="1332">
        <v>2508625</v>
      </c>
      <c r="F465" s="1333"/>
      <c r="G465" s="1332">
        <v>429540</v>
      </c>
      <c r="H465" s="1332">
        <v>61189</v>
      </c>
      <c r="I465" s="1332">
        <v>408864</v>
      </c>
      <c r="J465" s="1332">
        <v>46666</v>
      </c>
      <c r="K465" s="1332">
        <v>946259</v>
      </c>
      <c r="L465" s="1333"/>
      <c r="M465" s="1332">
        <v>0</v>
      </c>
      <c r="N465" s="1332">
        <v>0</v>
      </c>
      <c r="O465" s="1332">
        <v>103974</v>
      </c>
      <c r="P465" s="1332">
        <v>103974</v>
      </c>
      <c r="Q465" s="1333"/>
      <c r="R465" s="1332">
        <v>1117489</v>
      </c>
      <c r="S465" s="1332">
        <v>-966</v>
      </c>
      <c r="T465" s="1332">
        <v>1116523</v>
      </c>
    </row>
    <row r="466" spans="1:20" x14ac:dyDescent="0.25">
      <c r="A466" s="1342">
        <v>94604</v>
      </c>
      <c r="B466" s="1340" t="s">
        <v>3085</v>
      </c>
      <c r="C466" s="1324">
        <v>2.6100000000000001E-5</v>
      </c>
      <c r="D466" s="1324">
        <v>2.7699999999999999E-5</v>
      </c>
      <c r="E466" s="1332">
        <v>71277</v>
      </c>
      <c r="F466" s="1333"/>
      <c r="G466" s="1332">
        <v>12204</v>
      </c>
      <c r="H466" s="1332">
        <v>1739</v>
      </c>
      <c r="I466" s="1332">
        <v>11617</v>
      </c>
      <c r="J466" s="1332">
        <v>2425</v>
      </c>
      <c r="K466" s="1332">
        <v>27985</v>
      </c>
      <c r="L466" s="1333"/>
      <c r="M466" s="1332">
        <v>0</v>
      </c>
      <c r="N466" s="1332">
        <v>0</v>
      </c>
      <c r="O466" s="1332">
        <v>0</v>
      </c>
      <c r="P466" s="1332">
        <v>0</v>
      </c>
      <c r="Q466" s="1333"/>
      <c r="R466" s="1332">
        <v>31751</v>
      </c>
      <c r="S466" s="1332">
        <v>1169</v>
      </c>
      <c r="T466" s="1332">
        <v>32920</v>
      </c>
    </row>
    <row r="467" spans="1:20" x14ac:dyDescent="0.25">
      <c r="A467" s="1342">
        <v>94611</v>
      </c>
      <c r="B467" s="1340" t="s">
        <v>3087</v>
      </c>
      <c r="C467" s="1324">
        <v>3.4459999999999997E-4</v>
      </c>
      <c r="D467" s="1324">
        <v>3.5149999999999998E-4</v>
      </c>
      <c r="E467" s="1332">
        <v>941076</v>
      </c>
      <c r="F467" s="1333"/>
      <c r="G467" s="1332">
        <v>161136</v>
      </c>
      <c r="H467" s="1332">
        <v>22955</v>
      </c>
      <c r="I467" s="1332">
        <v>153380</v>
      </c>
      <c r="J467" s="1332">
        <v>26</v>
      </c>
      <c r="K467" s="1332">
        <v>337497</v>
      </c>
      <c r="L467" s="1333"/>
      <c r="M467" s="1332">
        <v>0</v>
      </c>
      <c r="N467" s="1332">
        <v>0</v>
      </c>
      <c r="O467" s="1332">
        <v>22451</v>
      </c>
      <c r="P467" s="1332">
        <v>22451</v>
      </c>
      <c r="Q467" s="1333"/>
      <c r="R467" s="1332">
        <v>419210</v>
      </c>
      <c r="S467" s="1332">
        <v>-8590</v>
      </c>
      <c r="T467" s="1332">
        <v>410620</v>
      </c>
    </row>
    <row r="468" spans="1:20" x14ac:dyDescent="0.25">
      <c r="A468" s="1342">
        <v>94621</v>
      </c>
      <c r="B468" s="1340" t="s">
        <v>3088</v>
      </c>
      <c r="C468" s="1324">
        <v>1.3320000000000001E-4</v>
      </c>
      <c r="D468" s="1324">
        <v>1.0450000000000001E-4</v>
      </c>
      <c r="E468" s="1332">
        <v>363759</v>
      </c>
      <c r="F468" s="1333"/>
      <c r="G468" s="1332">
        <v>62285</v>
      </c>
      <c r="H468" s="1332">
        <v>8872</v>
      </c>
      <c r="I468" s="1332">
        <v>59287</v>
      </c>
      <c r="J468" s="1332">
        <v>40874</v>
      </c>
      <c r="K468" s="1332">
        <v>171318</v>
      </c>
      <c r="L468" s="1333"/>
      <c r="M468" s="1332">
        <v>0</v>
      </c>
      <c r="N468" s="1332">
        <v>0</v>
      </c>
      <c r="O468" s="1332">
        <v>3233</v>
      </c>
      <c r="P468" s="1332">
        <v>3233</v>
      </c>
      <c r="Q468" s="1333"/>
      <c r="R468" s="1332">
        <v>162040</v>
      </c>
      <c r="S468" s="1332">
        <v>4570</v>
      </c>
      <c r="T468" s="1332">
        <v>166610</v>
      </c>
    </row>
    <row r="469" spans="1:20" x14ac:dyDescent="0.25">
      <c r="A469" s="1342">
        <v>94631</v>
      </c>
      <c r="B469" s="1340" t="s">
        <v>3089</v>
      </c>
      <c r="C469" s="1324">
        <v>4.2599999999999999E-5</v>
      </c>
      <c r="D469" s="1324">
        <v>4.4799999999999998E-5</v>
      </c>
      <c r="E469" s="1332">
        <v>116337</v>
      </c>
      <c r="F469" s="1333"/>
      <c r="G469" s="1332">
        <v>19920</v>
      </c>
      <c r="H469" s="1332">
        <v>2837</v>
      </c>
      <c r="I469" s="1332">
        <v>18961</v>
      </c>
      <c r="J469" s="1332">
        <v>4362</v>
      </c>
      <c r="K469" s="1332">
        <v>46080</v>
      </c>
      <c r="L469" s="1333"/>
      <c r="M469" s="1332">
        <v>0</v>
      </c>
      <c r="N469" s="1332">
        <v>0</v>
      </c>
      <c r="O469" s="1332">
        <v>2075</v>
      </c>
      <c r="P469" s="1332">
        <v>2075</v>
      </c>
      <c r="Q469" s="1333"/>
      <c r="R469" s="1332">
        <v>51823</v>
      </c>
      <c r="S469" s="1332">
        <v>2154</v>
      </c>
      <c r="T469" s="1332">
        <v>53977</v>
      </c>
    </row>
    <row r="470" spans="1:20" x14ac:dyDescent="0.25">
      <c r="A470" s="1342">
        <v>94641</v>
      </c>
      <c r="B470" s="1340" t="s">
        <v>3090</v>
      </c>
      <c r="C470" s="1324">
        <v>1.04E-5</v>
      </c>
      <c r="D470" s="1324">
        <v>3.5999999999999998E-6</v>
      </c>
      <c r="E470" s="1332">
        <v>28402</v>
      </c>
      <c r="F470" s="1333"/>
      <c r="G470" s="1332">
        <v>4863</v>
      </c>
      <c r="H470" s="1332">
        <v>693</v>
      </c>
      <c r="I470" s="1332">
        <v>4629</v>
      </c>
      <c r="J470" s="1332">
        <v>10921</v>
      </c>
      <c r="K470" s="1332">
        <v>21106</v>
      </c>
      <c r="L470" s="1333"/>
      <c r="M470" s="1332">
        <v>0</v>
      </c>
      <c r="N470" s="1332">
        <v>0</v>
      </c>
      <c r="O470" s="1332">
        <v>0</v>
      </c>
      <c r="P470" s="1332">
        <v>0</v>
      </c>
      <c r="Q470" s="1333"/>
      <c r="R470" s="1332">
        <v>12652</v>
      </c>
      <c r="S470" s="1332">
        <v>3997</v>
      </c>
      <c r="T470" s="1332">
        <v>16649</v>
      </c>
    </row>
    <row r="471" spans="1:20" x14ac:dyDescent="0.25">
      <c r="A471" s="1342">
        <v>94701</v>
      </c>
      <c r="B471" s="1340" t="s">
        <v>3091</v>
      </c>
      <c r="C471" s="1324">
        <v>2.4202999999999998E-3</v>
      </c>
      <c r="D471" s="1324">
        <v>2.3993999999999999E-3</v>
      </c>
      <c r="E471" s="1332">
        <v>6609651</v>
      </c>
      <c r="F471" s="1333"/>
      <c r="G471" s="1332">
        <v>1131740</v>
      </c>
      <c r="H471" s="1332">
        <v>161218</v>
      </c>
      <c r="I471" s="1332">
        <v>1077263</v>
      </c>
      <c r="J471" s="1332">
        <v>41827</v>
      </c>
      <c r="K471" s="1332">
        <v>2412048</v>
      </c>
      <c r="L471" s="1333"/>
      <c r="M471" s="1332">
        <v>0</v>
      </c>
      <c r="N471" s="1332">
        <v>0</v>
      </c>
      <c r="O471" s="1332">
        <v>125539</v>
      </c>
      <c r="P471" s="1332">
        <v>125539</v>
      </c>
      <c r="Q471" s="1333"/>
      <c r="R471" s="1332">
        <v>2944326</v>
      </c>
      <c r="S471" s="1332">
        <v>-37549</v>
      </c>
      <c r="T471" s="1332">
        <v>2906777</v>
      </c>
    </row>
    <row r="472" spans="1:20" x14ac:dyDescent="0.25">
      <c r="A472" s="1342">
        <v>94704</v>
      </c>
      <c r="B472" s="1340" t="s">
        <v>3092</v>
      </c>
      <c r="C472" s="1324">
        <v>1.5299999999999999E-5</v>
      </c>
      <c r="D472" s="1324">
        <v>1.63E-5</v>
      </c>
      <c r="E472" s="1332">
        <v>41783</v>
      </c>
      <c r="F472" s="1333"/>
      <c r="G472" s="1332">
        <v>7154</v>
      </c>
      <c r="H472" s="1332">
        <v>1019</v>
      </c>
      <c r="I472" s="1332">
        <v>6810</v>
      </c>
      <c r="J472" s="1332">
        <v>3695</v>
      </c>
      <c r="K472" s="1332">
        <v>18678</v>
      </c>
      <c r="L472" s="1333"/>
      <c r="M472" s="1332">
        <v>0</v>
      </c>
      <c r="N472" s="1332">
        <v>0</v>
      </c>
      <c r="O472" s="1332">
        <v>79</v>
      </c>
      <c r="P472" s="1332">
        <v>79</v>
      </c>
      <c r="Q472" s="1333"/>
      <c r="R472" s="1332">
        <v>18613</v>
      </c>
      <c r="S472" s="1332">
        <v>1201</v>
      </c>
      <c r="T472" s="1332">
        <v>19814</v>
      </c>
    </row>
    <row r="473" spans="1:20" x14ac:dyDescent="0.25">
      <c r="A473" s="1342">
        <v>94711</v>
      </c>
      <c r="B473" s="1340" t="s">
        <v>3093</v>
      </c>
      <c r="C473" s="1324">
        <v>3.3819999999999998E-4</v>
      </c>
      <c r="D473" s="1324">
        <v>3.3589999999999998E-4</v>
      </c>
      <c r="E473" s="1332">
        <v>923598</v>
      </c>
      <c r="F473" s="1333"/>
      <c r="G473" s="1332">
        <v>158143</v>
      </c>
      <c r="H473" s="1332">
        <v>22528</v>
      </c>
      <c r="I473" s="1332">
        <v>150531</v>
      </c>
      <c r="J473" s="1332">
        <v>10964</v>
      </c>
      <c r="K473" s="1332">
        <v>342166</v>
      </c>
      <c r="L473" s="1333"/>
      <c r="M473" s="1332">
        <v>0</v>
      </c>
      <c r="N473" s="1332">
        <v>0</v>
      </c>
      <c r="O473" s="1332">
        <v>1524</v>
      </c>
      <c r="P473" s="1332">
        <v>1524</v>
      </c>
      <c r="Q473" s="1333"/>
      <c r="R473" s="1332">
        <v>411425</v>
      </c>
      <c r="S473" s="1332">
        <v>5674</v>
      </c>
      <c r="T473" s="1332">
        <v>417099</v>
      </c>
    </row>
    <row r="474" spans="1:20" x14ac:dyDescent="0.25">
      <c r="A474" s="1342">
        <v>94801</v>
      </c>
      <c r="B474" s="1340" t="s">
        <v>3094</v>
      </c>
      <c r="C474" s="1324">
        <v>6.8429999999999999E-4</v>
      </c>
      <c r="D474" s="1324">
        <v>6.7719999999999998E-4</v>
      </c>
      <c r="E474" s="1332">
        <v>1868770</v>
      </c>
      <c r="F474" s="1333"/>
      <c r="G474" s="1332">
        <v>319981</v>
      </c>
      <c r="H474" s="1332">
        <v>45582</v>
      </c>
      <c r="I474" s="1332">
        <v>304579</v>
      </c>
      <c r="J474" s="1332">
        <v>12982</v>
      </c>
      <c r="K474" s="1332">
        <v>683124</v>
      </c>
      <c r="L474" s="1333"/>
      <c r="M474" s="1332">
        <v>0</v>
      </c>
      <c r="N474" s="1332">
        <v>0</v>
      </c>
      <c r="O474" s="1332">
        <v>26499</v>
      </c>
      <c r="P474" s="1332">
        <v>26499</v>
      </c>
      <c r="Q474" s="1333"/>
      <c r="R474" s="1332">
        <v>832460</v>
      </c>
      <c r="S474" s="1332">
        <v>6924</v>
      </c>
      <c r="T474" s="1332">
        <v>839384</v>
      </c>
    </row>
    <row r="475" spans="1:20" x14ac:dyDescent="0.25">
      <c r="A475" s="1342">
        <v>94804</v>
      </c>
      <c r="B475" s="1340" t="s">
        <v>3095</v>
      </c>
      <c r="C475" s="1324">
        <v>2.7999999999999999E-6</v>
      </c>
      <c r="D475" s="1324">
        <v>3.3000000000000002E-6</v>
      </c>
      <c r="E475" s="1332">
        <v>7647</v>
      </c>
      <c r="F475" s="1333"/>
      <c r="G475" s="1332">
        <v>1309</v>
      </c>
      <c r="H475" s="1332">
        <v>186</v>
      </c>
      <c r="I475" s="1332">
        <v>1246</v>
      </c>
      <c r="J475" s="1332">
        <v>1736</v>
      </c>
      <c r="K475" s="1332">
        <v>4477</v>
      </c>
      <c r="L475" s="1333"/>
      <c r="M475" s="1332">
        <v>0</v>
      </c>
      <c r="N475" s="1332">
        <v>0</v>
      </c>
      <c r="O475" s="1332">
        <v>66</v>
      </c>
      <c r="P475" s="1332">
        <v>66</v>
      </c>
      <c r="Q475" s="1333"/>
      <c r="R475" s="1332">
        <v>3406</v>
      </c>
      <c r="S475" s="1332">
        <v>512</v>
      </c>
      <c r="T475" s="1332">
        <v>3918</v>
      </c>
    </row>
    <row r="476" spans="1:20" x14ac:dyDescent="0.25">
      <c r="A476" s="1342">
        <v>94812</v>
      </c>
      <c r="B476" s="1340" t="s">
        <v>4180</v>
      </c>
      <c r="C476" s="1324">
        <v>3.0000000000000001E-5</v>
      </c>
      <c r="D476" s="1324">
        <v>3.2100000000000001E-5</v>
      </c>
      <c r="E476" s="1332">
        <v>81928</v>
      </c>
      <c r="F476" s="1333"/>
      <c r="G476" s="1332">
        <v>14028</v>
      </c>
      <c r="H476" s="1332">
        <v>1998</v>
      </c>
      <c r="I476" s="1332">
        <v>13353</v>
      </c>
      <c r="J476" s="1332">
        <v>8547</v>
      </c>
      <c r="K476" s="1332">
        <v>37926</v>
      </c>
      <c r="L476" s="1333"/>
      <c r="M476" s="1332">
        <v>0</v>
      </c>
      <c r="N476" s="1332">
        <v>0</v>
      </c>
      <c r="O476" s="1332">
        <v>0</v>
      </c>
      <c r="P476" s="1332">
        <v>0</v>
      </c>
      <c r="Q476" s="1333"/>
      <c r="R476" s="1332">
        <v>36495</v>
      </c>
      <c r="S476" s="1332">
        <v>5057</v>
      </c>
      <c r="T476" s="1332">
        <v>41552</v>
      </c>
    </row>
    <row r="477" spans="1:20" x14ac:dyDescent="0.25">
      <c r="A477" s="1342">
        <v>94901</v>
      </c>
      <c r="B477" s="1340" t="s">
        <v>3097</v>
      </c>
      <c r="C477" s="1324">
        <v>7.2372000000000001E-3</v>
      </c>
      <c r="D477" s="1324">
        <v>7.1234000000000002E-3</v>
      </c>
      <c r="E477" s="1332">
        <v>19764229</v>
      </c>
      <c r="F477" s="1333"/>
      <c r="G477" s="1332">
        <v>3384136</v>
      </c>
      <c r="H477" s="1332">
        <v>482077</v>
      </c>
      <c r="I477" s="1332">
        <v>3221242</v>
      </c>
      <c r="J477" s="1332">
        <v>228436</v>
      </c>
      <c r="K477" s="1332">
        <v>7315891</v>
      </c>
      <c r="L477" s="1333"/>
      <c r="M477" s="1332">
        <v>0</v>
      </c>
      <c r="N477" s="1332">
        <v>0</v>
      </c>
      <c r="O477" s="1332">
        <v>38214</v>
      </c>
      <c r="P477" s="1332">
        <v>38214</v>
      </c>
      <c r="Q477" s="1333"/>
      <c r="R477" s="1332">
        <v>8804148</v>
      </c>
      <c r="S477" s="1332">
        <v>29944</v>
      </c>
      <c r="T477" s="1332">
        <v>8834092</v>
      </c>
    </row>
    <row r="478" spans="1:20" ht="30" x14ac:dyDescent="0.25">
      <c r="A478" s="1342">
        <v>94908</v>
      </c>
      <c r="B478" s="1340" t="s">
        <v>4181</v>
      </c>
      <c r="C478" s="1324">
        <v>5.9000000000000003E-6</v>
      </c>
      <c r="D478" s="1324">
        <v>6.8000000000000001E-6</v>
      </c>
      <c r="E478" s="1332">
        <v>16112</v>
      </c>
      <c r="F478" s="1333"/>
      <c r="G478" s="1332">
        <v>2759</v>
      </c>
      <c r="H478" s="1332">
        <v>393</v>
      </c>
      <c r="I478" s="1332">
        <v>2626</v>
      </c>
      <c r="J478" s="1332">
        <v>9654</v>
      </c>
      <c r="K478" s="1332">
        <v>15432</v>
      </c>
      <c r="L478" s="1333"/>
      <c r="M478" s="1332">
        <v>0</v>
      </c>
      <c r="N478" s="1332">
        <v>0</v>
      </c>
      <c r="O478" s="1332">
        <v>9694</v>
      </c>
      <c r="P478" s="1332">
        <v>9694</v>
      </c>
      <c r="Q478" s="1333"/>
      <c r="R478" s="1332">
        <v>7177</v>
      </c>
      <c r="S478" s="1332">
        <v>-3195</v>
      </c>
      <c r="T478" s="1332">
        <v>3982</v>
      </c>
    </row>
    <row r="479" spans="1:20" x14ac:dyDescent="0.25">
      <c r="A479" s="1342">
        <v>94911</v>
      </c>
      <c r="B479" s="1340" t="s">
        <v>3099</v>
      </c>
      <c r="C479" s="1324">
        <v>2.8782E-3</v>
      </c>
      <c r="D479" s="1324">
        <v>2.9845000000000002E-3</v>
      </c>
      <c r="E479" s="1332">
        <v>7860140</v>
      </c>
      <c r="F479" s="1333"/>
      <c r="G479" s="1332">
        <v>1345855</v>
      </c>
      <c r="H479" s="1332">
        <v>191720</v>
      </c>
      <c r="I479" s="1332">
        <v>1281072</v>
      </c>
      <c r="J479" s="1332">
        <v>85806</v>
      </c>
      <c r="K479" s="1332">
        <v>2904453</v>
      </c>
      <c r="L479" s="1333"/>
      <c r="M479" s="1332">
        <v>0</v>
      </c>
      <c r="N479" s="1332">
        <v>0</v>
      </c>
      <c r="O479" s="1332">
        <v>96281</v>
      </c>
      <c r="P479" s="1332">
        <v>96281</v>
      </c>
      <c r="Q479" s="1333"/>
      <c r="R479" s="1332">
        <v>3501368</v>
      </c>
      <c r="S479" s="1332">
        <v>601</v>
      </c>
      <c r="T479" s="1332">
        <v>3501969</v>
      </c>
    </row>
    <row r="480" spans="1:20" x14ac:dyDescent="0.25">
      <c r="A480" s="1342">
        <v>94917</v>
      </c>
      <c r="B480" s="1340" t="s">
        <v>3100</v>
      </c>
      <c r="C480" s="1324">
        <v>3.0700000000000001E-5</v>
      </c>
      <c r="D480" s="1324">
        <v>3.0899999999999999E-5</v>
      </c>
      <c r="E480" s="1332">
        <v>83839</v>
      </c>
      <c r="F480" s="1333"/>
      <c r="G480" s="1332">
        <v>14355</v>
      </c>
      <c r="H480" s="1332">
        <v>2045</v>
      </c>
      <c r="I480" s="1332">
        <v>13664</v>
      </c>
      <c r="J480" s="1332">
        <v>21443</v>
      </c>
      <c r="K480" s="1332">
        <v>51507</v>
      </c>
      <c r="L480" s="1333"/>
      <c r="M480" s="1332">
        <v>0</v>
      </c>
      <c r="N480" s="1332">
        <v>0</v>
      </c>
      <c r="O480" s="1332">
        <v>0</v>
      </c>
      <c r="P480" s="1332">
        <v>0</v>
      </c>
      <c r="Q480" s="1333"/>
      <c r="R480" s="1332">
        <v>37347</v>
      </c>
      <c r="S480" s="1332">
        <v>9267</v>
      </c>
      <c r="T480" s="1332">
        <v>46614</v>
      </c>
    </row>
    <row r="481" spans="1:20" x14ac:dyDescent="0.25">
      <c r="A481" s="1342">
        <v>94921</v>
      </c>
      <c r="B481" s="1340" t="s">
        <v>3101</v>
      </c>
      <c r="C481" s="1324">
        <v>3.8489000000000002E-3</v>
      </c>
      <c r="D481" s="1324">
        <v>3.9271000000000002E-3</v>
      </c>
      <c r="E481" s="1332">
        <v>10511046</v>
      </c>
      <c r="F481" s="1333"/>
      <c r="G481" s="1332">
        <v>1799757</v>
      </c>
      <c r="H481" s="1332">
        <v>256379</v>
      </c>
      <c r="I481" s="1332">
        <v>1713126</v>
      </c>
      <c r="J481" s="1332">
        <v>9601</v>
      </c>
      <c r="K481" s="1332">
        <v>3778863</v>
      </c>
      <c r="L481" s="1333"/>
      <c r="M481" s="1332">
        <v>0</v>
      </c>
      <c r="N481" s="1332">
        <v>0</v>
      </c>
      <c r="O481" s="1332">
        <v>337008</v>
      </c>
      <c r="P481" s="1332">
        <v>337008</v>
      </c>
      <c r="Q481" s="1333"/>
      <c r="R481" s="1332">
        <v>4682237</v>
      </c>
      <c r="S481" s="1332">
        <v>-195151</v>
      </c>
      <c r="T481" s="1332">
        <v>4487086</v>
      </c>
    </row>
    <row r="482" spans="1:20" x14ac:dyDescent="0.25">
      <c r="A482" s="1342">
        <v>94923</v>
      </c>
      <c r="B482" s="1340" t="s">
        <v>3102</v>
      </c>
      <c r="C482" s="1324">
        <v>2.7800000000000001E-5</v>
      </c>
      <c r="D482" s="1324">
        <v>2.9099999999999999E-5</v>
      </c>
      <c r="E482" s="1332">
        <v>75920</v>
      </c>
      <c r="F482" s="1333"/>
      <c r="G482" s="1332">
        <v>12999</v>
      </c>
      <c r="H482" s="1332">
        <v>1852</v>
      </c>
      <c r="I482" s="1332">
        <v>12374</v>
      </c>
      <c r="J482" s="1332">
        <v>3692</v>
      </c>
      <c r="K482" s="1332">
        <v>30917</v>
      </c>
      <c r="L482" s="1333"/>
      <c r="M482" s="1332">
        <v>0</v>
      </c>
      <c r="N482" s="1332">
        <v>0</v>
      </c>
      <c r="O482" s="1332">
        <v>0</v>
      </c>
      <c r="P482" s="1332">
        <v>0</v>
      </c>
      <c r="Q482" s="1333"/>
      <c r="R482" s="1332">
        <v>33819</v>
      </c>
      <c r="S482" s="1332">
        <v>1901</v>
      </c>
      <c r="T482" s="1332">
        <v>35720</v>
      </c>
    </row>
    <row r="483" spans="1:20" x14ac:dyDescent="0.25">
      <c r="A483" s="1342">
        <v>94927</v>
      </c>
      <c r="B483" s="1340" t="s">
        <v>3103</v>
      </c>
      <c r="C483" s="1324">
        <v>2.5299999999999998E-5</v>
      </c>
      <c r="D483" s="1324">
        <v>2.76E-5</v>
      </c>
      <c r="E483" s="1332">
        <v>69092</v>
      </c>
      <c r="F483" s="1333"/>
      <c r="G483" s="1332">
        <v>11830</v>
      </c>
      <c r="H483" s="1332">
        <v>1686</v>
      </c>
      <c r="I483" s="1332">
        <v>11261</v>
      </c>
      <c r="J483" s="1332">
        <v>8185</v>
      </c>
      <c r="K483" s="1332">
        <v>32962</v>
      </c>
      <c r="L483" s="1333"/>
      <c r="M483" s="1332">
        <v>0</v>
      </c>
      <c r="N483" s="1332">
        <v>0</v>
      </c>
      <c r="O483" s="1332">
        <v>0</v>
      </c>
      <c r="P483" s="1332">
        <v>0</v>
      </c>
      <c r="Q483" s="1333"/>
      <c r="R483" s="1332">
        <v>30778</v>
      </c>
      <c r="S483" s="1332">
        <v>2949</v>
      </c>
      <c r="T483" s="1332">
        <v>33727</v>
      </c>
    </row>
    <row r="484" spans="1:20" x14ac:dyDescent="0.25">
      <c r="A484" s="1342">
        <v>94931</v>
      </c>
      <c r="B484" s="1340" t="s">
        <v>3104</v>
      </c>
      <c r="C484" s="1324">
        <v>2.142E-4</v>
      </c>
      <c r="D484" s="1324">
        <v>2.0350000000000001E-4</v>
      </c>
      <c r="E484" s="1332">
        <v>584963</v>
      </c>
      <c r="F484" s="1333"/>
      <c r="G484" s="1332">
        <v>100161</v>
      </c>
      <c r="H484" s="1332">
        <v>14268</v>
      </c>
      <c r="I484" s="1332">
        <v>95339</v>
      </c>
      <c r="J484" s="1332">
        <v>10308</v>
      </c>
      <c r="K484" s="1332">
        <v>220076</v>
      </c>
      <c r="L484" s="1333"/>
      <c r="M484" s="1332">
        <v>0</v>
      </c>
      <c r="N484" s="1332">
        <v>0</v>
      </c>
      <c r="O484" s="1332">
        <v>9256</v>
      </c>
      <c r="P484" s="1332">
        <v>9256</v>
      </c>
      <c r="Q484" s="1333"/>
      <c r="R484" s="1332">
        <v>260577</v>
      </c>
      <c r="S484" s="1332">
        <v>-3682</v>
      </c>
      <c r="T484" s="1332">
        <v>256895</v>
      </c>
    </row>
    <row r="485" spans="1:20" x14ac:dyDescent="0.25">
      <c r="A485" s="1342">
        <v>94937</v>
      </c>
      <c r="B485" s="1340" t="s">
        <v>4182</v>
      </c>
      <c r="C485" s="1324">
        <v>6.9E-6</v>
      </c>
      <c r="D485" s="1324">
        <v>0</v>
      </c>
      <c r="E485" s="1332">
        <v>18843</v>
      </c>
      <c r="F485" s="1333"/>
      <c r="G485" s="1332">
        <v>3226</v>
      </c>
      <c r="H485" s="1332">
        <v>460</v>
      </c>
      <c r="I485" s="1332">
        <v>3071</v>
      </c>
      <c r="J485" s="1332">
        <v>5936</v>
      </c>
      <c r="K485" s="1332">
        <v>12693</v>
      </c>
      <c r="L485" s="1333"/>
      <c r="M485" s="1332">
        <v>0</v>
      </c>
      <c r="N485" s="1332">
        <v>0</v>
      </c>
      <c r="O485" s="1332">
        <v>0</v>
      </c>
      <c r="P485" s="1332">
        <v>0</v>
      </c>
      <c r="Q485" s="1333"/>
      <c r="R485" s="1332">
        <v>8394</v>
      </c>
      <c r="S485" s="1332">
        <v>1484</v>
      </c>
      <c r="T485" s="1332">
        <v>9878</v>
      </c>
    </row>
    <row r="486" spans="1:20" x14ac:dyDescent="0.25">
      <c r="A486" s="1342">
        <v>94941</v>
      </c>
      <c r="B486" s="1340" t="s">
        <v>3105</v>
      </c>
      <c r="C486" s="1324">
        <v>5.865E-4</v>
      </c>
      <c r="D486" s="1324">
        <v>5.4239999999999996E-4</v>
      </c>
      <c r="E486" s="1332">
        <v>1601686</v>
      </c>
      <c r="F486" s="1333"/>
      <c r="G486" s="1332">
        <v>274249</v>
      </c>
      <c r="H486" s="1332">
        <v>39067</v>
      </c>
      <c r="I486" s="1332">
        <v>261048</v>
      </c>
      <c r="J486" s="1332">
        <v>22301</v>
      </c>
      <c r="K486" s="1332">
        <v>596665</v>
      </c>
      <c r="L486" s="1333"/>
      <c r="M486" s="1332">
        <v>0</v>
      </c>
      <c r="N486" s="1332">
        <v>0</v>
      </c>
      <c r="O486" s="1332">
        <v>29495</v>
      </c>
      <c r="P486" s="1332">
        <v>29495</v>
      </c>
      <c r="Q486" s="1333"/>
      <c r="R486" s="1332">
        <v>713485</v>
      </c>
      <c r="S486" s="1332">
        <v>9271</v>
      </c>
      <c r="T486" s="1332">
        <v>722756</v>
      </c>
    </row>
    <row r="487" spans="1:20" x14ac:dyDescent="0.25">
      <c r="A487" s="1342">
        <v>94947</v>
      </c>
      <c r="B487" s="1340" t="s">
        <v>4183</v>
      </c>
      <c r="C487" s="1324">
        <v>5.9000000000000003E-6</v>
      </c>
      <c r="D487" s="1324">
        <v>0</v>
      </c>
      <c r="E487" s="1332">
        <v>16112</v>
      </c>
      <c r="F487" s="1333"/>
      <c r="G487" s="1332">
        <v>2759</v>
      </c>
      <c r="H487" s="1332">
        <v>393</v>
      </c>
      <c r="I487" s="1332">
        <v>2626</v>
      </c>
      <c r="J487" s="1332">
        <v>6305</v>
      </c>
      <c r="K487" s="1332">
        <v>12083</v>
      </c>
      <c r="L487" s="1333"/>
      <c r="M487" s="1332">
        <v>0</v>
      </c>
      <c r="N487" s="1332">
        <v>0</v>
      </c>
      <c r="O487" s="1332">
        <v>0</v>
      </c>
      <c r="P487" s="1332">
        <v>0</v>
      </c>
      <c r="Q487" s="1333"/>
      <c r="R487" s="1332">
        <v>7177</v>
      </c>
      <c r="S487" s="1332">
        <v>1576</v>
      </c>
      <c r="T487" s="1332">
        <v>8753</v>
      </c>
    </row>
    <row r="488" spans="1:20" x14ac:dyDescent="0.25">
      <c r="A488" s="1342">
        <v>95001</v>
      </c>
      <c r="B488" s="1340" t="s">
        <v>3106</v>
      </c>
      <c r="C488" s="1324">
        <v>2.2818999999999999E-3</v>
      </c>
      <c r="D488" s="1324">
        <v>2.3002999999999999E-3</v>
      </c>
      <c r="E488" s="1332">
        <v>6231691</v>
      </c>
      <c r="F488" s="1333"/>
      <c r="G488" s="1332">
        <v>1067023</v>
      </c>
      <c r="H488" s="1332">
        <v>152000</v>
      </c>
      <c r="I488" s="1332">
        <v>1015662</v>
      </c>
      <c r="J488" s="1332">
        <v>155309</v>
      </c>
      <c r="K488" s="1332">
        <v>2389994</v>
      </c>
      <c r="L488" s="1333"/>
      <c r="M488" s="1332">
        <v>0</v>
      </c>
      <c r="N488" s="1332">
        <v>0</v>
      </c>
      <c r="O488" s="1332">
        <v>37098</v>
      </c>
      <c r="P488" s="1332">
        <v>37098</v>
      </c>
      <c r="Q488" s="1333"/>
      <c r="R488" s="1332">
        <v>2775961</v>
      </c>
      <c r="S488" s="1332">
        <v>62392</v>
      </c>
      <c r="T488" s="1332">
        <v>2838353</v>
      </c>
    </row>
    <row r="489" spans="1:20" x14ac:dyDescent="0.25">
      <c r="A489" s="1342">
        <v>95002</v>
      </c>
      <c r="B489" s="1340" t="s">
        <v>3107</v>
      </c>
      <c r="C489" s="1324">
        <v>1.805E-4</v>
      </c>
      <c r="D489" s="1324">
        <v>1.8589999999999999E-4</v>
      </c>
      <c r="E489" s="1332">
        <v>492931</v>
      </c>
      <c r="F489" s="1333"/>
      <c r="G489" s="1332">
        <v>84402</v>
      </c>
      <c r="H489" s="1332">
        <v>12023</v>
      </c>
      <c r="I489" s="1332">
        <v>80340</v>
      </c>
      <c r="J489" s="1332">
        <v>26348</v>
      </c>
      <c r="K489" s="1332">
        <v>203113</v>
      </c>
      <c r="L489" s="1333"/>
      <c r="M489" s="1332">
        <v>0</v>
      </c>
      <c r="N489" s="1332">
        <v>0</v>
      </c>
      <c r="O489" s="1332">
        <v>0</v>
      </c>
      <c r="P489" s="1332">
        <v>0</v>
      </c>
      <c r="Q489" s="1333"/>
      <c r="R489" s="1332">
        <v>219581</v>
      </c>
      <c r="S489" s="1332">
        <v>10886</v>
      </c>
      <c r="T489" s="1332">
        <v>230467</v>
      </c>
    </row>
    <row r="490" spans="1:20" x14ac:dyDescent="0.25">
      <c r="A490" s="1342">
        <v>95005</v>
      </c>
      <c r="B490" s="1340" t="s">
        <v>3108</v>
      </c>
      <c r="C490" s="1324">
        <v>1.8819999999999999E-4</v>
      </c>
      <c r="D490" s="1324">
        <v>2.131E-4</v>
      </c>
      <c r="E490" s="1332">
        <v>513960</v>
      </c>
      <c r="F490" s="1333"/>
      <c r="G490" s="1332">
        <v>88003</v>
      </c>
      <c r="H490" s="1332">
        <v>12536</v>
      </c>
      <c r="I490" s="1332">
        <v>83767</v>
      </c>
      <c r="J490" s="1332">
        <v>0</v>
      </c>
      <c r="K490" s="1332">
        <v>184306</v>
      </c>
      <c r="L490" s="1333"/>
      <c r="M490" s="1332">
        <v>0</v>
      </c>
      <c r="N490" s="1332">
        <v>0</v>
      </c>
      <c r="O490" s="1332">
        <v>10481</v>
      </c>
      <c r="P490" s="1332">
        <v>10481</v>
      </c>
      <c r="Q490" s="1333"/>
      <c r="R490" s="1332">
        <v>228948</v>
      </c>
      <c r="S490" s="1332">
        <v>1247</v>
      </c>
      <c r="T490" s="1332">
        <v>230195</v>
      </c>
    </row>
    <row r="491" spans="1:20" ht="30" x14ac:dyDescent="0.25">
      <c r="A491" s="1342">
        <v>95008</v>
      </c>
      <c r="B491" s="1340" t="s">
        <v>4184</v>
      </c>
      <c r="C491" s="1324">
        <v>1.193E-4</v>
      </c>
      <c r="D491" s="1324">
        <v>1.188E-4</v>
      </c>
      <c r="E491" s="1332">
        <v>325799</v>
      </c>
      <c r="F491" s="1333"/>
      <c r="G491" s="1332">
        <v>55785</v>
      </c>
      <c r="H491" s="1332">
        <v>7946</v>
      </c>
      <c r="I491" s="1332">
        <v>53100</v>
      </c>
      <c r="J491" s="1332">
        <v>19310</v>
      </c>
      <c r="K491" s="1332">
        <v>136141</v>
      </c>
      <c r="L491" s="1333"/>
      <c r="M491" s="1332">
        <v>0</v>
      </c>
      <c r="N491" s="1332">
        <v>0</v>
      </c>
      <c r="O491" s="1332">
        <v>1877</v>
      </c>
      <c r="P491" s="1332">
        <v>1877</v>
      </c>
      <c r="Q491" s="1333"/>
      <c r="R491" s="1332">
        <v>145130</v>
      </c>
      <c r="S491" s="1332">
        <v>7016</v>
      </c>
      <c r="T491" s="1332">
        <v>152146</v>
      </c>
    </row>
    <row r="492" spans="1:20" x14ac:dyDescent="0.25">
      <c r="A492" s="1342">
        <v>95009</v>
      </c>
      <c r="B492" s="1340" t="s">
        <v>3691</v>
      </c>
      <c r="C492" s="1324">
        <v>4.0723000000000001E-3</v>
      </c>
      <c r="D492" s="1324">
        <v>4.0277999999999998E-3</v>
      </c>
      <c r="E492" s="1332">
        <v>11121134</v>
      </c>
      <c r="F492" s="1333"/>
      <c r="G492" s="1332">
        <v>1904220</v>
      </c>
      <c r="H492" s="1332">
        <v>271260</v>
      </c>
      <c r="I492" s="1332">
        <v>1812560</v>
      </c>
      <c r="J492" s="1332">
        <v>116692</v>
      </c>
      <c r="K492" s="1332">
        <v>4104732</v>
      </c>
      <c r="L492" s="1333"/>
      <c r="M492" s="1332">
        <v>0</v>
      </c>
      <c r="N492" s="1332">
        <v>0</v>
      </c>
      <c r="O492" s="1332">
        <v>144383</v>
      </c>
      <c r="P492" s="1332">
        <v>144383</v>
      </c>
      <c r="Q492" s="1333"/>
      <c r="R492" s="1332">
        <v>4954006</v>
      </c>
      <c r="S492" s="1332">
        <v>159013</v>
      </c>
      <c r="T492" s="1332">
        <v>5113019</v>
      </c>
    </row>
    <row r="493" spans="1:20" x14ac:dyDescent="0.25">
      <c r="A493" s="1342">
        <v>95011</v>
      </c>
      <c r="B493" s="1340" t="s">
        <v>3111</v>
      </c>
      <c r="C493" s="1324">
        <v>1.9230000000000001E-4</v>
      </c>
      <c r="D493" s="1324">
        <v>1.8760000000000001E-4</v>
      </c>
      <c r="E493" s="1332">
        <v>525156</v>
      </c>
      <c r="F493" s="1333"/>
      <c r="G493" s="1332">
        <v>89920</v>
      </c>
      <c r="H493" s="1332">
        <v>12809</v>
      </c>
      <c r="I493" s="1332">
        <v>85592</v>
      </c>
      <c r="J493" s="1332">
        <v>5134</v>
      </c>
      <c r="K493" s="1332">
        <v>193455</v>
      </c>
      <c r="L493" s="1333"/>
      <c r="M493" s="1332">
        <v>0</v>
      </c>
      <c r="N493" s="1332">
        <v>0</v>
      </c>
      <c r="O493" s="1332">
        <v>1730</v>
      </c>
      <c r="P493" s="1332">
        <v>1730</v>
      </c>
      <c r="Q493" s="1333"/>
      <c r="R493" s="1332">
        <v>233935</v>
      </c>
      <c r="S493" s="1332">
        <v>-643</v>
      </c>
      <c r="T493" s="1332">
        <v>233292</v>
      </c>
    </row>
    <row r="494" spans="1:20" x14ac:dyDescent="0.25">
      <c r="A494" s="1342">
        <v>95017</v>
      </c>
      <c r="B494" s="1340" t="s">
        <v>3112</v>
      </c>
      <c r="C494" s="1324">
        <v>5.1E-5</v>
      </c>
      <c r="D494" s="1324">
        <v>4.5500000000000001E-5</v>
      </c>
      <c r="E494" s="1332">
        <v>139277</v>
      </c>
      <c r="F494" s="1333"/>
      <c r="G494" s="1332">
        <v>23848</v>
      </c>
      <c r="H494" s="1332">
        <v>3397</v>
      </c>
      <c r="I494" s="1332">
        <v>22700</v>
      </c>
      <c r="J494" s="1332">
        <v>1599</v>
      </c>
      <c r="K494" s="1332">
        <v>51544</v>
      </c>
      <c r="L494" s="1333"/>
      <c r="M494" s="1332">
        <v>0</v>
      </c>
      <c r="N494" s="1332">
        <v>0</v>
      </c>
      <c r="O494" s="1332">
        <v>0</v>
      </c>
      <c r="P494" s="1332">
        <v>0</v>
      </c>
      <c r="Q494" s="1333"/>
      <c r="R494" s="1332">
        <v>62042</v>
      </c>
      <c r="S494" s="1332">
        <v>5238</v>
      </c>
      <c r="T494" s="1332">
        <v>67280</v>
      </c>
    </row>
    <row r="495" spans="1:20" x14ac:dyDescent="0.25">
      <c r="A495" s="1342">
        <v>95101</v>
      </c>
      <c r="B495" s="1340" t="s">
        <v>3113</v>
      </c>
      <c r="C495" s="1324">
        <v>8.8515E-3</v>
      </c>
      <c r="D495" s="1324">
        <v>8.5109999999999995E-3</v>
      </c>
      <c r="E495" s="1332">
        <v>24172756</v>
      </c>
      <c r="F495" s="1333"/>
      <c r="G495" s="1332">
        <v>4138988</v>
      </c>
      <c r="H495" s="1332">
        <v>589608</v>
      </c>
      <c r="I495" s="1332">
        <v>3939758</v>
      </c>
      <c r="J495" s="1332">
        <v>42722</v>
      </c>
      <c r="K495" s="1332">
        <v>8711076</v>
      </c>
      <c r="L495" s="1333"/>
      <c r="M495" s="1332">
        <v>0</v>
      </c>
      <c r="N495" s="1332">
        <v>0</v>
      </c>
      <c r="O495" s="1332">
        <v>98844</v>
      </c>
      <c r="P495" s="1332">
        <v>98844</v>
      </c>
      <c r="Q495" s="1333"/>
      <c r="R495" s="1332">
        <v>10767965</v>
      </c>
      <c r="S495" s="1332">
        <v>-40899</v>
      </c>
      <c r="T495" s="1332">
        <v>10727066</v>
      </c>
    </row>
    <row r="496" spans="1:20" x14ac:dyDescent="0.25">
      <c r="A496" s="1342">
        <v>95103</v>
      </c>
      <c r="B496" s="1340" t="s">
        <v>3114</v>
      </c>
      <c r="C496" s="1324">
        <v>5.0599999999999997E-5</v>
      </c>
      <c r="D496" s="1324">
        <v>4.4400000000000002E-5</v>
      </c>
      <c r="E496" s="1332">
        <v>138185</v>
      </c>
      <c r="F496" s="1333"/>
      <c r="G496" s="1332">
        <v>23661</v>
      </c>
      <c r="H496" s="1332">
        <v>3370</v>
      </c>
      <c r="I496" s="1332">
        <v>22522</v>
      </c>
      <c r="J496" s="1332">
        <v>17200</v>
      </c>
      <c r="K496" s="1332">
        <v>66753</v>
      </c>
      <c r="L496" s="1333"/>
      <c r="M496" s="1332">
        <v>0</v>
      </c>
      <c r="N496" s="1332">
        <v>0</v>
      </c>
      <c r="O496" s="1332">
        <v>0</v>
      </c>
      <c r="P496" s="1332">
        <v>0</v>
      </c>
      <c r="Q496" s="1333"/>
      <c r="R496" s="1332">
        <v>61556</v>
      </c>
      <c r="S496" s="1332">
        <v>7975</v>
      </c>
      <c r="T496" s="1332">
        <v>69531</v>
      </c>
    </row>
    <row r="497" spans="1:20" x14ac:dyDescent="0.25">
      <c r="A497" s="1342">
        <v>95104</v>
      </c>
      <c r="B497" s="1340" t="s">
        <v>3115</v>
      </c>
      <c r="C497" s="1324">
        <v>1.149E-4</v>
      </c>
      <c r="D497" s="1324">
        <v>9.8300000000000004E-5</v>
      </c>
      <c r="E497" s="1332">
        <v>313783</v>
      </c>
      <c r="F497" s="1333"/>
      <c r="G497" s="1332">
        <v>53728</v>
      </c>
      <c r="H497" s="1332">
        <v>7654</v>
      </c>
      <c r="I497" s="1332">
        <v>51141</v>
      </c>
      <c r="J497" s="1332">
        <v>38997</v>
      </c>
      <c r="K497" s="1332">
        <v>151520</v>
      </c>
      <c r="L497" s="1333"/>
      <c r="M497" s="1332">
        <v>0</v>
      </c>
      <c r="N497" s="1332">
        <v>0</v>
      </c>
      <c r="O497" s="1332">
        <v>0</v>
      </c>
      <c r="P497" s="1332">
        <v>0</v>
      </c>
      <c r="Q497" s="1333"/>
      <c r="R497" s="1332">
        <v>139777</v>
      </c>
      <c r="S497" s="1332">
        <v>15329</v>
      </c>
      <c r="T497" s="1332">
        <v>155106</v>
      </c>
    </row>
    <row r="498" spans="1:20" ht="30" x14ac:dyDescent="0.25">
      <c r="A498" s="1342">
        <v>95105</v>
      </c>
      <c r="B498" s="1340" t="s">
        <v>4185</v>
      </c>
      <c r="C498" s="1324">
        <v>7.1500000000000003E-5</v>
      </c>
      <c r="D498" s="1324">
        <v>6.5900000000000003E-5</v>
      </c>
      <c r="E498" s="1332">
        <v>195261</v>
      </c>
      <c r="F498" s="1333"/>
      <c r="G498" s="1332">
        <v>33434</v>
      </c>
      <c r="H498" s="1332">
        <v>4763</v>
      </c>
      <c r="I498" s="1332">
        <v>31824</v>
      </c>
      <c r="J498" s="1332">
        <v>12840</v>
      </c>
      <c r="K498" s="1332">
        <v>82861</v>
      </c>
      <c r="L498" s="1333"/>
      <c r="M498" s="1332">
        <v>0</v>
      </c>
      <c r="N498" s="1332">
        <v>0</v>
      </c>
      <c r="O498" s="1332">
        <v>0</v>
      </c>
      <c r="P498" s="1332">
        <v>0</v>
      </c>
      <c r="Q498" s="1333"/>
      <c r="R498" s="1332">
        <v>86981</v>
      </c>
      <c r="S498" s="1332">
        <v>5370</v>
      </c>
      <c r="T498" s="1332">
        <v>92351</v>
      </c>
    </row>
    <row r="499" spans="1:20" x14ac:dyDescent="0.25">
      <c r="A499" s="1342">
        <v>95106</v>
      </c>
      <c r="B499" s="1340" t="s">
        <v>3117</v>
      </c>
      <c r="C499" s="1324">
        <v>1.29E-5</v>
      </c>
      <c r="D499" s="1324">
        <v>1.3900000000000001E-5</v>
      </c>
      <c r="E499" s="1332">
        <v>35229</v>
      </c>
      <c r="F499" s="1333"/>
      <c r="G499" s="1332">
        <v>6032</v>
      </c>
      <c r="H499" s="1332">
        <v>859</v>
      </c>
      <c r="I499" s="1332">
        <v>5742</v>
      </c>
      <c r="J499" s="1332">
        <v>3315</v>
      </c>
      <c r="K499" s="1332">
        <v>15948</v>
      </c>
      <c r="L499" s="1333"/>
      <c r="M499" s="1332">
        <v>0</v>
      </c>
      <c r="N499" s="1332">
        <v>0</v>
      </c>
      <c r="O499" s="1332">
        <v>718</v>
      </c>
      <c r="P499" s="1332">
        <v>718</v>
      </c>
      <c r="Q499" s="1333"/>
      <c r="R499" s="1332">
        <v>15693</v>
      </c>
      <c r="S499" s="1332">
        <v>2074</v>
      </c>
      <c r="T499" s="1332">
        <v>17767</v>
      </c>
    </row>
    <row r="500" spans="1:20" x14ac:dyDescent="0.25">
      <c r="A500" s="1342">
        <v>95110</v>
      </c>
      <c r="B500" s="1340" t="s">
        <v>3118</v>
      </c>
      <c r="C500" s="1324">
        <v>3.1538E-3</v>
      </c>
      <c r="D500" s="1324">
        <v>3.5975E-3</v>
      </c>
      <c r="E500" s="1332">
        <v>8612782</v>
      </c>
      <c r="F500" s="1333"/>
      <c r="G500" s="1332">
        <v>1474726</v>
      </c>
      <c r="H500" s="1332">
        <v>210077</v>
      </c>
      <c r="I500" s="1332">
        <v>1403741</v>
      </c>
      <c r="J500" s="1332">
        <v>0</v>
      </c>
      <c r="K500" s="1332">
        <v>3088544</v>
      </c>
      <c r="L500" s="1333"/>
      <c r="M500" s="1332">
        <v>0</v>
      </c>
      <c r="N500" s="1332">
        <v>0</v>
      </c>
      <c r="O500" s="1332">
        <v>657900</v>
      </c>
      <c r="P500" s="1332">
        <v>657900</v>
      </c>
      <c r="Q500" s="1333"/>
      <c r="R500" s="1332">
        <v>3836639</v>
      </c>
      <c r="S500" s="1332">
        <v>-425151</v>
      </c>
      <c r="T500" s="1332">
        <v>3411488</v>
      </c>
    </row>
    <row r="501" spans="1:20" x14ac:dyDescent="0.25">
      <c r="A501" s="1342">
        <v>95111</v>
      </c>
      <c r="B501" s="1340" t="s">
        <v>3119</v>
      </c>
      <c r="C501" s="1324">
        <v>1.0529000000000001E-3</v>
      </c>
      <c r="D501" s="1324">
        <v>1.1188999999999999E-3</v>
      </c>
      <c r="E501" s="1332">
        <v>2875388</v>
      </c>
      <c r="F501" s="1333"/>
      <c r="G501" s="1332">
        <v>492339</v>
      </c>
      <c r="H501" s="1332">
        <v>70135</v>
      </c>
      <c r="I501" s="1332">
        <v>468641</v>
      </c>
      <c r="J501" s="1332">
        <v>0</v>
      </c>
      <c r="K501" s="1332">
        <v>1031115</v>
      </c>
      <c r="L501" s="1333"/>
      <c r="M501" s="1332">
        <v>0</v>
      </c>
      <c r="N501" s="1332">
        <v>0</v>
      </c>
      <c r="O501" s="1332">
        <v>111110</v>
      </c>
      <c r="P501" s="1332">
        <v>111110</v>
      </c>
      <c r="Q501" s="1333"/>
      <c r="R501" s="1332">
        <v>1280867</v>
      </c>
      <c r="S501" s="1332">
        <v>-58821</v>
      </c>
      <c r="T501" s="1332">
        <v>1222046</v>
      </c>
    </row>
    <row r="502" spans="1:20" x14ac:dyDescent="0.25">
      <c r="A502" s="1342">
        <v>95113</v>
      </c>
      <c r="B502" s="1340" t="s">
        <v>3120</v>
      </c>
      <c r="C502" s="1324">
        <v>4.5300000000000003E-5</v>
      </c>
      <c r="D502" s="1324">
        <v>4.49E-5</v>
      </c>
      <c r="E502" s="1332">
        <v>123711</v>
      </c>
      <c r="F502" s="1333"/>
      <c r="G502" s="1332">
        <v>21182</v>
      </c>
      <c r="H502" s="1332">
        <v>3017</v>
      </c>
      <c r="I502" s="1332">
        <v>20163</v>
      </c>
      <c r="J502" s="1332">
        <v>101740</v>
      </c>
      <c r="K502" s="1332">
        <v>146102</v>
      </c>
      <c r="L502" s="1333"/>
      <c r="M502" s="1332">
        <v>0</v>
      </c>
      <c r="N502" s="1332">
        <v>0</v>
      </c>
      <c r="O502" s="1332">
        <v>0</v>
      </c>
      <c r="P502" s="1332">
        <v>0</v>
      </c>
      <c r="Q502" s="1333"/>
      <c r="R502" s="1332">
        <v>55108</v>
      </c>
      <c r="S502" s="1332">
        <v>47235</v>
      </c>
      <c r="T502" s="1332">
        <v>102343</v>
      </c>
    </row>
    <row r="503" spans="1:20" x14ac:dyDescent="0.25">
      <c r="A503" s="1342">
        <v>95121</v>
      </c>
      <c r="B503" s="1340" t="s">
        <v>3121</v>
      </c>
      <c r="C503" s="1324">
        <v>4.6769999999999998E-4</v>
      </c>
      <c r="D503" s="1324">
        <v>5.2059999999999997E-4</v>
      </c>
      <c r="E503" s="1332">
        <v>1277252</v>
      </c>
      <c r="F503" s="1333"/>
      <c r="G503" s="1332">
        <v>218698</v>
      </c>
      <c r="H503" s="1332">
        <v>31154</v>
      </c>
      <c r="I503" s="1332">
        <v>208171</v>
      </c>
      <c r="J503" s="1332">
        <v>6851</v>
      </c>
      <c r="K503" s="1332">
        <v>464874</v>
      </c>
      <c r="L503" s="1333"/>
      <c r="M503" s="1332">
        <v>0</v>
      </c>
      <c r="N503" s="1332">
        <v>0</v>
      </c>
      <c r="O503" s="1332">
        <v>42071</v>
      </c>
      <c r="P503" s="1332">
        <v>42071</v>
      </c>
      <c r="Q503" s="1333"/>
      <c r="R503" s="1332">
        <v>568963</v>
      </c>
      <c r="S503" s="1332">
        <v>-4120</v>
      </c>
      <c r="T503" s="1332">
        <v>564843</v>
      </c>
    </row>
    <row r="504" spans="1:20" x14ac:dyDescent="0.25">
      <c r="A504" s="1342">
        <v>95122</v>
      </c>
      <c r="B504" s="1340" t="s">
        <v>3122</v>
      </c>
      <c r="C504" s="1324">
        <v>1.5400000000000002E-5</v>
      </c>
      <c r="D504" s="1324">
        <v>6.6000000000000003E-6</v>
      </c>
      <c r="E504" s="1332">
        <v>42056</v>
      </c>
      <c r="F504" s="1333"/>
      <c r="G504" s="1332">
        <v>7201</v>
      </c>
      <c r="H504" s="1332">
        <v>1026</v>
      </c>
      <c r="I504" s="1332">
        <v>6854</v>
      </c>
      <c r="J504" s="1332">
        <v>11248</v>
      </c>
      <c r="K504" s="1332">
        <v>26329</v>
      </c>
      <c r="L504" s="1333"/>
      <c r="M504" s="1332">
        <v>0</v>
      </c>
      <c r="N504" s="1332">
        <v>0</v>
      </c>
      <c r="O504" s="1332">
        <v>0</v>
      </c>
      <c r="P504" s="1332">
        <v>0</v>
      </c>
      <c r="Q504" s="1333"/>
      <c r="R504" s="1332">
        <v>18734</v>
      </c>
      <c r="S504" s="1332">
        <v>3572</v>
      </c>
      <c r="T504" s="1332">
        <v>22306</v>
      </c>
    </row>
    <row r="505" spans="1:20" x14ac:dyDescent="0.25">
      <c r="A505" s="1342">
        <v>95123</v>
      </c>
      <c r="B505" s="1340" t="s">
        <v>3123</v>
      </c>
      <c r="C505" s="1324">
        <v>4.8999999999999998E-5</v>
      </c>
      <c r="D505" s="1324">
        <v>5.41E-5</v>
      </c>
      <c r="E505" s="1332">
        <v>133815</v>
      </c>
      <c r="F505" s="1333"/>
      <c r="G505" s="1332">
        <v>22913</v>
      </c>
      <c r="H505" s="1332">
        <v>3264</v>
      </c>
      <c r="I505" s="1332">
        <v>21810</v>
      </c>
      <c r="J505" s="1332">
        <v>2564</v>
      </c>
      <c r="K505" s="1332">
        <v>50551</v>
      </c>
      <c r="L505" s="1333"/>
      <c r="M505" s="1332">
        <v>0</v>
      </c>
      <c r="N505" s="1332">
        <v>0</v>
      </c>
      <c r="O505" s="1332">
        <v>1651</v>
      </c>
      <c r="P505" s="1332">
        <v>1651</v>
      </c>
      <c r="Q505" s="1333"/>
      <c r="R505" s="1332">
        <v>59609</v>
      </c>
      <c r="S505" s="1332">
        <v>2683</v>
      </c>
      <c r="T505" s="1332">
        <v>62292</v>
      </c>
    </row>
    <row r="506" spans="1:20" x14ac:dyDescent="0.25">
      <c r="A506" s="1342">
        <v>95131</v>
      </c>
      <c r="B506" s="1340" t="s">
        <v>3124</v>
      </c>
      <c r="C506" s="1324">
        <v>1.7905E-3</v>
      </c>
      <c r="D506" s="1324">
        <v>1.7581000000000001E-3</v>
      </c>
      <c r="E506" s="1332">
        <v>4889716</v>
      </c>
      <c r="F506" s="1333"/>
      <c r="G506" s="1332">
        <v>837243</v>
      </c>
      <c r="H506" s="1332">
        <v>119267</v>
      </c>
      <c r="I506" s="1332">
        <v>796943</v>
      </c>
      <c r="J506" s="1332">
        <v>67539</v>
      </c>
      <c r="K506" s="1332">
        <v>1820992</v>
      </c>
      <c r="L506" s="1333"/>
      <c r="M506" s="1332">
        <v>0</v>
      </c>
      <c r="N506" s="1332">
        <v>0</v>
      </c>
      <c r="O506" s="1332">
        <v>0</v>
      </c>
      <c r="P506" s="1332">
        <v>0</v>
      </c>
      <c r="Q506" s="1333"/>
      <c r="R506" s="1332">
        <v>2178167</v>
      </c>
      <c r="S506" s="1332">
        <v>41149</v>
      </c>
      <c r="T506" s="1332">
        <v>2219316</v>
      </c>
    </row>
    <row r="507" spans="1:20" x14ac:dyDescent="0.25">
      <c r="A507" s="1342">
        <v>95141</v>
      </c>
      <c r="B507" s="1340" t="s">
        <v>3125</v>
      </c>
      <c r="C507" s="1324">
        <v>3.6099999999999999E-4</v>
      </c>
      <c r="D507" s="1324">
        <v>3.2400000000000001E-4</v>
      </c>
      <c r="E507" s="1332">
        <v>985863</v>
      </c>
      <c r="F507" s="1333"/>
      <c r="G507" s="1332">
        <v>168805</v>
      </c>
      <c r="H507" s="1332">
        <v>24047</v>
      </c>
      <c r="I507" s="1332">
        <v>160679</v>
      </c>
      <c r="J507" s="1332">
        <v>20356</v>
      </c>
      <c r="K507" s="1332">
        <v>373887</v>
      </c>
      <c r="L507" s="1333"/>
      <c r="M507" s="1332">
        <v>0</v>
      </c>
      <c r="N507" s="1332">
        <v>0</v>
      </c>
      <c r="O507" s="1332">
        <v>10967</v>
      </c>
      <c r="P507" s="1332">
        <v>10967</v>
      </c>
      <c r="Q507" s="1333"/>
      <c r="R507" s="1332">
        <v>439161</v>
      </c>
      <c r="S507" s="1332">
        <v>-7446</v>
      </c>
      <c r="T507" s="1332">
        <v>431715</v>
      </c>
    </row>
    <row r="508" spans="1:20" x14ac:dyDescent="0.25">
      <c r="A508" s="1342">
        <v>95151</v>
      </c>
      <c r="B508" s="1340" t="s">
        <v>3126</v>
      </c>
      <c r="C508" s="1324">
        <v>1.1010000000000001E-4</v>
      </c>
      <c r="D508" s="1324">
        <v>1.159E-4</v>
      </c>
      <c r="E508" s="1332">
        <v>300675</v>
      </c>
      <c r="F508" s="1333"/>
      <c r="G508" s="1332">
        <v>51483</v>
      </c>
      <c r="H508" s="1332">
        <v>7334</v>
      </c>
      <c r="I508" s="1332">
        <v>49005</v>
      </c>
      <c r="J508" s="1332">
        <v>187</v>
      </c>
      <c r="K508" s="1332">
        <v>108009</v>
      </c>
      <c r="L508" s="1333"/>
      <c r="M508" s="1332">
        <v>0</v>
      </c>
      <c r="N508" s="1332">
        <v>0</v>
      </c>
      <c r="O508" s="1332">
        <v>10229</v>
      </c>
      <c r="P508" s="1332">
        <v>10229</v>
      </c>
      <c r="Q508" s="1333"/>
      <c r="R508" s="1332">
        <v>133938</v>
      </c>
      <c r="S508" s="1332">
        <v>-4950</v>
      </c>
      <c r="T508" s="1332">
        <v>128988</v>
      </c>
    </row>
    <row r="509" spans="1:20" x14ac:dyDescent="0.25">
      <c r="A509" s="1342">
        <v>95161</v>
      </c>
      <c r="B509" s="1340" t="s">
        <v>3127</v>
      </c>
      <c r="C509" s="1324">
        <v>7.1199999999999996E-5</v>
      </c>
      <c r="D509" s="1324">
        <v>6.9200000000000002E-5</v>
      </c>
      <c r="E509" s="1332">
        <v>194442</v>
      </c>
      <c r="F509" s="1333"/>
      <c r="G509" s="1332">
        <v>33293</v>
      </c>
      <c r="H509" s="1332">
        <v>4743</v>
      </c>
      <c r="I509" s="1332">
        <v>31691</v>
      </c>
      <c r="J509" s="1332">
        <v>11881</v>
      </c>
      <c r="K509" s="1332">
        <v>81608</v>
      </c>
      <c r="L509" s="1333"/>
      <c r="M509" s="1332">
        <v>0</v>
      </c>
      <c r="N509" s="1332">
        <v>0</v>
      </c>
      <c r="O509" s="1332">
        <v>0</v>
      </c>
      <c r="P509" s="1332">
        <v>0</v>
      </c>
      <c r="Q509" s="1333"/>
      <c r="R509" s="1332">
        <v>86616</v>
      </c>
      <c r="S509" s="1332">
        <v>4042</v>
      </c>
      <c r="T509" s="1332">
        <v>90658</v>
      </c>
    </row>
    <row r="510" spans="1:20" x14ac:dyDescent="0.25">
      <c r="A510" s="1342">
        <v>95171</v>
      </c>
      <c r="B510" s="1340" t="s">
        <v>3128</v>
      </c>
      <c r="C510" s="1324">
        <v>1.089E-4</v>
      </c>
      <c r="D510" s="1324">
        <v>8.8599999999999999E-5</v>
      </c>
      <c r="E510" s="1332">
        <v>297397</v>
      </c>
      <c r="F510" s="1333"/>
      <c r="G510" s="1332">
        <v>50922</v>
      </c>
      <c r="H510" s="1332">
        <v>7254</v>
      </c>
      <c r="I510" s="1332">
        <v>48471</v>
      </c>
      <c r="J510" s="1332">
        <v>19879</v>
      </c>
      <c r="K510" s="1332">
        <v>126526</v>
      </c>
      <c r="L510" s="1333"/>
      <c r="M510" s="1332">
        <v>0</v>
      </c>
      <c r="N510" s="1332">
        <v>0</v>
      </c>
      <c r="O510" s="1332">
        <v>10913</v>
      </c>
      <c r="P510" s="1332">
        <v>10913</v>
      </c>
      <c r="Q510" s="1333"/>
      <c r="R510" s="1332">
        <v>132478</v>
      </c>
      <c r="S510" s="1332">
        <v>2957</v>
      </c>
      <c r="T510" s="1332">
        <v>135435</v>
      </c>
    </row>
    <row r="511" spans="1:20" x14ac:dyDescent="0.25">
      <c r="A511" s="1342">
        <v>95181</v>
      </c>
      <c r="B511" s="1340" t="s">
        <v>3129</v>
      </c>
      <c r="C511" s="1324">
        <v>5.9700000000000001E-5</v>
      </c>
      <c r="D511" s="1324">
        <v>7.7899999999999996E-5</v>
      </c>
      <c r="E511" s="1332">
        <v>163036</v>
      </c>
      <c r="F511" s="1333"/>
      <c r="G511" s="1332">
        <v>27916</v>
      </c>
      <c r="H511" s="1332">
        <v>3977</v>
      </c>
      <c r="I511" s="1332">
        <v>26572</v>
      </c>
      <c r="J511" s="1332">
        <v>0</v>
      </c>
      <c r="K511" s="1332">
        <v>58465</v>
      </c>
      <c r="L511" s="1333"/>
      <c r="M511" s="1332">
        <v>0</v>
      </c>
      <c r="N511" s="1332">
        <v>0</v>
      </c>
      <c r="O511" s="1332">
        <v>18867</v>
      </c>
      <c r="P511" s="1332">
        <v>18867</v>
      </c>
      <c r="Q511" s="1333"/>
      <c r="R511" s="1332">
        <v>72626</v>
      </c>
      <c r="S511" s="1332">
        <v>-6273</v>
      </c>
      <c r="T511" s="1332">
        <v>66353</v>
      </c>
    </row>
    <row r="512" spans="1:20" x14ac:dyDescent="0.25">
      <c r="A512" s="1342">
        <v>95191</v>
      </c>
      <c r="B512" s="1340" t="s">
        <v>3130</v>
      </c>
      <c r="C512" s="1324">
        <v>7.3800000000000005E-5</v>
      </c>
      <c r="D512" s="1324">
        <v>4.2599999999999999E-5</v>
      </c>
      <c r="E512" s="1332">
        <v>201542</v>
      </c>
      <c r="F512" s="1333"/>
      <c r="G512" s="1332">
        <v>34509</v>
      </c>
      <c r="H512" s="1332">
        <v>4916</v>
      </c>
      <c r="I512" s="1332">
        <v>32848</v>
      </c>
      <c r="J512" s="1332">
        <v>37441</v>
      </c>
      <c r="K512" s="1332">
        <v>109714</v>
      </c>
      <c r="L512" s="1333"/>
      <c r="M512" s="1332">
        <v>0</v>
      </c>
      <c r="N512" s="1332">
        <v>0</v>
      </c>
      <c r="O512" s="1332">
        <v>1591</v>
      </c>
      <c r="P512" s="1332">
        <v>1591</v>
      </c>
      <c r="Q512" s="1333"/>
      <c r="R512" s="1332">
        <v>89779</v>
      </c>
      <c r="S512" s="1332">
        <v>10708</v>
      </c>
      <c r="T512" s="1332">
        <v>100487</v>
      </c>
    </row>
    <row r="513" spans="1:20" x14ac:dyDescent="0.25">
      <c r="A513" s="1342">
        <v>95201</v>
      </c>
      <c r="B513" s="1340" t="s">
        <v>3131</v>
      </c>
      <c r="C513" s="1324">
        <v>6.5070000000000004E-4</v>
      </c>
      <c r="D513" s="1324">
        <v>7.0259999999999995E-4</v>
      </c>
      <c r="E513" s="1332">
        <v>1777011</v>
      </c>
      <c r="F513" s="1333"/>
      <c r="G513" s="1332">
        <v>304269</v>
      </c>
      <c r="H513" s="1332">
        <v>43344</v>
      </c>
      <c r="I513" s="1332">
        <v>289623</v>
      </c>
      <c r="J513" s="1332">
        <v>1991</v>
      </c>
      <c r="K513" s="1332">
        <v>639227</v>
      </c>
      <c r="L513" s="1333"/>
      <c r="M513" s="1332">
        <v>0</v>
      </c>
      <c r="N513" s="1332">
        <v>0</v>
      </c>
      <c r="O513" s="1332">
        <v>57108</v>
      </c>
      <c r="P513" s="1332">
        <v>57108</v>
      </c>
      <c r="Q513" s="1333"/>
      <c r="R513" s="1332">
        <v>791585</v>
      </c>
      <c r="S513" s="1332">
        <v>-22583</v>
      </c>
      <c r="T513" s="1332">
        <v>769002</v>
      </c>
    </row>
    <row r="514" spans="1:20" ht="14.25" customHeight="1" x14ac:dyDescent="0.25">
      <c r="A514" s="1342">
        <v>95204</v>
      </c>
      <c r="B514" s="1340" t="s">
        <v>3132</v>
      </c>
      <c r="C514" s="1324">
        <v>5.6999999999999996E-6</v>
      </c>
      <c r="D514" s="1324">
        <v>1.06E-5</v>
      </c>
      <c r="E514" s="1332">
        <v>15566</v>
      </c>
      <c r="F514" s="1333"/>
      <c r="G514" s="1332">
        <v>2665</v>
      </c>
      <c r="H514" s="1332">
        <v>380</v>
      </c>
      <c r="I514" s="1332">
        <v>2537</v>
      </c>
      <c r="J514" s="1332">
        <v>912</v>
      </c>
      <c r="K514" s="1332">
        <v>6494</v>
      </c>
      <c r="L514" s="1333"/>
      <c r="M514" s="1332">
        <v>0</v>
      </c>
      <c r="N514" s="1332">
        <v>0</v>
      </c>
      <c r="O514" s="1332">
        <v>2255</v>
      </c>
      <c r="P514" s="1332">
        <v>2255</v>
      </c>
      <c r="Q514" s="1333"/>
      <c r="R514" s="1332">
        <v>6934</v>
      </c>
      <c r="S514" s="1332">
        <v>-402</v>
      </c>
      <c r="T514" s="1332">
        <v>6532</v>
      </c>
    </row>
    <row r="515" spans="1:20" ht="14.25" customHeight="1" x14ac:dyDescent="0.25">
      <c r="A515" s="1342">
        <v>95205</v>
      </c>
      <c r="B515" s="1340" t="s">
        <v>3133</v>
      </c>
      <c r="C515" s="1324">
        <v>2.7E-6</v>
      </c>
      <c r="D515" s="1324">
        <v>1.7E-6</v>
      </c>
      <c r="E515" s="1332">
        <v>7373</v>
      </c>
      <c r="F515" s="1333"/>
      <c r="G515" s="1332">
        <v>1263</v>
      </c>
      <c r="H515" s="1332">
        <v>180</v>
      </c>
      <c r="I515" s="1332">
        <v>1202</v>
      </c>
      <c r="J515" s="1332">
        <v>1922</v>
      </c>
      <c r="K515" s="1332">
        <v>4567</v>
      </c>
      <c r="L515" s="1333"/>
      <c r="M515" s="1332">
        <v>0</v>
      </c>
      <c r="N515" s="1332">
        <v>0</v>
      </c>
      <c r="O515" s="1332">
        <v>712</v>
      </c>
      <c r="P515" s="1332">
        <v>712</v>
      </c>
      <c r="Q515" s="1333"/>
      <c r="R515" s="1332">
        <v>3285</v>
      </c>
      <c r="S515" s="1332">
        <v>396</v>
      </c>
      <c r="T515" s="1332">
        <v>3681</v>
      </c>
    </row>
    <row r="516" spans="1:20" x14ac:dyDescent="0.25">
      <c r="A516" s="1342">
        <v>95211</v>
      </c>
      <c r="B516" s="1340" t="s">
        <v>3134</v>
      </c>
      <c r="C516" s="1324">
        <v>5.1000000000000003E-6</v>
      </c>
      <c r="D516" s="1324">
        <v>5.4999999999999999E-6</v>
      </c>
      <c r="E516" s="1332">
        <v>13928</v>
      </c>
      <c r="F516" s="1333"/>
      <c r="G516" s="1332">
        <v>2385</v>
      </c>
      <c r="H516" s="1332">
        <v>340</v>
      </c>
      <c r="I516" s="1332">
        <v>2270</v>
      </c>
      <c r="J516" s="1332">
        <v>506</v>
      </c>
      <c r="K516" s="1332">
        <v>5501</v>
      </c>
      <c r="L516" s="1333"/>
      <c r="M516" s="1332">
        <v>0</v>
      </c>
      <c r="N516" s="1332">
        <v>0</v>
      </c>
      <c r="O516" s="1332">
        <v>1284</v>
      </c>
      <c r="P516" s="1332">
        <v>1284</v>
      </c>
      <c r="Q516" s="1333"/>
      <c r="R516" s="1332">
        <v>6204</v>
      </c>
      <c r="S516" s="1332">
        <v>52</v>
      </c>
      <c r="T516" s="1332">
        <v>6256</v>
      </c>
    </row>
    <row r="517" spans="1:20" x14ac:dyDescent="0.25">
      <c r="A517" s="1342">
        <v>95221</v>
      </c>
      <c r="B517" s="1340" t="s">
        <v>3135</v>
      </c>
      <c r="C517" s="1324">
        <v>5.4400000000000001E-5</v>
      </c>
      <c r="D517" s="1324">
        <v>5.7000000000000003E-5</v>
      </c>
      <c r="E517" s="1332">
        <v>148562</v>
      </c>
      <c r="F517" s="1333"/>
      <c r="G517" s="1332">
        <v>25438</v>
      </c>
      <c r="H517" s="1332">
        <v>3624</v>
      </c>
      <c r="I517" s="1332">
        <v>24213</v>
      </c>
      <c r="J517" s="1332">
        <v>14008</v>
      </c>
      <c r="K517" s="1332">
        <v>67283</v>
      </c>
      <c r="L517" s="1333"/>
      <c r="M517" s="1332">
        <v>0</v>
      </c>
      <c r="N517" s="1332">
        <v>0</v>
      </c>
      <c r="O517" s="1332">
        <v>8634</v>
      </c>
      <c r="P517" s="1332">
        <v>8634</v>
      </c>
      <c r="Q517" s="1333"/>
      <c r="R517" s="1332">
        <v>66178</v>
      </c>
      <c r="S517" s="1332">
        <v>204</v>
      </c>
      <c r="T517" s="1332">
        <v>66382</v>
      </c>
    </row>
    <row r="518" spans="1:20" x14ac:dyDescent="0.25">
      <c r="A518" s="1342">
        <v>95301</v>
      </c>
      <c r="B518" s="1340" t="s">
        <v>3136</v>
      </c>
      <c r="C518" s="1324">
        <v>2.1561000000000002E-3</v>
      </c>
      <c r="D518" s="1324">
        <v>2.3362000000000001E-3</v>
      </c>
      <c r="E518" s="1332">
        <v>5888141</v>
      </c>
      <c r="F518" s="1333"/>
      <c r="G518" s="1332">
        <v>1008199</v>
      </c>
      <c r="H518" s="1332">
        <v>143620</v>
      </c>
      <c r="I518" s="1332">
        <v>959669</v>
      </c>
      <c r="J518" s="1332">
        <v>15791</v>
      </c>
      <c r="K518" s="1332">
        <v>2127279</v>
      </c>
      <c r="L518" s="1333"/>
      <c r="M518" s="1332">
        <v>0</v>
      </c>
      <c r="N518" s="1332">
        <v>0</v>
      </c>
      <c r="O518" s="1332">
        <v>104311</v>
      </c>
      <c r="P518" s="1332">
        <v>104311</v>
      </c>
      <c r="Q518" s="1333"/>
      <c r="R518" s="1332">
        <v>2622924</v>
      </c>
      <c r="S518" s="1332">
        <v>-674</v>
      </c>
      <c r="T518" s="1332">
        <v>2622250</v>
      </c>
    </row>
    <row r="519" spans="1:20" x14ac:dyDescent="0.25">
      <c r="A519" s="1342">
        <v>95311</v>
      </c>
      <c r="B519" s="1340" t="s">
        <v>3137</v>
      </c>
      <c r="C519" s="1324">
        <v>2.578E-3</v>
      </c>
      <c r="D519" s="1324">
        <v>2.6302999999999999E-3</v>
      </c>
      <c r="E519" s="1332">
        <v>7040317</v>
      </c>
      <c r="F519" s="1333"/>
      <c r="G519" s="1332">
        <v>1205481</v>
      </c>
      <c r="H519" s="1332">
        <v>171723</v>
      </c>
      <c r="I519" s="1332">
        <v>1147455</v>
      </c>
      <c r="J519" s="1332">
        <v>27137</v>
      </c>
      <c r="K519" s="1332">
        <v>2551796</v>
      </c>
      <c r="L519" s="1333"/>
      <c r="M519" s="1332">
        <v>0</v>
      </c>
      <c r="N519" s="1332">
        <v>0</v>
      </c>
      <c r="O519" s="1332">
        <v>27206</v>
      </c>
      <c r="P519" s="1332">
        <v>27206</v>
      </c>
      <c r="Q519" s="1333"/>
      <c r="R519" s="1332">
        <v>3136171</v>
      </c>
      <c r="S519" s="1332">
        <v>-17181</v>
      </c>
      <c r="T519" s="1332">
        <v>3118990</v>
      </c>
    </row>
    <row r="520" spans="1:20" x14ac:dyDescent="0.25">
      <c r="A520" s="1342">
        <v>95317</v>
      </c>
      <c r="B520" s="1340" t="s">
        <v>3138</v>
      </c>
      <c r="C520" s="1324">
        <v>4.1999999999999998E-5</v>
      </c>
      <c r="D520" s="1324">
        <v>4.32E-5</v>
      </c>
      <c r="E520" s="1332">
        <v>114699</v>
      </c>
      <c r="F520" s="1333"/>
      <c r="G520" s="1332">
        <v>19639</v>
      </c>
      <c r="H520" s="1332">
        <v>2798</v>
      </c>
      <c r="I520" s="1332">
        <v>18694</v>
      </c>
      <c r="J520" s="1332">
        <v>7683</v>
      </c>
      <c r="K520" s="1332">
        <v>48814</v>
      </c>
      <c r="L520" s="1333"/>
      <c r="M520" s="1332">
        <v>0</v>
      </c>
      <c r="N520" s="1332">
        <v>0</v>
      </c>
      <c r="O520" s="1332">
        <v>0</v>
      </c>
      <c r="P520" s="1332">
        <v>0</v>
      </c>
      <c r="Q520" s="1333"/>
      <c r="R520" s="1332">
        <v>51094</v>
      </c>
      <c r="S520" s="1332">
        <v>3839</v>
      </c>
      <c r="T520" s="1332">
        <v>54933</v>
      </c>
    </row>
    <row r="521" spans="1:20" x14ac:dyDescent="0.25">
      <c r="A521" s="1342">
        <v>95321</v>
      </c>
      <c r="B521" s="1340" t="s">
        <v>3139</v>
      </c>
      <c r="C521" s="1324">
        <v>4.85E-5</v>
      </c>
      <c r="D521" s="1324">
        <v>5.1999999999999997E-5</v>
      </c>
      <c r="E521" s="1332">
        <v>132450</v>
      </c>
      <c r="F521" s="1333"/>
      <c r="G521" s="1332">
        <v>22679</v>
      </c>
      <c r="H521" s="1332">
        <v>3230</v>
      </c>
      <c r="I521" s="1332">
        <v>21587</v>
      </c>
      <c r="J521" s="1332">
        <v>4906</v>
      </c>
      <c r="K521" s="1332">
        <v>52402</v>
      </c>
      <c r="L521" s="1333"/>
      <c r="M521" s="1332">
        <v>0</v>
      </c>
      <c r="N521" s="1332">
        <v>0</v>
      </c>
      <c r="O521" s="1332">
        <v>1078</v>
      </c>
      <c r="P521" s="1332">
        <v>1078</v>
      </c>
      <c r="Q521" s="1333"/>
      <c r="R521" s="1332">
        <v>59001</v>
      </c>
      <c r="S521" s="1332">
        <v>2205</v>
      </c>
      <c r="T521" s="1332">
        <v>61206</v>
      </c>
    </row>
    <row r="522" spans="1:20" x14ac:dyDescent="0.25">
      <c r="A522" s="1342">
        <v>95401</v>
      </c>
      <c r="B522" s="1340" t="s">
        <v>3140</v>
      </c>
      <c r="C522" s="1324">
        <v>2.9023E-3</v>
      </c>
      <c r="D522" s="1324">
        <v>2.8792000000000002E-3</v>
      </c>
      <c r="E522" s="1332">
        <v>7925955</v>
      </c>
      <c r="F522" s="1333"/>
      <c r="G522" s="1332">
        <v>1357124</v>
      </c>
      <c r="H522" s="1332">
        <v>193325</v>
      </c>
      <c r="I522" s="1332">
        <v>1291799</v>
      </c>
      <c r="J522" s="1332">
        <v>4785</v>
      </c>
      <c r="K522" s="1332">
        <v>2847033</v>
      </c>
      <c r="L522" s="1333"/>
      <c r="M522" s="1332">
        <v>0</v>
      </c>
      <c r="N522" s="1332">
        <v>0</v>
      </c>
      <c r="O522" s="1332">
        <v>103111</v>
      </c>
      <c r="P522" s="1332">
        <v>103111</v>
      </c>
      <c r="Q522" s="1333"/>
      <c r="R522" s="1332">
        <v>3530686</v>
      </c>
      <c r="S522" s="1332">
        <v>-27716</v>
      </c>
      <c r="T522" s="1332">
        <v>3502970</v>
      </c>
    </row>
    <row r="523" spans="1:20" x14ac:dyDescent="0.25">
      <c r="A523" s="1342">
        <v>95404</v>
      </c>
      <c r="B523" s="1340" t="s">
        <v>3141</v>
      </c>
      <c r="C523" s="1324">
        <v>4.4799999999999998E-5</v>
      </c>
      <c r="D523" s="1324">
        <v>5.0000000000000002E-5</v>
      </c>
      <c r="E523" s="1332">
        <v>122345</v>
      </c>
      <c r="F523" s="1333"/>
      <c r="G523" s="1332">
        <v>20949</v>
      </c>
      <c r="H523" s="1332">
        <v>2984</v>
      </c>
      <c r="I523" s="1332">
        <v>19940</v>
      </c>
      <c r="J523" s="1332">
        <v>1478</v>
      </c>
      <c r="K523" s="1332">
        <v>45351</v>
      </c>
      <c r="L523" s="1333"/>
      <c r="M523" s="1332">
        <v>0</v>
      </c>
      <c r="N523" s="1332">
        <v>0</v>
      </c>
      <c r="O523" s="1332">
        <v>6508</v>
      </c>
      <c r="P523" s="1332">
        <v>6508</v>
      </c>
      <c r="Q523" s="1333"/>
      <c r="R523" s="1332">
        <v>54500</v>
      </c>
      <c r="S523" s="1332">
        <v>-102</v>
      </c>
      <c r="T523" s="1332">
        <v>54398</v>
      </c>
    </row>
    <row r="524" spans="1:20" x14ac:dyDescent="0.25">
      <c r="A524" s="1342">
        <v>95405</v>
      </c>
      <c r="B524" s="1340" t="s">
        <v>3142</v>
      </c>
      <c r="C524" s="1324">
        <v>3.3399999999999999E-5</v>
      </c>
      <c r="D524" s="1324">
        <v>1.7600000000000001E-5</v>
      </c>
      <c r="E524" s="1332">
        <v>91213</v>
      </c>
      <c r="F524" s="1333"/>
      <c r="G524" s="1332">
        <v>15618</v>
      </c>
      <c r="H524" s="1332">
        <v>2225</v>
      </c>
      <c r="I524" s="1332">
        <v>14866</v>
      </c>
      <c r="J524" s="1332">
        <v>25766</v>
      </c>
      <c r="K524" s="1332">
        <v>58475</v>
      </c>
      <c r="L524" s="1333"/>
      <c r="M524" s="1332">
        <v>0</v>
      </c>
      <c r="N524" s="1332">
        <v>0</v>
      </c>
      <c r="O524" s="1332">
        <v>0</v>
      </c>
      <c r="P524" s="1332">
        <v>0</v>
      </c>
      <c r="Q524" s="1333"/>
      <c r="R524" s="1332">
        <v>40632</v>
      </c>
      <c r="S524" s="1332">
        <v>10805</v>
      </c>
      <c r="T524" s="1332">
        <v>51437</v>
      </c>
    </row>
    <row r="525" spans="1:20" x14ac:dyDescent="0.25">
      <c r="A525" s="1342">
        <v>95411</v>
      </c>
      <c r="B525" s="1340" t="s">
        <v>3143</v>
      </c>
      <c r="C525" s="1324">
        <v>2.0365000000000001E-3</v>
      </c>
      <c r="D525" s="1324">
        <v>2.1646E-3</v>
      </c>
      <c r="E525" s="1332">
        <v>5561523</v>
      </c>
      <c r="F525" s="1333"/>
      <c r="G525" s="1332">
        <v>952274</v>
      </c>
      <c r="H525" s="1332">
        <v>135653</v>
      </c>
      <c r="I525" s="1332">
        <v>906436</v>
      </c>
      <c r="J525" s="1332">
        <v>3600</v>
      </c>
      <c r="K525" s="1332">
        <v>1997963</v>
      </c>
      <c r="L525" s="1333"/>
      <c r="M525" s="1332">
        <v>0</v>
      </c>
      <c r="N525" s="1332">
        <v>0</v>
      </c>
      <c r="O525" s="1332">
        <v>80802</v>
      </c>
      <c r="P525" s="1332">
        <v>80802</v>
      </c>
      <c r="Q525" s="1333"/>
      <c r="R525" s="1332">
        <v>2477429</v>
      </c>
      <c r="S525" s="1332">
        <v>-20706</v>
      </c>
      <c r="T525" s="1332">
        <v>2456723</v>
      </c>
    </row>
    <row r="526" spans="1:20" x14ac:dyDescent="0.25">
      <c r="A526" s="1342">
        <v>95413</v>
      </c>
      <c r="B526" s="1340" t="s">
        <v>4186</v>
      </c>
      <c r="C526" s="1324">
        <v>2.4610000000000002E-4</v>
      </c>
      <c r="D526" s="1324">
        <v>2.6879999999999997E-4</v>
      </c>
      <c r="E526" s="1332">
        <v>672080</v>
      </c>
      <c r="F526" s="1333"/>
      <c r="G526" s="1332">
        <v>115077</v>
      </c>
      <c r="H526" s="1332">
        <v>16393</v>
      </c>
      <c r="I526" s="1332">
        <v>109538</v>
      </c>
      <c r="J526" s="1332">
        <v>84779</v>
      </c>
      <c r="K526" s="1332">
        <v>325787</v>
      </c>
      <c r="L526" s="1333"/>
      <c r="M526" s="1332">
        <v>0</v>
      </c>
      <c r="N526" s="1332">
        <v>0</v>
      </c>
      <c r="O526" s="1332">
        <v>13714</v>
      </c>
      <c r="P526" s="1332">
        <v>13714</v>
      </c>
      <c r="Q526" s="1333"/>
      <c r="R526" s="1332">
        <v>299384</v>
      </c>
      <c r="S526" s="1332">
        <v>79665</v>
      </c>
      <c r="T526" s="1332">
        <v>379049</v>
      </c>
    </row>
    <row r="527" spans="1:20" x14ac:dyDescent="0.25">
      <c r="A527" s="1342">
        <v>95415</v>
      </c>
      <c r="B527" s="1340" t="s">
        <v>4187</v>
      </c>
      <c r="C527" s="1324">
        <v>5.7599999999999997E-5</v>
      </c>
      <c r="D527" s="1324">
        <v>7.1099999999999994E-5</v>
      </c>
      <c r="E527" s="1332">
        <v>157301</v>
      </c>
      <c r="F527" s="1333"/>
      <c r="G527" s="1332">
        <v>26934</v>
      </c>
      <c r="H527" s="1332">
        <v>3837</v>
      </c>
      <c r="I527" s="1332">
        <v>25637</v>
      </c>
      <c r="J527" s="1332">
        <v>2357</v>
      </c>
      <c r="K527" s="1332">
        <v>58765</v>
      </c>
      <c r="L527" s="1333"/>
      <c r="M527" s="1332">
        <v>0</v>
      </c>
      <c r="N527" s="1332">
        <v>0</v>
      </c>
      <c r="O527" s="1332">
        <v>16202</v>
      </c>
      <c r="P527" s="1332">
        <v>16202</v>
      </c>
      <c r="Q527" s="1333"/>
      <c r="R527" s="1332">
        <v>70071</v>
      </c>
      <c r="S527" s="1332">
        <v>-6841</v>
      </c>
      <c r="T527" s="1332">
        <v>63230</v>
      </c>
    </row>
    <row r="528" spans="1:20" x14ac:dyDescent="0.25">
      <c r="A528" s="1342">
        <v>95421</v>
      </c>
      <c r="B528" s="1340" t="s">
        <v>3147</v>
      </c>
      <c r="C528" s="1324">
        <v>3.6699999999999998E-5</v>
      </c>
      <c r="D528" s="1324">
        <v>3.8300000000000003E-5</v>
      </c>
      <c r="E528" s="1332">
        <v>100225</v>
      </c>
      <c r="F528" s="1333"/>
      <c r="G528" s="1332">
        <v>17161</v>
      </c>
      <c r="H528" s="1332">
        <v>2445</v>
      </c>
      <c r="I528" s="1332">
        <v>16335</v>
      </c>
      <c r="J528" s="1332">
        <v>788</v>
      </c>
      <c r="K528" s="1332">
        <v>36729</v>
      </c>
      <c r="L528" s="1333"/>
      <c r="M528" s="1332">
        <v>0</v>
      </c>
      <c r="N528" s="1332">
        <v>0</v>
      </c>
      <c r="O528" s="1332">
        <v>1512</v>
      </c>
      <c r="P528" s="1332">
        <v>1512</v>
      </c>
      <c r="Q528" s="1333"/>
      <c r="R528" s="1332">
        <v>44646</v>
      </c>
      <c r="S528" s="1332">
        <v>-2640</v>
      </c>
      <c r="T528" s="1332">
        <v>42006</v>
      </c>
    </row>
    <row r="529" spans="1:20" x14ac:dyDescent="0.25">
      <c r="A529" s="1342">
        <v>95431</v>
      </c>
      <c r="B529" s="1340" t="s">
        <v>3148</v>
      </c>
      <c r="C529" s="1324">
        <v>1.3689999999999999E-4</v>
      </c>
      <c r="D529" s="1324">
        <v>1.4630000000000001E-4</v>
      </c>
      <c r="E529" s="1332">
        <v>373863</v>
      </c>
      <c r="F529" s="1333"/>
      <c r="G529" s="1332">
        <v>64015</v>
      </c>
      <c r="H529" s="1332">
        <v>9119</v>
      </c>
      <c r="I529" s="1332">
        <v>60934</v>
      </c>
      <c r="J529" s="1332">
        <v>0</v>
      </c>
      <c r="K529" s="1332">
        <v>134068</v>
      </c>
      <c r="L529" s="1333"/>
      <c r="M529" s="1332">
        <v>0</v>
      </c>
      <c r="N529" s="1332">
        <v>0</v>
      </c>
      <c r="O529" s="1332">
        <v>31578</v>
      </c>
      <c r="P529" s="1332">
        <v>31578</v>
      </c>
      <c r="Q529" s="1333"/>
      <c r="R529" s="1332">
        <v>166541</v>
      </c>
      <c r="S529" s="1332">
        <v>-14732</v>
      </c>
      <c r="T529" s="1332">
        <v>151809</v>
      </c>
    </row>
    <row r="530" spans="1:20" x14ac:dyDescent="0.25">
      <c r="A530" s="1342">
        <v>95501</v>
      </c>
      <c r="B530" s="1340" t="s">
        <v>3149</v>
      </c>
      <c r="C530" s="1324">
        <v>5.0283999999999997E-3</v>
      </c>
      <c r="D530" s="1324">
        <v>4.8900999999999997E-3</v>
      </c>
      <c r="E530" s="1332">
        <v>13732168</v>
      </c>
      <c r="F530" s="1333"/>
      <c r="G530" s="1332">
        <v>2351295</v>
      </c>
      <c r="H530" s="1332">
        <v>334947</v>
      </c>
      <c r="I530" s="1332">
        <v>2238116</v>
      </c>
      <c r="J530" s="1332">
        <v>116158</v>
      </c>
      <c r="K530" s="1332">
        <v>5040516</v>
      </c>
      <c r="L530" s="1333"/>
      <c r="M530" s="1332">
        <v>0</v>
      </c>
      <c r="N530" s="1332">
        <v>0</v>
      </c>
      <c r="O530" s="1332">
        <v>87326</v>
      </c>
      <c r="P530" s="1332">
        <v>87326</v>
      </c>
      <c r="Q530" s="1333"/>
      <c r="R530" s="1332">
        <v>6117114</v>
      </c>
      <c r="S530" s="1332">
        <v>-24913</v>
      </c>
      <c r="T530" s="1332">
        <v>6092201</v>
      </c>
    </row>
    <row r="531" spans="1:20" x14ac:dyDescent="0.25">
      <c r="A531" s="1342">
        <v>95504</v>
      </c>
      <c r="B531" s="1340" t="s">
        <v>3150</v>
      </c>
      <c r="C531" s="1324">
        <v>1.49E-5</v>
      </c>
      <c r="D531" s="1324">
        <v>8.8000000000000004E-6</v>
      </c>
      <c r="E531" s="1332">
        <v>40691</v>
      </c>
      <c r="F531" s="1333"/>
      <c r="G531" s="1332">
        <v>6967</v>
      </c>
      <c r="H531" s="1332">
        <v>993</v>
      </c>
      <c r="I531" s="1332">
        <v>6632</v>
      </c>
      <c r="J531" s="1332">
        <v>16771</v>
      </c>
      <c r="K531" s="1332">
        <v>31363</v>
      </c>
      <c r="L531" s="1333"/>
      <c r="M531" s="1332">
        <v>0</v>
      </c>
      <c r="N531" s="1332">
        <v>0</v>
      </c>
      <c r="O531" s="1332">
        <v>0</v>
      </c>
      <c r="P531" s="1332">
        <v>0</v>
      </c>
      <c r="Q531" s="1333"/>
      <c r="R531" s="1332">
        <v>18126</v>
      </c>
      <c r="S531" s="1332">
        <v>6430</v>
      </c>
      <c r="T531" s="1332">
        <v>24556</v>
      </c>
    </row>
    <row r="532" spans="1:20" x14ac:dyDescent="0.25">
      <c r="A532" s="1342">
        <v>95511</v>
      </c>
      <c r="B532" s="1340" t="s">
        <v>3151</v>
      </c>
      <c r="C532" s="1324">
        <v>9.4910000000000003E-4</v>
      </c>
      <c r="D532" s="1324">
        <v>9.5339999999999997E-4</v>
      </c>
      <c r="E532" s="1332">
        <v>2591918</v>
      </c>
      <c r="F532" s="1333"/>
      <c r="G532" s="1332">
        <v>443802</v>
      </c>
      <c r="H532" s="1332">
        <v>63221</v>
      </c>
      <c r="I532" s="1332">
        <v>422440</v>
      </c>
      <c r="J532" s="1332">
        <v>69230</v>
      </c>
      <c r="K532" s="1332">
        <v>998693</v>
      </c>
      <c r="L532" s="1333"/>
      <c r="M532" s="1332">
        <v>0</v>
      </c>
      <c r="N532" s="1332">
        <v>0</v>
      </c>
      <c r="O532" s="1332">
        <v>13397</v>
      </c>
      <c r="P532" s="1332">
        <v>13397</v>
      </c>
      <c r="Q532" s="1333"/>
      <c r="R532" s="1332">
        <v>1154592</v>
      </c>
      <c r="S532" s="1332">
        <v>4354</v>
      </c>
      <c r="T532" s="1332">
        <v>1158946</v>
      </c>
    </row>
    <row r="533" spans="1:20" x14ac:dyDescent="0.25">
      <c r="A533" s="1342">
        <v>95513</v>
      </c>
      <c r="B533" s="1340" t="s">
        <v>3152</v>
      </c>
      <c r="C533" s="1324">
        <v>3.9700000000000003E-5</v>
      </c>
      <c r="D533" s="1324">
        <v>4.5399999999999999E-5</v>
      </c>
      <c r="E533" s="1332">
        <v>108418</v>
      </c>
      <c r="F533" s="1333"/>
      <c r="G533" s="1332">
        <v>18564</v>
      </c>
      <c r="H533" s="1332">
        <v>2644</v>
      </c>
      <c r="I533" s="1332">
        <v>17670</v>
      </c>
      <c r="J533" s="1332">
        <v>19335</v>
      </c>
      <c r="K533" s="1332">
        <v>58213</v>
      </c>
      <c r="L533" s="1333"/>
      <c r="M533" s="1332">
        <v>0</v>
      </c>
      <c r="N533" s="1332">
        <v>0</v>
      </c>
      <c r="O533" s="1332">
        <v>0</v>
      </c>
      <c r="P533" s="1332">
        <v>0</v>
      </c>
      <c r="Q533" s="1333"/>
      <c r="R533" s="1332">
        <v>48296</v>
      </c>
      <c r="S533" s="1332">
        <v>10130</v>
      </c>
      <c r="T533" s="1332">
        <v>58426</v>
      </c>
    </row>
    <row r="534" spans="1:20" x14ac:dyDescent="0.25">
      <c r="A534" s="1342">
        <v>95517</v>
      </c>
      <c r="B534" s="1340" t="s">
        <v>3153</v>
      </c>
      <c r="C534" s="1324">
        <v>1.84E-5</v>
      </c>
      <c r="D534" s="1324">
        <v>1.88E-5</v>
      </c>
      <c r="E534" s="1332">
        <v>50249</v>
      </c>
      <c r="F534" s="1333"/>
      <c r="G534" s="1332">
        <v>8604</v>
      </c>
      <c r="H534" s="1332">
        <v>1226</v>
      </c>
      <c r="I534" s="1332">
        <v>8190</v>
      </c>
      <c r="J534" s="1332">
        <v>6177</v>
      </c>
      <c r="K534" s="1332">
        <v>24197</v>
      </c>
      <c r="L534" s="1333"/>
      <c r="M534" s="1332">
        <v>0</v>
      </c>
      <c r="N534" s="1332">
        <v>0</v>
      </c>
      <c r="O534" s="1332">
        <v>1931</v>
      </c>
      <c r="P534" s="1332">
        <v>1931</v>
      </c>
      <c r="Q534" s="1333"/>
      <c r="R534" s="1332">
        <v>22384</v>
      </c>
      <c r="S534" s="1332">
        <v>4635</v>
      </c>
      <c r="T534" s="1332">
        <v>27019</v>
      </c>
    </row>
    <row r="535" spans="1:20" x14ac:dyDescent="0.25">
      <c r="A535" s="1342">
        <v>95601</v>
      </c>
      <c r="B535" s="1340" t="s">
        <v>3154</v>
      </c>
      <c r="C535" s="1324">
        <v>2.4459999999999998E-3</v>
      </c>
      <c r="D535" s="1324">
        <v>2.6251999999999998E-3</v>
      </c>
      <c r="E535" s="1332">
        <v>6679835</v>
      </c>
      <c r="F535" s="1333"/>
      <c r="G535" s="1332">
        <v>1143757</v>
      </c>
      <c r="H535" s="1332">
        <v>162930</v>
      </c>
      <c r="I535" s="1332">
        <v>1088702</v>
      </c>
      <c r="J535" s="1332">
        <v>10163</v>
      </c>
      <c r="K535" s="1332">
        <v>2405552</v>
      </c>
      <c r="L535" s="1333"/>
      <c r="M535" s="1332">
        <v>0</v>
      </c>
      <c r="N535" s="1332">
        <v>0</v>
      </c>
      <c r="O535" s="1332">
        <v>172897</v>
      </c>
      <c r="P535" s="1332">
        <v>172897</v>
      </c>
      <c r="Q535" s="1333"/>
      <c r="R535" s="1332">
        <v>2975591</v>
      </c>
      <c r="S535" s="1332">
        <v>-23590</v>
      </c>
      <c r="T535" s="1332">
        <v>2952001</v>
      </c>
    </row>
    <row r="536" spans="1:20" x14ac:dyDescent="0.25">
      <c r="A536" s="1342">
        <v>95611</v>
      </c>
      <c r="B536" s="1340" t="s">
        <v>3155</v>
      </c>
      <c r="C536" s="1324">
        <v>3.7889999999999999E-4</v>
      </c>
      <c r="D536" s="1324">
        <v>3.8440000000000002E-4</v>
      </c>
      <c r="E536" s="1332">
        <v>1034746</v>
      </c>
      <c r="F536" s="1333"/>
      <c r="G536" s="1332">
        <v>177175</v>
      </c>
      <c r="H536" s="1332">
        <v>25239</v>
      </c>
      <c r="I536" s="1332">
        <v>168646</v>
      </c>
      <c r="J536" s="1332">
        <v>6982</v>
      </c>
      <c r="K536" s="1332">
        <v>378042</v>
      </c>
      <c r="L536" s="1333"/>
      <c r="M536" s="1332">
        <v>0</v>
      </c>
      <c r="N536" s="1332">
        <v>0</v>
      </c>
      <c r="O536" s="1332">
        <v>2022</v>
      </c>
      <c r="P536" s="1332">
        <v>2022</v>
      </c>
      <c r="Q536" s="1333"/>
      <c r="R536" s="1332">
        <v>460937</v>
      </c>
      <c r="S536" s="1332">
        <v>351</v>
      </c>
      <c r="T536" s="1332">
        <v>461288</v>
      </c>
    </row>
    <row r="537" spans="1:20" x14ac:dyDescent="0.25">
      <c r="A537" s="1342">
        <v>95617</v>
      </c>
      <c r="B537" s="1340" t="s">
        <v>3156</v>
      </c>
      <c r="C537" s="1324">
        <v>1.49E-5</v>
      </c>
      <c r="D537" s="1324">
        <v>1.59E-5</v>
      </c>
      <c r="E537" s="1332">
        <v>40691</v>
      </c>
      <c r="F537" s="1333"/>
      <c r="G537" s="1332">
        <v>6967</v>
      </c>
      <c r="H537" s="1332">
        <v>993</v>
      </c>
      <c r="I537" s="1332">
        <v>6632</v>
      </c>
      <c r="J537" s="1332">
        <v>986</v>
      </c>
      <c r="K537" s="1332">
        <v>15578</v>
      </c>
      <c r="L537" s="1333"/>
      <c r="M537" s="1332">
        <v>0</v>
      </c>
      <c r="N537" s="1332">
        <v>0</v>
      </c>
      <c r="O537" s="1332">
        <v>0</v>
      </c>
      <c r="P537" s="1332">
        <v>0</v>
      </c>
      <c r="Q537" s="1333"/>
      <c r="R537" s="1332">
        <v>18126</v>
      </c>
      <c r="S537" s="1332">
        <v>-17</v>
      </c>
      <c r="T537" s="1332">
        <v>18109</v>
      </c>
    </row>
    <row r="538" spans="1:20" x14ac:dyDescent="0.25">
      <c r="A538" s="1342">
        <v>95621</v>
      </c>
      <c r="B538" s="1340" t="s">
        <v>3157</v>
      </c>
      <c r="C538" s="1324">
        <v>4.5750000000000001E-4</v>
      </c>
      <c r="D538" s="1324">
        <v>4.9019999999999999E-4</v>
      </c>
      <c r="E538" s="1332">
        <v>1249397</v>
      </c>
      <c r="F538" s="1333"/>
      <c r="G538" s="1332">
        <v>213928</v>
      </c>
      <c r="H538" s="1332">
        <v>30474</v>
      </c>
      <c r="I538" s="1332">
        <v>203631</v>
      </c>
      <c r="J538" s="1332">
        <v>31778</v>
      </c>
      <c r="K538" s="1332">
        <v>479811</v>
      </c>
      <c r="L538" s="1333"/>
      <c r="M538" s="1332">
        <v>0</v>
      </c>
      <c r="N538" s="1332">
        <v>0</v>
      </c>
      <c r="O538" s="1332">
        <v>23030</v>
      </c>
      <c r="P538" s="1332">
        <v>23030</v>
      </c>
      <c r="Q538" s="1333"/>
      <c r="R538" s="1332">
        <v>556555</v>
      </c>
      <c r="S538" s="1332">
        <v>3606</v>
      </c>
      <c r="T538" s="1332">
        <v>560161</v>
      </c>
    </row>
    <row r="539" spans="1:20" x14ac:dyDescent="0.25">
      <c r="A539" s="1342">
        <v>95701</v>
      </c>
      <c r="B539" s="1340" t="s">
        <v>3158</v>
      </c>
      <c r="C539" s="1324">
        <v>1.2156000000000001E-3</v>
      </c>
      <c r="D539" s="1324">
        <v>1.3044E-3</v>
      </c>
      <c r="E539" s="1332">
        <v>3319709</v>
      </c>
      <c r="F539" s="1333"/>
      <c r="G539" s="1332">
        <v>568418</v>
      </c>
      <c r="H539" s="1332">
        <v>80973</v>
      </c>
      <c r="I539" s="1332">
        <v>541057</v>
      </c>
      <c r="J539" s="1332">
        <v>19199</v>
      </c>
      <c r="K539" s="1332">
        <v>1209647</v>
      </c>
      <c r="L539" s="1333"/>
      <c r="M539" s="1332">
        <v>0</v>
      </c>
      <c r="N539" s="1332">
        <v>0</v>
      </c>
      <c r="O539" s="1332">
        <v>149768</v>
      </c>
      <c r="P539" s="1332">
        <v>149768</v>
      </c>
      <c r="Q539" s="1333"/>
      <c r="R539" s="1332">
        <v>1478793</v>
      </c>
      <c r="S539" s="1332">
        <v>-27093</v>
      </c>
      <c r="T539" s="1332">
        <v>1451700</v>
      </c>
    </row>
    <row r="540" spans="1:20" x14ac:dyDescent="0.25">
      <c r="A540" s="1342">
        <v>95711</v>
      </c>
      <c r="B540" s="1340" t="s">
        <v>3159</v>
      </c>
      <c r="C540" s="1324">
        <v>1.4320000000000001E-4</v>
      </c>
      <c r="D540" s="1324">
        <v>1.4349999999999999E-4</v>
      </c>
      <c r="E540" s="1332">
        <v>391068</v>
      </c>
      <c r="F540" s="1333"/>
      <c r="G540" s="1332">
        <v>66961</v>
      </c>
      <c r="H540" s="1332">
        <v>9538</v>
      </c>
      <c r="I540" s="1332">
        <v>63738</v>
      </c>
      <c r="J540" s="1332">
        <v>227</v>
      </c>
      <c r="K540" s="1332">
        <v>140464</v>
      </c>
      <c r="L540" s="1333"/>
      <c r="M540" s="1332">
        <v>0</v>
      </c>
      <c r="N540" s="1332">
        <v>0</v>
      </c>
      <c r="O540" s="1332">
        <v>13477</v>
      </c>
      <c r="P540" s="1332">
        <v>13477</v>
      </c>
      <c r="Q540" s="1333"/>
      <c r="R540" s="1332">
        <v>174205</v>
      </c>
      <c r="S540" s="1332">
        <v>-1737</v>
      </c>
      <c r="T540" s="1332">
        <v>172468</v>
      </c>
    </row>
    <row r="541" spans="1:20" x14ac:dyDescent="0.25">
      <c r="A541" s="1342">
        <v>95721</v>
      </c>
      <c r="B541" s="1340" t="s">
        <v>3160</v>
      </c>
      <c r="C541" s="1324">
        <v>6.58E-5</v>
      </c>
      <c r="D541" s="1324">
        <v>6.7799999999999995E-5</v>
      </c>
      <c r="E541" s="1332">
        <v>179695</v>
      </c>
      <c r="F541" s="1333"/>
      <c r="G541" s="1332">
        <v>30768</v>
      </c>
      <c r="H541" s="1332">
        <v>4383</v>
      </c>
      <c r="I541" s="1332">
        <v>29287</v>
      </c>
      <c r="J541" s="1332">
        <v>0</v>
      </c>
      <c r="K541" s="1332">
        <v>64438</v>
      </c>
      <c r="L541" s="1333"/>
      <c r="M541" s="1332">
        <v>0</v>
      </c>
      <c r="N541" s="1332">
        <v>0</v>
      </c>
      <c r="O541" s="1332">
        <v>7182</v>
      </c>
      <c r="P541" s="1332">
        <v>7182</v>
      </c>
      <c r="Q541" s="1333"/>
      <c r="R541" s="1332">
        <v>80047</v>
      </c>
      <c r="S541" s="1332">
        <v>-3340</v>
      </c>
      <c r="T541" s="1332">
        <v>76707</v>
      </c>
    </row>
    <row r="542" spans="1:20" x14ac:dyDescent="0.25">
      <c r="A542" s="1342">
        <v>95733</v>
      </c>
      <c r="B542" s="1340" t="s">
        <v>3161</v>
      </c>
      <c r="C542" s="1324">
        <v>1.43E-5</v>
      </c>
      <c r="D542" s="1324">
        <v>1.5500000000000001E-5</v>
      </c>
      <c r="E542" s="1332">
        <v>39052</v>
      </c>
      <c r="F542" s="1333"/>
      <c r="G542" s="1332">
        <v>6687</v>
      </c>
      <c r="H542" s="1332">
        <v>952</v>
      </c>
      <c r="I542" s="1332">
        <v>6365</v>
      </c>
      <c r="J542" s="1332">
        <v>41</v>
      </c>
      <c r="K542" s="1332">
        <v>14045</v>
      </c>
      <c r="L542" s="1333"/>
      <c r="M542" s="1332">
        <v>0</v>
      </c>
      <c r="N542" s="1332">
        <v>0</v>
      </c>
      <c r="O542" s="1332">
        <v>1037</v>
      </c>
      <c r="P542" s="1332">
        <v>1037</v>
      </c>
      <c r="Q542" s="1333"/>
      <c r="R542" s="1332">
        <v>17396</v>
      </c>
      <c r="S542" s="1332">
        <v>-94</v>
      </c>
      <c r="T542" s="1332">
        <v>17302</v>
      </c>
    </row>
    <row r="543" spans="1:20" x14ac:dyDescent="0.25">
      <c r="A543" s="1342">
        <v>95801</v>
      </c>
      <c r="B543" s="1340" t="s">
        <v>3162</v>
      </c>
      <c r="C543" s="1324">
        <v>9.5739999999999996E-4</v>
      </c>
      <c r="D543" s="1324">
        <v>9.7999999999999997E-4</v>
      </c>
      <c r="E543" s="1332">
        <v>2614585</v>
      </c>
      <c r="F543" s="1333"/>
      <c r="G543" s="1332">
        <v>447683</v>
      </c>
      <c r="H543" s="1332">
        <v>63774</v>
      </c>
      <c r="I543" s="1332">
        <v>426134</v>
      </c>
      <c r="J543" s="1332">
        <v>43286</v>
      </c>
      <c r="K543" s="1332">
        <v>980877</v>
      </c>
      <c r="L543" s="1333"/>
      <c r="M543" s="1332">
        <v>0</v>
      </c>
      <c r="N543" s="1332">
        <v>0</v>
      </c>
      <c r="O543" s="1332">
        <v>3919</v>
      </c>
      <c r="P543" s="1332">
        <v>3919</v>
      </c>
      <c r="Q543" s="1333"/>
      <c r="R543" s="1332">
        <v>1164690</v>
      </c>
      <c r="S543" s="1332">
        <v>22024</v>
      </c>
      <c r="T543" s="1332">
        <v>1186714</v>
      </c>
    </row>
    <row r="544" spans="1:20" x14ac:dyDescent="0.25">
      <c r="A544" s="1342">
        <v>95802</v>
      </c>
      <c r="B544" s="1340" t="s">
        <v>4188</v>
      </c>
      <c r="C544" s="1324">
        <v>4.5000000000000001E-6</v>
      </c>
      <c r="D544" s="1324">
        <v>5.4E-6</v>
      </c>
      <c r="E544" s="1332">
        <v>12289</v>
      </c>
      <c r="F544" s="1333"/>
      <c r="G544" s="1332">
        <v>2104</v>
      </c>
      <c r="H544" s="1332">
        <v>300</v>
      </c>
      <c r="I544" s="1332">
        <v>2003</v>
      </c>
      <c r="J544" s="1332">
        <v>4669</v>
      </c>
      <c r="K544" s="1332">
        <v>9076</v>
      </c>
      <c r="L544" s="1333"/>
      <c r="M544" s="1332">
        <v>0</v>
      </c>
      <c r="N544" s="1332">
        <v>0</v>
      </c>
      <c r="O544" s="1332">
        <v>0</v>
      </c>
      <c r="P544" s="1332">
        <v>0</v>
      </c>
      <c r="Q544" s="1333"/>
      <c r="R544" s="1332">
        <v>5474</v>
      </c>
      <c r="S544" s="1332">
        <v>2138</v>
      </c>
      <c r="T544" s="1332">
        <v>7612</v>
      </c>
    </row>
    <row r="545" spans="1:20" x14ac:dyDescent="0.25">
      <c r="A545" s="1342">
        <v>95804</v>
      </c>
      <c r="B545" s="1340" t="s">
        <v>3164</v>
      </c>
      <c r="C545" s="1324">
        <v>2.5999999999999998E-5</v>
      </c>
      <c r="D545" s="1324">
        <v>2.1699999999999999E-5</v>
      </c>
      <c r="E545" s="1332">
        <v>71004</v>
      </c>
      <c r="F545" s="1333"/>
      <c r="G545" s="1332">
        <v>12158</v>
      </c>
      <c r="H545" s="1332">
        <v>1732</v>
      </c>
      <c r="I545" s="1332">
        <v>11572</v>
      </c>
      <c r="J545" s="1332">
        <v>1841</v>
      </c>
      <c r="K545" s="1332">
        <v>27303</v>
      </c>
      <c r="L545" s="1333"/>
      <c r="M545" s="1332">
        <v>0</v>
      </c>
      <c r="N545" s="1332">
        <v>0</v>
      </c>
      <c r="O545" s="1332">
        <v>1765</v>
      </c>
      <c r="P545" s="1332">
        <v>1765</v>
      </c>
      <c r="Q545" s="1333"/>
      <c r="R545" s="1332">
        <v>31629</v>
      </c>
      <c r="S545" s="1332">
        <v>641</v>
      </c>
      <c r="T545" s="1332">
        <v>32270</v>
      </c>
    </row>
    <row r="546" spans="1:20" x14ac:dyDescent="0.25">
      <c r="A546" s="1342">
        <v>95811</v>
      </c>
      <c r="B546" s="1340" t="s">
        <v>3165</v>
      </c>
      <c r="C546" s="1324">
        <v>5.287E-4</v>
      </c>
      <c r="D546" s="1324">
        <v>5.2729999999999997E-4</v>
      </c>
      <c r="E546" s="1332">
        <v>1443838</v>
      </c>
      <c r="F546" s="1333"/>
      <c r="G546" s="1332">
        <v>247222</v>
      </c>
      <c r="H546" s="1332">
        <v>35217</v>
      </c>
      <c r="I546" s="1332">
        <v>235322</v>
      </c>
      <c r="J546" s="1332">
        <v>2826</v>
      </c>
      <c r="K546" s="1332">
        <v>520587</v>
      </c>
      <c r="L546" s="1333"/>
      <c r="M546" s="1332">
        <v>0</v>
      </c>
      <c r="N546" s="1332">
        <v>0</v>
      </c>
      <c r="O546" s="1332">
        <v>939</v>
      </c>
      <c r="P546" s="1332">
        <v>939</v>
      </c>
      <c r="Q546" s="1333"/>
      <c r="R546" s="1332">
        <v>643170</v>
      </c>
      <c r="S546" s="1332">
        <v>-922</v>
      </c>
      <c r="T546" s="1332">
        <v>642248</v>
      </c>
    </row>
    <row r="547" spans="1:20" x14ac:dyDescent="0.25">
      <c r="A547" s="1342">
        <v>95813</v>
      </c>
      <c r="B547" s="1340" t="s">
        <v>3166</v>
      </c>
      <c r="C547" s="1324">
        <v>4.4100000000000001E-5</v>
      </c>
      <c r="D547" s="1324">
        <v>5.0699999999999999E-5</v>
      </c>
      <c r="E547" s="1332">
        <v>120434</v>
      </c>
      <c r="F547" s="1333"/>
      <c r="G547" s="1332">
        <v>20621</v>
      </c>
      <c r="H547" s="1332">
        <v>2938</v>
      </c>
      <c r="I547" s="1332">
        <v>19629</v>
      </c>
      <c r="J547" s="1332">
        <v>79656</v>
      </c>
      <c r="K547" s="1332">
        <v>122844</v>
      </c>
      <c r="L547" s="1333"/>
      <c r="M547" s="1332">
        <v>0</v>
      </c>
      <c r="N547" s="1332">
        <v>0</v>
      </c>
      <c r="O547" s="1332">
        <v>0</v>
      </c>
      <c r="P547" s="1332">
        <v>0</v>
      </c>
      <c r="Q547" s="1333"/>
      <c r="R547" s="1332">
        <v>53648</v>
      </c>
      <c r="S547" s="1332">
        <v>38959</v>
      </c>
      <c r="T547" s="1332">
        <v>92607</v>
      </c>
    </row>
    <row r="548" spans="1:20" x14ac:dyDescent="0.25">
      <c r="A548" s="1342">
        <v>95821</v>
      </c>
      <c r="B548" s="1340" t="s">
        <v>3167</v>
      </c>
      <c r="C548" s="1324">
        <v>6.3999999999999997E-6</v>
      </c>
      <c r="D548" s="1324">
        <v>0</v>
      </c>
      <c r="E548" s="1332">
        <v>17478</v>
      </c>
      <c r="F548" s="1333"/>
      <c r="G548" s="1332">
        <v>2993</v>
      </c>
      <c r="H548" s="1332">
        <v>426</v>
      </c>
      <c r="I548" s="1332">
        <v>2849</v>
      </c>
      <c r="J548" s="1332">
        <v>6306</v>
      </c>
      <c r="K548" s="1332">
        <v>12574</v>
      </c>
      <c r="L548" s="1333"/>
      <c r="M548" s="1332">
        <v>0</v>
      </c>
      <c r="N548" s="1332">
        <v>0</v>
      </c>
      <c r="O548" s="1332">
        <v>326</v>
      </c>
      <c r="P548" s="1332">
        <v>326</v>
      </c>
      <c r="Q548" s="1333"/>
      <c r="R548" s="1332">
        <v>7786</v>
      </c>
      <c r="S548" s="1332">
        <v>1901</v>
      </c>
      <c r="T548" s="1332">
        <v>9687</v>
      </c>
    </row>
    <row r="549" spans="1:20" x14ac:dyDescent="0.25">
      <c r="A549" s="1342">
        <v>95831</v>
      </c>
      <c r="B549" s="1340" t="s">
        <v>3168</v>
      </c>
      <c r="C549" s="1324">
        <v>1.9899999999999999E-5</v>
      </c>
      <c r="D549" s="1324">
        <v>1.8E-5</v>
      </c>
      <c r="E549" s="1332">
        <v>54345</v>
      </c>
      <c r="F549" s="1333"/>
      <c r="G549" s="1332">
        <v>9305</v>
      </c>
      <c r="H549" s="1332">
        <v>1326</v>
      </c>
      <c r="I549" s="1332">
        <v>8857</v>
      </c>
      <c r="J549" s="1332">
        <v>21775</v>
      </c>
      <c r="K549" s="1332">
        <v>41263</v>
      </c>
      <c r="L549" s="1333"/>
      <c r="M549" s="1332">
        <v>0</v>
      </c>
      <c r="N549" s="1332">
        <v>0</v>
      </c>
      <c r="O549" s="1332">
        <v>0</v>
      </c>
      <c r="P549" s="1332">
        <v>0</v>
      </c>
      <c r="Q549" s="1333"/>
      <c r="R549" s="1332">
        <v>24209</v>
      </c>
      <c r="S549" s="1332">
        <v>11381</v>
      </c>
      <c r="T549" s="1332">
        <v>35590</v>
      </c>
    </row>
    <row r="550" spans="1:20" x14ac:dyDescent="0.25">
      <c r="A550" s="1342">
        <v>95841</v>
      </c>
      <c r="B550" s="1340" t="s">
        <v>3169</v>
      </c>
      <c r="C550" s="1324">
        <v>2.58E-5</v>
      </c>
      <c r="D550" s="1324">
        <v>2.0000000000000002E-5</v>
      </c>
      <c r="E550" s="1332">
        <v>70458</v>
      </c>
      <c r="F550" s="1333"/>
      <c r="G550" s="1332">
        <v>12064</v>
      </c>
      <c r="H550" s="1332">
        <v>1719</v>
      </c>
      <c r="I550" s="1332">
        <v>11483</v>
      </c>
      <c r="J550" s="1332">
        <v>5942</v>
      </c>
      <c r="K550" s="1332">
        <v>31208</v>
      </c>
      <c r="L550" s="1333"/>
      <c r="M550" s="1332">
        <v>0</v>
      </c>
      <c r="N550" s="1332">
        <v>0</v>
      </c>
      <c r="O550" s="1332">
        <v>0</v>
      </c>
      <c r="P550" s="1332">
        <v>0</v>
      </c>
      <c r="Q550" s="1333"/>
      <c r="R550" s="1332">
        <v>31386</v>
      </c>
      <c r="S550" s="1332">
        <v>2072</v>
      </c>
      <c r="T550" s="1332">
        <v>33458</v>
      </c>
    </row>
    <row r="551" spans="1:20" x14ac:dyDescent="0.25">
      <c r="A551" s="1342">
        <v>95851</v>
      </c>
      <c r="B551" s="1340" t="s">
        <v>3170</v>
      </c>
      <c r="C551" s="1324">
        <v>1.26E-4</v>
      </c>
      <c r="D551" s="1324">
        <v>1.403E-4</v>
      </c>
      <c r="E551" s="1332">
        <v>344096</v>
      </c>
      <c r="F551" s="1333"/>
      <c r="G551" s="1332">
        <v>58918</v>
      </c>
      <c r="H551" s="1332">
        <v>8393</v>
      </c>
      <c r="I551" s="1332">
        <v>56082</v>
      </c>
      <c r="J551" s="1332">
        <v>141070</v>
      </c>
      <c r="K551" s="1332">
        <v>264463</v>
      </c>
      <c r="L551" s="1333"/>
      <c r="M551" s="1332">
        <v>0</v>
      </c>
      <c r="N551" s="1332">
        <v>0</v>
      </c>
      <c r="O551" s="1332">
        <v>0</v>
      </c>
      <c r="P551" s="1332">
        <v>0</v>
      </c>
      <c r="Q551" s="1333"/>
      <c r="R551" s="1332">
        <v>153281</v>
      </c>
      <c r="S551" s="1332">
        <v>69620</v>
      </c>
      <c r="T551" s="1332">
        <v>222901</v>
      </c>
    </row>
    <row r="552" spans="1:20" x14ac:dyDescent="0.25">
      <c r="A552" s="1342">
        <v>95853</v>
      </c>
      <c r="B552" s="1340" t="s">
        <v>3171</v>
      </c>
      <c r="C552" s="1324">
        <v>3.0300000000000001E-5</v>
      </c>
      <c r="D552" s="1324">
        <v>3.1300000000000002E-5</v>
      </c>
      <c r="E552" s="1332">
        <v>82747</v>
      </c>
      <c r="F552" s="1333"/>
      <c r="G552" s="1332">
        <v>14168</v>
      </c>
      <c r="H552" s="1332">
        <v>2018</v>
      </c>
      <c r="I552" s="1332">
        <v>13486</v>
      </c>
      <c r="J552" s="1332">
        <v>5360</v>
      </c>
      <c r="K552" s="1332">
        <v>35032</v>
      </c>
      <c r="L552" s="1333"/>
      <c r="M552" s="1332">
        <v>0</v>
      </c>
      <c r="N552" s="1332">
        <v>0</v>
      </c>
      <c r="O552" s="1332">
        <v>587</v>
      </c>
      <c r="P552" s="1332">
        <v>587</v>
      </c>
      <c r="Q552" s="1333"/>
      <c r="R552" s="1332">
        <v>36860</v>
      </c>
      <c r="S552" s="1332">
        <v>3279</v>
      </c>
      <c r="T552" s="1332">
        <v>40139</v>
      </c>
    </row>
    <row r="553" spans="1:20" x14ac:dyDescent="0.25">
      <c r="A553" s="1342">
        <v>95901</v>
      </c>
      <c r="B553" s="1340" t="s">
        <v>3172</v>
      </c>
      <c r="C553" s="1324">
        <v>1.9935E-3</v>
      </c>
      <c r="D553" s="1324">
        <v>1.9158000000000001E-3</v>
      </c>
      <c r="E553" s="1332">
        <v>5444093</v>
      </c>
      <c r="F553" s="1333"/>
      <c r="G553" s="1332">
        <v>932167</v>
      </c>
      <c r="H553" s="1332">
        <v>132789</v>
      </c>
      <c r="I553" s="1332">
        <v>887297</v>
      </c>
      <c r="J553" s="1332">
        <v>0</v>
      </c>
      <c r="K553" s="1332">
        <v>1952253</v>
      </c>
      <c r="L553" s="1333"/>
      <c r="M553" s="1332">
        <v>0</v>
      </c>
      <c r="N553" s="1332">
        <v>0</v>
      </c>
      <c r="O553" s="1332">
        <v>9248</v>
      </c>
      <c r="P553" s="1332">
        <v>9248</v>
      </c>
      <c r="Q553" s="1333"/>
      <c r="R553" s="1332">
        <v>2425119</v>
      </c>
      <c r="S553" s="1332">
        <v>-1062</v>
      </c>
      <c r="T553" s="1332">
        <v>2424057</v>
      </c>
    </row>
    <row r="554" spans="1:20" x14ac:dyDescent="0.25">
      <c r="A554" s="1342">
        <v>95908</v>
      </c>
      <c r="B554" s="1340" t="s">
        <v>4189</v>
      </c>
      <c r="C554" s="1324">
        <v>7.1500000000000003E-5</v>
      </c>
      <c r="D554" s="1324">
        <v>6.1099999999999994E-5</v>
      </c>
      <c r="E554" s="1332">
        <v>195261</v>
      </c>
      <c r="F554" s="1333"/>
      <c r="G554" s="1332">
        <v>33434</v>
      </c>
      <c r="H554" s="1332">
        <v>4763</v>
      </c>
      <c r="I554" s="1332">
        <v>31824</v>
      </c>
      <c r="J554" s="1332">
        <v>2130</v>
      </c>
      <c r="K554" s="1332">
        <v>72151</v>
      </c>
      <c r="L554" s="1333"/>
      <c r="M554" s="1332">
        <v>0</v>
      </c>
      <c r="N554" s="1332">
        <v>0</v>
      </c>
      <c r="O554" s="1332">
        <v>12079</v>
      </c>
      <c r="P554" s="1332">
        <v>12079</v>
      </c>
      <c r="Q554" s="1333"/>
      <c r="R554" s="1332">
        <v>86981</v>
      </c>
      <c r="S554" s="1332">
        <v>-9339</v>
      </c>
      <c r="T554" s="1332">
        <v>77642</v>
      </c>
    </row>
    <row r="555" spans="1:20" x14ac:dyDescent="0.25">
      <c r="A555" s="1342">
        <v>95911</v>
      </c>
      <c r="B555" s="1340" t="s">
        <v>3174</v>
      </c>
      <c r="C555" s="1324">
        <v>5.6829999999999999E-4</v>
      </c>
      <c r="D555" s="1324">
        <v>5.576E-4</v>
      </c>
      <c r="E555" s="1332">
        <v>1551983</v>
      </c>
      <c r="F555" s="1333"/>
      <c r="G555" s="1332">
        <v>265739</v>
      </c>
      <c r="H555" s="1332">
        <v>37855</v>
      </c>
      <c r="I555" s="1332">
        <v>252947</v>
      </c>
      <c r="J555" s="1332">
        <v>0</v>
      </c>
      <c r="K555" s="1332">
        <v>556541</v>
      </c>
      <c r="L555" s="1333"/>
      <c r="M555" s="1332">
        <v>0</v>
      </c>
      <c r="N555" s="1332">
        <v>0</v>
      </c>
      <c r="O555" s="1332">
        <v>37793</v>
      </c>
      <c r="P555" s="1332">
        <v>37793</v>
      </c>
      <c r="Q555" s="1333"/>
      <c r="R555" s="1332">
        <v>691344</v>
      </c>
      <c r="S555" s="1332">
        <v>-18101</v>
      </c>
      <c r="T555" s="1332">
        <v>673243</v>
      </c>
    </row>
    <row r="556" spans="1:20" x14ac:dyDescent="0.25">
      <c r="A556" s="1342">
        <v>95917</v>
      </c>
      <c r="B556" s="1340" t="s">
        <v>3175</v>
      </c>
      <c r="C556" s="1324">
        <v>1.8600000000000001E-5</v>
      </c>
      <c r="D556" s="1324">
        <v>2.05E-5</v>
      </c>
      <c r="E556" s="1332">
        <v>50795</v>
      </c>
      <c r="F556" s="1333"/>
      <c r="G556" s="1332">
        <v>8697</v>
      </c>
      <c r="H556" s="1332">
        <v>1239</v>
      </c>
      <c r="I556" s="1332">
        <v>8279</v>
      </c>
      <c r="J556" s="1332">
        <v>1449</v>
      </c>
      <c r="K556" s="1332">
        <v>19664</v>
      </c>
      <c r="L556" s="1333"/>
      <c r="M556" s="1332">
        <v>0</v>
      </c>
      <c r="N556" s="1332">
        <v>0</v>
      </c>
      <c r="O556" s="1332">
        <v>2540</v>
      </c>
      <c r="P556" s="1332">
        <v>2540</v>
      </c>
      <c r="Q556" s="1333"/>
      <c r="R556" s="1332">
        <v>22627</v>
      </c>
      <c r="S556" s="1332">
        <v>214</v>
      </c>
      <c r="T556" s="1332">
        <v>22841</v>
      </c>
    </row>
    <row r="557" spans="1:20" x14ac:dyDescent="0.25">
      <c r="A557" s="1342">
        <v>95921</v>
      </c>
      <c r="B557" s="1340" t="s">
        <v>3176</v>
      </c>
      <c r="C557" s="1324">
        <v>5.4200000000000003E-5</v>
      </c>
      <c r="D557" s="1324">
        <v>4.9799999999999998E-5</v>
      </c>
      <c r="E557" s="1332">
        <v>148016</v>
      </c>
      <c r="F557" s="1333"/>
      <c r="G557" s="1332">
        <v>25344</v>
      </c>
      <c r="H557" s="1332">
        <v>3611</v>
      </c>
      <c r="I557" s="1332">
        <v>24124</v>
      </c>
      <c r="J557" s="1332">
        <v>7363</v>
      </c>
      <c r="K557" s="1332">
        <v>60442</v>
      </c>
      <c r="L557" s="1333"/>
      <c r="M557" s="1332">
        <v>0</v>
      </c>
      <c r="N557" s="1332">
        <v>0</v>
      </c>
      <c r="O557" s="1332">
        <v>0</v>
      </c>
      <c r="P557" s="1332">
        <v>0</v>
      </c>
      <c r="Q557" s="1333"/>
      <c r="R557" s="1332">
        <v>65935</v>
      </c>
      <c r="S557" s="1332">
        <v>3136</v>
      </c>
      <c r="T557" s="1332">
        <v>69071</v>
      </c>
    </row>
    <row r="558" spans="1:20" x14ac:dyDescent="0.25">
      <c r="A558" s="1342">
        <v>96001</v>
      </c>
      <c r="B558" s="1340" t="s">
        <v>3177</v>
      </c>
      <c r="C558" s="1324">
        <v>4.3367500000000003E-2</v>
      </c>
      <c r="D558" s="1324">
        <v>4.3840400000000002E-2</v>
      </c>
      <c r="E558" s="1332">
        <v>118433260</v>
      </c>
      <c r="F558" s="1333"/>
      <c r="G558" s="1332">
        <v>20278773</v>
      </c>
      <c r="H558" s="1332">
        <v>2888752</v>
      </c>
      <c r="I558" s="1332">
        <v>19302657</v>
      </c>
      <c r="J558" s="1332">
        <v>0</v>
      </c>
      <c r="K558" s="1332">
        <v>42470182</v>
      </c>
      <c r="L558" s="1333"/>
      <c r="M558" s="1332">
        <v>0</v>
      </c>
      <c r="N558" s="1332">
        <v>0</v>
      </c>
      <c r="O558" s="1332">
        <v>672724</v>
      </c>
      <c r="P558" s="1332">
        <v>672724</v>
      </c>
      <c r="Q558" s="1333"/>
      <c r="R558" s="1332">
        <v>52757128</v>
      </c>
      <c r="S558" s="1332">
        <v>-161384</v>
      </c>
      <c r="T558" s="1332">
        <v>52595744</v>
      </c>
    </row>
    <row r="559" spans="1:20" x14ac:dyDescent="0.25">
      <c r="A559" s="1342">
        <v>96003</v>
      </c>
      <c r="B559" s="1340" t="s">
        <v>3178</v>
      </c>
      <c r="C559" s="1324">
        <v>1.6620000000000001E-3</v>
      </c>
      <c r="D559" s="1324">
        <v>1.6191999999999999E-3</v>
      </c>
      <c r="E559" s="1332">
        <v>4538792</v>
      </c>
      <c r="F559" s="1333"/>
      <c r="G559" s="1332">
        <v>777156</v>
      </c>
      <c r="H559" s="1332">
        <v>110708</v>
      </c>
      <c r="I559" s="1332">
        <v>739748</v>
      </c>
      <c r="J559" s="1332">
        <v>41167</v>
      </c>
      <c r="K559" s="1332">
        <v>1668779</v>
      </c>
      <c r="L559" s="1333"/>
      <c r="M559" s="1332">
        <v>0</v>
      </c>
      <c r="N559" s="1332">
        <v>0</v>
      </c>
      <c r="O559" s="1332">
        <v>108882</v>
      </c>
      <c r="P559" s="1332">
        <v>108882</v>
      </c>
      <c r="Q559" s="1333"/>
      <c r="R559" s="1332">
        <v>2021845</v>
      </c>
      <c r="S559" s="1332">
        <v>-41472</v>
      </c>
      <c r="T559" s="1332">
        <v>1980373</v>
      </c>
    </row>
    <row r="560" spans="1:20" x14ac:dyDescent="0.25">
      <c r="A560" s="1342">
        <v>96004</v>
      </c>
      <c r="B560" s="1340" t="s">
        <v>3179</v>
      </c>
      <c r="C560" s="1324">
        <v>9.3959999999999996E-4</v>
      </c>
      <c r="D560" s="1324">
        <v>9.0419999999999997E-4</v>
      </c>
      <c r="E560" s="1332">
        <v>2565974</v>
      </c>
      <c r="F560" s="1333"/>
      <c r="G560" s="1332">
        <v>439360</v>
      </c>
      <c r="H560" s="1332">
        <v>62588</v>
      </c>
      <c r="I560" s="1332">
        <v>418211</v>
      </c>
      <c r="J560" s="1332">
        <v>151395</v>
      </c>
      <c r="K560" s="1332">
        <v>1071554</v>
      </c>
      <c r="L560" s="1333"/>
      <c r="M560" s="1332">
        <v>0</v>
      </c>
      <c r="N560" s="1332">
        <v>0</v>
      </c>
      <c r="O560" s="1332">
        <v>0</v>
      </c>
      <c r="P560" s="1332">
        <v>0</v>
      </c>
      <c r="Q560" s="1333"/>
      <c r="R560" s="1332">
        <v>1143036</v>
      </c>
      <c r="S560" s="1332">
        <v>74968</v>
      </c>
      <c r="T560" s="1332">
        <v>1218004</v>
      </c>
    </row>
    <row r="561" spans="1:20" x14ac:dyDescent="0.25">
      <c r="A561" s="1342">
        <v>96005</v>
      </c>
      <c r="B561" s="1340" t="s">
        <v>3180</v>
      </c>
      <c r="C561" s="1324">
        <v>2.4467E-3</v>
      </c>
      <c r="D561" s="1324">
        <v>2.6172999999999999E-3</v>
      </c>
      <c r="E561" s="1332">
        <v>6681747</v>
      </c>
      <c r="F561" s="1333"/>
      <c r="G561" s="1332">
        <v>1144084</v>
      </c>
      <c r="H561" s="1332">
        <v>162977</v>
      </c>
      <c r="I561" s="1332">
        <v>1089014</v>
      </c>
      <c r="J561" s="1332">
        <v>17394</v>
      </c>
      <c r="K561" s="1332">
        <v>2413469</v>
      </c>
      <c r="L561" s="1333"/>
      <c r="M561" s="1332">
        <v>0</v>
      </c>
      <c r="N561" s="1332">
        <v>0</v>
      </c>
      <c r="O561" s="1332">
        <v>102840</v>
      </c>
      <c r="P561" s="1332">
        <v>102840</v>
      </c>
      <c r="Q561" s="1333"/>
      <c r="R561" s="1332">
        <v>2976442</v>
      </c>
      <c r="S561" s="1332">
        <v>20584</v>
      </c>
      <c r="T561" s="1332">
        <v>2997026</v>
      </c>
    </row>
    <row r="562" spans="1:20" ht="30" x14ac:dyDescent="0.25">
      <c r="A562" s="1342">
        <v>96008</v>
      </c>
      <c r="B562" s="1340" t="s">
        <v>4190</v>
      </c>
      <c r="C562" s="1324">
        <v>6.1741000000000001E-3</v>
      </c>
      <c r="D562" s="1324">
        <v>6.1884000000000002E-3</v>
      </c>
      <c r="E562" s="1332">
        <v>16860986</v>
      </c>
      <c r="F562" s="1333"/>
      <c r="G562" s="1332">
        <v>2887028</v>
      </c>
      <c r="H562" s="1332">
        <v>411263</v>
      </c>
      <c r="I562" s="1332">
        <v>2748061</v>
      </c>
      <c r="J562" s="1332">
        <v>0</v>
      </c>
      <c r="K562" s="1332">
        <v>6046352</v>
      </c>
      <c r="L562" s="1333"/>
      <c r="M562" s="1332">
        <v>0</v>
      </c>
      <c r="N562" s="1332">
        <v>0</v>
      </c>
      <c r="O562" s="1332">
        <v>1244707</v>
      </c>
      <c r="P562" s="1332">
        <v>1244707</v>
      </c>
      <c r="Q562" s="1333"/>
      <c r="R562" s="1332">
        <v>7510873</v>
      </c>
      <c r="S562" s="1332">
        <v>-456370</v>
      </c>
      <c r="T562" s="1332">
        <v>7054503</v>
      </c>
    </row>
    <row r="563" spans="1:20" x14ac:dyDescent="0.25">
      <c r="A563" s="1342">
        <v>96009</v>
      </c>
      <c r="B563" s="1340" t="s">
        <v>3182</v>
      </c>
      <c r="C563" s="1324">
        <v>3.5409999999999999E-4</v>
      </c>
      <c r="D563" s="1324">
        <v>3.8460000000000002E-4</v>
      </c>
      <c r="E563" s="1332">
        <v>967019</v>
      </c>
      <c r="F563" s="1333"/>
      <c r="G563" s="1332">
        <v>165578</v>
      </c>
      <c r="H563" s="1332">
        <v>23587</v>
      </c>
      <c r="I563" s="1332">
        <v>157608</v>
      </c>
      <c r="J563" s="1332">
        <v>32780</v>
      </c>
      <c r="K563" s="1332">
        <v>379553</v>
      </c>
      <c r="L563" s="1333"/>
      <c r="M563" s="1332">
        <v>0</v>
      </c>
      <c r="N563" s="1332">
        <v>0</v>
      </c>
      <c r="O563" s="1332">
        <v>6198</v>
      </c>
      <c r="P563" s="1332">
        <v>6198</v>
      </c>
      <c r="Q563" s="1333"/>
      <c r="R563" s="1332">
        <v>430767</v>
      </c>
      <c r="S563" s="1332">
        <v>11845</v>
      </c>
      <c r="T563" s="1332">
        <v>442612</v>
      </c>
    </row>
    <row r="564" spans="1:20" x14ac:dyDescent="0.25">
      <c r="A564" s="1342">
        <v>96011</v>
      </c>
      <c r="B564" s="1340" t="s">
        <v>3183</v>
      </c>
      <c r="C564" s="1324">
        <v>6.3204399999999994E-2</v>
      </c>
      <c r="D564" s="1324">
        <v>6.2526600000000002E-2</v>
      </c>
      <c r="E564" s="1332">
        <v>172606286</v>
      </c>
      <c r="F564" s="1333"/>
      <c r="G564" s="1332">
        <v>29554567</v>
      </c>
      <c r="H564" s="1332">
        <v>4210108</v>
      </c>
      <c r="I564" s="1332">
        <v>28131962</v>
      </c>
      <c r="J564" s="1332">
        <v>1851231</v>
      </c>
      <c r="K564" s="1332">
        <v>63747868</v>
      </c>
      <c r="L564" s="1333"/>
      <c r="M564" s="1332">
        <v>0</v>
      </c>
      <c r="N564" s="1332">
        <v>0</v>
      </c>
      <c r="O564" s="1332">
        <v>15079</v>
      </c>
      <c r="P564" s="1332">
        <v>15079</v>
      </c>
      <c r="Q564" s="1333"/>
      <c r="R564" s="1332">
        <v>76888974</v>
      </c>
      <c r="S564" s="1332">
        <v>636066</v>
      </c>
      <c r="T564" s="1332">
        <v>77525040</v>
      </c>
    </row>
    <row r="565" spans="1:20" x14ac:dyDescent="0.25">
      <c r="A565" s="1342">
        <v>96012</v>
      </c>
      <c r="B565" s="1340" t="s">
        <v>3184</v>
      </c>
      <c r="C565" s="1324">
        <v>2.5593E-3</v>
      </c>
      <c r="D565" s="1324">
        <v>2.5303000000000001E-3</v>
      </c>
      <c r="E565" s="1332">
        <v>6989249</v>
      </c>
      <c r="F565" s="1333"/>
      <c r="G565" s="1332">
        <v>1196736</v>
      </c>
      <c r="H565" s="1332">
        <v>170478</v>
      </c>
      <c r="I565" s="1332">
        <v>1139132</v>
      </c>
      <c r="J565" s="1332">
        <v>56615</v>
      </c>
      <c r="K565" s="1332">
        <v>2562961</v>
      </c>
      <c r="L565" s="1333"/>
      <c r="M565" s="1332">
        <v>0</v>
      </c>
      <c r="N565" s="1332">
        <v>0</v>
      </c>
      <c r="O565" s="1332">
        <v>3190</v>
      </c>
      <c r="P565" s="1332">
        <v>3190</v>
      </c>
      <c r="Q565" s="1333"/>
      <c r="R565" s="1332">
        <v>3113422</v>
      </c>
      <c r="S565" s="1332">
        <v>38388</v>
      </c>
      <c r="T565" s="1332">
        <v>3151810</v>
      </c>
    </row>
    <row r="566" spans="1:20" x14ac:dyDescent="0.25">
      <c r="A566" s="1342">
        <v>96018</v>
      </c>
      <c r="B566" s="1340" t="s">
        <v>4191</v>
      </c>
      <c r="C566" s="1324">
        <v>3.4199999999999998E-5</v>
      </c>
      <c r="D566" s="1324">
        <v>4.5000000000000003E-5</v>
      </c>
      <c r="E566" s="1332">
        <v>93398</v>
      </c>
      <c r="F566" s="1333"/>
      <c r="G566" s="1332">
        <v>15992</v>
      </c>
      <c r="H566" s="1332">
        <v>2278</v>
      </c>
      <c r="I566" s="1332">
        <v>15222</v>
      </c>
      <c r="J566" s="1332">
        <v>1784</v>
      </c>
      <c r="K566" s="1332">
        <v>35276</v>
      </c>
      <c r="L566" s="1333"/>
      <c r="M566" s="1332">
        <v>0</v>
      </c>
      <c r="N566" s="1332">
        <v>0</v>
      </c>
      <c r="O566" s="1332">
        <v>8821</v>
      </c>
      <c r="P566" s="1332">
        <v>8821</v>
      </c>
      <c r="Q566" s="1333"/>
      <c r="R566" s="1332">
        <v>41605</v>
      </c>
      <c r="S566" s="1332">
        <v>-124</v>
      </c>
      <c r="T566" s="1332">
        <v>41481</v>
      </c>
    </row>
    <row r="567" spans="1:20" x14ac:dyDescent="0.25">
      <c r="A567" s="1342">
        <v>96021</v>
      </c>
      <c r="B567" s="1340" t="s">
        <v>3186</v>
      </c>
      <c r="C567" s="1324">
        <v>7.7490000000000002E-4</v>
      </c>
      <c r="D567" s="1324">
        <v>7.3760000000000004E-4</v>
      </c>
      <c r="E567" s="1332">
        <v>2116191</v>
      </c>
      <c r="F567" s="1333"/>
      <c r="G567" s="1332">
        <v>362346</v>
      </c>
      <c r="H567" s="1332">
        <v>51617</v>
      </c>
      <c r="I567" s="1332">
        <v>344904</v>
      </c>
      <c r="J567" s="1332">
        <v>9298</v>
      </c>
      <c r="K567" s="1332">
        <v>768165</v>
      </c>
      <c r="L567" s="1333"/>
      <c r="M567" s="1332">
        <v>0</v>
      </c>
      <c r="N567" s="1332">
        <v>0</v>
      </c>
      <c r="O567" s="1332">
        <v>54758</v>
      </c>
      <c r="P567" s="1332">
        <v>54758</v>
      </c>
      <c r="Q567" s="1333"/>
      <c r="R567" s="1332">
        <v>942676</v>
      </c>
      <c r="S567" s="1332">
        <v>-16279</v>
      </c>
      <c r="T567" s="1332">
        <v>926397</v>
      </c>
    </row>
    <row r="568" spans="1:20" x14ac:dyDescent="0.25">
      <c r="A568" s="1342">
        <v>96031</v>
      </c>
      <c r="B568" s="1340" t="s">
        <v>3187</v>
      </c>
      <c r="C568" s="1324">
        <v>8.3790000000000004E-4</v>
      </c>
      <c r="D568" s="1324">
        <v>8.5170000000000005E-4</v>
      </c>
      <c r="E568" s="1332">
        <v>2288240</v>
      </c>
      <c r="F568" s="1333"/>
      <c r="G568" s="1332">
        <v>391805</v>
      </c>
      <c r="H568" s="1332">
        <v>55814</v>
      </c>
      <c r="I568" s="1332">
        <v>372945</v>
      </c>
      <c r="J568" s="1332">
        <v>0</v>
      </c>
      <c r="K568" s="1332">
        <v>820564</v>
      </c>
      <c r="L568" s="1333"/>
      <c r="M568" s="1332">
        <v>0</v>
      </c>
      <c r="N568" s="1332">
        <v>0</v>
      </c>
      <c r="O568" s="1332">
        <v>135011</v>
      </c>
      <c r="P568" s="1332">
        <v>135011</v>
      </c>
      <c r="Q568" s="1333"/>
      <c r="R568" s="1332">
        <v>1019316</v>
      </c>
      <c r="S568" s="1332">
        <v>-73641</v>
      </c>
      <c r="T568" s="1332">
        <v>945675</v>
      </c>
    </row>
    <row r="569" spans="1:20" x14ac:dyDescent="0.25">
      <c r="A569" s="1342">
        <v>96041</v>
      </c>
      <c r="B569" s="1340" t="s">
        <v>3188</v>
      </c>
      <c r="C569" s="1324">
        <v>1.7466000000000001E-3</v>
      </c>
      <c r="D569" s="1324">
        <v>1.7003999999999999E-3</v>
      </c>
      <c r="E569" s="1332">
        <v>4769828</v>
      </c>
      <c r="F569" s="1333"/>
      <c r="G569" s="1332">
        <v>816715</v>
      </c>
      <c r="H569" s="1332">
        <v>116343</v>
      </c>
      <c r="I569" s="1332">
        <v>777403</v>
      </c>
      <c r="J569" s="1332">
        <v>11617</v>
      </c>
      <c r="K569" s="1332">
        <v>1722078</v>
      </c>
      <c r="L569" s="1333"/>
      <c r="M569" s="1332">
        <v>0</v>
      </c>
      <c r="N569" s="1332">
        <v>0</v>
      </c>
      <c r="O569" s="1332">
        <v>101646</v>
      </c>
      <c r="P569" s="1332">
        <v>101646</v>
      </c>
      <c r="Q569" s="1333"/>
      <c r="R569" s="1332">
        <v>2124762</v>
      </c>
      <c r="S569" s="1332">
        <v>-57913</v>
      </c>
      <c r="T569" s="1332">
        <v>2066849</v>
      </c>
    </row>
    <row r="570" spans="1:20" x14ac:dyDescent="0.25">
      <c r="A570" s="1342">
        <v>96051</v>
      </c>
      <c r="B570" s="1340" t="s">
        <v>3189</v>
      </c>
      <c r="C570" s="1324">
        <v>9.6909999999999997E-4</v>
      </c>
      <c r="D570" s="1324">
        <v>1.042E-3</v>
      </c>
      <c r="E570" s="1332">
        <v>2646537</v>
      </c>
      <c r="F570" s="1333"/>
      <c r="G570" s="1332">
        <v>453154</v>
      </c>
      <c r="H570" s="1332">
        <v>64552</v>
      </c>
      <c r="I570" s="1332">
        <v>431342</v>
      </c>
      <c r="J570" s="1332">
        <v>0</v>
      </c>
      <c r="K570" s="1332">
        <v>949048</v>
      </c>
      <c r="L570" s="1333"/>
      <c r="M570" s="1332">
        <v>0</v>
      </c>
      <c r="N570" s="1332">
        <v>0</v>
      </c>
      <c r="O570" s="1332">
        <v>145175</v>
      </c>
      <c r="P570" s="1332">
        <v>145175</v>
      </c>
      <c r="Q570" s="1333"/>
      <c r="R570" s="1332">
        <v>1178923</v>
      </c>
      <c r="S570" s="1332">
        <v>-61133</v>
      </c>
      <c r="T570" s="1332">
        <v>1117790</v>
      </c>
    </row>
    <row r="571" spans="1:20" x14ac:dyDescent="0.25">
      <c r="A571" s="1342">
        <v>96061</v>
      </c>
      <c r="B571" s="1340" t="s">
        <v>3190</v>
      </c>
      <c r="C571" s="1324">
        <v>3.4220000000000002E-4</v>
      </c>
      <c r="D571" s="1324">
        <v>3.1559999999999997E-4</v>
      </c>
      <c r="E571" s="1332">
        <v>934522</v>
      </c>
      <c r="F571" s="1333"/>
      <c r="G571" s="1332">
        <v>160014</v>
      </c>
      <c r="H571" s="1332">
        <v>22795</v>
      </c>
      <c r="I571" s="1332">
        <v>152312</v>
      </c>
      <c r="J571" s="1332">
        <v>30092</v>
      </c>
      <c r="K571" s="1332">
        <v>365213</v>
      </c>
      <c r="L571" s="1333"/>
      <c r="M571" s="1332">
        <v>0</v>
      </c>
      <c r="N571" s="1332">
        <v>0</v>
      </c>
      <c r="O571" s="1332">
        <v>9266</v>
      </c>
      <c r="P571" s="1332">
        <v>9266</v>
      </c>
      <c r="Q571" s="1333"/>
      <c r="R571" s="1332">
        <v>416291</v>
      </c>
      <c r="S571" s="1332">
        <v>6177</v>
      </c>
      <c r="T571" s="1332">
        <v>422468</v>
      </c>
    </row>
    <row r="572" spans="1:20" x14ac:dyDescent="0.25">
      <c r="A572" s="1342">
        <v>96071</v>
      </c>
      <c r="B572" s="1340" t="s">
        <v>3191</v>
      </c>
      <c r="C572" s="1324">
        <v>1.3016E-3</v>
      </c>
      <c r="D572" s="1324">
        <v>1.1751000000000001E-3</v>
      </c>
      <c r="E572" s="1332">
        <v>3554568</v>
      </c>
      <c r="F572" s="1333"/>
      <c r="G572" s="1332">
        <v>608632</v>
      </c>
      <c r="H572" s="1332">
        <v>86701</v>
      </c>
      <c r="I572" s="1332">
        <v>579336</v>
      </c>
      <c r="J572" s="1332">
        <v>180982</v>
      </c>
      <c r="K572" s="1332">
        <v>1455651</v>
      </c>
      <c r="L572" s="1333"/>
      <c r="M572" s="1332">
        <v>0</v>
      </c>
      <c r="N572" s="1332">
        <v>0</v>
      </c>
      <c r="O572" s="1332">
        <v>18432</v>
      </c>
      <c r="P572" s="1332">
        <v>18432</v>
      </c>
      <c r="Q572" s="1333"/>
      <c r="R572" s="1332">
        <v>1583413</v>
      </c>
      <c r="S572" s="1332">
        <v>49473</v>
      </c>
      <c r="T572" s="1332">
        <v>1632886</v>
      </c>
    </row>
    <row r="573" spans="1:20" x14ac:dyDescent="0.25">
      <c r="A573" s="1342">
        <v>96081</v>
      </c>
      <c r="B573" s="1340" t="s">
        <v>3192</v>
      </c>
      <c r="C573" s="1324">
        <v>5.419E-4</v>
      </c>
      <c r="D573" s="1324">
        <v>5.4920000000000001E-4</v>
      </c>
      <c r="E573" s="1332">
        <v>1479887</v>
      </c>
      <c r="F573" s="1333"/>
      <c r="G573" s="1332">
        <v>253394</v>
      </c>
      <c r="H573" s="1332">
        <v>36096</v>
      </c>
      <c r="I573" s="1332">
        <v>241197</v>
      </c>
      <c r="J573" s="1332">
        <v>7049</v>
      </c>
      <c r="K573" s="1332">
        <v>537736</v>
      </c>
      <c r="L573" s="1333"/>
      <c r="M573" s="1332">
        <v>0</v>
      </c>
      <c r="N573" s="1332">
        <v>0</v>
      </c>
      <c r="O573" s="1332">
        <v>19149</v>
      </c>
      <c r="P573" s="1332">
        <v>19149</v>
      </c>
      <c r="Q573" s="1333"/>
      <c r="R573" s="1332">
        <v>659228</v>
      </c>
      <c r="S573" s="1332">
        <v>-3621</v>
      </c>
      <c r="T573" s="1332">
        <v>655607</v>
      </c>
    </row>
    <row r="574" spans="1:20" x14ac:dyDescent="0.25">
      <c r="A574" s="1342">
        <v>96101</v>
      </c>
      <c r="B574" s="1340" t="s">
        <v>3193</v>
      </c>
      <c r="C574" s="1324">
        <v>6.4729999999999996E-4</v>
      </c>
      <c r="D574" s="1324">
        <v>7.9739999999999998E-4</v>
      </c>
      <c r="E574" s="1332">
        <v>1767726</v>
      </c>
      <c r="F574" s="1333"/>
      <c r="G574" s="1332">
        <v>302679</v>
      </c>
      <c r="H574" s="1332">
        <v>43117</v>
      </c>
      <c r="I574" s="1332">
        <v>288110</v>
      </c>
      <c r="J574" s="1332">
        <v>36198</v>
      </c>
      <c r="K574" s="1332">
        <v>670104</v>
      </c>
      <c r="L574" s="1333"/>
      <c r="M574" s="1332">
        <v>0</v>
      </c>
      <c r="N574" s="1332">
        <v>0</v>
      </c>
      <c r="O574" s="1332">
        <v>96675</v>
      </c>
      <c r="P574" s="1332">
        <v>96675</v>
      </c>
      <c r="Q574" s="1333"/>
      <c r="R574" s="1332">
        <v>787449</v>
      </c>
      <c r="S574" s="1332">
        <v>-6438</v>
      </c>
      <c r="T574" s="1332">
        <v>781011</v>
      </c>
    </row>
    <row r="575" spans="1:20" x14ac:dyDescent="0.25">
      <c r="A575" s="1342">
        <v>96102</v>
      </c>
      <c r="B575" s="1340" t="s">
        <v>4192</v>
      </c>
      <c r="C575" s="1324">
        <v>1.1600000000000001E-5</v>
      </c>
      <c r="D575" s="1324">
        <v>1.2999999999999999E-5</v>
      </c>
      <c r="E575" s="1332">
        <v>31679</v>
      </c>
      <c r="F575" s="1333"/>
      <c r="G575" s="1332">
        <v>5424</v>
      </c>
      <c r="H575" s="1332">
        <v>772</v>
      </c>
      <c r="I575" s="1332">
        <v>5163</v>
      </c>
      <c r="J575" s="1332">
        <v>0</v>
      </c>
      <c r="K575" s="1332">
        <v>11359</v>
      </c>
      <c r="L575" s="1333"/>
      <c r="M575" s="1332">
        <v>0</v>
      </c>
      <c r="N575" s="1332">
        <v>0</v>
      </c>
      <c r="O575" s="1332">
        <v>4181</v>
      </c>
      <c r="P575" s="1332">
        <v>4181</v>
      </c>
      <c r="Q575" s="1333"/>
      <c r="R575" s="1332">
        <v>14112</v>
      </c>
      <c r="S575" s="1332">
        <v>-1891</v>
      </c>
      <c r="T575" s="1332">
        <v>12221</v>
      </c>
    </row>
    <row r="576" spans="1:20" x14ac:dyDescent="0.25">
      <c r="A576" s="1342">
        <v>96111</v>
      </c>
      <c r="B576" s="1340" t="s">
        <v>3195</v>
      </c>
      <c r="C576" s="1324">
        <v>1.5809999999999999E-4</v>
      </c>
      <c r="D576" s="1324">
        <v>1.47E-4</v>
      </c>
      <c r="E576" s="1332">
        <v>431759</v>
      </c>
      <c r="F576" s="1333"/>
      <c r="G576" s="1332">
        <v>73928</v>
      </c>
      <c r="H576" s="1332">
        <v>10531</v>
      </c>
      <c r="I576" s="1332">
        <v>70370</v>
      </c>
      <c r="J576" s="1332">
        <v>25581</v>
      </c>
      <c r="K576" s="1332">
        <v>180410</v>
      </c>
      <c r="L576" s="1333"/>
      <c r="M576" s="1332">
        <v>0</v>
      </c>
      <c r="N576" s="1332">
        <v>0</v>
      </c>
      <c r="O576" s="1332">
        <v>840</v>
      </c>
      <c r="P576" s="1332">
        <v>840</v>
      </c>
      <c r="Q576" s="1333"/>
      <c r="R576" s="1332">
        <v>192331</v>
      </c>
      <c r="S576" s="1332">
        <v>7828</v>
      </c>
      <c r="T576" s="1332">
        <v>200159</v>
      </c>
    </row>
    <row r="577" spans="1:20" x14ac:dyDescent="0.25">
      <c r="A577" s="1342">
        <v>96121</v>
      </c>
      <c r="B577" s="1340" t="s">
        <v>3196</v>
      </c>
      <c r="C577" s="1324">
        <v>2.4300000000000001E-5</v>
      </c>
      <c r="D577" s="1324">
        <v>2.1699999999999999E-5</v>
      </c>
      <c r="E577" s="1332">
        <v>66361</v>
      </c>
      <c r="F577" s="1333"/>
      <c r="G577" s="1332">
        <v>11363</v>
      </c>
      <c r="H577" s="1332">
        <v>1618</v>
      </c>
      <c r="I577" s="1332">
        <v>10816</v>
      </c>
      <c r="J577" s="1332">
        <v>488</v>
      </c>
      <c r="K577" s="1332">
        <v>24285</v>
      </c>
      <c r="L577" s="1333"/>
      <c r="M577" s="1332">
        <v>0</v>
      </c>
      <c r="N577" s="1332">
        <v>0</v>
      </c>
      <c r="O577" s="1332">
        <v>1447</v>
      </c>
      <c r="P577" s="1332">
        <v>1447</v>
      </c>
      <c r="Q577" s="1333"/>
      <c r="R577" s="1332">
        <v>29561</v>
      </c>
      <c r="S577" s="1332">
        <v>-436</v>
      </c>
      <c r="T577" s="1332">
        <v>29125</v>
      </c>
    </row>
    <row r="578" spans="1:20" x14ac:dyDescent="0.25">
      <c r="A578" s="1342">
        <v>96201</v>
      </c>
      <c r="B578" s="1340" t="s">
        <v>3197</v>
      </c>
      <c r="C578" s="1324">
        <v>1.0575000000000001E-3</v>
      </c>
      <c r="D578" s="1324">
        <v>1.1052E-3</v>
      </c>
      <c r="E578" s="1332">
        <v>2887950</v>
      </c>
      <c r="F578" s="1333"/>
      <c r="G578" s="1332">
        <v>494490</v>
      </c>
      <c r="H578" s="1332">
        <v>70441</v>
      </c>
      <c r="I578" s="1332">
        <v>470688</v>
      </c>
      <c r="J578" s="1332">
        <v>0</v>
      </c>
      <c r="K578" s="1332">
        <v>1035619</v>
      </c>
      <c r="L578" s="1333"/>
      <c r="M578" s="1332">
        <v>0</v>
      </c>
      <c r="N578" s="1332">
        <v>0</v>
      </c>
      <c r="O578" s="1332">
        <v>96982</v>
      </c>
      <c r="P578" s="1332">
        <v>96982</v>
      </c>
      <c r="Q578" s="1333"/>
      <c r="R578" s="1332">
        <v>1286462</v>
      </c>
      <c r="S578" s="1332">
        <v>-40906</v>
      </c>
      <c r="T578" s="1332">
        <v>1245556</v>
      </c>
    </row>
    <row r="579" spans="1:20" x14ac:dyDescent="0.25">
      <c r="A579" s="1342">
        <v>96204</v>
      </c>
      <c r="B579" s="1340" t="s">
        <v>3198</v>
      </c>
      <c r="C579" s="1324">
        <v>1.42E-5</v>
      </c>
      <c r="D579" s="1324">
        <v>1.42E-5</v>
      </c>
      <c r="E579" s="1332">
        <v>38779</v>
      </c>
      <c r="F579" s="1333"/>
      <c r="G579" s="1332">
        <v>6640</v>
      </c>
      <c r="H579" s="1332">
        <v>945</v>
      </c>
      <c r="I579" s="1332">
        <v>6320</v>
      </c>
      <c r="J579" s="1332">
        <v>4271</v>
      </c>
      <c r="K579" s="1332">
        <v>18176</v>
      </c>
      <c r="L579" s="1333"/>
      <c r="M579" s="1332">
        <v>0</v>
      </c>
      <c r="N579" s="1332">
        <v>0</v>
      </c>
      <c r="O579" s="1332">
        <v>0</v>
      </c>
      <c r="P579" s="1332">
        <v>0</v>
      </c>
      <c r="Q579" s="1333"/>
      <c r="R579" s="1332">
        <v>17274</v>
      </c>
      <c r="S579" s="1332">
        <v>1982</v>
      </c>
      <c r="T579" s="1332">
        <v>19256</v>
      </c>
    </row>
    <row r="580" spans="1:20" x14ac:dyDescent="0.25">
      <c r="A580" s="1342">
        <v>96211</v>
      </c>
      <c r="B580" s="1340" t="s">
        <v>3199</v>
      </c>
      <c r="C580" s="1324">
        <v>2.4000000000000001E-5</v>
      </c>
      <c r="D580" s="1324">
        <v>2.8099999999999999E-5</v>
      </c>
      <c r="E580" s="1332">
        <v>65542</v>
      </c>
      <c r="F580" s="1333"/>
      <c r="G580" s="1332">
        <v>11222</v>
      </c>
      <c r="H580" s="1332">
        <v>1599</v>
      </c>
      <c r="I580" s="1332">
        <v>10682</v>
      </c>
      <c r="J580" s="1332">
        <v>5177</v>
      </c>
      <c r="K580" s="1332">
        <v>28680</v>
      </c>
      <c r="L580" s="1333"/>
      <c r="M580" s="1332">
        <v>0</v>
      </c>
      <c r="N580" s="1332">
        <v>0</v>
      </c>
      <c r="O580" s="1332">
        <v>0</v>
      </c>
      <c r="P580" s="1332">
        <v>0</v>
      </c>
      <c r="Q580" s="1333"/>
      <c r="R580" s="1332">
        <v>29196</v>
      </c>
      <c r="S580" s="1332">
        <v>2985</v>
      </c>
      <c r="T580" s="1332">
        <v>32181</v>
      </c>
    </row>
    <row r="581" spans="1:20" x14ac:dyDescent="0.25">
      <c r="A581" s="1342">
        <v>96221</v>
      </c>
      <c r="B581" s="1340" t="s">
        <v>3200</v>
      </c>
      <c r="C581" s="1324">
        <v>2.141E-4</v>
      </c>
      <c r="D581" s="1324">
        <v>2.2809999999999999E-4</v>
      </c>
      <c r="E581" s="1332">
        <v>584690</v>
      </c>
      <c r="F581" s="1333"/>
      <c r="G581" s="1332">
        <v>100114</v>
      </c>
      <c r="H581" s="1332">
        <v>14261</v>
      </c>
      <c r="I581" s="1332">
        <v>95295</v>
      </c>
      <c r="J581" s="1332">
        <v>0</v>
      </c>
      <c r="K581" s="1332">
        <v>209670</v>
      </c>
      <c r="L581" s="1333"/>
      <c r="M581" s="1332">
        <v>0</v>
      </c>
      <c r="N581" s="1332">
        <v>0</v>
      </c>
      <c r="O581" s="1332">
        <v>27197</v>
      </c>
      <c r="P581" s="1332">
        <v>27197</v>
      </c>
      <c r="Q581" s="1333"/>
      <c r="R581" s="1332">
        <v>260455</v>
      </c>
      <c r="S581" s="1332">
        <v>-11712</v>
      </c>
      <c r="T581" s="1332">
        <v>248743</v>
      </c>
    </row>
    <row r="582" spans="1:20" x14ac:dyDescent="0.25">
      <c r="A582" s="1342">
        <v>96231</v>
      </c>
      <c r="B582" s="1340" t="s">
        <v>3201</v>
      </c>
      <c r="C582" s="1324">
        <v>1.2349999999999999E-4</v>
      </c>
      <c r="D582" s="1324">
        <v>1.2540000000000001E-4</v>
      </c>
      <c r="E582" s="1332">
        <v>337269</v>
      </c>
      <c r="F582" s="1333"/>
      <c r="G582" s="1332">
        <v>57749</v>
      </c>
      <c r="H582" s="1332">
        <v>8227</v>
      </c>
      <c r="I582" s="1332">
        <v>54969</v>
      </c>
      <c r="J582" s="1332">
        <v>1276</v>
      </c>
      <c r="K582" s="1332">
        <v>122221</v>
      </c>
      <c r="L582" s="1333"/>
      <c r="M582" s="1332">
        <v>0</v>
      </c>
      <c r="N582" s="1332">
        <v>0</v>
      </c>
      <c r="O582" s="1332">
        <v>25769</v>
      </c>
      <c r="P582" s="1332">
        <v>25769</v>
      </c>
      <c r="Q582" s="1333"/>
      <c r="R582" s="1332">
        <v>150239</v>
      </c>
      <c r="S582" s="1332">
        <v>-11075</v>
      </c>
      <c r="T582" s="1332">
        <v>139164</v>
      </c>
    </row>
    <row r="583" spans="1:20" x14ac:dyDescent="0.25">
      <c r="A583" s="1342">
        <v>96241</v>
      </c>
      <c r="B583" s="1340" t="s">
        <v>3202</v>
      </c>
      <c r="C583" s="1324">
        <v>6.4499999999999996E-5</v>
      </c>
      <c r="D583" s="1324">
        <v>5.4299999999999998E-5</v>
      </c>
      <c r="E583" s="1332">
        <v>176144</v>
      </c>
      <c r="F583" s="1333"/>
      <c r="G583" s="1332">
        <v>30160</v>
      </c>
      <c r="H583" s="1332">
        <v>4296</v>
      </c>
      <c r="I583" s="1332">
        <v>28709</v>
      </c>
      <c r="J583" s="1332">
        <v>6915</v>
      </c>
      <c r="K583" s="1332">
        <v>70080</v>
      </c>
      <c r="L583" s="1333"/>
      <c r="M583" s="1332">
        <v>0</v>
      </c>
      <c r="N583" s="1332">
        <v>0</v>
      </c>
      <c r="O583" s="1332">
        <v>1315</v>
      </c>
      <c r="P583" s="1332">
        <v>1315</v>
      </c>
      <c r="Q583" s="1333"/>
      <c r="R583" s="1332">
        <v>78465</v>
      </c>
      <c r="S583" s="1332">
        <v>1042</v>
      </c>
      <c r="T583" s="1332">
        <v>79507</v>
      </c>
    </row>
    <row r="584" spans="1:20" x14ac:dyDescent="0.25">
      <c r="A584" s="1342">
        <v>96251</v>
      </c>
      <c r="B584" s="1340" t="s">
        <v>3203</v>
      </c>
      <c r="C584" s="1324">
        <v>1.004E-4</v>
      </c>
      <c r="D584" s="1324">
        <v>1.011E-4</v>
      </c>
      <c r="E584" s="1332">
        <v>274185</v>
      </c>
      <c r="F584" s="1333"/>
      <c r="G584" s="1332">
        <v>46947</v>
      </c>
      <c r="H584" s="1332">
        <v>6688</v>
      </c>
      <c r="I584" s="1332">
        <v>44688</v>
      </c>
      <c r="J584" s="1332">
        <v>3100</v>
      </c>
      <c r="K584" s="1332">
        <v>101423</v>
      </c>
      <c r="L584" s="1333"/>
      <c r="M584" s="1332">
        <v>0</v>
      </c>
      <c r="N584" s="1332">
        <v>0</v>
      </c>
      <c r="O584" s="1332">
        <v>11724</v>
      </c>
      <c r="P584" s="1332">
        <v>11724</v>
      </c>
      <c r="Q584" s="1333"/>
      <c r="R584" s="1332">
        <v>122138</v>
      </c>
      <c r="S584" s="1332">
        <v>-7206</v>
      </c>
      <c r="T584" s="1332">
        <v>114932</v>
      </c>
    </row>
    <row r="585" spans="1:20" x14ac:dyDescent="0.25">
      <c r="A585" s="1342">
        <v>96301</v>
      </c>
      <c r="B585" s="1340" t="s">
        <v>3204</v>
      </c>
      <c r="C585" s="1324">
        <v>4.6904E-3</v>
      </c>
      <c r="D585" s="1324">
        <v>4.4197999999999998E-3</v>
      </c>
      <c r="E585" s="1332">
        <v>12809117</v>
      </c>
      <c r="F585" s="1333"/>
      <c r="G585" s="1332">
        <v>2193245</v>
      </c>
      <c r="H585" s="1332">
        <v>312433</v>
      </c>
      <c r="I585" s="1332">
        <v>2087674</v>
      </c>
      <c r="J585" s="1332">
        <v>171827</v>
      </c>
      <c r="K585" s="1332">
        <v>4765179</v>
      </c>
      <c r="L585" s="1333"/>
      <c r="M585" s="1332">
        <v>0</v>
      </c>
      <c r="N585" s="1332">
        <v>0</v>
      </c>
      <c r="O585" s="1332">
        <v>76023</v>
      </c>
      <c r="P585" s="1332">
        <v>76023</v>
      </c>
      <c r="Q585" s="1333"/>
      <c r="R585" s="1332">
        <v>5705933</v>
      </c>
      <c r="S585" s="1332">
        <v>19036</v>
      </c>
      <c r="T585" s="1332">
        <v>5724969</v>
      </c>
    </row>
    <row r="586" spans="1:20" x14ac:dyDescent="0.25">
      <c r="A586" s="1342">
        <v>96302</v>
      </c>
      <c r="B586" s="1340" t="s">
        <v>3205</v>
      </c>
      <c r="C586" s="1324">
        <v>2.3600000000000001E-5</v>
      </c>
      <c r="D586" s="1324">
        <v>2.3499999999999999E-5</v>
      </c>
      <c r="E586" s="1332">
        <v>64450</v>
      </c>
      <c r="F586" s="1333"/>
      <c r="G586" s="1332">
        <v>11035</v>
      </c>
      <c r="H586" s="1332">
        <v>1572</v>
      </c>
      <c r="I586" s="1332">
        <v>10504</v>
      </c>
      <c r="J586" s="1332">
        <v>4516</v>
      </c>
      <c r="K586" s="1332">
        <v>27627</v>
      </c>
      <c r="L586" s="1333"/>
      <c r="M586" s="1332">
        <v>0</v>
      </c>
      <c r="N586" s="1332">
        <v>0</v>
      </c>
      <c r="O586" s="1332">
        <v>560</v>
      </c>
      <c r="P586" s="1332">
        <v>560</v>
      </c>
      <c r="Q586" s="1333"/>
      <c r="R586" s="1332">
        <v>28710</v>
      </c>
      <c r="S586" s="1332">
        <v>2447</v>
      </c>
      <c r="T586" s="1332">
        <v>31157</v>
      </c>
    </row>
    <row r="587" spans="1:20" x14ac:dyDescent="0.25">
      <c r="A587" s="1342">
        <v>96304</v>
      </c>
      <c r="B587" s="1340" t="s">
        <v>3206</v>
      </c>
      <c r="C587" s="1324">
        <v>4.3900000000000003E-5</v>
      </c>
      <c r="D587" s="1324">
        <v>4.7500000000000003E-5</v>
      </c>
      <c r="E587" s="1332">
        <v>119887</v>
      </c>
      <c r="F587" s="1333"/>
      <c r="G587" s="1332">
        <v>20528</v>
      </c>
      <c r="H587" s="1332">
        <v>2925</v>
      </c>
      <c r="I587" s="1332">
        <v>19540</v>
      </c>
      <c r="J587" s="1332">
        <v>8818</v>
      </c>
      <c r="K587" s="1332">
        <v>51811</v>
      </c>
      <c r="L587" s="1333"/>
      <c r="M587" s="1332">
        <v>0</v>
      </c>
      <c r="N587" s="1332">
        <v>0</v>
      </c>
      <c r="O587" s="1332">
        <v>489</v>
      </c>
      <c r="P587" s="1332">
        <v>489</v>
      </c>
      <c r="Q587" s="1333"/>
      <c r="R587" s="1332">
        <v>53405</v>
      </c>
      <c r="S587" s="1332">
        <v>4307</v>
      </c>
      <c r="T587" s="1332">
        <v>57712</v>
      </c>
    </row>
    <row r="588" spans="1:20" ht="30" x14ac:dyDescent="0.25">
      <c r="A588" s="1342">
        <v>96305</v>
      </c>
      <c r="B588" s="1340" t="s">
        <v>3207</v>
      </c>
      <c r="C588" s="1324">
        <v>4.1199999999999999E-5</v>
      </c>
      <c r="D588" s="1324">
        <v>4.1100000000000003E-5</v>
      </c>
      <c r="E588" s="1332">
        <v>112514</v>
      </c>
      <c r="F588" s="1333"/>
      <c r="G588" s="1332">
        <v>19265</v>
      </c>
      <c r="H588" s="1332">
        <v>2745</v>
      </c>
      <c r="I588" s="1332">
        <v>18338</v>
      </c>
      <c r="J588" s="1332">
        <v>17174</v>
      </c>
      <c r="K588" s="1332">
        <v>57522</v>
      </c>
      <c r="L588" s="1333"/>
      <c r="M588" s="1332">
        <v>0</v>
      </c>
      <c r="N588" s="1332">
        <v>0</v>
      </c>
      <c r="O588" s="1332">
        <v>0</v>
      </c>
      <c r="P588" s="1332">
        <v>0</v>
      </c>
      <c r="Q588" s="1333"/>
      <c r="R588" s="1332">
        <v>50120</v>
      </c>
      <c r="S588" s="1332">
        <v>8111</v>
      </c>
      <c r="T588" s="1332">
        <v>58231</v>
      </c>
    </row>
    <row r="589" spans="1:20" x14ac:dyDescent="0.25">
      <c r="A589" s="1342">
        <v>96310</v>
      </c>
      <c r="B589" s="1340" t="s">
        <v>3208</v>
      </c>
      <c r="C589" s="1324">
        <v>4.49E-5</v>
      </c>
      <c r="D589" s="1324">
        <v>5.02E-5</v>
      </c>
      <c r="E589" s="1332">
        <v>122618</v>
      </c>
      <c r="F589" s="1333"/>
      <c r="G589" s="1332">
        <v>20995</v>
      </c>
      <c r="H589" s="1332">
        <v>2991</v>
      </c>
      <c r="I589" s="1332">
        <v>19985</v>
      </c>
      <c r="J589" s="1332">
        <v>3610</v>
      </c>
      <c r="K589" s="1332">
        <v>47581</v>
      </c>
      <c r="L589" s="1333"/>
      <c r="M589" s="1332">
        <v>0</v>
      </c>
      <c r="N589" s="1332">
        <v>0</v>
      </c>
      <c r="O589" s="1332">
        <v>4525</v>
      </c>
      <c r="P589" s="1332">
        <v>4525</v>
      </c>
      <c r="Q589" s="1333"/>
      <c r="R589" s="1332">
        <v>54621</v>
      </c>
      <c r="S589" s="1332">
        <v>127</v>
      </c>
      <c r="T589" s="1332">
        <v>54748</v>
      </c>
    </row>
    <row r="590" spans="1:20" x14ac:dyDescent="0.25">
      <c r="A590" s="1342">
        <v>96311</v>
      </c>
      <c r="B590" s="1340" t="s">
        <v>3209</v>
      </c>
      <c r="C590" s="1324">
        <v>1.3112E-3</v>
      </c>
      <c r="D590" s="1324">
        <v>1.3328000000000001E-3</v>
      </c>
      <c r="E590" s="1332">
        <v>3580785</v>
      </c>
      <c r="F590" s="1333"/>
      <c r="G590" s="1332">
        <v>613121</v>
      </c>
      <c r="H590" s="1332">
        <v>87340</v>
      </c>
      <c r="I590" s="1332">
        <v>583609</v>
      </c>
      <c r="J590" s="1332">
        <v>0</v>
      </c>
      <c r="K590" s="1332">
        <v>1284070</v>
      </c>
      <c r="L590" s="1333"/>
      <c r="M590" s="1332">
        <v>0</v>
      </c>
      <c r="N590" s="1332">
        <v>0</v>
      </c>
      <c r="O590" s="1332">
        <v>106196</v>
      </c>
      <c r="P590" s="1332">
        <v>106196</v>
      </c>
      <c r="Q590" s="1333"/>
      <c r="R590" s="1332">
        <v>1595092</v>
      </c>
      <c r="S590" s="1332">
        <v>-58466</v>
      </c>
      <c r="T590" s="1332">
        <v>1536626</v>
      </c>
    </row>
    <row r="591" spans="1:20" x14ac:dyDescent="0.25">
      <c r="A591" s="1342">
        <v>96312</v>
      </c>
      <c r="B591" s="1340" t="s">
        <v>3210</v>
      </c>
      <c r="C591" s="1324">
        <v>5.8000000000000004E-6</v>
      </c>
      <c r="D591" s="1324">
        <v>6.1E-6</v>
      </c>
      <c r="E591" s="1332">
        <v>15839</v>
      </c>
      <c r="F591" s="1333"/>
      <c r="G591" s="1332">
        <v>2712</v>
      </c>
      <c r="H591" s="1332">
        <v>386</v>
      </c>
      <c r="I591" s="1332">
        <v>2582</v>
      </c>
      <c r="J591" s="1332">
        <v>3816</v>
      </c>
      <c r="K591" s="1332">
        <v>9496</v>
      </c>
      <c r="L591" s="1333"/>
      <c r="M591" s="1332">
        <v>0</v>
      </c>
      <c r="N591" s="1332">
        <v>0</v>
      </c>
      <c r="O591" s="1332">
        <v>5173</v>
      </c>
      <c r="P591" s="1332">
        <v>5173</v>
      </c>
      <c r="Q591" s="1333"/>
      <c r="R591" s="1332">
        <v>7056</v>
      </c>
      <c r="S591" s="1332">
        <v>76</v>
      </c>
      <c r="T591" s="1332">
        <v>7132</v>
      </c>
    </row>
    <row r="592" spans="1:20" x14ac:dyDescent="0.25">
      <c r="A592" s="1342">
        <v>96318</v>
      </c>
      <c r="B592" s="1340" t="s">
        <v>3211</v>
      </c>
      <c r="C592" s="1324">
        <v>2.2319000000000002E-3</v>
      </c>
      <c r="D592" s="1324">
        <v>2.2098999999999999E-3</v>
      </c>
      <c r="E592" s="1332">
        <v>6095145</v>
      </c>
      <c r="F592" s="1333"/>
      <c r="G592" s="1332">
        <v>1043643</v>
      </c>
      <c r="H592" s="1332">
        <v>148669</v>
      </c>
      <c r="I592" s="1332">
        <v>993408</v>
      </c>
      <c r="J592" s="1332">
        <v>2592518</v>
      </c>
      <c r="K592" s="1332">
        <v>4778238</v>
      </c>
      <c r="L592" s="1333"/>
      <c r="M592" s="1332">
        <v>0</v>
      </c>
      <c r="N592" s="1332">
        <v>0</v>
      </c>
      <c r="O592" s="1332">
        <v>0</v>
      </c>
      <c r="P592" s="1332">
        <v>0</v>
      </c>
      <c r="Q592" s="1333"/>
      <c r="R592" s="1332">
        <v>2715135</v>
      </c>
      <c r="S592" s="1332">
        <v>2724340</v>
      </c>
      <c r="T592" s="1332">
        <v>5439475</v>
      </c>
    </row>
    <row r="593" spans="1:20" x14ac:dyDescent="0.25">
      <c r="A593" s="1342">
        <v>96321</v>
      </c>
      <c r="B593" s="1340" t="s">
        <v>3212</v>
      </c>
      <c r="C593" s="1324">
        <v>3.65E-5</v>
      </c>
      <c r="D593" s="1324">
        <v>3.7299999999999999E-5</v>
      </c>
      <c r="E593" s="1332">
        <v>99679</v>
      </c>
      <c r="F593" s="1333"/>
      <c r="G593" s="1332">
        <v>17068</v>
      </c>
      <c r="H593" s="1332">
        <v>2431</v>
      </c>
      <c r="I593" s="1332">
        <v>16246</v>
      </c>
      <c r="J593" s="1332">
        <v>1536</v>
      </c>
      <c r="K593" s="1332">
        <v>37281</v>
      </c>
      <c r="L593" s="1333"/>
      <c r="M593" s="1332">
        <v>0</v>
      </c>
      <c r="N593" s="1332">
        <v>0</v>
      </c>
      <c r="O593" s="1332">
        <v>643</v>
      </c>
      <c r="P593" s="1332">
        <v>643</v>
      </c>
      <c r="Q593" s="1333"/>
      <c r="R593" s="1332">
        <v>44403</v>
      </c>
      <c r="S593" s="1332">
        <v>78</v>
      </c>
      <c r="T593" s="1332">
        <v>44481</v>
      </c>
    </row>
    <row r="594" spans="1:20" x14ac:dyDescent="0.25">
      <c r="A594" s="1342">
        <v>96331</v>
      </c>
      <c r="B594" s="1340" t="s">
        <v>3213</v>
      </c>
      <c r="C594" s="1324">
        <v>7.4430000000000004E-4</v>
      </c>
      <c r="D594" s="1324">
        <v>7.0220000000000005E-4</v>
      </c>
      <c r="E594" s="1332">
        <v>2032625</v>
      </c>
      <c r="F594" s="1333"/>
      <c r="G594" s="1332">
        <v>348037</v>
      </c>
      <c r="H594" s="1332">
        <v>49578</v>
      </c>
      <c r="I594" s="1332">
        <v>331284</v>
      </c>
      <c r="J594" s="1332">
        <v>0</v>
      </c>
      <c r="K594" s="1332">
        <v>728899</v>
      </c>
      <c r="L594" s="1333"/>
      <c r="M594" s="1332">
        <v>0</v>
      </c>
      <c r="N594" s="1332">
        <v>0</v>
      </c>
      <c r="O594" s="1332">
        <v>45892</v>
      </c>
      <c r="P594" s="1332">
        <v>45892</v>
      </c>
      <c r="Q594" s="1333"/>
      <c r="R594" s="1332">
        <v>905451</v>
      </c>
      <c r="S594" s="1332">
        <v>-23208</v>
      </c>
      <c r="T594" s="1332">
        <v>882243</v>
      </c>
    </row>
    <row r="595" spans="1:20" x14ac:dyDescent="0.25">
      <c r="A595" s="1342">
        <v>96341</v>
      </c>
      <c r="B595" s="1340" t="s">
        <v>3214</v>
      </c>
      <c r="C595" s="1324">
        <v>7.8200000000000003E-5</v>
      </c>
      <c r="D595" s="1324">
        <v>9.1399999999999999E-5</v>
      </c>
      <c r="E595" s="1332">
        <v>213558</v>
      </c>
      <c r="F595" s="1333"/>
      <c r="G595" s="1332">
        <v>36567</v>
      </c>
      <c r="H595" s="1332">
        <v>5209</v>
      </c>
      <c r="I595" s="1332">
        <v>34806</v>
      </c>
      <c r="J595" s="1332">
        <v>2758</v>
      </c>
      <c r="K595" s="1332">
        <v>79340</v>
      </c>
      <c r="L595" s="1333"/>
      <c r="M595" s="1332">
        <v>0</v>
      </c>
      <c r="N595" s="1332">
        <v>0</v>
      </c>
      <c r="O595" s="1332">
        <v>16316</v>
      </c>
      <c r="P595" s="1332">
        <v>16316</v>
      </c>
      <c r="Q595" s="1333"/>
      <c r="R595" s="1332">
        <v>95131</v>
      </c>
      <c r="S595" s="1332">
        <v>-491</v>
      </c>
      <c r="T595" s="1332">
        <v>94640</v>
      </c>
    </row>
    <row r="596" spans="1:20" x14ac:dyDescent="0.25">
      <c r="A596" s="1342">
        <v>96351</v>
      </c>
      <c r="B596" s="1340" t="s">
        <v>3215</v>
      </c>
      <c r="C596" s="1324">
        <v>1.0093000000000001E-3</v>
      </c>
      <c r="D596" s="1324">
        <v>1.0456E-3</v>
      </c>
      <c r="E596" s="1332">
        <v>2756320</v>
      </c>
      <c r="F596" s="1333"/>
      <c r="G596" s="1332">
        <v>471952</v>
      </c>
      <c r="H596" s="1332">
        <v>67231</v>
      </c>
      <c r="I596" s="1332">
        <v>449234</v>
      </c>
      <c r="J596" s="1332">
        <v>0</v>
      </c>
      <c r="K596" s="1332">
        <v>988417</v>
      </c>
      <c r="L596" s="1333"/>
      <c r="M596" s="1332">
        <v>0</v>
      </c>
      <c r="N596" s="1332">
        <v>0</v>
      </c>
      <c r="O596" s="1332">
        <v>45454</v>
      </c>
      <c r="P596" s="1332">
        <v>45454</v>
      </c>
      <c r="Q596" s="1333"/>
      <c r="R596" s="1332">
        <v>1227827</v>
      </c>
      <c r="S596" s="1332">
        <v>-17713</v>
      </c>
      <c r="T596" s="1332">
        <v>1210114</v>
      </c>
    </row>
    <row r="597" spans="1:20" x14ac:dyDescent="0.25">
      <c r="A597" s="1342">
        <v>96361</v>
      </c>
      <c r="B597" s="1340" t="s">
        <v>3216</v>
      </c>
      <c r="C597" s="1324">
        <v>4.1100000000000003E-5</v>
      </c>
      <c r="D597" s="1324">
        <v>4.9400000000000001E-5</v>
      </c>
      <c r="E597" s="1332">
        <v>112241</v>
      </c>
      <c r="F597" s="1333"/>
      <c r="G597" s="1332">
        <v>19218</v>
      </c>
      <c r="H597" s="1332">
        <v>2738</v>
      </c>
      <c r="I597" s="1332">
        <v>18293</v>
      </c>
      <c r="J597" s="1332">
        <v>714</v>
      </c>
      <c r="K597" s="1332">
        <v>40963</v>
      </c>
      <c r="L597" s="1333"/>
      <c r="M597" s="1332">
        <v>0</v>
      </c>
      <c r="N597" s="1332">
        <v>0</v>
      </c>
      <c r="O597" s="1332">
        <v>8246</v>
      </c>
      <c r="P597" s="1332">
        <v>8246</v>
      </c>
      <c r="Q597" s="1333"/>
      <c r="R597" s="1332">
        <v>49999</v>
      </c>
      <c r="S597" s="1332">
        <v>-1925</v>
      </c>
      <c r="T597" s="1332">
        <v>48074</v>
      </c>
    </row>
    <row r="598" spans="1:20" x14ac:dyDescent="0.25">
      <c r="A598" s="1342">
        <v>96371</v>
      </c>
      <c r="B598" s="1340" t="s">
        <v>3217</v>
      </c>
      <c r="C598" s="1324">
        <v>1.5100000000000001E-4</v>
      </c>
      <c r="D598" s="1324">
        <v>1.4200000000000001E-4</v>
      </c>
      <c r="E598" s="1332">
        <v>412369</v>
      </c>
      <c r="F598" s="1333"/>
      <c r="G598" s="1332">
        <v>70608</v>
      </c>
      <c r="H598" s="1332">
        <v>10058</v>
      </c>
      <c r="I598" s="1332">
        <v>67209</v>
      </c>
      <c r="J598" s="1332">
        <v>7242</v>
      </c>
      <c r="K598" s="1332">
        <v>155117</v>
      </c>
      <c r="L598" s="1333"/>
      <c r="M598" s="1332">
        <v>0</v>
      </c>
      <c r="N598" s="1332">
        <v>0</v>
      </c>
      <c r="O598" s="1332">
        <v>10278</v>
      </c>
      <c r="P598" s="1332">
        <v>10278</v>
      </c>
      <c r="Q598" s="1333"/>
      <c r="R598" s="1332">
        <v>183693</v>
      </c>
      <c r="S598" s="1332">
        <v>-3983</v>
      </c>
      <c r="T598" s="1332">
        <v>179710</v>
      </c>
    </row>
    <row r="599" spans="1:20" x14ac:dyDescent="0.25">
      <c r="A599" s="1342">
        <v>96381</v>
      </c>
      <c r="B599" s="1340" t="s">
        <v>3218</v>
      </c>
      <c r="C599" s="1324">
        <v>3.2799999999999998E-5</v>
      </c>
      <c r="D599" s="1324">
        <v>3.5200000000000002E-5</v>
      </c>
      <c r="E599" s="1332">
        <v>89574</v>
      </c>
      <c r="F599" s="1333"/>
      <c r="G599" s="1332">
        <v>15337</v>
      </c>
      <c r="H599" s="1332">
        <v>2184</v>
      </c>
      <c r="I599" s="1332">
        <v>14599</v>
      </c>
      <c r="J599" s="1332">
        <v>1260</v>
      </c>
      <c r="K599" s="1332">
        <v>33380</v>
      </c>
      <c r="L599" s="1333"/>
      <c r="M599" s="1332">
        <v>0</v>
      </c>
      <c r="N599" s="1332">
        <v>0</v>
      </c>
      <c r="O599" s="1332">
        <v>1913</v>
      </c>
      <c r="P599" s="1332">
        <v>1913</v>
      </c>
      <c r="Q599" s="1333"/>
      <c r="R599" s="1332">
        <v>39902</v>
      </c>
      <c r="S599" s="1332">
        <v>-662</v>
      </c>
      <c r="T599" s="1332">
        <v>39240</v>
      </c>
    </row>
    <row r="600" spans="1:20" x14ac:dyDescent="0.25">
      <c r="A600" s="1342">
        <v>96391</v>
      </c>
      <c r="B600" s="1340" t="s">
        <v>3219</v>
      </c>
      <c r="C600" s="1324">
        <v>2.0560000000000001E-4</v>
      </c>
      <c r="D600" s="1324">
        <v>2.1350000000000001E-4</v>
      </c>
      <c r="E600" s="1332">
        <v>561478</v>
      </c>
      <c r="F600" s="1333"/>
      <c r="G600" s="1332">
        <v>96139</v>
      </c>
      <c r="H600" s="1332">
        <v>13695</v>
      </c>
      <c r="I600" s="1332">
        <v>91512</v>
      </c>
      <c r="J600" s="1332">
        <v>0</v>
      </c>
      <c r="K600" s="1332">
        <v>201346</v>
      </c>
      <c r="L600" s="1333"/>
      <c r="M600" s="1332">
        <v>0</v>
      </c>
      <c r="N600" s="1332">
        <v>0</v>
      </c>
      <c r="O600" s="1332">
        <v>33780</v>
      </c>
      <c r="P600" s="1332">
        <v>33780</v>
      </c>
      <c r="Q600" s="1333"/>
      <c r="R600" s="1332">
        <v>250115</v>
      </c>
      <c r="S600" s="1332">
        <v>-15455</v>
      </c>
      <c r="T600" s="1332">
        <v>234660</v>
      </c>
    </row>
    <row r="601" spans="1:20" x14ac:dyDescent="0.25">
      <c r="A601" s="1342">
        <v>96401</v>
      </c>
      <c r="B601" s="1340" t="s">
        <v>3220</v>
      </c>
      <c r="C601" s="1324">
        <v>4.3956000000000004E-3</v>
      </c>
      <c r="D601" s="1324">
        <v>4.4764999999999996E-3</v>
      </c>
      <c r="E601" s="1332">
        <v>12004041</v>
      </c>
      <c r="F601" s="1333"/>
      <c r="G601" s="1332">
        <v>2055396</v>
      </c>
      <c r="H601" s="1332">
        <v>292795</v>
      </c>
      <c r="I601" s="1332">
        <v>1956460</v>
      </c>
      <c r="J601" s="1332">
        <v>0</v>
      </c>
      <c r="K601" s="1332">
        <v>4304651</v>
      </c>
      <c r="L601" s="1333"/>
      <c r="M601" s="1332">
        <v>0</v>
      </c>
      <c r="N601" s="1332">
        <v>0</v>
      </c>
      <c r="O601" s="1332">
        <v>164633</v>
      </c>
      <c r="P601" s="1332">
        <v>164633</v>
      </c>
      <c r="Q601" s="1333"/>
      <c r="R601" s="1332">
        <v>5347305</v>
      </c>
      <c r="S601" s="1332">
        <v>-64735</v>
      </c>
      <c r="T601" s="1332">
        <v>5282570</v>
      </c>
    </row>
    <row r="602" spans="1:20" x14ac:dyDescent="0.25">
      <c r="A602" s="1342">
        <v>96404</v>
      </c>
      <c r="B602" s="1340" t="s">
        <v>3221</v>
      </c>
      <c r="C602" s="1324">
        <v>9.8300000000000004E-5</v>
      </c>
      <c r="D602" s="1324">
        <v>9.98E-5</v>
      </c>
      <c r="E602" s="1332">
        <v>268450</v>
      </c>
      <c r="F602" s="1333"/>
      <c r="G602" s="1332">
        <v>45965</v>
      </c>
      <c r="H602" s="1332">
        <v>6548</v>
      </c>
      <c r="I602" s="1332">
        <v>43753</v>
      </c>
      <c r="J602" s="1332">
        <v>26376</v>
      </c>
      <c r="K602" s="1332">
        <v>122642</v>
      </c>
      <c r="L602" s="1333"/>
      <c r="M602" s="1332">
        <v>0</v>
      </c>
      <c r="N602" s="1332">
        <v>0</v>
      </c>
      <c r="O602" s="1332">
        <v>0</v>
      </c>
      <c r="P602" s="1332">
        <v>0</v>
      </c>
      <c r="Q602" s="1333"/>
      <c r="R602" s="1332">
        <v>119583</v>
      </c>
      <c r="S602" s="1332">
        <v>13291</v>
      </c>
      <c r="T602" s="1332">
        <v>132874</v>
      </c>
    </row>
    <row r="603" spans="1:20" x14ac:dyDescent="0.25">
      <c r="A603" s="1342">
        <v>96405</v>
      </c>
      <c r="B603" s="1340" t="s">
        <v>3222</v>
      </c>
      <c r="C603" s="1324">
        <v>1.4569999999999999E-4</v>
      </c>
      <c r="D603" s="1324">
        <v>1.3219999999999999E-4</v>
      </c>
      <c r="E603" s="1332">
        <v>397895</v>
      </c>
      <c r="F603" s="1333"/>
      <c r="G603" s="1332">
        <v>68130</v>
      </c>
      <c r="H603" s="1332">
        <v>9705</v>
      </c>
      <c r="I603" s="1332">
        <v>64850</v>
      </c>
      <c r="J603" s="1332">
        <v>25301</v>
      </c>
      <c r="K603" s="1332">
        <v>167986</v>
      </c>
      <c r="L603" s="1333"/>
      <c r="M603" s="1332">
        <v>0</v>
      </c>
      <c r="N603" s="1332">
        <v>0</v>
      </c>
      <c r="O603" s="1332">
        <v>1039</v>
      </c>
      <c r="P603" s="1332">
        <v>1039</v>
      </c>
      <c r="Q603" s="1333"/>
      <c r="R603" s="1332">
        <v>177246</v>
      </c>
      <c r="S603" s="1332">
        <v>10392</v>
      </c>
      <c r="T603" s="1332">
        <v>187638</v>
      </c>
    </row>
    <row r="604" spans="1:20" x14ac:dyDescent="0.25">
      <c r="A604" s="1342">
        <v>96411</v>
      </c>
      <c r="B604" s="1340" t="s">
        <v>3223</v>
      </c>
      <c r="C604" s="1324">
        <v>7.0900000000000002E-5</v>
      </c>
      <c r="D604" s="1324">
        <v>7.1899999999999999E-5</v>
      </c>
      <c r="E604" s="1332">
        <v>193622</v>
      </c>
      <c r="F604" s="1333"/>
      <c r="G604" s="1332">
        <v>33153</v>
      </c>
      <c r="H604" s="1332">
        <v>4723</v>
      </c>
      <c r="I604" s="1332">
        <v>31557</v>
      </c>
      <c r="J604" s="1332">
        <v>3500</v>
      </c>
      <c r="K604" s="1332">
        <v>72933</v>
      </c>
      <c r="L604" s="1333"/>
      <c r="M604" s="1332">
        <v>0</v>
      </c>
      <c r="N604" s="1332">
        <v>0</v>
      </c>
      <c r="O604" s="1332">
        <v>6794</v>
      </c>
      <c r="P604" s="1332">
        <v>6794</v>
      </c>
      <c r="Q604" s="1333"/>
      <c r="R604" s="1332">
        <v>86251</v>
      </c>
      <c r="S604" s="1332">
        <v>1393</v>
      </c>
      <c r="T604" s="1332">
        <v>87644</v>
      </c>
    </row>
    <row r="605" spans="1:20" x14ac:dyDescent="0.25">
      <c r="A605" s="1342">
        <v>96421</v>
      </c>
      <c r="B605" s="1340" t="s">
        <v>3224</v>
      </c>
      <c r="C605" s="1324">
        <v>3.8010000000000002E-4</v>
      </c>
      <c r="D605" s="1324">
        <v>4.2880000000000001E-4</v>
      </c>
      <c r="E605" s="1332">
        <v>1038023</v>
      </c>
      <c r="F605" s="1333"/>
      <c r="G605" s="1332">
        <v>177736</v>
      </c>
      <c r="H605" s="1332">
        <v>25319</v>
      </c>
      <c r="I605" s="1332">
        <v>169181</v>
      </c>
      <c r="J605" s="1332">
        <v>0</v>
      </c>
      <c r="K605" s="1332">
        <v>372236</v>
      </c>
      <c r="L605" s="1333"/>
      <c r="M605" s="1332">
        <v>0</v>
      </c>
      <c r="N605" s="1332">
        <v>0</v>
      </c>
      <c r="O605" s="1332">
        <v>89739</v>
      </c>
      <c r="P605" s="1332">
        <v>89739</v>
      </c>
      <c r="Q605" s="1333"/>
      <c r="R605" s="1332">
        <v>462397</v>
      </c>
      <c r="S605" s="1332">
        <v>-42723</v>
      </c>
      <c r="T605" s="1332">
        <v>419674</v>
      </c>
    </row>
    <row r="606" spans="1:20" x14ac:dyDescent="0.25">
      <c r="A606" s="1342">
        <v>96431</v>
      </c>
      <c r="B606" s="1340" t="s">
        <v>3225</v>
      </c>
      <c r="C606" s="1324">
        <v>3.3599999999999997E-5</v>
      </c>
      <c r="D606" s="1324">
        <v>3.0599999999999998E-5</v>
      </c>
      <c r="E606" s="1332">
        <v>91759</v>
      </c>
      <c r="F606" s="1333"/>
      <c r="G606" s="1332">
        <v>15711</v>
      </c>
      <c r="H606" s="1332">
        <v>2238</v>
      </c>
      <c r="I606" s="1332">
        <v>14955</v>
      </c>
      <c r="J606" s="1332">
        <v>9792</v>
      </c>
      <c r="K606" s="1332">
        <v>42696</v>
      </c>
      <c r="L606" s="1333"/>
      <c r="M606" s="1332">
        <v>0</v>
      </c>
      <c r="N606" s="1332">
        <v>0</v>
      </c>
      <c r="O606" s="1332">
        <v>6223</v>
      </c>
      <c r="P606" s="1332">
        <v>6223</v>
      </c>
      <c r="Q606" s="1333"/>
      <c r="R606" s="1332">
        <v>40875</v>
      </c>
      <c r="S606" s="1332">
        <v>812</v>
      </c>
      <c r="T606" s="1332">
        <v>41687</v>
      </c>
    </row>
    <row r="607" spans="1:20" x14ac:dyDescent="0.25">
      <c r="A607" s="1342">
        <v>96441</v>
      </c>
      <c r="B607" s="1340" t="s">
        <v>3226</v>
      </c>
      <c r="C607" s="1324">
        <v>1.8499999999999999E-5</v>
      </c>
      <c r="D607" s="1324">
        <v>2.8E-5</v>
      </c>
      <c r="E607" s="1332">
        <v>50522</v>
      </c>
      <c r="F607" s="1333"/>
      <c r="G607" s="1332">
        <v>8651</v>
      </c>
      <c r="H607" s="1332">
        <v>1232</v>
      </c>
      <c r="I607" s="1332">
        <v>8234</v>
      </c>
      <c r="J607" s="1332">
        <v>1604</v>
      </c>
      <c r="K607" s="1332">
        <v>19721</v>
      </c>
      <c r="L607" s="1333"/>
      <c r="M607" s="1332">
        <v>0</v>
      </c>
      <c r="N607" s="1332">
        <v>0</v>
      </c>
      <c r="O607" s="1332">
        <v>4025</v>
      </c>
      <c r="P607" s="1332">
        <v>4025</v>
      </c>
      <c r="Q607" s="1333"/>
      <c r="R607" s="1332">
        <v>22505</v>
      </c>
      <c r="S607" s="1332">
        <v>1757</v>
      </c>
      <c r="T607" s="1332">
        <v>24262</v>
      </c>
    </row>
    <row r="608" spans="1:20" x14ac:dyDescent="0.25">
      <c r="A608" s="1342">
        <v>96451</v>
      </c>
      <c r="B608" s="1340" t="s">
        <v>3227</v>
      </c>
      <c r="C608" s="1324">
        <v>7.4000000000000003E-6</v>
      </c>
      <c r="D608" s="1324">
        <v>1.8700000000000001E-5</v>
      </c>
      <c r="E608" s="1332">
        <v>20209</v>
      </c>
      <c r="F608" s="1333"/>
      <c r="G608" s="1332">
        <v>3460</v>
      </c>
      <c r="H608" s="1332">
        <v>493</v>
      </c>
      <c r="I608" s="1332">
        <v>3294</v>
      </c>
      <c r="J608" s="1332">
        <v>2684</v>
      </c>
      <c r="K608" s="1332">
        <v>9931</v>
      </c>
      <c r="L608" s="1333"/>
      <c r="M608" s="1332">
        <v>0</v>
      </c>
      <c r="N608" s="1332">
        <v>0</v>
      </c>
      <c r="O608" s="1332">
        <v>7497</v>
      </c>
      <c r="P608" s="1332">
        <v>7497</v>
      </c>
      <c r="Q608" s="1333"/>
      <c r="R608" s="1332">
        <v>9002</v>
      </c>
      <c r="S608" s="1332">
        <v>-545</v>
      </c>
      <c r="T608" s="1332">
        <v>8457</v>
      </c>
    </row>
    <row r="609" spans="1:20" x14ac:dyDescent="0.25">
      <c r="A609" s="1342">
        <v>96461</v>
      </c>
      <c r="B609" s="1340" t="s">
        <v>3228</v>
      </c>
      <c r="C609" s="1324">
        <v>1.361E-4</v>
      </c>
      <c r="D609" s="1324">
        <v>1.538E-4</v>
      </c>
      <c r="E609" s="1332">
        <v>371678</v>
      </c>
      <c r="F609" s="1333"/>
      <c r="G609" s="1332">
        <v>63641</v>
      </c>
      <c r="H609" s="1332">
        <v>9066</v>
      </c>
      <c r="I609" s="1332">
        <v>60577</v>
      </c>
      <c r="J609" s="1332">
        <v>8805</v>
      </c>
      <c r="K609" s="1332">
        <v>142089</v>
      </c>
      <c r="L609" s="1333"/>
      <c r="M609" s="1332">
        <v>0</v>
      </c>
      <c r="N609" s="1332">
        <v>0</v>
      </c>
      <c r="O609" s="1332">
        <v>23490</v>
      </c>
      <c r="P609" s="1332">
        <v>23490</v>
      </c>
      <c r="Q609" s="1333"/>
      <c r="R609" s="1332">
        <v>165567</v>
      </c>
      <c r="S609" s="1332">
        <v>-9680</v>
      </c>
      <c r="T609" s="1332">
        <v>155887</v>
      </c>
    </row>
    <row r="610" spans="1:20" x14ac:dyDescent="0.25">
      <c r="A610" s="1342">
        <v>96501</v>
      </c>
      <c r="B610" s="1340" t="s">
        <v>3229</v>
      </c>
      <c r="C610" s="1324">
        <v>1.46477E-2</v>
      </c>
      <c r="D610" s="1324">
        <v>1.453E-2</v>
      </c>
      <c r="E610" s="1332">
        <v>40001726</v>
      </c>
      <c r="F610" s="1333"/>
      <c r="G610" s="1332">
        <v>6849308</v>
      </c>
      <c r="H610" s="1332">
        <v>975697</v>
      </c>
      <c r="I610" s="1332">
        <v>6519618</v>
      </c>
      <c r="J610" s="1332">
        <v>87197</v>
      </c>
      <c r="K610" s="1332">
        <v>14431820</v>
      </c>
      <c r="L610" s="1333"/>
      <c r="M610" s="1332">
        <v>0</v>
      </c>
      <c r="N610" s="1332">
        <v>0</v>
      </c>
      <c r="O610" s="1332">
        <v>155849</v>
      </c>
      <c r="P610" s="1332">
        <v>155849</v>
      </c>
      <c r="Q610" s="1333"/>
      <c r="R610" s="1332">
        <v>17819117</v>
      </c>
      <c r="S610" s="1332">
        <v>-17</v>
      </c>
      <c r="T610" s="1332">
        <v>17819100</v>
      </c>
    </row>
    <row r="611" spans="1:20" x14ac:dyDescent="0.25">
      <c r="A611" s="1342">
        <v>96502</v>
      </c>
      <c r="B611" s="1340" t="s">
        <v>4193</v>
      </c>
      <c r="C611" s="1324">
        <v>4.082E-4</v>
      </c>
      <c r="D611" s="1324">
        <v>4.059E-4</v>
      </c>
      <c r="E611" s="1332">
        <v>1114762</v>
      </c>
      <c r="F611" s="1333"/>
      <c r="G611" s="1332">
        <v>190876</v>
      </c>
      <c r="H611" s="1332">
        <v>27191</v>
      </c>
      <c r="I611" s="1332">
        <v>181688</v>
      </c>
      <c r="J611" s="1332">
        <v>19956</v>
      </c>
      <c r="K611" s="1332">
        <v>419711</v>
      </c>
      <c r="L611" s="1333"/>
      <c r="M611" s="1332">
        <v>0</v>
      </c>
      <c r="N611" s="1332">
        <v>0</v>
      </c>
      <c r="O611" s="1332">
        <v>0</v>
      </c>
      <c r="P611" s="1332">
        <v>0</v>
      </c>
      <c r="Q611" s="1333"/>
      <c r="R611" s="1332">
        <v>496581</v>
      </c>
      <c r="S611" s="1332">
        <v>13518</v>
      </c>
      <c r="T611" s="1332">
        <v>510099</v>
      </c>
    </row>
    <row r="612" spans="1:20" x14ac:dyDescent="0.25">
      <c r="A612" s="1342">
        <v>96503</v>
      </c>
      <c r="B612" s="1340" t="s">
        <v>3692</v>
      </c>
      <c r="C612" s="1324">
        <v>3.1940000000000001E-4</v>
      </c>
      <c r="D612" s="1324">
        <v>2.856E-4</v>
      </c>
      <c r="E612" s="1332">
        <v>872256</v>
      </c>
      <c r="F612" s="1333"/>
      <c r="G612" s="1332">
        <v>149352</v>
      </c>
      <c r="H612" s="1332">
        <v>21276</v>
      </c>
      <c r="I612" s="1332">
        <v>142163</v>
      </c>
      <c r="J612" s="1332">
        <v>368263</v>
      </c>
      <c r="K612" s="1332">
        <v>681054</v>
      </c>
      <c r="L612" s="1333"/>
      <c r="M612" s="1332">
        <v>0</v>
      </c>
      <c r="N612" s="1332">
        <v>0</v>
      </c>
      <c r="O612" s="1332">
        <v>0</v>
      </c>
      <c r="P612" s="1332">
        <v>0</v>
      </c>
      <c r="Q612" s="1333"/>
      <c r="R612" s="1332">
        <v>388554</v>
      </c>
      <c r="S612" s="1332">
        <v>162134</v>
      </c>
      <c r="T612" s="1332">
        <v>550688</v>
      </c>
    </row>
    <row r="613" spans="1:20" x14ac:dyDescent="0.25">
      <c r="A613" s="1342">
        <v>96504</v>
      </c>
      <c r="B613" s="1340" t="s">
        <v>3232</v>
      </c>
      <c r="C613" s="1324">
        <v>4.3649999999999998E-4</v>
      </c>
      <c r="D613" s="1324">
        <v>4.0900000000000002E-4</v>
      </c>
      <c r="E613" s="1332">
        <v>1192047</v>
      </c>
      <c r="F613" s="1333"/>
      <c r="G613" s="1332">
        <v>204109</v>
      </c>
      <c r="H613" s="1332">
        <v>29075</v>
      </c>
      <c r="I613" s="1332">
        <v>194284</v>
      </c>
      <c r="J613" s="1332">
        <v>38910</v>
      </c>
      <c r="K613" s="1332">
        <v>466378</v>
      </c>
      <c r="L613" s="1333"/>
      <c r="M613" s="1332">
        <v>0</v>
      </c>
      <c r="N613" s="1332">
        <v>0</v>
      </c>
      <c r="O613" s="1332">
        <v>1792</v>
      </c>
      <c r="P613" s="1332">
        <v>1792</v>
      </c>
      <c r="Q613" s="1333"/>
      <c r="R613" s="1332">
        <v>531008</v>
      </c>
      <c r="S613" s="1332">
        <v>15969</v>
      </c>
      <c r="T613" s="1332">
        <v>546977</v>
      </c>
    </row>
    <row r="614" spans="1:20" x14ac:dyDescent="0.25">
      <c r="A614" s="1342">
        <v>96507</v>
      </c>
      <c r="B614" s="1340" t="s">
        <v>3233</v>
      </c>
      <c r="C614" s="1324">
        <v>2.3281999999999999E-3</v>
      </c>
      <c r="D614" s="1324">
        <v>2.2176000000000001E-3</v>
      </c>
      <c r="E614" s="1332">
        <v>6358133</v>
      </c>
      <c r="F614" s="1333"/>
      <c r="G614" s="1332">
        <v>1088673</v>
      </c>
      <c r="H614" s="1332">
        <v>155083</v>
      </c>
      <c r="I614" s="1332">
        <v>1036270</v>
      </c>
      <c r="J614" s="1332">
        <v>159186</v>
      </c>
      <c r="K614" s="1332">
        <v>2439212</v>
      </c>
      <c r="L614" s="1333"/>
      <c r="M614" s="1332">
        <v>0</v>
      </c>
      <c r="N614" s="1332">
        <v>0</v>
      </c>
      <c r="O614" s="1332">
        <v>11396</v>
      </c>
      <c r="P614" s="1332">
        <v>11396</v>
      </c>
      <c r="Q614" s="1333"/>
      <c r="R614" s="1332">
        <v>2832286</v>
      </c>
      <c r="S614" s="1332">
        <v>67778</v>
      </c>
      <c r="T614" s="1332">
        <v>2900064</v>
      </c>
    </row>
    <row r="615" spans="1:20" x14ac:dyDescent="0.25">
      <c r="A615" s="1342">
        <v>96508</v>
      </c>
      <c r="B615" s="1340" t="s">
        <v>4194</v>
      </c>
      <c r="C615" s="1324">
        <v>5.9000000000000003E-6</v>
      </c>
      <c r="D615" s="1324">
        <v>7.4000000000000003E-6</v>
      </c>
      <c r="E615" s="1332">
        <v>16112</v>
      </c>
      <c r="F615" s="1333"/>
      <c r="G615" s="1332">
        <v>2759</v>
      </c>
      <c r="H615" s="1332">
        <v>393</v>
      </c>
      <c r="I615" s="1332">
        <v>2626</v>
      </c>
      <c r="J615" s="1332">
        <v>13832</v>
      </c>
      <c r="K615" s="1332">
        <v>19610</v>
      </c>
      <c r="L615" s="1333"/>
      <c r="M615" s="1332">
        <v>0</v>
      </c>
      <c r="N615" s="1332">
        <v>0</v>
      </c>
      <c r="O615" s="1332">
        <v>0</v>
      </c>
      <c r="P615" s="1332">
        <v>0</v>
      </c>
      <c r="Q615" s="1333"/>
      <c r="R615" s="1332">
        <v>7177</v>
      </c>
      <c r="S615" s="1332">
        <v>6229</v>
      </c>
      <c r="T615" s="1332">
        <v>13406</v>
      </c>
    </row>
    <row r="616" spans="1:20" x14ac:dyDescent="0.25">
      <c r="A616" s="1342">
        <v>96511</v>
      </c>
      <c r="B616" s="1340" t="s">
        <v>3235</v>
      </c>
      <c r="C616" s="1324">
        <v>6.0519999999999997E-4</v>
      </c>
      <c r="D616" s="1324">
        <v>6.1580000000000001E-4</v>
      </c>
      <c r="E616" s="1332">
        <v>1652754</v>
      </c>
      <c r="F616" s="1333"/>
      <c r="G616" s="1332">
        <v>282993</v>
      </c>
      <c r="H616" s="1332">
        <v>40313</v>
      </c>
      <c r="I616" s="1332">
        <v>269371</v>
      </c>
      <c r="J616" s="1332">
        <v>0</v>
      </c>
      <c r="K616" s="1332">
        <v>592677</v>
      </c>
      <c r="L616" s="1333"/>
      <c r="M616" s="1332">
        <v>0</v>
      </c>
      <c r="N616" s="1332">
        <v>0</v>
      </c>
      <c r="O616" s="1332">
        <v>45820</v>
      </c>
      <c r="P616" s="1332">
        <v>45820</v>
      </c>
      <c r="Q616" s="1333"/>
      <c r="R616" s="1332">
        <v>736234</v>
      </c>
      <c r="S616" s="1332">
        <v>-31787</v>
      </c>
      <c r="T616" s="1332">
        <v>704447</v>
      </c>
    </row>
    <row r="617" spans="1:20" x14ac:dyDescent="0.25">
      <c r="A617" s="1342">
        <v>96512</v>
      </c>
      <c r="B617" s="1340" t="s">
        <v>3236</v>
      </c>
      <c r="C617" s="1324">
        <v>1.528E-4</v>
      </c>
      <c r="D617" s="1324">
        <v>1.5899999999999999E-4</v>
      </c>
      <c r="E617" s="1332">
        <v>417285</v>
      </c>
      <c r="F617" s="1333"/>
      <c r="G617" s="1332">
        <v>71450</v>
      </c>
      <c r="H617" s="1332">
        <v>10178</v>
      </c>
      <c r="I617" s="1332">
        <v>68011</v>
      </c>
      <c r="J617" s="1332">
        <v>6021</v>
      </c>
      <c r="K617" s="1332">
        <v>155660</v>
      </c>
      <c r="L617" s="1333"/>
      <c r="M617" s="1332">
        <v>0</v>
      </c>
      <c r="N617" s="1332">
        <v>0</v>
      </c>
      <c r="O617" s="1332">
        <v>6275</v>
      </c>
      <c r="P617" s="1332">
        <v>6275</v>
      </c>
      <c r="Q617" s="1333"/>
      <c r="R617" s="1332">
        <v>185883</v>
      </c>
      <c r="S617" s="1332">
        <v>1167</v>
      </c>
      <c r="T617" s="1332">
        <v>187050</v>
      </c>
    </row>
    <row r="618" spans="1:20" x14ac:dyDescent="0.25">
      <c r="A618" s="1342">
        <v>96521</v>
      </c>
      <c r="B618" s="1340" t="s">
        <v>3238</v>
      </c>
      <c r="C618" s="1324">
        <v>9.3479999999999995E-4</v>
      </c>
      <c r="D618" s="1324">
        <v>9.6719999999999998E-4</v>
      </c>
      <c r="E618" s="1332">
        <v>2552866</v>
      </c>
      <c r="F618" s="1333"/>
      <c r="G618" s="1332">
        <v>437115</v>
      </c>
      <c r="H618" s="1332">
        <v>62268</v>
      </c>
      <c r="I618" s="1332">
        <v>416075</v>
      </c>
      <c r="J618" s="1332">
        <v>0</v>
      </c>
      <c r="K618" s="1332">
        <v>915458</v>
      </c>
      <c r="L618" s="1333"/>
      <c r="M618" s="1332">
        <v>0</v>
      </c>
      <c r="N618" s="1332">
        <v>0</v>
      </c>
      <c r="O618" s="1332">
        <v>100716</v>
      </c>
      <c r="P618" s="1332">
        <v>100716</v>
      </c>
      <c r="Q618" s="1333"/>
      <c r="R618" s="1332">
        <v>1137196</v>
      </c>
      <c r="S618" s="1332">
        <v>-20296</v>
      </c>
      <c r="T618" s="1332">
        <v>1116900</v>
      </c>
    </row>
    <row r="619" spans="1:20" x14ac:dyDescent="0.25">
      <c r="A619" s="1342">
        <v>96531</v>
      </c>
      <c r="B619" s="1340" t="s">
        <v>3239</v>
      </c>
      <c r="C619" s="1324">
        <v>8.6105999999999995E-3</v>
      </c>
      <c r="D619" s="1324">
        <v>8.7183999999999994E-3</v>
      </c>
      <c r="E619" s="1332">
        <v>23514877</v>
      </c>
      <c r="F619" s="1333"/>
      <c r="G619" s="1332">
        <v>4026342</v>
      </c>
      <c r="H619" s="1332">
        <v>573560</v>
      </c>
      <c r="I619" s="1332">
        <v>3832535</v>
      </c>
      <c r="J619" s="1332">
        <v>0</v>
      </c>
      <c r="K619" s="1332">
        <v>8432437</v>
      </c>
      <c r="L619" s="1333"/>
      <c r="M619" s="1332">
        <v>0</v>
      </c>
      <c r="N619" s="1332">
        <v>0</v>
      </c>
      <c r="O619" s="1332">
        <v>411642</v>
      </c>
      <c r="P619" s="1332">
        <v>411642</v>
      </c>
      <c r="Q619" s="1333"/>
      <c r="R619" s="1332">
        <v>10474907</v>
      </c>
      <c r="S619" s="1332">
        <v>-174600</v>
      </c>
      <c r="T619" s="1332">
        <v>10300307</v>
      </c>
    </row>
    <row r="620" spans="1:20" x14ac:dyDescent="0.25">
      <c r="A620" s="1342">
        <v>96541</v>
      </c>
      <c r="B620" s="1340" t="s">
        <v>3240</v>
      </c>
      <c r="C620" s="1324">
        <v>3.8709999999999998E-4</v>
      </c>
      <c r="D620" s="1324">
        <v>3.5780000000000002E-4</v>
      </c>
      <c r="E620" s="1332">
        <v>1057140</v>
      </c>
      <c r="F620" s="1333"/>
      <c r="G620" s="1332">
        <v>181009</v>
      </c>
      <c r="H620" s="1332">
        <v>25785</v>
      </c>
      <c r="I620" s="1332">
        <v>172296</v>
      </c>
      <c r="J620" s="1332">
        <v>15689</v>
      </c>
      <c r="K620" s="1332">
        <v>394779</v>
      </c>
      <c r="L620" s="1333"/>
      <c r="M620" s="1332">
        <v>0</v>
      </c>
      <c r="N620" s="1332">
        <v>0</v>
      </c>
      <c r="O620" s="1332">
        <v>3863</v>
      </c>
      <c r="P620" s="1332">
        <v>3863</v>
      </c>
      <c r="Q620" s="1333"/>
      <c r="R620" s="1332">
        <v>470912</v>
      </c>
      <c r="S620" s="1332">
        <v>6333</v>
      </c>
      <c r="T620" s="1332">
        <v>477245</v>
      </c>
    </row>
    <row r="621" spans="1:20" x14ac:dyDescent="0.25">
      <c r="A621" s="1342">
        <v>96601</v>
      </c>
      <c r="B621" s="1340" t="s">
        <v>3241</v>
      </c>
      <c r="C621" s="1324">
        <v>1.7417999999999999E-3</v>
      </c>
      <c r="D621" s="1324">
        <v>1.7382999999999999E-3</v>
      </c>
      <c r="E621" s="1332">
        <v>4756720</v>
      </c>
      <c r="F621" s="1333"/>
      <c r="G621" s="1332">
        <v>814471</v>
      </c>
      <c r="H621" s="1332">
        <v>116023</v>
      </c>
      <c r="I621" s="1332">
        <v>775266</v>
      </c>
      <c r="J621" s="1332">
        <v>26011</v>
      </c>
      <c r="K621" s="1332">
        <v>1731771</v>
      </c>
      <c r="L621" s="1333"/>
      <c r="M621" s="1332">
        <v>0</v>
      </c>
      <c r="N621" s="1332">
        <v>0</v>
      </c>
      <c r="O621" s="1332">
        <v>57193</v>
      </c>
      <c r="P621" s="1332">
        <v>57193</v>
      </c>
      <c r="Q621" s="1333"/>
      <c r="R621" s="1332">
        <v>2118922</v>
      </c>
      <c r="S621" s="1332">
        <v>-10516</v>
      </c>
      <c r="T621" s="1332">
        <v>2108406</v>
      </c>
    </row>
    <row r="622" spans="1:20" x14ac:dyDescent="0.25">
      <c r="A622" s="1342">
        <v>96604</v>
      </c>
      <c r="B622" s="1340" t="s">
        <v>3242</v>
      </c>
      <c r="C622" s="1324">
        <v>5.3000000000000001E-6</v>
      </c>
      <c r="D622" s="1324">
        <v>5.5999999999999997E-6</v>
      </c>
      <c r="E622" s="1332">
        <v>14474</v>
      </c>
      <c r="F622" s="1333"/>
      <c r="G622" s="1332">
        <v>2478</v>
      </c>
      <c r="H622" s="1332">
        <v>353</v>
      </c>
      <c r="I622" s="1332">
        <v>2359</v>
      </c>
      <c r="J622" s="1332">
        <v>2335</v>
      </c>
      <c r="K622" s="1332">
        <v>7525</v>
      </c>
      <c r="L622" s="1333"/>
      <c r="M622" s="1332">
        <v>0</v>
      </c>
      <c r="N622" s="1332">
        <v>0</v>
      </c>
      <c r="O622" s="1332">
        <v>0</v>
      </c>
      <c r="P622" s="1332">
        <v>0</v>
      </c>
      <c r="Q622" s="1333"/>
      <c r="R622" s="1332">
        <v>6448</v>
      </c>
      <c r="S622" s="1332">
        <v>881</v>
      </c>
      <c r="T622" s="1332">
        <v>7329</v>
      </c>
    </row>
    <row r="623" spans="1:20" x14ac:dyDescent="0.25">
      <c r="A623" s="1342">
        <v>96611</v>
      </c>
      <c r="B623" s="1340" t="s">
        <v>3243</v>
      </c>
      <c r="C623" s="1324">
        <v>1.3900000000000001E-5</v>
      </c>
      <c r="D623" s="1324">
        <v>2.41E-5</v>
      </c>
      <c r="E623" s="1332">
        <v>37960</v>
      </c>
      <c r="F623" s="1333"/>
      <c r="G623" s="1332">
        <v>6500</v>
      </c>
      <c r="H623" s="1332">
        <v>926</v>
      </c>
      <c r="I623" s="1332">
        <v>6187</v>
      </c>
      <c r="J623" s="1332">
        <v>121</v>
      </c>
      <c r="K623" s="1332">
        <v>13734</v>
      </c>
      <c r="L623" s="1333"/>
      <c r="M623" s="1332">
        <v>0</v>
      </c>
      <c r="N623" s="1332">
        <v>0</v>
      </c>
      <c r="O623" s="1332">
        <v>7722</v>
      </c>
      <c r="P623" s="1332">
        <v>7722</v>
      </c>
      <c r="Q623" s="1333"/>
      <c r="R623" s="1332">
        <v>16910</v>
      </c>
      <c r="S623" s="1332">
        <v>-2592</v>
      </c>
      <c r="T623" s="1332">
        <v>14318</v>
      </c>
    </row>
    <row r="624" spans="1:20" x14ac:dyDescent="0.25">
      <c r="A624" s="1342">
        <v>96612</v>
      </c>
      <c r="B624" s="1340" t="s">
        <v>4195</v>
      </c>
      <c r="C624" s="1324">
        <v>5.5099999999999998E-5</v>
      </c>
      <c r="D624" s="1324">
        <v>5.4500000000000003E-5</v>
      </c>
      <c r="E624" s="1332">
        <v>150474</v>
      </c>
      <c r="F624" s="1333"/>
      <c r="G624" s="1332">
        <v>25765</v>
      </c>
      <c r="H624" s="1332">
        <v>3670</v>
      </c>
      <c r="I624" s="1332">
        <v>24525</v>
      </c>
      <c r="J624" s="1332">
        <v>9540</v>
      </c>
      <c r="K624" s="1332">
        <v>63500</v>
      </c>
      <c r="L624" s="1333"/>
      <c r="M624" s="1332">
        <v>0</v>
      </c>
      <c r="N624" s="1332">
        <v>0</v>
      </c>
      <c r="O624" s="1332">
        <v>1698</v>
      </c>
      <c r="P624" s="1332">
        <v>1698</v>
      </c>
      <c r="Q624" s="1333"/>
      <c r="R624" s="1332">
        <v>67030</v>
      </c>
      <c r="S624" s="1332">
        <v>3984</v>
      </c>
      <c r="T624" s="1332">
        <v>71014</v>
      </c>
    </row>
    <row r="625" spans="1:20" x14ac:dyDescent="0.25">
      <c r="A625" s="1342">
        <v>96621</v>
      </c>
      <c r="B625" s="1340" t="s">
        <v>3245</v>
      </c>
      <c r="C625" s="1324">
        <v>2.09E-5</v>
      </c>
      <c r="D625" s="1324">
        <v>1.9199999999999999E-5</v>
      </c>
      <c r="E625" s="1332">
        <v>57076</v>
      </c>
      <c r="F625" s="1333"/>
      <c r="G625" s="1332">
        <v>9773</v>
      </c>
      <c r="H625" s="1332">
        <v>1392</v>
      </c>
      <c r="I625" s="1332">
        <v>9302</v>
      </c>
      <c r="J625" s="1332">
        <v>2357</v>
      </c>
      <c r="K625" s="1332">
        <v>22824</v>
      </c>
      <c r="L625" s="1333"/>
      <c r="M625" s="1332">
        <v>0</v>
      </c>
      <c r="N625" s="1332">
        <v>0</v>
      </c>
      <c r="O625" s="1332">
        <v>2640</v>
      </c>
      <c r="P625" s="1332">
        <v>2640</v>
      </c>
      <c r="Q625" s="1333"/>
      <c r="R625" s="1332">
        <v>25425</v>
      </c>
      <c r="S625" s="1332">
        <v>-638</v>
      </c>
      <c r="T625" s="1332">
        <v>24787</v>
      </c>
    </row>
    <row r="626" spans="1:20" x14ac:dyDescent="0.25">
      <c r="A626" s="1342">
        <v>96631</v>
      </c>
      <c r="B626" s="1340" t="s">
        <v>3246</v>
      </c>
      <c r="C626" s="1324">
        <v>2.1800000000000001E-5</v>
      </c>
      <c r="D626" s="1324">
        <v>2.3600000000000001E-5</v>
      </c>
      <c r="E626" s="1332">
        <v>59534</v>
      </c>
      <c r="F626" s="1333"/>
      <c r="G626" s="1332">
        <v>10194</v>
      </c>
      <c r="H626" s="1332">
        <v>1452</v>
      </c>
      <c r="I626" s="1332">
        <v>9703</v>
      </c>
      <c r="J626" s="1332">
        <v>0</v>
      </c>
      <c r="K626" s="1332">
        <v>21349</v>
      </c>
      <c r="L626" s="1333"/>
      <c r="M626" s="1332">
        <v>0</v>
      </c>
      <c r="N626" s="1332">
        <v>0</v>
      </c>
      <c r="O626" s="1332">
        <v>891</v>
      </c>
      <c r="P626" s="1332">
        <v>891</v>
      </c>
      <c r="Q626" s="1333"/>
      <c r="R626" s="1332">
        <v>26520</v>
      </c>
      <c r="S626" s="1332">
        <v>793</v>
      </c>
      <c r="T626" s="1332">
        <v>27313</v>
      </c>
    </row>
    <row r="627" spans="1:20" x14ac:dyDescent="0.25">
      <c r="A627" s="1342">
        <v>96641</v>
      </c>
      <c r="B627" s="1340" t="s">
        <v>3247</v>
      </c>
      <c r="C627" s="1324">
        <v>3.3800000000000002E-5</v>
      </c>
      <c r="D627" s="1324">
        <v>3.2100000000000001E-5</v>
      </c>
      <c r="E627" s="1332">
        <v>92305</v>
      </c>
      <c r="F627" s="1333"/>
      <c r="G627" s="1332">
        <v>15805</v>
      </c>
      <c r="H627" s="1332">
        <v>2252</v>
      </c>
      <c r="I627" s="1332">
        <v>15044</v>
      </c>
      <c r="J627" s="1332">
        <v>15476</v>
      </c>
      <c r="K627" s="1332">
        <v>48577</v>
      </c>
      <c r="L627" s="1333"/>
      <c r="M627" s="1332">
        <v>0</v>
      </c>
      <c r="N627" s="1332">
        <v>0</v>
      </c>
      <c r="O627" s="1332">
        <v>0</v>
      </c>
      <c r="P627" s="1332">
        <v>0</v>
      </c>
      <c r="Q627" s="1333"/>
      <c r="R627" s="1332">
        <v>41118</v>
      </c>
      <c r="S627" s="1332">
        <v>7087</v>
      </c>
      <c r="T627" s="1332">
        <v>48205</v>
      </c>
    </row>
    <row r="628" spans="1:20" x14ac:dyDescent="0.25">
      <c r="A628" s="1342">
        <v>96651</v>
      </c>
      <c r="B628" s="1340" t="s">
        <v>3248</v>
      </c>
      <c r="C628" s="1324">
        <v>1.8499999999999999E-5</v>
      </c>
      <c r="D628" s="1324">
        <v>1.9400000000000001E-5</v>
      </c>
      <c r="E628" s="1332">
        <v>50522</v>
      </c>
      <c r="F628" s="1333"/>
      <c r="G628" s="1332">
        <v>8651</v>
      </c>
      <c r="H628" s="1332">
        <v>1232</v>
      </c>
      <c r="I628" s="1332">
        <v>8234</v>
      </c>
      <c r="J628" s="1332">
        <v>1993</v>
      </c>
      <c r="K628" s="1332">
        <v>20110</v>
      </c>
      <c r="L628" s="1333"/>
      <c r="M628" s="1332">
        <v>0</v>
      </c>
      <c r="N628" s="1332">
        <v>0</v>
      </c>
      <c r="O628" s="1332">
        <v>3543</v>
      </c>
      <c r="P628" s="1332">
        <v>3543</v>
      </c>
      <c r="Q628" s="1333"/>
      <c r="R628" s="1332">
        <v>22505</v>
      </c>
      <c r="S628" s="1332">
        <v>-353</v>
      </c>
      <c r="T628" s="1332">
        <v>22152</v>
      </c>
    </row>
    <row r="629" spans="1:20" x14ac:dyDescent="0.25">
      <c r="A629" s="1342">
        <v>96661</v>
      </c>
      <c r="B629" s="1340" t="s">
        <v>3249</v>
      </c>
      <c r="C629" s="1324">
        <v>1.8099999999999999E-5</v>
      </c>
      <c r="D629" s="1324">
        <v>1.9000000000000001E-5</v>
      </c>
      <c r="E629" s="1332">
        <v>49430</v>
      </c>
      <c r="F629" s="1333"/>
      <c r="G629" s="1332">
        <v>8464</v>
      </c>
      <c r="H629" s="1332">
        <v>1206</v>
      </c>
      <c r="I629" s="1332">
        <v>8056</v>
      </c>
      <c r="J629" s="1332">
        <v>1831</v>
      </c>
      <c r="K629" s="1332">
        <v>19557</v>
      </c>
      <c r="L629" s="1333"/>
      <c r="M629" s="1332">
        <v>0</v>
      </c>
      <c r="N629" s="1332">
        <v>0</v>
      </c>
      <c r="O629" s="1332">
        <v>165</v>
      </c>
      <c r="P629" s="1332">
        <v>165</v>
      </c>
      <c r="Q629" s="1333"/>
      <c r="R629" s="1332">
        <v>22019</v>
      </c>
      <c r="S629" s="1332">
        <v>1824</v>
      </c>
      <c r="T629" s="1332">
        <v>23843</v>
      </c>
    </row>
    <row r="630" spans="1:20" x14ac:dyDescent="0.25">
      <c r="A630" s="1342">
        <v>96671</v>
      </c>
      <c r="B630" s="1340" t="s">
        <v>3250</v>
      </c>
      <c r="C630" s="1324">
        <v>1.26E-5</v>
      </c>
      <c r="D630" s="1324">
        <v>1.3900000000000001E-5</v>
      </c>
      <c r="E630" s="1332">
        <v>34410</v>
      </c>
      <c r="F630" s="1333"/>
      <c r="G630" s="1332">
        <v>5892</v>
      </c>
      <c r="H630" s="1332">
        <v>840</v>
      </c>
      <c r="I630" s="1332">
        <v>5608</v>
      </c>
      <c r="J630" s="1332">
        <v>3261</v>
      </c>
      <c r="K630" s="1332">
        <v>15601</v>
      </c>
      <c r="L630" s="1333"/>
      <c r="M630" s="1332">
        <v>0</v>
      </c>
      <c r="N630" s="1332">
        <v>0</v>
      </c>
      <c r="O630" s="1332">
        <v>0</v>
      </c>
      <c r="P630" s="1332">
        <v>0</v>
      </c>
      <c r="Q630" s="1333"/>
      <c r="R630" s="1332">
        <v>15328</v>
      </c>
      <c r="S630" s="1332">
        <v>3907</v>
      </c>
      <c r="T630" s="1332">
        <v>19235</v>
      </c>
    </row>
    <row r="631" spans="1:20" x14ac:dyDescent="0.25">
      <c r="A631" s="1342">
        <v>96681</v>
      </c>
      <c r="B631" s="1340" t="s">
        <v>3251</v>
      </c>
      <c r="C631" s="1324">
        <v>2.2399999999999999E-5</v>
      </c>
      <c r="D631" s="1324">
        <v>2.0599999999999999E-5</v>
      </c>
      <c r="E631" s="1332">
        <v>61173</v>
      </c>
      <c r="F631" s="1333"/>
      <c r="G631" s="1332">
        <v>10474</v>
      </c>
      <c r="H631" s="1332">
        <v>1492</v>
      </c>
      <c r="I631" s="1332">
        <v>9970</v>
      </c>
      <c r="J631" s="1332">
        <v>12153</v>
      </c>
      <c r="K631" s="1332">
        <v>34089</v>
      </c>
      <c r="L631" s="1333"/>
      <c r="M631" s="1332">
        <v>0</v>
      </c>
      <c r="N631" s="1332">
        <v>0</v>
      </c>
      <c r="O631" s="1332">
        <v>4141</v>
      </c>
      <c r="P631" s="1332">
        <v>4141</v>
      </c>
      <c r="Q631" s="1333"/>
      <c r="R631" s="1332">
        <v>27250</v>
      </c>
      <c r="S631" s="1332">
        <v>6193</v>
      </c>
      <c r="T631" s="1332">
        <v>33443</v>
      </c>
    </row>
    <row r="632" spans="1:20" x14ac:dyDescent="0.25">
      <c r="A632" s="1342">
        <v>96701</v>
      </c>
      <c r="B632" s="1340" t="s">
        <v>3252</v>
      </c>
      <c r="C632" s="1324">
        <v>8.4864999999999993E-3</v>
      </c>
      <c r="D632" s="1324">
        <v>8.5999000000000006E-3</v>
      </c>
      <c r="E632" s="1332">
        <v>23175970</v>
      </c>
      <c r="F632" s="1333"/>
      <c r="G632" s="1332">
        <v>3968313</v>
      </c>
      <c r="H632" s="1332">
        <v>565294</v>
      </c>
      <c r="I632" s="1332">
        <v>3777299</v>
      </c>
      <c r="J632" s="1332">
        <v>129653</v>
      </c>
      <c r="K632" s="1332">
        <v>8440559</v>
      </c>
      <c r="L632" s="1333"/>
      <c r="M632" s="1332">
        <v>0</v>
      </c>
      <c r="N632" s="1332">
        <v>0</v>
      </c>
      <c r="O632" s="1332">
        <v>465920</v>
      </c>
      <c r="P632" s="1332">
        <v>465920</v>
      </c>
      <c r="Q632" s="1333"/>
      <c r="R632" s="1332">
        <v>10323938</v>
      </c>
      <c r="S632" s="1332">
        <v>16462</v>
      </c>
      <c r="T632" s="1332">
        <v>10340400</v>
      </c>
    </row>
    <row r="633" spans="1:20" x14ac:dyDescent="0.25">
      <c r="A633" s="1342">
        <v>96704</v>
      </c>
      <c r="B633" s="1340" t="s">
        <v>3253</v>
      </c>
      <c r="C633" s="1324">
        <v>1.873E-4</v>
      </c>
      <c r="D633" s="1324">
        <v>1.7550000000000001E-4</v>
      </c>
      <c r="E633" s="1332">
        <v>511502</v>
      </c>
      <c r="F633" s="1333"/>
      <c r="G633" s="1332">
        <v>87582</v>
      </c>
      <c r="H633" s="1332">
        <v>12476</v>
      </c>
      <c r="I633" s="1332">
        <v>83366</v>
      </c>
      <c r="J633" s="1332">
        <v>55402</v>
      </c>
      <c r="K633" s="1332">
        <v>238826</v>
      </c>
      <c r="L633" s="1333"/>
      <c r="M633" s="1332">
        <v>0</v>
      </c>
      <c r="N633" s="1332">
        <v>0</v>
      </c>
      <c r="O633" s="1332">
        <v>0</v>
      </c>
      <c r="P633" s="1332">
        <v>0</v>
      </c>
      <c r="Q633" s="1333"/>
      <c r="R633" s="1332">
        <v>227853</v>
      </c>
      <c r="S633" s="1332">
        <v>18669</v>
      </c>
      <c r="T633" s="1332">
        <v>246522</v>
      </c>
    </row>
    <row r="634" spans="1:20" x14ac:dyDescent="0.25">
      <c r="A634" s="1342">
        <v>96708</v>
      </c>
      <c r="B634" s="1340" t="s">
        <v>3254</v>
      </c>
      <c r="C634" s="1324">
        <v>8.7410000000000005E-4</v>
      </c>
      <c r="D634" s="1324">
        <v>8.8579999999999996E-4</v>
      </c>
      <c r="E634" s="1332">
        <v>2387099</v>
      </c>
      <c r="F634" s="1333"/>
      <c r="G634" s="1332">
        <v>408732</v>
      </c>
      <c r="H634" s="1332">
        <v>58224</v>
      </c>
      <c r="I634" s="1332">
        <v>389058</v>
      </c>
      <c r="J634" s="1332">
        <v>83282</v>
      </c>
      <c r="K634" s="1332">
        <v>939296</v>
      </c>
      <c r="L634" s="1333"/>
      <c r="M634" s="1332">
        <v>0</v>
      </c>
      <c r="N634" s="1332">
        <v>0</v>
      </c>
      <c r="O634" s="1332">
        <v>5984</v>
      </c>
      <c r="P634" s="1332">
        <v>5984</v>
      </c>
      <c r="Q634" s="1333"/>
      <c r="R634" s="1332">
        <v>1063354</v>
      </c>
      <c r="S634" s="1332">
        <v>35823</v>
      </c>
      <c r="T634" s="1332">
        <v>1099177</v>
      </c>
    </row>
    <row r="635" spans="1:20" x14ac:dyDescent="0.25">
      <c r="A635" s="1342">
        <v>96711</v>
      </c>
      <c r="B635" s="1340" t="s">
        <v>3255</v>
      </c>
      <c r="C635" s="1324">
        <v>3.7919E-3</v>
      </c>
      <c r="D635" s="1324">
        <v>3.9007999999999998E-3</v>
      </c>
      <c r="E635" s="1332">
        <v>10355383</v>
      </c>
      <c r="F635" s="1333"/>
      <c r="G635" s="1332">
        <v>1773104</v>
      </c>
      <c r="H635" s="1332">
        <v>252582</v>
      </c>
      <c r="I635" s="1332">
        <v>1687756</v>
      </c>
      <c r="J635" s="1332">
        <v>0</v>
      </c>
      <c r="K635" s="1332">
        <v>3713442</v>
      </c>
      <c r="L635" s="1333"/>
      <c r="M635" s="1332">
        <v>0</v>
      </c>
      <c r="N635" s="1332">
        <v>0</v>
      </c>
      <c r="O635" s="1332">
        <v>301826</v>
      </c>
      <c r="P635" s="1332">
        <v>301826</v>
      </c>
      <c r="Q635" s="1333"/>
      <c r="R635" s="1332">
        <v>4612896</v>
      </c>
      <c r="S635" s="1332">
        <v>-207019</v>
      </c>
      <c r="T635" s="1332">
        <v>4405877</v>
      </c>
    </row>
    <row r="636" spans="1:20" x14ac:dyDescent="0.25">
      <c r="A636" s="1342">
        <v>96721</v>
      </c>
      <c r="B636" s="1340" t="s">
        <v>3256</v>
      </c>
      <c r="C636" s="1324">
        <v>2.1719999999999999E-4</v>
      </c>
      <c r="D636" s="1324">
        <v>2.1790000000000001E-4</v>
      </c>
      <c r="E636" s="1332">
        <v>593156</v>
      </c>
      <c r="F636" s="1333"/>
      <c r="G636" s="1332">
        <v>101563</v>
      </c>
      <c r="H636" s="1332">
        <v>14468</v>
      </c>
      <c r="I636" s="1332">
        <v>96675</v>
      </c>
      <c r="J636" s="1332">
        <v>5560</v>
      </c>
      <c r="K636" s="1332">
        <v>218266</v>
      </c>
      <c r="L636" s="1333"/>
      <c r="M636" s="1332">
        <v>0</v>
      </c>
      <c r="N636" s="1332">
        <v>0</v>
      </c>
      <c r="O636" s="1332">
        <v>11234</v>
      </c>
      <c r="P636" s="1332">
        <v>11234</v>
      </c>
      <c r="Q636" s="1333"/>
      <c r="R636" s="1332">
        <v>264227</v>
      </c>
      <c r="S636" s="1332">
        <v>-7051</v>
      </c>
      <c r="T636" s="1332">
        <v>257176</v>
      </c>
    </row>
    <row r="637" spans="1:20" x14ac:dyDescent="0.25">
      <c r="A637" s="1342">
        <v>96731</v>
      </c>
      <c r="B637" s="1340" t="s">
        <v>3257</v>
      </c>
      <c r="C637" s="1324">
        <v>1.763E-4</v>
      </c>
      <c r="D637" s="1324">
        <v>1.7019999999999999E-4</v>
      </c>
      <c r="E637" s="1332">
        <v>481462</v>
      </c>
      <c r="F637" s="1333"/>
      <c r="G637" s="1332">
        <v>82438</v>
      </c>
      <c r="H637" s="1332">
        <v>11744</v>
      </c>
      <c r="I637" s="1332">
        <v>78470</v>
      </c>
      <c r="J637" s="1332">
        <v>7384</v>
      </c>
      <c r="K637" s="1332">
        <v>180036</v>
      </c>
      <c r="L637" s="1333"/>
      <c r="M637" s="1332">
        <v>0</v>
      </c>
      <c r="N637" s="1332">
        <v>0</v>
      </c>
      <c r="O637" s="1332">
        <v>1328</v>
      </c>
      <c r="P637" s="1332">
        <v>1328</v>
      </c>
      <c r="Q637" s="1333"/>
      <c r="R637" s="1332">
        <v>214471</v>
      </c>
      <c r="S637" s="1332">
        <v>6633</v>
      </c>
      <c r="T637" s="1332">
        <v>221104</v>
      </c>
    </row>
    <row r="638" spans="1:20" x14ac:dyDescent="0.25">
      <c r="A638" s="1342">
        <v>96733</v>
      </c>
      <c r="B638" s="1340" t="s">
        <v>3258</v>
      </c>
      <c r="C638" s="1324">
        <v>6.4999999999999996E-6</v>
      </c>
      <c r="D638" s="1324">
        <v>1.1800000000000001E-5</v>
      </c>
      <c r="E638" s="1332">
        <v>17751</v>
      </c>
      <c r="F638" s="1333"/>
      <c r="G638" s="1332">
        <v>3039</v>
      </c>
      <c r="H638" s="1332">
        <v>433</v>
      </c>
      <c r="I638" s="1332">
        <v>2893</v>
      </c>
      <c r="J638" s="1332">
        <v>2536</v>
      </c>
      <c r="K638" s="1332">
        <v>8901</v>
      </c>
      <c r="L638" s="1333"/>
      <c r="M638" s="1332">
        <v>0</v>
      </c>
      <c r="N638" s="1332">
        <v>0</v>
      </c>
      <c r="O638" s="1332">
        <v>5920</v>
      </c>
      <c r="P638" s="1332">
        <v>5920</v>
      </c>
      <c r="Q638" s="1333"/>
      <c r="R638" s="1332">
        <v>7907</v>
      </c>
      <c r="S638" s="1332">
        <v>-272</v>
      </c>
      <c r="T638" s="1332">
        <v>7635</v>
      </c>
    </row>
    <row r="639" spans="1:20" x14ac:dyDescent="0.25">
      <c r="A639" s="1342">
        <v>96741</v>
      </c>
      <c r="B639" s="1340" t="s">
        <v>3259</v>
      </c>
      <c r="C639" s="1324">
        <v>9.6799999999999995E-5</v>
      </c>
      <c r="D639" s="1324">
        <v>9.8900000000000005E-5</v>
      </c>
      <c r="E639" s="1332">
        <v>264353</v>
      </c>
      <c r="F639" s="1333"/>
      <c r="G639" s="1332">
        <v>45264</v>
      </c>
      <c r="H639" s="1332">
        <v>6448</v>
      </c>
      <c r="I639" s="1332">
        <v>43085</v>
      </c>
      <c r="J639" s="1332">
        <v>2105</v>
      </c>
      <c r="K639" s="1332">
        <v>96902</v>
      </c>
      <c r="L639" s="1333"/>
      <c r="M639" s="1332">
        <v>0</v>
      </c>
      <c r="N639" s="1332">
        <v>0</v>
      </c>
      <c r="O639" s="1332">
        <v>5235</v>
      </c>
      <c r="P639" s="1332">
        <v>5235</v>
      </c>
      <c r="Q639" s="1333"/>
      <c r="R639" s="1332">
        <v>117758</v>
      </c>
      <c r="S639" s="1332">
        <v>205</v>
      </c>
      <c r="T639" s="1332">
        <v>117963</v>
      </c>
    </row>
    <row r="640" spans="1:20" x14ac:dyDescent="0.25">
      <c r="A640" s="1342">
        <v>96751</v>
      </c>
      <c r="B640" s="1340" t="s">
        <v>4196</v>
      </c>
      <c r="C640" s="1324">
        <v>3.054E-4</v>
      </c>
      <c r="D640" s="1324">
        <v>2.7920000000000001E-4</v>
      </c>
      <c r="E640" s="1332">
        <v>834024</v>
      </c>
      <c r="F640" s="1333"/>
      <c r="G640" s="1332">
        <v>142806</v>
      </c>
      <c r="H640" s="1332">
        <v>20343</v>
      </c>
      <c r="I640" s="1332">
        <v>135932</v>
      </c>
      <c r="J640" s="1332">
        <v>23640</v>
      </c>
      <c r="K640" s="1332">
        <v>322721</v>
      </c>
      <c r="L640" s="1333"/>
      <c r="M640" s="1332">
        <v>0</v>
      </c>
      <c r="N640" s="1332">
        <v>0</v>
      </c>
      <c r="O640" s="1332">
        <v>8623</v>
      </c>
      <c r="P640" s="1332">
        <v>8623</v>
      </c>
      <c r="Q640" s="1333"/>
      <c r="R640" s="1332">
        <v>371523</v>
      </c>
      <c r="S640" s="1332">
        <v>-5086</v>
      </c>
      <c r="T640" s="1332">
        <v>366437</v>
      </c>
    </row>
    <row r="641" spans="1:20" x14ac:dyDescent="0.25">
      <c r="A641" s="1342">
        <v>96801</v>
      </c>
      <c r="B641" s="1340" t="s">
        <v>3261</v>
      </c>
      <c r="C641" s="1324">
        <v>7.6207000000000002E-3</v>
      </c>
      <c r="D641" s="1324">
        <v>7.6252999999999998E-3</v>
      </c>
      <c r="E641" s="1332">
        <v>20811537</v>
      </c>
      <c r="F641" s="1333"/>
      <c r="G641" s="1332">
        <v>3563462</v>
      </c>
      <c r="H641" s="1332">
        <v>507622</v>
      </c>
      <c r="I641" s="1332">
        <v>3391935</v>
      </c>
      <c r="J641" s="1332">
        <v>112458</v>
      </c>
      <c r="K641" s="1332">
        <v>7575477</v>
      </c>
      <c r="L641" s="1333"/>
      <c r="M641" s="1332">
        <v>0</v>
      </c>
      <c r="N641" s="1332">
        <v>0</v>
      </c>
      <c r="O641" s="1332">
        <v>55673</v>
      </c>
      <c r="P641" s="1332">
        <v>55673</v>
      </c>
      <c r="Q641" s="1333"/>
      <c r="R641" s="1332">
        <v>9270681</v>
      </c>
      <c r="S641" s="1332">
        <v>108734</v>
      </c>
      <c r="T641" s="1332">
        <v>9379415</v>
      </c>
    </row>
    <row r="642" spans="1:20" x14ac:dyDescent="0.25">
      <c r="A642" s="1342">
        <v>96804</v>
      </c>
      <c r="B642" s="1340" t="s">
        <v>3262</v>
      </c>
      <c r="C642" s="1324">
        <v>2.4230000000000001E-4</v>
      </c>
      <c r="D642" s="1324">
        <v>2.5539999999999997E-4</v>
      </c>
      <c r="E642" s="1332">
        <v>661702</v>
      </c>
      <c r="F642" s="1333"/>
      <c r="G642" s="1332">
        <v>113300</v>
      </c>
      <c r="H642" s="1332">
        <v>16140</v>
      </c>
      <c r="I642" s="1332">
        <v>107847</v>
      </c>
      <c r="J642" s="1332">
        <v>2705</v>
      </c>
      <c r="K642" s="1332">
        <v>239992</v>
      </c>
      <c r="L642" s="1333"/>
      <c r="M642" s="1332">
        <v>0</v>
      </c>
      <c r="N642" s="1332">
        <v>0</v>
      </c>
      <c r="O642" s="1332">
        <v>33698</v>
      </c>
      <c r="P642" s="1332">
        <v>33698</v>
      </c>
      <c r="Q642" s="1333"/>
      <c r="R642" s="1332">
        <v>294761</v>
      </c>
      <c r="S642" s="1332">
        <v>-9191</v>
      </c>
      <c r="T642" s="1332">
        <v>285570</v>
      </c>
    </row>
    <row r="643" spans="1:20" x14ac:dyDescent="0.25">
      <c r="A643" s="1342">
        <v>96808</v>
      </c>
      <c r="B643" s="1340" t="s">
        <v>3263</v>
      </c>
      <c r="C643" s="1324">
        <v>1.2175E-3</v>
      </c>
      <c r="D643" s="1324">
        <v>1.2572E-3</v>
      </c>
      <c r="E643" s="1332">
        <v>3324898</v>
      </c>
      <c r="F643" s="1333"/>
      <c r="G643" s="1332">
        <v>569307</v>
      </c>
      <c r="H643" s="1332">
        <v>81098</v>
      </c>
      <c r="I643" s="1332">
        <v>541903</v>
      </c>
      <c r="J643" s="1332">
        <v>6336</v>
      </c>
      <c r="K643" s="1332">
        <v>1198644</v>
      </c>
      <c r="L643" s="1333"/>
      <c r="M643" s="1332">
        <v>0</v>
      </c>
      <c r="N643" s="1332">
        <v>0</v>
      </c>
      <c r="O643" s="1332">
        <v>39806</v>
      </c>
      <c r="P643" s="1332">
        <v>39806</v>
      </c>
      <c r="Q643" s="1333"/>
      <c r="R643" s="1332">
        <v>1481105</v>
      </c>
      <c r="S643" s="1332">
        <v>572</v>
      </c>
      <c r="T643" s="1332">
        <v>1481677</v>
      </c>
    </row>
    <row r="644" spans="1:20" x14ac:dyDescent="0.25">
      <c r="A644" s="1342">
        <v>96811</v>
      </c>
      <c r="B644" s="1340" t="s">
        <v>3264</v>
      </c>
      <c r="C644" s="1324">
        <v>5.8506000000000001E-3</v>
      </c>
      <c r="D644" s="1324">
        <v>6.1249E-3</v>
      </c>
      <c r="E644" s="1332">
        <v>15977532</v>
      </c>
      <c r="F644" s="1333"/>
      <c r="G644" s="1332">
        <v>2735758</v>
      </c>
      <c r="H644" s="1332">
        <v>389714</v>
      </c>
      <c r="I644" s="1332">
        <v>2604073</v>
      </c>
      <c r="J644" s="1332">
        <v>18706</v>
      </c>
      <c r="K644" s="1332">
        <v>5748251</v>
      </c>
      <c r="L644" s="1333"/>
      <c r="M644" s="1332">
        <v>0</v>
      </c>
      <c r="N644" s="1332">
        <v>0</v>
      </c>
      <c r="O644" s="1332">
        <v>216448</v>
      </c>
      <c r="P644" s="1332">
        <v>216448</v>
      </c>
      <c r="Q644" s="1333"/>
      <c r="R644" s="1332">
        <v>7117331</v>
      </c>
      <c r="S644" s="1332">
        <v>-57023</v>
      </c>
      <c r="T644" s="1332">
        <v>7060308</v>
      </c>
    </row>
    <row r="645" spans="1:20" ht="14.25" customHeight="1" x14ac:dyDescent="0.25">
      <c r="A645" s="1342">
        <v>96821</v>
      </c>
      <c r="B645" s="1340" t="s">
        <v>3265</v>
      </c>
      <c r="C645" s="1324">
        <v>1.2505999999999999E-3</v>
      </c>
      <c r="D645" s="1324">
        <v>1.1529999999999999E-3</v>
      </c>
      <c r="E645" s="1332">
        <v>3415291</v>
      </c>
      <c r="F645" s="1333"/>
      <c r="G645" s="1332">
        <v>584784</v>
      </c>
      <c r="H645" s="1332">
        <v>83304</v>
      </c>
      <c r="I645" s="1332">
        <v>556636</v>
      </c>
      <c r="J645" s="1332">
        <v>95766</v>
      </c>
      <c r="K645" s="1332">
        <v>1320490</v>
      </c>
      <c r="L645" s="1333"/>
      <c r="M645" s="1332">
        <v>0</v>
      </c>
      <c r="N645" s="1332">
        <v>0</v>
      </c>
      <c r="O645" s="1332">
        <v>103219</v>
      </c>
      <c r="P645" s="1332">
        <v>103219</v>
      </c>
      <c r="Q645" s="1333"/>
      <c r="R645" s="1332">
        <v>1521371</v>
      </c>
      <c r="S645" s="1332">
        <v>-41989</v>
      </c>
      <c r="T645" s="1332">
        <v>1479382</v>
      </c>
    </row>
    <row r="646" spans="1:20" ht="14.25" customHeight="1" x14ac:dyDescent="0.25">
      <c r="A646" s="1342">
        <v>96831</v>
      </c>
      <c r="B646" s="1340" t="s">
        <v>3266</v>
      </c>
      <c r="C646" s="1324">
        <v>9.0549999999999995E-4</v>
      </c>
      <c r="D646" s="1324">
        <v>9.3130000000000003E-4</v>
      </c>
      <c r="E646" s="1332">
        <v>2472850</v>
      </c>
      <c r="F646" s="1333"/>
      <c r="G646" s="1332">
        <v>423415</v>
      </c>
      <c r="H646" s="1332">
        <v>60316</v>
      </c>
      <c r="I646" s="1332">
        <v>403034</v>
      </c>
      <c r="J646" s="1332">
        <v>5976</v>
      </c>
      <c r="K646" s="1332">
        <v>892741</v>
      </c>
      <c r="L646" s="1333"/>
      <c r="M646" s="1332">
        <v>0</v>
      </c>
      <c r="N646" s="1332">
        <v>0</v>
      </c>
      <c r="O646" s="1332">
        <v>32451</v>
      </c>
      <c r="P646" s="1332">
        <v>32451</v>
      </c>
      <c r="Q646" s="1333"/>
      <c r="R646" s="1332">
        <v>1101553</v>
      </c>
      <c r="S646" s="1332">
        <v>3949</v>
      </c>
      <c r="T646" s="1332">
        <v>1105502</v>
      </c>
    </row>
    <row r="647" spans="1:20" x14ac:dyDescent="0.25">
      <c r="A647" s="1342">
        <v>96901</v>
      </c>
      <c r="B647" s="1340" t="s">
        <v>3267</v>
      </c>
      <c r="C647" s="1324">
        <v>9.5589999999999998E-4</v>
      </c>
      <c r="D647" s="1324">
        <v>9.1089999999999997E-4</v>
      </c>
      <c r="E647" s="1332">
        <v>2610488</v>
      </c>
      <c r="F647" s="1333"/>
      <c r="G647" s="1332">
        <v>446982</v>
      </c>
      <c r="H647" s="1332">
        <v>63673</v>
      </c>
      <c r="I647" s="1332">
        <v>425466</v>
      </c>
      <c r="J647" s="1332">
        <v>69955</v>
      </c>
      <c r="K647" s="1332">
        <v>1006076</v>
      </c>
      <c r="L647" s="1333"/>
      <c r="M647" s="1332">
        <v>0</v>
      </c>
      <c r="N647" s="1332">
        <v>0</v>
      </c>
      <c r="O647" s="1332">
        <v>0</v>
      </c>
      <c r="P647" s="1332">
        <v>0</v>
      </c>
      <c r="Q647" s="1333"/>
      <c r="R647" s="1332">
        <v>1162865</v>
      </c>
      <c r="S647" s="1332">
        <v>35406</v>
      </c>
      <c r="T647" s="1332">
        <v>1198271</v>
      </c>
    </row>
    <row r="648" spans="1:20" x14ac:dyDescent="0.25">
      <c r="A648" s="1342">
        <v>96911</v>
      </c>
      <c r="B648" s="1340" t="s">
        <v>3268</v>
      </c>
      <c r="C648" s="1324">
        <v>2.3E-6</v>
      </c>
      <c r="D648" s="1324">
        <v>2.3E-6</v>
      </c>
      <c r="E648" s="1332">
        <v>6281</v>
      </c>
      <c r="F648" s="1333"/>
      <c r="G648" s="1332">
        <v>1075</v>
      </c>
      <c r="H648" s="1332">
        <v>153</v>
      </c>
      <c r="I648" s="1332">
        <v>1024</v>
      </c>
      <c r="J648" s="1332">
        <v>2054</v>
      </c>
      <c r="K648" s="1332">
        <v>4306</v>
      </c>
      <c r="L648" s="1333"/>
      <c r="M648" s="1332">
        <v>0</v>
      </c>
      <c r="N648" s="1332">
        <v>0</v>
      </c>
      <c r="O648" s="1332">
        <v>928</v>
      </c>
      <c r="P648" s="1332">
        <v>928</v>
      </c>
      <c r="Q648" s="1333"/>
      <c r="R648" s="1332">
        <v>2798</v>
      </c>
      <c r="S648" s="1332">
        <v>495</v>
      </c>
      <c r="T648" s="1332">
        <v>3293</v>
      </c>
    </row>
    <row r="649" spans="1:20" x14ac:dyDescent="0.25">
      <c r="A649" s="1342">
        <v>96912</v>
      </c>
      <c r="B649" s="1340" t="s">
        <v>3269</v>
      </c>
      <c r="C649" s="1324">
        <v>7.2000000000000002E-5</v>
      </c>
      <c r="D649" s="1324">
        <v>6.8100000000000002E-5</v>
      </c>
      <c r="E649" s="1332">
        <v>196626</v>
      </c>
      <c r="F649" s="1333"/>
      <c r="G649" s="1332">
        <v>33667</v>
      </c>
      <c r="H649" s="1332">
        <v>4796</v>
      </c>
      <c r="I649" s="1332">
        <v>32047</v>
      </c>
      <c r="J649" s="1332">
        <v>332</v>
      </c>
      <c r="K649" s="1332">
        <v>70842</v>
      </c>
      <c r="L649" s="1333"/>
      <c r="M649" s="1332">
        <v>0</v>
      </c>
      <c r="N649" s="1332">
        <v>0</v>
      </c>
      <c r="O649" s="1332">
        <v>2716</v>
      </c>
      <c r="P649" s="1332">
        <v>2716</v>
      </c>
      <c r="Q649" s="1333"/>
      <c r="R649" s="1332">
        <v>87589</v>
      </c>
      <c r="S649" s="1332">
        <v>-119</v>
      </c>
      <c r="T649" s="1332">
        <v>87470</v>
      </c>
    </row>
    <row r="650" spans="1:20" x14ac:dyDescent="0.25">
      <c r="A650" s="1342">
        <v>96918</v>
      </c>
      <c r="B650" s="1340" t="s">
        <v>3270</v>
      </c>
      <c r="C650" s="1324">
        <v>2.9799999999999999E-5</v>
      </c>
      <c r="D650" s="1324">
        <v>3.2299999999999999E-5</v>
      </c>
      <c r="E650" s="1332">
        <v>81381</v>
      </c>
      <c r="F650" s="1333"/>
      <c r="G650" s="1332">
        <v>13935</v>
      </c>
      <c r="H650" s="1332">
        <v>1985</v>
      </c>
      <c r="I650" s="1332">
        <v>13264</v>
      </c>
      <c r="J650" s="1332">
        <v>299</v>
      </c>
      <c r="K650" s="1332">
        <v>29483</v>
      </c>
      <c r="L650" s="1333"/>
      <c r="M650" s="1332">
        <v>0</v>
      </c>
      <c r="N650" s="1332">
        <v>0</v>
      </c>
      <c r="O650" s="1332">
        <v>3151</v>
      </c>
      <c r="P650" s="1332">
        <v>3151</v>
      </c>
      <c r="Q650" s="1333"/>
      <c r="R650" s="1332">
        <v>36252</v>
      </c>
      <c r="S650" s="1332">
        <v>262</v>
      </c>
      <c r="T650" s="1332">
        <v>36514</v>
      </c>
    </row>
    <row r="651" spans="1:20" x14ac:dyDescent="0.25">
      <c r="A651" s="1342">
        <v>97001</v>
      </c>
      <c r="B651" s="1340" t="s">
        <v>3271</v>
      </c>
      <c r="C651" s="1324">
        <v>1.3541E-3</v>
      </c>
      <c r="D651" s="1324">
        <v>1.3370999999999999E-3</v>
      </c>
      <c r="E651" s="1332">
        <v>3697941</v>
      </c>
      <c r="F651" s="1333"/>
      <c r="G651" s="1332">
        <v>633181</v>
      </c>
      <c r="H651" s="1332">
        <v>90198</v>
      </c>
      <c r="I651" s="1332">
        <v>602703</v>
      </c>
      <c r="J651" s="1332">
        <v>105013</v>
      </c>
      <c r="K651" s="1332">
        <v>1431095</v>
      </c>
      <c r="L651" s="1333"/>
      <c r="M651" s="1332">
        <v>0</v>
      </c>
      <c r="N651" s="1332">
        <v>0</v>
      </c>
      <c r="O651" s="1332">
        <v>0</v>
      </c>
      <c r="P651" s="1332">
        <v>0</v>
      </c>
      <c r="Q651" s="1333"/>
      <c r="R651" s="1332">
        <v>1647280</v>
      </c>
      <c r="S651" s="1332">
        <v>61715</v>
      </c>
      <c r="T651" s="1332">
        <v>1708995</v>
      </c>
    </row>
    <row r="652" spans="1:20" x14ac:dyDescent="0.25">
      <c r="A652" s="1342">
        <v>97002</v>
      </c>
      <c r="B652" s="1340" t="s">
        <v>3272</v>
      </c>
      <c r="C652" s="1324">
        <v>5.04E-4</v>
      </c>
      <c r="D652" s="1324">
        <v>4.8569999999999999E-4</v>
      </c>
      <c r="E652" s="1332">
        <v>1376385</v>
      </c>
      <c r="F652" s="1333"/>
      <c r="G652" s="1332">
        <v>235672</v>
      </c>
      <c r="H652" s="1332">
        <v>33572</v>
      </c>
      <c r="I652" s="1332">
        <v>224328</v>
      </c>
      <c r="J652" s="1332">
        <v>1791</v>
      </c>
      <c r="K652" s="1332">
        <v>495363</v>
      </c>
      <c r="L652" s="1333"/>
      <c r="M652" s="1332">
        <v>0</v>
      </c>
      <c r="N652" s="1332">
        <v>0</v>
      </c>
      <c r="O652" s="1332">
        <v>90399</v>
      </c>
      <c r="P652" s="1332">
        <v>90399</v>
      </c>
      <c r="Q652" s="1333"/>
      <c r="R652" s="1332">
        <v>613123</v>
      </c>
      <c r="S652" s="1332">
        <v>-24523</v>
      </c>
      <c r="T652" s="1332">
        <v>588600</v>
      </c>
    </row>
    <row r="653" spans="1:20" x14ac:dyDescent="0.25">
      <c r="A653" s="1342">
        <v>97004</v>
      </c>
      <c r="B653" s="1340" t="s">
        <v>4197</v>
      </c>
      <c r="C653" s="1324">
        <v>1.5400000000000002E-5</v>
      </c>
      <c r="D653" s="1324">
        <v>8.4999999999999999E-6</v>
      </c>
      <c r="E653" s="1332">
        <v>42056</v>
      </c>
      <c r="F653" s="1333"/>
      <c r="G653" s="1332">
        <v>7201</v>
      </c>
      <c r="H653" s="1332">
        <v>1026</v>
      </c>
      <c r="I653" s="1332">
        <v>6854</v>
      </c>
      <c r="J653" s="1332">
        <v>10950</v>
      </c>
      <c r="K653" s="1332">
        <v>26031</v>
      </c>
      <c r="L653" s="1333"/>
      <c r="M653" s="1332">
        <v>0</v>
      </c>
      <c r="N653" s="1332">
        <v>0</v>
      </c>
      <c r="O653" s="1332">
        <v>0</v>
      </c>
      <c r="P653" s="1332">
        <v>0</v>
      </c>
      <c r="Q653" s="1333"/>
      <c r="R653" s="1332">
        <v>18734</v>
      </c>
      <c r="S653" s="1332">
        <v>3800</v>
      </c>
      <c r="T653" s="1332">
        <v>22534</v>
      </c>
    </row>
    <row r="654" spans="1:20" x14ac:dyDescent="0.25">
      <c r="A654" s="1342">
        <v>97005</v>
      </c>
      <c r="B654" s="1340" t="s">
        <v>3274</v>
      </c>
      <c r="C654" s="1324">
        <v>2.0100000000000001E-5</v>
      </c>
      <c r="D654" s="1324">
        <v>2.7500000000000001E-5</v>
      </c>
      <c r="E654" s="1332">
        <v>54892</v>
      </c>
      <c r="F654" s="1333"/>
      <c r="G654" s="1332">
        <v>9399</v>
      </c>
      <c r="H654" s="1332">
        <v>1339</v>
      </c>
      <c r="I654" s="1332">
        <v>8946</v>
      </c>
      <c r="J654" s="1332">
        <v>6045</v>
      </c>
      <c r="K654" s="1332">
        <v>25729</v>
      </c>
      <c r="L654" s="1333"/>
      <c r="M654" s="1332">
        <v>0</v>
      </c>
      <c r="N654" s="1332">
        <v>0</v>
      </c>
      <c r="O654" s="1332">
        <v>2125</v>
      </c>
      <c r="P654" s="1332">
        <v>2125</v>
      </c>
      <c r="Q654" s="1333"/>
      <c r="R654" s="1332">
        <v>24452</v>
      </c>
      <c r="S654" s="1332">
        <v>3013</v>
      </c>
      <c r="T654" s="1332">
        <v>27465</v>
      </c>
    </row>
    <row r="655" spans="1:20" x14ac:dyDescent="0.25">
      <c r="A655" s="1342">
        <v>97008</v>
      </c>
      <c r="B655" s="1340" t="s">
        <v>3275</v>
      </c>
      <c r="C655" s="1324">
        <v>2.8699999999999998E-4</v>
      </c>
      <c r="D655" s="1324">
        <v>2.766E-4</v>
      </c>
      <c r="E655" s="1332">
        <v>783775</v>
      </c>
      <c r="F655" s="1333"/>
      <c r="G655" s="1332">
        <v>134202</v>
      </c>
      <c r="H655" s="1332">
        <v>19118</v>
      </c>
      <c r="I655" s="1332">
        <v>127742</v>
      </c>
      <c r="J655" s="1332">
        <v>14195</v>
      </c>
      <c r="K655" s="1332">
        <v>295257</v>
      </c>
      <c r="L655" s="1333"/>
      <c r="M655" s="1332">
        <v>0</v>
      </c>
      <c r="N655" s="1332">
        <v>0</v>
      </c>
      <c r="O655" s="1332">
        <v>3097</v>
      </c>
      <c r="P655" s="1332">
        <v>3097</v>
      </c>
      <c r="Q655" s="1333"/>
      <c r="R655" s="1332">
        <v>349139</v>
      </c>
      <c r="S655" s="1332">
        <v>1987</v>
      </c>
      <c r="T655" s="1332">
        <v>351126</v>
      </c>
    </row>
    <row r="656" spans="1:20" x14ac:dyDescent="0.25">
      <c r="A656" s="1342">
        <v>97011</v>
      </c>
      <c r="B656" s="1340" t="s">
        <v>3277</v>
      </c>
      <c r="C656" s="1324">
        <v>1.8362999999999999E-3</v>
      </c>
      <c r="D656" s="1324">
        <v>1.9426999999999999E-3</v>
      </c>
      <c r="E656" s="1332">
        <v>5014792</v>
      </c>
      <c r="F656" s="1333"/>
      <c r="G656" s="1332">
        <v>858659</v>
      </c>
      <c r="H656" s="1332">
        <v>122318</v>
      </c>
      <c r="I656" s="1332">
        <v>817328</v>
      </c>
      <c r="J656" s="1332">
        <v>0</v>
      </c>
      <c r="K656" s="1332">
        <v>1798305</v>
      </c>
      <c r="L656" s="1333"/>
      <c r="M656" s="1332">
        <v>0</v>
      </c>
      <c r="N656" s="1332">
        <v>0</v>
      </c>
      <c r="O656" s="1332">
        <v>124899</v>
      </c>
      <c r="P656" s="1332">
        <v>124899</v>
      </c>
      <c r="Q656" s="1333"/>
      <c r="R656" s="1332">
        <v>2233883</v>
      </c>
      <c r="S656" s="1332">
        <v>-57488</v>
      </c>
      <c r="T656" s="1332">
        <v>2176395</v>
      </c>
    </row>
    <row r="657" spans="1:20" ht="30" x14ac:dyDescent="0.25">
      <c r="A657" s="1342">
        <v>97012</v>
      </c>
      <c r="B657" s="1340" t="s">
        <v>4198</v>
      </c>
      <c r="C657" s="1324">
        <v>2.97E-5</v>
      </c>
      <c r="D657" s="1324">
        <v>3.0700000000000001E-5</v>
      </c>
      <c r="E657" s="1332">
        <v>81108</v>
      </c>
      <c r="F657" s="1333"/>
      <c r="G657" s="1332">
        <v>13888</v>
      </c>
      <c r="H657" s="1332">
        <v>1978</v>
      </c>
      <c r="I657" s="1332">
        <v>13219</v>
      </c>
      <c r="J657" s="1332">
        <v>6037</v>
      </c>
      <c r="K657" s="1332">
        <v>35122</v>
      </c>
      <c r="L657" s="1333"/>
      <c r="M657" s="1332">
        <v>0</v>
      </c>
      <c r="N657" s="1332">
        <v>0</v>
      </c>
      <c r="O657" s="1332">
        <v>0</v>
      </c>
      <c r="P657" s="1332">
        <v>0</v>
      </c>
      <c r="Q657" s="1333"/>
      <c r="R657" s="1332">
        <v>36130</v>
      </c>
      <c r="S657" s="1332">
        <v>2295</v>
      </c>
      <c r="T657" s="1332">
        <v>38425</v>
      </c>
    </row>
    <row r="658" spans="1:20" x14ac:dyDescent="0.25">
      <c r="A658" s="1342">
        <v>97013</v>
      </c>
      <c r="B658" s="1340" t="s">
        <v>3279</v>
      </c>
      <c r="C658" s="1324">
        <v>9.0000000000000002E-6</v>
      </c>
      <c r="D658" s="1324">
        <v>2.19E-5</v>
      </c>
      <c r="E658" s="1332">
        <v>24578</v>
      </c>
      <c r="F658" s="1333"/>
      <c r="G658" s="1332">
        <v>4208</v>
      </c>
      <c r="H658" s="1332">
        <v>599</v>
      </c>
      <c r="I658" s="1332">
        <v>4006</v>
      </c>
      <c r="J658" s="1332">
        <v>4178</v>
      </c>
      <c r="K658" s="1332">
        <v>12991</v>
      </c>
      <c r="L658" s="1333"/>
      <c r="M658" s="1332">
        <v>0</v>
      </c>
      <c r="N658" s="1332">
        <v>0</v>
      </c>
      <c r="O658" s="1332">
        <v>8450</v>
      </c>
      <c r="P658" s="1332">
        <v>8450</v>
      </c>
      <c r="Q658" s="1333"/>
      <c r="R658" s="1332">
        <v>10949</v>
      </c>
      <c r="S658" s="1332">
        <v>1084</v>
      </c>
      <c r="T658" s="1332">
        <v>12033</v>
      </c>
    </row>
    <row r="659" spans="1:20" x14ac:dyDescent="0.25">
      <c r="A659" s="1342">
        <v>97015</v>
      </c>
      <c r="B659" s="1340" t="s">
        <v>3280</v>
      </c>
      <c r="C659" s="1324">
        <v>4.3900000000000003E-5</v>
      </c>
      <c r="D659" s="1324">
        <v>5.1700000000000003E-5</v>
      </c>
      <c r="E659" s="1332">
        <v>119887</v>
      </c>
      <c r="F659" s="1333"/>
      <c r="G659" s="1332">
        <v>20528</v>
      </c>
      <c r="H659" s="1332">
        <v>2925</v>
      </c>
      <c r="I659" s="1332">
        <v>19540</v>
      </c>
      <c r="J659" s="1332">
        <v>6170</v>
      </c>
      <c r="K659" s="1332">
        <v>49163</v>
      </c>
      <c r="L659" s="1333"/>
      <c r="M659" s="1332">
        <v>0</v>
      </c>
      <c r="N659" s="1332">
        <v>0</v>
      </c>
      <c r="O659" s="1332">
        <v>7097</v>
      </c>
      <c r="P659" s="1332">
        <v>7097</v>
      </c>
      <c r="Q659" s="1333"/>
      <c r="R659" s="1332">
        <v>53405</v>
      </c>
      <c r="S659" s="1332">
        <v>1272</v>
      </c>
      <c r="T659" s="1332">
        <v>54677</v>
      </c>
    </row>
    <row r="660" spans="1:20" ht="30" x14ac:dyDescent="0.25">
      <c r="A660" s="1342">
        <v>97018</v>
      </c>
      <c r="B660" s="1340" t="s">
        <v>4199</v>
      </c>
      <c r="C660" s="1324">
        <v>1.6399999999999999E-5</v>
      </c>
      <c r="D660" s="1324">
        <v>7.4000000000000003E-6</v>
      </c>
      <c r="E660" s="1332">
        <v>44787</v>
      </c>
      <c r="F660" s="1333"/>
      <c r="G660" s="1332">
        <v>7669</v>
      </c>
      <c r="H660" s="1332">
        <v>1092</v>
      </c>
      <c r="I660" s="1332">
        <v>7300</v>
      </c>
      <c r="J660" s="1332">
        <v>10886</v>
      </c>
      <c r="K660" s="1332">
        <v>26947</v>
      </c>
      <c r="L660" s="1333"/>
      <c r="M660" s="1332">
        <v>0</v>
      </c>
      <c r="N660" s="1332">
        <v>0</v>
      </c>
      <c r="O660" s="1332">
        <v>0</v>
      </c>
      <c r="P660" s="1332">
        <v>0</v>
      </c>
      <c r="Q660" s="1333"/>
      <c r="R660" s="1332">
        <v>19951</v>
      </c>
      <c r="S660" s="1332">
        <v>4440</v>
      </c>
      <c r="T660" s="1332">
        <v>24391</v>
      </c>
    </row>
    <row r="661" spans="1:20" x14ac:dyDescent="0.25">
      <c r="A661" s="1342">
        <v>97101</v>
      </c>
      <c r="B661" s="1340" t="s">
        <v>3282</v>
      </c>
      <c r="C661" s="1324">
        <v>2.7334E-3</v>
      </c>
      <c r="D661" s="1324">
        <v>2.4805000000000001E-3</v>
      </c>
      <c r="E661" s="1332">
        <v>7464702</v>
      </c>
      <c r="F661" s="1333"/>
      <c r="G661" s="1332">
        <v>1278146</v>
      </c>
      <c r="H661" s="1332">
        <v>182075</v>
      </c>
      <c r="I661" s="1332">
        <v>1216623</v>
      </c>
      <c r="J661" s="1332">
        <v>286055</v>
      </c>
      <c r="K661" s="1332">
        <v>2962899</v>
      </c>
      <c r="L661" s="1333"/>
      <c r="M661" s="1332">
        <v>0</v>
      </c>
      <c r="N661" s="1332">
        <v>0</v>
      </c>
      <c r="O661" s="1332">
        <v>0</v>
      </c>
      <c r="P661" s="1332">
        <v>0</v>
      </c>
      <c r="Q661" s="1333"/>
      <c r="R661" s="1332">
        <v>3325217</v>
      </c>
      <c r="S661" s="1332">
        <v>81275</v>
      </c>
      <c r="T661" s="1332">
        <v>3406492</v>
      </c>
    </row>
    <row r="662" spans="1:20" x14ac:dyDescent="0.25">
      <c r="A662" s="1342">
        <v>97104</v>
      </c>
      <c r="B662" s="1340" t="s">
        <v>3283</v>
      </c>
      <c r="C662" s="1324">
        <v>5.41E-5</v>
      </c>
      <c r="D662" s="1324">
        <v>5.6100000000000002E-5</v>
      </c>
      <c r="E662" s="1332">
        <v>147743</v>
      </c>
      <c r="F662" s="1333"/>
      <c r="G662" s="1332">
        <v>25297</v>
      </c>
      <c r="H662" s="1332">
        <v>3604</v>
      </c>
      <c r="I662" s="1332">
        <v>24080</v>
      </c>
      <c r="J662" s="1332">
        <v>8231</v>
      </c>
      <c r="K662" s="1332">
        <v>61212</v>
      </c>
      <c r="L662" s="1333"/>
      <c r="M662" s="1332">
        <v>0</v>
      </c>
      <c r="N662" s="1332">
        <v>0</v>
      </c>
      <c r="O662" s="1332">
        <v>0</v>
      </c>
      <c r="P662" s="1332">
        <v>0</v>
      </c>
      <c r="Q662" s="1333"/>
      <c r="R662" s="1332">
        <v>65813</v>
      </c>
      <c r="S662" s="1332">
        <v>5598</v>
      </c>
      <c r="T662" s="1332">
        <v>71411</v>
      </c>
    </row>
    <row r="663" spans="1:20" x14ac:dyDescent="0.25">
      <c r="A663" s="1342">
        <v>97111</v>
      </c>
      <c r="B663" s="1340" t="s">
        <v>3284</v>
      </c>
      <c r="C663" s="1324">
        <v>2.8489999999999999E-4</v>
      </c>
      <c r="D663" s="1324">
        <v>2.7779999999999998E-4</v>
      </c>
      <c r="E663" s="1332">
        <v>778040</v>
      </c>
      <c r="F663" s="1333"/>
      <c r="G663" s="1332">
        <v>133220</v>
      </c>
      <c r="H663" s="1332">
        <v>18977</v>
      </c>
      <c r="I663" s="1332">
        <v>126808</v>
      </c>
      <c r="J663" s="1332">
        <v>304</v>
      </c>
      <c r="K663" s="1332">
        <v>279309</v>
      </c>
      <c r="L663" s="1333"/>
      <c r="M663" s="1332">
        <v>0</v>
      </c>
      <c r="N663" s="1332">
        <v>0</v>
      </c>
      <c r="O663" s="1332">
        <v>26123</v>
      </c>
      <c r="P663" s="1332">
        <v>26123</v>
      </c>
      <c r="Q663" s="1333"/>
      <c r="R663" s="1332">
        <v>346585</v>
      </c>
      <c r="S663" s="1332">
        <v>-12867</v>
      </c>
      <c r="T663" s="1332">
        <v>333718</v>
      </c>
    </row>
    <row r="664" spans="1:20" x14ac:dyDescent="0.25">
      <c r="A664" s="1342">
        <v>97121</v>
      </c>
      <c r="B664" s="1340" t="s">
        <v>3285</v>
      </c>
      <c r="C664" s="1324">
        <v>1.493E-4</v>
      </c>
      <c r="D664" s="1324">
        <v>1.2980000000000001E-4</v>
      </c>
      <c r="E664" s="1332">
        <v>407727</v>
      </c>
      <c r="F664" s="1333"/>
      <c r="G664" s="1332">
        <v>69813</v>
      </c>
      <c r="H664" s="1332">
        <v>9945</v>
      </c>
      <c r="I664" s="1332">
        <v>66453</v>
      </c>
      <c r="J664" s="1332">
        <v>34362</v>
      </c>
      <c r="K664" s="1332">
        <v>180573</v>
      </c>
      <c r="L664" s="1333"/>
      <c r="M664" s="1332">
        <v>0</v>
      </c>
      <c r="N664" s="1332">
        <v>0</v>
      </c>
      <c r="O664" s="1332">
        <v>2511</v>
      </c>
      <c r="P664" s="1332">
        <v>2511</v>
      </c>
      <c r="Q664" s="1333"/>
      <c r="R664" s="1332">
        <v>181625</v>
      </c>
      <c r="S664" s="1332">
        <v>7620</v>
      </c>
      <c r="T664" s="1332">
        <v>189245</v>
      </c>
    </row>
    <row r="665" spans="1:20" x14ac:dyDescent="0.25">
      <c r="A665" s="1342">
        <v>97131</v>
      </c>
      <c r="B665" s="1340" t="s">
        <v>3286</v>
      </c>
      <c r="C665" s="1324">
        <v>6.5379999999999995E-4</v>
      </c>
      <c r="D665" s="1324">
        <v>6.0749999999999997E-4</v>
      </c>
      <c r="E665" s="1332">
        <v>1785477</v>
      </c>
      <c r="F665" s="1333"/>
      <c r="G665" s="1332">
        <v>305719</v>
      </c>
      <c r="H665" s="1332">
        <v>43550</v>
      </c>
      <c r="I665" s="1332">
        <v>291003</v>
      </c>
      <c r="J665" s="1332">
        <v>19533</v>
      </c>
      <c r="K665" s="1332">
        <v>659805</v>
      </c>
      <c r="L665" s="1333"/>
      <c r="M665" s="1332">
        <v>0</v>
      </c>
      <c r="N665" s="1332">
        <v>0</v>
      </c>
      <c r="O665" s="1332">
        <v>88627</v>
      </c>
      <c r="P665" s="1332">
        <v>88627</v>
      </c>
      <c r="Q665" s="1333"/>
      <c r="R665" s="1332">
        <v>795356</v>
      </c>
      <c r="S665" s="1332">
        <v>-20082</v>
      </c>
      <c r="T665" s="1332">
        <v>775274</v>
      </c>
    </row>
    <row r="666" spans="1:20" x14ac:dyDescent="0.25">
      <c r="A666" s="1342">
        <v>97201</v>
      </c>
      <c r="B666" s="1340" t="s">
        <v>3287</v>
      </c>
      <c r="C666" s="1324">
        <v>5.8529999999999997E-4</v>
      </c>
      <c r="D666" s="1324">
        <v>5.1219999999999998E-4</v>
      </c>
      <c r="E666" s="1332">
        <v>1598409</v>
      </c>
      <c r="F666" s="1333"/>
      <c r="G666" s="1332">
        <v>273688</v>
      </c>
      <c r="H666" s="1332">
        <v>38988</v>
      </c>
      <c r="I666" s="1332">
        <v>260514</v>
      </c>
      <c r="J666" s="1332">
        <v>76290</v>
      </c>
      <c r="K666" s="1332">
        <v>649480</v>
      </c>
      <c r="L666" s="1333"/>
      <c r="M666" s="1332">
        <v>0</v>
      </c>
      <c r="N666" s="1332">
        <v>0</v>
      </c>
      <c r="O666" s="1332">
        <v>934</v>
      </c>
      <c r="P666" s="1332">
        <v>934</v>
      </c>
      <c r="Q666" s="1333"/>
      <c r="R666" s="1332">
        <v>712025</v>
      </c>
      <c r="S666" s="1332">
        <v>26960</v>
      </c>
      <c r="T666" s="1332">
        <v>738985</v>
      </c>
    </row>
    <row r="667" spans="1:20" s="1345" customFormat="1" x14ac:dyDescent="0.25">
      <c r="A667" s="1342">
        <v>97211</v>
      </c>
      <c r="B667" s="1340" t="s">
        <v>3288</v>
      </c>
      <c r="C667" s="1324">
        <v>8.14E-5</v>
      </c>
      <c r="D667" s="1324">
        <v>1.4569999999999999E-4</v>
      </c>
      <c r="E667" s="1332">
        <v>222297</v>
      </c>
      <c r="F667" s="1333"/>
      <c r="G667" s="1332">
        <v>38063</v>
      </c>
      <c r="H667" s="1332">
        <v>5422</v>
      </c>
      <c r="I667" s="1332">
        <v>36231</v>
      </c>
      <c r="J667" s="1332">
        <v>6850</v>
      </c>
      <c r="K667" s="1332">
        <v>86566</v>
      </c>
      <c r="L667" s="1333"/>
      <c r="M667" s="1332">
        <v>0</v>
      </c>
      <c r="N667" s="1332">
        <v>0</v>
      </c>
      <c r="O667" s="1332">
        <v>40119</v>
      </c>
      <c r="P667" s="1332">
        <v>40119</v>
      </c>
      <c r="Q667" s="1333"/>
      <c r="R667" s="1332">
        <v>99024</v>
      </c>
      <c r="S667" s="1332">
        <v>-9150</v>
      </c>
      <c r="T667" s="1332">
        <v>89874</v>
      </c>
    </row>
    <row r="668" spans="1:20" x14ac:dyDescent="0.25">
      <c r="A668" s="1342">
        <v>97213</v>
      </c>
      <c r="B668" s="1340" t="s">
        <v>4200</v>
      </c>
      <c r="C668" s="1324">
        <v>3.5500000000000002E-5</v>
      </c>
      <c r="D668" s="1324">
        <v>4.5599999999999997E-5</v>
      </c>
      <c r="E668" s="1332">
        <v>96948</v>
      </c>
      <c r="F668" s="1333"/>
      <c r="G668" s="1332">
        <v>16600</v>
      </c>
      <c r="H668" s="1332">
        <v>2364</v>
      </c>
      <c r="I668" s="1332">
        <v>15801</v>
      </c>
      <c r="J668" s="1332">
        <v>6055</v>
      </c>
      <c r="K668" s="1332">
        <v>40820</v>
      </c>
      <c r="L668" s="1333"/>
      <c r="M668" s="1332">
        <v>0</v>
      </c>
      <c r="N668" s="1332">
        <v>0</v>
      </c>
      <c r="O668" s="1332">
        <v>5103</v>
      </c>
      <c r="P668" s="1332">
        <v>5103</v>
      </c>
      <c r="Q668" s="1333"/>
      <c r="R668" s="1332">
        <v>43186</v>
      </c>
      <c r="S668" s="1332">
        <v>1150</v>
      </c>
      <c r="T668" s="1332">
        <v>44336</v>
      </c>
    </row>
    <row r="669" spans="1:20" x14ac:dyDescent="0.25">
      <c r="A669" s="1342">
        <v>97217</v>
      </c>
      <c r="B669" s="1340" t="s">
        <v>3290</v>
      </c>
      <c r="C669" s="1324">
        <v>5.5999999999999997E-6</v>
      </c>
      <c r="D669" s="1324">
        <v>4.8999999999999997E-6</v>
      </c>
      <c r="E669" s="1332">
        <v>15293</v>
      </c>
      <c r="F669" s="1333"/>
      <c r="G669" s="1332">
        <v>2619</v>
      </c>
      <c r="H669" s="1332">
        <v>373</v>
      </c>
      <c r="I669" s="1332">
        <v>2493</v>
      </c>
      <c r="J669" s="1332">
        <v>8547</v>
      </c>
      <c r="K669" s="1332">
        <v>14032</v>
      </c>
      <c r="L669" s="1333"/>
      <c r="M669" s="1332">
        <v>0</v>
      </c>
      <c r="N669" s="1332">
        <v>0</v>
      </c>
      <c r="O669" s="1332">
        <v>0</v>
      </c>
      <c r="P669" s="1332">
        <v>0</v>
      </c>
      <c r="Q669" s="1333"/>
      <c r="R669" s="1332">
        <v>6812</v>
      </c>
      <c r="S669" s="1332">
        <v>4118</v>
      </c>
      <c r="T669" s="1332">
        <v>10930</v>
      </c>
    </row>
    <row r="670" spans="1:20" x14ac:dyDescent="0.25">
      <c r="A670" s="1342">
        <v>97221</v>
      </c>
      <c r="B670" s="1340" t="s">
        <v>3291</v>
      </c>
      <c r="C670" s="1324">
        <v>1.24E-5</v>
      </c>
      <c r="D670" s="1324">
        <v>3.9999999999999998E-6</v>
      </c>
      <c r="E670" s="1332">
        <v>33863</v>
      </c>
      <c r="F670" s="1333"/>
      <c r="G670" s="1332">
        <v>5798</v>
      </c>
      <c r="H670" s="1332">
        <v>826</v>
      </c>
      <c r="I670" s="1332">
        <v>5519</v>
      </c>
      <c r="J670" s="1332">
        <v>10782</v>
      </c>
      <c r="K670" s="1332">
        <v>22925</v>
      </c>
      <c r="L670" s="1333"/>
      <c r="M670" s="1332">
        <v>0</v>
      </c>
      <c r="N670" s="1332">
        <v>0</v>
      </c>
      <c r="O670" s="1332">
        <v>0</v>
      </c>
      <c r="P670" s="1332">
        <v>0</v>
      </c>
      <c r="Q670" s="1333"/>
      <c r="R670" s="1332">
        <v>15085</v>
      </c>
      <c r="S670" s="1332">
        <v>4204</v>
      </c>
      <c r="T670" s="1332">
        <v>19289</v>
      </c>
    </row>
    <row r="671" spans="1:20" x14ac:dyDescent="0.25">
      <c r="A671" s="1342">
        <v>97301</v>
      </c>
      <c r="B671" s="1340" t="s">
        <v>3292</v>
      </c>
      <c r="C671" s="1324">
        <v>2.3942E-3</v>
      </c>
      <c r="D671" s="1324">
        <v>2.4616E-3</v>
      </c>
      <c r="E671" s="1332">
        <v>6538373</v>
      </c>
      <c r="F671" s="1333"/>
      <c r="G671" s="1332">
        <v>1119535</v>
      </c>
      <c r="H671" s="1332">
        <v>159480</v>
      </c>
      <c r="I671" s="1332">
        <v>1065646</v>
      </c>
      <c r="J671" s="1332">
        <v>0</v>
      </c>
      <c r="K671" s="1332">
        <v>2344661</v>
      </c>
      <c r="L671" s="1333"/>
      <c r="M671" s="1332">
        <v>0</v>
      </c>
      <c r="N671" s="1332">
        <v>0</v>
      </c>
      <c r="O671" s="1332">
        <v>50293</v>
      </c>
      <c r="P671" s="1332">
        <v>50293</v>
      </c>
      <c r="Q671" s="1333"/>
      <c r="R671" s="1332">
        <v>2912575</v>
      </c>
      <c r="S671" s="1332">
        <v>-14030</v>
      </c>
      <c r="T671" s="1332">
        <v>2898545</v>
      </c>
    </row>
    <row r="672" spans="1:20" x14ac:dyDescent="0.25">
      <c r="A672" s="1342">
        <v>97304</v>
      </c>
      <c r="B672" s="1340" t="s">
        <v>4824</v>
      </c>
      <c r="C672" s="1324">
        <v>1.4399999999999999E-5</v>
      </c>
      <c r="D672" s="1324">
        <v>1.5299999999999999E-5</v>
      </c>
      <c r="E672" s="1332">
        <v>39325</v>
      </c>
      <c r="F672" s="1333"/>
      <c r="G672" s="1332">
        <v>6733</v>
      </c>
      <c r="H672" s="1332">
        <v>959</v>
      </c>
      <c r="I672" s="1332">
        <v>6409</v>
      </c>
      <c r="J672" s="1332">
        <v>11209</v>
      </c>
      <c r="K672" s="1332">
        <v>25310</v>
      </c>
      <c r="L672" s="1333"/>
      <c r="M672" s="1332">
        <v>0</v>
      </c>
      <c r="N672" s="1332">
        <v>0</v>
      </c>
      <c r="O672" s="1332">
        <v>0</v>
      </c>
      <c r="P672" s="1332">
        <v>0</v>
      </c>
      <c r="Q672" s="1333"/>
      <c r="R672" s="1332">
        <v>17518</v>
      </c>
      <c r="S672" s="1332">
        <v>4892</v>
      </c>
      <c r="T672" s="1332">
        <v>22410</v>
      </c>
    </row>
    <row r="673" spans="1:20" x14ac:dyDescent="0.25">
      <c r="A673" s="1342">
        <v>97311</v>
      </c>
      <c r="B673" s="1340" t="s">
        <v>3294</v>
      </c>
      <c r="C673" s="1324">
        <v>9.0109999999999995E-4</v>
      </c>
      <c r="D673" s="1324">
        <v>8.8420000000000002E-4</v>
      </c>
      <c r="E673" s="1332">
        <v>2460834</v>
      </c>
      <c r="F673" s="1333"/>
      <c r="G673" s="1332">
        <v>421357</v>
      </c>
      <c r="H673" s="1332">
        <v>60024</v>
      </c>
      <c r="I673" s="1332">
        <v>401075</v>
      </c>
      <c r="J673" s="1332">
        <v>0</v>
      </c>
      <c r="K673" s="1332">
        <v>882456</v>
      </c>
      <c r="L673" s="1333"/>
      <c r="M673" s="1332">
        <v>0</v>
      </c>
      <c r="N673" s="1332">
        <v>0</v>
      </c>
      <c r="O673" s="1332">
        <v>51438</v>
      </c>
      <c r="P673" s="1332">
        <v>51438</v>
      </c>
      <c r="Q673" s="1333"/>
      <c r="R673" s="1332">
        <v>1096200</v>
      </c>
      <c r="S673" s="1332">
        <v>-31608</v>
      </c>
      <c r="T673" s="1332">
        <v>1064592</v>
      </c>
    </row>
    <row r="674" spans="1:20" x14ac:dyDescent="0.25">
      <c r="A674" s="1342">
        <v>97401</v>
      </c>
      <c r="B674" s="1340" t="s">
        <v>3295</v>
      </c>
      <c r="C674" s="1324">
        <v>7.0562999999999997E-3</v>
      </c>
      <c r="D674" s="1324">
        <v>7.1440000000000002E-3</v>
      </c>
      <c r="E674" s="1332">
        <v>19270205</v>
      </c>
      <c r="F674" s="1333"/>
      <c r="G674" s="1332">
        <v>3299547</v>
      </c>
      <c r="H674" s="1332">
        <v>470027</v>
      </c>
      <c r="I674" s="1332">
        <v>3140724</v>
      </c>
      <c r="J674" s="1332">
        <v>136552</v>
      </c>
      <c r="K674" s="1332">
        <v>7046850</v>
      </c>
      <c r="L674" s="1333"/>
      <c r="M674" s="1332">
        <v>0</v>
      </c>
      <c r="N674" s="1332">
        <v>0</v>
      </c>
      <c r="O674" s="1332">
        <v>14697</v>
      </c>
      <c r="P674" s="1332">
        <v>14697</v>
      </c>
      <c r="Q674" s="1333"/>
      <c r="R674" s="1332">
        <v>8584081</v>
      </c>
      <c r="S674" s="1332">
        <v>36785</v>
      </c>
      <c r="T674" s="1332">
        <v>8620866</v>
      </c>
    </row>
    <row r="675" spans="1:20" x14ac:dyDescent="0.25">
      <c r="A675" s="1342">
        <v>97402</v>
      </c>
      <c r="B675" s="1340" t="s">
        <v>4202</v>
      </c>
      <c r="C675" s="1324">
        <v>4.1999999999999998E-5</v>
      </c>
      <c r="D675" s="1324">
        <v>4.8399999999999997E-5</v>
      </c>
      <c r="E675" s="1332">
        <v>114699</v>
      </c>
      <c r="F675" s="1333"/>
      <c r="G675" s="1332">
        <v>19639</v>
      </c>
      <c r="H675" s="1332">
        <v>2798</v>
      </c>
      <c r="I675" s="1332">
        <v>18694</v>
      </c>
      <c r="J675" s="1332">
        <v>7239</v>
      </c>
      <c r="K675" s="1332">
        <v>48370</v>
      </c>
      <c r="L675" s="1333"/>
      <c r="M675" s="1332">
        <v>0</v>
      </c>
      <c r="N675" s="1332">
        <v>0</v>
      </c>
      <c r="O675" s="1332">
        <v>37</v>
      </c>
      <c r="P675" s="1332">
        <v>37</v>
      </c>
      <c r="Q675" s="1333"/>
      <c r="R675" s="1332">
        <v>51094</v>
      </c>
      <c r="S675" s="1332">
        <v>5663</v>
      </c>
      <c r="T675" s="1332">
        <v>56757</v>
      </c>
    </row>
    <row r="676" spans="1:20" x14ac:dyDescent="0.25">
      <c r="A676" s="1342">
        <v>97404</v>
      </c>
      <c r="B676" s="1340" t="s">
        <v>3297</v>
      </c>
      <c r="C676" s="1324">
        <v>2.1240000000000001E-4</v>
      </c>
      <c r="D676" s="1324">
        <v>2.0320000000000001E-4</v>
      </c>
      <c r="E676" s="1332">
        <v>580048</v>
      </c>
      <c r="F676" s="1333"/>
      <c r="G676" s="1332">
        <v>99319</v>
      </c>
      <c r="H676" s="1332">
        <v>14148</v>
      </c>
      <c r="I676" s="1332">
        <v>94538</v>
      </c>
      <c r="J676" s="1332">
        <v>804</v>
      </c>
      <c r="K676" s="1332">
        <v>208809</v>
      </c>
      <c r="L676" s="1333"/>
      <c r="M676" s="1332">
        <v>0</v>
      </c>
      <c r="N676" s="1332">
        <v>0</v>
      </c>
      <c r="O676" s="1332">
        <v>16299</v>
      </c>
      <c r="P676" s="1332">
        <v>16299</v>
      </c>
      <c r="Q676" s="1333"/>
      <c r="R676" s="1332">
        <v>258387</v>
      </c>
      <c r="S676" s="1332">
        <v>-9548</v>
      </c>
      <c r="T676" s="1332">
        <v>248839</v>
      </c>
    </row>
    <row r="677" spans="1:20" x14ac:dyDescent="0.25">
      <c r="A677" s="1342">
        <v>97405</v>
      </c>
      <c r="B677" s="1340" t="s">
        <v>3298</v>
      </c>
      <c r="C677" s="1324">
        <v>1.106E-4</v>
      </c>
      <c r="D677" s="1324">
        <v>1.156E-4</v>
      </c>
      <c r="E677" s="1332">
        <v>302040</v>
      </c>
      <c r="F677" s="1333"/>
      <c r="G677" s="1332">
        <v>51717</v>
      </c>
      <c r="H677" s="1332">
        <v>7367</v>
      </c>
      <c r="I677" s="1332">
        <v>49228</v>
      </c>
      <c r="J677" s="1332">
        <v>28536</v>
      </c>
      <c r="K677" s="1332">
        <v>136848</v>
      </c>
      <c r="L677" s="1333"/>
      <c r="M677" s="1332">
        <v>0</v>
      </c>
      <c r="N677" s="1332">
        <v>0</v>
      </c>
      <c r="O677" s="1332">
        <v>0</v>
      </c>
      <c r="P677" s="1332">
        <v>0</v>
      </c>
      <c r="Q677" s="1333"/>
      <c r="R677" s="1332">
        <v>134546</v>
      </c>
      <c r="S677" s="1332">
        <v>14994</v>
      </c>
      <c r="T677" s="1332">
        <v>149540</v>
      </c>
    </row>
    <row r="678" spans="1:20" x14ac:dyDescent="0.25">
      <c r="A678" s="1342">
        <v>97408</v>
      </c>
      <c r="B678" s="1340" t="s">
        <v>4203</v>
      </c>
      <c r="C678" s="1324">
        <v>3.8999999999999999E-5</v>
      </c>
      <c r="D678" s="1324">
        <v>4.3000000000000002E-5</v>
      </c>
      <c r="E678" s="1332">
        <v>106506</v>
      </c>
      <c r="F678" s="1333"/>
      <c r="G678" s="1332">
        <v>18237</v>
      </c>
      <c r="H678" s="1332">
        <v>2598</v>
      </c>
      <c r="I678" s="1332">
        <v>17359</v>
      </c>
      <c r="J678" s="1332">
        <v>6662</v>
      </c>
      <c r="K678" s="1332">
        <v>44856</v>
      </c>
      <c r="L678" s="1333"/>
      <c r="M678" s="1332">
        <v>0</v>
      </c>
      <c r="N678" s="1332">
        <v>0</v>
      </c>
      <c r="O678" s="1332">
        <v>0</v>
      </c>
      <c r="P678" s="1332">
        <v>0</v>
      </c>
      <c r="Q678" s="1333"/>
      <c r="R678" s="1332">
        <v>47444</v>
      </c>
      <c r="S678" s="1332">
        <v>3520</v>
      </c>
      <c r="T678" s="1332">
        <v>50964</v>
      </c>
    </row>
    <row r="679" spans="1:20" x14ac:dyDescent="0.25">
      <c r="A679" s="1342">
        <v>97411</v>
      </c>
      <c r="B679" s="1340" t="s">
        <v>3300</v>
      </c>
      <c r="C679" s="1324">
        <v>6.3997999999999998E-3</v>
      </c>
      <c r="D679" s="1324">
        <v>6.2385000000000001E-3</v>
      </c>
      <c r="E679" s="1332">
        <v>17477355</v>
      </c>
      <c r="F679" s="1333"/>
      <c r="G679" s="1332">
        <v>2992566</v>
      </c>
      <c r="H679" s="1332">
        <v>426298</v>
      </c>
      <c r="I679" s="1332">
        <v>2848519</v>
      </c>
      <c r="J679" s="1332">
        <v>33760</v>
      </c>
      <c r="K679" s="1332">
        <v>6301143</v>
      </c>
      <c r="L679" s="1333"/>
      <c r="M679" s="1332">
        <v>0</v>
      </c>
      <c r="N679" s="1332">
        <v>0</v>
      </c>
      <c r="O679" s="1332">
        <v>372381</v>
      </c>
      <c r="P679" s="1332">
        <v>372381</v>
      </c>
      <c r="Q679" s="1333"/>
      <c r="R679" s="1332">
        <v>7785440</v>
      </c>
      <c r="S679" s="1332">
        <v>-286709</v>
      </c>
      <c r="T679" s="1332">
        <v>7498731</v>
      </c>
    </row>
    <row r="680" spans="1:20" x14ac:dyDescent="0.25">
      <c r="A680" s="1342">
        <v>97412</v>
      </c>
      <c r="B680" s="1340" t="s">
        <v>3301</v>
      </c>
      <c r="C680" s="1324">
        <v>4.4903E-3</v>
      </c>
      <c r="D680" s="1324">
        <v>4.6245000000000001E-3</v>
      </c>
      <c r="E680" s="1332">
        <v>12262659</v>
      </c>
      <c r="F680" s="1333"/>
      <c r="G680" s="1332">
        <v>2099678</v>
      </c>
      <c r="H680" s="1332">
        <v>299104</v>
      </c>
      <c r="I680" s="1332">
        <v>1998610</v>
      </c>
      <c r="J680" s="1332">
        <v>147881</v>
      </c>
      <c r="K680" s="1332">
        <v>4545273</v>
      </c>
      <c r="L680" s="1333"/>
      <c r="M680" s="1332">
        <v>0</v>
      </c>
      <c r="N680" s="1332">
        <v>0</v>
      </c>
      <c r="O680" s="1332">
        <v>93373</v>
      </c>
      <c r="P680" s="1332">
        <v>93373</v>
      </c>
      <c r="Q680" s="1333"/>
      <c r="R680" s="1332">
        <v>5462508</v>
      </c>
      <c r="S680" s="1332">
        <v>62154</v>
      </c>
      <c r="T680" s="1332">
        <v>5524662</v>
      </c>
    </row>
    <row r="681" spans="1:20" x14ac:dyDescent="0.25">
      <c r="A681" s="1342">
        <v>97413</v>
      </c>
      <c r="B681" s="1340" t="s">
        <v>3302</v>
      </c>
      <c r="C681" s="1324">
        <v>2.812E-4</v>
      </c>
      <c r="D681" s="1324">
        <v>2.7E-4</v>
      </c>
      <c r="E681" s="1332">
        <v>767935</v>
      </c>
      <c r="F681" s="1333"/>
      <c r="G681" s="1332">
        <v>131490</v>
      </c>
      <c r="H681" s="1332">
        <v>18731</v>
      </c>
      <c r="I681" s="1332">
        <v>125161</v>
      </c>
      <c r="J681" s="1332">
        <v>44625</v>
      </c>
      <c r="K681" s="1332">
        <v>320007</v>
      </c>
      <c r="L681" s="1333"/>
      <c r="M681" s="1332">
        <v>0</v>
      </c>
      <c r="N681" s="1332">
        <v>0</v>
      </c>
      <c r="O681" s="1332">
        <v>0</v>
      </c>
      <c r="P681" s="1332">
        <v>0</v>
      </c>
      <c r="Q681" s="1333"/>
      <c r="R681" s="1332">
        <v>342083</v>
      </c>
      <c r="S681" s="1332">
        <v>12847</v>
      </c>
      <c r="T681" s="1332">
        <v>354930</v>
      </c>
    </row>
    <row r="682" spans="1:20" x14ac:dyDescent="0.25">
      <c r="A682" s="1342">
        <v>97421</v>
      </c>
      <c r="B682" s="1340" t="s">
        <v>3303</v>
      </c>
      <c r="C682" s="1324">
        <v>4.3120000000000002E-4</v>
      </c>
      <c r="D682" s="1324">
        <v>4.4739999999999998E-4</v>
      </c>
      <c r="E682" s="1332">
        <v>1177574</v>
      </c>
      <c r="F682" s="1333"/>
      <c r="G682" s="1332">
        <v>201630</v>
      </c>
      <c r="H682" s="1332">
        <v>28722</v>
      </c>
      <c r="I682" s="1332">
        <v>191925</v>
      </c>
      <c r="J682" s="1332">
        <v>8998</v>
      </c>
      <c r="K682" s="1332">
        <v>431275</v>
      </c>
      <c r="L682" s="1333"/>
      <c r="M682" s="1332">
        <v>0</v>
      </c>
      <c r="N682" s="1332">
        <v>0</v>
      </c>
      <c r="O682" s="1332">
        <v>25214</v>
      </c>
      <c r="P682" s="1332">
        <v>25214</v>
      </c>
      <c r="Q682" s="1333"/>
      <c r="R682" s="1332">
        <v>524560</v>
      </c>
      <c r="S682" s="1332">
        <v>-9185</v>
      </c>
      <c r="T682" s="1332">
        <v>515375</v>
      </c>
    </row>
    <row r="683" spans="1:20" x14ac:dyDescent="0.25">
      <c r="A683" s="1342">
        <v>97423</v>
      </c>
      <c r="B683" s="1340" t="s">
        <v>3304</v>
      </c>
      <c r="C683" s="1324">
        <v>4.3000000000000002E-5</v>
      </c>
      <c r="D683" s="1324">
        <v>3.93E-5</v>
      </c>
      <c r="E683" s="1332">
        <v>117430</v>
      </c>
      <c r="F683" s="1333"/>
      <c r="G683" s="1332">
        <v>20107</v>
      </c>
      <c r="H683" s="1332">
        <v>2864</v>
      </c>
      <c r="I683" s="1332">
        <v>19139</v>
      </c>
      <c r="J683" s="1332">
        <v>44588</v>
      </c>
      <c r="K683" s="1332">
        <v>86698</v>
      </c>
      <c r="L683" s="1333"/>
      <c r="M683" s="1332">
        <v>0</v>
      </c>
      <c r="N683" s="1332">
        <v>0</v>
      </c>
      <c r="O683" s="1332">
        <v>0</v>
      </c>
      <c r="P683" s="1332">
        <v>0</v>
      </c>
      <c r="Q683" s="1333"/>
      <c r="R683" s="1332">
        <v>52310</v>
      </c>
      <c r="S683" s="1332">
        <v>20446</v>
      </c>
      <c r="T683" s="1332">
        <v>72756</v>
      </c>
    </row>
    <row r="684" spans="1:20" x14ac:dyDescent="0.25">
      <c r="A684" s="1342">
        <v>97431</v>
      </c>
      <c r="B684" s="1340" t="s">
        <v>3305</v>
      </c>
      <c r="C684" s="1324">
        <v>8.92E-5</v>
      </c>
      <c r="D684" s="1324">
        <v>1.0349999999999999E-4</v>
      </c>
      <c r="E684" s="1332">
        <v>243598</v>
      </c>
      <c r="F684" s="1333"/>
      <c r="G684" s="1332">
        <v>41710</v>
      </c>
      <c r="H684" s="1332">
        <v>5942</v>
      </c>
      <c r="I684" s="1332">
        <v>39702</v>
      </c>
      <c r="J684" s="1332">
        <v>12171</v>
      </c>
      <c r="K684" s="1332">
        <v>99525</v>
      </c>
      <c r="L684" s="1333"/>
      <c r="M684" s="1332">
        <v>0</v>
      </c>
      <c r="N684" s="1332">
        <v>0</v>
      </c>
      <c r="O684" s="1332">
        <v>7106</v>
      </c>
      <c r="P684" s="1332">
        <v>7106</v>
      </c>
      <c r="Q684" s="1333"/>
      <c r="R684" s="1332">
        <v>108513</v>
      </c>
      <c r="S684" s="1332">
        <v>3316</v>
      </c>
      <c r="T684" s="1332">
        <v>111829</v>
      </c>
    </row>
    <row r="685" spans="1:20" x14ac:dyDescent="0.25">
      <c r="A685" s="1342">
        <v>97441</v>
      </c>
      <c r="B685" s="1340" t="s">
        <v>3306</v>
      </c>
      <c r="C685" s="1324">
        <v>5.7899999999999998E-5</v>
      </c>
      <c r="D685" s="1324">
        <v>5.2899999999999998E-5</v>
      </c>
      <c r="E685" s="1332">
        <v>158120</v>
      </c>
      <c r="F685" s="1333"/>
      <c r="G685" s="1332">
        <v>27074</v>
      </c>
      <c r="H685" s="1332">
        <v>3857</v>
      </c>
      <c r="I685" s="1332">
        <v>25771</v>
      </c>
      <c r="J685" s="1332">
        <v>0</v>
      </c>
      <c r="K685" s="1332">
        <v>56702</v>
      </c>
      <c r="L685" s="1333"/>
      <c r="M685" s="1332">
        <v>0</v>
      </c>
      <c r="N685" s="1332">
        <v>0</v>
      </c>
      <c r="O685" s="1332">
        <v>19827</v>
      </c>
      <c r="P685" s="1332">
        <v>19827</v>
      </c>
      <c r="Q685" s="1333"/>
      <c r="R685" s="1332">
        <v>70436</v>
      </c>
      <c r="S685" s="1332">
        <v>-7836</v>
      </c>
      <c r="T685" s="1332">
        <v>62600</v>
      </c>
    </row>
    <row r="686" spans="1:20" x14ac:dyDescent="0.25">
      <c r="A686" s="1342">
        <v>97451</v>
      </c>
      <c r="B686" s="1340" t="s">
        <v>3307</v>
      </c>
      <c r="C686" s="1324">
        <v>6.6290000000000001E-4</v>
      </c>
      <c r="D686" s="1324">
        <v>6.3380000000000001E-4</v>
      </c>
      <c r="E686" s="1332">
        <v>1810328</v>
      </c>
      <c r="F686" s="1333"/>
      <c r="G686" s="1332">
        <v>309974</v>
      </c>
      <c r="H686" s="1332">
        <v>44156</v>
      </c>
      <c r="I686" s="1332">
        <v>295053</v>
      </c>
      <c r="J686" s="1332">
        <v>13127</v>
      </c>
      <c r="K686" s="1332">
        <v>662310</v>
      </c>
      <c r="L686" s="1333"/>
      <c r="M686" s="1332">
        <v>0</v>
      </c>
      <c r="N686" s="1332">
        <v>0</v>
      </c>
      <c r="O686" s="1332">
        <v>23794</v>
      </c>
      <c r="P686" s="1332">
        <v>23794</v>
      </c>
      <c r="Q686" s="1333"/>
      <c r="R686" s="1332">
        <v>806426</v>
      </c>
      <c r="S686" s="1332">
        <v>-5099</v>
      </c>
      <c r="T686" s="1332">
        <v>801327</v>
      </c>
    </row>
    <row r="687" spans="1:20" x14ac:dyDescent="0.25">
      <c r="A687" s="1342">
        <v>97471</v>
      </c>
      <c r="B687" s="1340" t="s">
        <v>3310</v>
      </c>
      <c r="C687" s="1324">
        <v>1.6399999999999999E-5</v>
      </c>
      <c r="D687" s="1324">
        <v>1.66E-5</v>
      </c>
      <c r="E687" s="1332">
        <v>44787</v>
      </c>
      <c r="F687" s="1333"/>
      <c r="G687" s="1332">
        <v>7669</v>
      </c>
      <c r="H687" s="1332">
        <v>1092</v>
      </c>
      <c r="I687" s="1332">
        <v>7300</v>
      </c>
      <c r="J687" s="1332">
        <v>10800</v>
      </c>
      <c r="K687" s="1332">
        <v>26861</v>
      </c>
      <c r="L687" s="1333"/>
      <c r="M687" s="1332">
        <v>0</v>
      </c>
      <c r="N687" s="1332">
        <v>0</v>
      </c>
      <c r="O687" s="1332">
        <v>0</v>
      </c>
      <c r="P687" s="1332">
        <v>0</v>
      </c>
      <c r="Q687" s="1333"/>
      <c r="R687" s="1332">
        <v>19951</v>
      </c>
      <c r="S687" s="1332">
        <v>4485</v>
      </c>
      <c r="T687" s="1332">
        <v>24436</v>
      </c>
    </row>
    <row r="688" spans="1:20" x14ac:dyDescent="0.25">
      <c r="A688" s="1342">
        <v>97481</v>
      </c>
      <c r="B688" s="1340" t="s">
        <v>3311</v>
      </c>
      <c r="C688" s="1324">
        <v>8.9999999999999996E-7</v>
      </c>
      <c r="D688" s="1324">
        <v>1.26E-5</v>
      </c>
      <c r="E688" s="1332">
        <v>2458</v>
      </c>
      <c r="F688" s="1333"/>
      <c r="G688" s="1332">
        <v>421</v>
      </c>
      <c r="H688" s="1332">
        <v>60</v>
      </c>
      <c r="I688" s="1332">
        <v>401</v>
      </c>
      <c r="J688" s="1332">
        <v>840</v>
      </c>
      <c r="K688" s="1332">
        <v>1722</v>
      </c>
      <c r="L688" s="1333"/>
      <c r="M688" s="1332">
        <v>0</v>
      </c>
      <c r="N688" s="1332">
        <v>0</v>
      </c>
      <c r="O688" s="1332">
        <v>10056</v>
      </c>
      <c r="P688" s="1332">
        <v>10056</v>
      </c>
      <c r="Q688" s="1333"/>
      <c r="R688" s="1332">
        <v>1095</v>
      </c>
      <c r="S688" s="1332">
        <v>-1984</v>
      </c>
      <c r="T688" s="1332">
        <v>-889</v>
      </c>
    </row>
    <row r="689" spans="1:20" x14ac:dyDescent="0.25">
      <c r="A689" s="1342">
        <v>97501</v>
      </c>
      <c r="B689" s="1340" t="s">
        <v>3313</v>
      </c>
      <c r="C689" s="1324">
        <v>1.1816999999999999E-3</v>
      </c>
      <c r="D689" s="1324">
        <v>1.0767999999999999E-3</v>
      </c>
      <c r="E689" s="1332">
        <v>3227131</v>
      </c>
      <c r="F689" s="1333"/>
      <c r="G689" s="1332">
        <v>552566</v>
      </c>
      <c r="H689" s="1332">
        <v>78714</v>
      </c>
      <c r="I689" s="1332">
        <v>525969</v>
      </c>
      <c r="J689" s="1332">
        <v>135321</v>
      </c>
      <c r="K689" s="1332">
        <v>1292570</v>
      </c>
      <c r="L689" s="1333"/>
      <c r="M689" s="1332">
        <v>0</v>
      </c>
      <c r="N689" s="1332">
        <v>0</v>
      </c>
      <c r="O689" s="1332">
        <v>2461</v>
      </c>
      <c r="P689" s="1332">
        <v>2461</v>
      </c>
      <c r="Q689" s="1333"/>
      <c r="R689" s="1332">
        <v>1437553</v>
      </c>
      <c r="S689" s="1332">
        <v>49533</v>
      </c>
      <c r="T689" s="1332">
        <v>1487086</v>
      </c>
    </row>
    <row r="690" spans="1:20" x14ac:dyDescent="0.25">
      <c r="A690" s="1342">
        <v>97511</v>
      </c>
      <c r="B690" s="1340" t="s">
        <v>3314</v>
      </c>
      <c r="C690" s="1324">
        <v>1.9120000000000001E-4</v>
      </c>
      <c r="D690" s="1324">
        <v>1.8090000000000001E-4</v>
      </c>
      <c r="E690" s="1332">
        <v>522152</v>
      </c>
      <c r="F690" s="1333"/>
      <c r="G690" s="1332">
        <v>89406</v>
      </c>
      <c r="H690" s="1332">
        <v>12736</v>
      </c>
      <c r="I690" s="1332">
        <v>85102</v>
      </c>
      <c r="J690" s="1332">
        <v>23269</v>
      </c>
      <c r="K690" s="1332">
        <v>210513</v>
      </c>
      <c r="L690" s="1333"/>
      <c r="M690" s="1332">
        <v>0</v>
      </c>
      <c r="N690" s="1332">
        <v>0</v>
      </c>
      <c r="O690" s="1332">
        <v>20626</v>
      </c>
      <c r="P690" s="1332">
        <v>20626</v>
      </c>
      <c r="Q690" s="1333"/>
      <c r="R690" s="1332">
        <v>232597</v>
      </c>
      <c r="S690" s="1332">
        <v>1216</v>
      </c>
      <c r="T690" s="1332">
        <v>233813</v>
      </c>
    </row>
    <row r="691" spans="1:20" x14ac:dyDescent="0.25">
      <c r="A691" s="1342">
        <v>97521</v>
      </c>
      <c r="B691" s="1340" t="s">
        <v>3315</v>
      </c>
      <c r="C691" s="1324">
        <v>1.139E-4</v>
      </c>
      <c r="D691" s="1324">
        <v>1.2640000000000001E-4</v>
      </c>
      <c r="E691" s="1332">
        <v>311052</v>
      </c>
      <c r="F691" s="1333"/>
      <c r="G691" s="1332">
        <v>53260</v>
      </c>
      <c r="H691" s="1332">
        <v>7587</v>
      </c>
      <c r="I691" s="1332">
        <v>50696</v>
      </c>
      <c r="J691" s="1332">
        <v>0</v>
      </c>
      <c r="K691" s="1332">
        <v>111543</v>
      </c>
      <c r="L691" s="1333"/>
      <c r="M691" s="1332">
        <v>0</v>
      </c>
      <c r="N691" s="1332">
        <v>0</v>
      </c>
      <c r="O691" s="1332">
        <v>18578</v>
      </c>
      <c r="P691" s="1332">
        <v>18578</v>
      </c>
      <c r="Q691" s="1333"/>
      <c r="R691" s="1332">
        <v>138561</v>
      </c>
      <c r="S691" s="1332">
        <v>-9437</v>
      </c>
      <c r="T691" s="1332">
        <v>129124</v>
      </c>
    </row>
    <row r="692" spans="1:20" x14ac:dyDescent="0.25">
      <c r="A692" s="1342">
        <v>97527</v>
      </c>
      <c r="B692" s="1340" t="s">
        <v>4204</v>
      </c>
      <c r="C692" s="1324">
        <v>1.7E-5</v>
      </c>
      <c r="D692" s="1324">
        <v>1.3999999999999999E-6</v>
      </c>
      <c r="E692" s="1332">
        <v>46426</v>
      </c>
      <c r="F692" s="1333"/>
      <c r="G692" s="1332">
        <v>7949</v>
      </c>
      <c r="H692" s="1332">
        <v>1132</v>
      </c>
      <c r="I692" s="1332">
        <v>7567</v>
      </c>
      <c r="J692" s="1332">
        <v>12859</v>
      </c>
      <c r="K692" s="1332">
        <v>29507</v>
      </c>
      <c r="L692" s="1333"/>
      <c r="M692" s="1332">
        <v>0</v>
      </c>
      <c r="N692" s="1332">
        <v>0</v>
      </c>
      <c r="O692" s="1332">
        <v>0</v>
      </c>
      <c r="P692" s="1332">
        <v>0</v>
      </c>
      <c r="Q692" s="1333"/>
      <c r="R692" s="1332">
        <v>20681</v>
      </c>
      <c r="S692" s="1332">
        <v>3432</v>
      </c>
      <c r="T692" s="1332">
        <v>24113</v>
      </c>
    </row>
    <row r="693" spans="1:20" x14ac:dyDescent="0.25">
      <c r="A693" s="1342">
        <v>97531</v>
      </c>
      <c r="B693" s="1340" t="s">
        <v>3316</v>
      </c>
      <c r="C693" s="1324">
        <v>8.1299999999999997E-5</v>
      </c>
      <c r="D693" s="1324">
        <v>5.2800000000000003E-5</v>
      </c>
      <c r="E693" s="1332">
        <v>222024</v>
      </c>
      <c r="F693" s="1333"/>
      <c r="G693" s="1332">
        <v>38016</v>
      </c>
      <c r="H693" s="1332">
        <v>5416</v>
      </c>
      <c r="I693" s="1332">
        <v>36186</v>
      </c>
      <c r="J693" s="1332">
        <v>32174</v>
      </c>
      <c r="K693" s="1332">
        <v>111792</v>
      </c>
      <c r="L693" s="1333"/>
      <c r="M693" s="1332">
        <v>0</v>
      </c>
      <c r="N693" s="1332">
        <v>0</v>
      </c>
      <c r="O693" s="1332">
        <v>0</v>
      </c>
      <c r="P693" s="1332">
        <v>0</v>
      </c>
      <c r="Q693" s="1333"/>
      <c r="R693" s="1332">
        <v>98903</v>
      </c>
      <c r="S693" s="1332">
        <v>6913</v>
      </c>
      <c r="T693" s="1332">
        <v>105816</v>
      </c>
    </row>
    <row r="694" spans="1:20" x14ac:dyDescent="0.25">
      <c r="A694" s="1342">
        <v>97601</v>
      </c>
      <c r="B694" s="1340" t="s">
        <v>3317</v>
      </c>
      <c r="C694" s="1324">
        <v>5.2946E-3</v>
      </c>
      <c r="D694" s="1324">
        <v>5.2467E-3</v>
      </c>
      <c r="E694" s="1332">
        <v>14459140</v>
      </c>
      <c r="F694" s="1333"/>
      <c r="G694" s="1332">
        <v>2475771</v>
      </c>
      <c r="H694" s="1332">
        <v>352679</v>
      </c>
      <c r="I694" s="1332">
        <v>2356600</v>
      </c>
      <c r="J694" s="1332">
        <v>95463</v>
      </c>
      <c r="K694" s="1332">
        <v>5280513</v>
      </c>
      <c r="L694" s="1333"/>
      <c r="M694" s="1332">
        <v>0</v>
      </c>
      <c r="N694" s="1332">
        <v>0</v>
      </c>
      <c r="O694" s="1332">
        <v>87149</v>
      </c>
      <c r="P694" s="1332">
        <v>87149</v>
      </c>
      <c r="Q694" s="1333"/>
      <c r="R694" s="1332">
        <v>6440950</v>
      </c>
      <c r="S694" s="1332">
        <v>-1723</v>
      </c>
      <c r="T694" s="1332">
        <v>6439227</v>
      </c>
    </row>
    <row r="695" spans="1:20" x14ac:dyDescent="0.25">
      <c r="A695" s="1342">
        <v>97607</v>
      </c>
      <c r="B695" s="1340" t="s">
        <v>3318</v>
      </c>
      <c r="C695" s="1324">
        <v>2.0699999999999998E-5</v>
      </c>
      <c r="D695" s="1324">
        <v>2.23E-5</v>
      </c>
      <c r="E695" s="1332">
        <v>56530</v>
      </c>
      <c r="F695" s="1333"/>
      <c r="G695" s="1332">
        <v>9679</v>
      </c>
      <c r="H695" s="1332">
        <v>1379</v>
      </c>
      <c r="I695" s="1332">
        <v>9213</v>
      </c>
      <c r="J695" s="1332">
        <v>14896</v>
      </c>
      <c r="K695" s="1332">
        <v>35167</v>
      </c>
      <c r="L695" s="1333"/>
      <c r="M695" s="1332">
        <v>0</v>
      </c>
      <c r="N695" s="1332">
        <v>0</v>
      </c>
      <c r="O695" s="1332">
        <v>0</v>
      </c>
      <c r="P695" s="1332">
        <v>0</v>
      </c>
      <c r="Q695" s="1333"/>
      <c r="R695" s="1332">
        <v>25182</v>
      </c>
      <c r="S695" s="1332">
        <v>6395</v>
      </c>
      <c r="T695" s="1332">
        <v>31577</v>
      </c>
    </row>
    <row r="696" spans="1:20" x14ac:dyDescent="0.25">
      <c r="A696" s="1342">
        <v>97611</v>
      </c>
      <c r="B696" s="1340" t="s">
        <v>3319</v>
      </c>
      <c r="C696" s="1324">
        <v>2.3218000000000002E-3</v>
      </c>
      <c r="D696" s="1324">
        <v>2.3620999999999998E-3</v>
      </c>
      <c r="E696" s="1332">
        <v>6340655</v>
      </c>
      <c r="F696" s="1333"/>
      <c r="G696" s="1332">
        <v>1085681</v>
      </c>
      <c r="H696" s="1332">
        <v>154657</v>
      </c>
      <c r="I696" s="1332">
        <v>1033422</v>
      </c>
      <c r="J696" s="1332">
        <v>0</v>
      </c>
      <c r="K696" s="1332">
        <v>2273760</v>
      </c>
      <c r="L696" s="1333"/>
      <c r="M696" s="1332">
        <v>0</v>
      </c>
      <c r="N696" s="1332">
        <v>0</v>
      </c>
      <c r="O696" s="1332">
        <v>165443</v>
      </c>
      <c r="P696" s="1332">
        <v>165443</v>
      </c>
      <c r="Q696" s="1333"/>
      <c r="R696" s="1332">
        <v>2824500</v>
      </c>
      <c r="S696" s="1332">
        <v>-108412</v>
      </c>
      <c r="T696" s="1332">
        <v>2716088</v>
      </c>
    </row>
    <row r="697" spans="1:20" x14ac:dyDescent="0.25">
      <c r="A697" s="1342">
        <v>97613</v>
      </c>
      <c r="B697" s="1340" t="s">
        <v>4205</v>
      </c>
      <c r="C697" s="1324">
        <v>8.8599999999999999E-5</v>
      </c>
      <c r="D697" s="1324">
        <v>1.155E-4</v>
      </c>
      <c r="E697" s="1332">
        <v>241960</v>
      </c>
      <c r="F697" s="1333"/>
      <c r="G697" s="1332">
        <v>41430</v>
      </c>
      <c r="H697" s="1332">
        <v>5902</v>
      </c>
      <c r="I697" s="1332">
        <v>39435</v>
      </c>
      <c r="J697" s="1332">
        <v>4716</v>
      </c>
      <c r="K697" s="1332">
        <v>91483</v>
      </c>
      <c r="L697" s="1333"/>
      <c r="M697" s="1332">
        <v>0</v>
      </c>
      <c r="N697" s="1332">
        <v>0</v>
      </c>
      <c r="O697" s="1332">
        <v>9919</v>
      </c>
      <c r="P697" s="1332">
        <v>9919</v>
      </c>
      <c r="Q697" s="1333"/>
      <c r="R697" s="1332">
        <v>107783</v>
      </c>
      <c r="S697" s="1332">
        <v>-1471</v>
      </c>
      <c r="T697" s="1332">
        <v>106312</v>
      </c>
    </row>
    <row r="698" spans="1:20" x14ac:dyDescent="0.25">
      <c r="A698" s="1342">
        <v>97621</v>
      </c>
      <c r="B698" s="1340" t="s">
        <v>3321</v>
      </c>
      <c r="C698" s="1324">
        <v>4.3960000000000001E-4</v>
      </c>
      <c r="D698" s="1324">
        <v>4.4650000000000001E-4</v>
      </c>
      <c r="E698" s="1332">
        <v>1200513</v>
      </c>
      <c r="F698" s="1333"/>
      <c r="G698" s="1332">
        <v>205558</v>
      </c>
      <c r="H698" s="1332">
        <v>29283</v>
      </c>
      <c r="I698" s="1332">
        <v>195664</v>
      </c>
      <c r="J698" s="1332">
        <v>0</v>
      </c>
      <c r="K698" s="1332">
        <v>430505</v>
      </c>
      <c r="L698" s="1333"/>
      <c r="M698" s="1332">
        <v>0</v>
      </c>
      <c r="N698" s="1332">
        <v>0</v>
      </c>
      <c r="O698" s="1332">
        <v>77314</v>
      </c>
      <c r="P698" s="1332">
        <v>77314</v>
      </c>
      <c r="Q698" s="1333"/>
      <c r="R698" s="1332">
        <v>534779</v>
      </c>
      <c r="S698" s="1332">
        <v>-27561</v>
      </c>
      <c r="T698" s="1332">
        <v>507218</v>
      </c>
    </row>
    <row r="699" spans="1:20" x14ac:dyDescent="0.25">
      <c r="A699" s="1342">
        <v>97623</v>
      </c>
      <c r="B699" s="1340" t="s">
        <v>3322</v>
      </c>
      <c r="C699" s="1324">
        <v>2.5400000000000001E-5</v>
      </c>
      <c r="D699" s="1324">
        <v>2.4000000000000001E-5</v>
      </c>
      <c r="E699" s="1332">
        <v>69365</v>
      </c>
      <c r="F699" s="1333"/>
      <c r="G699" s="1332">
        <v>11877</v>
      </c>
      <c r="H699" s="1332">
        <v>1692</v>
      </c>
      <c r="I699" s="1332">
        <v>11305</v>
      </c>
      <c r="J699" s="1332">
        <v>944</v>
      </c>
      <c r="K699" s="1332">
        <v>25818</v>
      </c>
      <c r="L699" s="1333"/>
      <c r="M699" s="1332">
        <v>0</v>
      </c>
      <c r="N699" s="1332">
        <v>0</v>
      </c>
      <c r="O699" s="1332">
        <v>4023</v>
      </c>
      <c r="P699" s="1332">
        <v>4023</v>
      </c>
      <c r="Q699" s="1333"/>
      <c r="R699" s="1332">
        <v>30899</v>
      </c>
      <c r="S699" s="1332">
        <v>1243</v>
      </c>
      <c r="T699" s="1332">
        <v>32142</v>
      </c>
    </row>
    <row r="700" spans="1:20" x14ac:dyDescent="0.25">
      <c r="A700" s="1342">
        <v>97627</v>
      </c>
      <c r="B700" s="1340" t="s">
        <v>3323</v>
      </c>
      <c r="C700" s="1324">
        <v>9.3000000000000007E-6</v>
      </c>
      <c r="D700" s="1324">
        <v>9.5000000000000005E-6</v>
      </c>
      <c r="E700" s="1332">
        <v>25398</v>
      </c>
      <c r="F700" s="1333"/>
      <c r="G700" s="1332">
        <v>4349</v>
      </c>
      <c r="H700" s="1332">
        <v>620</v>
      </c>
      <c r="I700" s="1332">
        <v>4139</v>
      </c>
      <c r="J700" s="1332">
        <v>1149</v>
      </c>
      <c r="K700" s="1332">
        <v>10257</v>
      </c>
      <c r="L700" s="1333"/>
      <c r="M700" s="1332">
        <v>0</v>
      </c>
      <c r="N700" s="1332">
        <v>0</v>
      </c>
      <c r="O700" s="1332">
        <v>0</v>
      </c>
      <c r="P700" s="1332">
        <v>0</v>
      </c>
      <c r="Q700" s="1333"/>
      <c r="R700" s="1332">
        <v>11314</v>
      </c>
      <c r="S700" s="1332">
        <v>-9</v>
      </c>
      <c r="T700" s="1332">
        <v>11305</v>
      </c>
    </row>
    <row r="701" spans="1:20" x14ac:dyDescent="0.25">
      <c r="A701" s="1342">
        <v>97631</v>
      </c>
      <c r="B701" s="1340" t="s">
        <v>3324</v>
      </c>
      <c r="C701" s="1324">
        <v>1.972E-4</v>
      </c>
      <c r="D701" s="1324">
        <v>2.0909999999999999E-4</v>
      </c>
      <c r="E701" s="1332">
        <v>538538</v>
      </c>
      <c r="F701" s="1333"/>
      <c r="G701" s="1332">
        <v>92211</v>
      </c>
      <c r="H701" s="1332">
        <v>13136</v>
      </c>
      <c r="I701" s="1332">
        <v>87773</v>
      </c>
      <c r="J701" s="1332">
        <v>1180</v>
      </c>
      <c r="K701" s="1332">
        <v>194300</v>
      </c>
      <c r="L701" s="1333"/>
      <c r="M701" s="1332">
        <v>0</v>
      </c>
      <c r="N701" s="1332">
        <v>0</v>
      </c>
      <c r="O701" s="1332">
        <v>19455</v>
      </c>
      <c r="P701" s="1332">
        <v>19455</v>
      </c>
      <c r="Q701" s="1333"/>
      <c r="R701" s="1332">
        <v>239896</v>
      </c>
      <c r="S701" s="1332">
        <v>-2980</v>
      </c>
      <c r="T701" s="1332">
        <v>236916</v>
      </c>
    </row>
    <row r="702" spans="1:20" x14ac:dyDescent="0.25">
      <c r="A702" s="1342">
        <v>97637</v>
      </c>
      <c r="B702" s="1340" t="s">
        <v>3325</v>
      </c>
      <c r="C702" s="1324">
        <v>3.1999999999999999E-6</v>
      </c>
      <c r="D702" s="1324">
        <v>3.7000000000000002E-6</v>
      </c>
      <c r="E702" s="1332">
        <v>8739</v>
      </c>
      <c r="F702" s="1333"/>
      <c r="G702" s="1332">
        <v>1496</v>
      </c>
      <c r="H702" s="1332">
        <v>213</v>
      </c>
      <c r="I702" s="1332">
        <v>1424</v>
      </c>
      <c r="J702" s="1332">
        <v>1804</v>
      </c>
      <c r="K702" s="1332">
        <v>4937</v>
      </c>
      <c r="L702" s="1333"/>
      <c r="M702" s="1332">
        <v>0</v>
      </c>
      <c r="N702" s="1332">
        <v>0</v>
      </c>
      <c r="O702" s="1332">
        <v>10</v>
      </c>
      <c r="P702" s="1332">
        <v>10</v>
      </c>
      <c r="Q702" s="1333"/>
      <c r="R702" s="1332">
        <v>3893</v>
      </c>
      <c r="S702" s="1332">
        <v>705</v>
      </c>
      <c r="T702" s="1332">
        <v>4598</v>
      </c>
    </row>
    <row r="703" spans="1:20" x14ac:dyDescent="0.25">
      <c r="A703" s="1342">
        <v>97641</v>
      </c>
      <c r="B703" s="1340" t="s">
        <v>3326</v>
      </c>
      <c r="C703" s="1324">
        <v>4.5399999999999999E-5</v>
      </c>
      <c r="D703" s="1324">
        <v>5.1400000000000003E-5</v>
      </c>
      <c r="E703" s="1332">
        <v>123984</v>
      </c>
      <c r="F703" s="1333"/>
      <c r="G703" s="1332">
        <v>21229</v>
      </c>
      <c r="H703" s="1332">
        <v>3024</v>
      </c>
      <c r="I703" s="1332">
        <v>20207</v>
      </c>
      <c r="J703" s="1332">
        <v>4892</v>
      </c>
      <c r="K703" s="1332">
        <v>49352</v>
      </c>
      <c r="L703" s="1333"/>
      <c r="M703" s="1332">
        <v>0</v>
      </c>
      <c r="N703" s="1332">
        <v>0</v>
      </c>
      <c r="O703" s="1332">
        <v>6215</v>
      </c>
      <c r="P703" s="1332">
        <v>6215</v>
      </c>
      <c r="Q703" s="1333"/>
      <c r="R703" s="1332">
        <v>55230</v>
      </c>
      <c r="S703" s="1332">
        <v>2961</v>
      </c>
      <c r="T703" s="1332">
        <v>58191</v>
      </c>
    </row>
    <row r="704" spans="1:20" x14ac:dyDescent="0.25">
      <c r="A704" s="1342">
        <v>97651</v>
      </c>
      <c r="B704" s="1340" t="s">
        <v>3327</v>
      </c>
      <c r="C704" s="1324">
        <v>5.2329999999999998E-4</v>
      </c>
      <c r="D704" s="1324">
        <v>5.1929999999999999E-4</v>
      </c>
      <c r="E704" s="1332">
        <v>1429091</v>
      </c>
      <c r="F704" s="1333"/>
      <c r="G704" s="1332">
        <v>244697</v>
      </c>
      <c r="H704" s="1332">
        <v>34857</v>
      </c>
      <c r="I704" s="1332">
        <v>232918</v>
      </c>
      <c r="J704" s="1332">
        <v>0</v>
      </c>
      <c r="K704" s="1332">
        <v>512472</v>
      </c>
      <c r="L704" s="1333"/>
      <c r="M704" s="1332">
        <v>0</v>
      </c>
      <c r="N704" s="1332">
        <v>0</v>
      </c>
      <c r="O704" s="1332">
        <v>44727</v>
      </c>
      <c r="P704" s="1332">
        <v>44727</v>
      </c>
      <c r="Q704" s="1333"/>
      <c r="R704" s="1332">
        <v>636601</v>
      </c>
      <c r="S704" s="1332">
        <v>-18676</v>
      </c>
      <c r="T704" s="1332">
        <v>617925</v>
      </c>
    </row>
    <row r="705" spans="1:20" x14ac:dyDescent="0.25">
      <c r="A705" s="1342">
        <v>97661</v>
      </c>
      <c r="B705" s="1340" t="s">
        <v>3328</v>
      </c>
      <c r="C705" s="1324">
        <v>5.3300000000000001E-5</v>
      </c>
      <c r="D705" s="1324">
        <v>4.3999999999999999E-5</v>
      </c>
      <c r="E705" s="1332">
        <v>145558</v>
      </c>
      <c r="F705" s="1333"/>
      <c r="G705" s="1332">
        <v>24923</v>
      </c>
      <c r="H705" s="1332">
        <v>3550</v>
      </c>
      <c r="I705" s="1332">
        <v>23724</v>
      </c>
      <c r="J705" s="1332">
        <v>11766</v>
      </c>
      <c r="K705" s="1332">
        <v>63963</v>
      </c>
      <c r="L705" s="1333"/>
      <c r="M705" s="1332">
        <v>0</v>
      </c>
      <c r="N705" s="1332">
        <v>0</v>
      </c>
      <c r="O705" s="1332">
        <v>1455</v>
      </c>
      <c r="P705" s="1332">
        <v>1455</v>
      </c>
      <c r="Q705" s="1333"/>
      <c r="R705" s="1332">
        <v>64840</v>
      </c>
      <c r="S705" s="1332">
        <v>3751</v>
      </c>
      <c r="T705" s="1332">
        <v>68591</v>
      </c>
    </row>
    <row r="706" spans="1:20" x14ac:dyDescent="0.25">
      <c r="A706" s="1342">
        <v>97701</v>
      </c>
      <c r="B706" s="1340" t="s">
        <v>3329</v>
      </c>
      <c r="C706" s="1324">
        <v>2.4578E-3</v>
      </c>
      <c r="D706" s="1324">
        <v>2.5590000000000001E-3</v>
      </c>
      <c r="E706" s="1332">
        <v>6712060</v>
      </c>
      <c r="F706" s="1333"/>
      <c r="G706" s="1332">
        <v>1149275</v>
      </c>
      <c r="H706" s="1332">
        <v>163717</v>
      </c>
      <c r="I706" s="1332">
        <v>1093954</v>
      </c>
      <c r="J706" s="1332">
        <v>33100</v>
      </c>
      <c r="K706" s="1332">
        <v>2440046</v>
      </c>
      <c r="L706" s="1333"/>
      <c r="M706" s="1332">
        <v>0</v>
      </c>
      <c r="N706" s="1332">
        <v>0</v>
      </c>
      <c r="O706" s="1332">
        <v>84502</v>
      </c>
      <c r="P706" s="1332">
        <v>84502</v>
      </c>
      <c r="Q706" s="1333"/>
      <c r="R706" s="1332">
        <v>2989946</v>
      </c>
      <c r="S706" s="1332">
        <v>-2965</v>
      </c>
      <c r="T706" s="1332">
        <v>2986981</v>
      </c>
    </row>
    <row r="707" spans="1:20" x14ac:dyDescent="0.25">
      <c r="A707" s="1342">
        <v>97705</v>
      </c>
      <c r="B707" s="1340" t="s">
        <v>3330</v>
      </c>
      <c r="C707" s="1324">
        <v>3.1699999999999998E-5</v>
      </c>
      <c r="D707" s="1324">
        <v>4.5500000000000001E-5</v>
      </c>
      <c r="E707" s="1332">
        <v>86570</v>
      </c>
      <c r="F707" s="1333"/>
      <c r="G707" s="1332">
        <v>14823</v>
      </c>
      <c r="H707" s="1332">
        <v>2112</v>
      </c>
      <c r="I707" s="1332">
        <v>14110</v>
      </c>
      <c r="J707" s="1332">
        <v>715</v>
      </c>
      <c r="K707" s="1332">
        <v>31760</v>
      </c>
      <c r="L707" s="1333"/>
      <c r="M707" s="1332">
        <v>0</v>
      </c>
      <c r="N707" s="1332">
        <v>0</v>
      </c>
      <c r="O707" s="1332">
        <v>12170</v>
      </c>
      <c r="P707" s="1332">
        <v>12170</v>
      </c>
      <c r="Q707" s="1333"/>
      <c r="R707" s="1332">
        <v>38563</v>
      </c>
      <c r="S707" s="1332">
        <v>-4612</v>
      </c>
      <c r="T707" s="1332">
        <v>33951</v>
      </c>
    </row>
    <row r="708" spans="1:20" x14ac:dyDescent="0.25">
      <c r="A708" s="1342">
        <v>97711</v>
      </c>
      <c r="B708" s="1340" t="s">
        <v>3331</v>
      </c>
      <c r="C708" s="1324">
        <v>8.5930000000000002E-4</v>
      </c>
      <c r="D708" s="1324">
        <v>9.1239999999999995E-4</v>
      </c>
      <c r="E708" s="1332">
        <v>2346681</v>
      </c>
      <c r="F708" s="1333"/>
      <c r="G708" s="1332">
        <v>401811</v>
      </c>
      <c r="H708" s="1332">
        <v>57239</v>
      </c>
      <c r="I708" s="1332">
        <v>382470</v>
      </c>
      <c r="J708" s="1332">
        <v>8237</v>
      </c>
      <c r="K708" s="1332">
        <v>849757</v>
      </c>
      <c r="L708" s="1333"/>
      <c r="M708" s="1332">
        <v>0</v>
      </c>
      <c r="N708" s="1332">
        <v>0</v>
      </c>
      <c r="O708" s="1332">
        <v>44103</v>
      </c>
      <c r="P708" s="1332">
        <v>44103</v>
      </c>
      <c r="Q708" s="1333"/>
      <c r="R708" s="1332">
        <v>1045350</v>
      </c>
      <c r="S708" s="1332">
        <v>-13458</v>
      </c>
      <c r="T708" s="1332">
        <v>1031892</v>
      </c>
    </row>
    <row r="709" spans="1:20" x14ac:dyDescent="0.25">
      <c r="A709" s="1342">
        <v>97713</v>
      </c>
      <c r="B709" s="1340" t="s">
        <v>3332</v>
      </c>
      <c r="C709" s="1324">
        <v>5.0399999999999999E-5</v>
      </c>
      <c r="D709" s="1324">
        <v>5.0500000000000001E-5</v>
      </c>
      <c r="E709" s="1332">
        <v>137638</v>
      </c>
      <c r="F709" s="1333"/>
      <c r="G709" s="1332">
        <v>23567</v>
      </c>
      <c r="H709" s="1332">
        <v>3357</v>
      </c>
      <c r="I709" s="1332">
        <v>22433</v>
      </c>
      <c r="J709" s="1332">
        <v>3325</v>
      </c>
      <c r="K709" s="1332">
        <v>52682</v>
      </c>
      <c r="L709" s="1333"/>
      <c r="M709" s="1332">
        <v>0</v>
      </c>
      <c r="N709" s="1332">
        <v>0</v>
      </c>
      <c r="O709" s="1332">
        <v>6530</v>
      </c>
      <c r="P709" s="1332">
        <v>6530</v>
      </c>
      <c r="Q709" s="1333"/>
      <c r="R709" s="1332">
        <v>61312</v>
      </c>
      <c r="S709" s="1332">
        <v>-4414</v>
      </c>
      <c r="T709" s="1332">
        <v>56898</v>
      </c>
    </row>
    <row r="710" spans="1:20" x14ac:dyDescent="0.25">
      <c r="A710" s="1342">
        <v>97717</v>
      </c>
      <c r="B710" s="1340" t="s">
        <v>3333</v>
      </c>
      <c r="C710" s="1324">
        <v>5.4E-6</v>
      </c>
      <c r="D710" s="1324">
        <v>5.3000000000000001E-6</v>
      </c>
      <c r="E710" s="1332">
        <v>14747</v>
      </c>
      <c r="F710" s="1333"/>
      <c r="G710" s="1332">
        <v>2525</v>
      </c>
      <c r="H710" s="1332">
        <v>360</v>
      </c>
      <c r="I710" s="1332">
        <v>2404</v>
      </c>
      <c r="J710" s="1332">
        <v>573</v>
      </c>
      <c r="K710" s="1332">
        <v>5862</v>
      </c>
      <c r="L710" s="1333"/>
      <c r="M710" s="1332">
        <v>0</v>
      </c>
      <c r="N710" s="1332">
        <v>0</v>
      </c>
      <c r="O710" s="1332">
        <v>886</v>
      </c>
      <c r="P710" s="1332">
        <v>886</v>
      </c>
      <c r="Q710" s="1333"/>
      <c r="R710" s="1332">
        <v>6569</v>
      </c>
      <c r="S710" s="1332">
        <v>-227</v>
      </c>
      <c r="T710" s="1332">
        <v>6342</v>
      </c>
    </row>
    <row r="711" spans="1:20" x14ac:dyDescent="0.25">
      <c r="A711" s="1342">
        <v>97721</v>
      </c>
      <c r="B711" s="1340" t="s">
        <v>3334</v>
      </c>
      <c r="C711" s="1324">
        <v>5.5699999999999999E-4</v>
      </c>
      <c r="D711" s="1324">
        <v>5.9069999999999999E-4</v>
      </c>
      <c r="E711" s="1332">
        <v>1521124</v>
      </c>
      <c r="F711" s="1333"/>
      <c r="G711" s="1332">
        <v>260455</v>
      </c>
      <c r="H711" s="1332">
        <v>37102</v>
      </c>
      <c r="I711" s="1332">
        <v>247918</v>
      </c>
      <c r="J711" s="1332">
        <v>6173</v>
      </c>
      <c r="K711" s="1332">
        <v>551648</v>
      </c>
      <c r="L711" s="1333"/>
      <c r="M711" s="1332">
        <v>0</v>
      </c>
      <c r="N711" s="1332">
        <v>0</v>
      </c>
      <c r="O711" s="1332">
        <v>47608</v>
      </c>
      <c r="P711" s="1332">
        <v>47608</v>
      </c>
      <c r="Q711" s="1333"/>
      <c r="R711" s="1332">
        <v>677598</v>
      </c>
      <c r="S711" s="1332">
        <v>-18510</v>
      </c>
      <c r="T711" s="1332">
        <v>659088</v>
      </c>
    </row>
    <row r="712" spans="1:20" x14ac:dyDescent="0.25">
      <c r="A712" s="1342">
        <v>97727</v>
      </c>
      <c r="B712" s="1340" t="s">
        <v>3335</v>
      </c>
      <c r="C712" s="1324">
        <v>1.8600000000000001E-5</v>
      </c>
      <c r="D712" s="1324">
        <v>2.0599999999999999E-5</v>
      </c>
      <c r="E712" s="1332">
        <v>50795</v>
      </c>
      <c r="F712" s="1333"/>
      <c r="G712" s="1332">
        <v>8697</v>
      </c>
      <c r="H712" s="1332">
        <v>1239</v>
      </c>
      <c r="I712" s="1332">
        <v>8279</v>
      </c>
      <c r="J712" s="1332">
        <v>0</v>
      </c>
      <c r="K712" s="1332">
        <v>18215</v>
      </c>
      <c r="L712" s="1333"/>
      <c r="M712" s="1332">
        <v>0</v>
      </c>
      <c r="N712" s="1332">
        <v>0</v>
      </c>
      <c r="O712" s="1332">
        <v>881</v>
      </c>
      <c r="P712" s="1332">
        <v>881</v>
      </c>
      <c r="Q712" s="1333"/>
      <c r="R712" s="1332">
        <v>22627</v>
      </c>
      <c r="S712" s="1332">
        <v>-805</v>
      </c>
      <c r="T712" s="1332">
        <v>21822</v>
      </c>
    </row>
    <row r="713" spans="1:20" x14ac:dyDescent="0.25">
      <c r="A713" s="1342">
        <v>97731</v>
      </c>
      <c r="B713" s="1340" t="s">
        <v>3336</v>
      </c>
      <c r="C713" s="1324">
        <v>3.82E-5</v>
      </c>
      <c r="D713" s="1324">
        <v>3.3200000000000001E-5</v>
      </c>
      <c r="E713" s="1332">
        <v>104321</v>
      </c>
      <c r="F713" s="1333"/>
      <c r="G713" s="1332">
        <v>17862</v>
      </c>
      <c r="H713" s="1332">
        <v>2544</v>
      </c>
      <c r="I713" s="1332">
        <v>17003</v>
      </c>
      <c r="J713" s="1332">
        <v>7888</v>
      </c>
      <c r="K713" s="1332">
        <v>45297</v>
      </c>
      <c r="L713" s="1333"/>
      <c r="M713" s="1332">
        <v>0</v>
      </c>
      <c r="N713" s="1332">
        <v>0</v>
      </c>
      <c r="O713" s="1332">
        <v>0</v>
      </c>
      <c r="P713" s="1332">
        <v>0</v>
      </c>
      <c r="Q713" s="1333"/>
      <c r="R713" s="1332">
        <v>46471</v>
      </c>
      <c r="S713" s="1332">
        <v>4081</v>
      </c>
      <c r="T713" s="1332">
        <v>50552</v>
      </c>
    </row>
    <row r="714" spans="1:20" x14ac:dyDescent="0.25">
      <c r="A714" s="1342">
        <v>97801</v>
      </c>
      <c r="B714" s="1340" t="s">
        <v>3693</v>
      </c>
      <c r="C714" s="1324">
        <v>6.0489000000000003E-3</v>
      </c>
      <c r="D714" s="1324">
        <v>6.5702E-3</v>
      </c>
      <c r="E714" s="1332">
        <v>16519074</v>
      </c>
      <c r="F714" s="1333"/>
      <c r="G714" s="1332">
        <v>2828484</v>
      </c>
      <c r="H714" s="1332">
        <v>402924</v>
      </c>
      <c r="I714" s="1332">
        <v>2692335</v>
      </c>
      <c r="J714" s="1332">
        <v>0</v>
      </c>
      <c r="K714" s="1332">
        <v>5923743</v>
      </c>
      <c r="L714" s="1333"/>
      <c r="M714" s="1332">
        <v>0</v>
      </c>
      <c r="N714" s="1332">
        <v>0</v>
      </c>
      <c r="O714" s="1332">
        <v>642269</v>
      </c>
      <c r="P714" s="1332">
        <v>642269</v>
      </c>
      <c r="Q714" s="1333"/>
      <c r="R714" s="1332">
        <v>7358565</v>
      </c>
      <c r="S714" s="1332">
        <v>-255015</v>
      </c>
      <c r="T714" s="1332">
        <v>7103550</v>
      </c>
    </row>
    <row r="715" spans="1:20" x14ac:dyDescent="0.25">
      <c r="A715" s="1342">
        <v>97802</v>
      </c>
      <c r="B715" s="1340" t="s">
        <v>3338</v>
      </c>
      <c r="C715" s="1324">
        <v>1.9029999999999999E-4</v>
      </c>
      <c r="D715" s="1324">
        <v>1.684E-4</v>
      </c>
      <c r="E715" s="1332">
        <v>519694</v>
      </c>
      <c r="F715" s="1333"/>
      <c r="G715" s="1332">
        <v>88985</v>
      </c>
      <c r="H715" s="1332">
        <v>12676</v>
      </c>
      <c r="I715" s="1332">
        <v>84702</v>
      </c>
      <c r="J715" s="1332">
        <v>22459</v>
      </c>
      <c r="K715" s="1332">
        <v>208822</v>
      </c>
      <c r="L715" s="1333"/>
      <c r="M715" s="1332">
        <v>0</v>
      </c>
      <c r="N715" s="1332">
        <v>0</v>
      </c>
      <c r="O715" s="1332">
        <v>7514</v>
      </c>
      <c r="P715" s="1332">
        <v>7514</v>
      </c>
      <c r="Q715" s="1333"/>
      <c r="R715" s="1332">
        <v>231502</v>
      </c>
      <c r="S715" s="1332">
        <v>-3338</v>
      </c>
      <c r="T715" s="1332">
        <v>228164</v>
      </c>
    </row>
    <row r="716" spans="1:20" x14ac:dyDescent="0.25">
      <c r="A716" s="1342">
        <v>97803</v>
      </c>
      <c r="B716" s="1340" t="s">
        <v>3339</v>
      </c>
      <c r="C716" s="1324">
        <v>7.7899999999999996E-5</v>
      </c>
      <c r="D716" s="1324">
        <v>8.1699999999999994E-5</v>
      </c>
      <c r="E716" s="1332">
        <v>212739</v>
      </c>
      <c r="F716" s="1333"/>
      <c r="G716" s="1332">
        <v>36426</v>
      </c>
      <c r="H716" s="1332">
        <v>5189</v>
      </c>
      <c r="I716" s="1332">
        <v>34673</v>
      </c>
      <c r="J716" s="1332">
        <v>3693</v>
      </c>
      <c r="K716" s="1332">
        <v>79981</v>
      </c>
      <c r="L716" s="1333"/>
      <c r="M716" s="1332">
        <v>0</v>
      </c>
      <c r="N716" s="1332">
        <v>0</v>
      </c>
      <c r="O716" s="1332">
        <v>3354</v>
      </c>
      <c r="P716" s="1332">
        <v>3354</v>
      </c>
      <c r="Q716" s="1333"/>
      <c r="R716" s="1332">
        <v>94766</v>
      </c>
      <c r="S716" s="1332">
        <v>151</v>
      </c>
      <c r="T716" s="1332">
        <v>94917</v>
      </c>
    </row>
    <row r="717" spans="1:20" x14ac:dyDescent="0.25">
      <c r="A717" s="1342">
        <v>97805</v>
      </c>
      <c r="B717" s="1340" t="s">
        <v>3340</v>
      </c>
      <c r="C717" s="1324">
        <v>8.6500000000000002E-5</v>
      </c>
      <c r="D717" s="1324">
        <v>8.2700000000000004E-5</v>
      </c>
      <c r="E717" s="1332">
        <v>236225</v>
      </c>
      <c r="F717" s="1333"/>
      <c r="G717" s="1332">
        <v>40448</v>
      </c>
      <c r="H717" s="1332">
        <v>5762</v>
      </c>
      <c r="I717" s="1332">
        <v>38501</v>
      </c>
      <c r="J717" s="1332">
        <v>8007</v>
      </c>
      <c r="K717" s="1332">
        <v>92718</v>
      </c>
      <c r="L717" s="1333"/>
      <c r="M717" s="1332">
        <v>0</v>
      </c>
      <c r="N717" s="1332">
        <v>0</v>
      </c>
      <c r="O717" s="1332">
        <v>0</v>
      </c>
      <c r="P717" s="1332">
        <v>0</v>
      </c>
      <c r="Q717" s="1333"/>
      <c r="R717" s="1332">
        <v>105228</v>
      </c>
      <c r="S717" s="1332">
        <v>5463</v>
      </c>
      <c r="T717" s="1332">
        <v>110691</v>
      </c>
    </row>
    <row r="718" spans="1:20" x14ac:dyDescent="0.25">
      <c r="A718" s="1342">
        <v>97811</v>
      </c>
      <c r="B718" s="1340" t="s">
        <v>3341</v>
      </c>
      <c r="C718" s="1324">
        <v>2.4080999999999998E-3</v>
      </c>
      <c r="D718" s="1324">
        <v>2.4342999999999999E-3</v>
      </c>
      <c r="E718" s="1332">
        <v>6576333</v>
      </c>
      <c r="F718" s="1333"/>
      <c r="G718" s="1332">
        <v>1126035</v>
      </c>
      <c r="H718" s="1332">
        <v>160406</v>
      </c>
      <c r="I718" s="1332">
        <v>1071833</v>
      </c>
      <c r="J718" s="1332">
        <v>0</v>
      </c>
      <c r="K718" s="1332">
        <v>2358274</v>
      </c>
      <c r="L718" s="1333"/>
      <c r="M718" s="1332">
        <v>0</v>
      </c>
      <c r="N718" s="1332">
        <v>0</v>
      </c>
      <c r="O718" s="1332">
        <v>52940</v>
      </c>
      <c r="P718" s="1332">
        <v>52940</v>
      </c>
      <c r="Q718" s="1333"/>
      <c r="R718" s="1332">
        <v>2929485</v>
      </c>
      <c r="S718" s="1332">
        <v>-69072</v>
      </c>
      <c r="T718" s="1332">
        <v>2860413</v>
      </c>
    </row>
    <row r="719" spans="1:20" x14ac:dyDescent="0.25">
      <c r="A719" s="1342">
        <v>97817</v>
      </c>
      <c r="B719" s="1340" t="s">
        <v>3342</v>
      </c>
      <c r="C719" s="1324">
        <v>1.7499999999999998E-5</v>
      </c>
      <c r="D719" s="1324">
        <v>1.8199999999999999E-5</v>
      </c>
      <c r="E719" s="1332">
        <v>47791</v>
      </c>
      <c r="F719" s="1333"/>
      <c r="G719" s="1332">
        <v>8183</v>
      </c>
      <c r="H719" s="1332">
        <v>1166</v>
      </c>
      <c r="I719" s="1332">
        <v>7789</v>
      </c>
      <c r="J719" s="1332">
        <v>12928</v>
      </c>
      <c r="K719" s="1332">
        <v>30066</v>
      </c>
      <c r="L719" s="1333"/>
      <c r="M719" s="1332">
        <v>0</v>
      </c>
      <c r="N719" s="1332">
        <v>0</v>
      </c>
      <c r="O719" s="1332">
        <v>0</v>
      </c>
      <c r="P719" s="1332">
        <v>0</v>
      </c>
      <c r="Q719" s="1333"/>
      <c r="R719" s="1332">
        <v>21289</v>
      </c>
      <c r="S719" s="1332">
        <v>4700</v>
      </c>
      <c r="T719" s="1332">
        <v>25989</v>
      </c>
    </row>
    <row r="720" spans="1:20" x14ac:dyDescent="0.25">
      <c r="A720" s="1342">
        <v>97818</v>
      </c>
      <c r="B720" s="1340" t="s">
        <v>4206</v>
      </c>
      <c r="C720" s="1324">
        <v>2.4899999999999999E-5</v>
      </c>
      <c r="D720" s="1324">
        <v>2.0299999999999999E-5</v>
      </c>
      <c r="E720" s="1332">
        <v>68000</v>
      </c>
      <c r="F720" s="1333"/>
      <c r="G720" s="1332">
        <v>11643</v>
      </c>
      <c r="H720" s="1332">
        <v>1658</v>
      </c>
      <c r="I720" s="1332">
        <v>11083</v>
      </c>
      <c r="J720" s="1332">
        <v>5468</v>
      </c>
      <c r="K720" s="1332">
        <v>29852</v>
      </c>
      <c r="L720" s="1333"/>
      <c r="M720" s="1332">
        <v>0</v>
      </c>
      <c r="N720" s="1332">
        <v>0</v>
      </c>
      <c r="O720" s="1332">
        <v>737</v>
      </c>
      <c r="P720" s="1332">
        <v>737</v>
      </c>
      <c r="Q720" s="1333"/>
      <c r="R720" s="1332">
        <v>30291</v>
      </c>
      <c r="S720" s="1332">
        <v>2914</v>
      </c>
      <c r="T720" s="1332">
        <v>33205</v>
      </c>
    </row>
    <row r="721" spans="1:20" x14ac:dyDescent="0.25">
      <c r="A721" s="1342">
        <v>97821</v>
      </c>
      <c r="B721" s="1340" t="s">
        <v>3344</v>
      </c>
      <c r="C721" s="1324">
        <v>1.329E-4</v>
      </c>
      <c r="D721" s="1324">
        <v>1.071E-4</v>
      </c>
      <c r="E721" s="1332">
        <v>362940</v>
      </c>
      <c r="F721" s="1333"/>
      <c r="G721" s="1332">
        <v>62144</v>
      </c>
      <c r="H721" s="1332">
        <v>8852</v>
      </c>
      <c r="I721" s="1332">
        <v>59153</v>
      </c>
      <c r="J721" s="1332">
        <v>32594</v>
      </c>
      <c r="K721" s="1332">
        <v>162743</v>
      </c>
      <c r="L721" s="1333"/>
      <c r="M721" s="1332">
        <v>0</v>
      </c>
      <c r="N721" s="1332">
        <v>0</v>
      </c>
      <c r="O721" s="1332">
        <v>1315</v>
      </c>
      <c r="P721" s="1332">
        <v>1315</v>
      </c>
      <c r="Q721" s="1333"/>
      <c r="R721" s="1332">
        <v>161675</v>
      </c>
      <c r="S721" s="1332">
        <v>5063</v>
      </c>
      <c r="T721" s="1332">
        <v>166738</v>
      </c>
    </row>
    <row r="722" spans="1:20" x14ac:dyDescent="0.25">
      <c r="A722" s="1342">
        <v>97823</v>
      </c>
      <c r="B722" s="1340" t="s">
        <v>3345</v>
      </c>
      <c r="C722" s="1324">
        <v>1.5400000000000002E-5</v>
      </c>
      <c r="D722" s="1324">
        <v>1.7200000000000001E-5</v>
      </c>
      <c r="E722" s="1332">
        <v>42056</v>
      </c>
      <c r="F722" s="1333"/>
      <c r="G722" s="1332">
        <v>7201</v>
      </c>
      <c r="H722" s="1332">
        <v>1026</v>
      </c>
      <c r="I722" s="1332">
        <v>6854</v>
      </c>
      <c r="J722" s="1332">
        <v>2981</v>
      </c>
      <c r="K722" s="1332">
        <v>18062</v>
      </c>
      <c r="L722" s="1333"/>
      <c r="M722" s="1332">
        <v>0</v>
      </c>
      <c r="N722" s="1332">
        <v>0</v>
      </c>
      <c r="O722" s="1332">
        <v>1579</v>
      </c>
      <c r="P722" s="1332">
        <v>1579</v>
      </c>
      <c r="Q722" s="1333"/>
      <c r="R722" s="1332">
        <v>18734</v>
      </c>
      <c r="S722" s="1332">
        <v>555</v>
      </c>
      <c r="T722" s="1332">
        <v>19289</v>
      </c>
    </row>
    <row r="723" spans="1:20" x14ac:dyDescent="0.25">
      <c r="A723" s="1342">
        <v>97831</v>
      </c>
      <c r="B723" s="1340" t="s">
        <v>3346</v>
      </c>
      <c r="C723" s="1324">
        <v>1.6359999999999999E-4</v>
      </c>
      <c r="D723" s="1324">
        <v>1.5200000000000001E-4</v>
      </c>
      <c r="E723" s="1332">
        <v>446779</v>
      </c>
      <c r="F723" s="1333"/>
      <c r="G723" s="1332">
        <v>76500</v>
      </c>
      <c r="H723" s="1332">
        <v>10898</v>
      </c>
      <c r="I723" s="1332">
        <v>72818</v>
      </c>
      <c r="J723" s="1332">
        <v>24635</v>
      </c>
      <c r="K723" s="1332">
        <v>184851</v>
      </c>
      <c r="L723" s="1333"/>
      <c r="M723" s="1332">
        <v>0</v>
      </c>
      <c r="N723" s="1332">
        <v>0</v>
      </c>
      <c r="O723" s="1332">
        <v>2758</v>
      </c>
      <c r="P723" s="1332">
        <v>2758</v>
      </c>
      <c r="Q723" s="1333"/>
      <c r="R723" s="1332">
        <v>199022</v>
      </c>
      <c r="S723" s="1332">
        <v>4959</v>
      </c>
      <c r="T723" s="1332">
        <v>203981</v>
      </c>
    </row>
    <row r="724" spans="1:20" x14ac:dyDescent="0.25">
      <c r="A724" s="1342">
        <v>97837</v>
      </c>
      <c r="B724" s="1340" t="s">
        <v>4207</v>
      </c>
      <c r="C724" s="1324">
        <v>1.0000000000000001E-5</v>
      </c>
      <c r="D724" s="1324">
        <v>9.3000000000000007E-6</v>
      </c>
      <c r="E724" s="1332">
        <v>27309</v>
      </c>
      <c r="F724" s="1333"/>
      <c r="G724" s="1332">
        <v>4676</v>
      </c>
      <c r="H724" s="1332">
        <v>666</v>
      </c>
      <c r="I724" s="1332">
        <v>4451</v>
      </c>
      <c r="J724" s="1332">
        <v>2665</v>
      </c>
      <c r="K724" s="1332">
        <v>12458</v>
      </c>
      <c r="L724" s="1333"/>
      <c r="M724" s="1332">
        <v>0</v>
      </c>
      <c r="N724" s="1332">
        <v>0</v>
      </c>
      <c r="O724" s="1332">
        <v>64</v>
      </c>
      <c r="P724" s="1332">
        <v>64</v>
      </c>
      <c r="Q724" s="1333"/>
      <c r="R724" s="1332">
        <v>12165</v>
      </c>
      <c r="S724" s="1332">
        <v>1379</v>
      </c>
      <c r="T724" s="1332">
        <v>13544</v>
      </c>
    </row>
    <row r="725" spans="1:20" x14ac:dyDescent="0.25">
      <c r="A725" s="1342">
        <v>97840</v>
      </c>
      <c r="B725" s="1340" t="s">
        <v>3348</v>
      </c>
      <c r="C725" s="1324">
        <v>1.0560000000000001E-4</v>
      </c>
      <c r="D725" s="1324">
        <v>1.36E-4</v>
      </c>
      <c r="E725" s="1332">
        <v>288385</v>
      </c>
      <c r="F725" s="1333"/>
      <c r="G725" s="1332">
        <v>49379</v>
      </c>
      <c r="H725" s="1332">
        <v>7034</v>
      </c>
      <c r="I725" s="1332">
        <v>47002</v>
      </c>
      <c r="J725" s="1332">
        <v>74121</v>
      </c>
      <c r="K725" s="1332">
        <v>177536</v>
      </c>
      <c r="L725" s="1333"/>
      <c r="M725" s="1332">
        <v>0</v>
      </c>
      <c r="N725" s="1332">
        <v>0</v>
      </c>
      <c r="O725" s="1332">
        <v>0</v>
      </c>
      <c r="P725" s="1332">
        <v>0</v>
      </c>
      <c r="Q725" s="1333"/>
      <c r="R725" s="1332">
        <v>128464</v>
      </c>
      <c r="S725" s="1332">
        <v>41344</v>
      </c>
      <c r="T725" s="1332">
        <v>169808</v>
      </c>
    </row>
    <row r="726" spans="1:20" x14ac:dyDescent="0.25">
      <c r="A726" s="1342">
        <v>97841</v>
      </c>
      <c r="B726" s="1340" t="s">
        <v>3349</v>
      </c>
      <c r="C726" s="1324">
        <v>1.2099999999999999E-5</v>
      </c>
      <c r="D726" s="1324">
        <v>1.2E-5</v>
      </c>
      <c r="E726" s="1332">
        <v>33044</v>
      </c>
      <c r="F726" s="1333"/>
      <c r="G726" s="1332">
        <v>5658</v>
      </c>
      <c r="H726" s="1332">
        <v>806</v>
      </c>
      <c r="I726" s="1332">
        <v>5386</v>
      </c>
      <c r="J726" s="1332">
        <v>186</v>
      </c>
      <c r="K726" s="1332">
        <v>12036</v>
      </c>
      <c r="L726" s="1333"/>
      <c r="M726" s="1332">
        <v>0</v>
      </c>
      <c r="N726" s="1332">
        <v>0</v>
      </c>
      <c r="O726" s="1332">
        <v>474</v>
      </c>
      <c r="P726" s="1332">
        <v>474</v>
      </c>
      <c r="Q726" s="1333"/>
      <c r="R726" s="1332">
        <v>14720</v>
      </c>
      <c r="S726" s="1332">
        <v>-77</v>
      </c>
      <c r="T726" s="1332">
        <v>14643</v>
      </c>
    </row>
    <row r="727" spans="1:20" x14ac:dyDescent="0.25">
      <c r="A727" s="1342">
        <v>97847</v>
      </c>
      <c r="B727" s="1340" t="s">
        <v>3350</v>
      </c>
      <c r="C727" s="1324">
        <v>1.7E-6</v>
      </c>
      <c r="D727" s="1324">
        <v>1.9999999999999999E-6</v>
      </c>
      <c r="E727" s="1332">
        <v>4643</v>
      </c>
      <c r="F727" s="1333"/>
      <c r="G727" s="1332">
        <v>795</v>
      </c>
      <c r="H727" s="1332">
        <v>114</v>
      </c>
      <c r="I727" s="1332">
        <v>757</v>
      </c>
      <c r="J727" s="1332">
        <v>2472</v>
      </c>
      <c r="K727" s="1332">
        <v>4138</v>
      </c>
      <c r="L727" s="1333"/>
      <c r="M727" s="1332">
        <v>0</v>
      </c>
      <c r="N727" s="1332">
        <v>0</v>
      </c>
      <c r="O727" s="1332">
        <v>0</v>
      </c>
      <c r="P727" s="1332">
        <v>0</v>
      </c>
      <c r="Q727" s="1333"/>
      <c r="R727" s="1332">
        <v>2068</v>
      </c>
      <c r="S727" s="1332">
        <v>950</v>
      </c>
      <c r="T727" s="1332">
        <v>3018</v>
      </c>
    </row>
    <row r="728" spans="1:20" x14ac:dyDescent="0.25">
      <c r="A728" s="1342">
        <v>97851</v>
      </c>
      <c r="B728" s="1340" t="s">
        <v>3351</v>
      </c>
      <c r="C728" s="1324">
        <v>2.7540000000000003E-4</v>
      </c>
      <c r="D728" s="1324">
        <v>2.7750000000000002E-4</v>
      </c>
      <c r="E728" s="1332">
        <v>752096</v>
      </c>
      <c r="F728" s="1333"/>
      <c r="G728" s="1332">
        <v>128778</v>
      </c>
      <c r="H728" s="1332">
        <v>18344</v>
      </c>
      <c r="I728" s="1332">
        <v>122579</v>
      </c>
      <c r="J728" s="1332">
        <v>0</v>
      </c>
      <c r="K728" s="1332">
        <v>269701</v>
      </c>
      <c r="L728" s="1333"/>
      <c r="M728" s="1332">
        <v>0</v>
      </c>
      <c r="N728" s="1332">
        <v>0</v>
      </c>
      <c r="O728" s="1332">
        <v>31817</v>
      </c>
      <c r="P728" s="1332">
        <v>31817</v>
      </c>
      <c r="Q728" s="1333"/>
      <c r="R728" s="1332">
        <v>335028</v>
      </c>
      <c r="S728" s="1332">
        <v>-11656</v>
      </c>
      <c r="T728" s="1332">
        <v>323372</v>
      </c>
    </row>
    <row r="729" spans="1:20" x14ac:dyDescent="0.25">
      <c r="A729" s="1342">
        <v>97853</v>
      </c>
      <c r="B729" s="1340" t="s">
        <v>3352</v>
      </c>
      <c r="C729" s="1324">
        <v>7.9900000000000004E-5</v>
      </c>
      <c r="D729" s="1324">
        <v>9.09E-5</v>
      </c>
      <c r="E729" s="1332">
        <v>218201</v>
      </c>
      <c r="F729" s="1333"/>
      <c r="G729" s="1332">
        <v>37361</v>
      </c>
      <c r="H729" s="1332">
        <v>5322</v>
      </c>
      <c r="I729" s="1332">
        <v>35563</v>
      </c>
      <c r="J729" s="1332">
        <v>2508</v>
      </c>
      <c r="K729" s="1332">
        <v>80754</v>
      </c>
      <c r="L729" s="1333"/>
      <c r="M729" s="1332">
        <v>0</v>
      </c>
      <c r="N729" s="1332">
        <v>0</v>
      </c>
      <c r="O729" s="1332">
        <v>22513</v>
      </c>
      <c r="P729" s="1332">
        <v>22513</v>
      </c>
      <c r="Q729" s="1333"/>
      <c r="R729" s="1332">
        <v>97199</v>
      </c>
      <c r="S729" s="1332">
        <v>-6611</v>
      </c>
      <c r="T729" s="1332">
        <v>90588</v>
      </c>
    </row>
    <row r="730" spans="1:20" x14ac:dyDescent="0.25">
      <c r="A730" s="1342">
        <v>97861</v>
      </c>
      <c r="B730" s="1340" t="s">
        <v>3353</v>
      </c>
      <c r="C730" s="1324">
        <v>4.5500000000000001E-5</v>
      </c>
      <c r="D730" s="1324">
        <v>4.3000000000000002E-5</v>
      </c>
      <c r="E730" s="1332">
        <v>124257</v>
      </c>
      <c r="F730" s="1333"/>
      <c r="G730" s="1332">
        <v>21276</v>
      </c>
      <c r="H730" s="1332">
        <v>3031</v>
      </c>
      <c r="I730" s="1332">
        <v>20252</v>
      </c>
      <c r="J730" s="1332">
        <v>6798</v>
      </c>
      <c r="K730" s="1332">
        <v>51357</v>
      </c>
      <c r="L730" s="1333"/>
      <c r="M730" s="1332">
        <v>0</v>
      </c>
      <c r="N730" s="1332">
        <v>0</v>
      </c>
      <c r="O730" s="1332">
        <v>11467</v>
      </c>
      <c r="P730" s="1332">
        <v>11467</v>
      </c>
      <c r="Q730" s="1333"/>
      <c r="R730" s="1332">
        <v>55351</v>
      </c>
      <c r="S730" s="1332">
        <v>-1850</v>
      </c>
      <c r="T730" s="1332">
        <v>53501</v>
      </c>
    </row>
    <row r="731" spans="1:20" x14ac:dyDescent="0.25">
      <c r="A731" s="1342">
        <v>97871</v>
      </c>
      <c r="B731" s="1340" t="s">
        <v>3354</v>
      </c>
      <c r="C731" s="1324">
        <v>3.0079999999999999E-4</v>
      </c>
      <c r="D731" s="1324">
        <v>3.1080000000000002E-4</v>
      </c>
      <c r="E731" s="1332">
        <v>821461</v>
      </c>
      <c r="F731" s="1333"/>
      <c r="G731" s="1332">
        <v>140655</v>
      </c>
      <c r="H731" s="1332">
        <v>20037</v>
      </c>
      <c r="I731" s="1332">
        <v>133885</v>
      </c>
      <c r="J731" s="1332">
        <v>270096</v>
      </c>
      <c r="K731" s="1332">
        <v>564673</v>
      </c>
      <c r="L731" s="1333"/>
      <c r="M731" s="1332">
        <v>0</v>
      </c>
      <c r="N731" s="1332">
        <v>0</v>
      </c>
      <c r="O731" s="1332">
        <v>0</v>
      </c>
      <c r="P731" s="1332">
        <v>0</v>
      </c>
      <c r="Q731" s="1333"/>
      <c r="R731" s="1332">
        <v>365927</v>
      </c>
      <c r="S731" s="1332">
        <v>125339</v>
      </c>
      <c r="T731" s="1332">
        <v>491266</v>
      </c>
    </row>
    <row r="732" spans="1:20" x14ac:dyDescent="0.25">
      <c r="A732" s="1342">
        <v>97877</v>
      </c>
      <c r="B732" s="1340" t="s">
        <v>3355</v>
      </c>
      <c r="C732" s="1324">
        <v>7.6000000000000001E-6</v>
      </c>
      <c r="D732" s="1324">
        <v>1.7999999999999999E-6</v>
      </c>
      <c r="E732" s="1332">
        <v>20755</v>
      </c>
      <c r="F732" s="1333"/>
      <c r="G732" s="1332">
        <v>3554</v>
      </c>
      <c r="H732" s="1332">
        <v>506</v>
      </c>
      <c r="I732" s="1332">
        <v>3383</v>
      </c>
      <c r="J732" s="1332">
        <v>7232</v>
      </c>
      <c r="K732" s="1332">
        <v>14675</v>
      </c>
      <c r="L732" s="1333"/>
      <c r="M732" s="1332">
        <v>0</v>
      </c>
      <c r="N732" s="1332">
        <v>0</v>
      </c>
      <c r="O732" s="1332">
        <v>0</v>
      </c>
      <c r="P732" s="1332">
        <v>0</v>
      </c>
      <c r="Q732" s="1333"/>
      <c r="R732" s="1332">
        <v>9245</v>
      </c>
      <c r="S732" s="1332">
        <v>2234</v>
      </c>
      <c r="T732" s="1332">
        <v>11479</v>
      </c>
    </row>
    <row r="733" spans="1:20" x14ac:dyDescent="0.25">
      <c r="A733" s="1342">
        <v>97901</v>
      </c>
      <c r="B733" s="1340" t="s">
        <v>3356</v>
      </c>
      <c r="C733" s="1324">
        <v>4.0067999999999996E-3</v>
      </c>
      <c r="D733" s="1324">
        <v>4.2154000000000002E-3</v>
      </c>
      <c r="E733" s="1332">
        <v>10942258</v>
      </c>
      <c r="F733" s="1333"/>
      <c r="G733" s="1332">
        <v>1873592</v>
      </c>
      <c r="H733" s="1332">
        <v>266897</v>
      </c>
      <c r="I733" s="1332">
        <v>1783407</v>
      </c>
      <c r="J733" s="1332">
        <v>20918</v>
      </c>
      <c r="K733" s="1332">
        <v>3944814</v>
      </c>
      <c r="L733" s="1333"/>
      <c r="M733" s="1332">
        <v>0</v>
      </c>
      <c r="N733" s="1332">
        <v>0</v>
      </c>
      <c r="O733" s="1332">
        <v>292022</v>
      </c>
      <c r="P733" s="1332">
        <v>292022</v>
      </c>
      <c r="Q733" s="1333"/>
      <c r="R733" s="1332">
        <v>4874324</v>
      </c>
      <c r="S733" s="1332">
        <v>-51025</v>
      </c>
      <c r="T733" s="1332">
        <v>4823299</v>
      </c>
    </row>
    <row r="734" spans="1:20" x14ac:dyDescent="0.25">
      <c r="A734" s="1342">
        <v>97911</v>
      </c>
      <c r="B734" s="1340" t="s">
        <v>3357</v>
      </c>
      <c r="C734" s="1324">
        <v>1.2121E-3</v>
      </c>
      <c r="D734" s="1324">
        <v>1.2834000000000001E-3</v>
      </c>
      <c r="E734" s="1332">
        <v>3310151</v>
      </c>
      <c r="F734" s="1333"/>
      <c r="G734" s="1332">
        <v>566782</v>
      </c>
      <c r="H734" s="1332">
        <v>80739</v>
      </c>
      <c r="I734" s="1332">
        <v>539500</v>
      </c>
      <c r="J734" s="1332">
        <v>714</v>
      </c>
      <c r="K734" s="1332">
        <v>1187735</v>
      </c>
      <c r="L734" s="1333"/>
      <c r="M734" s="1332">
        <v>0</v>
      </c>
      <c r="N734" s="1332">
        <v>0</v>
      </c>
      <c r="O734" s="1332">
        <v>32366</v>
      </c>
      <c r="P734" s="1332">
        <v>32366</v>
      </c>
      <c r="Q734" s="1333"/>
      <c r="R734" s="1332">
        <v>1474535</v>
      </c>
      <c r="S734" s="1332">
        <v>-5290</v>
      </c>
      <c r="T734" s="1332">
        <v>1469245</v>
      </c>
    </row>
    <row r="735" spans="1:20" x14ac:dyDescent="0.25">
      <c r="A735" s="1342">
        <v>97913</v>
      </c>
      <c r="B735" s="1340" t="s">
        <v>4208</v>
      </c>
      <c r="C735" s="1324">
        <v>2.8600000000000001E-5</v>
      </c>
      <c r="D735" s="1324">
        <v>3.3899999999999997E-5</v>
      </c>
      <c r="E735" s="1332">
        <v>78104</v>
      </c>
      <c r="F735" s="1333"/>
      <c r="G735" s="1332">
        <v>13373</v>
      </c>
      <c r="H735" s="1332">
        <v>1905</v>
      </c>
      <c r="I735" s="1332">
        <v>12730</v>
      </c>
      <c r="J735" s="1332">
        <v>14218</v>
      </c>
      <c r="K735" s="1332">
        <v>42226</v>
      </c>
      <c r="L735" s="1333"/>
      <c r="M735" s="1332">
        <v>0</v>
      </c>
      <c r="N735" s="1332">
        <v>0</v>
      </c>
      <c r="O735" s="1332">
        <v>0</v>
      </c>
      <c r="P735" s="1332">
        <v>0</v>
      </c>
      <c r="Q735" s="1333"/>
      <c r="R735" s="1332">
        <v>34792</v>
      </c>
      <c r="S735" s="1332">
        <v>7475</v>
      </c>
      <c r="T735" s="1332">
        <v>42267</v>
      </c>
    </row>
    <row r="736" spans="1:20" x14ac:dyDescent="0.25">
      <c r="A736" s="1342">
        <v>97917</v>
      </c>
      <c r="B736" s="1340" t="s">
        <v>3359</v>
      </c>
      <c r="C736" s="1324">
        <v>1.84E-5</v>
      </c>
      <c r="D736" s="1324">
        <v>1.9700000000000001E-5</v>
      </c>
      <c r="E736" s="1332">
        <v>50249</v>
      </c>
      <c r="F736" s="1333"/>
      <c r="G736" s="1332">
        <v>8604</v>
      </c>
      <c r="H736" s="1332">
        <v>1226</v>
      </c>
      <c r="I736" s="1332">
        <v>8190</v>
      </c>
      <c r="J736" s="1332">
        <v>7317</v>
      </c>
      <c r="K736" s="1332">
        <v>25337</v>
      </c>
      <c r="L736" s="1333"/>
      <c r="M736" s="1332">
        <v>0</v>
      </c>
      <c r="N736" s="1332">
        <v>0</v>
      </c>
      <c r="O736" s="1332">
        <v>0</v>
      </c>
      <c r="P736" s="1332">
        <v>0</v>
      </c>
      <c r="Q736" s="1333"/>
      <c r="R736" s="1332">
        <v>22384</v>
      </c>
      <c r="S736" s="1332">
        <v>3517</v>
      </c>
      <c r="T736" s="1332">
        <v>25901</v>
      </c>
    </row>
    <row r="737" spans="1:20" x14ac:dyDescent="0.25">
      <c r="A737" s="1342">
        <v>97921</v>
      </c>
      <c r="B737" s="1340" t="s">
        <v>3360</v>
      </c>
      <c r="C737" s="1324">
        <v>2.073E-4</v>
      </c>
      <c r="D737" s="1324">
        <v>2.2699999999999999E-4</v>
      </c>
      <c r="E737" s="1332">
        <v>566120</v>
      </c>
      <c r="F737" s="1333"/>
      <c r="G737" s="1332">
        <v>96934</v>
      </c>
      <c r="H737" s="1332">
        <v>13809</v>
      </c>
      <c r="I737" s="1332">
        <v>92268</v>
      </c>
      <c r="J737" s="1332">
        <v>5695</v>
      </c>
      <c r="K737" s="1332">
        <v>208706</v>
      </c>
      <c r="L737" s="1333"/>
      <c r="M737" s="1332">
        <v>0</v>
      </c>
      <c r="N737" s="1332">
        <v>0</v>
      </c>
      <c r="O737" s="1332">
        <v>14528</v>
      </c>
      <c r="P737" s="1332">
        <v>14528</v>
      </c>
      <c r="Q737" s="1333"/>
      <c r="R737" s="1332">
        <v>252183</v>
      </c>
      <c r="S737" s="1332">
        <v>2315</v>
      </c>
      <c r="T737" s="1332">
        <v>254498</v>
      </c>
    </row>
    <row r="738" spans="1:20" x14ac:dyDescent="0.25">
      <c r="A738" s="1342">
        <v>97931</v>
      </c>
      <c r="B738" s="1340" t="s">
        <v>3361</v>
      </c>
      <c r="C738" s="1324">
        <v>6.6699999999999995E-5</v>
      </c>
      <c r="D738" s="1324">
        <v>6.7600000000000003E-5</v>
      </c>
      <c r="E738" s="1332">
        <v>182152</v>
      </c>
      <c r="F738" s="1333"/>
      <c r="G738" s="1332">
        <v>31189</v>
      </c>
      <c r="H738" s="1332">
        <v>4443</v>
      </c>
      <c r="I738" s="1332">
        <v>29688</v>
      </c>
      <c r="J738" s="1332">
        <v>3693</v>
      </c>
      <c r="K738" s="1332">
        <v>69013</v>
      </c>
      <c r="L738" s="1333"/>
      <c r="M738" s="1332">
        <v>0</v>
      </c>
      <c r="N738" s="1332">
        <v>0</v>
      </c>
      <c r="O738" s="1332">
        <v>1945</v>
      </c>
      <c r="P738" s="1332">
        <v>1945</v>
      </c>
      <c r="Q738" s="1333"/>
      <c r="R738" s="1332">
        <v>81141</v>
      </c>
      <c r="S738" s="1332">
        <v>6142</v>
      </c>
      <c r="T738" s="1332">
        <v>87283</v>
      </c>
    </row>
    <row r="739" spans="1:20" x14ac:dyDescent="0.25">
      <c r="A739" s="1342">
        <v>97941</v>
      </c>
      <c r="B739" s="1340" t="s">
        <v>3362</v>
      </c>
      <c r="C739" s="1324">
        <v>2.143E-4</v>
      </c>
      <c r="D739" s="1324">
        <v>2.0159999999999999E-4</v>
      </c>
      <c r="E739" s="1332">
        <v>585237</v>
      </c>
      <c r="F739" s="1333"/>
      <c r="G739" s="1332">
        <v>100207</v>
      </c>
      <c r="H739" s="1332">
        <v>14275</v>
      </c>
      <c r="I739" s="1332">
        <v>95384</v>
      </c>
      <c r="J739" s="1332">
        <v>29447</v>
      </c>
      <c r="K739" s="1332">
        <v>239313</v>
      </c>
      <c r="L739" s="1333"/>
      <c r="M739" s="1332">
        <v>0</v>
      </c>
      <c r="N739" s="1332">
        <v>0</v>
      </c>
      <c r="O739" s="1332">
        <v>4374</v>
      </c>
      <c r="P739" s="1332">
        <v>4374</v>
      </c>
      <c r="Q739" s="1333"/>
      <c r="R739" s="1332">
        <v>260699</v>
      </c>
      <c r="S739" s="1332">
        <v>13475</v>
      </c>
      <c r="T739" s="1332">
        <v>274174</v>
      </c>
    </row>
    <row r="740" spans="1:20" x14ac:dyDescent="0.25">
      <c r="A740" s="1342">
        <v>97947</v>
      </c>
      <c r="B740" s="1340" t="s">
        <v>3363</v>
      </c>
      <c r="C740" s="1324">
        <v>1.52E-5</v>
      </c>
      <c r="D740" s="1324">
        <v>1.47E-5</v>
      </c>
      <c r="E740" s="1332">
        <v>41510</v>
      </c>
      <c r="F740" s="1333"/>
      <c r="G740" s="1332">
        <v>7108</v>
      </c>
      <c r="H740" s="1332">
        <v>1013</v>
      </c>
      <c r="I740" s="1332">
        <v>6765</v>
      </c>
      <c r="J740" s="1332">
        <v>12028</v>
      </c>
      <c r="K740" s="1332">
        <v>26914</v>
      </c>
      <c r="L740" s="1333"/>
      <c r="M740" s="1332">
        <v>0</v>
      </c>
      <c r="N740" s="1332">
        <v>0</v>
      </c>
      <c r="O740" s="1332">
        <v>0</v>
      </c>
      <c r="P740" s="1332">
        <v>0</v>
      </c>
      <c r="Q740" s="1333"/>
      <c r="R740" s="1332">
        <v>18491</v>
      </c>
      <c r="S740" s="1332">
        <v>5853</v>
      </c>
      <c r="T740" s="1332">
        <v>24344</v>
      </c>
    </row>
    <row r="741" spans="1:20" x14ac:dyDescent="0.25">
      <c r="A741" s="1342">
        <v>97948</v>
      </c>
      <c r="B741" s="1340" t="s">
        <v>4209</v>
      </c>
      <c r="C741" s="1324">
        <v>2.6100000000000001E-5</v>
      </c>
      <c r="D741" s="1324">
        <v>2.1299999999999999E-5</v>
      </c>
      <c r="E741" s="1332">
        <v>71277</v>
      </c>
      <c r="F741" s="1333"/>
      <c r="G741" s="1332">
        <v>12204</v>
      </c>
      <c r="H741" s="1332">
        <v>1739</v>
      </c>
      <c r="I741" s="1332">
        <v>11617</v>
      </c>
      <c r="J741" s="1332">
        <v>4166</v>
      </c>
      <c r="K741" s="1332">
        <v>29726</v>
      </c>
      <c r="L741" s="1333"/>
      <c r="M741" s="1332">
        <v>0</v>
      </c>
      <c r="N741" s="1332">
        <v>0</v>
      </c>
      <c r="O741" s="1332">
        <v>4144</v>
      </c>
      <c r="P741" s="1332">
        <v>4144</v>
      </c>
      <c r="Q741" s="1333"/>
      <c r="R741" s="1332">
        <v>31751</v>
      </c>
      <c r="S741" s="1332">
        <v>-235</v>
      </c>
      <c r="T741" s="1332">
        <v>31516</v>
      </c>
    </row>
    <row r="742" spans="1:20" x14ac:dyDescent="0.25">
      <c r="A742" s="1342">
        <v>97951</v>
      </c>
      <c r="B742" s="1340" t="s">
        <v>3365</v>
      </c>
      <c r="C742" s="1324">
        <v>1.1746E-3</v>
      </c>
      <c r="D742" s="1324">
        <v>1.1826E-3</v>
      </c>
      <c r="E742" s="1332">
        <v>3207741</v>
      </c>
      <c r="F742" s="1333"/>
      <c r="G742" s="1332">
        <v>549246</v>
      </c>
      <c r="H742" s="1332">
        <v>78241</v>
      </c>
      <c r="I742" s="1332">
        <v>522809</v>
      </c>
      <c r="J742" s="1332">
        <v>44815</v>
      </c>
      <c r="K742" s="1332">
        <v>1195111</v>
      </c>
      <c r="L742" s="1333"/>
      <c r="M742" s="1332">
        <v>0</v>
      </c>
      <c r="N742" s="1332">
        <v>0</v>
      </c>
      <c r="O742" s="1332">
        <v>75</v>
      </c>
      <c r="P742" s="1332">
        <v>75</v>
      </c>
      <c r="Q742" s="1333"/>
      <c r="R742" s="1332">
        <v>1428916</v>
      </c>
      <c r="S742" s="1332">
        <v>19096</v>
      </c>
      <c r="T742" s="1332">
        <v>1448012</v>
      </c>
    </row>
    <row r="743" spans="1:20" x14ac:dyDescent="0.25">
      <c r="A743" s="1342">
        <v>97957</v>
      </c>
      <c r="B743" s="1340" t="s">
        <v>3366</v>
      </c>
      <c r="C743" s="1324">
        <v>1.49E-5</v>
      </c>
      <c r="D743" s="1324">
        <v>1.7200000000000001E-5</v>
      </c>
      <c r="E743" s="1332">
        <v>40691</v>
      </c>
      <c r="F743" s="1333"/>
      <c r="G743" s="1332">
        <v>6967</v>
      </c>
      <c r="H743" s="1332">
        <v>993</v>
      </c>
      <c r="I743" s="1332">
        <v>6632</v>
      </c>
      <c r="J743" s="1332">
        <v>6596</v>
      </c>
      <c r="K743" s="1332">
        <v>21188</v>
      </c>
      <c r="L743" s="1333"/>
      <c r="M743" s="1332">
        <v>0</v>
      </c>
      <c r="N743" s="1332">
        <v>0</v>
      </c>
      <c r="O743" s="1332">
        <v>0</v>
      </c>
      <c r="P743" s="1332">
        <v>0</v>
      </c>
      <c r="Q743" s="1333"/>
      <c r="R743" s="1332">
        <v>18126</v>
      </c>
      <c r="S743" s="1332">
        <v>2151</v>
      </c>
      <c r="T743" s="1332">
        <v>20277</v>
      </c>
    </row>
    <row r="744" spans="1:20" x14ac:dyDescent="0.25">
      <c r="A744" s="1342">
        <v>98001</v>
      </c>
      <c r="B744" s="1340" t="s">
        <v>3367</v>
      </c>
      <c r="C744" s="1324">
        <v>5.3171E-3</v>
      </c>
      <c r="D744" s="1324">
        <v>5.3728999999999999E-3</v>
      </c>
      <c r="E744" s="1332">
        <v>14520585</v>
      </c>
      <c r="F744" s="1333"/>
      <c r="G744" s="1332">
        <v>2486292</v>
      </c>
      <c r="H744" s="1332">
        <v>354177</v>
      </c>
      <c r="I744" s="1332">
        <v>2366615</v>
      </c>
      <c r="J744" s="1332">
        <v>189086</v>
      </c>
      <c r="K744" s="1332">
        <v>5396170</v>
      </c>
      <c r="L744" s="1333"/>
      <c r="M744" s="1332">
        <v>0</v>
      </c>
      <c r="N744" s="1332">
        <v>0</v>
      </c>
      <c r="O744" s="1332">
        <v>54786</v>
      </c>
      <c r="P744" s="1332">
        <v>54786</v>
      </c>
      <c r="Q744" s="1333"/>
      <c r="R744" s="1332">
        <v>6468321</v>
      </c>
      <c r="S744" s="1332">
        <v>72716</v>
      </c>
      <c r="T744" s="1332">
        <v>6541037</v>
      </c>
    </row>
    <row r="745" spans="1:20" x14ac:dyDescent="0.25">
      <c r="A745" s="1342">
        <v>98002</v>
      </c>
      <c r="B745" s="1340" t="s">
        <v>3368</v>
      </c>
      <c r="C745" s="1324">
        <v>6.1999999999999999E-6</v>
      </c>
      <c r="D745" s="1324">
        <v>6.4999999999999996E-6</v>
      </c>
      <c r="E745" s="1332">
        <v>16932</v>
      </c>
      <c r="F745" s="1333"/>
      <c r="G745" s="1332">
        <v>2899</v>
      </c>
      <c r="H745" s="1332">
        <v>413</v>
      </c>
      <c r="I745" s="1332">
        <v>2760</v>
      </c>
      <c r="J745" s="1332">
        <v>2683</v>
      </c>
      <c r="K745" s="1332">
        <v>8755</v>
      </c>
      <c r="L745" s="1333"/>
      <c r="M745" s="1332">
        <v>0</v>
      </c>
      <c r="N745" s="1332">
        <v>0</v>
      </c>
      <c r="O745" s="1332">
        <v>0</v>
      </c>
      <c r="P745" s="1332">
        <v>0</v>
      </c>
      <c r="Q745" s="1333"/>
      <c r="R745" s="1332">
        <v>7542</v>
      </c>
      <c r="S745" s="1332">
        <v>975</v>
      </c>
      <c r="T745" s="1332">
        <v>8517</v>
      </c>
    </row>
    <row r="746" spans="1:20" x14ac:dyDescent="0.25">
      <c r="A746" s="1342">
        <v>98003</v>
      </c>
      <c r="B746" s="1340" t="s">
        <v>4210</v>
      </c>
      <c r="C746" s="1324">
        <v>6.9499999999999995E-5</v>
      </c>
      <c r="D746" s="1324">
        <v>7.7000000000000001E-5</v>
      </c>
      <c r="E746" s="1332">
        <v>189799</v>
      </c>
      <c r="F746" s="1333"/>
      <c r="G746" s="1332">
        <v>32498</v>
      </c>
      <c r="H746" s="1332">
        <v>4629</v>
      </c>
      <c r="I746" s="1332">
        <v>30934</v>
      </c>
      <c r="J746" s="1332">
        <v>63059</v>
      </c>
      <c r="K746" s="1332">
        <v>131120</v>
      </c>
      <c r="L746" s="1333"/>
      <c r="M746" s="1332">
        <v>0</v>
      </c>
      <c r="N746" s="1332">
        <v>0</v>
      </c>
      <c r="O746" s="1332">
        <v>0</v>
      </c>
      <c r="P746" s="1332">
        <v>0</v>
      </c>
      <c r="Q746" s="1333"/>
      <c r="R746" s="1332">
        <v>84548</v>
      </c>
      <c r="S746" s="1332">
        <v>29712</v>
      </c>
      <c r="T746" s="1332">
        <v>114260</v>
      </c>
    </row>
    <row r="747" spans="1:20" x14ac:dyDescent="0.25">
      <c r="A747" s="1342">
        <v>98004</v>
      </c>
      <c r="B747" s="1340" t="s">
        <v>3370</v>
      </c>
      <c r="C747" s="1324">
        <v>1.2530000000000001E-4</v>
      </c>
      <c r="D747" s="1324">
        <v>1.189E-4</v>
      </c>
      <c r="E747" s="1332">
        <v>342185</v>
      </c>
      <c r="F747" s="1333"/>
      <c r="G747" s="1332">
        <v>58591</v>
      </c>
      <c r="H747" s="1332">
        <v>8346</v>
      </c>
      <c r="I747" s="1332">
        <v>55770</v>
      </c>
      <c r="J747" s="1332">
        <v>53605</v>
      </c>
      <c r="K747" s="1332">
        <v>176312</v>
      </c>
      <c r="L747" s="1333"/>
      <c r="M747" s="1332">
        <v>0</v>
      </c>
      <c r="N747" s="1332">
        <v>0</v>
      </c>
      <c r="O747" s="1332">
        <v>0</v>
      </c>
      <c r="P747" s="1332">
        <v>0</v>
      </c>
      <c r="Q747" s="1333"/>
      <c r="R747" s="1332">
        <v>152429</v>
      </c>
      <c r="S747" s="1332">
        <v>22227</v>
      </c>
      <c r="T747" s="1332">
        <v>174656</v>
      </c>
    </row>
    <row r="748" spans="1:20" ht="30" x14ac:dyDescent="0.25">
      <c r="A748" s="1342">
        <v>98008</v>
      </c>
      <c r="B748" s="1340" t="s">
        <v>4211</v>
      </c>
      <c r="C748" s="1324">
        <v>7.1999999999999997E-6</v>
      </c>
      <c r="D748" s="1324">
        <v>7.7000000000000008E-6</v>
      </c>
      <c r="E748" s="1332">
        <v>19663</v>
      </c>
      <c r="F748" s="1333"/>
      <c r="G748" s="1332">
        <v>3367</v>
      </c>
      <c r="H748" s="1332">
        <v>480</v>
      </c>
      <c r="I748" s="1332">
        <v>3205</v>
      </c>
      <c r="J748" s="1332">
        <v>14</v>
      </c>
      <c r="K748" s="1332">
        <v>7066</v>
      </c>
      <c r="L748" s="1333"/>
      <c r="M748" s="1332">
        <v>0</v>
      </c>
      <c r="N748" s="1332">
        <v>0</v>
      </c>
      <c r="O748" s="1332">
        <v>598</v>
      </c>
      <c r="P748" s="1332">
        <v>598</v>
      </c>
      <c r="Q748" s="1333"/>
      <c r="R748" s="1332">
        <v>8759</v>
      </c>
      <c r="S748" s="1332">
        <v>-352</v>
      </c>
      <c r="T748" s="1332">
        <v>8407</v>
      </c>
    </row>
    <row r="749" spans="1:20" x14ac:dyDescent="0.25">
      <c r="A749" s="1342">
        <v>98011</v>
      </c>
      <c r="B749" s="1340" t="s">
        <v>3372</v>
      </c>
      <c r="C749" s="1324">
        <v>3.4512000000000002E-3</v>
      </c>
      <c r="D749" s="1324">
        <v>3.2946999999999998E-3</v>
      </c>
      <c r="E749" s="1332">
        <v>9424958</v>
      </c>
      <c r="F749" s="1333"/>
      <c r="G749" s="1332">
        <v>1613791</v>
      </c>
      <c r="H749" s="1332">
        <v>229888</v>
      </c>
      <c r="I749" s="1332">
        <v>1536112</v>
      </c>
      <c r="J749" s="1332">
        <v>95530</v>
      </c>
      <c r="K749" s="1332">
        <v>3475321</v>
      </c>
      <c r="L749" s="1333"/>
      <c r="M749" s="1332">
        <v>0</v>
      </c>
      <c r="N749" s="1332">
        <v>0</v>
      </c>
      <c r="O749" s="1332">
        <v>74927</v>
      </c>
      <c r="P749" s="1332">
        <v>74927</v>
      </c>
      <c r="Q749" s="1333"/>
      <c r="R749" s="1332">
        <v>4198430</v>
      </c>
      <c r="S749" s="1332">
        <v>-64768</v>
      </c>
      <c r="T749" s="1332">
        <v>4133662</v>
      </c>
    </row>
    <row r="750" spans="1:20" x14ac:dyDescent="0.25">
      <c r="A750" s="1342">
        <v>98013</v>
      </c>
      <c r="B750" s="1340" t="s">
        <v>4212</v>
      </c>
      <c r="C750" s="1324">
        <v>1.3990000000000001E-4</v>
      </c>
      <c r="D750" s="1324">
        <v>1.3439999999999999E-4</v>
      </c>
      <c r="E750" s="1332">
        <v>382056</v>
      </c>
      <c r="F750" s="1333"/>
      <c r="G750" s="1332">
        <v>65418</v>
      </c>
      <c r="H750" s="1332">
        <v>9319</v>
      </c>
      <c r="I750" s="1332">
        <v>62269</v>
      </c>
      <c r="J750" s="1332">
        <v>145686</v>
      </c>
      <c r="K750" s="1332">
        <v>282692</v>
      </c>
      <c r="L750" s="1333"/>
      <c r="M750" s="1332">
        <v>0</v>
      </c>
      <c r="N750" s="1332">
        <v>0</v>
      </c>
      <c r="O750" s="1332">
        <v>0</v>
      </c>
      <c r="P750" s="1332">
        <v>0</v>
      </c>
      <c r="Q750" s="1333"/>
      <c r="R750" s="1332">
        <v>170190</v>
      </c>
      <c r="S750" s="1332">
        <v>70745</v>
      </c>
      <c r="T750" s="1332">
        <v>240935</v>
      </c>
    </row>
    <row r="751" spans="1:20" x14ac:dyDescent="0.25">
      <c r="A751" s="1342">
        <v>98021</v>
      </c>
      <c r="B751" s="1340" t="s">
        <v>3374</v>
      </c>
      <c r="C751" s="1324">
        <v>4.2400000000000001E-5</v>
      </c>
      <c r="D751" s="1324">
        <v>3.6100000000000003E-5</v>
      </c>
      <c r="E751" s="1332">
        <v>115791</v>
      </c>
      <c r="F751" s="1333"/>
      <c r="G751" s="1332">
        <v>19826</v>
      </c>
      <c r="H751" s="1332">
        <v>2824</v>
      </c>
      <c r="I751" s="1332">
        <v>18872</v>
      </c>
      <c r="J751" s="1332">
        <v>10139</v>
      </c>
      <c r="K751" s="1332">
        <v>51661</v>
      </c>
      <c r="L751" s="1333"/>
      <c r="M751" s="1332">
        <v>0</v>
      </c>
      <c r="N751" s="1332">
        <v>0</v>
      </c>
      <c r="O751" s="1332">
        <v>22161</v>
      </c>
      <c r="P751" s="1332">
        <v>22161</v>
      </c>
      <c r="Q751" s="1333"/>
      <c r="R751" s="1332">
        <v>51580</v>
      </c>
      <c r="S751" s="1332">
        <v>813</v>
      </c>
      <c r="T751" s="1332">
        <v>52393</v>
      </c>
    </row>
    <row r="752" spans="1:20" x14ac:dyDescent="0.25">
      <c r="A752" s="1342">
        <v>98023</v>
      </c>
      <c r="B752" s="1340" t="s">
        <v>3375</v>
      </c>
      <c r="C752" s="1324">
        <v>8.8000000000000004E-6</v>
      </c>
      <c r="D752" s="1324">
        <v>1.88E-5</v>
      </c>
      <c r="E752" s="1332">
        <v>24032</v>
      </c>
      <c r="F752" s="1333"/>
      <c r="G752" s="1332">
        <v>4115</v>
      </c>
      <c r="H752" s="1332">
        <v>586</v>
      </c>
      <c r="I752" s="1332">
        <v>3917</v>
      </c>
      <c r="J752" s="1332">
        <v>1269</v>
      </c>
      <c r="K752" s="1332">
        <v>9887</v>
      </c>
      <c r="L752" s="1333"/>
      <c r="M752" s="1332">
        <v>0</v>
      </c>
      <c r="N752" s="1332">
        <v>0</v>
      </c>
      <c r="O752" s="1332">
        <v>9380</v>
      </c>
      <c r="P752" s="1332">
        <v>9380</v>
      </c>
      <c r="Q752" s="1333"/>
      <c r="R752" s="1332">
        <v>10705</v>
      </c>
      <c r="S752" s="1332">
        <v>-3499</v>
      </c>
      <c r="T752" s="1332">
        <v>7206</v>
      </c>
    </row>
    <row r="753" spans="1:20" x14ac:dyDescent="0.25">
      <c r="A753" s="1342">
        <v>98031</v>
      </c>
      <c r="B753" s="1340" t="s">
        <v>3376</v>
      </c>
      <c r="C753" s="1324">
        <v>1.5410000000000001E-4</v>
      </c>
      <c r="D753" s="1324">
        <v>1.717E-4</v>
      </c>
      <c r="E753" s="1332">
        <v>420835</v>
      </c>
      <c r="F753" s="1333"/>
      <c r="G753" s="1332">
        <v>72058</v>
      </c>
      <c r="H753" s="1332">
        <v>10264</v>
      </c>
      <c r="I753" s="1332">
        <v>68589</v>
      </c>
      <c r="J753" s="1332">
        <v>3878</v>
      </c>
      <c r="K753" s="1332">
        <v>154789</v>
      </c>
      <c r="L753" s="1333"/>
      <c r="M753" s="1332">
        <v>0</v>
      </c>
      <c r="N753" s="1332">
        <v>0</v>
      </c>
      <c r="O753" s="1332">
        <v>22905</v>
      </c>
      <c r="P753" s="1332">
        <v>22905</v>
      </c>
      <c r="Q753" s="1333"/>
      <c r="R753" s="1332">
        <v>187465</v>
      </c>
      <c r="S753" s="1332">
        <v>-3910</v>
      </c>
      <c r="T753" s="1332">
        <v>183555</v>
      </c>
    </row>
    <row r="754" spans="1:20" x14ac:dyDescent="0.25">
      <c r="A754" s="1342">
        <v>98041</v>
      </c>
      <c r="B754" s="1340" t="s">
        <v>3377</v>
      </c>
      <c r="C754" s="1324">
        <v>2.3560000000000001E-4</v>
      </c>
      <c r="D754" s="1324">
        <v>2.242E-4</v>
      </c>
      <c r="E754" s="1332">
        <v>643405</v>
      </c>
      <c r="F754" s="1333"/>
      <c r="G754" s="1332">
        <v>110167</v>
      </c>
      <c r="H754" s="1332">
        <v>15693</v>
      </c>
      <c r="I754" s="1332">
        <v>104864</v>
      </c>
      <c r="J754" s="1332">
        <v>16120</v>
      </c>
      <c r="K754" s="1332">
        <v>246844</v>
      </c>
      <c r="L754" s="1333"/>
      <c r="M754" s="1332">
        <v>0</v>
      </c>
      <c r="N754" s="1332">
        <v>0</v>
      </c>
      <c r="O754" s="1332">
        <v>2518</v>
      </c>
      <c r="P754" s="1332">
        <v>2518</v>
      </c>
      <c r="Q754" s="1333"/>
      <c r="R754" s="1332">
        <v>286610</v>
      </c>
      <c r="S754" s="1332">
        <v>5185</v>
      </c>
      <c r="T754" s="1332">
        <v>291795</v>
      </c>
    </row>
    <row r="755" spans="1:20" x14ac:dyDescent="0.25">
      <c r="A755" s="1342">
        <v>98051</v>
      </c>
      <c r="B755" s="1340" t="s">
        <v>3378</v>
      </c>
      <c r="C755" s="1324">
        <v>2.9750000000000002E-4</v>
      </c>
      <c r="D755" s="1324">
        <v>2.699E-4</v>
      </c>
      <c r="E755" s="1332">
        <v>812449</v>
      </c>
      <c r="F755" s="1333"/>
      <c r="G755" s="1332">
        <v>139112</v>
      </c>
      <c r="H755" s="1332">
        <v>19817</v>
      </c>
      <c r="I755" s="1332">
        <v>132416</v>
      </c>
      <c r="J755" s="1332">
        <v>21352</v>
      </c>
      <c r="K755" s="1332">
        <v>312697</v>
      </c>
      <c r="L755" s="1333"/>
      <c r="M755" s="1332">
        <v>0</v>
      </c>
      <c r="N755" s="1332">
        <v>0</v>
      </c>
      <c r="O755" s="1332">
        <v>3702</v>
      </c>
      <c r="P755" s="1332">
        <v>3702</v>
      </c>
      <c r="Q755" s="1333"/>
      <c r="R755" s="1332">
        <v>361913</v>
      </c>
      <c r="S755" s="1332">
        <v>11173</v>
      </c>
      <c r="T755" s="1332">
        <v>373086</v>
      </c>
    </row>
    <row r="756" spans="1:20" x14ac:dyDescent="0.25">
      <c r="A756" s="1342">
        <v>98061</v>
      </c>
      <c r="B756" s="1340" t="s">
        <v>3379</v>
      </c>
      <c r="C756" s="1324">
        <v>1.208E-4</v>
      </c>
      <c r="D756" s="1324">
        <v>1.3420000000000001E-4</v>
      </c>
      <c r="E756" s="1332">
        <v>329895</v>
      </c>
      <c r="F756" s="1333"/>
      <c r="G756" s="1332">
        <v>56486</v>
      </c>
      <c r="H756" s="1332">
        <v>8047</v>
      </c>
      <c r="I756" s="1332">
        <v>53767</v>
      </c>
      <c r="J756" s="1332">
        <v>10437</v>
      </c>
      <c r="K756" s="1332">
        <v>128737</v>
      </c>
      <c r="L756" s="1333"/>
      <c r="M756" s="1332">
        <v>0</v>
      </c>
      <c r="N756" s="1332">
        <v>0</v>
      </c>
      <c r="O756" s="1332">
        <v>19984</v>
      </c>
      <c r="P756" s="1332">
        <v>19984</v>
      </c>
      <c r="Q756" s="1333"/>
      <c r="R756" s="1332">
        <v>146955</v>
      </c>
      <c r="S756" s="1332">
        <v>-6536</v>
      </c>
      <c r="T756" s="1332">
        <v>140419</v>
      </c>
    </row>
    <row r="757" spans="1:20" x14ac:dyDescent="0.25">
      <c r="A757" s="1342">
        <v>98071</v>
      </c>
      <c r="B757" s="1340" t="s">
        <v>3380</v>
      </c>
      <c r="C757" s="1324">
        <v>4.74E-5</v>
      </c>
      <c r="D757" s="1324">
        <v>3.5800000000000003E-5</v>
      </c>
      <c r="E757" s="1332">
        <v>129446</v>
      </c>
      <c r="F757" s="1333"/>
      <c r="G757" s="1332">
        <v>22164</v>
      </c>
      <c r="H757" s="1332">
        <v>3157</v>
      </c>
      <c r="I757" s="1332">
        <v>21098</v>
      </c>
      <c r="J757" s="1332">
        <v>31632</v>
      </c>
      <c r="K757" s="1332">
        <v>78051</v>
      </c>
      <c r="L757" s="1333"/>
      <c r="M757" s="1332">
        <v>0</v>
      </c>
      <c r="N757" s="1332">
        <v>0</v>
      </c>
      <c r="O757" s="1332">
        <v>0</v>
      </c>
      <c r="P757" s="1332">
        <v>0</v>
      </c>
      <c r="Q757" s="1333"/>
      <c r="R757" s="1332">
        <v>57663</v>
      </c>
      <c r="S757" s="1332">
        <v>11153</v>
      </c>
      <c r="T757" s="1332">
        <v>68816</v>
      </c>
    </row>
    <row r="758" spans="1:20" x14ac:dyDescent="0.25">
      <c r="A758" s="1342">
        <v>98081</v>
      </c>
      <c r="B758" s="1340" t="s">
        <v>3381</v>
      </c>
      <c r="C758" s="1324">
        <v>1.5800000000000001E-5</v>
      </c>
      <c r="D758" s="1324">
        <v>1.7200000000000001E-5</v>
      </c>
      <c r="E758" s="1332">
        <v>43149</v>
      </c>
      <c r="F758" s="1333"/>
      <c r="G758" s="1332">
        <v>7388</v>
      </c>
      <c r="H758" s="1332">
        <v>1052</v>
      </c>
      <c r="I758" s="1332">
        <v>7033</v>
      </c>
      <c r="J758" s="1332">
        <v>0</v>
      </c>
      <c r="K758" s="1332">
        <v>15473</v>
      </c>
      <c r="L758" s="1333"/>
      <c r="M758" s="1332">
        <v>0</v>
      </c>
      <c r="N758" s="1332">
        <v>0</v>
      </c>
      <c r="O758" s="1332">
        <v>3066</v>
      </c>
      <c r="P758" s="1332">
        <v>3066</v>
      </c>
      <c r="Q758" s="1333"/>
      <c r="R758" s="1332">
        <v>19221</v>
      </c>
      <c r="S758" s="1332">
        <v>-1766</v>
      </c>
      <c r="T758" s="1332">
        <v>17455</v>
      </c>
    </row>
    <row r="759" spans="1:20" x14ac:dyDescent="0.25">
      <c r="A759" s="1342">
        <v>98091</v>
      </c>
      <c r="B759" s="1340" t="s">
        <v>3382</v>
      </c>
      <c r="C759" s="1324">
        <v>6.7000000000000002E-5</v>
      </c>
      <c r="D759" s="1324">
        <v>5.1600000000000001E-5</v>
      </c>
      <c r="E759" s="1332">
        <v>182972</v>
      </c>
      <c r="F759" s="1333"/>
      <c r="G759" s="1332">
        <v>31329</v>
      </c>
      <c r="H759" s="1332">
        <v>4463</v>
      </c>
      <c r="I759" s="1332">
        <v>29821</v>
      </c>
      <c r="J759" s="1332">
        <v>11344</v>
      </c>
      <c r="K759" s="1332">
        <v>76957</v>
      </c>
      <c r="L759" s="1333"/>
      <c r="M759" s="1332">
        <v>0</v>
      </c>
      <c r="N759" s="1332">
        <v>0</v>
      </c>
      <c r="O759" s="1332">
        <v>0</v>
      </c>
      <c r="P759" s="1332">
        <v>0</v>
      </c>
      <c r="Q759" s="1333"/>
      <c r="R759" s="1332">
        <v>81506</v>
      </c>
      <c r="S759" s="1332">
        <v>3537</v>
      </c>
      <c r="T759" s="1332">
        <v>85043</v>
      </c>
    </row>
    <row r="760" spans="1:20" x14ac:dyDescent="0.25">
      <c r="A760" s="1342">
        <v>98101</v>
      </c>
      <c r="B760" s="1340" t="s">
        <v>3383</v>
      </c>
      <c r="C760" s="1324">
        <v>2.6901E-3</v>
      </c>
      <c r="D760" s="1324">
        <v>2.6497999999999999E-3</v>
      </c>
      <c r="E760" s="1332">
        <v>7346453</v>
      </c>
      <c r="F760" s="1333"/>
      <c r="G760" s="1332">
        <v>1257899</v>
      </c>
      <c r="H760" s="1332">
        <v>179191</v>
      </c>
      <c r="I760" s="1332">
        <v>1197350</v>
      </c>
      <c r="J760" s="1332">
        <v>107259</v>
      </c>
      <c r="K760" s="1332">
        <v>2741699</v>
      </c>
      <c r="L760" s="1333"/>
      <c r="M760" s="1332">
        <v>0</v>
      </c>
      <c r="N760" s="1332">
        <v>0</v>
      </c>
      <c r="O760" s="1332">
        <v>150510</v>
      </c>
      <c r="P760" s="1332">
        <v>150510</v>
      </c>
      <c r="Q760" s="1333"/>
      <c r="R760" s="1332">
        <v>3272542</v>
      </c>
      <c r="S760" s="1332">
        <v>-15754</v>
      </c>
      <c r="T760" s="1332">
        <v>3256788</v>
      </c>
    </row>
    <row r="761" spans="1:20" x14ac:dyDescent="0.25">
      <c r="A761" s="1342">
        <v>98102</v>
      </c>
      <c r="B761" s="1340" t="s">
        <v>3384</v>
      </c>
      <c r="C761" s="1324">
        <v>1.573E-4</v>
      </c>
      <c r="D761" s="1324">
        <v>1.496E-4</v>
      </c>
      <c r="E761" s="1332">
        <v>429574</v>
      </c>
      <c r="F761" s="1333"/>
      <c r="G761" s="1332">
        <v>73554</v>
      </c>
      <c r="H761" s="1332">
        <v>10478</v>
      </c>
      <c r="I761" s="1332">
        <v>70013</v>
      </c>
      <c r="J761" s="1332">
        <v>8797</v>
      </c>
      <c r="K761" s="1332">
        <v>162842</v>
      </c>
      <c r="L761" s="1333"/>
      <c r="M761" s="1332">
        <v>0</v>
      </c>
      <c r="N761" s="1332">
        <v>0</v>
      </c>
      <c r="O761" s="1332">
        <v>7652</v>
      </c>
      <c r="P761" s="1332">
        <v>7652</v>
      </c>
      <c r="Q761" s="1333"/>
      <c r="R761" s="1332">
        <v>191357</v>
      </c>
      <c r="S761" s="1332">
        <v>-3295</v>
      </c>
      <c r="T761" s="1332">
        <v>188062</v>
      </c>
    </row>
    <row r="762" spans="1:20" ht="30" x14ac:dyDescent="0.25">
      <c r="A762" s="1342">
        <v>98103</v>
      </c>
      <c r="B762" s="1340" t="s">
        <v>4213</v>
      </c>
      <c r="C762" s="1324">
        <v>5.04E-4</v>
      </c>
      <c r="D762" s="1324">
        <v>4.8450000000000001E-4</v>
      </c>
      <c r="E762" s="1332">
        <v>1376385</v>
      </c>
      <c r="F762" s="1333"/>
      <c r="G762" s="1332">
        <v>235672</v>
      </c>
      <c r="H762" s="1332">
        <v>33572</v>
      </c>
      <c r="I762" s="1332">
        <v>224328</v>
      </c>
      <c r="J762" s="1332">
        <v>30930</v>
      </c>
      <c r="K762" s="1332">
        <v>524502</v>
      </c>
      <c r="L762" s="1333"/>
      <c r="M762" s="1332">
        <v>0</v>
      </c>
      <c r="N762" s="1332">
        <v>0</v>
      </c>
      <c r="O762" s="1332">
        <v>26014</v>
      </c>
      <c r="P762" s="1332">
        <v>26014</v>
      </c>
      <c r="Q762" s="1333"/>
      <c r="R762" s="1332">
        <v>613123</v>
      </c>
      <c r="S762" s="1332">
        <v>-4713</v>
      </c>
      <c r="T762" s="1332">
        <v>608410</v>
      </c>
    </row>
    <row r="763" spans="1:20" x14ac:dyDescent="0.25">
      <c r="A763" s="1342">
        <v>98107</v>
      </c>
      <c r="B763" s="1340" t="s">
        <v>3386</v>
      </c>
      <c r="C763" s="1324">
        <v>9.3999999999999998E-6</v>
      </c>
      <c r="D763" s="1324">
        <v>1.01E-5</v>
      </c>
      <c r="E763" s="1332">
        <v>25671</v>
      </c>
      <c r="F763" s="1333"/>
      <c r="G763" s="1332">
        <v>4395</v>
      </c>
      <c r="H763" s="1332">
        <v>627</v>
      </c>
      <c r="I763" s="1332">
        <v>4184</v>
      </c>
      <c r="J763" s="1332">
        <v>8882</v>
      </c>
      <c r="K763" s="1332">
        <v>18088</v>
      </c>
      <c r="L763" s="1333"/>
      <c r="M763" s="1332">
        <v>0</v>
      </c>
      <c r="N763" s="1332">
        <v>0</v>
      </c>
      <c r="O763" s="1332">
        <v>0</v>
      </c>
      <c r="P763" s="1332">
        <v>0</v>
      </c>
      <c r="Q763" s="1333"/>
      <c r="R763" s="1332">
        <v>11435</v>
      </c>
      <c r="S763" s="1332">
        <v>4225</v>
      </c>
      <c r="T763" s="1332">
        <v>15660</v>
      </c>
    </row>
    <row r="764" spans="1:20" x14ac:dyDescent="0.25">
      <c r="A764" s="1342">
        <v>98109</v>
      </c>
      <c r="B764" s="1340" t="s">
        <v>4214</v>
      </c>
      <c r="C764" s="1324">
        <v>1.595E-4</v>
      </c>
      <c r="D764" s="1324">
        <v>1.4310000000000001E-4</v>
      </c>
      <c r="E764" s="1332">
        <v>435582</v>
      </c>
      <c r="F764" s="1333"/>
      <c r="G764" s="1332">
        <v>74583</v>
      </c>
      <c r="H764" s="1332">
        <v>10624</v>
      </c>
      <c r="I764" s="1332">
        <v>70993</v>
      </c>
      <c r="J764" s="1332">
        <v>29051</v>
      </c>
      <c r="K764" s="1332">
        <v>185251</v>
      </c>
      <c r="L764" s="1333"/>
      <c r="M764" s="1332">
        <v>0</v>
      </c>
      <c r="N764" s="1332">
        <v>0</v>
      </c>
      <c r="O764" s="1332">
        <v>6185</v>
      </c>
      <c r="P764" s="1332">
        <v>6185</v>
      </c>
      <c r="Q764" s="1333"/>
      <c r="R764" s="1332">
        <v>194034</v>
      </c>
      <c r="S764" s="1332">
        <v>2254</v>
      </c>
      <c r="T764" s="1332">
        <v>196288</v>
      </c>
    </row>
    <row r="765" spans="1:20" x14ac:dyDescent="0.25">
      <c r="A765" s="1342">
        <v>98111</v>
      </c>
      <c r="B765" s="1340" t="s">
        <v>3388</v>
      </c>
      <c r="C765" s="1324">
        <v>1.0231999999999999E-3</v>
      </c>
      <c r="D765" s="1324">
        <v>1.0207E-3</v>
      </c>
      <c r="E765" s="1332">
        <v>2794279</v>
      </c>
      <c r="F765" s="1333"/>
      <c r="G765" s="1332">
        <v>478451</v>
      </c>
      <c r="H765" s="1332">
        <v>68157</v>
      </c>
      <c r="I765" s="1332">
        <v>455421</v>
      </c>
      <c r="J765" s="1332">
        <v>0</v>
      </c>
      <c r="K765" s="1332">
        <v>1002029</v>
      </c>
      <c r="L765" s="1333"/>
      <c r="M765" s="1332">
        <v>0</v>
      </c>
      <c r="N765" s="1332">
        <v>0</v>
      </c>
      <c r="O765" s="1332">
        <v>80540</v>
      </c>
      <c r="P765" s="1332">
        <v>80540</v>
      </c>
      <c r="Q765" s="1333"/>
      <c r="R765" s="1332">
        <v>1244736</v>
      </c>
      <c r="S765" s="1332">
        <v>-36220</v>
      </c>
      <c r="T765" s="1332">
        <v>1208516</v>
      </c>
    </row>
    <row r="766" spans="1:20" x14ac:dyDescent="0.25">
      <c r="A766" s="1342">
        <v>98113</v>
      </c>
      <c r="B766" s="1340" t="s">
        <v>3389</v>
      </c>
      <c r="C766" s="1324">
        <v>3.3899999999999997E-5</v>
      </c>
      <c r="D766" s="1324">
        <v>3.8999999999999999E-5</v>
      </c>
      <c r="E766" s="1332">
        <v>92578</v>
      </c>
      <c r="F766" s="1333"/>
      <c r="G766" s="1332">
        <v>15852</v>
      </c>
      <c r="H766" s="1332">
        <v>2258</v>
      </c>
      <c r="I766" s="1332">
        <v>15089</v>
      </c>
      <c r="J766" s="1332">
        <v>6120</v>
      </c>
      <c r="K766" s="1332">
        <v>39319</v>
      </c>
      <c r="L766" s="1333"/>
      <c r="M766" s="1332">
        <v>0</v>
      </c>
      <c r="N766" s="1332">
        <v>0</v>
      </c>
      <c r="O766" s="1332">
        <v>312</v>
      </c>
      <c r="P766" s="1332">
        <v>312</v>
      </c>
      <c r="Q766" s="1333"/>
      <c r="R766" s="1332">
        <v>41240</v>
      </c>
      <c r="S766" s="1332">
        <v>3840</v>
      </c>
      <c r="T766" s="1332">
        <v>45080</v>
      </c>
    </row>
    <row r="767" spans="1:20" x14ac:dyDescent="0.25">
      <c r="A767" s="1342">
        <v>98121</v>
      </c>
      <c r="B767" s="1340" t="s">
        <v>3390</v>
      </c>
      <c r="C767" s="1324">
        <v>2.1259999999999999E-4</v>
      </c>
      <c r="D767" s="1324">
        <v>2.241E-4</v>
      </c>
      <c r="E767" s="1332">
        <v>580594</v>
      </c>
      <c r="F767" s="1333"/>
      <c r="G767" s="1332">
        <v>99412</v>
      </c>
      <c r="H767" s="1332">
        <v>14162</v>
      </c>
      <c r="I767" s="1332">
        <v>94627</v>
      </c>
      <c r="J767" s="1332">
        <v>4071</v>
      </c>
      <c r="K767" s="1332">
        <v>212272</v>
      </c>
      <c r="L767" s="1333"/>
      <c r="M767" s="1332">
        <v>0</v>
      </c>
      <c r="N767" s="1332">
        <v>0</v>
      </c>
      <c r="O767" s="1332">
        <v>24143</v>
      </c>
      <c r="P767" s="1332">
        <v>24143</v>
      </c>
      <c r="Q767" s="1333"/>
      <c r="R767" s="1332">
        <v>258631</v>
      </c>
      <c r="S767" s="1332">
        <v>-9032</v>
      </c>
      <c r="T767" s="1332">
        <v>249599</v>
      </c>
    </row>
    <row r="768" spans="1:20" x14ac:dyDescent="0.25">
      <c r="A768" s="1342">
        <v>98131</v>
      </c>
      <c r="B768" s="1340" t="s">
        <v>3391</v>
      </c>
      <c r="C768" s="1324">
        <v>2.519E-4</v>
      </c>
      <c r="D768" s="1324">
        <v>2.297E-4</v>
      </c>
      <c r="E768" s="1332">
        <v>687919</v>
      </c>
      <c r="F768" s="1333"/>
      <c r="G768" s="1332">
        <v>117789</v>
      </c>
      <c r="H768" s="1332">
        <v>16779</v>
      </c>
      <c r="I768" s="1332">
        <v>112119</v>
      </c>
      <c r="J768" s="1332">
        <v>23774</v>
      </c>
      <c r="K768" s="1332">
        <v>270461</v>
      </c>
      <c r="L768" s="1333"/>
      <c r="M768" s="1332">
        <v>0</v>
      </c>
      <c r="N768" s="1332">
        <v>0</v>
      </c>
      <c r="O768" s="1332">
        <v>24067</v>
      </c>
      <c r="P768" s="1332">
        <v>24067</v>
      </c>
      <c r="Q768" s="1333"/>
      <c r="R768" s="1332">
        <v>306440</v>
      </c>
      <c r="S768" s="1332">
        <v>-10999</v>
      </c>
      <c r="T768" s="1332">
        <v>295441</v>
      </c>
    </row>
    <row r="769" spans="1:20" x14ac:dyDescent="0.25">
      <c r="A769" s="1342">
        <v>98141</v>
      </c>
      <c r="B769" s="1340" t="s">
        <v>3392</v>
      </c>
      <c r="C769" s="1324">
        <v>2.8699999999999998E-4</v>
      </c>
      <c r="D769" s="1324">
        <v>3.0160000000000001E-4</v>
      </c>
      <c r="E769" s="1332">
        <v>783775</v>
      </c>
      <c r="F769" s="1333"/>
      <c r="G769" s="1332">
        <v>134202</v>
      </c>
      <c r="H769" s="1332">
        <v>19118</v>
      </c>
      <c r="I769" s="1332">
        <v>127742</v>
      </c>
      <c r="J769" s="1332">
        <v>2132</v>
      </c>
      <c r="K769" s="1332">
        <v>283194</v>
      </c>
      <c r="L769" s="1333"/>
      <c r="M769" s="1332">
        <v>0</v>
      </c>
      <c r="N769" s="1332">
        <v>0</v>
      </c>
      <c r="O769" s="1332">
        <v>28248</v>
      </c>
      <c r="P769" s="1332">
        <v>28248</v>
      </c>
      <c r="Q769" s="1333"/>
      <c r="R769" s="1332">
        <v>349139</v>
      </c>
      <c r="S769" s="1332">
        <v>-10163</v>
      </c>
      <c r="T769" s="1332">
        <v>338976</v>
      </c>
    </row>
    <row r="770" spans="1:20" x14ac:dyDescent="0.25">
      <c r="A770" s="1342">
        <v>98147</v>
      </c>
      <c r="B770" s="1340" t="s">
        <v>3393</v>
      </c>
      <c r="C770" s="1324">
        <v>1.0699999999999999E-5</v>
      </c>
      <c r="D770" s="1324">
        <v>1.15E-5</v>
      </c>
      <c r="E770" s="1332">
        <v>29221</v>
      </c>
      <c r="F770" s="1333"/>
      <c r="G770" s="1332">
        <v>5003</v>
      </c>
      <c r="H770" s="1332">
        <v>713</v>
      </c>
      <c r="I770" s="1332">
        <v>4763</v>
      </c>
      <c r="J770" s="1332">
        <v>8490</v>
      </c>
      <c r="K770" s="1332">
        <v>18969</v>
      </c>
      <c r="L770" s="1333"/>
      <c r="M770" s="1332">
        <v>0</v>
      </c>
      <c r="N770" s="1332">
        <v>0</v>
      </c>
      <c r="O770" s="1332">
        <v>0</v>
      </c>
      <c r="P770" s="1332">
        <v>0</v>
      </c>
      <c r="Q770" s="1333"/>
      <c r="R770" s="1332">
        <v>13017</v>
      </c>
      <c r="S770" s="1332">
        <v>4099</v>
      </c>
      <c r="T770" s="1332">
        <v>17116</v>
      </c>
    </row>
    <row r="771" spans="1:20" x14ac:dyDescent="0.25">
      <c r="A771" s="1342">
        <v>98161</v>
      </c>
      <c r="B771" s="1340" t="s">
        <v>3394</v>
      </c>
      <c r="C771" s="1324">
        <v>6.1999999999999999E-6</v>
      </c>
      <c r="D771" s="1324">
        <v>6.7000000000000002E-6</v>
      </c>
      <c r="E771" s="1332">
        <v>16932</v>
      </c>
      <c r="F771" s="1333"/>
      <c r="G771" s="1332">
        <v>2899</v>
      </c>
      <c r="H771" s="1332">
        <v>413</v>
      </c>
      <c r="I771" s="1332">
        <v>2760</v>
      </c>
      <c r="J771" s="1332">
        <v>3318</v>
      </c>
      <c r="K771" s="1332">
        <v>9390</v>
      </c>
      <c r="L771" s="1333"/>
      <c r="M771" s="1332">
        <v>0</v>
      </c>
      <c r="N771" s="1332">
        <v>0</v>
      </c>
      <c r="O771" s="1332">
        <v>0</v>
      </c>
      <c r="P771" s="1332">
        <v>0</v>
      </c>
      <c r="Q771" s="1333"/>
      <c r="R771" s="1332">
        <v>7542</v>
      </c>
      <c r="S771" s="1332">
        <v>1443</v>
      </c>
      <c r="T771" s="1332">
        <v>8985</v>
      </c>
    </row>
    <row r="772" spans="1:20" x14ac:dyDescent="0.25">
      <c r="A772" s="1342">
        <v>98201</v>
      </c>
      <c r="B772" s="1340" t="s">
        <v>3395</v>
      </c>
      <c r="C772" s="1324">
        <v>3.3482999999999998E-3</v>
      </c>
      <c r="D772" s="1324">
        <v>3.1725E-3</v>
      </c>
      <c r="E772" s="1332">
        <v>9143946</v>
      </c>
      <c r="F772" s="1333"/>
      <c r="G772" s="1332">
        <v>1565675</v>
      </c>
      <c r="H772" s="1332">
        <v>223034</v>
      </c>
      <c r="I772" s="1332">
        <v>1490312</v>
      </c>
      <c r="J772" s="1332">
        <v>130024</v>
      </c>
      <c r="K772" s="1332">
        <v>3409045</v>
      </c>
      <c r="L772" s="1333"/>
      <c r="M772" s="1332">
        <v>0</v>
      </c>
      <c r="N772" s="1332">
        <v>0</v>
      </c>
      <c r="O772" s="1332">
        <v>28023</v>
      </c>
      <c r="P772" s="1332">
        <v>28023</v>
      </c>
      <c r="Q772" s="1333"/>
      <c r="R772" s="1332">
        <v>4073250</v>
      </c>
      <c r="S772" s="1332">
        <v>18041</v>
      </c>
      <c r="T772" s="1332">
        <v>4091291</v>
      </c>
    </row>
    <row r="773" spans="1:20" x14ac:dyDescent="0.25">
      <c r="A773" s="1342">
        <v>98205</v>
      </c>
      <c r="B773" s="1340" t="s">
        <v>4215</v>
      </c>
      <c r="C773" s="1324">
        <v>4.0899999999999998E-5</v>
      </c>
      <c r="D773" s="1324">
        <v>3.6100000000000003E-5</v>
      </c>
      <c r="E773" s="1332">
        <v>111695</v>
      </c>
      <c r="F773" s="1333"/>
      <c r="G773" s="1332">
        <v>19125</v>
      </c>
      <c r="H773" s="1332">
        <v>2725</v>
      </c>
      <c r="I773" s="1332">
        <v>18204</v>
      </c>
      <c r="J773" s="1332">
        <v>4162</v>
      </c>
      <c r="K773" s="1332">
        <v>44216</v>
      </c>
      <c r="L773" s="1333"/>
      <c r="M773" s="1332">
        <v>0</v>
      </c>
      <c r="N773" s="1332">
        <v>0</v>
      </c>
      <c r="O773" s="1332">
        <v>4045</v>
      </c>
      <c r="P773" s="1332">
        <v>4045</v>
      </c>
      <c r="Q773" s="1333"/>
      <c r="R773" s="1332">
        <v>49755</v>
      </c>
      <c r="S773" s="1332">
        <v>-432</v>
      </c>
      <c r="T773" s="1332">
        <v>49323</v>
      </c>
    </row>
    <row r="774" spans="1:20" x14ac:dyDescent="0.25">
      <c r="A774" s="1342">
        <v>98211</v>
      </c>
      <c r="B774" s="1340" t="s">
        <v>3397</v>
      </c>
      <c r="C774" s="1324">
        <v>9.0399999999999996E-4</v>
      </c>
      <c r="D774" s="1324">
        <v>8.5470000000000001E-4</v>
      </c>
      <c r="E774" s="1332">
        <v>2468753</v>
      </c>
      <c r="F774" s="1333"/>
      <c r="G774" s="1332">
        <v>422713</v>
      </c>
      <c r="H774" s="1332">
        <v>60217</v>
      </c>
      <c r="I774" s="1332">
        <v>402366</v>
      </c>
      <c r="J774" s="1332">
        <v>25220</v>
      </c>
      <c r="K774" s="1332">
        <v>910516</v>
      </c>
      <c r="L774" s="1333"/>
      <c r="M774" s="1332">
        <v>0</v>
      </c>
      <c r="N774" s="1332">
        <v>0</v>
      </c>
      <c r="O774" s="1332">
        <v>63246</v>
      </c>
      <c r="P774" s="1332">
        <v>63246</v>
      </c>
      <c r="Q774" s="1333"/>
      <c r="R774" s="1332">
        <v>1099728</v>
      </c>
      <c r="S774" s="1332">
        <v>-42769</v>
      </c>
      <c r="T774" s="1332">
        <v>1056959</v>
      </c>
    </row>
    <row r="775" spans="1:20" x14ac:dyDescent="0.25">
      <c r="A775" s="1342">
        <v>98218</v>
      </c>
      <c r="B775" s="1340" t="s">
        <v>3398</v>
      </c>
      <c r="C775" s="1324">
        <v>1.8099999999999999E-5</v>
      </c>
      <c r="D775" s="1324">
        <v>1.5500000000000001E-5</v>
      </c>
      <c r="E775" s="1332">
        <v>49430</v>
      </c>
      <c r="F775" s="1333"/>
      <c r="G775" s="1332">
        <v>8464</v>
      </c>
      <c r="H775" s="1332">
        <v>1206</v>
      </c>
      <c r="I775" s="1332">
        <v>8056</v>
      </c>
      <c r="J775" s="1332">
        <v>4872</v>
      </c>
      <c r="K775" s="1332">
        <v>22598</v>
      </c>
      <c r="L775" s="1333"/>
      <c r="M775" s="1332">
        <v>0</v>
      </c>
      <c r="N775" s="1332">
        <v>0</v>
      </c>
      <c r="O775" s="1332">
        <v>36</v>
      </c>
      <c r="P775" s="1332">
        <v>36</v>
      </c>
      <c r="Q775" s="1333"/>
      <c r="R775" s="1332">
        <v>22019</v>
      </c>
      <c r="S775" s="1332">
        <v>1347</v>
      </c>
      <c r="T775" s="1332">
        <v>23366</v>
      </c>
    </row>
    <row r="776" spans="1:20" x14ac:dyDescent="0.25">
      <c r="A776" s="1342">
        <v>98221</v>
      </c>
      <c r="B776" s="1340" t="s">
        <v>3399</v>
      </c>
      <c r="C776" s="1324">
        <v>2.72E-5</v>
      </c>
      <c r="D776" s="1324">
        <v>1.8499999999999999E-5</v>
      </c>
      <c r="E776" s="1332">
        <v>74281</v>
      </c>
      <c r="F776" s="1333"/>
      <c r="G776" s="1332">
        <v>12719</v>
      </c>
      <c r="H776" s="1332">
        <v>1812</v>
      </c>
      <c r="I776" s="1332">
        <v>12107</v>
      </c>
      <c r="J776" s="1332">
        <v>8623</v>
      </c>
      <c r="K776" s="1332">
        <v>35261</v>
      </c>
      <c r="L776" s="1333"/>
      <c r="M776" s="1332">
        <v>0</v>
      </c>
      <c r="N776" s="1332">
        <v>0</v>
      </c>
      <c r="O776" s="1332">
        <v>0</v>
      </c>
      <c r="P776" s="1332">
        <v>0</v>
      </c>
      <c r="Q776" s="1333"/>
      <c r="R776" s="1332">
        <v>33089</v>
      </c>
      <c r="S776" s="1332">
        <v>3240</v>
      </c>
      <c r="T776" s="1332">
        <v>36329</v>
      </c>
    </row>
    <row r="777" spans="1:20" x14ac:dyDescent="0.25">
      <c r="A777" s="1342">
        <v>98231</v>
      </c>
      <c r="B777" s="1340" t="s">
        <v>3400</v>
      </c>
      <c r="C777" s="1324">
        <v>3.1699999999999998E-5</v>
      </c>
      <c r="D777" s="1324">
        <v>3.1000000000000001E-5</v>
      </c>
      <c r="E777" s="1332">
        <v>86570</v>
      </c>
      <c r="F777" s="1333"/>
      <c r="G777" s="1332">
        <v>14823</v>
      </c>
      <c r="H777" s="1332">
        <v>2112</v>
      </c>
      <c r="I777" s="1332">
        <v>14110</v>
      </c>
      <c r="J777" s="1332">
        <v>6066</v>
      </c>
      <c r="K777" s="1332">
        <v>37111</v>
      </c>
      <c r="L777" s="1333"/>
      <c r="M777" s="1332">
        <v>0</v>
      </c>
      <c r="N777" s="1332">
        <v>0</v>
      </c>
      <c r="O777" s="1332">
        <v>3192</v>
      </c>
      <c r="P777" s="1332">
        <v>3192</v>
      </c>
      <c r="Q777" s="1333"/>
      <c r="R777" s="1332">
        <v>38563</v>
      </c>
      <c r="S777" s="1332">
        <v>783</v>
      </c>
      <c r="T777" s="1332">
        <v>39346</v>
      </c>
    </row>
    <row r="778" spans="1:20" x14ac:dyDescent="0.25">
      <c r="A778" s="1342">
        <v>98237</v>
      </c>
      <c r="B778" s="1340" t="s">
        <v>3401</v>
      </c>
      <c r="C778" s="1324">
        <v>6.7000000000000002E-6</v>
      </c>
      <c r="D778" s="1324">
        <v>5.5999999999999997E-6</v>
      </c>
      <c r="E778" s="1332">
        <v>18297</v>
      </c>
      <c r="F778" s="1333"/>
      <c r="G778" s="1332">
        <v>3133</v>
      </c>
      <c r="H778" s="1332">
        <v>447</v>
      </c>
      <c r="I778" s="1332">
        <v>2982</v>
      </c>
      <c r="J778" s="1332">
        <v>3713</v>
      </c>
      <c r="K778" s="1332">
        <v>10275</v>
      </c>
      <c r="L778" s="1333"/>
      <c r="M778" s="1332">
        <v>0</v>
      </c>
      <c r="N778" s="1332">
        <v>0</v>
      </c>
      <c r="O778" s="1332">
        <v>0</v>
      </c>
      <c r="P778" s="1332">
        <v>0</v>
      </c>
      <c r="Q778" s="1333"/>
      <c r="R778" s="1332">
        <v>8151</v>
      </c>
      <c r="S778" s="1332">
        <v>1825</v>
      </c>
      <c r="T778" s="1332">
        <v>9976</v>
      </c>
    </row>
    <row r="779" spans="1:20" x14ac:dyDescent="0.25">
      <c r="A779" s="1342">
        <v>98241</v>
      </c>
      <c r="B779" s="1340" t="s">
        <v>3402</v>
      </c>
      <c r="C779" s="1324">
        <v>1.7799999999999999E-5</v>
      </c>
      <c r="D779" s="1324">
        <v>1.22E-5</v>
      </c>
      <c r="E779" s="1332">
        <v>48610</v>
      </c>
      <c r="F779" s="1333"/>
      <c r="G779" s="1332">
        <v>8323</v>
      </c>
      <c r="H779" s="1332">
        <v>1186</v>
      </c>
      <c r="I779" s="1332">
        <v>7923</v>
      </c>
      <c r="J779" s="1332">
        <v>7390</v>
      </c>
      <c r="K779" s="1332">
        <v>24822</v>
      </c>
      <c r="L779" s="1333"/>
      <c r="M779" s="1332">
        <v>0</v>
      </c>
      <c r="N779" s="1332">
        <v>0</v>
      </c>
      <c r="O779" s="1332">
        <v>1648</v>
      </c>
      <c r="P779" s="1332">
        <v>1648</v>
      </c>
      <c r="Q779" s="1333"/>
      <c r="R779" s="1332">
        <v>21654</v>
      </c>
      <c r="S779" s="1332">
        <v>2029</v>
      </c>
      <c r="T779" s="1332">
        <v>23683</v>
      </c>
    </row>
    <row r="780" spans="1:20" x14ac:dyDescent="0.25">
      <c r="A780" s="1342">
        <v>98251</v>
      </c>
      <c r="B780" s="1340" t="s">
        <v>3403</v>
      </c>
      <c r="C780" s="1324">
        <v>2.5000000000000002E-6</v>
      </c>
      <c r="D780" s="1324">
        <v>2.7E-6</v>
      </c>
      <c r="E780" s="1332">
        <v>6827</v>
      </c>
      <c r="F780" s="1333"/>
      <c r="G780" s="1332">
        <v>1169</v>
      </c>
      <c r="H780" s="1332">
        <v>167</v>
      </c>
      <c r="I780" s="1332">
        <v>1113</v>
      </c>
      <c r="J780" s="1332">
        <v>1784</v>
      </c>
      <c r="K780" s="1332">
        <v>4233</v>
      </c>
      <c r="L780" s="1333"/>
      <c r="M780" s="1332">
        <v>0</v>
      </c>
      <c r="N780" s="1332">
        <v>0</v>
      </c>
      <c r="O780" s="1332">
        <v>0</v>
      </c>
      <c r="P780" s="1332">
        <v>0</v>
      </c>
      <c r="Q780" s="1333"/>
      <c r="R780" s="1332">
        <v>3041</v>
      </c>
      <c r="S780" s="1332">
        <v>796</v>
      </c>
      <c r="T780" s="1332">
        <v>3837</v>
      </c>
    </row>
    <row r="781" spans="1:20" x14ac:dyDescent="0.25">
      <c r="A781" s="1342">
        <v>98261</v>
      </c>
      <c r="B781" s="1340" t="s">
        <v>3404</v>
      </c>
      <c r="C781" s="1324">
        <v>3.3699999999999999E-5</v>
      </c>
      <c r="D781" s="1324">
        <v>3.3099999999999998E-5</v>
      </c>
      <c r="E781" s="1332">
        <v>92032</v>
      </c>
      <c r="F781" s="1333"/>
      <c r="G781" s="1332">
        <v>15758</v>
      </c>
      <c r="H781" s="1332">
        <v>2245</v>
      </c>
      <c r="I781" s="1332">
        <v>15000</v>
      </c>
      <c r="J781" s="1332">
        <v>5613</v>
      </c>
      <c r="K781" s="1332">
        <v>38616</v>
      </c>
      <c r="L781" s="1333"/>
      <c r="M781" s="1332">
        <v>0</v>
      </c>
      <c r="N781" s="1332">
        <v>0</v>
      </c>
      <c r="O781" s="1332">
        <v>1480</v>
      </c>
      <c r="P781" s="1332">
        <v>1480</v>
      </c>
      <c r="Q781" s="1333"/>
      <c r="R781" s="1332">
        <v>40996</v>
      </c>
      <c r="S781" s="1332">
        <v>1591</v>
      </c>
      <c r="T781" s="1332">
        <v>42587</v>
      </c>
    </row>
    <row r="782" spans="1:20" x14ac:dyDescent="0.25">
      <c r="A782" s="1342">
        <v>98271</v>
      </c>
      <c r="B782" s="1340" t="s">
        <v>3405</v>
      </c>
      <c r="C782" s="1324">
        <v>5.2000000000000002E-6</v>
      </c>
      <c r="D782" s="1324">
        <v>5.3000000000000001E-6</v>
      </c>
      <c r="E782" s="1332">
        <v>14201</v>
      </c>
      <c r="F782" s="1333"/>
      <c r="G782" s="1332">
        <v>2432</v>
      </c>
      <c r="H782" s="1332">
        <v>346</v>
      </c>
      <c r="I782" s="1332">
        <v>2314</v>
      </c>
      <c r="J782" s="1332">
        <v>2894</v>
      </c>
      <c r="K782" s="1332">
        <v>7986</v>
      </c>
      <c r="L782" s="1333"/>
      <c r="M782" s="1332">
        <v>0</v>
      </c>
      <c r="N782" s="1332">
        <v>0</v>
      </c>
      <c r="O782" s="1332">
        <v>0</v>
      </c>
      <c r="P782" s="1332">
        <v>0</v>
      </c>
      <c r="Q782" s="1333"/>
      <c r="R782" s="1332">
        <v>6326</v>
      </c>
      <c r="S782" s="1332">
        <v>1623</v>
      </c>
      <c r="T782" s="1332">
        <v>7949</v>
      </c>
    </row>
    <row r="783" spans="1:20" x14ac:dyDescent="0.25">
      <c r="A783" s="1342">
        <v>98301</v>
      </c>
      <c r="B783" s="1340" t="s">
        <v>3406</v>
      </c>
      <c r="C783" s="1324">
        <v>1.7742000000000001E-3</v>
      </c>
      <c r="D783" s="1324">
        <v>1.7489999999999999E-3</v>
      </c>
      <c r="E783" s="1332">
        <v>4845202</v>
      </c>
      <c r="F783" s="1333"/>
      <c r="G783" s="1332">
        <v>829621</v>
      </c>
      <c r="H783" s="1332">
        <v>118181</v>
      </c>
      <c r="I783" s="1332">
        <v>789688</v>
      </c>
      <c r="J783" s="1332">
        <v>83174</v>
      </c>
      <c r="K783" s="1332">
        <v>1820664</v>
      </c>
      <c r="L783" s="1333"/>
      <c r="M783" s="1332">
        <v>0</v>
      </c>
      <c r="N783" s="1332">
        <v>0</v>
      </c>
      <c r="O783" s="1332">
        <v>0</v>
      </c>
      <c r="P783" s="1332">
        <v>0</v>
      </c>
      <c r="Q783" s="1333"/>
      <c r="R783" s="1332">
        <v>2158337</v>
      </c>
      <c r="S783" s="1332">
        <v>43157</v>
      </c>
      <c r="T783" s="1332">
        <v>2201494</v>
      </c>
    </row>
    <row r="784" spans="1:20" x14ac:dyDescent="0.25">
      <c r="A784" s="1342">
        <v>98304</v>
      </c>
      <c r="B784" s="1340" t="s">
        <v>3407</v>
      </c>
      <c r="C784" s="1324">
        <v>2.0699999999999998E-5</v>
      </c>
      <c r="D784" s="1324">
        <v>1.9300000000000002E-5</v>
      </c>
      <c r="E784" s="1332">
        <v>56530</v>
      </c>
      <c r="F784" s="1333"/>
      <c r="G784" s="1332">
        <v>9679</v>
      </c>
      <c r="H784" s="1332">
        <v>1379</v>
      </c>
      <c r="I784" s="1332">
        <v>9213</v>
      </c>
      <c r="J784" s="1332">
        <v>7671</v>
      </c>
      <c r="K784" s="1332">
        <v>27942</v>
      </c>
      <c r="L784" s="1333"/>
      <c r="M784" s="1332">
        <v>0</v>
      </c>
      <c r="N784" s="1332">
        <v>0</v>
      </c>
      <c r="O784" s="1332">
        <v>0</v>
      </c>
      <c r="P784" s="1332">
        <v>0</v>
      </c>
      <c r="Q784" s="1333"/>
      <c r="R784" s="1332">
        <v>25182</v>
      </c>
      <c r="S784" s="1332">
        <v>2589</v>
      </c>
      <c r="T784" s="1332">
        <v>27771</v>
      </c>
    </row>
    <row r="785" spans="1:20" x14ac:dyDescent="0.25">
      <c r="A785" s="1342">
        <v>98308</v>
      </c>
      <c r="B785" s="1340" t="s">
        <v>3408</v>
      </c>
      <c r="C785" s="1324">
        <v>1.6099999999999998E-5</v>
      </c>
      <c r="D785" s="1324">
        <v>2.2399999999999999E-5</v>
      </c>
      <c r="E785" s="1332">
        <v>43968</v>
      </c>
      <c r="F785" s="1333"/>
      <c r="G785" s="1332">
        <v>7528</v>
      </c>
      <c r="H785" s="1332">
        <v>1072</v>
      </c>
      <c r="I785" s="1332">
        <v>7166</v>
      </c>
      <c r="J785" s="1332">
        <v>5235</v>
      </c>
      <c r="K785" s="1332">
        <v>21001</v>
      </c>
      <c r="L785" s="1333"/>
      <c r="M785" s="1332">
        <v>0</v>
      </c>
      <c r="N785" s="1332">
        <v>0</v>
      </c>
      <c r="O785" s="1332">
        <v>0</v>
      </c>
      <c r="P785" s="1332">
        <v>0</v>
      </c>
      <c r="Q785" s="1333"/>
      <c r="R785" s="1332">
        <v>19586</v>
      </c>
      <c r="S785" s="1332">
        <v>3115</v>
      </c>
      <c r="T785" s="1332">
        <v>22701</v>
      </c>
    </row>
    <row r="786" spans="1:20" x14ac:dyDescent="0.25">
      <c r="A786" s="1342">
        <v>98311</v>
      </c>
      <c r="B786" s="1340" t="s">
        <v>3409</v>
      </c>
      <c r="C786" s="1324">
        <v>1.1073999999999999E-3</v>
      </c>
      <c r="D786" s="1324">
        <v>1.0931999999999999E-3</v>
      </c>
      <c r="E786" s="1332">
        <v>3024223</v>
      </c>
      <c r="F786" s="1333"/>
      <c r="G786" s="1332">
        <v>517824</v>
      </c>
      <c r="H786" s="1332">
        <v>73765</v>
      </c>
      <c r="I786" s="1332">
        <v>492898</v>
      </c>
      <c r="J786" s="1332">
        <v>0</v>
      </c>
      <c r="K786" s="1332">
        <v>1084487</v>
      </c>
      <c r="L786" s="1333"/>
      <c r="M786" s="1332">
        <v>0</v>
      </c>
      <c r="N786" s="1332">
        <v>0</v>
      </c>
      <c r="O786" s="1332">
        <v>105793</v>
      </c>
      <c r="P786" s="1332">
        <v>105793</v>
      </c>
      <c r="Q786" s="1333"/>
      <c r="R786" s="1332">
        <v>1347166</v>
      </c>
      <c r="S786" s="1332">
        <v>-53029</v>
      </c>
      <c r="T786" s="1332">
        <v>1294137</v>
      </c>
    </row>
    <row r="787" spans="1:20" x14ac:dyDescent="0.25">
      <c r="A787" s="1342">
        <v>98313</v>
      </c>
      <c r="B787" s="1340" t="s">
        <v>3410</v>
      </c>
      <c r="C787" s="1324">
        <v>2.1000000000000001E-4</v>
      </c>
      <c r="D787" s="1324">
        <v>2.4240000000000001E-4</v>
      </c>
      <c r="E787" s="1332">
        <v>573494</v>
      </c>
      <c r="F787" s="1333"/>
      <c r="G787" s="1332">
        <v>98197</v>
      </c>
      <c r="H787" s="1332">
        <v>13989</v>
      </c>
      <c r="I787" s="1332">
        <v>93470</v>
      </c>
      <c r="J787" s="1332">
        <v>272208</v>
      </c>
      <c r="K787" s="1332">
        <v>477864</v>
      </c>
      <c r="L787" s="1333"/>
      <c r="M787" s="1332">
        <v>0</v>
      </c>
      <c r="N787" s="1332">
        <v>0</v>
      </c>
      <c r="O787" s="1332">
        <v>0</v>
      </c>
      <c r="P787" s="1332">
        <v>0</v>
      </c>
      <c r="Q787" s="1333"/>
      <c r="R787" s="1332">
        <v>255468</v>
      </c>
      <c r="S787" s="1332">
        <v>129789</v>
      </c>
      <c r="T787" s="1332">
        <v>385257</v>
      </c>
    </row>
    <row r="788" spans="1:20" s="1345" customFormat="1" x14ac:dyDescent="0.25">
      <c r="A788" s="1342">
        <v>98321</v>
      </c>
      <c r="B788" s="1340" t="s">
        <v>3411</v>
      </c>
      <c r="C788" s="1324">
        <v>1.6900000000000001E-5</v>
      </c>
      <c r="D788" s="1324">
        <v>1.9199999999999999E-5</v>
      </c>
      <c r="E788" s="1332">
        <v>46153</v>
      </c>
      <c r="F788" s="1333"/>
      <c r="G788" s="1332">
        <v>7902</v>
      </c>
      <c r="H788" s="1332">
        <v>1125</v>
      </c>
      <c r="I788" s="1332">
        <v>7522</v>
      </c>
      <c r="J788" s="1332">
        <v>42</v>
      </c>
      <c r="K788" s="1332">
        <v>16591</v>
      </c>
      <c r="L788" s="1333"/>
      <c r="M788" s="1332">
        <v>0</v>
      </c>
      <c r="N788" s="1332">
        <v>0</v>
      </c>
      <c r="O788" s="1332">
        <v>1583</v>
      </c>
      <c r="P788" s="1332">
        <v>1583</v>
      </c>
      <c r="Q788" s="1333"/>
      <c r="R788" s="1332">
        <v>20559</v>
      </c>
      <c r="S788" s="1332">
        <v>-1260</v>
      </c>
      <c r="T788" s="1332">
        <v>19299</v>
      </c>
    </row>
    <row r="789" spans="1:20" x14ac:dyDescent="0.25">
      <c r="A789" s="1342">
        <v>98331</v>
      </c>
      <c r="B789" s="1340" t="s">
        <v>3412</v>
      </c>
      <c r="C789" s="1324">
        <v>8.3999999999999992E-6</v>
      </c>
      <c r="D789" s="1324">
        <v>9.3000000000000007E-6</v>
      </c>
      <c r="E789" s="1332">
        <v>22940</v>
      </c>
      <c r="F789" s="1333"/>
      <c r="G789" s="1332">
        <v>3928</v>
      </c>
      <c r="H789" s="1332">
        <v>559</v>
      </c>
      <c r="I789" s="1332">
        <v>3739</v>
      </c>
      <c r="J789" s="1332">
        <v>3116</v>
      </c>
      <c r="K789" s="1332">
        <v>11342</v>
      </c>
      <c r="L789" s="1333"/>
      <c r="M789" s="1332">
        <v>0</v>
      </c>
      <c r="N789" s="1332">
        <v>0</v>
      </c>
      <c r="O789" s="1332">
        <v>0</v>
      </c>
      <c r="P789" s="1332">
        <v>0</v>
      </c>
      <c r="Q789" s="1333"/>
      <c r="R789" s="1332">
        <v>10219</v>
      </c>
      <c r="S789" s="1332">
        <v>1668</v>
      </c>
      <c r="T789" s="1332">
        <v>11887</v>
      </c>
    </row>
    <row r="790" spans="1:20" x14ac:dyDescent="0.25">
      <c r="A790" s="1342">
        <v>98401</v>
      </c>
      <c r="B790" s="1340" t="s">
        <v>3413</v>
      </c>
      <c r="C790" s="1324">
        <v>2.9618000000000001E-3</v>
      </c>
      <c r="D790" s="1324">
        <v>2.7358E-3</v>
      </c>
      <c r="E790" s="1332">
        <v>8088445</v>
      </c>
      <c r="F790" s="1333"/>
      <c r="G790" s="1332">
        <v>1384947</v>
      </c>
      <c r="H790" s="1332">
        <v>197289</v>
      </c>
      <c r="I790" s="1332">
        <v>1318282</v>
      </c>
      <c r="J790" s="1332">
        <v>353472</v>
      </c>
      <c r="K790" s="1332">
        <v>3253990</v>
      </c>
      <c r="L790" s="1333"/>
      <c r="M790" s="1332">
        <v>0</v>
      </c>
      <c r="N790" s="1332">
        <v>0</v>
      </c>
      <c r="O790" s="1332">
        <v>1893</v>
      </c>
      <c r="P790" s="1332">
        <v>1893</v>
      </c>
      <c r="Q790" s="1333"/>
      <c r="R790" s="1332">
        <v>3603068</v>
      </c>
      <c r="S790" s="1332">
        <v>130566</v>
      </c>
      <c r="T790" s="1332">
        <v>3733634</v>
      </c>
    </row>
    <row r="791" spans="1:20" x14ac:dyDescent="0.25">
      <c r="A791" s="1342">
        <v>98404</v>
      </c>
      <c r="B791" s="1340" t="s">
        <v>3694</v>
      </c>
      <c r="C791" s="1324">
        <v>1.43E-5</v>
      </c>
      <c r="D791" s="1324">
        <v>1.5099999999999999E-5</v>
      </c>
      <c r="E791" s="1332">
        <v>39052</v>
      </c>
      <c r="F791" s="1333"/>
      <c r="G791" s="1332">
        <v>6687</v>
      </c>
      <c r="H791" s="1332">
        <v>952</v>
      </c>
      <c r="I791" s="1332">
        <v>6365</v>
      </c>
      <c r="J791" s="1332">
        <v>5183</v>
      </c>
      <c r="K791" s="1332">
        <v>19187</v>
      </c>
      <c r="L791" s="1333"/>
      <c r="M791" s="1332">
        <v>0</v>
      </c>
      <c r="N791" s="1332">
        <v>0</v>
      </c>
      <c r="O791" s="1332">
        <v>336</v>
      </c>
      <c r="P791" s="1332">
        <v>336</v>
      </c>
      <c r="Q791" s="1333"/>
      <c r="R791" s="1332">
        <v>17396</v>
      </c>
      <c r="S791" s="1332">
        <v>2419</v>
      </c>
      <c r="T791" s="1332">
        <v>19815</v>
      </c>
    </row>
    <row r="792" spans="1:20" x14ac:dyDescent="0.25">
      <c r="A792" s="1342">
        <v>98411</v>
      </c>
      <c r="B792" s="1340" t="s">
        <v>3414</v>
      </c>
      <c r="C792" s="1324">
        <v>1.9082000000000001E-3</v>
      </c>
      <c r="D792" s="1324">
        <v>1.9327000000000001E-3</v>
      </c>
      <c r="E792" s="1332">
        <v>5211145</v>
      </c>
      <c r="F792" s="1333"/>
      <c r="G792" s="1332">
        <v>892280</v>
      </c>
      <c r="H792" s="1332">
        <v>127107</v>
      </c>
      <c r="I792" s="1332">
        <v>849330</v>
      </c>
      <c r="J792" s="1332">
        <v>0</v>
      </c>
      <c r="K792" s="1332">
        <v>1868717</v>
      </c>
      <c r="L792" s="1333"/>
      <c r="M792" s="1332">
        <v>0</v>
      </c>
      <c r="N792" s="1332">
        <v>0</v>
      </c>
      <c r="O792" s="1332">
        <v>156014</v>
      </c>
      <c r="P792" s="1332">
        <v>156014</v>
      </c>
      <c r="Q792" s="1333"/>
      <c r="R792" s="1332">
        <v>2321350</v>
      </c>
      <c r="S792" s="1332">
        <v>-57998</v>
      </c>
      <c r="T792" s="1332">
        <v>2263352</v>
      </c>
    </row>
    <row r="793" spans="1:20" x14ac:dyDescent="0.25">
      <c r="A793" s="1342">
        <v>98417</v>
      </c>
      <c r="B793" s="1340" t="s">
        <v>3415</v>
      </c>
      <c r="C793" s="1324">
        <v>2.23E-5</v>
      </c>
      <c r="D793" s="1324">
        <v>2.1500000000000001E-5</v>
      </c>
      <c r="E793" s="1332">
        <v>60900</v>
      </c>
      <c r="F793" s="1333"/>
      <c r="G793" s="1332">
        <v>10428</v>
      </c>
      <c r="H793" s="1332">
        <v>1485</v>
      </c>
      <c r="I793" s="1332">
        <v>9926</v>
      </c>
      <c r="J793" s="1332">
        <v>8459</v>
      </c>
      <c r="K793" s="1332">
        <v>30298</v>
      </c>
      <c r="L793" s="1333"/>
      <c r="M793" s="1332">
        <v>0</v>
      </c>
      <c r="N793" s="1332">
        <v>0</v>
      </c>
      <c r="O793" s="1332">
        <v>0</v>
      </c>
      <c r="P793" s="1332">
        <v>0</v>
      </c>
      <c r="Q793" s="1333"/>
      <c r="R793" s="1332">
        <v>27128</v>
      </c>
      <c r="S793" s="1332">
        <v>2772</v>
      </c>
      <c r="T793" s="1332">
        <v>29900</v>
      </c>
    </row>
    <row r="794" spans="1:20" x14ac:dyDescent="0.25">
      <c r="A794" s="1342">
        <v>98421</v>
      </c>
      <c r="B794" s="1340" t="s">
        <v>3416</v>
      </c>
      <c r="C794" s="1324">
        <v>1.121E-4</v>
      </c>
      <c r="D794" s="1324">
        <v>1.06E-4</v>
      </c>
      <c r="E794" s="1332">
        <v>306136</v>
      </c>
      <c r="F794" s="1333"/>
      <c r="G794" s="1332">
        <v>52418</v>
      </c>
      <c r="H794" s="1332">
        <v>7467</v>
      </c>
      <c r="I794" s="1332">
        <v>49895</v>
      </c>
      <c r="J794" s="1332">
        <v>13419</v>
      </c>
      <c r="K794" s="1332">
        <v>123199</v>
      </c>
      <c r="L794" s="1333"/>
      <c r="M794" s="1332">
        <v>0</v>
      </c>
      <c r="N794" s="1332">
        <v>0</v>
      </c>
      <c r="O794" s="1332">
        <v>6043</v>
      </c>
      <c r="P794" s="1332">
        <v>6043</v>
      </c>
      <c r="Q794" s="1333"/>
      <c r="R794" s="1332">
        <v>136371</v>
      </c>
      <c r="S794" s="1332">
        <v>3557</v>
      </c>
      <c r="T794" s="1332">
        <v>139928</v>
      </c>
    </row>
    <row r="795" spans="1:20" x14ac:dyDescent="0.25">
      <c r="A795" s="1342">
        <v>98427</v>
      </c>
      <c r="B795" s="1340" t="s">
        <v>4216</v>
      </c>
      <c r="C795" s="1324">
        <v>3.1E-6</v>
      </c>
      <c r="D795" s="1324">
        <v>3.4000000000000001E-6</v>
      </c>
      <c r="E795" s="1332">
        <v>8466</v>
      </c>
      <c r="F795" s="1333"/>
      <c r="G795" s="1332">
        <v>1450</v>
      </c>
      <c r="H795" s="1332">
        <v>206</v>
      </c>
      <c r="I795" s="1332">
        <v>1380</v>
      </c>
      <c r="J795" s="1332">
        <v>2532</v>
      </c>
      <c r="K795" s="1332">
        <v>5568</v>
      </c>
      <c r="L795" s="1333"/>
      <c r="M795" s="1332">
        <v>0</v>
      </c>
      <c r="N795" s="1332">
        <v>0</v>
      </c>
      <c r="O795" s="1332">
        <v>0</v>
      </c>
      <c r="P795" s="1332">
        <v>0</v>
      </c>
      <c r="Q795" s="1333"/>
      <c r="R795" s="1332">
        <v>3771</v>
      </c>
      <c r="S795" s="1332">
        <v>967</v>
      </c>
      <c r="T795" s="1332">
        <v>4738</v>
      </c>
    </row>
    <row r="796" spans="1:20" x14ac:dyDescent="0.25">
      <c r="A796" s="1342">
        <v>98431</v>
      </c>
      <c r="B796" s="1340" t="s">
        <v>3418</v>
      </c>
      <c r="C796" s="1324">
        <v>1.997E-4</v>
      </c>
      <c r="D796" s="1324">
        <v>1.961E-4</v>
      </c>
      <c r="E796" s="1332">
        <v>545365</v>
      </c>
      <c r="F796" s="1333"/>
      <c r="G796" s="1332">
        <v>93380</v>
      </c>
      <c r="H796" s="1332">
        <v>13303</v>
      </c>
      <c r="I796" s="1332">
        <v>88885</v>
      </c>
      <c r="J796" s="1332">
        <v>0</v>
      </c>
      <c r="K796" s="1332">
        <v>195568</v>
      </c>
      <c r="L796" s="1333"/>
      <c r="M796" s="1332">
        <v>0</v>
      </c>
      <c r="N796" s="1332">
        <v>0</v>
      </c>
      <c r="O796" s="1332">
        <v>26324</v>
      </c>
      <c r="P796" s="1332">
        <v>26324</v>
      </c>
      <c r="Q796" s="1333"/>
      <c r="R796" s="1332">
        <v>242938</v>
      </c>
      <c r="S796" s="1332">
        <v>-14127</v>
      </c>
      <c r="T796" s="1332">
        <v>228811</v>
      </c>
    </row>
    <row r="797" spans="1:20" x14ac:dyDescent="0.25">
      <c r="A797" s="1342">
        <v>98441</v>
      </c>
      <c r="B797" s="1340" t="s">
        <v>3419</v>
      </c>
      <c r="C797" s="1324">
        <v>1.0230000000000001E-4</v>
      </c>
      <c r="D797" s="1324">
        <v>1.0900000000000001E-4</v>
      </c>
      <c r="E797" s="1332">
        <v>279373</v>
      </c>
      <c r="F797" s="1333"/>
      <c r="G797" s="1332">
        <v>47836</v>
      </c>
      <c r="H797" s="1332">
        <v>6815</v>
      </c>
      <c r="I797" s="1332">
        <v>45533</v>
      </c>
      <c r="J797" s="1332">
        <v>9054</v>
      </c>
      <c r="K797" s="1332">
        <v>109238</v>
      </c>
      <c r="L797" s="1333"/>
      <c r="M797" s="1332">
        <v>0</v>
      </c>
      <c r="N797" s="1332">
        <v>0</v>
      </c>
      <c r="O797" s="1332">
        <v>15598</v>
      </c>
      <c r="P797" s="1332">
        <v>15598</v>
      </c>
      <c r="Q797" s="1333"/>
      <c r="R797" s="1332">
        <v>124449</v>
      </c>
      <c r="S797" s="1332">
        <v>-7248</v>
      </c>
      <c r="T797" s="1332">
        <v>117201</v>
      </c>
    </row>
    <row r="798" spans="1:20" x14ac:dyDescent="0.25">
      <c r="A798" s="1342">
        <v>98451</v>
      </c>
      <c r="B798" s="1340" t="s">
        <v>3420</v>
      </c>
      <c r="C798" s="1324">
        <v>4.6100000000000002E-5</v>
      </c>
      <c r="D798" s="1324">
        <v>4.88E-5</v>
      </c>
      <c r="E798" s="1332">
        <v>125896</v>
      </c>
      <c r="F798" s="1333"/>
      <c r="G798" s="1332">
        <v>21556</v>
      </c>
      <c r="H798" s="1332">
        <v>3070</v>
      </c>
      <c r="I798" s="1332">
        <v>20519</v>
      </c>
      <c r="J798" s="1332">
        <v>414</v>
      </c>
      <c r="K798" s="1332">
        <v>45559</v>
      </c>
      <c r="L798" s="1333"/>
      <c r="M798" s="1332">
        <v>0</v>
      </c>
      <c r="N798" s="1332">
        <v>0</v>
      </c>
      <c r="O798" s="1332">
        <v>3016</v>
      </c>
      <c r="P798" s="1332">
        <v>3016</v>
      </c>
      <c r="Q798" s="1333"/>
      <c r="R798" s="1332">
        <v>56081</v>
      </c>
      <c r="S798" s="1332">
        <v>-1250</v>
      </c>
      <c r="T798" s="1332">
        <v>54831</v>
      </c>
    </row>
    <row r="799" spans="1:20" x14ac:dyDescent="0.25">
      <c r="A799" s="1342">
        <v>98471</v>
      </c>
      <c r="B799" s="1340" t="s">
        <v>4217</v>
      </c>
      <c r="C799" s="1324">
        <v>6.3999999999999997E-6</v>
      </c>
      <c r="D799" s="1324">
        <v>6.1E-6</v>
      </c>
      <c r="E799" s="1332">
        <v>17478</v>
      </c>
      <c r="F799" s="1333"/>
      <c r="G799" s="1332">
        <v>2993</v>
      </c>
      <c r="H799" s="1332">
        <v>426</v>
      </c>
      <c r="I799" s="1332">
        <v>2849</v>
      </c>
      <c r="J799" s="1332">
        <v>4967</v>
      </c>
      <c r="K799" s="1332">
        <v>11235</v>
      </c>
      <c r="L799" s="1333"/>
      <c r="M799" s="1332">
        <v>0</v>
      </c>
      <c r="N799" s="1332">
        <v>0</v>
      </c>
      <c r="O799" s="1332">
        <v>0</v>
      </c>
      <c r="P799" s="1332">
        <v>0</v>
      </c>
      <c r="Q799" s="1333"/>
      <c r="R799" s="1332">
        <v>7786</v>
      </c>
      <c r="S799" s="1332">
        <v>1562</v>
      </c>
      <c r="T799" s="1332">
        <v>9348</v>
      </c>
    </row>
    <row r="800" spans="1:20" x14ac:dyDescent="0.25">
      <c r="A800" s="1342">
        <v>98481</v>
      </c>
      <c r="B800" s="1340" t="s">
        <v>3421</v>
      </c>
      <c r="C800" s="1324">
        <v>6.1600000000000007E-5</v>
      </c>
      <c r="D800" s="1324">
        <v>7.2000000000000002E-5</v>
      </c>
      <c r="E800" s="1332">
        <v>168225</v>
      </c>
      <c r="F800" s="1333"/>
      <c r="G800" s="1332">
        <v>28804</v>
      </c>
      <c r="H800" s="1332">
        <v>4103</v>
      </c>
      <c r="I800" s="1332">
        <v>27418</v>
      </c>
      <c r="J800" s="1332">
        <v>1639</v>
      </c>
      <c r="K800" s="1332">
        <v>61964</v>
      </c>
      <c r="L800" s="1333"/>
      <c r="M800" s="1332">
        <v>0</v>
      </c>
      <c r="N800" s="1332">
        <v>0</v>
      </c>
      <c r="O800" s="1332">
        <v>11141</v>
      </c>
      <c r="P800" s="1332">
        <v>11141</v>
      </c>
      <c r="Q800" s="1333"/>
      <c r="R800" s="1332">
        <v>74937</v>
      </c>
      <c r="S800" s="1332">
        <v>-3187</v>
      </c>
      <c r="T800" s="1332">
        <v>71750</v>
      </c>
    </row>
    <row r="801" spans="1:20" x14ac:dyDescent="0.25">
      <c r="A801" s="1342">
        <v>98501</v>
      </c>
      <c r="B801" s="1340" t="s">
        <v>3422</v>
      </c>
      <c r="C801" s="1324">
        <v>1.655E-3</v>
      </c>
      <c r="D801" s="1324">
        <v>1.6239E-3</v>
      </c>
      <c r="E801" s="1332">
        <v>4519676</v>
      </c>
      <c r="F801" s="1333"/>
      <c r="G801" s="1332">
        <v>773883</v>
      </c>
      <c r="H801" s="1332">
        <v>110241</v>
      </c>
      <c r="I801" s="1332">
        <v>736632</v>
      </c>
      <c r="J801" s="1332">
        <v>141654</v>
      </c>
      <c r="K801" s="1332">
        <v>1762410</v>
      </c>
      <c r="L801" s="1333"/>
      <c r="M801" s="1332">
        <v>0</v>
      </c>
      <c r="N801" s="1332">
        <v>0</v>
      </c>
      <c r="O801" s="1332">
        <v>0</v>
      </c>
      <c r="P801" s="1332">
        <v>0</v>
      </c>
      <c r="Q801" s="1333"/>
      <c r="R801" s="1332">
        <v>2013329</v>
      </c>
      <c r="S801" s="1332">
        <v>52916</v>
      </c>
      <c r="T801" s="1332">
        <v>2066245</v>
      </c>
    </row>
    <row r="802" spans="1:20" x14ac:dyDescent="0.25">
      <c r="A802" s="1342">
        <v>98511</v>
      </c>
      <c r="B802" s="1340" t="s">
        <v>3423</v>
      </c>
      <c r="C802" s="1324">
        <v>4.9400000000000001E-5</v>
      </c>
      <c r="D802" s="1324">
        <v>4.0000000000000003E-5</v>
      </c>
      <c r="E802" s="1332">
        <v>134908</v>
      </c>
      <c r="F802" s="1333"/>
      <c r="G802" s="1332">
        <v>23100</v>
      </c>
      <c r="H802" s="1332">
        <v>3291</v>
      </c>
      <c r="I802" s="1332">
        <v>21988</v>
      </c>
      <c r="J802" s="1332">
        <v>8529</v>
      </c>
      <c r="K802" s="1332">
        <v>56908</v>
      </c>
      <c r="L802" s="1333"/>
      <c r="M802" s="1332">
        <v>0</v>
      </c>
      <c r="N802" s="1332">
        <v>0</v>
      </c>
      <c r="O802" s="1332">
        <v>2038</v>
      </c>
      <c r="P802" s="1332">
        <v>2038</v>
      </c>
      <c r="Q802" s="1333"/>
      <c r="R802" s="1332">
        <v>60096</v>
      </c>
      <c r="S802" s="1332">
        <v>1859</v>
      </c>
      <c r="T802" s="1332">
        <v>61955</v>
      </c>
    </row>
    <row r="803" spans="1:20" x14ac:dyDescent="0.25">
      <c r="A803" s="1342">
        <v>98517</v>
      </c>
      <c r="B803" s="1340" t="s">
        <v>3424</v>
      </c>
      <c r="C803" s="1324">
        <v>2.3999999999999999E-6</v>
      </c>
      <c r="D803" s="1324">
        <v>2.3E-6</v>
      </c>
      <c r="E803" s="1332">
        <v>6554</v>
      </c>
      <c r="F803" s="1333"/>
      <c r="G803" s="1332">
        <v>1122</v>
      </c>
      <c r="H803" s="1332">
        <v>160</v>
      </c>
      <c r="I803" s="1332">
        <v>1068</v>
      </c>
      <c r="J803" s="1332">
        <v>3726</v>
      </c>
      <c r="K803" s="1332">
        <v>6076</v>
      </c>
      <c r="L803" s="1333"/>
      <c r="M803" s="1332">
        <v>0</v>
      </c>
      <c r="N803" s="1332">
        <v>0</v>
      </c>
      <c r="O803" s="1332">
        <v>0</v>
      </c>
      <c r="P803" s="1332">
        <v>0</v>
      </c>
      <c r="Q803" s="1333"/>
      <c r="R803" s="1332">
        <v>2920</v>
      </c>
      <c r="S803" s="1332">
        <v>1346</v>
      </c>
      <c r="T803" s="1332">
        <v>4266</v>
      </c>
    </row>
    <row r="804" spans="1:20" x14ac:dyDescent="0.25">
      <c r="A804" s="1342">
        <v>98521</v>
      </c>
      <c r="B804" s="1340" t="s">
        <v>3425</v>
      </c>
      <c r="C804" s="1324">
        <v>6.3349999999999995E-4</v>
      </c>
      <c r="D804" s="1324">
        <v>6.4780000000000003E-4</v>
      </c>
      <c r="E804" s="1332">
        <v>1730039</v>
      </c>
      <c r="F804" s="1333"/>
      <c r="G804" s="1332">
        <v>296227</v>
      </c>
      <c r="H804" s="1332">
        <v>42198</v>
      </c>
      <c r="I804" s="1332">
        <v>281968</v>
      </c>
      <c r="J804" s="1332">
        <v>17396</v>
      </c>
      <c r="K804" s="1332">
        <v>637789</v>
      </c>
      <c r="L804" s="1333"/>
      <c r="M804" s="1332">
        <v>0</v>
      </c>
      <c r="N804" s="1332">
        <v>0</v>
      </c>
      <c r="O804" s="1332">
        <v>49380</v>
      </c>
      <c r="P804" s="1332">
        <v>49380</v>
      </c>
      <c r="Q804" s="1333"/>
      <c r="R804" s="1332">
        <v>770661</v>
      </c>
      <c r="S804" s="1332">
        <v>-17445</v>
      </c>
      <c r="T804" s="1332">
        <v>753216</v>
      </c>
    </row>
    <row r="805" spans="1:20" x14ac:dyDescent="0.25">
      <c r="A805" s="1342">
        <v>98601</v>
      </c>
      <c r="B805" s="1340" t="s">
        <v>3426</v>
      </c>
      <c r="C805" s="1324">
        <v>3.5866000000000001E-3</v>
      </c>
      <c r="D805" s="1324">
        <v>3.4765999999999998E-3</v>
      </c>
      <c r="E805" s="1332">
        <v>9794725</v>
      </c>
      <c r="F805" s="1333"/>
      <c r="G805" s="1332">
        <v>1677105</v>
      </c>
      <c r="H805" s="1332">
        <v>238907</v>
      </c>
      <c r="I805" s="1332">
        <v>1596378</v>
      </c>
      <c r="J805" s="1332">
        <v>16427</v>
      </c>
      <c r="K805" s="1332">
        <v>3528817</v>
      </c>
      <c r="L805" s="1333"/>
      <c r="M805" s="1332">
        <v>0</v>
      </c>
      <c r="N805" s="1332">
        <v>0</v>
      </c>
      <c r="O805" s="1332">
        <v>72055</v>
      </c>
      <c r="P805" s="1332">
        <v>72055</v>
      </c>
      <c r="Q805" s="1333"/>
      <c r="R805" s="1332">
        <v>4363146</v>
      </c>
      <c r="S805" s="1332">
        <v>-56293</v>
      </c>
      <c r="T805" s="1332">
        <v>4306853</v>
      </c>
    </row>
    <row r="806" spans="1:20" x14ac:dyDescent="0.25">
      <c r="A806" s="1342">
        <v>98607</v>
      </c>
      <c r="B806" s="1340" t="s">
        <v>3428</v>
      </c>
      <c r="C806" s="1324">
        <v>5.4E-6</v>
      </c>
      <c r="D806" s="1324">
        <v>6.9E-6</v>
      </c>
      <c r="E806" s="1332">
        <v>14747</v>
      </c>
      <c r="F806" s="1333"/>
      <c r="G806" s="1332">
        <v>2525</v>
      </c>
      <c r="H806" s="1332">
        <v>360</v>
      </c>
      <c r="I806" s="1332">
        <v>2404</v>
      </c>
      <c r="J806" s="1332">
        <v>1068</v>
      </c>
      <c r="K806" s="1332">
        <v>6357</v>
      </c>
      <c r="L806" s="1333"/>
      <c r="M806" s="1332">
        <v>0</v>
      </c>
      <c r="N806" s="1332">
        <v>0</v>
      </c>
      <c r="O806" s="1332">
        <v>780</v>
      </c>
      <c r="P806" s="1332">
        <v>780</v>
      </c>
      <c r="Q806" s="1333"/>
      <c r="R806" s="1332">
        <v>6569</v>
      </c>
      <c r="S806" s="1332">
        <v>-415</v>
      </c>
      <c r="T806" s="1332">
        <v>6154</v>
      </c>
    </row>
    <row r="807" spans="1:20" x14ac:dyDescent="0.25">
      <c r="A807" s="1342">
        <v>98608</v>
      </c>
      <c r="B807" s="1340" t="s">
        <v>3429</v>
      </c>
      <c r="C807" s="1324">
        <v>5.1799999999999999E-5</v>
      </c>
      <c r="D807" s="1324">
        <v>4.3099999999999997E-5</v>
      </c>
      <c r="E807" s="1332">
        <v>141462</v>
      </c>
      <c r="F807" s="1333"/>
      <c r="G807" s="1332">
        <v>24222</v>
      </c>
      <c r="H807" s="1332">
        <v>3451</v>
      </c>
      <c r="I807" s="1332">
        <v>23056</v>
      </c>
      <c r="J807" s="1332">
        <v>10260</v>
      </c>
      <c r="K807" s="1332">
        <v>60989</v>
      </c>
      <c r="L807" s="1333"/>
      <c r="M807" s="1332">
        <v>0</v>
      </c>
      <c r="N807" s="1332">
        <v>0</v>
      </c>
      <c r="O807" s="1332">
        <v>2370</v>
      </c>
      <c r="P807" s="1332">
        <v>2370</v>
      </c>
      <c r="Q807" s="1333"/>
      <c r="R807" s="1332">
        <v>63015</v>
      </c>
      <c r="S807" s="1332">
        <v>2249</v>
      </c>
      <c r="T807" s="1332">
        <v>65264</v>
      </c>
    </row>
    <row r="808" spans="1:20" x14ac:dyDescent="0.25">
      <c r="A808" s="1342">
        <v>98611</v>
      </c>
      <c r="B808" s="1340" t="s">
        <v>3430</v>
      </c>
      <c r="C808" s="1324">
        <v>1.1959999999999999E-4</v>
      </c>
      <c r="D808" s="1324">
        <v>1.143E-4</v>
      </c>
      <c r="E808" s="1332">
        <v>326618</v>
      </c>
      <c r="F808" s="1333"/>
      <c r="G808" s="1332">
        <v>55925</v>
      </c>
      <c r="H808" s="1332">
        <v>7966</v>
      </c>
      <c r="I808" s="1332">
        <v>53233</v>
      </c>
      <c r="J808" s="1332">
        <v>26095</v>
      </c>
      <c r="K808" s="1332">
        <v>143219</v>
      </c>
      <c r="L808" s="1333"/>
      <c r="M808" s="1332">
        <v>0</v>
      </c>
      <c r="N808" s="1332">
        <v>0</v>
      </c>
      <c r="O808" s="1332">
        <v>2863</v>
      </c>
      <c r="P808" s="1332">
        <v>2863</v>
      </c>
      <c r="Q808" s="1333"/>
      <c r="R808" s="1332">
        <v>145495</v>
      </c>
      <c r="S808" s="1332">
        <v>5882</v>
      </c>
      <c r="T808" s="1332">
        <v>151377</v>
      </c>
    </row>
    <row r="809" spans="1:20" x14ac:dyDescent="0.25">
      <c r="A809" s="1342">
        <v>98621</v>
      </c>
      <c r="B809" s="1340" t="s">
        <v>3431</v>
      </c>
      <c r="C809" s="1324">
        <v>1.2899999999999999E-4</v>
      </c>
      <c r="D809" s="1324">
        <v>1.371E-4</v>
      </c>
      <c r="E809" s="1332">
        <v>352289</v>
      </c>
      <c r="F809" s="1333"/>
      <c r="G809" s="1332">
        <v>60321</v>
      </c>
      <c r="H809" s="1332">
        <v>8593</v>
      </c>
      <c r="I809" s="1332">
        <v>57417</v>
      </c>
      <c r="J809" s="1332">
        <v>172</v>
      </c>
      <c r="K809" s="1332">
        <v>126503</v>
      </c>
      <c r="L809" s="1333"/>
      <c r="M809" s="1332">
        <v>0</v>
      </c>
      <c r="N809" s="1332">
        <v>0</v>
      </c>
      <c r="O809" s="1332">
        <v>9273</v>
      </c>
      <c r="P809" s="1332">
        <v>9273</v>
      </c>
      <c r="Q809" s="1333"/>
      <c r="R809" s="1332">
        <v>156930</v>
      </c>
      <c r="S809" s="1332">
        <v>-5175</v>
      </c>
      <c r="T809" s="1332">
        <v>151755</v>
      </c>
    </row>
    <row r="810" spans="1:20" x14ac:dyDescent="0.25">
      <c r="A810" s="1342">
        <v>98627</v>
      </c>
      <c r="B810" s="1340" t="s">
        <v>4218</v>
      </c>
      <c r="C810" s="1324">
        <v>7.7999999999999999E-6</v>
      </c>
      <c r="D810" s="1324">
        <v>8.3000000000000002E-6</v>
      </c>
      <c r="E810" s="1332">
        <v>21301</v>
      </c>
      <c r="F810" s="1333"/>
      <c r="G810" s="1332">
        <v>3647</v>
      </c>
      <c r="H810" s="1332">
        <v>520</v>
      </c>
      <c r="I810" s="1332">
        <v>3472</v>
      </c>
      <c r="J810" s="1332">
        <v>96</v>
      </c>
      <c r="K810" s="1332">
        <v>7735</v>
      </c>
      <c r="L810" s="1333"/>
      <c r="M810" s="1332">
        <v>0</v>
      </c>
      <c r="N810" s="1332">
        <v>0</v>
      </c>
      <c r="O810" s="1332">
        <v>1675</v>
      </c>
      <c r="P810" s="1332">
        <v>1675</v>
      </c>
      <c r="Q810" s="1333"/>
      <c r="R810" s="1332">
        <v>9489</v>
      </c>
      <c r="S810" s="1332">
        <v>-504</v>
      </c>
      <c r="T810" s="1332">
        <v>8985</v>
      </c>
    </row>
    <row r="811" spans="1:20" x14ac:dyDescent="0.25">
      <c r="A811" s="1342">
        <v>98631</v>
      </c>
      <c r="B811" s="1340" t="s">
        <v>3433</v>
      </c>
      <c r="C811" s="1324">
        <v>1.0042E-3</v>
      </c>
      <c r="D811" s="1324">
        <v>1.0238000000000001E-3</v>
      </c>
      <c r="E811" s="1332">
        <v>2742392</v>
      </c>
      <c r="F811" s="1333"/>
      <c r="G811" s="1332">
        <v>469567</v>
      </c>
      <c r="H811" s="1332">
        <v>66891</v>
      </c>
      <c r="I811" s="1332">
        <v>446964</v>
      </c>
      <c r="J811" s="1332">
        <v>14243</v>
      </c>
      <c r="K811" s="1332">
        <v>997665</v>
      </c>
      <c r="L811" s="1333"/>
      <c r="M811" s="1332">
        <v>0</v>
      </c>
      <c r="N811" s="1332">
        <v>0</v>
      </c>
      <c r="O811" s="1332">
        <v>36728</v>
      </c>
      <c r="P811" s="1332">
        <v>36728</v>
      </c>
      <c r="Q811" s="1333"/>
      <c r="R811" s="1332">
        <v>1221622</v>
      </c>
      <c r="S811" s="1332">
        <v>-34212</v>
      </c>
      <c r="T811" s="1332">
        <v>1187410</v>
      </c>
    </row>
    <row r="812" spans="1:20" x14ac:dyDescent="0.25">
      <c r="A812" s="1342">
        <v>98637</v>
      </c>
      <c r="B812" s="1340" t="s">
        <v>3434</v>
      </c>
      <c r="C812" s="1324">
        <v>1.5800000000000001E-5</v>
      </c>
      <c r="D812" s="1324">
        <v>1.9000000000000001E-5</v>
      </c>
      <c r="E812" s="1332">
        <v>43149</v>
      </c>
      <c r="F812" s="1333"/>
      <c r="G812" s="1332">
        <v>7388</v>
      </c>
      <c r="H812" s="1332">
        <v>1052</v>
      </c>
      <c r="I812" s="1332">
        <v>7033</v>
      </c>
      <c r="J812" s="1332">
        <v>10024</v>
      </c>
      <c r="K812" s="1332">
        <v>25497</v>
      </c>
      <c r="L812" s="1333"/>
      <c r="M812" s="1332">
        <v>0</v>
      </c>
      <c r="N812" s="1332">
        <v>0</v>
      </c>
      <c r="O812" s="1332">
        <v>0</v>
      </c>
      <c r="P812" s="1332">
        <v>0</v>
      </c>
      <c r="Q812" s="1333"/>
      <c r="R812" s="1332">
        <v>19221</v>
      </c>
      <c r="S812" s="1332">
        <v>4590</v>
      </c>
      <c r="T812" s="1332">
        <v>23811</v>
      </c>
    </row>
    <row r="813" spans="1:20" x14ac:dyDescent="0.25">
      <c r="A813" s="1342">
        <v>98641</v>
      </c>
      <c r="B813" s="1340" t="s">
        <v>3435</v>
      </c>
      <c r="C813" s="1324">
        <v>2.7090000000000003E-4</v>
      </c>
      <c r="D813" s="1324">
        <v>2.9080000000000002E-4</v>
      </c>
      <c r="E813" s="1332">
        <v>739807</v>
      </c>
      <c r="F813" s="1333"/>
      <c r="G813" s="1332">
        <v>126674</v>
      </c>
      <c r="H813" s="1332">
        <v>18045</v>
      </c>
      <c r="I813" s="1332">
        <v>120576</v>
      </c>
      <c r="J813" s="1332">
        <v>1402</v>
      </c>
      <c r="K813" s="1332">
        <v>266697</v>
      </c>
      <c r="L813" s="1333"/>
      <c r="M813" s="1332">
        <v>0</v>
      </c>
      <c r="N813" s="1332">
        <v>0</v>
      </c>
      <c r="O813" s="1332">
        <v>8996</v>
      </c>
      <c r="P813" s="1332">
        <v>8996</v>
      </c>
      <c r="Q813" s="1333"/>
      <c r="R813" s="1332">
        <v>329553</v>
      </c>
      <c r="S813" s="1332">
        <v>-3836</v>
      </c>
      <c r="T813" s="1332">
        <v>325717</v>
      </c>
    </row>
    <row r="814" spans="1:20" x14ac:dyDescent="0.25">
      <c r="A814" s="1342">
        <v>98701</v>
      </c>
      <c r="B814" s="1340" t="s">
        <v>3437</v>
      </c>
      <c r="C814" s="1324">
        <v>9.7790000000000008E-4</v>
      </c>
      <c r="D814" s="1324">
        <v>1.0870000000000001E-3</v>
      </c>
      <c r="E814" s="1332">
        <v>2670569</v>
      </c>
      <c r="F814" s="1333"/>
      <c r="G814" s="1332">
        <v>457269</v>
      </c>
      <c r="H814" s="1332">
        <v>65139</v>
      </c>
      <c r="I814" s="1332">
        <v>435258</v>
      </c>
      <c r="J814" s="1332">
        <v>1031</v>
      </c>
      <c r="K814" s="1332">
        <v>958697</v>
      </c>
      <c r="L814" s="1333"/>
      <c r="M814" s="1332">
        <v>0</v>
      </c>
      <c r="N814" s="1332">
        <v>0</v>
      </c>
      <c r="O814" s="1332">
        <v>125086</v>
      </c>
      <c r="P814" s="1332">
        <v>125086</v>
      </c>
      <c r="Q814" s="1333"/>
      <c r="R814" s="1332">
        <v>1189628</v>
      </c>
      <c r="S814" s="1332">
        <v>-49441</v>
      </c>
      <c r="T814" s="1332">
        <v>1140187</v>
      </c>
    </row>
    <row r="815" spans="1:20" x14ac:dyDescent="0.25">
      <c r="A815" s="1342">
        <v>98711</v>
      </c>
      <c r="B815" s="1340" t="s">
        <v>3438</v>
      </c>
      <c r="C815" s="1324">
        <v>1.671E-4</v>
      </c>
      <c r="D815" s="1324">
        <v>1.6679999999999999E-4</v>
      </c>
      <c r="E815" s="1332">
        <v>456337</v>
      </c>
      <c r="F815" s="1333"/>
      <c r="G815" s="1332">
        <v>78136</v>
      </c>
      <c r="H815" s="1332">
        <v>11130</v>
      </c>
      <c r="I815" s="1332">
        <v>74375</v>
      </c>
      <c r="J815" s="1332">
        <v>0</v>
      </c>
      <c r="K815" s="1332">
        <v>163641</v>
      </c>
      <c r="L815" s="1333"/>
      <c r="M815" s="1332">
        <v>0</v>
      </c>
      <c r="N815" s="1332">
        <v>0</v>
      </c>
      <c r="O815" s="1332">
        <v>29840</v>
      </c>
      <c r="P815" s="1332">
        <v>29840</v>
      </c>
      <c r="Q815" s="1333"/>
      <c r="R815" s="1332">
        <v>203279</v>
      </c>
      <c r="S815" s="1332">
        <v>-12286</v>
      </c>
      <c r="T815" s="1332">
        <v>190993</v>
      </c>
    </row>
    <row r="816" spans="1:20" x14ac:dyDescent="0.25">
      <c r="A816" s="1342">
        <v>98717</v>
      </c>
      <c r="B816" s="1340" t="s">
        <v>3439</v>
      </c>
      <c r="C816" s="1324">
        <v>2.2399999999999999E-5</v>
      </c>
      <c r="D816" s="1324">
        <v>1.9599999999999999E-5</v>
      </c>
      <c r="E816" s="1332">
        <v>61173</v>
      </c>
      <c r="F816" s="1333"/>
      <c r="G816" s="1332">
        <v>10474</v>
      </c>
      <c r="H816" s="1332">
        <v>1492</v>
      </c>
      <c r="I816" s="1332">
        <v>9970</v>
      </c>
      <c r="J816" s="1332">
        <v>1953</v>
      </c>
      <c r="K816" s="1332">
        <v>23889</v>
      </c>
      <c r="L816" s="1333"/>
      <c r="M816" s="1332">
        <v>0</v>
      </c>
      <c r="N816" s="1332">
        <v>0</v>
      </c>
      <c r="O816" s="1332">
        <v>1423</v>
      </c>
      <c r="P816" s="1332">
        <v>1423</v>
      </c>
      <c r="Q816" s="1333"/>
      <c r="R816" s="1332">
        <v>27250</v>
      </c>
      <c r="S816" s="1332">
        <v>254</v>
      </c>
      <c r="T816" s="1332">
        <v>27504</v>
      </c>
    </row>
    <row r="817" spans="1:20" x14ac:dyDescent="0.25">
      <c r="A817" s="1342">
        <v>98801</v>
      </c>
      <c r="B817" s="1340" t="s">
        <v>3440</v>
      </c>
      <c r="C817" s="1324">
        <v>2.1632999999999999E-3</v>
      </c>
      <c r="D817" s="1324">
        <v>2.1394999999999999E-3</v>
      </c>
      <c r="E817" s="1332">
        <v>5907804</v>
      </c>
      <c r="F817" s="1333"/>
      <c r="G817" s="1332">
        <v>1011566</v>
      </c>
      <c r="H817" s="1332">
        <v>144100</v>
      </c>
      <c r="I817" s="1332">
        <v>962874</v>
      </c>
      <c r="J817" s="1332">
        <v>101351</v>
      </c>
      <c r="K817" s="1332">
        <v>2219891</v>
      </c>
      <c r="L817" s="1333"/>
      <c r="M817" s="1332">
        <v>0</v>
      </c>
      <c r="N817" s="1332">
        <v>0</v>
      </c>
      <c r="O817" s="1332">
        <v>57063</v>
      </c>
      <c r="P817" s="1332">
        <v>57063</v>
      </c>
      <c r="Q817" s="1333"/>
      <c r="R817" s="1332">
        <v>2631683</v>
      </c>
      <c r="S817" s="1332">
        <v>36575</v>
      </c>
      <c r="T817" s="1332">
        <v>2668258</v>
      </c>
    </row>
    <row r="818" spans="1:20" x14ac:dyDescent="0.25">
      <c r="A818" s="1342">
        <v>98811</v>
      </c>
      <c r="B818" s="1340" t="s">
        <v>3441</v>
      </c>
      <c r="C818" s="1324">
        <v>6.8610000000000003E-4</v>
      </c>
      <c r="D818" s="1324">
        <v>6.332E-4</v>
      </c>
      <c r="E818" s="1332">
        <v>1873686</v>
      </c>
      <c r="F818" s="1333"/>
      <c r="G818" s="1332">
        <v>320822</v>
      </c>
      <c r="H818" s="1332">
        <v>45702</v>
      </c>
      <c r="I818" s="1332">
        <v>305380</v>
      </c>
      <c r="J818" s="1332">
        <v>59453</v>
      </c>
      <c r="K818" s="1332">
        <v>731357</v>
      </c>
      <c r="L818" s="1333"/>
      <c r="M818" s="1332">
        <v>0</v>
      </c>
      <c r="N818" s="1332">
        <v>0</v>
      </c>
      <c r="O818" s="1332">
        <v>18221</v>
      </c>
      <c r="P818" s="1332">
        <v>18221</v>
      </c>
      <c r="Q818" s="1333"/>
      <c r="R818" s="1332">
        <v>834650</v>
      </c>
      <c r="S818" s="1332">
        <v>4037</v>
      </c>
      <c r="T818" s="1332">
        <v>838687</v>
      </c>
    </row>
    <row r="819" spans="1:20" x14ac:dyDescent="0.25">
      <c r="A819" s="1342">
        <v>98817</v>
      </c>
      <c r="B819" s="1340" t="s">
        <v>3442</v>
      </c>
      <c r="C819" s="1324">
        <v>1.7E-5</v>
      </c>
      <c r="D819" s="1324">
        <v>2.4000000000000001E-5</v>
      </c>
      <c r="E819" s="1332">
        <v>46426</v>
      </c>
      <c r="F819" s="1333"/>
      <c r="G819" s="1332">
        <v>7949</v>
      </c>
      <c r="H819" s="1332">
        <v>1132</v>
      </c>
      <c r="I819" s="1332">
        <v>7567</v>
      </c>
      <c r="J819" s="1332">
        <v>2606</v>
      </c>
      <c r="K819" s="1332">
        <v>19254</v>
      </c>
      <c r="L819" s="1333"/>
      <c r="M819" s="1332">
        <v>0</v>
      </c>
      <c r="N819" s="1332">
        <v>0</v>
      </c>
      <c r="O819" s="1332">
        <v>3818</v>
      </c>
      <c r="P819" s="1332">
        <v>3818</v>
      </c>
      <c r="Q819" s="1333"/>
      <c r="R819" s="1332">
        <v>20681</v>
      </c>
      <c r="S819" s="1332">
        <v>269</v>
      </c>
      <c r="T819" s="1332">
        <v>20950</v>
      </c>
    </row>
    <row r="820" spans="1:20" x14ac:dyDescent="0.25">
      <c r="A820" s="1342">
        <v>98901</v>
      </c>
      <c r="B820" s="1340" t="s">
        <v>3443</v>
      </c>
      <c r="C820" s="1324">
        <v>2.8390000000000002E-4</v>
      </c>
      <c r="D820" s="1324">
        <v>3.0289999999999999E-4</v>
      </c>
      <c r="E820" s="1332">
        <v>775309</v>
      </c>
      <c r="F820" s="1333"/>
      <c r="G820" s="1332">
        <v>132752</v>
      </c>
      <c r="H820" s="1332">
        <v>18911</v>
      </c>
      <c r="I820" s="1332">
        <v>126362</v>
      </c>
      <c r="J820" s="1332">
        <v>5350</v>
      </c>
      <c r="K820" s="1332">
        <v>283375</v>
      </c>
      <c r="L820" s="1333"/>
      <c r="M820" s="1332">
        <v>0</v>
      </c>
      <c r="N820" s="1332">
        <v>0</v>
      </c>
      <c r="O820" s="1332">
        <v>17108</v>
      </c>
      <c r="P820" s="1332">
        <v>17108</v>
      </c>
      <c r="Q820" s="1333"/>
      <c r="R820" s="1332">
        <v>345368</v>
      </c>
      <c r="S820" s="1332">
        <v>-3457</v>
      </c>
      <c r="T820" s="1332">
        <v>341911</v>
      </c>
    </row>
    <row r="821" spans="1:20" x14ac:dyDescent="0.25">
      <c r="A821" s="1342">
        <v>98904</v>
      </c>
      <c r="B821" s="1340" t="s">
        <v>4219</v>
      </c>
      <c r="C821" s="1324">
        <v>3.9999999999999998E-6</v>
      </c>
      <c r="D821" s="1324">
        <v>3.9999999999999998E-6</v>
      </c>
      <c r="E821" s="1332">
        <v>10924</v>
      </c>
      <c r="F821" s="1333"/>
      <c r="G821" s="1332">
        <v>1870</v>
      </c>
      <c r="H821" s="1332">
        <v>267</v>
      </c>
      <c r="I821" s="1332">
        <v>1780</v>
      </c>
      <c r="J821" s="1332">
        <v>455</v>
      </c>
      <c r="K821" s="1332">
        <v>4372</v>
      </c>
      <c r="L821" s="1333"/>
      <c r="M821" s="1332">
        <v>0</v>
      </c>
      <c r="N821" s="1332">
        <v>0</v>
      </c>
      <c r="O821" s="1332">
        <v>1079</v>
      </c>
      <c r="P821" s="1332">
        <v>1079</v>
      </c>
      <c r="Q821" s="1333"/>
      <c r="R821" s="1332">
        <v>4866</v>
      </c>
      <c r="S821" s="1332">
        <v>-279</v>
      </c>
      <c r="T821" s="1332">
        <v>4587</v>
      </c>
    </row>
    <row r="822" spans="1:20" x14ac:dyDescent="0.25">
      <c r="A822" s="1342">
        <v>98911</v>
      </c>
      <c r="B822" s="1340" t="s">
        <v>3445</v>
      </c>
      <c r="C822" s="1324">
        <v>1.59E-5</v>
      </c>
      <c r="D822" s="1324">
        <v>2.8900000000000001E-5</v>
      </c>
      <c r="E822" s="1332">
        <v>43422</v>
      </c>
      <c r="F822" s="1333"/>
      <c r="G822" s="1332">
        <v>7435</v>
      </c>
      <c r="H822" s="1332">
        <v>1059</v>
      </c>
      <c r="I822" s="1332">
        <v>7077</v>
      </c>
      <c r="J822" s="1332">
        <v>7092</v>
      </c>
      <c r="K822" s="1332">
        <v>22663</v>
      </c>
      <c r="L822" s="1333"/>
      <c r="M822" s="1332">
        <v>0</v>
      </c>
      <c r="N822" s="1332">
        <v>0</v>
      </c>
      <c r="O822" s="1332">
        <v>1159</v>
      </c>
      <c r="P822" s="1332">
        <v>1159</v>
      </c>
      <c r="Q822" s="1333"/>
      <c r="R822" s="1332">
        <v>19343</v>
      </c>
      <c r="S822" s="1332">
        <v>5261</v>
      </c>
      <c r="T822" s="1332">
        <v>24604</v>
      </c>
    </row>
    <row r="823" spans="1:20" x14ac:dyDescent="0.25">
      <c r="A823" s="1342">
        <v>99001</v>
      </c>
      <c r="B823" s="1340" t="s">
        <v>3446</v>
      </c>
      <c r="C823" s="1324">
        <v>8.8266000000000004E-3</v>
      </c>
      <c r="D823" s="1324">
        <v>8.2226E-3</v>
      </c>
      <c r="E823" s="1332">
        <v>24104756</v>
      </c>
      <c r="F823" s="1333"/>
      <c r="G823" s="1332">
        <v>4127345</v>
      </c>
      <c r="H823" s="1332">
        <v>587948</v>
      </c>
      <c r="I823" s="1332">
        <v>3928676</v>
      </c>
      <c r="J823" s="1332">
        <v>530235</v>
      </c>
      <c r="K823" s="1332">
        <v>9174204</v>
      </c>
      <c r="L823" s="1333"/>
      <c r="M823" s="1332">
        <v>0</v>
      </c>
      <c r="N823" s="1332">
        <v>0</v>
      </c>
      <c r="O823" s="1332">
        <v>0</v>
      </c>
      <c r="P823" s="1332">
        <v>0</v>
      </c>
      <c r="Q823" s="1333"/>
      <c r="R823" s="1332">
        <v>10737674</v>
      </c>
      <c r="S823" s="1332">
        <v>229227</v>
      </c>
      <c r="T823" s="1332">
        <v>10966901</v>
      </c>
    </row>
    <row r="824" spans="1:20" x14ac:dyDescent="0.25">
      <c r="A824" s="1342">
        <v>99011</v>
      </c>
      <c r="B824" s="1340" t="s">
        <v>3447</v>
      </c>
      <c r="C824" s="1324">
        <v>3.8520999999999998E-3</v>
      </c>
      <c r="D824" s="1324">
        <v>3.8665000000000001E-3</v>
      </c>
      <c r="E824" s="1332">
        <v>10519785</v>
      </c>
      <c r="F824" s="1333"/>
      <c r="G824" s="1332">
        <v>1801254</v>
      </c>
      <c r="H824" s="1332">
        <v>256592</v>
      </c>
      <c r="I824" s="1332">
        <v>1714550</v>
      </c>
      <c r="J824" s="1332">
        <v>22406</v>
      </c>
      <c r="K824" s="1332">
        <v>3794802</v>
      </c>
      <c r="L824" s="1333"/>
      <c r="M824" s="1332">
        <v>0</v>
      </c>
      <c r="N824" s="1332">
        <v>0</v>
      </c>
      <c r="O824" s="1332">
        <v>71000</v>
      </c>
      <c r="P824" s="1332">
        <v>71000</v>
      </c>
      <c r="Q824" s="1333"/>
      <c r="R824" s="1332">
        <v>4686130</v>
      </c>
      <c r="S824" s="1332">
        <v>-107569</v>
      </c>
      <c r="T824" s="1332">
        <v>4578561</v>
      </c>
    </row>
    <row r="825" spans="1:20" x14ac:dyDescent="0.25">
      <c r="A825" s="1342">
        <v>99013</v>
      </c>
      <c r="B825" s="1340" t="s">
        <v>3448</v>
      </c>
      <c r="C825" s="1324">
        <v>4.7599999999999998E-5</v>
      </c>
      <c r="D825" s="1324">
        <v>4.8900000000000003E-5</v>
      </c>
      <c r="E825" s="1332">
        <v>129992</v>
      </c>
      <c r="F825" s="1333"/>
      <c r="G825" s="1332">
        <v>22258</v>
      </c>
      <c r="H825" s="1332">
        <v>3171</v>
      </c>
      <c r="I825" s="1332">
        <v>21187</v>
      </c>
      <c r="J825" s="1332">
        <v>3530</v>
      </c>
      <c r="K825" s="1332">
        <v>50146</v>
      </c>
      <c r="L825" s="1333"/>
      <c r="M825" s="1332">
        <v>0</v>
      </c>
      <c r="N825" s="1332">
        <v>0</v>
      </c>
      <c r="O825" s="1332">
        <v>3602</v>
      </c>
      <c r="P825" s="1332">
        <v>3602</v>
      </c>
      <c r="Q825" s="1333"/>
      <c r="R825" s="1332">
        <v>57906</v>
      </c>
      <c r="S825" s="1332">
        <v>-2200</v>
      </c>
      <c r="T825" s="1332">
        <v>55706</v>
      </c>
    </row>
    <row r="826" spans="1:20" x14ac:dyDescent="0.25">
      <c r="A826" s="1342">
        <v>99014</v>
      </c>
      <c r="B826" s="1340" t="s">
        <v>3449</v>
      </c>
      <c r="C826" s="1324">
        <v>2.1299999999999999E-5</v>
      </c>
      <c r="D826" s="1324">
        <v>1.45E-5</v>
      </c>
      <c r="E826" s="1332">
        <v>58169</v>
      </c>
      <c r="F826" s="1333"/>
      <c r="G826" s="1332">
        <v>9960</v>
      </c>
      <c r="H826" s="1332">
        <v>1419</v>
      </c>
      <c r="I826" s="1332">
        <v>9481</v>
      </c>
      <c r="J826" s="1332">
        <v>14736</v>
      </c>
      <c r="K826" s="1332">
        <v>35596</v>
      </c>
      <c r="L826" s="1333"/>
      <c r="M826" s="1332">
        <v>0</v>
      </c>
      <c r="N826" s="1332">
        <v>0</v>
      </c>
      <c r="O826" s="1332">
        <v>169</v>
      </c>
      <c r="P826" s="1332">
        <v>169</v>
      </c>
      <c r="Q826" s="1333"/>
      <c r="R826" s="1332">
        <v>25912</v>
      </c>
      <c r="S826" s="1332">
        <v>6955</v>
      </c>
      <c r="T826" s="1332">
        <v>32867</v>
      </c>
    </row>
    <row r="827" spans="1:20" x14ac:dyDescent="0.25">
      <c r="A827" s="1342">
        <v>99017</v>
      </c>
      <c r="B827" s="1340" t="s">
        <v>3450</v>
      </c>
      <c r="C827" s="1324">
        <v>4.8600000000000002E-5</v>
      </c>
      <c r="D827" s="1324">
        <v>4.5599999999999997E-5</v>
      </c>
      <c r="E827" s="1332">
        <v>132723</v>
      </c>
      <c r="F827" s="1333"/>
      <c r="G827" s="1332">
        <v>22726</v>
      </c>
      <c r="H827" s="1332">
        <v>3237</v>
      </c>
      <c r="I827" s="1332">
        <v>21632</v>
      </c>
      <c r="J827" s="1332">
        <v>4265</v>
      </c>
      <c r="K827" s="1332">
        <v>51860</v>
      </c>
      <c r="L827" s="1333"/>
      <c r="M827" s="1332">
        <v>0</v>
      </c>
      <c r="N827" s="1332">
        <v>0</v>
      </c>
      <c r="O827" s="1332">
        <v>2470</v>
      </c>
      <c r="P827" s="1332">
        <v>2470</v>
      </c>
      <c r="Q827" s="1333"/>
      <c r="R827" s="1332">
        <v>59123</v>
      </c>
      <c r="S827" s="1332">
        <v>2106</v>
      </c>
      <c r="T827" s="1332">
        <v>61229</v>
      </c>
    </row>
    <row r="828" spans="1:20" x14ac:dyDescent="0.25">
      <c r="A828" s="1342">
        <v>99021</v>
      </c>
      <c r="B828" s="1340" t="s">
        <v>3451</v>
      </c>
      <c r="C828" s="1324">
        <v>1.405E-4</v>
      </c>
      <c r="D828" s="1324">
        <v>1.3200000000000001E-4</v>
      </c>
      <c r="E828" s="1332">
        <v>383695</v>
      </c>
      <c r="F828" s="1333"/>
      <c r="G828" s="1332">
        <v>65698</v>
      </c>
      <c r="H828" s="1332">
        <v>9359</v>
      </c>
      <c r="I828" s="1332">
        <v>62536</v>
      </c>
      <c r="J828" s="1332">
        <v>7662</v>
      </c>
      <c r="K828" s="1332">
        <v>145255</v>
      </c>
      <c r="L828" s="1333"/>
      <c r="M828" s="1332">
        <v>0</v>
      </c>
      <c r="N828" s="1332">
        <v>0</v>
      </c>
      <c r="O828" s="1332">
        <v>10130</v>
      </c>
      <c r="P828" s="1332">
        <v>10130</v>
      </c>
      <c r="Q828" s="1333"/>
      <c r="R828" s="1332">
        <v>170920</v>
      </c>
      <c r="S828" s="1332">
        <v>734</v>
      </c>
      <c r="T828" s="1332">
        <v>171654</v>
      </c>
    </row>
    <row r="829" spans="1:20" x14ac:dyDescent="0.25">
      <c r="A829" s="1342">
        <v>99022</v>
      </c>
      <c r="B829" s="1340" t="s">
        <v>1962</v>
      </c>
      <c r="C829" s="1324">
        <v>8.8000000000000004E-6</v>
      </c>
      <c r="D829" s="1324">
        <v>9.9000000000000001E-6</v>
      </c>
      <c r="E829" s="1332">
        <v>24032</v>
      </c>
      <c r="F829" s="1333"/>
      <c r="G829" s="1332">
        <v>4115</v>
      </c>
      <c r="H829" s="1332">
        <v>586</v>
      </c>
      <c r="I829" s="1332">
        <v>3917</v>
      </c>
      <c r="J829" s="1332">
        <v>12266</v>
      </c>
      <c r="K829" s="1332">
        <v>20884</v>
      </c>
      <c r="L829" s="1333"/>
      <c r="M829" s="1332">
        <v>0</v>
      </c>
      <c r="N829" s="1332">
        <v>0</v>
      </c>
      <c r="O829" s="1332">
        <v>0</v>
      </c>
      <c r="P829" s="1332">
        <v>0</v>
      </c>
      <c r="Q829" s="1333"/>
      <c r="R829" s="1332">
        <v>10705</v>
      </c>
      <c r="S829" s="1332">
        <v>5476</v>
      </c>
      <c r="T829" s="1332">
        <v>16181</v>
      </c>
    </row>
    <row r="830" spans="1:20" x14ac:dyDescent="0.25">
      <c r="A830" s="1342">
        <v>99031</v>
      </c>
      <c r="B830" s="1340" t="s">
        <v>3452</v>
      </c>
      <c r="C830" s="1324">
        <v>1.208E-4</v>
      </c>
      <c r="D830" s="1324">
        <v>1.3669999999999999E-4</v>
      </c>
      <c r="E830" s="1332">
        <v>329895</v>
      </c>
      <c r="F830" s="1333"/>
      <c r="G830" s="1332">
        <v>56486</v>
      </c>
      <c r="H830" s="1332">
        <v>8047</v>
      </c>
      <c r="I830" s="1332">
        <v>53767</v>
      </c>
      <c r="J830" s="1332">
        <v>855</v>
      </c>
      <c r="K830" s="1332">
        <v>119155</v>
      </c>
      <c r="L830" s="1333"/>
      <c r="M830" s="1332">
        <v>0</v>
      </c>
      <c r="N830" s="1332">
        <v>0</v>
      </c>
      <c r="O830" s="1332">
        <v>32741</v>
      </c>
      <c r="P830" s="1332">
        <v>32741</v>
      </c>
      <c r="Q830" s="1333"/>
      <c r="R830" s="1332">
        <v>146955</v>
      </c>
      <c r="S830" s="1332">
        <v>-11255</v>
      </c>
      <c r="T830" s="1332">
        <v>135700</v>
      </c>
    </row>
    <row r="831" spans="1:20" x14ac:dyDescent="0.25">
      <c r="A831" s="1342">
        <v>99041</v>
      </c>
      <c r="B831" s="1340" t="s">
        <v>3453</v>
      </c>
      <c r="C831" s="1324">
        <v>6.3840000000000001E-4</v>
      </c>
      <c r="D831" s="1324">
        <v>6.6399999999999999E-4</v>
      </c>
      <c r="E831" s="1332">
        <v>1743421</v>
      </c>
      <c r="F831" s="1333"/>
      <c r="G831" s="1332">
        <v>298518</v>
      </c>
      <c r="H831" s="1332">
        <v>42525</v>
      </c>
      <c r="I831" s="1332">
        <v>284149</v>
      </c>
      <c r="J831" s="1332">
        <v>10836</v>
      </c>
      <c r="K831" s="1332">
        <v>636028</v>
      </c>
      <c r="L831" s="1333"/>
      <c r="M831" s="1332">
        <v>0</v>
      </c>
      <c r="N831" s="1332">
        <v>0</v>
      </c>
      <c r="O831" s="1332">
        <v>46850</v>
      </c>
      <c r="P831" s="1332">
        <v>46850</v>
      </c>
      <c r="Q831" s="1333"/>
      <c r="R831" s="1332">
        <v>776622</v>
      </c>
      <c r="S831" s="1332">
        <v>697</v>
      </c>
      <c r="T831" s="1332">
        <v>777319</v>
      </c>
    </row>
    <row r="832" spans="1:20" x14ac:dyDescent="0.25">
      <c r="A832" s="1342">
        <v>99047</v>
      </c>
      <c r="B832" s="1340" t="s">
        <v>3454</v>
      </c>
      <c r="C832" s="1324">
        <v>1.33E-5</v>
      </c>
      <c r="D832" s="1324">
        <v>1.56E-5</v>
      </c>
      <c r="E832" s="1332">
        <v>36321</v>
      </c>
      <c r="F832" s="1333"/>
      <c r="G832" s="1332">
        <v>6219</v>
      </c>
      <c r="H832" s="1332">
        <v>886</v>
      </c>
      <c r="I832" s="1332">
        <v>5920</v>
      </c>
      <c r="J832" s="1332">
        <v>6831</v>
      </c>
      <c r="K832" s="1332">
        <v>19856</v>
      </c>
      <c r="L832" s="1333"/>
      <c r="M832" s="1332">
        <v>0</v>
      </c>
      <c r="N832" s="1332">
        <v>0</v>
      </c>
      <c r="O832" s="1332">
        <v>0</v>
      </c>
      <c r="P832" s="1332">
        <v>0</v>
      </c>
      <c r="Q832" s="1333"/>
      <c r="R832" s="1332">
        <v>16180</v>
      </c>
      <c r="S832" s="1332">
        <v>3039</v>
      </c>
      <c r="T832" s="1332">
        <v>19219</v>
      </c>
    </row>
    <row r="833" spans="1:20" x14ac:dyDescent="0.25">
      <c r="A833" s="1342">
        <v>99051</v>
      </c>
      <c r="B833" s="1340" t="s">
        <v>3455</v>
      </c>
      <c r="C833" s="1324">
        <v>3.4049999999999998E-4</v>
      </c>
      <c r="D833" s="1324">
        <v>3.5330000000000002E-4</v>
      </c>
      <c r="E833" s="1332">
        <v>929879</v>
      </c>
      <c r="F833" s="1333"/>
      <c r="G833" s="1332">
        <v>159219</v>
      </c>
      <c r="H833" s="1332">
        <v>22681</v>
      </c>
      <c r="I833" s="1332">
        <v>151555</v>
      </c>
      <c r="J833" s="1332">
        <v>2211</v>
      </c>
      <c r="K833" s="1332">
        <v>335666</v>
      </c>
      <c r="L833" s="1333"/>
      <c r="M833" s="1332">
        <v>0</v>
      </c>
      <c r="N833" s="1332">
        <v>0</v>
      </c>
      <c r="O833" s="1332">
        <v>26623</v>
      </c>
      <c r="P833" s="1332">
        <v>26623</v>
      </c>
      <c r="Q833" s="1333"/>
      <c r="R833" s="1332">
        <v>414223</v>
      </c>
      <c r="S833" s="1332">
        <v>-3868</v>
      </c>
      <c r="T833" s="1332">
        <v>410355</v>
      </c>
    </row>
    <row r="834" spans="1:20" x14ac:dyDescent="0.25">
      <c r="A834" s="1342">
        <v>99061</v>
      </c>
      <c r="B834" s="1340" t="s">
        <v>3456</v>
      </c>
      <c r="C834" s="1324">
        <v>6.1E-6</v>
      </c>
      <c r="D834" s="1324">
        <v>7.5000000000000002E-6</v>
      </c>
      <c r="E834" s="1332">
        <v>16659</v>
      </c>
      <c r="F834" s="1333"/>
      <c r="G834" s="1332">
        <v>2852</v>
      </c>
      <c r="H834" s="1332">
        <v>406</v>
      </c>
      <c r="I834" s="1332">
        <v>2715</v>
      </c>
      <c r="J834" s="1332">
        <v>4807</v>
      </c>
      <c r="K834" s="1332">
        <v>10780</v>
      </c>
      <c r="L834" s="1333"/>
      <c r="M834" s="1332">
        <v>0</v>
      </c>
      <c r="N834" s="1332">
        <v>0</v>
      </c>
      <c r="O834" s="1332">
        <v>0</v>
      </c>
      <c r="P834" s="1332">
        <v>0</v>
      </c>
      <c r="Q834" s="1333"/>
      <c r="R834" s="1332">
        <v>7421</v>
      </c>
      <c r="S834" s="1332">
        <v>3240</v>
      </c>
      <c r="T834" s="1332">
        <v>10661</v>
      </c>
    </row>
    <row r="835" spans="1:20" x14ac:dyDescent="0.25">
      <c r="A835" s="1342">
        <v>99071</v>
      </c>
      <c r="B835" s="1340" t="s">
        <v>3457</v>
      </c>
      <c r="C835" s="1324">
        <v>2.4499999999999999E-5</v>
      </c>
      <c r="D835" s="1324">
        <v>2.2799999999999999E-5</v>
      </c>
      <c r="E835" s="1332">
        <v>66908</v>
      </c>
      <c r="F835" s="1333"/>
      <c r="G835" s="1332">
        <v>11456</v>
      </c>
      <c r="H835" s="1332">
        <v>1632</v>
      </c>
      <c r="I835" s="1332">
        <v>10905</v>
      </c>
      <c r="J835" s="1332">
        <v>4950</v>
      </c>
      <c r="K835" s="1332">
        <v>28943</v>
      </c>
      <c r="L835" s="1333"/>
      <c r="M835" s="1332">
        <v>0</v>
      </c>
      <c r="N835" s="1332">
        <v>0</v>
      </c>
      <c r="O835" s="1332">
        <v>2699</v>
      </c>
      <c r="P835" s="1332">
        <v>2699</v>
      </c>
      <c r="Q835" s="1333"/>
      <c r="R835" s="1332">
        <v>29805</v>
      </c>
      <c r="S835" s="1332">
        <v>-141</v>
      </c>
      <c r="T835" s="1332">
        <v>29664</v>
      </c>
    </row>
    <row r="836" spans="1:20" x14ac:dyDescent="0.25">
      <c r="A836" s="1342">
        <v>99081</v>
      </c>
      <c r="B836" s="1340" t="s">
        <v>3458</v>
      </c>
      <c r="C836" s="1324">
        <v>3.65E-5</v>
      </c>
      <c r="D836" s="1324">
        <v>1.4600000000000001E-5</v>
      </c>
      <c r="E836" s="1332">
        <v>99679</v>
      </c>
      <c r="F836" s="1333"/>
      <c r="G836" s="1332">
        <v>17068</v>
      </c>
      <c r="H836" s="1332">
        <v>2431</v>
      </c>
      <c r="I836" s="1332">
        <v>16246</v>
      </c>
      <c r="J836" s="1332">
        <v>18833</v>
      </c>
      <c r="K836" s="1332">
        <v>54578</v>
      </c>
      <c r="L836" s="1333"/>
      <c r="M836" s="1332">
        <v>0</v>
      </c>
      <c r="N836" s="1332">
        <v>0</v>
      </c>
      <c r="O836" s="1332">
        <v>5145</v>
      </c>
      <c r="P836" s="1332">
        <v>5145</v>
      </c>
      <c r="Q836" s="1333"/>
      <c r="R836" s="1332">
        <v>44403</v>
      </c>
      <c r="S836" s="1332">
        <v>3373</v>
      </c>
      <c r="T836" s="1332">
        <v>47776</v>
      </c>
    </row>
    <row r="837" spans="1:20" x14ac:dyDescent="0.25">
      <c r="A837" s="1342">
        <v>99091</v>
      </c>
      <c r="B837" s="1340" t="s">
        <v>3459</v>
      </c>
      <c r="C837" s="1324">
        <v>5.4E-6</v>
      </c>
      <c r="D837" s="1324">
        <v>3.4999999999999999E-6</v>
      </c>
      <c r="E837" s="1332">
        <v>14747</v>
      </c>
      <c r="F837" s="1333"/>
      <c r="G837" s="1332">
        <v>2525</v>
      </c>
      <c r="H837" s="1332">
        <v>360</v>
      </c>
      <c r="I837" s="1332">
        <v>2404</v>
      </c>
      <c r="J837" s="1332">
        <v>9359</v>
      </c>
      <c r="K837" s="1332">
        <v>14648</v>
      </c>
      <c r="L837" s="1333"/>
      <c r="M837" s="1332">
        <v>0</v>
      </c>
      <c r="N837" s="1332">
        <v>0</v>
      </c>
      <c r="O837" s="1332">
        <v>0</v>
      </c>
      <c r="P837" s="1332">
        <v>0</v>
      </c>
      <c r="Q837" s="1333"/>
      <c r="R837" s="1332">
        <v>6569</v>
      </c>
      <c r="S837" s="1332">
        <v>3384</v>
      </c>
      <c r="T837" s="1332">
        <v>9953</v>
      </c>
    </row>
    <row r="838" spans="1:20" x14ac:dyDescent="0.25">
      <c r="A838" s="1342">
        <v>99101</v>
      </c>
      <c r="B838" s="1340" t="s">
        <v>3460</v>
      </c>
      <c r="C838" s="1324">
        <v>2.1218000000000001E-3</v>
      </c>
      <c r="D838" s="1324">
        <v>2.1986000000000002E-3</v>
      </c>
      <c r="E838" s="1332">
        <v>5794470</v>
      </c>
      <c r="F838" s="1333"/>
      <c r="G838" s="1332">
        <v>992160</v>
      </c>
      <c r="H838" s="1332">
        <v>141335</v>
      </c>
      <c r="I838" s="1332">
        <v>944403</v>
      </c>
      <c r="J838" s="1332">
        <v>21629</v>
      </c>
      <c r="K838" s="1332">
        <v>2099527</v>
      </c>
      <c r="L838" s="1333"/>
      <c r="M838" s="1332">
        <v>0</v>
      </c>
      <c r="N838" s="1332">
        <v>0</v>
      </c>
      <c r="O838" s="1332">
        <v>146931</v>
      </c>
      <c r="P838" s="1332">
        <v>146931</v>
      </c>
      <c r="Q838" s="1333"/>
      <c r="R838" s="1332">
        <v>2581197</v>
      </c>
      <c r="S838" s="1332">
        <v>-33243</v>
      </c>
      <c r="T838" s="1332">
        <v>2547954</v>
      </c>
    </row>
    <row r="839" spans="1:20" x14ac:dyDescent="0.25">
      <c r="A839" s="1342">
        <v>99104</v>
      </c>
      <c r="B839" s="1340" t="s">
        <v>4220</v>
      </c>
      <c r="C839" s="1324">
        <v>3.2700000000000002E-5</v>
      </c>
      <c r="D839" s="1324">
        <v>3.4E-5</v>
      </c>
      <c r="E839" s="1332">
        <v>89301</v>
      </c>
      <c r="F839" s="1333"/>
      <c r="G839" s="1332">
        <v>15291</v>
      </c>
      <c r="H839" s="1332">
        <v>2178</v>
      </c>
      <c r="I839" s="1332">
        <v>14555</v>
      </c>
      <c r="J839" s="1332">
        <v>17421</v>
      </c>
      <c r="K839" s="1332">
        <v>49445</v>
      </c>
      <c r="L839" s="1333"/>
      <c r="M839" s="1332">
        <v>0</v>
      </c>
      <c r="N839" s="1332">
        <v>0</v>
      </c>
      <c r="O839" s="1332">
        <v>0</v>
      </c>
      <c r="P839" s="1332">
        <v>0</v>
      </c>
      <c r="Q839" s="1333"/>
      <c r="R839" s="1332">
        <v>39780</v>
      </c>
      <c r="S839" s="1332">
        <v>8370</v>
      </c>
      <c r="T839" s="1332">
        <v>48150</v>
      </c>
    </row>
    <row r="840" spans="1:20" x14ac:dyDescent="0.25">
      <c r="A840" s="1342">
        <v>99109</v>
      </c>
      <c r="B840" s="1340" t="s">
        <v>4221</v>
      </c>
      <c r="C840" s="1324">
        <v>1.169E-4</v>
      </c>
      <c r="D840" s="1324">
        <v>1.194E-4</v>
      </c>
      <c r="E840" s="1332">
        <v>319245</v>
      </c>
      <c r="F840" s="1333"/>
      <c r="G840" s="1332">
        <v>54663</v>
      </c>
      <c r="H840" s="1332">
        <v>7787</v>
      </c>
      <c r="I840" s="1332">
        <v>52032</v>
      </c>
      <c r="J840" s="1332">
        <v>1517</v>
      </c>
      <c r="K840" s="1332">
        <v>115999</v>
      </c>
      <c r="L840" s="1333"/>
      <c r="M840" s="1332">
        <v>0</v>
      </c>
      <c r="N840" s="1332">
        <v>0</v>
      </c>
      <c r="O840" s="1332">
        <v>7073</v>
      </c>
      <c r="P840" s="1332">
        <v>7073</v>
      </c>
      <c r="Q840" s="1333"/>
      <c r="R840" s="1332">
        <v>142210</v>
      </c>
      <c r="S840" s="1332">
        <v>-2269</v>
      </c>
      <c r="T840" s="1332">
        <v>139941</v>
      </c>
    </row>
    <row r="841" spans="1:20" x14ac:dyDescent="0.25">
      <c r="A841" s="1342">
        <v>99110</v>
      </c>
      <c r="B841" s="1340" t="s">
        <v>3463</v>
      </c>
      <c r="C841" s="1324">
        <v>1.437E-4</v>
      </c>
      <c r="D841" s="1324">
        <v>1.75E-4</v>
      </c>
      <c r="E841" s="1332">
        <v>392433</v>
      </c>
      <c r="F841" s="1333"/>
      <c r="G841" s="1332">
        <v>67195</v>
      </c>
      <c r="H841" s="1332">
        <v>9572</v>
      </c>
      <c r="I841" s="1332">
        <v>63960</v>
      </c>
      <c r="J841" s="1332">
        <v>56906</v>
      </c>
      <c r="K841" s="1332">
        <v>197633</v>
      </c>
      <c r="L841" s="1333"/>
      <c r="M841" s="1332">
        <v>0</v>
      </c>
      <c r="N841" s="1332">
        <v>0</v>
      </c>
      <c r="O841" s="1332">
        <v>0</v>
      </c>
      <c r="P841" s="1332">
        <v>0</v>
      </c>
      <c r="Q841" s="1333"/>
      <c r="R841" s="1332">
        <v>174813</v>
      </c>
      <c r="S841" s="1332">
        <v>33579</v>
      </c>
      <c r="T841" s="1332">
        <v>208392</v>
      </c>
    </row>
    <row r="842" spans="1:20" x14ac:dyDescent="0.25">
      <c r="A842" s="1342">
        <v>99111</v>
      </c>
      <c r="B842" s="1340" t="s">
        <v>3464</v>
      </c>
      <c r="C842" s="1324">
        <v>1.3064999999999999E-3</v>
      </c>
      <c r="D842" s="1324">
        <v>1.3067E-3</v>
      </c>
      <c r="E842" s="1332">
        <v>3567950</v>
      </c>
      <c r="F842" s="1333"/>
      <c r="G842" s="1332">
        <v>610923</v>
      </c>
      <c r="H842" s="1332">
        <v>87027</v>
      </c>
      <c r="I842" s="1332">
        <v>581517</v>
      </c>
      <c r="J842" s="1332">
        <v>0</v>
      </c>
      <c r="K842" s="1332">
        <v>1279467</v>
      </c>
      <c r="L842" s="1333"/>
      <c r="M842" s="1332">
        <v>0</v>
      </c>
      <c r="N842" s="1332">
        <v>0</v>
      </c>
      <c r="O842" s="1332">
        <v>65270</v>
      </c>
      <c r="P842" s="1332">
        <v>65270</v>
      </c>
      <c r="Q842" s="1333"/>
      <c r="R842" s="1332">
        <v>1589374</v>
      </c>
      <c r="S842" s="1332">
        <v>-52514</v>
      </c>
      <c r="T842" s="1332">
        <v>1536860</v>
      </c>
    </row>
    <row r="843" spans="1:20" x14ac:dyDescent="0.25">
      <c r="A843" s="1342">
        <v>99201</v>
      </c>
      <c r="B843" s="1340" t="s">
        <v>3465</v>
      </c>
      <c r="C843" s="1324">
        <v>3.5284299999999998E-2</v>
      </c>
      <c r="D843" s="1324">
        <v>3.4217999999999998E-2</v>
      </c>
      <c r="E843" s="1332">
        <v>96358671</v>
      </c>
      <c r="F843" s="1333"/>
      <c r="G843" s="1332">
        <v>16499045</v>
      </c>
      <c r="H843" s="1332">
        <v>2350323</v>
      </c>
      <c r="I843" s="1332">
        <v>15704866</v>
      </c>
      <c r="J843" s="1332">
        <v>1453972</v>
      </c>
      <c r="K843" s="1332">
        <v>36008206</v>
      </c>
      <c r="L843" s="1333"/>
      <c r="M843" s="1332">
        <v>0</v>
      </c>
      <c r="N843" s="1332">
        <v>0</v>
      </c>
      <c r="O843" s="1332">
        <v>0</v>
      </c>
      <c r="P843" s="1332">
        <v>0</v>
      </c>
      <c r="Q843" s="1333"/>
      <c r="R843" s="1332">
        <v>42923810</v>
      </c>
      <c r="S843" s="1332">
        <v>748620</v>
      </c>
      <c r="T843" s="1332">
        <v>43672430</v>
      </c>
    </row>
    <row r="844" spans="1:20" x14ac:dyDescent="0.25">
      <c r="A844" s="1342">
        <v>99202</v>
      </c>
      <c r="B844" s="1340" t="s">
        <v>3466</v>
      </c>
      <c r="C844" s="1324">
        <v>2.8322E-3</v>
      </c>
      <c r="D844" s="1324">
        <v>2.7011000000000001E-3</v>
      </c>
      <c r="E844" s="1332">
        <v>7734517</v>
      </c>
      <c r="F844" s="1333"/>
      <c r="G844" s="1332">
        <v>1324345</v>
      </c>
      <c r="H844" s="1332">
        <v>188655</v>
      </c>
      <c r="I844" s="1332">
        <v>1260598</v>
      </c>
      <c r="J844" s="1332">
        <v>0</v>
      </c>
      <c r="K844" s="1332">
        <v>2773598</v>
      </c>
      <c r="L844" s="1333"/>
      <c r="M844" s="1332">
        <v>0</v>
      </c>
      <c r="N844" s="1332">
        <v>0</v>
      </c>
      <c r="O844" s="1332">
        <v>63886</v>
      </c>
      <c r="P844" s="1332">
        <v>63886</v>
      </c>
      <c r="Q844" s="1333"/>
      <c r="R844" s="1332">
        <v>3445408</v>
      </c>
      <c r="S844" s="1332">
        <v>-61035</v>
      </c>
      <c r="T844" s="1332">
        <v>3384373</v>
      </c>
    </row>
    <row r="845" spans="1:20" x14ac:dyDescent="0.25">
      <c r="A845" s="1342">
        <v>99203</v>
      </c>
      <c r="B845" s="1340" t="s">
        <v>3467</v>
      </c>
      <c r="C845" s="1324">
        <v>3.5179999999999999E-4</v>
      </c>
      <c r="D845" s="1324">
        <v>2.9760000000000002E-4</v>
      </c>
      <c r="E845" s="1332">
        <v>960738</v>
      </c>
      <c r="F845" s="1333"/>
      <c r="G845" s="1332">
        <v>164503</v>
      </c>
      <c r="H845" s="1332">
        <v>23433</v>
      </c>
      <c r="I845" s="1332">
        <v>156584</v>
      </c>
      <c r="J845" s="1332">
        <v>38620</v>
      </c>
      <c r="K845" s="1332">
        <v>383140</v>
      </c>
      <c r="L845" s="1333"/>
      <c r="M845" s="1332">
        <v>0</v>
      </c>
      <c r="N845" s="1332">
        <v>0</v>
      </c>
      <c r="O845" s="1332">
        <v>18355</v>
      </c>
      <c r="P845" s="1332">
        <v>18355</v>
      </c>
      <c r="Q845" s="1333"/>
      <c r="R845" s="1332">
        <v>427969</v>
      </c>
      <c r="S845" s="1332">
        <v>5343</v>
      </c>
      <c r="T845" s="1332">
        <v>433312</v>
      </c>
    </row>
    <row r="846" spans="1:20" x14ac:dyDescent="0.25">
      <c r="A846" s="1342">
        <v>99204</v>
      </c>
      <c r="B846" s="1340" t="s">
        <v>3468</v>
      </c>
      <c r="C846" s="1324">
        <v>9.4149999999999995E-4</v>
      </c>
      <c r="D846" s="1324">
        <v>9.2520000000000005E-4</v>
      </c>
      <c r="E846" s="1332">
        <v>2571163</v>
      </c>
      <c r="F846" s="1333"/>
      <c r="G846" s="1332">
        <v>440248</v>
      </c>
      <c r="H846" s="1332">
        <v>62714</v>
      </c>
      <c r="I846" s="1332">
        <v>419057</v>
      </c>
      <c r="J846" s="1332">
        <v>82702</v>
      </c>
      <c r="K846" s="1332">
        <v>1004721</v>
      </c>
      <c r="L846" s="1333"/>
      <c r="M846" s="1332">
        <v>0</v>
      </c>
      <c r="N846" s="1332">
        <v>0</v>
      </c>
      <c r="O846" s="1332">
        <v>0</v>
      </c>
      <c r="P846" s="1332">
        <v>0</v>
      </c>
      <c r="Q846" s="1333"/>
      <c r="R846" s="1332">
        <v>1145347</v>
      </c>
      <c r="S846" s="1332">
        <v>47211</v>
      </c>
      <c r="T846" s="1332">
        <v>1192558</v>
      </c>
    </row>
    <row r="847" spans="1:20" x14ac:dyDescent="0.25">
      <c r="A847" s="1342">
        <v>99206</v>
      </c>
      <c r="B847" s="1340" t="s">
        <v>3469</v>
      </c>
      <c r="C847" s="1324">
        <v>1.6375999999999999E-3</v>
      </c>
      <c r="D847" s="1324">
        <v>1.7377E-3</v>
      </c>
      <c r="E847" s="1332">
        <v>4472158</v>
      </c>
      <c r="F847" s="1333"/>
      <c r="G847" s="1332">
        <v>765747</v>
      </c>
      <c r="H847" s="1332">
        <v>109083</v>
      </c>
      <c r="I847" s="1332">
        <v>728888</v>
      </c>
      <c r="J847" s="1332">
        <v>534608</v>
      </c>
      <c r="K847" s="1332">
        <v>2138326</v>
      </c>
      <c r="L847" s="1333"/>
      <c r="M847" s="1332">
        <v>0</v>
      </c>
      <c r="N847" s="1332">
        <v>0</v>
      </c>
      <c r="O847" s="1332">
        <v>100910</v>
      </c>
      <c r="P847" s="1332">
        <v>100910</v>
      </c>
      <c r="Q847" s="1333"/>
      <c r="R847" s="1332">
        <v>1992162</v>
      </c>
      <c r="S847" s="1332">
        <v>280512</v>
      </c>
      <c r="T847" s="1332">
        <v>2272674</v>
      </c>
    </row>
    <row r="848" spans="1:20" x14ac:dyDescent="0.25">
      <c r="A848" s="1342">
        <v>99207</v>
      </c>
      <c r="B848" s="1340" t="s">
        <v>3695</v>
      </c>
      <c r="C848" s="1324">
        <v>1.206E-4</v>
      </c>
      <c r="D848" s="1324">
        <v>1.3990000000000001E-4</v>
      </c>
      <c r="E848" s="1332">
        <v>329349</v>
      </c>
      <c r="F848" s="1333"/>
      <c r="G848" s="1332">
        <v>56393</v>
      </c>
      <c r="H848" s="1332">
        <v>8034</v>
      </c>
      <c r="I848" s="1332">
        <v>53678</v>
      </c>
      <c r="J848" s="1332">
        <v>218751</v>
      </c>
      <c r="K848" s="1332">
        <v>336856</v>
      </c>
      <c r="L848" s="1333"/>
      <c r="M848" s="1332">
        <v>0</v>
      </c>
      <c r="N848" s="1332">
        <v>0</v>
      </c>
      <c r="O848" s="1332">
        <v>0</v>
      </c>
      <c r="P848" s="1332">
        <v>0</v>
      </c>
      <c r="Q848" s="1333"/>
      <c r="R848" s="1332">
        <v>146711</v>
      </c>
      <c r="S848" s="1332">
        <v>89133</v>
      </c>
      <c r="T848" s="1332">
        <v>235844</v>
      </c>
    </row>
    <row r="849" spans="1:20" x14ac:dyDescent="0.25">
      <c r="A849" s="1342">
        <v>99208</v>
      </c>
      <c r="B849" s="1340" t="s">
        <v>3471</v>
      </c>
      <c r="C849" s="1324">
        <v>3.0939999999999999E-4</v>
      </c>
      <c r="D849" s="1324">
        <v>2.3560000000000001E-4</v>
      </c>
      <c r="E849" s="1332">
        <v>844947</v>
      </c>
      <c r="F849" s="1333"/>
      <c r="G849" s="1332">
        <v>144676</v>
      </c>
      <c r="H849" s="1332">
        <v>20609</v>
      </c>
      <c r="I849" s="1332">
        <v>137712</v>
      </c>
      <c r="J849" s="1332">
        <v>67706</v>
      </c>
      <c r="K849" s="1332">
        <v>370703</v>
      </c>
      <c r="L849" s="1333"/>
      <c r="M849" s="1332">
        <v>0</v>
      </c>
      <c r="N849" s="1332">
        <v>0</v>
      </c>
      <c r="O849" s="1332">
        <v>7190</v>
      </c>
      <c r="P849" s="1332">
        <v>7190</v>
      </c>
      <c r="Q849" s="1333"/>
      <c r="R849" s="1332">
        <v>376389</v>
      </c>
      <c r="S849" s="1332">
        <v>9175</v>
      </c>
      <c r="T849" s="1332">
        <v>385564</v>
      </c>
    </row>
    <row r="850" spans="1:20" x14ac:dyDescent="0.25">
      <c r="A850" s="1342">
        <v>99210</v>
      </c>
      <c r="B850" s="1340" t="s">
        <v>4222</v>
      </c>
      <c r="C850" s="1324">
        <v>1.7913E-3</v>
      </c>
      <c r="D850" s="1324">
        <v>1.6613000000000001E-3</v>
      </c>
      <c r="E850" s="1332">
        <v>4891901</v>
      </c>
      <c r="F850" s="1333"/>
      <c r="G850" s="1332">
        <v>837617</v>
      </c>
      <c r="H850" s="1332">
        <v>119320</v>
      </c>
      <c r="I850" s="1332">
        <v>797299</v>
      </c>
      <c r="J850" s="1332">
        <v>271936</v>
      </c>
      <c r="K850" s="1332">
        <v>2026172</v>
      </c>
      <c r="L850" s="1333"/>
      <c r="M850" s="1332">
        <v>0</v>
      </c>
      <c r="N850" s="1332">
        <v>0</v>
      </c>
      <c r="O850" s="1332">
        <v>0</v>
      </c>
      <c r="P850" s="1332">
        <v>0</v>
      </c>
      <c r="Q850" s="1333"/>
      <c r="R850" s="1332">
        <v>2179140</v>
      </c>
      <c r="S850" s="1332">
        <v>98691</v>
      </c>
      <c r="T850" s="1332">
        <v>2277831</v>
      </c>
    </row>
    <row r="851" spans="1:20" x14ac:dyDescent="0.25">
      <c r="A851" s="1342">
        <v>99211</v>
      </c>
      <c r="B851" s="1340" t="s">
        <v>3473</v>
      </c>
      <c r="C851" s="1324">
        <v>3.8786099999999997E-2</v>
      </c>
      <c r="D851" s="1324">
        <v>3.8652899999999997E-2</v>
      </c>
      <c r="E851" s="1332">
        <v>105921814</v>
      </c>
      <c r="F851" s="1333"/>
      <c r="G851" s="1332">
        <v>18136497</v>
      </c>
      <c r="H851" s="1332">
        <v>2583581</v>
      </c>
      <c r="I851" s="1332">
        <v>17263499</v>
      </c>
      <c r="J851" s="1332">
        <v>487522</v>
      </c>
      <c r="K851" s="1332">
        <v>38471099</v>
      </c>
      <c r="L851" s="1333"/>
      <c r="M851" s="1332">
        <v>0</v>
      </c>
      <c r="N851" s="1332">
        <v>0</v>
      </c>
      <c r="O851" s="1332">
        <v>1274165</v>
      </c>
      <c r="P851" s="1332">
        <v>1274165</v>
      </c>
      <c r="Q851" s="1333"/>
      <c r="R851" s="1332">
        <v>47183795</v>
      </c>
      <c r="S851" s="1332">
        <v>-513660</v>
      </c>
      <c r="T851" s="1332">
        <v>46670135</v>
      </c>
    </row>
    <row r="852" spans="1:20" x14ac:dyDescent="0.25">
      <c r="A852" s="1342">
        <v>99212</v>
      </c>
      <c r="B852" s="1340" t="s">
        <v>4223</v>
      </c>
      <c r="C852" s="1324">
        <v>6.7999999999999999E-5</v>
      </c>
      <c r="D852" s="1324">
        <v>7.2200000000000007E-5</v>
      </c>
      <c r="E852" s="1332">
        <v>185703</v>
      </c>
      <c r="F852" s="1333"/>
      <c r="G852" s="1332">
        <v>31797</v>
      </c>
      <c r="H852" s="1332">
        <v>4530</v>
      </c>
      <c r="I852" s="1332">
        <v>30266</v>
      </c>
      <c r="J852" s="1332">
        <v>120</v>
      </c>
      <c r="K852" s="1332">
        <v>66713</v>
      </c>
      <c r="L852" s="1333"/>
      <c r="M852" s="1332">
        <v>0</v>
      </c>
      <c r="N852" s="1332">
        <v>0</v>
      </c>
      <c r="O852" s="1332">
        <v>18681</v>
      </c>
      <c r="P852" s="1332">
        <v>18681</v>
      </c>
      <c r="Q852" s="1333"/>
      <c r="R852" s="1332">
        <v>82723</v>
      </c>
      <c r="S852" s="1332">
        <v>-14987</v>
      </c>
      <c r="T852" s="1332">
        <v>67736</v>
      </c>
    </row>
    <row r="853" spans="1:20" x14ac:dyDescent="0.25">
      <c r="A853" s="1342">
        <v>99213</v>
      </c>
      <c r="B853" s="1340" t="s">
        <v>3475</v>
      </c>
      <c r="C853" s="1324">
        <v>6.7770000000000005E-4</v>
      </c>
      <c r="D853" s="1324">
        <v>7.6519999999999995E-4</v>
      </c>
      <c r="E853" s="1332">
        <v>1850746</v>
      </c>
      <c r="F853" s="1333"/>
      <c r="G853" s="1332">
        <v>316895</v>
      </c>
      <c r="H853" s="1332">
        <v>45142</v>
      </c>
      <c r="I853" s="1332">
        <v>301641</v>
      </c>
      <c r="J853" s="1332">
        <v>10970</v>
      </c>
      <c r="K853" s="1332">
        <v>674648</v>
      </c>
      <c r="L853" s="1333"/>
      <c r="M853" s="1332">
        <v>0</v>
      </c>
      <c r="N853" s="1332">
        <v>0</v>
      </c>
      <c r="O853" s="1332">
        <v>84903</v>
      </c>
      <c r="P853" s="1332">
        <v>84903</v>
      </c>
      <c r="Q853" s="1333"/>
      <c r="R853" s="1332">
        <v>824431</v>
      </c>
      <c r="S853" s="1332">
        <v>-22471</v>
      </c>
      <c r="T853" s="1332">
        <v>801960</v>
      </c>
    </row>
    <row r="854" spans="1:20" x14ac:dyDescent="0.25">
      <c r="A854" s="1342">
        <v>99218</v>
      </c>
      <c r="B854" s="1340" t="s">
        <v>3476</v>
      </c>
      <c r="C854" s="1324">
        <v>3.4424E-3</v>
      </c>
      <c r="D854" s="1324">
        <v>3.3276999999999998E-3</v>
      </c>
      <c r="E854" s="1332">
        <v>9400926</v>
      </c>
      <c r="F854" s="1333"/>
      <c r="G854" s="1332">
        <v>1609677</v>
      </c>
      <c r="H854" s="1332">
        <v>229302</v>
      </c>
      <c r="I854" s="1332">
        <v>1532195</v>
      </c>
      <c r="J854" s="1332">
        <v>328185</v>
      </c>
      <c r="K854" s="1332">
        <v>3699359</v>
      </c>
      <c r="L854" s="1333"/>
      <c r="M854" s="1332">
        <v>0</v>
      </c>
      <c r="N854" s="1332">
        <v>0</v>
      </c>
      <c r="O854" s="1332">
        <v>0</v>
      </c>
      <c r="P854" s="1332">
        <v>0</v>
      </c>
      <c r="Q854" s="1333"/>
      <c r="R854" s="1332">
        <v>4187724</v>
      </c>
      <c r="S854" s="1332">
        <v>140332</v>
      </c>
      <c r="T854" s="1332">
        <v>4328056</v>
      </c>
    </row>
    <row r="855" spans="1:20" x14ac:dyDescent="0.25">
      <c r="A855" s="1342">
        <v>99221</v>
      </c>
      <c r="B855" s="1340" t="s">
        <v>3477</v>
      </c>
      <c r="C855" s="1324">
        <v>1.26739E-2</v>
      </c>
      <c r="D855" s="1324">
        <v>1.26885E-2</v>
      </c>
      <c r="E855" s="1332">
        <v>34611432</v>
      </c>
      <c r="F855" s="1333"/>
      <c r="G855" s="1332">
        <v>5926354</v>
      </c>
      <c r="H855" s="1332">
        <v>844221</v>
      </c>
      <c r="I855" s="1332">
        <v>5641090</v>
      </c>
      <c r="J855" s="1332">
        <v>0</v>
      </c>
      <c r="K855" s="1332">
        <v>12411665</v>
      </c>
      <c r="L855" s="1333"/>
      <c r="M855" s="1332">
        <v>0</v>
      </c>
      <c r="N855" s="1332">
        <v>0</v>
      </c>
      <c r="O855" s="1332">
        <v>426571</v>
      </c>
      <c r="P855" s="1332">
        <v>426571</v>
      </c>
      <c r="Q855" s="1333"/>
      <c r="R855" s="1332">
        <v>15417964</v>
      </c>
      <c r="S855" s="1332">
        <v>-272889</v>
      </c>
      <c r="T855" s="1332">
        <v>15145075</v>
      </c>
    </row>
    <row r="856" spans="1:20" x14ac:dyDescent="0.25">
      <c r="A856" s="1342">
        <v>99222</v>
      </c>
      <c r="B856" s="1340" t="s">
        <v>3478</v>
      </c>
      <c r="C856" s="1324">
        <v>3.5599999999999998E-5</v>
      </c>
      <c r="D856" s="1324">
        <v>3.7200000000000003E-5</v>
      </c>
      <c r="E856" s="1332">
        <v>97221</v>
      </c>
      <c r="F856" s="1333"/>
      <c r="G856" s="1332">
        <v>16647</v>
      </c>
      <c r="H856" s="1332">
        <v>2371</v>
      </c>
      <c r="I856" s="1332">
        <v>15845</v>
      </c>
      <c r="J856" s="1332">
        <v>0</v>
      </c>
      <c r="K856" s="1332">
        <v>34863</v>
      </c>
      <c r="L856" s="1333"/>
      <c r="M856" s="1332">
        <v>0</v>
      </c>
      <c r="N856" s="1332">
        <v>0</v>
      </c>
      <c r="O856" s="1332">
        <v>5943</v>
      </c>
      <c r="P856" s="1332">
        <v>5943</v>
      </c>
      <c r="Q856" s="1333"/>
      <c r="R856" s="1332">
        <v>43308</v>
      </c>
      <c r="S856" s="1332">
        <v>-1198</v>
      </c>
      <c r="T856" s="1332">
        <v>42110</v>
      </c>
    </row>
    <row r="857" spans="1:20" x14ac:dyDescent="0.25">
      <c r="A857" s="1342">
        <v>99231</v>
      </c>
      <c r="B857" s="1340" t="s">
        <v>3479</v>
      </c>
      <c r="C857" s="1324">
        <v>3.5159999999999998E-4</v>
      </c>
      <c r="D857" s="1324">
        <v>3.6329999999999999E-4</v>
      </c>
      <c r="E857" s="1332">
        <v>960192</v>
      </c>
      <c r="F857" s="1333"/>
      <c r="G857" s="1332">
        <v>164409</v>
      </c>
      <c r="H857" s="1332">
        <v>23420</v>
      </c>
      <c r="I857" s="1332">
        <v>156495</v>
      </c>
      <c r="J857" s="1332">
        <v>0</v>
      </c>
      <c r="K857" s="1332">
        <v>344324</v>
      </c>
      <c r="L857" s="1333"/>
      <c r="M857" s="1332">
        <v>0</v>
      </c>
      <c r="N857" s="1332">
        <v>0</v>
      </c>
      <c r="O857" s="1332">
        <v>26580</v>
      </c>
      <c r="P857" s="1332">
        <v>26580</v>
      </c>
      <c r="Q857" s="1333"/>
      <c r="R857" s="1332">
        <v>427726</v>
      </c>
      <c r="S857" s="1332">
        <v>-12529</v>
      </c>
      <c r="T857" s="1332">
        <v>415197</v>
      </c>
    </row>
    <row r="858" spans="1:20" x14ac:dyDescent="0.25">
      <c r="A858" s="1342">
        <v>99241</v>
      </c>
      <c r="B858" s="1340" t="s">
        <v>3480</v>
      </c>
      <c r="C858" s="1324">
        <v>5.6070000000000002E-4</v>
      </c>
      <c r="D858" s="1324">
        <v>5.488E-4</v>
      </c>
      <c r="E858" s="1332">
        <v>1531228</v>
      </c>
      <c r="F858" s="1333"/>
      <c r="G858" s="1332">
        <v>262185</v>
      </c>
      <c r="H858" s="1332">
        <v>37349</v>
      </c>
      <c r="I858" s="1332">
        <v>249565</v>
      </c>
      <c r="J858" s="1332">
        <v>0</v>
      </c>
      <c r="K858" s="1332">
        <v>549099</v>
      </c>
      <c r="L858" s="1333"/>
      <c r="M858" s="1332">
        <v>0</v>
      </c>
      <c r="N858" s="1332">
        <v>0</v>
      </c>
      <c r="O858" s="1332">
        <v>37966</v>
      </c>
      <c r="P858" s="1332">
        <v>37966</v>
      </c>
      <c r="Q858" s="1333"/>
      <c r="R858" s="1332">
        <v>682099</v>
      </c>
      <c r="S858" s="1332">
        <v>-32859</v>
      </c>
      <c r="T858" s="1332">
        <v>649240</v>
      </c>
    </row>
    <row r="859" spans="1:20" x14ac:dyDescent="0.25">
      <c r="A859" s="1342">
        <v>99251</v>
      </c>
      <c r="B859" s="1340" t="s">
        <v>3481</v>
      </c>
      <c r="C859" s="1324">
        <v>1.6358E-3</v>
      </c>
      <c r="D859" s="1324">
        <v>1.5935000000000001E-3</v>
      </c>
      <c r="E859" s="1332">
        <v>4467242</v>
      </c>
      <c r="F859" s="1333"/>
      <c r="G859" s="1332">
        <v>764905</v>
      </c>
      <c r="H859" s="1332">
        <v>108962</v>
      </c>
      <c r="I859" s="1332">
        <v>728086</v>
      </c>
      <c r="J859" s="1332">
        <v>9898</v>
      </c>
      <c r="K859" s="1332">
        <v>1611851</v>
      </c>
      <c r="L859" s="1333"/>
      <c r="M859" s="1332">
        <v>0</v>
      </c>
      <c r="N859" s="1332">
        <v>0</v>
      </c>
      <c r="O859" s="1332">
        <v>23833</v>
      </c>
      <c r="P859" s="1332">
        <v>23833</v>
      </c>
      <c r="Q859" s="1333"/>
      <c r="R859" s="1332">
        <v>1989972</v>
      </c>
      <c r="S859" s="1332">
        <v>-6485</v>
      </c>
      <c r="T859" s="1332">
        <v>1983487</v>
      </c>
    </row>
    <row r="860" spans="1:20" x14ac:dyDescent="0.25">
      <c r="A860" s="1342">
        <v>99252</v>
      </c>
      <c r="B860" s="1340" t="s">
        <v>4224</v>
      </c>
      <c r="C860" s="1324">
        <v>6.6200000000000005E-4</v>
      </c>
      <c r="D860" s="1324">
        <v>6.7239999999999997E-4</v>
      </c>
      <c r="E860" s="1332">
        <v>1807870</v>
      </c>
      <c r="F860" s="1333"/>
      <c r="G860" s="1332">
        <v>309553</v>
      </c>
      <c r="H860" s="1332">
        <v>44097</v>
      </c>
      <c r="I860" s="1332">
        <v>294653</v>
      </c>
      <c r="J860" s="1332">
        <v>0</v>
      </c>
      <c r="K860" s="1332">
        <v>648303</v>
      </c>
      <c r="L860" s="1333"/>
      <c r="M860" s="1332">
        <v>0</v>
      </c>
      <c r="N860" s="1332">
        <v>0</v>
      </c>
      <c r="O860" s="1332">
        <v>156511</v>
      </c>
      <c r="P860" s="1332">
        <v>156511</v>
      </c>
      <c r="Q860" s="1333"/>
      <c r="R860" s="1332">
        <v>805332</v>
      </c>
      <c r="S860" s="1332">
        <v>-97206</v>
      </c>
      <c r="T860" s="1332">
        <v>708126</v>
      </c>
    </row>
    <row r="861" spans="1:20" x14ac:dyDescent="0.25">
      <c r="A861" s="1342">
        <v>99261</v>
      </c>
      <c r="B861" s="1340" t="s">
        <v>3483</v>
      </c>
      <c r="C861" s="1324">
        <v>2.2407E-3</v>
      </c>
      <c r="D861" s="1324">
        <v>2.0975999999999998E-3</v>
      </c>
      <c r="E861" s="1332">
        <v>6119177</v>
      </c>
      <c r="F861" s="1333"/>
      <c r="G861" s="1332">
        <v>1047758</v>
      </c>
      <c r="H861" s="1332">
        <v>149255</v>
      </c>
      <c r="I861" s="1332">
        <v>997324</v>
      </c>
      <c r="J861" s="1332">
        <v>1882</v>
      </c>
      <c r="K861" s="1332">
        <v>2196219</v>
      </c>
      <c r="L861" s="1333"/>
      <c r="M861" s="1332">
        <v>0</v>
      </c>
      <c r="N861" s="1332">
        <v>0</v>
      </c>
      <c r="O861" s="1332">
        <v>52149</v>
      </c>
      <c r="P861" s="1332">
        <v>52149</v>
      </c>
      <c r="Q861" s="1333"/>
      <c r="R861" s="1332">
        <v>2725841</v>
      </c>
      <c r="S861" s="1332">
        <v>-49397</v>
      </c>
      <c r="T861" s="1332">
        <v>2676444</v>
      </c>
    </row>
    <row r="862" spans="1:20" x14ac:dyDescent="0.25">
      <c r="A862" s="1342">
        <v>99271</v>
      </c>
      <c r="B862" s="1340" t="s">
        <v>3484</v>
      </c>
      <c r="C862" s="1324">
        <v>4.2773000000000004E-3</v>
      </c>
      <c r="D862" s="1324">
        <v>4.2411999999999997E-3</v>
      </c>
      <c r="E862" s="1332">
        <v>11680973</v>
      </c>
      <c r="F862" s="1333"/>
      <c r="G862" s="1332">
        <v>2000078</v>
      </c>
      <c r="H862" s="1332">
        <v>284915</v>
      </c>
      <c r="I862" s="1332">
        <v>1903805</v>
      </c>
      <c r="J862" s="1332">
        <v>55819</v>
      </c>
      <c r="K862" s="1332">
        <v>4244617</v>
      </c>
      <c r="L862" s="1333"/>
      <c r="M862" s="1332">
        <v>0</v>
      </c>
      <c r="N862" s="1332">
        <v>0</v>
      </c>
      <c r="O862" s="1332">
        <v>119333</v>
      </c>
      <c r="P862" s="1332">
        <v>119333</v>
      </c>
      <c r="Q862" s="1333"/>
      <c r="R862" s="1332">
        <v>5203391</v>
      </c>
      <c r="S862" s="1332">
        <v>-45027</v>
      </c>
      <c r="T862" s="1332">
        <v>5158364</v>
      </c>
    </row>
    <row r="863" spans="1:20" x14ac:dyDescent="0.25">
      <c r="A863" s="1342">
        <v>99281</v>
      </c>
      <c r="B863" s="1340" t="s">
        <v>3485</v>
      </c>
      <c r="C863" s="1324">
        <v>2.4237E-3</v>
      </c>
      <c r="D863" s="1324">
        <v>2.3770000000000002E-3</v>
      </c>
      <c r="E863" s="1332">
        <v>6618936</v>
      </c>
      <c r="F863" s="1333"/>
      <c r="G863" s="1332">
        <v>1133329</v>
      </c>
      <c r="H863" s="1332">
        <v>161445</v>
      </c>
      <c r="I863" s="1332">
        <v>1078777</v>
      </c>
      <c r="J863" s="1332">
        <v>14286</v>
      </c>
      <c r="K863" s="1332">
        <v>2387837</v>
      </c>
      <c r="L863" s="1333"/>
      <c r="M863" s="1332">
        <v>0</v>
      </c>
      <c r="N863" s="1332">
        <v>0</v>
      </c>
      <c r="O863" s="1332">
        <v>42367</v>
      </c>
      <c r="P863" s="1332">
        <v>42367</v>
      </c>
      <c r="Q863" s="1333"/>
      <c r="R863" s="1332">
        <v>2948463</v>
      </c>
      <c r="S863" s="1332">
        <v>-37423</v>
      </c>
      <c r="T863" s="1332">
        <v>2911040</v>
      </c>
    </row>
    <row r="864" spans="1:20" x14ac:dyDescent="0.25">
      <c r="A864" s="1342">
        <v>99291</v>
      </c>
      <c r="B864" s="1340" t="s">
        <v>3486</v>
      </c>
      <c r="C864" s="1324">
        <v>8.4909999999999998E-4</v>
      </c>
      <c r="D864" s="1324">
        <v>8.2370000000000002E-4</v>
      </c>
      <c r="E864" s="1332">
        <v>2318826</v>
      </c>
      <c r="F864" s="1333"/>
      <c r="G864" s="1332">
        <v>397042</v>
      </c>
      <c r="H864" s="1332">
        <v>56560</v>
      </c>
      <c r="I864" s="1332">
        <v>377930</v>
      </c>
      <c r="J864" s="1332">
        <v>9422</v>
      </c>
      <c r="K864" s="1332">
        <v>840954</v>
      </c>
      <c r="L864" s="1333"/>
      <c r="M864" s="1332">
        <v>0</v>
      </c>
      <c r="N864" s="1332">
        <v>0</v>
      </c>
      <c r="O864" s="1332">
        <v>75555</v>
      </c>
      <c r="P864" s="1332">
        <v>75555</v>
      </c>
      <c r="Q864" s="1333"/>
      <c r="R864" s="1332">
        <v>1032941</v>
      </c>
      <c r="S864" s="1332">
        <v>-46960</v>
      </c>
      <c r="T864" s="1332">
        <v>985981</v>
      </c>
    </row>
    <row r="865" spans="1:20" x14ac:dyDescent="0.25">
      <c r="A865" s="1342">
        <v>99301</v>
      </c>
      <c r="B865" s="1340" t="s">
        <v>3487</v>
      </c>
      <c r="C865" s="1324">
        <v>1.6092999999999999E-3</v>
      </c>
      <c r="D865" s="1324">
        <v>1.7239E-3</v>
      </c>
      <c r="E865" s="1332">
        <v>4394873</v>
      </c>
      <c r="F865" s="1333"/>
      <c r="G865" s="1332">
        <v>752514</v>
      </c>
      <c r="H865" s="1332">
        <v>107197</v>
      </c>
      <c r="I865" s="1332">
        <v>716291</v>
      </c>
      <c r="J865" s="1332">
        <v>0</v>
      </c>
      <c r="K865" s="1332">
        <v>1576002</v>
      </c>
      <c r="L865" s="1333"/>
      <c r="M865" s="1332">
        <v>0</v>
      </c>
      <c r="N865" s="1332">
        <v>0</v>
      </c>
      <c r="O865" s="1332">
        <v>179811</v>
      </c>
      <c r="P865" s="1332">
        <v>179811</v>
      </c>
      <c r="Q865" s="1333"/>
      <c r="R865" s="1332">
        <v>1957734</v>
      </c>
      <c r="S865" s="1332">
        <v>-44257</v>
      </c>
      <c r="T865" s="1332">
        <v>1913477</v>
      </c>
    </row>
    <row r="866" spans="1:20" x14ac:dyDescent="0.25">
      <c r="A866" s="1342">
        <v>99304</v>
      </c>
      <c r="B866" s="1340" t="s">
        <v>3488</v>
      </c>
      <c r="C866" s="1324">
        <v>7.6000000000000001E-6</v>
      </c>
      <c r="D866" s="1324">
        <v>8.4999999999999999E-6</v>
      </c>
      <c r="E866" s="1332">
        <v>20755</v>
      </c>
      <c r="F866" s="1333"/>
      <c r="G866" s="1332">
        <v>3554</v>
      </c>
      <c r="H866" s="1332">
        <v>506</v>
      </c>
      <c r="I866" s="1332">
        <v>3383</v>
      </c>
      <c r="J866" s="1332">
        <v>6440</v>
      </c>
      <c r="K866" s="1332">
        <v>13883</v>
      </c>
      <c r="L866" s="1333"/>
      <c r="M866" s="1332">
        <v>0</v>
      </c>
      <c r="N866" s="1332">
        <v>0</v>
      </c>
      <c r="O866" s="1332">
        <v>0</v>
      </c>
      <c r="P866" s="1332">
        <v>0</v>
      </c>
      <c r="Q866" s="1333"/>
      <c r="R866" s="1332">
        <v>9245</v>
      </c>
      <c r="S866" s="1332">
        <v>2920</v>
      </c>
      <c r="T866" s="1332">
        <v>12165</v>
      </c>
    </row>
    <row r="867" spans="1:20" x14ac:dyDescent="0.25">
      <c r="A867" s="1342">
        <v>99311</v>
      </c>
      <c r="B867" s="1340" t="s">
        <v>3489</v>
      </c>
      <c r="C867" s="1324">
        <v>5.9700000000000001E-5</v>
      </c>
      <c r="D867" s="1324">
        <v>6.0699999999999998E-5</v>
      </c>
      <c r="E867" s="1332">
        <v>163036</v>
      </c>
      <c r="F867" s="1333"/>
      <c r="G867" s="1332">
        <v>27916</v>
      </c>
      <c r="H867" s="1332">
        <v>3977</v>
      </c>
      <c r="I867" s="1332">
        <v>26572</v>
      </c>
      <c r="J867" s="1332">
        <v>3059</v>
      </c>
      <c r="K867" s="1332">
        <v>61524</v>
      </c>
      <c r="L867" s="1333"/>
      <c r="M867" s="1332">
        <v>0</v>
      </c>
      <c r="N867" s="1332">
        <v>0</v>
      </c>
      <c r="O867" s="1332">
        <v>6159</v>
      </c>
      <c r="P867" s="1332">
        <v>6159</v>
      </c>
      <c r="Q867" s="1333"/>
      <c r="R867" s="1332">
        <v>72626</v>
      </c>
      <c r="S867" s="1332">
        <v>-1670</v>
      </c>
      <c r="T867" s="1332">
        <v>70956</v>
      </c>
    </row>
    <row r="868" spans="1:20" x14ac:dyDescent="0.25">
      <c r="A868" s="1342">
        <v>99321</v>
      </c>
      <c r="B868" s="1340" t="s">
        <v>3490</v>
      </c>
      <c r="C868" s="1324">
        <v>8.6399999999999999E-5</v>
      </c>
      <c r="D868" s="1324">
        <v>8.7000000000000001E-5</v>
      </c>
      <c r="E868" s="1332">
        <v>235952</v>
      </c>
      <c r="F868" s="1333"/>
      <c r="G868" s="1332">
        <v>40401</v>
      </c>
      <c r="H868" s="1332">
        <v>5755</v>
      </c>
      <c r="I868" s="1332">
        <v>38456</v>
      </c>
      <c r="J868" s="1332">
        <v>90082</v>
      </c>
      <c r="K868" s="1332">
        <v>174694</v>
      </c>
      <c r="L868" s="1333"/>
      <c r="M868" s="1332">
        <v>0</v>
      </c>
      <c r="N868" s="1332">
        <v>0</v>
      </c>
      <c r="O868" s="1332">
        <v>0</v>
      </c>
      <c r="P868" s="1332">
        <v>0</v>
      </c>
      <c r="Q868" s="1333"/>
      <c r="R868" s="1332">
        <v>105107</v>
      </c>
      <c r="S868" s="1332">
        <v>46127</v>
      </c>
      <c r="T868" s="1332">
        <v>151234</v>
      </c>
    </row>
    <row r="869" spans="1:20" x14ac:dyDescent="0.25">
      <c r="A869" s="1342">
        <v>99401</v>
      </c>
      <c r="B869" s="1340" t="s">
        <v>3491</v>
      </c>
      <c r="C869" s="1324">
        <v>7.7590000000000005E-4</v>
      </c>
      <c r="D869" s="1324">
        <v>8.3949999999999997E-4</v>
      </c>
      <c r="E869" s="1332">
        <v>2118922</v>
      </c>
      <c r="F869" s="1333"/>
      <c r="G869" s="1332">
        <v>362813</v>
      </c>
      <c r="H869" s="1332">
        <v>51683</v>
      </c>
      <c r="I869" s="1332">
        <v>345349</v>
      </c>
      <c r="J869" s="1332">
        <v>3138</v>
      </c>
      <c r="K869" s="1332">
        <v>762983</v>
      </c>
      <c r="L869" s="1333"/>
      <c r="M869" s="1332">
        <v>0</v>
      </c>
      <c r="N869" s="1332">
        <v>0</v>
      </c>
      <c r="O869" s="1332">
        <v>81149</v>
      </c>
      <c r="P869" s="1332">
        <v>81149</v>
      </c>
      <c r="Q869" s="1333"/>
      <c r="R869" s="1332">
        <v>943892</v>
      </c>
      <c r="S869" s="1332">
        <v>-21502</v>
      </c>
      <c r="T869" s="1332">
        <v>922390</v>
      </c>
    </row>
    <row r="870" spans="1:20" x14ac:dyDescent="0.25">
      <c r="A870" s="1342">
        <v>99404</v>
      </c>
      <c r="B870" s="1340" t="s">
        <v>3492</v>
      </c>
      <c r="C870" s="1324">
        <v>8.4999999999999999E-6</v>
      </c>
      <c r="D870" s="1324">
        <v>9.0999999999999993E-6</v>
      </c>
      <c r="E870" s="1332">
        <v>23213</v>
      </c>
      <c r="F870" s="1333"/>
      <c r="G870" s="1332">
        <v>3975</v>
      </c>
      <c r="H870" s="1332">
        <v>566</v>
      </c>
      <c r="I870" s="1332">
        <v>3783</v>
      </c>
      <c r="J870" s="1332">
        <v>1858</v>
      </c>
      <c r="K870" s="1332">
        <v>10182</v>
      </c>
      <c r="L870" s="1333"/>
      <c r="M870" s="1332">
        <v>0</v>
      </c>
      <c r="N870" s="1332">
        <v>0</v>
      </c>
      <c r="O870" s="1332">
        <v>0</v>
      </c>
      <c r="P870" s="1332">
        <v>0</v>
      </c>
      <c r="Q870" s="1333"/>
      <c r="R870" s="1332">
        <v>10340</v>
      </c>
      <c r="S870" s="1332">
        <v>768</v>
      </c>
      <c r="T870" s="1332">
        <v>11108</v>
      </c>
    </row>
    <row r="871" spans="1:20" x14ac:dyDescent="0.25">
      <c r="A871" s="1342">
        <v>99405</v>
      </c>
      <c r="B871" s="1340" t="s">
        <v>3493</v>
      </c>
      <c r="C871" s="1324">
        <v>5.9799999999999997E-5</v>
      </c>
      <c r="D871" s="1324">
        <v>5.2200000000000002E-5</v>
      </c>
      <c r="E871" s="1332">
        <v>163309</v>
      </c>
      <c r="F871" s="1333"/>
      <c r="G871" s="1332">
        <v>27963</v>
      </c>
      <c r="H871" s="1332">
        <v>3984</v>
      </c>
      <c r="I871" s="1332">
        <v>26617</v>
      </c>
      <c r="J871" s="1332">
        <v>21724</v>
      </c>
      <c r="K871" s="1332">
        <v>80288</v>
      </c>
      <c r="L871" s="1333"/>
      <c r="M871" s="1332">
        <v>0</v>
      </c>
      <c r="N871" s="1332">
        <v>0</v>
      </c>
      <c r="O871" s="1332">
        <v>0</v>
      </c>
      <c r="P871" s="1332">
        <v>0</v>
      </c>
      <c r="Q871" s="1333"/>
      <c r="R871" s="1332">
        <v>72747</v>
      </c>
      <c r="S871" s="1332">
        <v>9982</v>
      </c>
      <c r="T871" s="1332">
        <v>82729</v>
      </c>
    </row>
    <row r="872" spans="1:20" x14ac:dyDescent="0.25">
      <c r="A872" s="1342">
        <v>99411</v>
      </c>
      <c r="B872" s="1340" t="s">
        <v>3494</v>
      </c>
      <c r="C872" s="1324">
        <v>1.7139999999999999E-4</v>
      </c>
      <c r="D872" s="1324">
        <v>1.7239999999999999E-4</v>
      </c>
      <c r="E872" s="1332">
        <v>468080</v>
      </c>
      <c r="F872" s="1333"/>
      <c r="G872" s="1332">
        <v>80147</v>
      </c>
      <c r="H872" s="1332">
        <v>11417</v>
      </c>
      <c r="I872" s="1332">
        <v>76289</v>
      </c>
      <c r="J872" s="1332">
        <v>28947</v>
      </c>
      <c r="K872" s="1332">
        <v>196800</v>
      </c>
      <c r="L872" s="1333"/>
      <c r="M872" s="1332">
        <v>0</v>
      </c>
      <c r="N872" s="1332">
        <v>0</v>
      </c>
      <c r="O872" s="1332">
        <v>0</v>
      </c>
      <c r="P872" s="1332">
        <v>0</v>
      </c>
      <c r="Q872" s="1333"/>
      <c r="R872" s="1332">
        <v>208510</v>
      </c>
      <c r="S872" s="1332">
        <v>16596</v>
      </c>
      <c r="T872" s="1332">
        <v>225106</v>
      </c>
    </row>
    <row r="873" spans="1:20" x14ac:dyDescent="0.25">
      <c r="A873" s="1342">
        <v>99413</v>
      </c>
      <c r="B873" s="1340" t="s">
        <v>3495</v>
      </c>
      <c r="C873" s="1324">
        <v>2.0400000000000001E-5</v>
      </c>
      <c r="D873" s="1324">
        <v>1.98E-5</v>
      </c>
      <c r="E873" s="1332">
        <v>55711</v>
      </c>
      <c r="F873" s="1333"/>
      <c r="G873" s="1332">
        <v>9539</v>
      </c>
      <c r="H873" s="1332">
        <v>1359</v>
      </c>
      <c r="I873" s="1332">
        <v>9080</v>
      </c>
      <c r="J873" s="1332">
        <v>8664</v>
      </c>
      <c r="K873" s="1332">
        <v>28642</v>
      </c>
      <c r="L873" s="1333"/>
      <c r="M873" s="1332">
        <v>0</v>
      </c>
      <c r="N873" s="1332">
        <v>0</v>
      </c>
      <c r="O873" s="1332">
        <v>3196</v>
      </c>
      <c r="P873" s="1332">
        <v>3196</v>
      </c>
      <c r="Q873" s="1333"/>
      <c r="R873" s="1332">
        <v>24817</v>
      </c>
      <c r="S873" s="1332">
        <v>878</v>
      </c>
      <c r="T873" s="1332">
        <v>25695</v>
      </c>
    </row>
    <row r="874" spans="1:20" x14ac:dyDescent="0.25">
      <c r="A874" s="1342">
        <v>99421</v>
      </c>
      <c r="B874" s="1340" t="s">
        <v>3496</v>
      </c>
      <c r="C874" s="1324">
        <v>1.3499999999999999E-5</v>
      </c>
      <c r="D874" s="1324">
        <v>1.24E-5</v>
      </c>
      <c r="E874" s="1332">
        <v>36867</v>
      </c>
      <c r="F874" s="1333"/>
      <c r="G874" s="1332">
        <v>6313</v>
      </c>
      <c r="H874" s="1332">
        <v>899</v>
      </c>
      <c r="I874" s="1332">
        <v>6009</v>
      </c>
      <c r="J874" s="1332">
        <v>979</v>
      </c>
      <c r="K874" s="1332">
        <v>14200</v>
      </c>
      <c r="L874" s="1333"/>
      <c r="M874" s="1332">
        <v>0</v>
      </c>
      <c r="N874" s="1332">
        <v>0</v>
      </c>
      <c r="O874" s="1332">
        <v>1752</v>
      </c>
      <c r="P874" s="1332">
        <v>1752</v>
      </c>
      <c r="Q874" s="1333"/>
      <c r="R874" s="1332">
        <v>16423</v>
      </c>
      <c r="S874" s="1332">
        <v>-1499</v>
      </c>
      <c r="T874" s="1332">
        <v>14924</v>
      </c>
    </row>
    <row r="875" spans="1:20" x14ac:dyDescent="0.25">
      <c r="A875" s="1342">
        <v>99431</v>
      </c>
      <c r="B875" s="1340" t="s">
        <v>3497</v>
      </c>
      <c r="C875" s="1324">
        <v>1.4800000000000001E-5</v>
      </c>
      <c r="D875" s="1324">
        <v>2.1999999999999999E-5</v>
      </c>
      <c r="E875" s="1332">
        <v>40418</v>
      </c>
      <c r="F875" s="1333"/>
      <c r="G875" s="1332">
        <v>6921</v>
      </c>
      <c r="H875" s="1332">
        <v>986</v>
      </c>
      <c r="I875" s="1332">
        <v>6587</v>
      </c>
      <c r="J875" s="1332">
        <v>0</v>
      </c>
      <c r="K875" s="1332">
        <v>14494</v>
      </c>
      <c r="L875" s="1333"/>
      <c r="M875" s="1332">
        <v>0</v>
      </c>
      <c r="N875" s="1332">
        <v>0</v>
      </c>
      <c r="O875" s="1332">
        <v>8580</v>
      </c>
      <c r="P875" s="1332">
        <v>8580</v>
      </c>
      <c r="Q875" s="1333"/>
      <c r="R875" s="1332">
        <v>18004</v>
      </c>
      <c r="S875" s="1332">
        <v>-2925</v>
      </c>
      <c r="T875" s="1332">
        <v>15079</v>
      </c>
    </row>
    <row r="876" spans="1:20" x14ac:dyDescent="0.25">
      <c r="A876" s="1342">
        <v>99501</v>
      </c>
      <c r="B876" s="1340" t="s">
        <v>3498</v>
      </c>
      <c r="C876" s="1324">
        <v>1.6478E-3</v>
      </c>
      <c r="D876" s="1324">
        <v>1.6559000000000001E-3</v>
      </c>
      <c r="E876" s="1332">
        <v>4500013</v>
      </c>
      <c r="F876" s="1333"/>
      <c r="G876" s="1332">
        <v>770516</v>
      </c>
      <c r="H876" s="1332">
        <v>109762</v>
      </c>
      <c r="I876" s="1332">
        <v>733428</v>
      </c>
      <c r="J876" s="1332">
        <v>58807</v>
      </c>
      <c r="K876" s="1332">
        <v>1672513</v>
      </c>
      <c r="L876" s="1333"/>
      <c r="M876" s="1332">
        <v>0</v>
      </c>
      <c r="N876" s="1332">
        <v>0</v>
      </c>
      <c r="O876" s="1332">
        <v>10753</v>
      </c>
      <c r="P876" s="1332">
        <v>10753</v>
      </c>
      <c r="Q876" s="1333"/>
      <c r="R876" s="1332">
        <v>2004570</v>
      </c>
      <c r="S876" s="1332">
        <v>12254</v>
      </c>
      <c r="T876" s="1332">
        <v>2016824</v>
      </c>
    </row>
    <row r="877" spans="1:20" x14ac:dyDescent="0.25">
      <c r="A877" s="1342">
        <v>99502</v>
      </c>
      <c r="B877" s="1340" t="s">
        <v>3499</v>
      </c>
      <c r="C877" s="1324">
        <v>1.4459999999999999E-4</v>
      </c>
      <c r="D877" s="1324">
        <v>1.5699999999999999E-4</v>
      </c>
      <c r="E877" s="1332">
        <v>394891</v>
      </c>
      <c r="F877" s="1333"/>
      <c r="G877" s="1332">
        <v>67615</v>
      </c>
      <c r="H877" s="1332">
        <v>9632</v>
      </c>
      <c r="I877" s="1332">
        <v>64361</v>
      </c>
      <c r="J877" s="1332">
        <v>10285</v>
      </c>
      <c r="K877" s="1332">
        <v>151893</v>
      </c>
      <c r="L877" s="1333"/>
      <c r="M877" s="1332">
        <v>0</v>
      </c>
      <c r="N877" s="1332">
        <v>0</v>
      </c>
      <c r="O877" s="1332">
        <v>12975</v>
      </c>
      <c r="P877" s="1332">
        <v>12975</v>
      </c>
      <c r="Q877" s="1333"/>
      <c r="R877" s="1332">
        <v>175908</v>
      </c>
      <c r="S877" s="1332">
        <v>7458</v>
      </c>
      <c r="T877" s="1332">
        <v>183366</v>
      </c>
    </row>
    <row r="878" spans="1:20" ht="30" x14ac:dyDescent="0.25">
      <c r="A878" s="1342">
        <v>99508</v>
      </c>
      <c r="B878" s="1340" t="s">
        <v>3500</v>
      </c>
      <c r="C878" s="1324">
        <v>2.0999999999999999E-5</v>
      </c>
      <c r="D878" s="1324">
        <v>2.1699999999999999E-5</v>
      </c>
      <c r="E878" s="1332">
        <v>57349</v>
      </c>
      <c r="F878" s="1333"/>
      <c r="G878" s="1332">
        <v>9820</v>
      </c>
      <c r="H878" s="1332">
        <v>1399</v>
      </c>
      <c r="I878" s="1332">
        <v>9347</v>
      </c>
      <c r="J878" s="1332">
        <v>19</v>
      </c>
      <c r="K878" s="1332">
        <v>20585</v>
      </c>
      <c r="L878" s="1333"/>
      <c r="M878" s="1332">
        <v>0</v>
      </c>
      <c r="N878" s="1332">
        <v>0</v>
      </c>
      <c r="O878" s="1332">
        <v>683</v>
      </c>
      <c r="P878" s="1332">
        <v>683</v>
      </c>
      <c r="Q878" s="1333"/>
      <c r="R878" s="1332">
        <v>25547</v>
      </c>
      <c r="S878" s="1332">
        <v>-506</v>
      </c>
      <c r="T878" s="1332">
        <v>25041</v>
      </c>
    </row>
    <row r="879" spans="1:20" x14ac:dyDescent="0.25">
      <c r="A879" s="1342">
        <v>99509</v>
      </c>
      <c r="B879" s="1340" t="s">
        <v>4225</v>
      </c>
      <c r="C879" s="1324">
        <v>2.5199999999999999E-5</v>
      </c>
      <c r="D879" s="1324">
        <v>2.62E-5</v>
      </c>
      <c r="E879" s="1332">
        <v>68819</v>
      </c>
      <c r="F879" s="1333"/>
      <c r="G879" s="1332">
        <v>11784</v>
      </c>
      <c r="H879" s="1332">
        <v>1679</v>
      </c>
      <c r="I879" s="1332">
        <v>11216</v>
      </c>
      <c r="J879" s="1332">
        <v>0</v>
      </c>
      <c r="K879" s="1332">
        <v>24679</v>
      </c>
      <c r="L879" s="1333"/>
      <c r="M879" s="1332">
        <v>0</v>
      </c>
      <c r="N879" s="1332">
        <v>0</v>
      </c>
      <c r="O879" s="1332">
        <v>3017</v>
      </c>
      <c r="P879" s="1332">
        <v>3017</v>
      </c>
      <c r="Q879" s="1333"/>
      <c r="R879" s="1332">
        <v>30656</v>
      </c>
      <c r="S879" s="1332">
        <v>-1611</v>
      </c>
      <c r="T879" s="1332">
        <v>29045</v>
      </c>
    </row>
    <row r="880" spans="1:20" x14ac:dyDescent="0.25">
      <c r="A880" s="1342">
        <v>99511</v>
      </c>
      <c r="B880" s="1340" t="s">
        <v>3502</v>
      </c>
      <c r="C880" s="1324">
        <v>1.3293999999999999E-3</v>
      </c>
      <c r="D880" s="1324">
        <v>1.3468E-3</v>
      </c>
      <c r="E880" s="1332">
        <v>3630488</v>
      </c>
      <c r="F880" s="1333"/>
      <c r="G880" s="1332">
        <v>621631</v>
      </c>
      <c r="H880" s="1332">
        <v>88553</v>
      </c>
      <c r="I880" s="1332">
        <v>591709</v>
      </c>
      <c r="J880" s="1332">
        <v>0</v>
      </c>
      <c r="K880" s="1332">
        <v>1301893</v>
      </c>
      <c r="L880" s="1333"/>
      <c r="M880" s="1332">
        <v>0</v>
      </c>
      <c r="N880" s="1332">
        <v>0</v>
      </c>
      <c r="O880" s="1332">
        <v>147705</v>
      </c>
      <c r="P880" s="1332">
        <v>147705</v>
      </c>
      <c r="Q880" s="1333"/>
      <c r="R880" s="1332">
        <v>1617232</v>
      </c>
      <c r="S880" s="1332">
        <v>-57397</v>
      </c>
      <c r="T880" s="1332">
        <v>1559835</v>
      </c>
    </row>
    <row r="881" spans="1:20" x14ac:dyDescent="0.25">
      <c r="A881" s="1342">
        <v>99521</v>
      </c>
      <c r="B881" s="1340" t="s">
        <v>3503</v>
      </c>
      <c r="C881" s="1324">
        <v>4.8200000000000001E-4</v>
      </c>
      <c r="D881" s="1324">
        <v>4.9669999999999998E-4</v>
      </c>
      <c r="E881" s="1332">
        <v>1316304</v>
      </c>
      <c r="F881" s="1333"/>
      <c r="G881" s="1332">
        <v>225385</v>
      </c>
      <c r="H881" s="1332">
        <v>32107</v>
      </c>
      <c r="I881" s="1332">
        <v>214536</v>
      </c>
      <c r="J881" s="1332">
        <v>16554</v>
      </c>
      <c r="K881" s="1332">
        <v>488582</v>
      </c>
      <c r="L881" s="1333"/>
      <c r="M881" s="1332">
        <v>0</v>
      </c>
      <c r="N881" s="1332">
        <v>0</v>
      </c>
      <c r="O881" s="1332">
        <v>43035</v>
      </c>
      <c r="P881" s="1332">
        <v>43035</v>
      </c>
      <c r="Q881" s="1333"/>
      <c r="R881" s="1332">
        <v>586359</v>
      </c>
      <c r="S881" s="1332">
        <v>-10008</v>
      </c>
      <c r="T881" s="1332">
        <v>576351</v>
      </c>
    </row>
    <row r="882" spans="1:20" x14ac:dyDescent="0.25">
      <c r="A882" s="1342">
        <v>99527</v>
      </c>
      <c r="B882" s="1340" t="s">
        <v>4226</v>
      </c>
      <c r="C882" s="1324">
        <v>1.1E-5</v>
      </c>
      <c r="D882" s="1324">
        <v>1.15E-5</v>
      </c>
      <c r="E882" s="1332">
        <v>30040</v>
      </c>
      <c r="F882" s="1333"/>
      <c r="G882" s="1332">
        <v>5144</v>
      </c>
      <c r="H882" s="1332">
        <v>733</v>
      </c>
      <c r="I882" s="1332">
        <v>4896</v>
      </c>
      <c r="J882" s="1332">
        <v>1319</v>
      </c>
      <c r="K882" s="1332">
        <v>12092</v>
      </c>
      <c r="L882" s="1333"/>
      <c r="M882" s="1332">
        <v>0</v>
      </c>
      <c r="N882" s="1332">
        <v>0</v>
      </c>
      <c r="O882" s="1332">
        <v>0</v>
      </c>
      <c r="P882" s="1332">
        <v>0</v>
      </c>
      <c r="Q882" s="1333"/>
      <c r="R882" s="1332">
        <v>13382</v>
      </c>
      <c r="S882" s="1332">
        <v>634</v>
      </c>
      <c r="T882" s="1332">
        <v>14016</v>
      </c>
    </row>
    <row r="883" spans="1:20" x14ac:dyDescent="0.25">
      <c r="A883" s="1342">
        <v>99531</v>
      </c>
      <c r="B883" s="1340" t="s">
        <v>3505</v>
      </c>
      <c r="C883" s="1324">
        <v>8.6299999999999997E-5</v>
      </c>
      <c r="D883" s="1324">
        <v>8.8800000000000004E-5</v>
      </c>
      <c r="E883" s="1332">
        <v>235679</v>
      </c>
      <c r="F883" s="1333"/>
      <c r="G883" s="1332">
        <v>40354</v>
      </c>
      <c r="H883" s="1332">
        <v>5749</v>
      </c>
      <c r="I883" s="1332">
        <v>38412</v>
      </c>
      <c r="J883" s="1332">
        <v>62360</v>
      </c>
      <c r="K883" s="1332">
        <v>146875</v>
      </c>
      <c r="L883" s="1333"/>
      <c r="M883" s="1332">
        <v>0</v>
      </c>
      <c r="N883" s="1332">
        <v>0</v>
      </c>
      <c r="O883" s="1332">
        <v>0</v>
      </c>
      <c r="P883" s="1332">
        <v>0</v>
      </c>
      <c r="Q883" s="1333"/>
      <c r="R883" s="1332">
        <v>104985</v>
      </c>
      <c r="S883" s="1332">
        <v>29697</v>
      </c>
      <c r="T883" s="1332">
        <v>134682</v>
      </c>
    </row>
    <row r="884" spans="1:20" x14ac:dyDescent="0.25">
      <c r="A884" s="1342">
        <v>99601</v>
      </c>
      <c r="B884" s="1340" t="s">
        <v>3506</v>
      </c>
      <c r="C884" s="1324">
        <v>5.9021999999999998E-3</v>
      </c>
      <c r="D884" s="1324">
        <v>5.9616000000000001E-3</v>
      </c>
      <c r="E884" s="1332">
        <v>16118448</v>
      </c>
      <c r="F884" s="1333"/>
      <c r="G884" s="1332">
        <v>2759886</v>
      </c>
      <c r="H884" s="1332">
        <v>393152</v>
      </c>
      <c r="I884" s="1332">
        <v>2627040</v>
      </c>
      <c r="J884" s="1332">
        <v>129154</v>
      </c>
      <c r="K884" s="1332">
        <v>5909232</v>
      </c>
      <c r="L884" s="1333"/>
      <c r="M884" s="1332">
        <v>0</v>
      </c>
      <c r="N884" s="1332">
        <v>0</v>
      </c>
      <c r="O884" s="1332">
        <v>222243</v>
      </c>
      <c r="P884" s="1332">
        <v>222243</v>
      </c>
      <c r="Q884" s="1333"/>
      <c r="R884" s="1332">
        <v>7180103</v>
      </c>
      <c r="S884" s="1332">
        <v>7285</v>
      </c>
      <c r="T884" s="1332">
        <v>7187388</v>
      </c>
    </row>
    <row r="885" spans="1:20" x14ac:dyDescent="0.25">
      <c r="A885" s="1342">
        <v>99602</v>
      </c>
      <c r="B885" s="1340" t="s">
        <v>4227</v>
      </c>
      <c r="C885" s="1324">
        <v>6.1500000000000004E-5</v>
      </c>
      <c r="D885" s="1324">
        <v>6.0800000000000001E-5</v>
      </c>
      <c r="E885" s="1332">
        <v>167952</v>
      </c>
      <c r="F885" s="1333"/>
      <c r="G885" s="1332">
        <v>28758</v>
      </c>
      <c r="H885" s="1332">
        <v>4096</v>
      </c>
      <c r="I885" s="1332">
        <v>27373</v>
      </c>
      <c r="J885" s="1332">
        <v>3756</v>
      </c>
      <c r="K885" s="1332">
        <v>63983</v>
      </c>
      <c r="L885" s="1333"/>
      <c r="M885" s="1332">
        <v>0</v>
      </c>
      <c r="N885" s="1332">
        <v>0</v>
      </c>
      <c r="O885" s="1332">
        <v>4078</v>
      </c>
      <c r="P885" s="1332">
        <v>4078</v>
      </c>
      <c r="Q885" s="1333"/>
      <c r="R885" s="1332">
        <v>74816</v>
      </c>
      <c r="S885" s="1332">
        <v>2122</v>
      </c>
      <c r="T885" s="1332">
        <v>76938</v>
      </c>
    </row>
    <row r="886" spans="1:20" x14ac:dyDescent="0.25">
      <c r="A886" s="1342">
        <v>99603</v>
      </c>
      <c r="B886" s="1340" t="s">
        <v>4228</v>
      </c>
      <c r="C886" s="1324">
        <v>1.5540000000000001E-4</v>
      </c>
      <c r="D886" s="1324">
        <v>1.7550000000000001E-4</v>
      </c>
      <c r="E886" s="1332">
        <v>424385</v>
      </c>
      <c r="F886" s="1333"/>
      <c r="G886" s="1332">
        <v>72666</v>
      </c>
      <c r="H886" s="1332">
        <v>10351</v>
      </c>
      <c r="I886" s="1332">
        <v>69168</v>
      </c>
      <c r="J886" s="1332">
        <v>38434</v>
      </c>
      <c r="K886" s="1332">
        <v>190619</v>
      </c>
      <c r="L886" s="1333"/>
      <c r="M886" s="1332">
        <v>0</v>
      </c>
      <c r="N886" s="1332">
        <v>0</v>
      </c>
      <c r="O886" s="1332">
        <v>7619</v>
      </c>
      <c r="P886" s="1332">
        <v>7619</v>
      </c>
      <c r="Q886" s="1333"/>
      <c r="R886" s="1332">
        <v>189046</v>
      </c>
      <c r="S886" s="1332">
        <v>35533</v>
      </c>
      <c r="T886" s="1332">
        <v>224579</v>
      </c>
    </row>
    <row r="887" spans="1:20" x14ac:dyDescent="0.25">
      <c r="A887" s="1342">
        <v>99604</v>
      </c>
      <c r="B887" s="1340" t="s">
        <v>3509</v>
      </c>
      <c r="C887" s="1324">
        <v>9.1100000000000005E-5</v>
      </c>
      <c r="D887" s="1324">
        <v>1.02E-4</v>
      </c>
      <c r="E887" s="1332">
        <v>248787</v>
      </c>
      <c r="F887" s="1333"/>
      <c r="G887" s="1332">
        <v>42599</v>
      </c>
      <c r="H887" s="1332">
        <v>6069</v>
      </c>
      <c r="I887" s="1332">
        <v>40548</v>
      </c>
      <c r="J887" s="1332">
        <v>13275</v>
      </c>
      <c r="K887" s="1332">
        <v>102491</v>
      </c>
      <c r="L887" s="1333"/>
      <c r="M887" s="1332">
        <v>0</v>
      </c>
      <c r="N887" s="1332">
        <v>0</v>
      </c>
      <c r="O887" s="1332">
        <v>0</v>
      </c>
      <c r="P887" s="1332">
        <v>0</v>
      </c>
      <c r="Q887" s="1333"/>
      <c r="R887" s="1332">
        <v>110824</v>
      </c>
      <c r="S887" s="1332">
        <v>8485</v>
      </c>
      <c r="T887" s="1332">
        <v>119309</v>
      </c>
    </row>
    <row r="888" spans="1:20" x14ac:dyDescent="0.25">
      <c r="A888" s="1342">
        <v>99609</v>
      </c>
      <c r="B888" s="1340" t="s">
        <v>3510</v>
      </c>
      <c r="C888" s="1324">
        <v>2.8799999999999999E-5</v>
      </c>
      <c r="D888" s="1324">
        <v>2.0100000000000001E-5</v>
      </c>
      <c r="E888" s="1332">
        <v>78651</v>
      </c>
      <c r="F888" s="1333"/>
      <c r="G888" s="1332">
        <v>13467</v>
      </c>
      <c r="H888" s="1332">
        <v>1918</v>
      </c>
      <c r="I888" s="1332">
        <v>12819</v>
      </c>
      <c r="J888" s="1332">
        <v>8634</v>
      </c>
      <c r="K888" s="1332">
        <v>36838</v>
      </c>
      <c r="L888" s="1333"/>
      <c r="M888" s="1332">
        <v>0</v>
      </c>
      <c r="N888" s="1332">
        <v>0</v>
      </c>
      <c r="O888" s="1332">
        <v>761</v>
      </c>
      <c r="P888" s="1332">
        <v>761</v>
      </c>
      <c r="Q888" s="1333"/>
      <c r="R888" s="1332">
        <v>35036</v>
      </c>
      <c r="S888" s="1332">
        <v>2870</v>
      </c>
      <c r="T888" s="1332">
        <v>37906</v>
      </c>
    </row>
    <row r="889" spans="1:20" x14ac:dyDescent="0.25">
      <c r="A889" s="1342">
        <v>99610</v>
      </c>
      <c r="B889" s="1340" t="s">
        <v>4229</v>
      </c>
      <c r="C889" s="1324">
        <v>1.683E-4</v>
      </c>
      <c r="D889" s="1324">
        <v>1.872E-4</v>
      </c>
      <c r="E889" s="1332">
        <v>459614</v>
      </c>
      <c r="F889" s="1333"/>
      <c r="G889" s="1332">
        <v>78698</v>
      </c>
      <c r="H889" s="1332">
        <v>11211</v>
      </c>
      <c r="I889" s="1332">
        <v>74909</v>
      </c>
      <c r="J889" s="1332">
        <v>396</v>
      </c>
      <c r="K889" s="1332">
        <v>165214</v>
      </c>
      <c r="L889" s="1333"/>
      <c r="M889" s="1332">
        <v>0</v>
      </c>
      <c r="N889" s="1332">
        <v>0</v>
      </c>
      <c r="O889" s="1332">
        <v>15245</v>
      </c>
      <c r="P889" s="1332">
        <v>15245</v>
      </c>
      <c r="Q889" s="1333"/>
      <c r="R889" s="1332">
        <v>204739</v>
      </c>
      <c r="S889" s="1332">
        <v>-4474</v>
      </c>
      <c r="T889" s="1332">
        <v>200265</v>
      </c>
    </row>
    <row r="890" spans="1:20" x14ac:dyDescent="0.25">
      <c r="A890" s="1342">
        <v>99611</v>
      </c>
      <c r="B890" s="1340" t="s">
        <v>3512</v>
      </c>
      <c r="C890" s="1324">
        <v>3.2022000000000001E-3</v>
      </c>
      <c r="D890" s="1324">
        <v>3.2894E-3</v>
      </c>
      <c r="E890" s="1332">
        <v>8744958</v>
      </c>
      <c r="F890" s="1333"/>
      <c r="G890" s="1332">
        <v>1497358</v>
      </c>
      <c r="H890" s="1332">
        <v>213302</v>
      </c>
      <c r="I890" s="1332">
        <v>1425283</v>
      </c>
      <c r="J890" s="1332">
        <v>44081</v>
      </c>
      <c r="K890" s="1332">
        <v>3180024</v>
      </c>
      <c r="L890" s="1333"/>
      <c r="M890" s="1332">
        <v>0</v>
      </c>
      <c r="N890" s="1332">
        <v>0</v>
      </c>
      <c r="O890" s="1332">
        <v>146995</v>
      </c>
      <c r="P890" s="1332">
        <v>146995</v>
      </c>
      <c r="Q890" s="1333"/>
      <c r="R890" s="1332">
        <v>3895518</v>
      </c>
      <c r="S890" s="1332">
        <v>-70007</v>
      </c>
      <c r="T890" s="1332">
        <v>3825511</v>
      </c>
    </row>
    <row r="891" spans="1:20" x14ac:dyDescent="0.25">
      <c r="A891" s="1342">
        <v>99613</v>
      </c>
      <c r="B891" s="1340" t="s">
        <v>3513</v>
      </c>
      <c r="C891" s="1324">
        <v>3.3720000000000001E-4</v>
      </c>
      <c r="D891" s="1324">
        <v>3.57E-4</v>
      </c>
      <c r="E891" s="1332">
        <v>920867</v>
      </c>
      <c r="F891" s="1333"/>
      <c r="G891" s="1332">
        <v>157676</v>
      </c>
      <c r="H891" s="1332">
        <v>22461</v>
      </c>
      <c r="I891" s="1332">
        <v>150086</v>
      </c>
      <c r="J891" s="1332">
        <v>213061</v>
      </c>
      <c r="K891" s="1332">
        <v>543284</v>
      </c>
      <c r="L891" s="1333"/>
      <c r="M891" s="1332">
        <v>0</v>
      </c>
      <c r="N891" s="1332">
        <v>0</v>
      </c>
      <c r="O891" s="1332">
        <v>14394</v>
      </c>
      <c r="P891" s="1332">
        <v>14394</v>
      </c>
      <c r="Q891" s="1333"/>
      <c r="R891" s="1332">
        <v>410208</v>
      </c>
      <c r="S891" s="1332">
        <v>126025</v>
      </c>
      <c r="T891" s="1332">
        <v>536233</v>
      </c>
    </row>
    <row r="892" spans="1:20" x14ac:dyDescent="0.25">
      <c r="A892" s="1342">
        <v>99621</v>
      </c>
      <c r="B892" s="1340" t="s">
        <v>3514</v>
      </c>
      <c r="C892" s="1324">
        <v>3.5530000000000002E-4</v>
      </c>
      <c r="D892" s="1324">
        <v>3.7399999999999998E-4</v>
      </c>
      <c r="E892" s="1332">
        <v>970297</v>
      </c>
      <c r="F892" s="1333"/>
      <c r="G892" s="1332">
        <v>166139</v>
      </c>
      <c r="H892" s="1332">
        <v>23667</v>
      </c>
      <c r="I892" s="1332">
        <v>158142</v>
      </c>
      <c r="J892" s="1332">
        <v>16281</v>
      </c>
      <c r="K892" s="1332">
        <v>364229</v>
      </c>
      <c r="L892" s="1333"/>
      <c r="M892" s="1332">
        <v>0</v>
      </c>
      <c r="N892" s="1332">
        <v>0</v>
      </c>
      <c r="O892" s="1332">
        <v>23623</v>
      </c>
      <c r="P892" s="1332">
        <v>23623</v>
      </c>
      <c r="Q892" s="1333"/>
      <c r="R892" s="1332">
        <v>432227</v>
      </c>
      <c r="S892" s="1332">
        <v>2438</v>
      </c>
      <c r="T892" s="1332">
        <v>434665</v>
      </c>
    </row>
    <row r="893" spans="1:20" x14ac:dyDescent="0.25">
      <c r="A893" s="1342">
        <v>99623</v>
      </c>
      <c r="B893" s="1340" t="s">
        <v>4230</v>
      </c>
      <c r="C893" s="1324">
        <v>1.08E-5</v>
      </c>
      <c r="D893" s="1324">
        <v>3.4799999999999999E-5</v>
      </c>
      <c r="E893" s="1332">
        <v>29494</v>
      </c>
      <c r="F893" s="1333"/>
      <c r="G893" s="1332">
        <v>5050</v>
      </c>
      <c r="H893" s="1332">
        <v>719</v>
      </c>
      <c r="I893" s="1332">
        <v>4807</v>
      </c>
      <c r="J893" s="1332">
        <v>298</v>
      </c>
      <c r="K893" s="1332">
        <v>10874</v>
      </c>
      <c r="L893" s="1333"/>
      <c r="M893" s="1332">
        <v>0</v>
      </c>
      <c r="N893" s="1332">
        <v>0</v>
      </c>
      <c r="O893" s="1332">
        <v>20704</v>
      </c>
      <c r="P893" s="1332">
        <v>20704</v>
      </c>
      <c r="Q893" s="1333"/>
      <c r="R893" s="1332">
        <v>13138</v>
      </c>
      <c r="S893" s="1332">
        <v>-4510</v>
      </c>
      <c r="T893" s="1332">
        <v>8628</v>
      </c>
    </row>
    <row r="894" spans="1:20" x14ac:dyDescent="0.25">
      <c r="A894" s="1342">
        <v>99631</v>
      </c>
      <c r="B894" s="1340" t="s">
        <v>3516</v>
      </c>
      <c r="C894" s="1324">
        <v>1.078E-4</v>
      </c>
      <c r="D894" s="1324">
        <v>1.11E-4</v>
      </c>
      <c r="E894" s="1332">
        <v>294393</v>
      </c>
      <c r="F894" s="1333"/>
      <c r="G894" s="1332">
        <v>50408</v>
      </c>
      <c r="H894" s="1332">
        <v>7181</v>
      </c>
      <c r="I894" s="1332">
        <v>47981</v>
      </c>
      <c r="J894" s="1332">
        <v>535</v>
      </c>
      <c r="K894" s="1332">
        <v>106105</v>
      </c>
      <c r="L894" s="1333"/>
      <c r="M894" s="1332">
        <v>0</v>
      </c>
      <c r="N894" s="1332">
        <v>0</v>
      </c>
      <c r="O894" s="1332">
        <v>11066</v>
      </c>
      <c r="P894" s="1332">
        <v>11066</v>
      </c>
      <c r="Q894" s="1333"/>
      <c r="R894" s="1332">
        <v>131140</v>
      </c>
      <c r="S894" s="1332">
        <v>-3213</v>
      </c>
      <c r="T894" s="1332">
        <v>127927</v>
      </c>
    </row>
    <row r="895" spans="1:20" x14ac:dyDescent="0.25">
      <c r="A895" s="1342">
        <v>99651</v>
      </c>
      <c r="B895" s="1340" t="s">
        <v>3517</v>
      </c>
      <c r="C895" s="1324">
        <v>6.5300000000000002E-5</v>
      </c>
      <c r="D895" s="1324">
        <v>5.7000000000000003E-5</v>
      </c>
      <c r="E895" s="1332">
        <v>178329</v>
      </c>
      <c r="F895" s="1333"/>
      <c r="G895" s="1332">
        <v>30534</v>
      </c>
      <c r="H895" s="1332">
        <v>4350</v>
      </c>
      <c r="I895" s="1332">
        <v>29065</v>
      </c>
      <c r="J895" s="1332">
        <v>8279</v>
      </c>
      <c r="K895" s="1332">
        <v>72228</v>
      </c>
      <c r="L895" s="1333"/>
      <c r="M895" s="1332">
        <v>0</v>
      </c>
      <c r="N895" s="1332">
        <v>0</v>
      </c>
      <c r="O895" s="1332">
        <v>4878</v>
      </c>
      <c r="P895" s="1332">
        <v>4878</v>
      </c>
      <c r="Q895" s="1333"/>
      <c r="R895" s="1332">
        <v>79438</v>
      </c>
      <c r="S895" s="1332">
        <v>2716</v>
      </c>
      <c r="T895" s="1332">
        <v>82154</v>
      </c>
    </row>
    <row r="896" spans="1:20" x14ac:dyDescent="0.25">
      <c r="A896" s="1342">
        <v>99661</v>
      </c>
      <c r="B896" s="1340" t="s">
        <v>3518</v>
      </c>
      <c r="C896" s="1324">
        <v>3.4799999999999999E-5</v>
      </c>
      <c r="D896" s="1324">
        <v>2.5999999999999998E-5</v>
      </c>
      <c r="E896" s="1332">
        <v>95036</v>
      </c>
      <c r="F896" s="1333"/>
      <c r="G896" s="1332">
        <v>16273</v>
      </c>
      <c r="H896" s="1332">
        <v>2318</v>
      </c>
      <c r="I896" s="1332">
        <v>15489</v>
      </c>
      <c r="J896" s="1332">
        <v>57991</v>
      </c>
      <c r="K896" s="1332">
        <v>92071</v>
      </c>
      <c r="L896" s="1333"/>
      <c r="M896" s="1332">
        <v>0</v>
      </c>
      <c r="N896" s="1332">
        <v>0</v>
      </c>
      <c r="O896" s="1332">
        <v>0</v>
      </c>
      <c r="P896" s="1332">
        <v>0</v>
      </c>
      <c r="Q896" s="1333"/>
      <c r="R896" s="1332">
        <v>42335</v>
      </c>
      <c r="S896" s="1332">
        <v>24607</v>
      </c>
      <c r="T896" s="1332">
        <v>66942</v>
      </c>
    </row>
    <row r="897" spans="1:20" x14ac:dyDescent="0.25">
      <c r="A897" s="1342">
        <v>99701</v>
      </c>
      <c r="B897" s="1340" t="s">
        <v>3519</v>
      </c>
      <c r="C897" s="1324">
        <v>2.9930999999999998E-3</v>
      </c>
      <c r="D897" s="1324">
        <v>2.9659E-3</v>
      </c>
      <c r="E897" s="1332">
        <v>8173923</v>
      </c>
      <c r="F897" s="1333"/>
      <c r="G897" s="1332">
        <v>1399583</v>
      </c>
      <c r="H897" s="1332">
        <v>199373</v>
      </c>
      <c r="I897" s="1332">
        <v>1332214</v>
      </c>
      <c r="J897" s="1332">
        <v>2637</v>
      </c>
      <c r="K897" s="1332">
        <v>2933807</v>
      </c>
      <c r="L897" s="1333"/>
      <c r="M897" s="1332">
        <v>0</v>
      </c>
      <c r="N897" s="1332">
        <v>0</v>
      </c>
      <c r="O897" s="1332">
        <v>28515</v>
      </c>
      <c r="P897" s="1332">
        <v>28515</v>
      </c>
      <c r="Q897" s="1333"/>
      <c r="R897" s="1332">
        <v>3641145</v>
      </c>
      <c r="S897" s="1332">
        <v>-375</v>
      </c>
      <c r="T897" s="1332">
        <v>3640770</v>
      </c>
    </row>
    <row r="898" spans="1:20" x14ac:dyDescent="0.25">
      <c r="A898" s="1342">
        <v>99705</v>
      </c>
      <c r="B898" s="1340" t="s">
        <v>3520</v>
      </c>
      <c r="C898" s="1324">
        <v>1.5530000000000001E-4</v>
      </c>
      <c r="D898" s="1324">
        <v>1.6349999999999999E-4</v>
      </c>
      <c r="E898" s="1332">
        <v>424112</v>
      </c>
      <c r="F898" s="1333"/>
      <c r="G898" s="1332">
        <v>72619</v>
      </c>
      <c r="H898" s="1332">
        <v>10345</v>
      </c>
      <c r="I898" s="1332">
        <v>69123</v>
      </c>
      <c r="J898" s="1332">
        <v>16349</v>
      </c>
      <c r="K898" s="1332">
        <v>168436</v>
      </c>
      <c r="L898" s="1333"/>
      <c r="M898" s="1332">
        <v>0</v>
      </c>
      <c r="N898" s="1332">
        <v>0</v>
      </c>
      <c r="O898" s="1332">
        <v>0</v>
      </c>
      <c r="P898" s="1332">
        <v>0</v>
      </c>
      <c r="Q898" s="1333"/>
      <c r="R898" s="1332">
        <v>188924</v>
      </c>
      <c r="S898" s="1332">
        <v>5207</v>
      </c>
      <c r="T898" s="1332">
        <v>194131</v>
      </c>
    </row>
    <row r="899" spans="1:20" x14ac:dyDescent="0.25">
      <c r="A899" s="1342">
        <v>99711</v>
      </c>
      <c r="B899" s="1340" t="s">
        <v>4231</v>
      </c>
      <c r="C899" s="1324">
        <v>4.2489999999999997E-4</v>
      </c>
      <c r="D899" s="1324">
        <v>4.462E-4</v>
      </c>
      <c r="E899" s="1332">
        <v>1160369</v>
      </c>
      <c r="F899" s="1333"/>
      <c r="G899" s="1332">
        <v>198685</v>
      </c>
      <c r="H899" s="1332">
        <v>28303</v>
      </c>
      <c r="I899" s="1332">
        <v>189121</v>
      </c>
      <c r="J899" s="1332">
        <v>6755</v>
      </c>
      <c r="K899" s="1332">
        <v>422864</v>
      </c>
      <c r="L899" s="1333"/>
      <c r="M899" s="1332">
        <v>0</v>
      </c>
      <c r="N899" s="1332">
        <v>0</v>
      </c>
      <c r="O899" s="1332">
        <v>9249</v>
      </c>
      <c r="P899" s="1332">
        <v>9249</v>
      </c>
      <c r="Q899" s="1333"/>
      <c r="R899" s="1332">
        <v>516896</v>
      </c>
      <c r="S899" s="1332">
        <v>-3318</v>
      </c>
      <c r="T899" s="1332">
        <v>513578</v>
      </c>
    </row>
    <row r="900" spans="1:20" x14ac:dyDescent="0.25">
      <c r="A900" s="1342">
        <v>99717</v>
      </c>
      <c r="B900" s="1340" t="s">
        <v>4232</v>
      </c>
      <c r="C900" s="1324">
        <v>2.6599999999999999E-5</v>
      </c>
      <c r="D900" s="1324">
        <v>2.1800000000000001E-5</v>
      </c>
      <c r="E900" s="1332">
        <v>72643</v>
      </c>
      <c r="F900" s="1333"/>
      <c r="G900" s="1332">
        <v>12438</v>
      </c>
      <c r="H900" s="1332">
        <v>1772</v>
      </c>
      <c r="I900" s="1332">
        <v>11840</v>
      </c>
      <c r="J900" s="1332">
        <v>858</v>
      </c>
      <c r="K900" s="1332">
        <v>26908</v>
      </c>
      <c r="L900" s="1333"/>
      <c r="M900" s="1332">
        <v>0</v>
      </c>
      <c r="N900" s="1332">
        <v>0</v>
      </c>
      <c r="O900" s="1332">
        <v>2544</v>
      </c>
      <c r="P900" s="1332">
        <v>2544</v>
      </c>
      <c r="Q900" s="1333"/>
      <c r="R900" s="1332">
        <v>32359</v>
      </c>
      <c r="S900" s="1332">
        <v>-1334</v>
      </c>
      <c r="T900" s="1332">
        <v>31025</v>
      </c>
    </row>
    <row r="901" spans="1:20" x14ac:dyDescent="0.25">
      <c r="A901" s="1342">
        <v>99721</v>
      </c>
      <c r="B901" s="1340" t="s">
        <v>3523</v>
      </c>
      <c r="C901" s="1324">
        <v>6.1160000000000001E-4</v>
      </c>
      <c r="D901" s="1324">
        <v>5.886E-4</v>
      </c>
      <c r="E901" s="1332">
        <v>1670232</v>
      </c>
      <c r="F901" s="1333"/>
      <c r="G901" s="1332">
        <v>285986</v>
      </c>
      <c r="H901" s="1332">
        <v>40739</v>
      </c>
      <c r="I901" s="1332">
        <v>272220</v>
      </c>
      <c r="J901" s="1332">
        <v>2317</v>
      </c>
      <c r="K901" s="1332">
        <v>601262</v>
      </c>
      <c r="L901" s="1333"/>
      <c r="M901" s="1332">
        <v>0</v>
      </c>
      <c r="N901" s="1332">
        <v>0</v>
      </c>
      <c r="O901" s="1332">
        <v>26668</v>
      </c>
      <c r="P901" s="1332">
        <v>26668</v>
      </c>
      <c r="Q901" s="1333"/>
      <c r="R901" s="1332">
        <v>744019</v>
      </c>
      <c r="S901" s="1332">
        <v>-13251</v>
      </c>
      <c r="T901" s="1332">
        <v>730768</v>
      </c>
    </row>
    <row r="902" spans="1:20" s="1323" customFormat="1" x14ac:dyDescent="0.25">
      <c r="A902" s="1342">
        <v>99727</v>
      </c>
      <c r="B902" s="1340" t="s">
        <v>3524</v>
      </c>
      <c r="C902" s="1324">
        <v>1.98E-5</v>
      </c>
      <c r="D902" s="1324">
        <v>2.2099999999999998E-5</v>
      </c>
      <c r="E902" s="1332">
        <v>54072</v>
      </c>
      <c r="F902" s="1333"/>
      <c r="G902" s="1332">
        <v>9259</v>
      </c>
      <c r="H902" s="1332">
        <v>1319</v>
      </c>
      <c r="I902" s="1332">
        <v>8813</v>
      </c>
      <c r="J902" s="1332">
        <v>69546</v>
      </c>
      <c r="K902" s="1332">
        <v>88937</v>
      </c>
      <c r="L902" s="1333"/>
      <c r="M902" s="1332">
        <v>0</v>
      </c>
      <c r="N902" s="1332">
        <v>0</v>
      </c>
      <c r="O902" s="1332">
        <v>0</v>
      </c>
      <c r="P902" s="1332">
        <v>0</v>
      </c>
      <c r="Q902" s="1333"/>
      <c r="R902" s="1332">
        <v>24087</v>
      </c>
      <c r="S902" s="1332">
        <v>33418</v>
      </c>
      <c r="T902" s="1332">
        <v>57505</v>
      </c>
    </row>
    <row r="903" spans="1:20" s="1323" customFormat="1" x14ac:dyDescent="0.25">
      <c r="A903" s="1342">
        <v>99801</v>
      </c>
      <c r="B903" s="1340" t="s">
        <v>3525</v>
      </c>
      <c r="C903" s="1324">
        <v>4.7737999999999999E-3</v>
      </c>
      <c r="D903" s="1324">
        <v>4.9709000000000003E-3</v>
      </c>
      <c r="E903" s="1332">
        <v>13036875</v>
      </c>
      <c r="F903" s="1333"/>
      <c r="G903" s="1332">
        <v>2232243</v>
      </c>
      <c r="H903" s="1332">
        <v>317987</v>
      </c>
      <c r="I903" s="1332">
        <v>2124795</v>
      </c>
      <c r="J903" s="1332">
        <v>0</v>
      </c>
      <c r="K903" s="1332">
        <v>4675025</v>
      </c>
      <c r="L903" s="1333"/>
      <c r="M903" s="1332">
        <v>0</v>
      </c>
      <c r="N903" s="1332">
        <v>0</v>
      </c>
      <c r="O903" s="1332">
        <v>493450</v>
      </c>
      <c r="P903" s="1332">
        <v>493450</v>
      </c>
      <c r="Q903" s="1333"/>
      <c r="R903" s="1332">
        <v>5807390</v>
      </c>
      <c r="S903" s="1332">
        <v>-168173</v>
      </c>
      <c r="T903" s="1332">
        <v>5639217</v>
      </c>
    </row>
    <row r="904" spans="1:20" s="1323" customFormat="1" ht="30" x14ac:dyDescent="0.25">
      <c r="A904" s="1342">
        <v>99802</v>
      </c>
      <c r="B904" s="1340" t="s">
        <v>4233</v>
      </c>
      <c r="C904" s="1324">
        <v>1.1600000000000001E-5</v>
      </c>
      <c r="D904" s="1324">
        <v>1.19E-5</v>
      </c>
      <c r="E904" s="1332">
        <v>31679</v>
      </c>
      <c r="F904" s="1333"/>
      <c r="G904" s="1332">
        <v>5424</v>
      </c>
      <c r="H904" s="1332">
        <v>772</v>
      </c>
      <c r="I904" s="1332">
        <v>5163</v>
      </c>
      <c r="J904" s="1332">
        <v>5470</v>
      </c>
      <c r="K904" s="1332">
        <v>16829</v>
      </c>
      <c r="L904" s="1333"/>
      <c r="M904" s="1332">
        <v>0</v>
      </c>
      <c r="N904" s="1332">
        <v>0</v>
      </c>
      <c r="O904" s="1332">
        <v>0</v>
      </c>
      <c r="P904" s="1332">
        <v>0</v>
      </c>
      <c r="Q904" s="1333"/>
      <c r="R904" s="1332">
        <v>14112</v>
      </c>
      <c r="S904" s="1332">
        <v>1903</v>
      </c>
      <c r="T904" s="1332">
        <v>16015</v>
      </c>
    </row>
    <row r="905" spans="1:20" s="1323" customFormat="1" x14ac:dyDescent="0.25">
      <c r="A905" s="1342">
        <v>99804</v>
      </c>
      <c r="B905" s="1340" t="s">
        <v>3527</v>
      </c>
      <c r="C905" s="1324">
        <v>7.2200000000000007E-5</v>
      </c>
      <c r="D905" s="1324">
        <v>8.1000000000000004E-5</v>
      </c>
      <c r="E905" s="1332">
        <v>197173</v>
      </c>
      <c r="F905" s="1333"/>
      <c r="G905" s="1332">
        <v>33761</v>
      </c>
      <c r="H905" s="1332">
        <v>4809</v>
      </c>
      <c r="I905" s="1332">
        <v>32136</v>
      </c>
      <c r="J905" s="1332">
        <v>5995</v>
      </c>
      <c r="K905" s="1332">
        <v>76701</v>
      </c>
      <c r="L905" s="1333"/>
      <c r="M905" s="1332">
        <v>0</v>
      </c>
      <c r="N905" s="1332">
        <v>0</v>
      </c>
      <c r="O905" s="1332">
        <v>97</v>
      </c>
      <c r="P905" s="1332">
        <v>97</v>
      </c>
      <c r="Q905" s="1333"/>
      <c r="R905" s="1332">
        <v>87832</v>
      </c>
      <c r="S905" s="1332">
        <v>4887</v>
      </c>
      <c r="T905" s="1332">
        <v>92719</v>
      </c>
    </row>
    <row r="906" spans="1:20" s="1323" customFormat="1" x14ac:dyDescent="0.25">
      <c r="A906" s="1342">
        <v>99811</v>
      </c>
      <c r="B906" s="1340" t="s">
        <v>3528</v>
      </c>
      <c r="C906" s="1324">
        <v>6.4218000000000001E-3</v>
      </c>
      <c r="D906" s="1324">
        <v>6.4733000000000004E-3</v>
      </c>
      <c r="E906" s="1332">
        <v>17537435</v>
      </c>
      <c r="F906" s="1333"/>
      <c r="G906" s="1332">
        <v>3002853</v>
      </c>
      <c r="H906" s="1332">
        <v>427763</v>
      </c>
      <c r="I906" s="1332">
        <v>2858311</v>
      </c>
      <c r="J906" s="1332">
        <v>0</v>
      </c>
      <c r="K906" s="1332">
        <v>6288927</v>
      </c>
      <c r="L906" s="1333"/>
      <c r="M906" s="1332">
        <v>0</v>
      </c>
      <c r="N906" s="1332">
        <v>0</v>
      </c>
      <c r="O906" s="1332">
        <v>518756</v>
      </c>
      <c r="P906" s="1332">
        <v>518756</v>
      </c>
      <c r="Q906" s="1333"/>
      <c r="R906" s="1332">
        <v>7812203</v>
      </c>
      <c r="S906" s="1332">
        <v>-279286</v>
      </c>
      <c r="T906" s="1332">
        <v>7532917</v>
      </c>
    </row>
    <row r="907" spans="1:20" s="1323" customFormat="1" x14ac:dyDescent="0.25">
      <c r="A907" s="1342">
        <v>99812</v>
      </c>
      <c r="B907" s="1340" t="s">
        <v>4234</v>
      </c>
      <c r="C907" s="1324">
        <v>1.88E-5</v>
      </c>
      <c r="D907" s="1324">
        <v>1.9700000000000001E-5</v>
      </c>
      <c r="E907" s="1332">
        <v>51341</v>
      </c>
      <c r="F907" s="1333"/>
      <c r="G907" s="1332">
        <v>8791</v>
      </c>
      <c r="H907" s="1332">
        <v>1252</v>
      </c>
      <c r="I907" s="1332">
        <v>8368</v>
      </c>
      <c r="J907" s="1332">
        <v>19026</v>
      </c>
      <c r="K907" s="1332">
        <v>37437</v>
      </c>
      <c r="L907" s="1333"/>
      <c r="M907" s="1332">
        <v>0</v>
      </c>
      <c r="N907" s="1332">
        <v>0</v>
      </c>
      <c r="O907" s="1332">
        <v>0</v>
      </c>
      <c r="P907" s="1332">
        <v>0</v>
      </c>
      <c r="Q907" s="1333"/>
      <c r="R907" s="1332">
        <v>22870</v>
      </c>
      <c r="S907" s="1332">
        <v>7778</v>
      </c>
      <c r="T907" s="1332">
        <v>30648</v>
      </c>
    </row>
    <row r="908" spans="1:20" s="1323" customFormat="1" x14ac:dyDescent="0.25">
      <c r="A908" s="1342">
        <v>99818</v>
      </c>
      <c r="B908" s="1340" t="s">
        <v>3530</v>
      </c>
      <c r="C908" s="1324">
        <v>3.5599999999999998E-5</v>
      </c>
      <c r="D908" s="1324">
        <v>3.3399999999999999E-5</v>
      </c>
      <c r="E908" s="1332">
        <v>97221</v>
      </c>
      <c r="F908" s="1333"/>
      <c r="G908" s="1332">
        <v>16647</v>
      </c>
      <c r="H908" s="1332">
        <v>2371</v>
      </c>
      <c r="I908" s="1332">
        <v>15845</v>
      </c>
      <c r="J908" s="1332">
        <v>0</v>
      </c>
      <c r="K908" s="1332">
        <v>34863</v>
      </c>
      <c r="L908" s="1333"/>
      <c r="M908" s="1332">
        <v>0</v>
      </c>
      <c r="N908" s="1332">
        <v>0</v>
      </c>
      <c r="O908" s="1332">
        <v>4580</v>
      </c>
      <c r="P908" s="1332">
        <v>4580</v>
      </c>
      <c r="Q908" s="1333"/>
      <c r="R908" s="1332">
        <v>43308</v>
      </c>
      <c r="S908" s="1332">
        <v>-1788</v>
      </c>
      <c r="T908" s="1332">
        <v>41520</v>
      </c>
    </row>
    <row r="909" spans="1:20" s="1323" customFormat="1" x14ac:dyDescent="0.25">
      <c r="A909" s="1342">
        <v>99821</v>
      </c>
      <c r="B909" s="1340" t="s">
        <v>3531</v>
      </c>
      <c r="C909" s="1324">
        <v>9.8200000000000002E-5</v>
      </c>
      <c r="D909" s="1324">
        <v>9.2899999999999995E-5</v>
      </c>
      <c r="E909" s="1332">
        <v>268177</v>
      </c>
      <c r="F909" s="1333"/>
      <c r="G909" s="1332">
        <v>45919</v>
      </c>
      <c r="H909" s="1332">
        <v>6541</v>
      </c>
      <c r="I909" s="1332">
        <v>43708</v>
      </c>
      <c r="J909" s="1332">
        <v>17407</v>
      </c>
      <c r="K909" s="1332">
        <v>113575</v>
      </c>
      <c r="L909" s="1333"/>
      <c r="M909" s="1332">
        <v>0</v>
      </c>
      <c r="N909" s="1332">
        <v>0</v>
      </c>
      <c r="O909" s="1332">
        <v>0</v>
      </c>
      <c r="P909" s="1332">
        <v>0</v>
      </c>
      <c r="Q909" s="1333"/>
      <c r="R909" s="1332">
        <v>119462</v>
      </c>
      <c r="S909" s="1332">
        <v>7065</v>
      </c>
      <c r="T909" s="1332">
        <v>126527</v>
      </c>
    </row>
    <row r="910" spans="1:20" s="1323" customFormat="1" x14ac:dyDescent="0.25">
      <c r="A910" s="1342">
        <v>99831</v>
      </c>
      <c r="B910" s="1340" t="s">
        <v>3532</v>
      </c>
      <c r="C910" s="1324">
        <v>5.5399999999999998E-5</v>
      </c>
      <c r="D910" s="1324">
        <v>4.9700000000000002E-5</v>
      </c>
      <c r="E910" s="1332">
        <v>151293</v>
      </c>
      <c r="F910" s="1333"/>
      <c r="G910" s="1332">
        <v>25905</v>
      </c>
      <c r="H910" s="1332">
        <v>3690</v>
      </c>
      <c r="I910" s="1332">
        <v>24658</v>
      </c>
      <c r="J910" s="1332">
        <v>10355</v>
      </c>
      <c r="K910" s="1332">
        <v>64608</v>
      </c>
      <c r="L910" s="1333"/>
      <c r="M910" s="1332">
        <v>0</v>
      </c>
      <c r="N910" s="1332">
        <v>0</v>
      </c>
      <c r="O910" s="1332">
        <v>5400</v>
      </c>
      <c r="P910" s="1332">
        <v>5400</v>
      </c>
      <c r="Q910" s="1333"/>
      <c r="R910" s="1332">
        <v>67395</v>
      </c>
      <c r="S910" s="1332">
        <v>1737</v>
      </c>
      <c r="T910" s="1332">
        <v>69132</v>
      </c>
    </row>
    <row r="911" spans="1:20" s="1323" customFormat="1" x14ac:dyDescent="0.25">
      <c r="A911" s="1342">
        <v>99841</v>
      </c>
      <c r="B911" s="1340" t="s">
        <v>3533</v>
      </c>
      <c r="C911" s="1324">
        <v>1.59E-5</v>
      </c>
      <c r="D911" s="1324">
        <v>3.2199999999999997E-5</v>
      </c>
      <c r="E911" s="1332">
        <v>43422</v>
      </c>
      <c r="F911" s="1333"/>
      <c r="G911" s="1332">
        <v>7435</v>
      </c>
      <c r="H911" s="1332">
        <v>1059</v>
      </c>
      <c r="I911" s="1332">
        <v>7077</v>
      </c>
      <c r="J911" s="1332">
        <v>0</v>
      </c>
      <c r="K911" s="1332">
        <v>15571</v>
      </c>
      <c r="L911" s="1333"/>
      <c r="M911" s="1332">
        <v>0</v>
      </c>
      <c r="N911" s="1332">
        <v>0</v>
      </c>
      <c r="O911" s="1332">
        <v>15024</v>
      </c>
      <c r="P911" s="1332">
        <v>15024</v>
      </c>
      <c r="Q911" s="1333"/>
      <c r="R911" s="1332">
        <v>19343</v>
      </c>
      <c r="S911" s="1332">
        <v>-4088</v>
      </c>
      <c r="T911" s="1332">
        <v>15255</v>
      </c>
    </row>
    <row r="912" spans="1:20" s="1323" customFormat="1" x14ac:dyDescent="0.25">
      <c r="A912" s="1342">
        <v>99851</v>
      </c>
      <c r="B912" s="1340" t="s">
        <v>3534</v>
      </c>
      <c r="C912" s="1324">
        <v>7.9000000000000006E-6</v>
      </c>
      <c r="D912" s="1324">
        <v>2.34E-5</v>
      </c>
      <c r="E912" s="1332">
        <v>21574</v>
      </c>
      <c r="F912" s="1333"/>
      <c r="G912" s="1332">
        <v>3694</v>
      </c>
      <c r="H912" s="1332">
        <v>526</v>
      </c>
      <c r="I912" s="1332">
        <v>3516</v>
      </c>
      <c r="J912" s="1332">
        <v>0</v>
      </c>
      <c r="K912" s="1332">
        <v>7736</v>
      </c>
      <c r="L912" s="1333"/>
      <c r="M912" s="1332">
        <v>0</v>
      </c>
      <c r="N912" s="1332">
        <v>0</v>
      </c>
      <c r="O912" s="1332">
        <v>14691</v>
      </c>
      <c r="P912" s="1332">
        <v>14691</v>
      </c>
      <c r="Q912" s="1333"/>
      <c r="R912" s="1332">
        <v>9610</v>
      </c>
      <c r="S912" s="1332">
        <v>-4276</v>
      </c>
      <c r="T912" s="1332">
        <v>5334</v>
      </c>
    </row>
    <row r="913" spans="1:20" s="1323" customFormat="1" x14ac:dyDescent="0.25">
      <c r="A913" s="1342">
        <v>99901</v>
      </c>
      <c r="B913" s="1340" t="s">
        <v>3535</v>
      </c>
      <c r="C913" s="1324">
        <v>1.5942E-3</v>
      </c>
      <c r="D913" s="1324">
        <v>1.5693E-3</v>
      </c>
      <c r="E913" s="1332">
        <v>4353636</v>
      </c>
      <c r="F913" s="1333"/>
      <c r="G913" s="1332">
        <v>745453</v>
      </c>
      <c r="H913" s="1332">
        <v>106191</v>
      </c>
      <c r="I913" s="1332">
        <v>709570</v>
      </c>
      <c r="J913" s="1332">
        <v>15271</v>
      </c>
      <c r="K913" s="1332">
        <v>1576485</v>
      </c>
      <c r="L913" s="1333"/>
      <c r="M913" s="1332">
        <v>0</v>
      </c>
      <c r="N913" s="1332">
        <v>0</v>
      </c>
      <c r="O913" s="1332">
        <v>65837</v>
      </c>
      <c r="P913" s="1332">
        <v>65837</v>
      </c>
      <c r="Q913" s="1333"/>
      <c r="R913" s="1332">
        <v>1939365</v>
      </c>
      <c r="S913" s="1332">
        <v>1418</v>
      </c>
      <c r="T913" s="1332">
        <v>1940783</v>
      </c>
    </row>
    <row r="914" spans="1:20" s="1323" customFormat="1" x14ac:dyDescent="0.25">
      <c r="A914" s="1342">
        <v>99911</v>
      </c>
      <c r="B914" s="1340" t="s">
        <v>3536</v>
      </c>
      <c r="C914" s="1324">
        <v>2.219E-4</v>
      </c>
      <c r="D914" s="1324">
        <v>2.3900000000000001E-4</v>
      </c>
      <c r="E914" s="1332">
        <v>605992</v>
      </c>
      <c r="F914" s="1333"/>
      <c r="G914" s="1332">
        <v>103761</v>
      </c>
      <c r="H914" s="1332">
        <v>14781</v>
      </c>
      <c r="I914" s="1332">
        <v>98767</v>
      </c>
      <c r="J914" s="1332">
        <v>6810</v>
      </c>
      <c r="K914" s="1332">
        <v>224119</v>
      </c>
      <c r="L914" s="1333"/>
      <c r="M914" s="1332">
        <v>0</v>
      </c>
      <c r="N914" s="1332">
        <v>0</v>
      </c>
      <c r="O914" s="1332">
        <v>7455</v>
      </c>
      <c r="P914" s="1332">
        <v>7455</v>
      </c>
      <c r="Q914" s="1333"/>
      <c r="R914" s="1332">
        <v>269944</v>
      </c>
      <c r="S914" s="1332">
        <v>-1143</v>
      </c>
      <c r="T914" s="1332">
        <v>268801</v>
      </c>
    </row>
    <row r="915" spans="1:20" s="1323" customFormat="1" x14ac:dyDescent="0.25">
      <c r="A915" s="1342">
        <v>99921</v>
      </c>
      <c r="B915" s="1340" t="s">
        <v>3537</v>
      </c>
      <c r="C915" s="1324">
        <v>1.315E-4</v>
      </c>
      <c r="D915" s="1324">
        <v>1.3119999999999999E-4</v>
      </c>
      <c r="E915" s="1332">
        <v>359116</v>
      </c>
      <c r="F915" s="1333"/>
      <c r="G915" s="1332">
        <v>61490</v>
      </c>
      <c r="H915" s="1332">
        <v>8760</v>
      </c>
      <c r="I915" s="1332">
        <v>58530</v>
      </c>
      <c r="J915" s="1332">
        <v>1863</v>
      </c>
      <c r="K915" s="1332">
        <v>130643</v>
      </c>
      <c r="L915" s="1333"/>
      <c r="M915" s="1332">
        <v>0</v>
      </c>
      <c r="N915" s="1332">
        <v>0</v>
      </c>
      <c r="O915" s="1332">
        <v>14440</v>
      </c>
      <c r="P915" s="1332">
        <v>14440</v>
      </c>
      <c r="Q915" s="1333"/>
      <c r="R915" s="1332">
        <v>159971</v>
      </c>
      <c r="S915" s="1332">
        <v>-3396</v>
      </c>
      <c r="T915" s="1332">
        <v>156575</v>
      </c>
    </row>
    <row r="916" spans="1:20" s="1323" customFormat="1" x14ac:dyDescent="0.25">
      <c r="A916" s="1342">
        <v>99931</v>
      </c>
      <c r="B916" s="1340" t="s">
        <v>3538</v>
      </c>
      <c r="C916" s="1324">
        <v>2.1699999999999999E-5</v>
      </c>
      <c r="D916" s="1324">
        <v>1.52E-5</v>
      </c>
      <c r="E916" s="1332">
        <v>59261</v>
      </c>
      <c r="F916" s="1333"/>
      <c r="G916" s="1332">
        <v>10147</v>
      </c>
      <c r="H916" s="1332">
        <v>1445</v>
      </c>
      <c r="I916" s="1332">
        <v>9659</v>
      </c>
      <c r="J916" s="1332">
        <v>6366</v>
      </c>
      <c r="K916" s="1332">
        <v>27617</v>
      </c>
      <c r="L916" s="1333"/>
      <c r="M916" s="1332">
        <v>0</v>
      </c>
      <c r="N916" s="1332">
        <v>0</v>
      </c>
      <c r="O916" s="1332">
        <v>2741</v>
      </c>
      <c r="P916" s="1332">
        <v>2741</v>
      </c>
      <c r="Q916" s="1333"/>
      <c r="R916" s="1332">
        <v>26398</v>
      </c>
      <c r="S916" s="1332">
        <v>-779</v>
      </c>
      <c r="T916" s="1332">
        <v>25619</v>
      </c>
    </row>
    <row r="917" spans="1:20" s="1323" customFormat="1" x14ac:dyDescent="0.25">
      <c r="A917" s="1342">
        <v>99941</v>
      </c>
      <c r="B917" s="1340" t="s">
        <v>3539</v>
      </c>
      <c r="C917" s="1324">
        <v>7.7399999999999998E-5</v>
      </c>
      <c r="D917" s="1324">
        <v>7.4200000000000001E-5</v>
      </c>
      <c r="E917" s="1332">
        <v>211373</v>
      </c>
      <c r="F917" s="1333"/>
      <c r="G917" s="1332">
        <v>36192</v>
      </c>
      <c r="H917" s="1332">
        <v>5155</v>
      </c>
      <c r="I917" s="1332">
        <v>34450</v>
      </c>
      <c r="J917" s="1332">
        <v>0</v>
      </c>
      <c r="K917" s="1332">
        <v>75797</v>
      </c>
      <c r="L917" s="1333"/>
      <c r="M917" s="1332">
        <v>0</v>
      </c>
      <c r="N917" s="1332">
        <v>0</v>
      </c>
      <c r="O917" s="1332">
        <v>9157</v>
      </c>
      <c r="P917" s="1332">
        <v>9157</v>
      </c>
      <c r="Q917" s="1333"/>
      <c r="R917" s="1332">
        <v>94158</v>
      </c>
      <c r="S917" s="1332">
        <v>-4998</v>
      </c>
      <c r="T917" s="1332">
        <v>89160</v>
      </c>
    </row>
    <row r="918" spans="1:20" s="1323" customFormat="1" ht="30" x14ac:dyDescent="0.25">
      <c r="A918" s="1342">
        <v>99991</v>
      </c>
      <c r="B918" s="1340" t="s">
        <v>4235</v>
      </c>
      <c r="C918" s="1324">
        <v>5.0869999999999995E-4</v>
      </c>
      <c r="D918" s="1324">
        <v>5.2700000000000002E-4</v>
      </c>
      <c r="E918" s="1332">
        <v>1389220</v>
      </c>
      <c r="F918" s="1333"/>
      <c r="G918" s="1332">
        <v>237870</v>
      </c>
      <c r="H918" s="1332">
        <v>33885</v>
      </c>
      <c r="I918" s="1332">
        <v>226420</v>
      </c>
      <c r="J918" s="1332">
        <v>3109</v>
      </c>
      <c r="K918" s="1332">
        <v>501284</v>
      </c>
      <c r="L918" s="1333"/>
      <c r="M918" s="1332">
        <v>0</v>
      </c>
      <c r="N918" s="1332">
        <v>0</v>
      </c>
      <c r="O918" s="1332">
        <v>34054</v>
      </c>
      <c r="P918" s="1332">
        <v>34054</v>
      </c>
      <c r="Q918" s="1333"/>
      <c r="R918" s="1332">
        <v>618840</v>
      </c>
      <c r="S918" s="1332">
        <v>-5951</v>
      </c>
      <c r="T918" s="1332">
        <v>612889</v>
      </c>
    </row>
    <row r="919" spans="1:20" s="1323" customFormat="1" x14ac:dyDescent="0.25">
      <c r="A919" s="1342">
        <v>99999</v>
      </c>
      <c r="B919" s="1340" t="s">
        <v>4236</v>
      </c>
      <c r="C919" s="1324">
        <v>1.0093000000000001E-3</v>
      </c>
      <c r="D919" s="1324">
        <v>9.2020000000000003E-4</v>
      </c>
      <c r="E919" s="1332">
        <v>2756320</v>
      </c>
      <c r="F919" s="1333"/>
      <c r="G919" s="1332">
        <v>471952</v>
      </c>
      <c r="H919" s="1332">
        <v>67231</v>
      </c>
      <c r="I919" s="1332">
        <v>449234</v>
      </c>
      <c r="J919" s="1332">
        <v>212881</v>
      </c>
      <c r="K919" s="1332">
        <v>1201298</v>
      </c>
      <c r="L919" s="1333"/>
      <c r="M919" s="1332">
        <v>0</v>
      </c>
      <c r="N919" s="1332">
        <v>0</v>
      </c>
      <c r="O919" s="1332">
        <v>2283</v>
      </c>
      <c r="P919" s="1332">
        <v>2283</v>
      </c>
      <c r="Q919" s="1333"/>
      <c r="R919" s="1332">
        <v>1227827</v>
      </c>
      <c r="S919" s="1332">
        <v>85118</v>
      </c>
      <c r="T919" s="1332">
        <v>1312945</v>
      </c>
    </row>
    <row r="920" spans="1:20" s="1323" customFormat="1" x14ac:dyDescent="0.25">
      <c r="A920" s="1346" t="s">
        <v>837</v>
      </c>
      <c r="B920" s="1347" t="s">
        <v>2112</v>
      </c>
      <c r="C920" s="1324">
        <v>0</v>
      </c>
      <c r="D920" s="1324">
        <v>0</v>
      </c>
      <c r="E920" s="1327">
        <v>0</v>
      </c>
      <c r="F920" s="1327"/>
      <c r="G920" s="1327">
        <v>0</v>
      </c>
      <c r="H920" s="1327">
        <v>0</v>
      </c>
      <c r="I920" s="1327">
        <v>0</v>
      </c>
      <c r="J920" s="1327">
        <v>0</v>
      </c>
      <c r="K920" s="1327">
        <v>0</v>
      </c>
      <c r="L920" s="1327"/>
      <c r="M920" s="1327">
        <v>0</v>
      </c>
      <c r="N920" s="1327">
        <v>0</v>
      </c>
      <c r="O920" s="1327">
        <v>0</v>
      </c>
      <c r="P920" s="1327">
        <v>0</v>
      </c>
      <c r="Q920" s="1327"/>
      <c r="R920" s="1327">
        <v>0</v>
      </c>
      <c r="S920" s="1327">
        <v>0</v>
      </c>
      <c r="T920" s="1327">
        <v>0</v>
      </c>
    </row>
    <row r="921" spans="1:20" s="1323" customFormat="1" x14ac:dyDescent="0.25"/>
    <row r="922" spans="1:20" s="1323" customFormat="1" x14ac:dyDescent="0.25"/>
    <row r="923" spans="1:20" s="1323" customFormat="1" x14ac:dyDescent="0.25"/>
    <row r="924" spans="1:20" s="1323" customFormat="1" x14ac:dyDescent="0.25"/>
    <row r="925" spans="1:20" s="1323" customFormat="1" x14ac:dyDescent="0.25"/>
    <row r="926" spans="1:20" s="1323" customFormat="1" x14ac:dyDescent="0.25"/>
    <row r="927" spans="1:20" s="1323" customFormat="1" x14ac:dyDescent="0.25"/>
    <row r="928" spans="1:20" x14ac:dyDescent="0.25">
      <c r="A928" s="1348"/>
      <c r="B928" s="1349"/>
      <c r="C928" s="1324"/>
    </row>
    <row r="929" spans="1:20" s="1318" customFormat="1" x14ac:dyDescent="0.25">
      <c r="A929" s="1314"/>
      <c r="B929" s="1315" t="s">
        <v>4237</v>
      </c>
      <c r="C929" s="1324"/>
      <c r="D929" s="1324"/>
      <c r="E929" s="1317"/>
      <c r="F929" s="1317"/>
      <c r="G929" s="1322"/>
      <c r="H929" s="1321"/>
      <c r="I929" s="1322"/>
      <c r="J929" s="1322"/>
      <c r="K929" s="1321"/>
      <c r="L929" s="1322"/>
      <c r="M929" s="1322"/>
      <c r="N929" s="1322"/>
      <c r="O929" s="1322"/>
      <c r="P929" s="1321"/>
      <c r="Q929" s="1322"/>
      <c r="R929" s="1322"/>
      <c r="S929" s="1322"/>
      <c r="T929" s="1322"/>
    </row>
    <row r="930" spans="1:20" x14ac:dyDescent="0.25">
      <c r="B930" s="1323" t="s">
        <v>2112</v>
      </c>
      <c r="C930" s="1350" t="s">
        <v>837</v>
      </c>
    </row>
    <row r="931" spans="1:20" x14ac:dyDescent="0.25">
      <c r="A931" s="1348"/>
      <c r="B931" s="1351" t="s">
        <v>4238</v>
      </c>
      <c r="C931" s="1348">
        <v>96331</v>
      </c>
      <c r="H931" s="1308"/>
      <c r="K931" s="1308"/>
      <c r="P931" s="1308"/>
    </row>
    <row r="932" spans="1:20" x14ac:dyDescent="0.25">
      <c r="A932" s="1348"/>
      <c r="B932" s="1351" t="s">
        <v>4239</v>
      </c>
      <c r="C932" s="1348">
        <v>94611</v>
      </c>
      <c r="H932" s="1308"/>
      <c r="K932" s="1308"/>
      <c r="P932" s="1308"/>
    </row>
    <row r="933" spans="1:20" x14ac:dyDescent="0.25">
      <c r="A933" s="1348"/>
      <c r="B933" s="1351" t="s">
        <v>2967</v>
      </c>
      <c r="C933" s="1348">
        <v>93402</v>
      </c>
      <c r="H933" s="1308"/>
      <c r="K933" s="1308"/>
      <c r="P933" s="1308"/>
    </row>
    <row r="934" spans="1:20" x14ac:dyDescent="0.25">
      <c r="A934" s="1348"/>
      <c r="B934" s="1351" t="s">
        <v>2539</v>
      </c>
      <c r="C934" s="1348">
        <v>90151</v>
      </c>
      <c r="H934" s="1308"/>
      <c r="K934" s="1308"/>
      <c r="P934" s="1308"/>
    </row>
    <row r="935" spans="1:20" x14ac:dyDescent="0.25">
      <c r="A935" s="1348"/>
      <c r="B935" s="1351" t="s">
        <v>3031</v>
      </c>
      <c r="C935" s="1348">
        <v>94109</v>
      </c>
      <c r="H935" s="1308"/>
      <c r="K935" s="1308"/>
      <c r="P935" s="1308"/>
    </row>
    <row r="936" spans="1:20" x14ac:dyDescent="0.25">
      <c r="A936" s="1348"/>
      <c r="B936" s="1351" t="s">
        <v>2664</v>
      </c>
      <c r="C936" s="1348">
        <v>90101</v>
      </c>
      <c r="H936" s="1308"/>
      <c r="K936" s="1308"/>
      <c r="P936" s="1308"/>
    </row>
    <row r="937" spans="1:20" x14ac:dyDescent="0.25">
      <c r="A937" s="1348"/>
      <c r="B937" s="1351" t="s">
        <v>2667</v>
      </c>
      <c r="C937" s="1348">
        <v>90117</v>
      </c>
      <c r="H937" s="1308"/>
      <c r="K937" s="1308"/>
      <c r="P937" s="1308"/>
    </row>
    <row r="938" spans="1:20" x14ac:dyDescent="0.25">
      <c r="A938" s="1348"/>
      <c r="B938" s="1351" t="s">
        <v>4240</v>
      </c>
      <c r="C938" s="1348">
        <v>98411</v>
      </c>
      <c r="H938" s="1308"/>
      <c r="K938" s="1308"/>
      <c r="P938" s="1308"/>
    </row>
    <row r="939" spans="1:20" x14ac:dyDescent="0.25">
      <c r="A939" s="1348"/>
      <c r="B939" s="1351" t="s">
        <v>3415</v>
      </c>
      <c r="C939" s="1348">
        <v>98417</v>
      </c>
      <c r="H939" s="1308"/>
      <c r="K939" s="1308"/>
      <c r="P939" s="1308"/>
    </row>
    <row r="940" spans="1:20" x14ac:dyDescent="0.25">
      <c r="A940" s="1348"/>
      <c r="B940" s="1351" t="s">
        <v>3275</v>
      </c>
      <c r="C940" s="1348">
        <v>97008</v>
      </c>
      <c r="H940" s="1308"/>
      <c r="K940" s="1308"/>
      <c r="P940" s="1308"/>
    </row>
    <row r="941" spans="1:20" x14ac:dyDescent="0.25">
      <c r="A941" s="1348"/>
      <c r="B941" s="1351" t="s">
        <v>3276</v>
      </c>
      <c r="C941" s="1348">
        <v>97010</v>
      </c>
      <c r="H941" s="1308"/>
      <c r="K941" s="1308"/>
      <c r="P941" s="1308"/>
    </row>
    <row r="942" spans="1:20" x14ac:dyDescent="0.25">
      <c r="A942" s="1348"/>
      <c r="B942" s="1351" t="s">
        <v>2661</v>
      </c>
      <c r="C942" s="1348">
        <v>90096</v>
      </c>
      <c r="H942" s="1308"/>
      <c r="K942" s="1308"/>
      <c r="P942" s="1308"/>
    </row>
    <row r="943" spans="1:20" x14ac:dyDescent="0.25">
      <c r="A943" s="1348"/>
      <c r="B943" s="1351" t="s">
        <v>2712</v>
      </c>
      <c r="C943" s="1348">
        <v>90805</v>
      </c>
      <c r="H943" s="1308"/>
      <c r="K943" s="1308"/>
      <c r="P943" s="1308"/>
    </row>
    <row r="944" spans="1:20" x14ac:dyDescent="0.25">
      <c r="A944" s="1348"/>
      <c r="B944" s="1351" t="s">
        <v>2855</v>
      </c>
      <c r="C944" s="1348">
        <v>92109</v>
      </c>
      <c r="H944" s="1308"/>
      <c r="K944" s="1308"/>
      <c r="P944" s="1308"/>
    </row>
    <row r="945" spans="1:16" x14ac:dyDescent="0.25">
      <c r="A945" s="1348"/>
      <c r="B945" s="1351" t="s">
        <v>2673</v>
      </c>
      <c r="C945" s="1348">
        <v>90201</v>
      </c>
      <c r="H945" s="1308"/>
      <c r="K945" s="1308"/>
      <c r="P945" s="1308"/>
    </row>
    <row r="946" spans="1:16" x14ac:dyDescent="0.25">
      <c r="A946" s="1348"/>
      <c r="B946" s="1351" t="s">
        <v>2676</v>
      </c>
      <c r="C946" s="1348">
        <v>90206</v>
      </c>
      <c r="H946" s="1308"/>
      <c r="K946" s="1308"/>
      <c r="P946" s="1308"/>
    </row>
    <row r="947" spans="1:16" x14ac:dyDescent="0.25">
      <c r="A947" s="1348"/>
      <c r="B947" s="1351" t="s">
        <v>2674</v>
      </c>
      <c r="C947" s="1348">
        <v>90203</v>
      </c>
      <c r="H947" s="1308"/>
      <c r="K947" s="1308"/>
      <c r="P947" s="1308"/>
    </row>
    <row r="948" spans="1:16" x14ac:dyDescent="0.25">
      <c r="A948" s="1348"/>
      <c r="B948" s="1351" t="s">
        <v>2675</v>
      </c>
      <c r="C948" s="1348">
        <v>90205</v>
      </c>
      <c r="H948" s="1308"/>
      <c r="K948" s="1308"/>
      <c r="P948" s="1308"/>
    </row>
    <row r="949" spans="1:16" x14ac:dyDescent="0.25">
      <c r="A949" s="1348"/>
      <c r="B949" s="1351" t="s">
        <v>2678</v>
      </c>
      <c r="C949" s="1348">
        <v>90301</v>
      </c>
      <c r="H949" s="1308"/>
      <c r="K949" s="1308"/>
      <c r="P949" s="1308"/>
    </row>
    <row r="950" spans="1:16" x14ac:dyDescent="0.25">
      <c r="A950" s="1348"/>
      <c r="B950" s="1351" t="s">
        <v>2950</v>
      </c>
      <c r="C950" s="1348">
        <v>93209</v>
      </c>
      <c r="H950" s="1308"/>
      <c r="K950" s="1308"/>
      <c r="P950" s="1308"/>
    </row>
    <row r="951" spans="1:16" x14ac:dyDescent="0.25">
      <c r="A951" s="1348"/>
      <c r="B951" s="1351" t="s">
        <v>4241</v>
      </c>
      <c r="C951" s="1348">
        <v>92021</v>
      </c>
      <c r="H951" s="1308"/>
      <c r="K951" s="1308"/>
      <c r="P951" s="1308"/>
    </row>
    <row r="952" spans="1:16" x14ac:dyDescent="0.25">
      <c r="A952" s="1348"/>
      <c r="B952" s="1351" t="s">
        <v>4242</v>
      </c>
      <c r="C952" s="1348">
        <v>94351</v>
      </c>
      <c r="H952" s="1308"/>
      <c r="K952" s="1308"/>
      <c r="P952" s="1308"/>
    </row>
    <row r="953" spans="1:16" x14ac:dyDescent="0.25">
      <c r="A953" s="1348"/>
      <c r="B953" s="1351" t="s">
        <v>4243</v>
      </c>
      <c r="C953" s="1348">
        <v>94347</v>
      </c>
      <c r="H953" s="1308"/>
      <c r="K953" s="1308"/>
      <c r="P953" s="1308"/>
    </row>
    <row r="954" spans="1:16" x14ac:dyDescent="0.25">
      <c r="A954" s="1348"/>
      <c r="B954" s="1351" t="s">
        <v>2681</v>
      </c>
      <c r="C954" s="1348">
        <v>90401</v>
      </c>
      <c r="H954" s="1308"/>
      <c r="K954" s="1308"/>
      <c r="P954" s="1308"/>
    </row>
    <row r="955" spans="1:16" x14ac:dyDescent="0.25">
      <c r="A955" s="1348"/>
      <c r="B955" s="1351" t="s">
        <v>4244</v>
      </c>
      <c r="C955" s="1348">
        <v>90451</v>
      </c>
      <c r="H955" s="1308"/>
      <c r="K955" s="1308"/>
      <c r="P955" s="1308"/>
    </row>
    <row r="956" spans="1:16" x14ac:dyDescent="0.25">
      <c r="A956" s="1348"/>
      <c r="B956" s="1351" t="s">
        <v>4245</v>
      </c>
      <c r="C956" s="1348">
        <v>99271</v>
      </c>
      <c r="H956" s="1308"/>
      <c r="K956" s="1308"/>
      <c r="P956" s="1308"/>
    </row>
    <row r="957" spans="1:16" x14ac:dyDescent="0.25">
      <c r="A957" s="1348"/>
      <c r="B957" s="1351" t="s">
        <v>2663</v>
      </c>
      <c r="C957" s="1348">
        <v>90099</v>
      </c>
      <c r="H957" s="1308"/>
      <c r="K957" s="1308"/>
      <c r="P957" s="1308"/>
    </row>
    <row r="958" spans="1:16" x14ac:dyDescent="0.25">
      <c r="A958" s="1348"/>
      <c r="B958" s="1351" t="s">
        <v>3520</v>
      </c>
      <c r="C958" s="1348">
        <v>99705</v>
      </c>
      <c r="H958" s="1308"/>
      <c r="K958" s="1308"/>
      <c r="P958" s="1308"/>
    </row>
    <row r="959" spans="1:16" x14ac:dyDescent="0.25">
      <c r="A959" s="1348"/>
      <c r="B959" s="1351" t="s">
        <v>4246</v>
      </c>
      <c r="C959" s="1348">
        <v>97651</v>
      </c>
      <c r="H959" s="1308"/>
      <c r="K959" s="1308"/>
      <c r="P959" s="1308"/>
    </row>
    <row r="960" spans="1:16" x14ac:dyDescent="0.25">
      <c r="A960" s="1348"/>
      <c r="B960" s="1351" t="s">
        <v>4247</v>
      </c>
      <c r="C960" s="1348">
        <v>95106</v>
      </c>
      <c r="H960" s="1308"/>
      <c r="K960" s="1308"/>
      <c r="P960" s="1308"/>
    </row>
    <row r="961" spans="1:16" x14ac:dyDescent="0.25">
      <c r="A961" s="1348"/>
      <c r="B961" s="1351" t="s">
        <v>2690</v>
      </c>
      <c r="C961" s="1348">
        <v>90501</v>
      </c>
      <c r="H961" s="1308"/>
      <c r="K961" s="1308"/>
      <c r="P961" s="1308"/>
    </row>
    <row r="962" spans="1:16" x14ac:dyDescent="0.25">
      <c r="A962" s="1348"/>
      <c r="B962" s="1351" t="s">
        <v>4248</v>
      </c>
      <c r="C962" s="1348">
        <v>97611</v>
      </c>
      <c r="H962" s="1308"/>
      <c r="K962" s="1308"/>
      <c r="P962" s="1308"/>
    </row>
    <row r="963" spans="1:16" x14ac:dyDescent="0.25">
      <c r="A963" s="1348"/>
      <c r="B963" s="1351" t="s">
        <v>3318</v>
      </c>
      <c r="C963" s="1348">
        <v>97607</v>
      </c>
      <c r="H963" s="1308"/>
      <c r="K963" s="1308"/>
      <c r="P963" s="1308"/>
    </row>
    <row r="964" spans="1:16" x14ac:dyDescent="0.25">
      <c r="A964" s="1348"/>
      <c r="B964" s="1351" t="s">
        <v>4205</v>
      </c>
      <c r="C964" s="1348">
        <v>97613</v>
      </c>
      <c r="H964" s="1308"/>
      <c r="K964" s="1308"/>
      <c r="P964" s="1308"/>
    </row>
    <row r="965" spans="1:16" x14ac:dyDescent="0.25">
      <c r="A965" s="1348"/>
      <c r="B965" s="1351" t="s">
        <v>4249</v>
      </c>
      <c r="C965" s="1348">
        <v>91121</v>
      </c>
      <c r="H965" s="1308"/>
      <c r="K965" s="1308"/>
      <c r="P965" s="1308"/>
    </row>
    <row r="966" spans="1:16" x14ac:dyDescent="0.25">
      <c r="A966" s="1348"/>
      <c r="B966" s="1351" t="s">
        <v>2764</v>
      </c>
      <c r="C966" s="1348">
        <v>91127</v>
      </c>
      <c r="H966" s="1308"/>
      <c r="K966" s="1308"/>
      <c r="P966" s="1308"/>
    </row>
    <row r="967" spans="1:16" x14ac:dyDescent="0.25">
      <c r="A967" s="1348"/>
      <c r="B967" s="1351" t="s">
        <v>2765</v>
      </c>
      <c r="C967" s="1348">
        <v>91128</v>
      </c>
      <c r="H967" s="1308"/>
      <c r="K967" s="1308"/>
      <c r="P967" s="1308"/>
    </row>
    <row r="968" spans="1:16" x14ac:dyDescent="0.25">
      <c r="A968" s="1348"/>
      <c r="B968" s="1351" t="s">
        <v>4250</v>
      </c>
      <c r="C968" s="1348">
        <v>91681</v>
      </c>
      <c r="H968" s="1308"/>
      <c r="K968" s="1308"/>
      <c r="P968" s="1308"/>
    </row>
    <row r="969" spans="1:16" x14ac:dyDescent="0.25">
      <c r="A969" s="1348"/>
      <c r="B969" s="1351" t="s">
        <v>4251</v>
      </c>
      <c r="C969" s="1348">
        <v>90811</v>
      </c>
      <c r="H969" s="1308"/>
      <c r="K969" s="1308"/>
      <c r="P969" s="1308"/>
    </row>
    <row r="970" spans="1:16" x14ac:dyDescent="0.25">
      <c r="A970" s="1348"/>
      <c r="B970" s="1351" t="s">
        <v>4252</v>
      </c>
      <c r="C970" s="1348">
        <v>90721</v>
      </c>
      <c r="H970" s="1308"/>
      <c r="K970" s="1308"/>
      <c r="P970" s="1308"/>
    </row>
    <row r="971" spans="1:16" x14ac:dyDescent="0.25">
      <c r="A971" s="1348"/>
      <c r="B971" s="1351" t="s">
        <v>4253</v>
      </c>
      <c r="C971" s="1348">
        <v>98271</v>
      </c>
      <c r="H971" s="1308"/>
      <c r="K971" s="1308"/>
      <c r="P971" s="1308"/>
    </row>
    <row r="972" spans="1:16" x14ac:dyDescent="0.25">
      <c r="A972" s="1348"/>
      <c r="B972" s="1351" t="s">
        <v>2693</v>
      </c>
      <c r="C972" s="1348">
        <v>90601</v>
      </c>
      <c r="H972" s="1308"/>
      <c r="K972" s="1308"/>
      <c r="P972" s="1308"/>
    </row>
    <row r="973" spans="1:16" x14ac:dyDescent="0.25">
      <c r="A973" s="1348"/>
      <c r="B973" s="1351" t="s">
        <v>2125</v>
      </c>
      <c r="C973" s="1348">
        <v>90602</v>
      </c>
      <c r="H973" s="1308"/>
      <c r="K973" s="1308"/>
      <c r="P973" s="1308"/>
    </row>
    <row r="974" spans="1:16" x14ac:dyDescent="0.25">
      <c r="A974" s="1348"/>
      <c r="B974" s="1351" t="s">
        <v>2694</v>
      </c>
      <c r="C974" s="1348">
        <v>90605</v>
      </c>
      <c r="H974" s="1308"/>
      <c r="K974" s="1308"/>
      <c r="P974" s="1308"/>
    </row>
    <row r="975" spans="1:16" x14ac:dyDescent="0.25">
      <c r="A975" s="1348"/>
      <c r="B975" s="1351" t="s">
        <v>4254</v>
      </c>
      <c r="C975" s="1348">
        <v>97461</v>
      </c>
      <c r="H975" s="1308"/>
      <c r="K975" s="1308"/>
      <c r="P975" s="1308"/>
    </row>
    <row r="976" spans="1:16" x14ac:dyDescent="0.25">
      <c r="A976" s="1348"/>
      <c r="B976" s="1351" t="s">
        <v>3309</v>
      </c>
      <c r="C976" s="1348">
        <v>97463</v>
      </c>
      <c r="H976" s="1308"/>
      <c r="K976" s="1308"/>
      <c r="P976" s="1308"/>
    </row>
    <row r="977" spans="1:16" x14ac:dyDescent="0.25">
      <c r="A977" s="1348"/>
      <c r="B977" s="1351" t="s">
        <v>2703</v>
      </c>
      <c r="C977" s="1348">
        <v>90705</v>
      </c>
      <c r="H977" s="1308"/>
      <c r="K977" s="1308"/>
      <c r="P977" s="1308"/>
    </row>
    <row r="978" spans="1:16" x14ac:dyDescent="0.25">
      <c r="A978" s="1348"/>
      <c r="B978" s="1351" t="s">
        <v>4255</v>
      </c>
      <c r="C978" s="1348">
        <v>98451</v>
      </c>
      <c r="H978" s="1308"/>
      <c r="K978" s="1308"/>
      <c r="P978" s="1308"/>
    </row>
    <row r="979" spans="1:16" x14ac:dyDescent="0.25">
      <c r="A979" s="1348"/>
      <c r="B979" s="1351" t="s">
        <v>4256</v>
      </c>
      <c r="C979" s="1348">
        <v>96451</v>
      </c>
      <c r="H979" s="1308"/>
      <c r="K979" s="1308"/>
      <c r="P979" s="1308"/>
    </row>
    <row r="980" spans="1:16" x14ac:dyDescent="0.25">
      <c r="A980" s="1348"/>
      <c r="B980" s="1351" t="s">
        <v>4257</v>
      </c>
      <c r="C980" s="1348">
        <v>96121</v>
      </c>
      <c r="H980" s="1308"/>
      <c r="K980" s="1308"/>
      <c r="P980" s="1308"/>
    </row>
    <row r="981" spans="1:16" x14ac:dyDescent="0.25">
      <c r="A981" s="1348"/>
      <c r="B981" s="1351" t="s">
        <v>4258</v>
      </c>
      <c r="C981" s="1348">
        <v>91091</v>
      </c>
      <c r="H981" s="1308"/>
      <c r="K981" s="1308"/>
      <c r="P981" s="1308"/>
    </row>
    <row r="982" spans="1:16" x14ac:dyDescent="0.25">
      <c r="A982" s="1348"/>
      <c r="B982" s="1351" t="s">
        <v>4259</v>
      </c>
      <c r="C982" s="1348">
        <v>90611</v>
      </c>
      <c r="H982" s="1308"/>
      <c r="K982" s="1308"/>
      <c r="P982" s="1308"/>
    </row>
    <row r="983" spans="1:16" x14ac:dyDescent="0.25">
      <c r="A983" s="1348"/>
      <c r="B983" s="1351" t="s">
        <v>3270</v>
      </c>
      <c r="C983" s="1348">
        <v>96918</v>
      </c>
      <c r="H983" s="1308"/>
      <c r="K983" s="1308"/>
      <c r="P983" s="1308"/>
    </row>
    <row r="984" spans="1:16" x14ac:dyDescent="0.25">
      <c r="A984" s="1348"/>
      <c r="B984" s="1351" t="s">
        <v>4260</v>
      </c>
      <c r="C984" s="1348">
        <v>96911</v>
      </c>
      <c r="H984" s="1308"/>
      <c r="K984" s="1308"/>
      <c r="P984" s="1308"/>
    </row>
    <row r="985" spans="1:16" x14ac:dyDescent="0.25">
      <c r="A985" s="1348"/>
      <c r="B985" s="1351" t="s">
        <v>3471</v>
      </c>
      <c r="C985" s="1348">
        <v>99208</v>
      </c>
      <c r="H985" s="1308"/>
      <c r="K985" s="1308"/>
      <c r="P985" s="1308"/>
    </row>
    <row r="986" spans="1:16" x14ac:dyDescent="0.25">
      <c r="A986" s="1348"/>
      <c r="B986" s="1351" t="s">
        <v>2545</v>
      </c>
      <c r="C986" s="1348">
        <v>91631</v>
      </c>
      <c r="H986" s="1308"/>
      <c r="K986" s="1308"/>
      <c r="P986" s="1308"/>
    </row>
    <row r="987" spans="1:16" x14ac:dyDescent="0.25">
      <c r="A987" s="1348"/>
      <c r="B987" s="1351" t="s">
        <v>3682</v>
      </c>
      <c r="C987" s="1348">
        <v>90701</v>
      </c>
      <c r="H987" s="1308"/>
      <c r="K987" s="1308"/>
      <c r="P987" s="1308"/>
    </row>
    <row r="988" spans="1:16" x14ac:dyDescent="0.25">
      <c r="A988" s="1348"/>
      <c r="B988" s="1351" t="s">
        <v>2702</v>
      </c>
      <c r="C988" s="1348">
        <v>90704</v>
      </c>
      <c r="H988" s="1308"/>
      <c r="K988" s="1308"/>
      <c r="P988" s="1308"/>
    </row>
    <row r="989" spans="1:16" x14ac:dyDescent="0.25">
      <c r="A989" s="1348"/>
      <c r="B989" s="1351" t="s">
        <v>4147</v>
      </c>
      <c r="C989" s="1348">
        <v>91633</v>
      </c>
      <c r="H989" s="1308"/>
      <c r="K989" s="1308"/>
      <c r="P989" s="1308"/>
    </row>
    <row r="990" spans="1:16" x14ac:dyDescent="0.25">
      <c r="A990" s="1348"/>
      <c r="B990" s="1351" t="s">
        <v>4261</v>
      </c>
      <c r="C990" s="1348">
        <v>90631</v>
      </c>
      <c r="H990" s="1308"/>
      <c r="K990" s="1308"/>
      <c r="P990" s="1308"/>
    </row>
    <row r="991" spans="1:16" x14ac:dyDescent="0.25">
      <c r="A991" s="1348"/>
      <c r="B991" s="1351" t="s">
        <v>4262</v>
      </c>
      <c r="C991" s="1348">
        <v>90731</v>
      </c>
      <c r="H991" s="1308"/>
      <c r="K991" s="1308"/>
      <c r="P991" s="1308"/>
    </row>
    <row r="992" spans="1:16" x14ac:dyDescent="0.25">
      <c r="A992" s="1348"/>
      <c r="B992" s="1351" t="s">
        <v>4263</v>
      </c>
      <c r="C992" s="1348">
        <v>93621</v>
      </c>
      <c r="H992" s="1308"/>
      <c r="K992" s="1308"/>
      <c r="P992" s="1308"/>
    </row>
    <row r="993" spans="1:16" x14ac:dyDescent="0.25">
      <c r="A993" s="1348"/>
      <c r="B993" s="1351" t="s">
        <v>2996</v>
      </c>
      <c r="C993" s="1348">
        <v>93623</v>
      </c>
      <c r="H993" s="1308"/>
      <c r="K993" s="1308"/>
      <c r="P993" s="1308"/>
    </row>
    <row r="994" spans="1:16" x14ac:dyDescent="0.25">
      <c r="A994" s="1348"/>
      <c r="B994" s="1351" t="s">
        <v>4264</v>
      </c>
      <c r="C994" s="1348">
        <v>91020</v>
      </c>
      <c r="H994" s="1308"/>
      <c r="K994" s="1308"/>
      <c r="P994" s="1308"/>
    </row>
    <row r="995" spans="1:16" x14ac:dyDescent="0.25">
      <c r="A995" s="1348"/>
      <c r="B995" s="1351" t="s">
        <v>4265</v>
      </c>
      <c r="C995" s="1348">
        <v>95141</v>
      </c>
      <c r="H995" s="1308"/>
      <c r="K995" s="1308"/>
      <c r="P995" s="1308"/>
    </row>
    <row r="996" spans="1:16" x14ac:dyDescent="0.25">
      <c r="A996" s="1348"/>
      <c r="B996" s="1351" t="s">
        <v>3114</v>
      </c>
      <c r="C996" s="1348">
        <v>95103</v>
      </c>
      <c r="H996" s="1308"/>
      <c r="K996" s="1308"/>
      <c r="P996" s="1308"/>
    </row>
    <row r="997" spans="1:16" x14ac:dyDescent="0.25">
      <c r="A997" s="1348"/>
      <c r="B997" s="1351" t="s">
        <v>4266</v>
      </c>
      <c r="C997" s="1348">
        <v>93021</v>
      </c>
      <c r="H997" s="1308"/>
      <c r="K997" s="1308"/>
      <c r="P997" s="1308"/>
    </row>
    <row r="998" spans="1:16" x14ac:dyDescent="0.25">
      <c r="A998" s="1348"/>
      <c r="B998" s="1351" t="s">
        <v>2710</v>
      </c>
      <c r="C998" s="1348">
        <v>90801</v>
      </c>
      <c r="H998" s="1308"/>
      <c r="K998" s="1308"/>
      <c r="P998" s="1308"/>
    </row>
    <row r="999" spans="1:16" x14ac:dyDescent="0.25">
      <c r="A999" s="1348"/>
      <c r="B999" s="1351" t="s">
        <v>2711</v>
      </c>
      <c r="C999" s="1348">
        <v>90804</v>
      </c>
      <c r="H999" s="1308"/>
      <c r="K999" s="1308"/>
      <c r="P999" s="1308"/>
    </row>
    <row r="1000" spans="1:16" x14ac:dyDescent="0.25">
      <c r="A1000" s="1348"/>
      <c r="B1000" s="1351" t="s">
        <v>2713</v>
      </c>
      <c r="C1000" s="1348">
        <v>90808</v>
      </c>
      <c r="H1000" s="1308"/>
      <c r="K1000" s="1308"/>
      <c r="P1000" s="1308"/>
    </row>
    <row r="1001" spans="1:16" x14ac:dyDescent="0.25">
      <c r="A1001" s="1348"/>
      <c r="B1001" s="1351" t="s">
        <v>3002</v>
      </c>
      <c r="C1001" s="1348">
        <v>93671</v>
      </c>
      <c r="H1001" s="1308"/>
      <c r="K1001" s="1308"/>
      <c r="P1001" s="1308"/>
    </row>
    <row r="1002" spans="1:16" x14ac:dyDescent="0.25">
      <c r="A1002" s="1348"/>
      <c r="B1002" s="1351" t="s">
        <v>4267</v>
      </c>
      <c r="C1002" s="1348">
        <v>93677</v>
      </c>
      <c r="H1002" s="1308"/>
      <c r="K1002" s="1308"/>
      <c r="P1002" s="1308"/>
    </row>
    <row r="1003" spans="1:16" x14ac:dyDescent="0.25">
      <c r="A1003" s="1348"/>
      <c r="B1003" s="1351" t="s">
        <v>4268</v>
      </c>
      <c r="C1003" s="1348">
        <v>97441</v>
      </c>
      <c r="H1003" s="1308"/>
      <c r="K1003" s="1308"/>
      <c r="P1003" s="1308"/>
    </row>
    <row r="1004" spans="1:16" x14ac:dyDescent="0.25">
      <c r="A1004" s="1348"/>
      <c r="B1004" s="1351" t="s">
        <v>4269</v>
      </c>
      <c r="C1004" s="1348">
        <v>93111</v>
      </c>
      <c r="H1004" s="1308"/>
      <c r="K1004" s="1308"/>
      <c r="P1004" s="1308"/>
    </row>
    <row r="1005" spans="1:16" x14ac:dyDescent="0.25">
      <c r="A1005" s="1348"/>
      <c r="B1005" s="1351" t="s">
        <v>4270</v>
      </c>
      <c r="C1005" s="1348">
        <v>91111</v>
      </c>
      <c r="H1005" s="1308"/>
      <c r="K1005" s="1308"/>
      <c r="P1005" s="1308"/>
    </row>
    <row r="1006" spans="1:16" x14ac:dyDescent="0.25">
      <c r="A1006" s="1348"/>
      <c r="B1006" s="1351" t="s">
        <v>4271</v>
      </c>
      <c r="C1006" s="1348">
        <v>96231</v>
      </c>
      <c r="H1006" s="1308"/>
      <c r="K1006" s="1308"/>
      <c r="P1006" s="1308"/>
    </row>
    <row r="1007" spans="1:16" x14ac:dyDescent="0.25">
      <c r="A1007" s="1348"/>
      <c r="B1007" s="1351" t="s">
        <v>4272</v>
      </c>
      <c r="C1007" s="1348">
        <v>99831</v>
      </c>
      <c r="H1007" s="1308"/>
      <c r="K1007" s="1308"/>
      <c r="P1007" s="1308"/>
    </row>
    <row r="1008" spans="1:16" x14ac:dyDescent="0.25">
      <c r="A1008" s="1348"/>
      <c r="B1008" s="1351" t="s">
        <v>4273</v>
      </c>
      <c r="C1008" s="1348">
        <v>91151</v>
      </c>
      <c r="H1008" s="1308"/>
      <c r="K1008" s="1308"/>
      <c r="P1008" s="1308"/>
    </row>
    <row r="1009" spans="1:16" x14ac:dyDescent="0.25">
      <c r="A1009" s="1348"/>
      <c r="B1009" s="1351" t="s">
        <v>2770</v>
      </c>
      <c r="C1009" s="1348">
        <v>91154</v>
      </c>
      <c r="H1009" s="1308"/>
      <c r="K1009" s="1308"/>
      <c r="P1009" s="1308"/>
    </row>
    <row r="1010" spans="1:16" x14ac:dyDescent="0.25">
      <c r="A1010" s="1348"/>
      <c r="B1010" s="1351" t="s">
        <v>2718</v>
      </c>
      <c r="C1010" s="1348">
        <v>90901</v>
      </c>
      <c r="H1010" s="1308"/>
      <c r="K1010" s="1308"/>
      <c r="P1010" s="1308"/>
    </row>
    <row r="1011" spans="1:16" x14ac:dyDescent="0.25">
      <c r="A1011" s="1348"/>
      <c r="B1011" s="1351" t="s">
        <v>4274</v>
      </c>
      <c r="C1011" s="1348">
        <v>90941</v>
      </c>
      <c r="H1011" s="1308"/>
      <c r="K1011" s="1308"/>
      <c r="P1011" s="1308"/>
    </row>
    <row r="1012" spans="1:16" x14ac:dyDescent="0.25">
      <c r="A1012" s="1348"/>
      <c r="B1012" s="1351" t="s">
        <v>4275</v>
      </c>
      <c r="C1012" s="1348">
        <v>99521</v>
      </c>
      <c r="H1012" s="1308"/>
      <c r="K1012" s="1308"/>
      <c r="P1012" s="1308"/>
    </row>
    <row r="1013" spans="1:16" x14ac:dyDescent="0.25">
      <c r="A1013" s="1348"/>
      <c r="B1013" s="1351" t="s">
        <v>3504</v>
      </c>
      <c r="C1013" s="1348">
        <v>99527</v>
      </c>
      <c r="H1013" s="1308"/>
      <c r="K1013" s="1308"/>
      <c r="P1013" s="1308"/>
    </row>
    <row r="1014" spans="1:16" x14ac:dyDescent="0.25">
      <c r="A1014" s="1348"/>
      <c r="B1014" s="1351" t="s">
        <v>3500</v>
      </c>
      <c r="C1014" s="1348">
        <v>99508</v>
      </c>
      <c r="H1014" s="1308"/>
      <c r="K1014" s="1308"/>
      <c r="P1014" s="1308"/>
    </row>
    <row r="1015" spans="1:16" x14ac:dyDescent="0.25">
      <c r="A1015" s="1348"/>
      <c r="B1015" s="1351" t="s">
        <v>3080</v>
      </c>
      <c r="C1015" s="1348">
        <v>94532</v>
      </c>
      <c r="H1015" s="1308"/>
      <c r="K1015" s="1308"/>
      <c r="P1015" s="1308"/>
    </row>
    <row r="1016" spans="1:16" x14ac:dyDescent="0.25">
      <c r="A1016" s="1348"/>
      <c r="B1016" s="1351" t="s">
        <v>4276</v>
      </c>
      <c r="C1016" s="1348">
        <v>91071</v>
      </c>
      <c r="H1016" s="1308"/>
      <c r="K1016" s="1308"/>
      <c r="P1016" s="1308"/>
    </row>
    <row r="1017" spans="1:16" x14ac:dyDescent="0.25">
      <c r="A1017" s="1348"/>
      <c r="B1017" s="1351" t="s">
        <v>2752</v>
      </c>
      <c r="C1017" s="1348">
        <v>91077</v>
      </c>
      <c r="H1017" s="1308"/>
      <c r="K1017" s="1308"/>
      <c r="P1017" s="1308"/>
    </row>
    <row r="1018" spans="1:16" x14ac:dyDescent="0.25">
      <c r="A1018" s="1348"/>
      <c r="B1018" s="1351" t="s">
        <v>4277</v>
      </c>
      <c r="C1018" s="1348">
        <v>92331</v>
      </c>
      <c r="H1018" s="1308"/>
      <c r="K1018" s="1308"/>
      <c r="P1018" s="1308"/>
    </row>
    <row r="1019" spans="1:16" x14ac:dyDescent="0.25">
      <c r="A1019" s="1348"/>
      <c r="B1019" s="1351" t="s">
        <v>4278</v>
      </c>
      <c r="C1019" s="1348">
        <v>92414</v>
      </c>
      <c r="H1019" s="1308"/>
      <c r="K1019" s="1308"/>
      <c r="P1019" s="1308"/>
    </row>
    <row r="1020" spans="1:16" x14ac:dyDescent="0.25">
      <c r="A1020" s="1348"/>
      <c r="B1020" s="1351" t="s">
        <v>4279</v>
      </c>
      <c r="C1020" s="1348">
        <v>99511</v>
      </c>
      <c r="H1020" s="1308"/>
      <c r="K1020" s="1308"/>
      <c r="P1020" s="1308"/>
    </row>
    <row r="1021" spans="1:16" x14ac:dyDescent="0.25">
      <c r="A1021" s="1348"/>
      <c r="B1021" s="1351" t="s">
        <v>4280</v>
      </c>
      <c r="C1021" s="1348">
        <v>99941</v>
      </c>
      <c r="H1021" s="1308"/>
      <c r="K1021" s="1308"/>
      <c r="P1021" s="1308"/>
    </row>
    <row r="1022" spans="1:16" x14ac:dyDescent="0.25">
      <c r="A1022" s="1348"/>
      <c r="B1022" s="1351" t="s">
        <v>3222</v>
      </c>
      <c r="C1022" s="1348">
        <v>96405</v>
      </c>
      <c r="H1022" s="1308"/>
      <c r="K1022" s="1308"/>
      <c r="P1022" s="1308"/>
    </row>
    <row r="1023" spans="1:16" x14ac:dyDescent="0.25">
      <c r="A1023" s="1348"/>
      <c r="B1023" s="1351" t="s">
        <v>4281</v>
      </c>
      <c r="C1023" s="1348">
        <v>98811</v>
      </c>
      <c r="H1023" s="1308"/>
      <c r="K1023" s="1308"/>
      <c r="P1023" s="1308"/>
    </row>
    <row r="1024" spans="1:16" x14ac:dyDescent="0.25">
      <c r="A1024" s="1348"/>
      <c r="B1024" s="1351" t="s">
        <v>3442</v>
      </c>
      <c r="C1024" s="1348">
        <v>98817</v>
      </c>
      <c r="H1024" s="1308"/>
      <c r="K1024" s="1308"/>
      <c r="P1024" s="1308"/>
    </row>
    <row r="1025" spans="1:16" x14ac:dyDescent="0.25">
      <c r="A1025" s="1348"/>
      <c r="B1025" s="1351" t="s">
        <v>4282</v>
      </c>
      <c r="C1025" s="1348">
        <v>92561</v>
      </c>
      <c r="H1025" s="1308"/>
      <c r="K1025" s="1308"/>
      <c r="P1025" s="1308"/>
    </row>
    <row r="1026" spans="1:16" x14ac:dyDescent="0.25">
      <c r="A1026" s="1348"/>
      <c r="B1026" s="1351" t="s">
        <v>3384</v>
      </c>
      <c r="C1026" s="1348">
        <v>98102</v>
      </c>
      <c r="H1026" s="1308"/>
      <c r="K1026" s="1308"/>
      <c r="P1026" s="1308"/>
    </row>
    <row r="1027" spans="1:16" x14ac:dyDescent="0.25">
      <c r="A1027" s="1348"/>
      <c r="B1027" s="1351" t="s">
        <v>4283</v>
      </c>
      <c r="C1027" s="1348">
        <v>95321</v>
      </c>
      <c r="H1027" s="1308"/>
      <c r="K1027" s="1308"/>
      <c r="P1027" s="1308"/>
    </row>
    <row r="1028" spans="1:16" x14ac:dyDescent="0.25">
      <c r="A1028" s="1348"/>
      <c r="B1028" s="1351" t="s">
        <v>4284</v>
      </c>
      <c r="C1028" s="1348">
        <v>91861</v>
      </c>
      <c r="H1028" s="1308"/>
      <c r="K1028" s="1308"/>
      <c r="P1028" s="1308"/>
    </row>
    <row r="1029" spans="1:16" x14ac:dyDescent="0.25">
      <c r="A1029" s="1348"/>
      <c r="B1029" s="1351" t="s">
        <v>2548</v>
      </c>
      <c r="C1029" s="1348">
        <v>92421</v>
      </c>
      <c r="H1029" s="1308"/>
      <c r="K1029" s="1308"/>
      <c r="P1029" s="1308"/>
    </row>
    <row r="1030" spans="1:16" x14ac:dyDescent="0.25">
      <c r="A1030" s="1348"/>
      <c r="B1030" s="1351" t="s">
        <v>2725</v>
      </c>
      <c r="C1030" s="1348">
        <v>91001</v>
      </c>
      <c r="H1030" s="1308"/>
      <c r="K1030" s="1308"/>
      <c r="P1030" s="1308"/>
    </row>
    <row r="1031" spans="1:16" x14ac:dyDescent="0.25">
      <c r="A1031" s="1348"/>
      <c r="B1031" s="1351" t="s">
        <v>2728</v>
      </c>
      <c r="C1031" s="1348">
        <v>91004</v>
      </c>
      <c r="H1031" s="1308"/>
      <c r="K1031" s="1308"/>
      <c r="P1031" s="1308"/>
    </row>
    <row r="1032" spans="1:16" x14ac:dyDescent="0.25">
      <c r="A1032" s="1348"/>
      <c r="B1032" s="1351" t="s">
        <v>4285</v>
      </c>
      <c r="C1032" s="1348">
        <v>91006</v>
      </c>
      <c r="H1032" s="1308"/>
      <c r="K1032" s="1308"/>
      <c r="P1032" s="1308"/>
    </row>
    <row r="1033" spans="1:16" x14ac:dyDescent="0.25">
      <c r="A1033" s="1348"/>
      <c r="B1033" s="1351" t="s">
        <v>4286</v>
      </c>
      <c r="C1033" s="1348">
        <v>91003</v>
      </c>
      <c r="H1033" s="1308"/>
      <c r="K1033" s="1308"/>
      <c r="P1033" s="1308"/>
    </row>
    <row r="1034" spans="1:16" x14ac:dyDescent="0.25">
      <c r="A1034" s="1348"/>
      <c r="B1034" s="1351" t="s">
        <v>2732</v>
      </c>
      <c r="C1034" s="1348">
        <v>91009</v>
      </c>
      <c r="H1034" s="1308"/>
      <c r="K1034" s="1308"/>
      <c r="P1034" s="1308"/>
    </row>
    <row r="1035" spans="1:16" x14ac:dyDescent="0.25">
      <c r="A1035" s="1348"/>
      <c r="B1035" s="1351" t="s">
        <v>2745</v>
      </c>
      <c r="C1035" s="1348">
        <v>91042</v>
      </c>
      <c r="H1035" s="1308"/>
      <c r="K1035" s="1308"/>
      <c r="P1035" s="1308"/>
    </row>
    <row r="1036" spans="1:16" x14ac:dyDescent="0.25">
      <c r="A1036" s="1348"/>
      <c r="B1036" s="1351" t="s">
        <v>4287</v>
      </c>
      <c r="C1036" s="1348">
        <v>98711</v>
      </c>
      <c r="H1036" s="1308"/>
      <c r="K1036" s="1308"/>
      <c r="P1036" s="1308"/>
    </row>
    <row r="1037" spans="1:16" x14ac:dyDescent="0.25">
      <c r="A1037" s="1348"/>
      <c r="B1037" s="1351" t="s">
        <v>3439</v>
      </c>
      <c r="C1037" s="1348">
        <v>98717</v>
      </c>
      <c r="H1037" s="1308"/>
      <c r="K1037" s="1308"/>
      <c r="P1037" s="1308"/>
    </row>
    <row r="1038" spans="1:16" x14ac:dyDescent="0.25">
      <c r="A1038" s="1348"/>
      <c r="B1038" s="1351" t="s">
        <v>2755</v>
      </c>
      <c r="C1038" s="1348">
        <v>91101</v>
      </c>
      <c r="H1038" s="1308"/>
      <c r="K1038" s="1308"/>
      <c r="P1038" s="1308"/>
    </row>
    <row r="1039" spans="1:16" x14ac:dyDescent="0.25">
      <c r="A1039" s="1348"/>
      <c r="B1039" s="1351" t="s">
        <v>4288</v>
      </c>
      <c r="C1039" s="1348">
        <v>93531</v>
      </c>
      <c r="H1039" s="1308"/>
      <c r="K1039" s="1308"/>
      <c r="P1039" s="1308"/>
    </row>
    <row r="1040" spans="1:16" x14ac:dyDescent="0.25">
      <c r="A1040" s="1348"/>
      <c r="B1040" s="1351" t="s">
        <v>4289</v>
      </c>
      <c r="C1040" s="1348">
        <v>93537</v>
      </c>
      <c r="H1040" s="1308"/>
      <c r="K1040" s="1308"/>
      <c r="P1040" s="1308"/>
    </row>
    <row r="1041" spans="1:16" x14ac:dyDescent="0.25">
      <c r="A1041" s="1348"/>
      <c r="B1041" s="1351" t="s">
        <v>4290</v>
      </c>
      <c r="C1041" s="1348">
        <v>97111</v>
      </c>
      <c r="H1041" s="1308"/>
      <c r="K1041" s="1308"/>
      <c r="P1041" s="1308"/>
    </row>
    <row r="1042" spans="1:16" x14ac:dyDescent="0.25">
      <c r="A1042" s="1348"/>
      <c r="B1042" s="1351" t="s">
        <v>2773</v>
      </c>
      <c r="C1042" s="1348">
        <v>91201</v>
      </c>
      <c r="H1042" s="1308"/>
      <c r="K1042" s="1308"/>
      <c r="P1042" s="1308"/>
    </row>
    <row r="1043" spans="1:16" x14ac:dyDescent="0.25">
      <c r="A1043" s="1348"/>
      <c r="B1043" s="1351" t="s">
        <v>4291</v>
      </c>
      <c r="C1043" s="1348">
        <v>91206</v>
      </c>
      <c r="H1043" s="1308"/>
      <c r="K1043" s="1308"/>
      <c r="P1043" s="1308"/>
    </row>
    <row r="1044" spans="1:16" x14ac:dyDescent="0.25">
      <c r="A1044" s="1348"/>
      <c r="B1044" s="1351" t="s">
        <v>4292</v>
      </c>
      <c r="C1044" s="1348">
        <v>91203</v>
      </c>
      <c r="H1044" s="1308"/>
      <c r="K1044" s="1308"/>
      <c r="P1044" s="1308"/>
    </row>
    <row r="1045" spans="1:16" x14ac:dyDescent="0.25">
      <c r="A1045" s="1348"/>
      <c r="B1045" s="1351" t="s">
        <v>2777</v>
      </c>
      <c r="C1045" s="1348">
        <v>91208</v>
      </c>
      <c r="H1045" s="1308"/>
      <c r="K1045" s="1308"/>
      <c r="P1045" s="1308"/>
    </row>
    <row r="1046" spans="1:16" x14ac:dyDescent="0.25">
      <c r="A1046" s="1348"/>
      <c r="B1046" s="1351" t="s">
        <v>2774</v>
      </c>
      <c r="C1046" s="1348">
        <v>91202</v>
      </c>
      <c r="H1046" s="1308"/>
      <c r="K1046" s="1308"/>
      <c r="P1046" s="1308"/>
    </row>
    <row r="1047" spans="1:16" x14ac:dyDescent="0.25">
      <c r="A1047" s="1348"/>
      <c r="B1047" s="1351" t="s">
        <v>4293</v>
      </c>
      <c r="C1047" s="1348">
        <v>90111</v>
      </c>
      <c r="H1047" s="1308"/>
      <c r="K1047" s="1308"/>
      <c r="P1047" s="1308"/>
    </row>
    <row r="1048" spans="1:16" x14ac:dyDescent="0.25">
      <c r="A1048" s="1348"/>
      <c r="B1048" s="1351" t="s">
        <v>4294</v>
      </c>
      <c r="C1048" s="1348">
        <v>90011</v>
      </c>
      <c r="H1048" s="1308"/>
      <c r="K1048" s="1308"/>
      <c r="P1048" s="1308"/>
    </row>
    <row r="1049" spans="1:16" x14ac:dyDescent="0.25">
      <c r="A1049" s="1348"/>
      <c r="B1049" s="1351" t="s">
        <v>4295</v>
      </c>
      <c r="C1049" s="1348">
        <v>93931</v>
      </c>
      <c r="H1049" s="1308"/>
      <c r="K1049" s="1308"/>
      <c r="P1049" s="1308"/>
    </row>
    <row r="1050" spans="1:16" x14ac:dyDescent="0.25">
      <c r="A1050" s="1348"/>
      <c r="B1050" s="1351" t="s">
        <v>2788</v>
      </c>
      <c r="C1050" s="1348">
        <v>91301</v>
      </c>
      <c r="H1050" s="1308"/>
      <c r="K1050" s="1308"/>
      <c r="P1050" s="1308"/>
    </row>
    <row r="1051" spans="1:16" x14ac:dyDescent="0.25">
      <c r="A1051" s="1348"/>
      <c r="B1051" s="1351" t="s">
        <v>4143</v>
      </c>
      <c r="C1051" s="1348">
        <v>91306</v>
      </c>
      <c r="H1051" s="1308"/>
      <c r="K1051" s="1308"/>
      <c r="P1051" s="1308"/>
    </row>
    <row r="1052" spans="1:16" x14ac:dyDescent="0.25">
      <c r="A1052" s="1348"/>
      <c r="B1052" s="1351" t="s">
        <v>2791</v>
      </c>
      <c r="C1052" s="1348">
        <v>91308</v>
      </c>
      <c r="H1052" s="1308"/>
      <c r="K1052" s="1308"/>
      <c r="P1052" s="1308"/>
    </row>
    <row r="1053" spans="1:16" x14ac:dyDescent="0.25">
      <c r="A1053" s="1348"/>
      <c r="B1053" s="1351" t="s">
        <v>4296</v>
      </c>
      <c r="C1053" s="1348">
        <v>91461</v>
      </c>
      <c r="H1053" s="1308"/>
      <c r="K1053" s="1308"/>
      <c r="P1053" s="1308"/>
    </row>
    <row r="1054" spans="1:16" x14ac:dyDescent="0.25">
      <c r="A1054" s="1348"/>
      <c r="B1054" s="1351" t="s">
        <v>4297</v>
      </c>
      <c r="C1054" s="1348">
        <v>91010</v>
      </c>
      <c r="H1054" s="1308"/>
      <c r="K1054" s="1308"/>
      <c r="P1054" s="1308"/>
    </row>
    <row r="1055" spans="1:16" x14ac:dyDescent="0.25">
      <c r="A1055" s="1348"/>
      <c r="B1055" s="1351" t="s">
        <v>2730</v>
      </c>
      <c r="C1055" s="1348">
        <v>91007</v>
      </c>
      <c r="H1055" s="1308"/>
      <c r="K1055" s="1308"/>
      <c r="P1055" s="1308"/>
    </row>
    <row r="1056" spans="1:16" x14ac:dyDescent="0.25">
      <c r="A1056" s="1348"/>
      <c r="B1056" s="1351" t="s">
        <v>2798</v>
      </c>
      <c r="C1056" s="1348">
        <v>91401</v>
      </c>
      <c r="H1056" s="1308"/>
      <c r="K1056" s="1308"/>
      <c r="P1056" s="1308"/>
    </row>
    <row r="1057" spans="1:16" x14ac:dyDescent="0.25">
      <c r="A1057" s="1348"/>
      <c r="B1057" s="1351" t="s">
        <v>4298</v>
      </c>
      <c r="C1057" s="1348">
        <v>93171</v>
      </c>
      <c r="H1057" s="1308"/>
      <c r="K1057" s="1308"/>
      <c r="P1057" s="1308"/>
    </row>
    <row r="1058" spans="1:16" x14ac:dyDescent="0.25">
      <c r="A1058" s="1348"/>
      <c r="B1058" s="1351" t="s">
        <v>2808</v>
      </c>
      <c r="C1058" s="1348">
        <v>91501</v>
      </c>
      <c r="H1058" s="1308"/>
      <c r="K1058" s="1308"/>
      <c r="P1058" s="1308"/>
    </row>
    <row r="1059" spans="1:16" x14ac:dyDescent="0.25">
      <c r="A1059" s="1348"/>
      <c r="B1059" s="1351" t="s">
        <v>2809</v>
      </c>
      <c r="C1059" s="1348">
        <v>91504</v>
      </c>
      <c r="H1059" s="1308"/>
      <c r="K1059" s="1308"/>
      <c r="P1059" s="1308"/>
    </row>
    <row r="1060" spans="1:16" x14ac:dyDescent="0.25">
      <c r="A1060" s="1348"/>
      <c r="B1060" s="1351" t="s">
        <v>4299</v>
      </c>
      <c r="C1060" s="1348">
        <v>96312</v>
      </c>
      <c r="H1060" s="1308"/>
      <c r="K1060" s="1308"/>
      <c r="P1060" s="1308"/>
    </row>
    <row r="1061" spans="1:16" x14ac:dyDescent="0.25">
      <c r="A1061" s="1348"/>
      <c r="B1061" s="1351" t="s">
        <v>4300</v>
      </c>
      <c r="C1061" s="1348">
        <v>96241</v>
      </c>
      <c r="H1061" s="1308"/>
      <c r="K1061" s="1308"/>
      <c r="P1061" s="1308"/>
    </row>
    <row r="1062" spans="1:16" x14ac:dyDescent="0.25">
      <c r="A1062" s="1348"/>
      <c r="B1062" s="1351" t="s">
        <v>4301</v>
      </c>
      <c r="C1062" s="1348">
        <v>94431</v>
      </c>
      <c r="H1062" s="1308"/>
      <c r="K1062" s="1308"/>
      <c r="P1062" s="1308"/>
    </row>
    <row r="1063" spans="1:16" x14ac:dyDescent="0.25">
      <c r="A1063" s="1348"/>
      <c r="B1063" s="1351" t="s">
        <v>3072</v>
      </c>
      <c r="C1063" s="1348">
        <v>94437</v>
      </c>
      <c r="H1063" s="1308"/>
      <c r="K1063" s="1308"/>
      <c r="P1063" s="1308"/>
    </row>
    <row r="1064" spans="1:16" x14ac:dyDescent="0.25">
      <c r="A1064" s="1348"/>
      <c r="B1064" s="1351" t="s">
        <v>4302</v>
      </c>
      <c r="C1064" s="1348">
        <v>91671</v>
      </c>
      <c r="H1064" s="1308"/>
      <c r="K1064" s="1308"/>
      <c r="P1064" s="1308"/>
    </row>
    <row r="1065" spans="1:16" x14ac:dyDescent="0.25">
      <c r="A1065" s="1348"/>
      <c r="B1065" s="1351" t="s">
        <v>2731</v>
      </c>
      <c r="C1065" s="1348">
        <v>91008</v>
      </c>
      <c r="H1065" s="1308"/>
      <c r="K1065" s="1308"/>
      <c r="P1065" s="1308"/>
    </row>
    <row r="1066" spans="1:16" x14ac:dyDescent="0.25">
      <c r="A1066" s="1348"/>
      <c r="B1066" s="1351" t="s">
        <v>3236</v>
      </c>
      <c r="C1066" s="1348">
        <v>96512</v>
      </c>
      <c r="H1066" s="1308"/>
      <c r="K1066" s="1308"/>
      <c r="P1066" s="1308"/>
    </row>
    <row r="1067" spans="1:16" x14ac:dyDescent="0.25">
      <c r="A1067" s="1348"/>
      <c r="B1067" s="1351" t="s">
        <v>3233</v>
      </c>
      <c r="C1067" s="1348">
        <v>96507</v>
      </c>
      <c r="H1067" s="1308"/>
      <c r="K1067" s="1308"/>
      <c r="P1067" s="1308"/>
    </row>
    <row r="1068" spans="1:16" x14ac:dyDescent="0.25">
      <c r="A1068" s="1348"/>
      <c r="B1068" s="1351" t="s">
        <v>4129</v>
      </c>
      <c r="C1068" s="1348">
        <v>91015</v>
      </c>
      <c r="H1068" s="1308"/>
      <c r="K1068" s="1308"/>
      <c r="P1068" s="1308"/>
    </row>
    <row r="1069" spans="1:16" x14ac:dyDescent="0.25">
      <c r="A1069" s="1348"/>
      <c r="B1069" s="1351" t="s">
        <v>4303</v>
      </c>
      <c r="C1069" s="1348">
        <v>96521</v>
      </c>
      <c r="H1069" s="1308"/>
      <c r="K1069" s="1308"/>
      <c r="P1069" s="1308"/>
    </row>
    <row r="1070" spans="1:16" x14ac:dyDescent="0.25">
      <c r="A1070" s="1348"/>
      <c r="B1070" s="1351" t="s">
        <v>4304</v>
      </c>
      <c r="C1070" s="1348">
        <v>91024</v>
      </c>
      <c r="H1070" s="1308"/>
      <c r="K1070" s="1308"/>
      <c r="P1070" s="1308"/>
    </row>
    <row r="1071" spans="1:16" x14ac:dyDescent="0.25">
      <c r="A1071" s="1348"/>
      <c r="B1071" s="1351" t="s">
        <v>4305</v>
      </c>
      <c r="C1071" s="1348">
        <v>96821</v>
      </c>
      <c r="H1071" s="1308"/>
      <c r="K1071" s="1308"/>
      <c r="P1071" s="1308"/>
    </row>
    <row r="1072" spans="1:16" x14ac:dyDescent="0.25">
      <c r="A1072" s="1348"/>
      <c r="B1072" s="1351" t="s">
        <v>2810</v>
      </c>
      <c r="C1072" s="1348">
        <v>91601</v>
      </c>
      <c r="H1072" s="1308"/>
      <c r="K1072" s="1308"/>
      <c r="P1072" s="1308"/>
    </row>
    <row r="1073" spans="1:16" x14ac:dyDescent="0.25">
      <c r="A1073" s="1348"/>
      <c r="B1073" s="1351" t="s">
        <v>2811</v>
      </c>
      <c r="C1073" s="1348">
        <v>91604</v>
      </c>
      <c r="H1073" s="1308"/>
      <c r="K1073" s="1308"/>
      <c r="P1073" s="1308"/>
    </row>
    <row r="1074" spans="1:16" x14ac:dyDescent="0.25">
      <c r="A1074" s="1348"/>
      <c r="B1074" s="1351" t="s">
        <v>4306</v>
      </c>
      <c r="C1074" s="1348">
        <v>96391</v>
      </c>
      <c r="H1074" s="1308"/>
      <c r="K1074" s="1308"/>
      <c r="P1074" s="1308"/>
    </row>
    <row r="1075" spans="1:16" x14ac:dyDescent="0.25">
      <c r="A1075" s="1348"/>
      <c r="B1075" s="1351" t="s">
        <v>4307</v>
      </c>
      <c r="C1075" s="1348">
        <v>99221</v>
      </c>
      <c r="H1075" s="1308"/>
      <c r="K1075" s="1308"/>
      <c r="P1075" s="1308"/>
    </row>
    <row r="1076" spans="1:16" x14ac:dyDescent="0.25">
      <c r="A1076" s="1348"/>
      <c r="B1076" s="1351" t="s">
        <v>4308</v>
      </c>
      <c r="C1076" s="1348">
        <v>91051</v>
      </c>
      <c r="H1076" s="1308"/>
      <c r="K1076" s="1308"/>
      <c r="P1076" s="1308"/>
    </row>
    <row r="1077" spans="1:16" x14ac:dyDescent="0.25">
      <c r="A1077" s="1348"/>
      <c r="B1077" s="1351" t="s">
        <v>2823</v>
      </c>
      <c r="C1077" s="1348">
        <v>91701</v>
      </c>
      <c r="H1077" s="1308"/>
      <c r="K1077" s="1308"/>
      <c r="P1077" s="1308"/>
    </row>
    <row r="1078" spans="1:16" x14ac:dyDescent="0.25">
      <c r="A1078" s="1348"/>
      <c r="B1078" s="1351" t="s">
        <v>2824</v>
      </c>
      <c r="C1078" s="1348">
        <v>91704</v>
      </c>
      <c r="H1078" s="1308"/>
      <c r="K1078" s="1308"/>
      <c r="P1078" s="1308"/>
    </row>
    <row r="1079" spans="1:16" x14ac:dyDescent="0.25">
      <c r="A1079" s="1348"/>
      <c r="B1079" s="1351" t="s">
        <v>4309</v>
      </c>
      <c r="C1079" s="1348">
        <v>91706</v>
      </c>
      <c r="H1079" s="1308"/>
      <c r="K1079" s="1308"/>
      <c r="P1079" s="1308"/>
    </row>
    <row r="1080" spans="1:16" x14ac:dyDescent="0.25">
      <c r="A1080" s="1348"/>
      <c r="B1080" s="1351" t="s">
        <v>2556</v>
      </c>
      <c r="C1080" s="1348">
        <v>91881</v>
      </c>
      <c r="H1080" s="1308"/>
      <c r="K1080" s="1308"/>
      <c r="P1080" s="1308"/>
    </row>
    <row r="1081" spans="1:16" x14ac:dyDescent="0.25">
      <c r="A1081" s="1348"/>
      <c r="B1081" s="1351" t="s">
        <v>2827</v>
      </c>
      <c r="C1081" s="1348">
        <v>91801</v>
      </c>
      <c r="H1081" s="1308"/>
      <c r="K1081" s="1308"/>
      <c r="P1081" s="1308"/>
    </row>
    <row r="1082" spans="1:16" x14ac:dyDescent="0.25">
      <c r="A1082" s="1348"/>
      <c r="B1082" s="1351" t="s">
        <v>2828</v>
      </c>
      <c r="C1082" s="1348">
        <v>91804</v>
      </c>
      <c r="H1082" s="1308"/>
      <c r="K1082" s="1308"/>
      <c r="P1082" s="1308"/>
    </row>
    <row r="1083" spans="1:16" x14ac:dyDescent="0.25">
      <c r="A1083" s="1348"/>
      <c r="B1083" s="1351" t="s">
        <v>4310</v>
      </c>
      <c r="C1083" s="1348">
        <v>91691</v>
      </c>
      <c r="H1083" s="1308"/>
      <c r="K1083" s="1308"/>
      <c r="P1083" s="1308"/>
    </row>
    <row r="1084" spans="1:16" x14ac:dyDescent="0.25">
      <c r="A1084" s="1348"/>
      <c r="B1084" s="1351" t="s">
        <v>3478</v>
      </c>
      <c r="C1084" s="1348">
        <v>99222</v>
      </c>
      <c r="H1084" s="1308"/>
      <c r="K1084" s="1308"/>
      <c r="P1084" s="1308"/>
    </row>
    <row r="1085" spans="1:16" x14ac:dyDescent="0.25">
      <c r="A1085" s="1348"/>
      <c r="B1085" s="1351" t="s">
        <v>2969</v>
      </c>
      <c r="C1085" s="1348">
        <v>93408</v>
      </c>
      <c r="H1085" s="1308"/>
      <c r="K1085" s="1308"/>
      <c r="P1085" s="1308"/>
    </row>
    <row r="1086" spans="1:16" x14ac:dyDescent="0.25">
      <c r="A1086" s="1348"/>
      <c r="B1086" s="1351" t="s">
        <v>3182</v>
      </c>
      <c r="C1086" s="1348">
        <v>96009</v>
      </c>
      <c r="H1086" s="1308"/>
      <c r="K1086" s="1308"/>
      <c r="P1086" s="1308"/>
    </row>
    <row r="1087" spans="1:16" x14ac:dyDescent="0.25">
      <c r="A1087" s="1348"/>
      <c r="B1087" s="1351" t="s">
        <v>4311</v>
      </c>
      <c r="C1087" s="1348">
        <v>92441</v>
      </c>
      <c r="H1087" s="1308"/>
      <c r="K1087" s="1308"/>
      <c r="P1087" s="1308"/>
    </row>
    <row r="1088" spans="1:16" x14ac:dyDescent="0.25">
      <c r="A1088" s="1348"/>
      <c r="B1088" s="1351" t="s">
        <v>4312</v>
      </c>
      <c r="C1088" s="1348">
        <v>96811</v>
      </c>
      <c r="H1088" s="1308"/>
      <c r="K1088" s="1308"/>
      <c r="P1088" s="1308"/>
    </row>
    <row r="1089" spans="1:16" x14ac:dyDescent="0.25">
      <c r="A1089" s="1348"/>
      <c r="B1089" s="1351" t="s">
        <v>4313</v>
      </c>
      <c r="C1089" s="1348">
        <v>96011</v>
      </c>
      <c r="H1089" s="1308"/>
      <c r="K1089" s="1308"/>
      <c r="P1089" s="1308"/>
    </row>
    <row r="1090" spans="1:16" x14ac:dyDescent="0.25">
      <c r="A1090" s="1348"/>
      <c r="B1090" s="1351" t="s">
        <v>3185</v>
      </c>
      <c r="C1090" s="1348">
        <v>96018</v>
      </c>
      <c r="H1090" s="1308"/>
      <c r="K1090" s="1308"/>
      <c r="P1090" s="1308"/>
    </row>
    <row r="1091" spans="1:16" x14ac:dyDescent="0.25">
      <c r="A1091" s="1348"/>
      <c r="B1091" s="1351" t="s">
        <v>3178</v>
      </c>
      <c r="C1091" s="1348">
        <v>96003</v>
      </c>
      <c r="H1091" s="1308"/>
      <c r="K1091" s="1308"/>
      <c r="P1091" s="1308"/>
    </row>
    <row r="1092" spans="1:16" x14ac:dyDescent="0.25">
      <c r="A1092" s="1348"/>
      <c r="B1092" s="1351" t="s">
        <v>3180</v>
      </c>
      <c r="C1092" s="1348">
        <v>96005</v>
      </c>
      <c r="H1092" s="1308"/>
      <c r="K1092" s="1308"/>
      <c r="P1092" s="1308"/>
    </row>
    <row r="1093" spans="1:16" x14ac:dyDescent="0.25">
      <c r="A1093" s="1348"/>
      <c r="B1093" s="1351" t="s">
        <v>3184</v>
      </c>
      <c r="C1093" s="1348">
        <v>96012</v>
      </c>
      <c r="H1093" s="1308"/>
      <c r="K1093" s="1308"/>
      <c r="P1093" s="1308"/>
    </row>
    <row r="1094" spans="1:16" x14ac:dyDescent="0.25">
      <c r="A1094" s="1348"/>
      <c r="B1094" s="1351" t="s">
        <v>2841</v>
      </c>
      <c r="C1094" s="1348">
        <v>91901</v>
      </c>
      <c r="H1094" s="1308"/>
      <c r="K1094" s="1308"/>
      <c r="P1094" s="1308"/>
    </row>
    <row r="1095" spans="1:16" x14ac:dyDescent="0.25">
      <c r="A1095" s="1348"/>
      <c r="B1095" s="1351" t="s">
        <v>2843</v>
      </c>
      <c r="C1095" s="1348">
        <v>91904</v>
      </c>
      <c r="H1095" s="1308"/>
      <c r="K1095" s="1308"/>
      <c r="P1095" s="1308"/>
    </row>
    <row r="1096" spans="1:16" x14ac:dyDescent="0.25">
      <c r="A1096" s="1348"/>
      <c r="B1096" s="1351" t="s">
        <v>4151</v>
      </c>
      <c r="C1096" s="1348">
        <v>91903</v>
      </c>
      <c r="H1096" s="1308"/>
      <c r="K1096" s="1308"/>
      <c r="P1096" s="1308"/>
    </row>
    <row r="1097" spans="1:16" x14ac:dyDescent="0.25">
      <c r="A1097" s="1348"/>
      <c r="B1097" s="1351" t="s">
        <v>2848</v>
      </c>
      <c r="C1097" s="1348">
        <v>92001</v>
      </c>
      <c r="H1097" s="1308"/>
      <c r="K1097" s="1308"/>
      <c r="P1097" s="1308"/>
    </row>
    <row r="1098" spans="1:16" x14ac:dyDescent="0.25">
      <c r="A1098" s="1348"/>
      <c r="B1098" s="1351" t="s">
        <v>4314</v>
      </c>
      <c r="C1098" s="1348">
        <v>93641</v>
      </c>
      <c r="H1098" s="1308"/>
      <c r="K1098" s="1308"/>
      <c r="P1098" s="1308"/>
    </row>
    <row r="1099" spans="1:16" x14ac:dyDescent="0.25">
      <c r="A1099" s="1348"/>
      <c r="B1099" s="1351" t="s">
        <v>2999</v>
      </c>
      <c r="C1099" s="1348">
        <v>93647</v>
      </c>
      <c r="H1099" s="1308"/>
      <c r="K1099" s="1308"/>
      <c r="P1099" s="1308"/>
    </row>
    <row r="1100" spans="1:16" x14ac:dyDescent="0.25">
      <c r="A1100" s="1348"/>
      <c r="B1100" s="1351" t="s">
        <v>4315</v>
      </c>
      <c r="C1100" s="1348">
        <v>98041</v>
      </c>
      <c r="H1100" s="1308"/>
      <c r="K1100" s="1308"/>
      <c r="P1100" s="1308"/>
    </row>
    <row r="1101" spans="1:16" x14ac:dyDescent="0.25">
      <c r="A1101" s="1348"/>
      <c r="B1101" s="1351" t="s">
        <v>4195</v>
      </c>
      <c r="C1101" s="1348">
        <v>96612</v>
      </c>
      <c r="H1101" s="1308"/>
      <c r="K1101" s="1308"/>
      <c r="P1101" s="1308"/>
    </row>
    <row r="1102" spans="1:16" x14ac:dyDescent="0.25">
      <c r="A1102" s="1348"/>
      <c r="B1102" s="1351" t="s">
        <v>4316</v>
      </c>
      <c r="C1102" s="1348">
        <v>90751</v>
      </c>
      <c r="H1102" s="1308"/>
      <c r="K1102" s="1308"/>
      <c r="P1102" s="1308"/>
    </row>
    <row r="1103" spans="1:16" x14ac:dyDescent="0.25">
      <c r="A1103" s="1348"/>
      <c r="B1103" s="1351" t="s">
        <v>2853</v>
      </c>
      <c r="C1103" s="1348">
        <v>92101</v>
      </c>
      <c r="H1103" s="1308"/>
      <c r="K1103" s="1308"/>
      <c r="P1103" s="1308"/>
    </row>
    <row r="1104" spans="1:16" x14ac:dyDescent="0.25">
      <c r="A1104" s="1348"/>
      <c r="B1104" s="1351" t="s">
        <v>2854</v>
      </c>
      <c r="C1104" s="1348">
        <v>92104</v>
      </c>
      <c r="H1104" s="1308"/>
      <c r="K1104" s="1308"/>
      <c r="P1104" s="1308"/>
    </row>
    <row r="1105" spans="1:16" x14ac:dyDescent="0.25">
      <c r="A1105" s="1348"/>
      <c r="B1105" s="1351" t="s">
        <v>4317</v>
      </c>
      <c r="C1105" s="1348">
        <v>91821</v>
      </c>
      <c r="H1105" s="1308"/>
      <c r="K1105" s="1308"/>
      <c r="P1105" s="1308"/>
    </row>
    <row r="1106" spans="1:16" x14ac:dyDescent="0.25">
      <c r="A1106" s="1348"/>
      <c r="B1106" s="1351" t="s">
        <v>4318</v>
      </c>
      <c r="C1106" s="1348">
        <v>90931</v>
      </c>
      <c r="H1106" s="1308"/>
      <c r="K1106" s="1308"/>
      <c r="P1106" s="1308"/>
    </row>
    <row r="1107" spans="1:16" x14ac:dyDescent="0.25">
      <c r="A1107" s="1348"/>
      <c r="B1107" s="1351" t="s">
        <v>2858</v>
      </c>
      <c r="C1107" s="1348">
        <v>92201</v>
      </c>
      <c r="H1107" s="1308"/>
      <c r="K1107" s="1308"/>
      <c r="P1107" s="1308"/>
    </row>
    <row r="1108" spans="1:16" x14ac:dyDescent="0.25">
      <c r="A1108" s="1348"/>
      <c r="B1108" s="1352" t="s">
        <v>4154</v>
      </c>
      <c r="C1108" s="1348">
        <v>92214</v>
      </c>
      <c r="H1108" s="1308"/>
      <c r="K1108" s="1308"/>
      <c r="P1108" s="1308"/>
    </row>
    <row r="1109" spans="1:16" x14ac:dyDescent="0.25">
      <c r="A1109" s="1348"/>
      <c r="B1109" s="1351" t="s">
        <v>4319</v>
      </c>
      <c r="C1109" s="1348">
        <v>95131</v>
      </c>
      <c r="H1109" s="1308"/>
      <c r="K1109" s="1308"/>
      <c r="P1109" s="1308"/>
    </row>
    <row r="1110" spans="1:16" x14ac:dyDescent="0.25">
      <c r="A1110" s="1348"/>
      <c r="B1110" s="1351" t="s">
        <v>4320</v>
      </c>
      <c r="C1110" s="1348">
        <v>93441</v>
      </c>
      <c r="H1110" s="1308"/>
      <c r="K1110" s="1308"/>
      <c r="P1110" s="1308"/>
    </row>
    <row r="1111" spans="1:16" x14ac:dyDescent="0.25">
      <c r="A1111" s="1348"/>
      <c r="B1111" s="1351" t="s">
        <v>2976</v>
      </c>
      <c r="C1111" s="1348">
        <v>93442</v>
      </c>
      <c r="H1111" s="1308"/>
      <c r="K1111" s="1308"/>
      <c r="P1111" s="1308"/>
    </row>
    <row r="1112" spans="1:16" x14ac:dyDescent="0.25">
      <c r="A1112" s="1348"/>
      <c r="B1112" s="1351" t="s">
        <v>2561</v>
      </c>
      <c r="C1112" s="1348">
        <v>98091</v>
      </c>
      <c r="H1112" s="1308"/>
      <c r="K1112" s="1308"/>
      <c r="P1112" s="1308"/>
    </row>
    <row r="1113" spans="1:16" x14ac:dyDescent="0.25">
      <c r="A1113" s="1348"/>
      <c r="B1113" s="1351" t="s">
        <v>2859</v>
      </c>
      <c r="C1113" s="1348">
        <v>92301</v>
      </c>
      <c r="H1113" s="1308"/>
      <c r="K1113" s="1308"/>
      <c r="P1113" s="1308"/>
    </row>
    <row r="1114" spans="1:16" x14ac:dyDescent="0.25">
      <c r="A1114" s="1348"/>
      <c r="B1114" s="1351" t="s">
        <v>3685</v>
      </c>
      <c r="C1114" s="1348">
        <v>92302</v>
      </c>
      <c r="H1114" s="1308"/>
      <c r="K1114" s="1308"/>
      <c r="P1114" s="1308"/>
    </row>
    <row r="1115" spans="1:16" x14ac:dyDescent="0.25">
      <c r="A1115" s="1348"/>
      <c r="B1115" s="1351" t="s">
        <v>4321</v>
      </c>
      <c r="C1115" s="1348">
        <v>98211</v>
      </c>
      <c r="H1115" s="1308"/>
      <c r="K1115" s="1308"/>
      <c r="P1115" s="1308"/>
    </row>
    <row r="1116" spans="1:16" x14ac:dyDescent="0.25">
      <c r="A1116" s="1348"/>
      <c r="B1116" s="1351" t="s">
        <v>3398</v>
      </c>
      <c r="C1116" s="1348">
        <v>98218</v>
      </c>
      <c r="H1116" s="1308"/>
      <c r="K1116" s="1308"/>
      <c r="P1116" s="1308"/>
    </row>
    <row r="1117" spans="1:16" x14ac:dyDescent="0.25">
      <c r="A1117" s="1348"/>
      <c r="B1117" s="1351" t="s">
        <v>2883</v>
      </c>
      <c r="C1117" s="1348">
        <v>92506</v>
      </c>
      <c r="H1117" s="1308"/>
      <c r="K1117" s="1308"/>
      <c r="P1117" s="1308"/>
    </row>
    <row r="1118" spans="1:16" x14ac:dyDescent="0.25">
      <c r="A1118" s="1348"/>
      <c r="B1118" s="1351" t="s">
        <v>4322</v>
      </c>
      <c r="C1118" s="1348">
        <v>92508</v>
      </c>
      <c r="H1118" s="1308"/>
      <c r="K1118" s="1308"/>
      <c r="P1118" s="1308"/>
    </row>
    <row r="1119" spans="1:16" x14ac:dyDescent="0.25">
      <c r="A1119" s="1348"/>
      <c r="B1119" s="1351" t="s">
        <v>3237</v>
      </c>
      <c r="C1119" s="1348">
        <v>96519</v>
      </c>
      <c r="H1119" s="1308"/>
      <c r="K1119" s="1308"/>
      <c r="P1119" s="1308"/>
    </row>
    <row r="1120" spans="1:16" x14ac:dyDescent="0.25">
      <c r="A1120" s="1348"/>
      <c r="B1120" s="1351" t="s">
        <v>4323</v>
      </c>
      <c r="C1120" s="1348">
        <v>94341</v>
      </c>
      <c r="H1120" s="1308"/>
      <c r="K1120" s="1308"/>
      <c r="P1120" s="1308"/>
    </row>
    <row r="1121" spans="1:16" x14ac:dyDescent="0.25">
      <c r="A1121" s="1348"/>
      <c r="B1121" s="1351" t="s">
        <v>4324</v>
      </c>
      <c r="C1121" s="1348">
        <v>94641</v>
      </c>
      <c r="H1121" s="1308"/>
      <c r="K1121" s="1308"/>
      <c r="P1121" s="1308"/>
    </row>
    <row r="1122" spans="1:16" x14ac:dyDescent="0.25">
      <c r="A1122" s="1348"/>
      <c r="B1122" s="1351" t="s">
        <v>4325</v>
      </c>
      <c r="C1122" s="1348">
        <v>90813</v>
      </c>
      <c r="H1122" s="1308"/>
      <c r="K1122" s="1308"/>
      <c r="P1122" s="1308"/>
    </row>
    <row r="1123" spans="1:16" x14ac:dyDescent="0.25">
      <c r="A1123" s="1348"/>
      <c r="B1123" s="1351" t="s">
        <v>3042</v>
      </c>
      <c r="C1123" s="1348">
        <v>94168</v>
      </c>
      <c r="H1123" s="1308"/>
      <c r="K1123" s="1308"/>
      <c r="P1123" s="1308"/>
    </row>
    <row r="1124" spans="1:16" x14ac:dyDescent="0.25">
      <c r="A1124" s="1348"/>
      <c r="B1124" s="1351" t="s">
        <v>4326</v>
      </c>
      <c r="C1124" s="1348">
        <v>98911</v>
      </c>
      <c r="H1124" s="1308"/>
      <c r="K1124" s="1308"/>
      <c r="P1124" s="1308"/>
    </row>
    <row r="1125" spans="1:16" x14ac:dyDescent="0.25">
      <c r="A1125" s="1348"/>
      <c r="B1125" s="1351" t="s">
        <v>2562</v>
      </c>
      <c r="C1125" s="1348">
        <v>97521</v>
      </c>
      <c r="H1125" s="1308"/>
      <c r="K1125" s="1308"/>
      <c r="P1125" s="1308"/>
    </row>
    <row r="1126" spans="1:16" x14ac:dyDescent="0.25">
      <c r="A1126" s="1348"/>
      <c r="B1126" s="1351" t="s">
        <v>4204</v>
      </c>
      <c r="C1126" s="1348">
        <v>97527</v>
      </c>
      <c r="H1126" s="1308"/>
      <c r="K1126" s="1308"/>
      <c r="P1126" s="1308"/>
    </row>
    <row r="1127" spans="1:16" x14ac:dyDescent="0.25">
      <c r="A1127" s="1348"/>
      <c r="B1127" s="1351" t="s">
        <v>2868</v>
      </c>
      <c r="C1127" s="1348">
        <v>92401</v>
      </c>
      <c r="H1127" s="1308"/>
      <c r="K1127" s="1308"/>
      <c r="P1127" s="1308"/>
    </row>
    <row r="1128" spans="1:16" x14ac:dyDescent="0.25">
      <c r="A1128" s="1348"/>
      <c r="B1128" s="1351" t="s">
        <v>4327</v>
      </c>
      <c r="C1128" s="1348">
        <v>91311</v>
      </c>
      <c r="H1128" s="1308"/>
      <c r="K1128" s="1308"/>
      <c r="P1128" s="1308"/>
    </row>
    <row r="1129" spans="1:16" x14ac:dyDescent="0.25">
      <c r="A1129" s="1348"/>
      <c r="B1129" s="1351" t="s">
        <v>2793</v>
      </c>
      <c r="C1129" s="1348">
        <v>91317</v>
      </c>
      <c r="H1129" s="1308"/>
      <c r="K1129" s="1308"/>
      <c r="P1129" s="1308"/>
    </row>
    <row r="1130" spans="1:16" x14ac:dyDescent="0.25">
      <c r="A1130" s="1348"/>
      <c r="B1130" s="1351" t="s">
        <v>4328</v>
      </c>
      <c r="C1130" s="1348">
        <v>91261</v>
      </c>
      <c r="H1130" s="1308"/>
      <c r="K1130" s="1308"/>
      <c r="P1130" s="1308"/>
    </row>
    <row r="1131" spans="1:16" x14ac:dyDescent="0.25">
      <c r="A1131" s="1348"/>
      <c r="B1131" s="1351" t="s">
        <v>4329</v>
      </c>
      <c r="C1131" s="1348">
        <v>91851</v>
      </c>
      <c r="H1131" s="1308"/>
      <c r="K1131" s="1308"/>
      <c r="P1131" s="1308"/>
    </row>
    <row r="1132" spans="1:16" x14ac:dyDescent="0.25">
      <c r="A1132" s="1348"/>
      <c r="B1132" s="1351" t="s">
        <v>3299</v>
      </c>
      <c r="C1132" s="1348">
        <v>97408</v>
      </c>
      <c r="H1132" s="1308"/>
      <c r="K1132" s="1308"/>
      <c r="P1132" s="1308"/>
    </row>
    <row r="1133" spans="1:16" x14ac:dyDescent="0.25">
      <c r="A1133" s="1348"/>
      <c r="B1133" s="1351" t="s">
        <v>4330</v>
      </c>
      <c r="C1133" s="1348">
        <v>96641</v>
      </c>
      <c r="H1133" s="1308"/>
      <c r="K1133" s="1308"/>
      <c r="P1133" s="1308"/>
    </row>
    <row r="1134" spans="1:16" x14ac:dyDescent="0.25">
      <c r="A1134" s="1348"/>
      <c r="B1134" s="1351" t="s">
        <v>4331</v>
      </c>
      <c r="C1134" s="1348">
        <v>93031</v>
      </c>
      <c r="H1134" s="1308"/>
      <c r="K1134" s="1308"/>
      <c r="P1134" s="1308"/>
    </row>
    <row r="1135" spans="1:16" x14ac:dyDescent="0.25">
      <c r="A1135" s="1348"/>
      <c r="B1135" s="1351" t="s">
        <v>2931</v>
      </c>
      <c r="C1135" s="1348">
        <v>93027</v>
      </c>
      <c r="H1135" s="1308"/>
      <c r="K1135" s="1308"/>
      <c r="P1135" s="1308"/>
    </row>
    <row r="1136" spans="1:16" x14ac:dyDescent="0.25">
      <c r="A1136" s="1348"/>
      <c r="B1136" s="1351" t="s">
        <v>4332</v>
      </c>
      <c r="C1136" s="1348">
        <v>96051</v>
      </c>
      <c r="H1136" s="1308"/>
      <c r="K1136" s="1308"/>
      <c r="P1136" s="1308"/>
    </row>
    <row r="1137" spans="1:16" x14ac:dyDescent="0.25">
      <c r="A1137" s="1348"/>
      <c r="B1137" s="1351" t="s">
        <v>4333</v>
      </c>
      <c r="C1137" s="1348">
        <v>92571</v>
      </c>
      <c r="H1137" s="1308"/>
      <c r="K1137" s="1308"/>
      <c r="P1137" s="1308"/>
    </row>
    <row r="1138" spans="1:16" x14ac:dyDescent="0.25">
      <c r="A1138" s="1348"/>
      <c r="B1138" s="1351" t="s">
        <v>4334</v>
      </c>
      <c r="C1138" s="1348">
        <v>93631</v>
      </c>
      <c r="H1138" s="1308"/>
      <c r="K1138" s="1308"/>
      <c r="P1138" s="1308"/>
    </row>
    <row r="1139" spans="1:16" x14ac:dyDescent="0.25">
      <c r="A1139" s="1348"/>
      <c r="B1139" s="1352" t="s">
        <v>4168</v>
      </c>
      <c r="C1139" s="1348">
        <v>93604</v>
      </c>
      <c r="H1139" s="1308"/>
      <c r="K1139" s="1308"/>
      <c r="P1139" s="1308"/>
    </row>
    <row r="1140" spans="1:16" x14ac:dyDescent="0.25">
      <c r="A1140" s="1348"/>
      <c r="B1140" s="1351" t="s">
        <v>2881</v>
      </c>
      <c r="C1140" s="1348">
        <v>92504</v>
      </c>
      <c r="H1140" s="1308"/>
      <c r="K1140" s="1308"/>
      <c r="P1140" s="1308"/>
    </row>
    <row r="1141" spans="1:16" x14ac:dyDescent="0.25">
      <c r="A1141" s="1348"/>
      <c r="B1141" s="1351" t="s">
        <v>2879</v>
      </c>
      <c r="C1141" s="1348">
        <v>92501</v>
      </c>
      <c r="H1141" s="1308"/>
      <c r="K1141" s="1308"/>
      <c r="P1141" s="1308"/>
    </row>
    <row r="1142" spans="1:16" x14ac:dyDescent="0.25">
      <c r="A1142" s="1348"/>
      <c r="B1142" s="1351" t="s">
        <v>2882</v>
      </c>
      <c r="C1142" s="1348">
        <v>92505</v>
      </c>
      <c r="H1142" s="1308"/>
      <c r="K1142" s="1308"/>
      <c r="P1142" s="1308"/>
    </row>
    <row r="1143" spans="1:16" x14ac:dyDescent="0.25">
      <c r="A1143" s="1348"/>
      <c r="B1143" s="1351" t="s">
        <v>4335</v>
      </c>
      <c r="C1143" s="1348">
        <v>93921</v>
      </c>
      <c r="H1143" s="1308"/>
      <c r="K1143" s="1308"/>
      <c r="P1143" s="1308"/>
    </row>
    <row r="1144" spans="1:16" x14ac:dyDescent="0.25">
      <c r="A1144" s="1348"/>
      <c r="B1144" s="1351" t="s">
        <v>4336</v>
      </c>
      <c r="C1144" s="1348">
        <v>99431</v>
      </c>
      <c r="H1144" s="1308"/>
      <c r="K1144" s="1308"/>
      <c r="P1144" s="1308"/>
    </row>
    <row r="1145" spans="1:16" x14ac:dyDescent="0.25">
      <c r="A1145" s="1348"/>
      <c r="B1145" s="1351" t="s">
        <v>2897</v>
      </c>
      <c r="C1145" s="1348">
        <v>92604</v>
      </c>
      <c r="H1145" s="1308"/>
      <c r="K1145" s="1308"/>
      <c r="P1145" s="1308"/>
    </row>
    <row r="1146" spans="1:16" x14ac:dyDescent="0.25">
      <c r="A1146" s="1348"/>
      <c r="B1146" s="1351" t="s">
        <v>2895</v>
      </c>
      <c r="C1146" s="1348">
        <v>92601</v>
      </c>
      <c r="H1146" s="1308"/>
      <c r="K1146" s="1308"/>
      <c r="P1146" s="1308"/>
    </row>
    <row r="1147" spans="1:16" x14ac:dyDescent="0.25">
      <c r="A1147" s="1348"/>
      <c r="B1147" s="1351" t="s">
        <v>2899</v>
      </c>
      <c r="C1147" s="1348">
        <v>92608</v>
      </c>
      <c r="H1147" s="1308"/>
      <c r="K1147" s="1308"/>
      <c r="P1147" s="1308"/>
    </row>
    <row r="1148" spans="1:16" x14ac:dyDescent="0.25">
      <c r="A1148" s="1348"/>
      <c r="B1148" s="1351" t="s">
        <v>2911</v>
      </c>
      <c r="C1148" s="1348">
        <v>92704</v>
      </c>
      <c r="H1148" s="1308"/>
      <c r="K1148" s="1308"/>
      <c r="P1148" s="1308"/>
    </row>
    <row r="1149" spans="1:16" x14ac:dyDescent="0.25">
      <c r="A1149" s="1348"/>
      <c r="B1149" s="1351" t="s">
        <v>2910</v>
      </c>
      <c r="C1149" s="1348">
        <v>92701</v>
      </c>
      <c r="H1149" s="1308"/>
      <c r="K1149" s="1308"/>
      <c r="P1149" s="1308"/>
    </row>
    <row r="1150" spans="1:16" x14ac:dyDescent="0.25">
      <c r="A1150" s="1348"/>
      <c r="B1150" s="1351" t="s">
        <v>4337</v>
      </c>
      <c r="C1150" s="1348">
        <v>93651</v>
      </c>
      <c r="H1150" s="1308"/>
      <c r="K1150" s="1308"/>
      <c r="P1150" s="1308"/>
    </row>
    <row r="1151" spans="1:16" x14ac:dyDescent="0.25">
      <c r="A1151" s="1348"/>
      <c r="B1151" s="1351" t="s">
        <v>2912</v>
      </c>
      <c r="C1151" s="1348">
        <v>92801</v>
      </c>
      <c r="H1151" s="1308"/>
      <c r="K1151" s="1308"/>
      <c r="P1151" s="1308"/>
    </row>
    <row r="1152" spans="1:16" x14ac:dyDescent="0.25">
      <c r="A1152" s="1348"/>
      <c r="B1152" s="1351" t="s">
        <v>2914</v>
      </c>
      <c r="C1152" s="1348">
        <v>92804</v>
      </c>
      <c r="H1152" s="1308"/>
      <c r="K1152" s="1308"/>
      <c r="P1152" s="1308"/>
    </row>
    <row r="1153" spans="1:16" x14ac:dyDescent="0.25">
      <c r="A1153" s="1348"/>
      <c r="B1153" s="1351" t="s">
        <v>2913</v>
      </c>
      <c r="C1153" s="1348">
        <v>92802</v>
      </c>
      <c r="H1153" s="1308"/>
      <c r="K1153" s="1308"/>
      <c r="P1153" s="1308"/>
    </row>
    <row r="1154" spans="1:16" x14ac:dyDescent="0.25">
      <c r="A1154" s="1348"/>
      <c r="B1154" s="1351" t="s">
        <v>2567</v>
      </c>
      <c r="C1154" s="1348">
        <v>96081</v>
      </c>
      <c r="H1154" s="1308"/>
      <c r="K1154" s="1308"/>
      <c r="P1154" s="1308"/>
    </row>
    <row r="1155" spans="1:16" x14ac:dyDescent="0.25">
      <c r="A1155" s="1348"/>
      <c r="B1155" s="1351" t="s">
        <v>2921</v>
      </c>
      <c r="C1155" s="1348">
        <v>92901</v>
      </c>
      <c r="H1155" s="1308"/>
      <c r="K1155" s="1308"/>
      <c r="P1155" s="1308"/>
    </row>
    <row r="1156" spans="1:16" x14ac:dyDescent="0.25">
      <c r="A1156" s="1348"/>
      <c r="B1156" s="1351" t="s">
        <v>2927</v>
      </c>
      <c r="C1156" s="1348">
        <v>93001</v>
      </c>
      <c r="H1156" s="1308"/>
      <c r="K1156" s="1308"/>
      <c r="P1156" s="1308"/>
    </row>
    <row r="1157" spans="1:16" x14ac:dyDescent="0.25">
      <c r="A1157" s="1348"/>
      <c r="B1157" s="1351" t="s">
        <v>2928</v>
      </c>
      <c r="C1157" s="1348">
        <v>93009</v>
      </c>
      <c r="H1157" s="1308"/>
      <c r="K1157" s="1308"/>
      <c r="P1157" s="1308"/>
    </row>
    <row r="1158" spans="1:16" x14ac:dyDescent="0.25">
      <c r="A1158" s="1348"/>
      <c r="B1158" s="1351" t="s">
        <v>4338</v>
      </c>
      <c r="C1158" s="1348">
        <v>92921</v>
      </c>
      <c r="H1158" s="1308"/>
      <c r="K1158" s="1308"/>
      <c r="P1158" s="1308"/>
    </row>
    <row r="1159" spans="1:16" x14ac:dyDescent="0.25">
      <c r="A1159" s="1348"/>
      <c r="B1159" s="1351" t="s">
        <v>4339</v>
      </c>
      <c r="C1159" s="1348">
        <v>98621</v>
      </c>
      <c r="H1159" s="1308"/>
      <c r="K1159" s="1308"/>
      <c r="P1159" s="1308"/>
    </row>
    <row r="1160" spans="1:16" x14ac:dyDescent="0.25">
      <c r="A1160" s="1348"/>
      <c r="B1160" s="1351" t="s">
        <v>3432</v>
      </c>
      <c r="C1160" s="1348">
        <v>98627</v>
      </c>
      <c r="H1160" s="1308"/>
      <c r="K1160" s="1308"/>
      <c r="P1160" s="1308"/>
    </row>
    <row r="1161" spans="1:16" x14ac:dyDescent="0.25">
      <c r="A1161" s="1348"/>
      <c r="B1161" s="1351" t="s">
        <v>4340</v>
      </c>
      <c r="C1161" s="1348">
        <v>91221</v>
      </c>
      <c r="H1161" s="1308"/>
      <c r="K1161" s="1308"/>
      <c r="P1161" s="1308"/>
    </row>
    <row r="1162" spans="1:16" x14ac:dyDescent="0.25">
      <c r="A1162" s="1348"/>
      <c r="B1162" s="1351" t="s">
        <v>4341</v>
      </c>
      <c r="C1162" s="1348">
        <v>92861</v>
      </c>
      <c r="H1162" s="1308"/>
      <c r="K1162" s="1308"/>
      <c r="P1162" s="1308"/>
    </row>
    <row r="1163" spans="1:16" x14ac:dyDescent="0.25">
      <c r="A1163" s="1348"/>
      <c r="B1163" s="1351" t="s">
        <v>4342</v>
      </c>
      <c r="C1163" s="1348">
        <v>94311</v>
      </c>
      <c r="H1163" s="1308"/>
      <c r="K1163" s="1308"/>
      <c r="P1163" s="1308"/>
    </row>
    <row r="1164" spans="1:16" x14ac:dyDescent="0.25">
      <c r="A1164" s="1348"/>
      <c r="B1164" s="1351" t="s">
        <v>3058</v>
      </c>
      <c r="C1164" s="1348">
        <v>94317</v>
      </c>
      <c r="H1164" s="1308"/>
      <c r="K1164" s="1308"/>
      <c r="P1164" s="1308"/>
    </row>
    <row r="1165" spans="1:16" x14ac:dyDescent="0.25">
      <c r="A1165" s="1348"/>
      <c r="B1165" s="1351" t="s">
        <v>3057</v>
      </c>
      <c r="C1165" s="1348">
        <v>94313</v>
      </c>
      <c r="H1165" s="1308"/>
      <c r="K1165" s="1308"/>
      <c r="P1165" s="1308"/>
    </row>
    <row r="1166" spans="1:16" x14ac:dyDescent="0.25">
      <c r="A1166" s="1348"/>
      <c r="B1166" s="1351" t="s">
        <v>2933</v>
      </c>
      <c r="C1166" s="1348">
        <v>93101</v>
      </c>
      <c r="H1166" s="1308"/>
      <c r="K1166" s="1308"/>
      <c r="P1166" s="1308"/>
    </row>
    <row r="1167" spans="1:16" x14ac:dyDescent="0.25">
      <c r="A1167" s="1348"/>
      <c r="B1167" s="1351" t="s">
        <v>2126</v>
      </c>
      <c r="C1167" s="1348">
        <v>93103</v>
      </c>
      <c r="H1167" s="1308"/>
      <c r="K1167" s="1308"/>
      <c r="P1167" s="1308"/>
    </row>
    <row r="1168" spans="1:16" x14ac:dyDescent="0.25">
      <c r="A1168" s="1348"/>
      <c r="B1168" s="1351" t="s">
        <v>2570</v>
      </c>
      <c r="C1168" s="1348">
        <v>93211</v>
      </c>
      <c r="H1168" s="1308"/>
      <c r="K1168" s="1308"/>
      <c r="P1168" s="1308"/>
    </row>
    <row r="1169" spans="1:16" x14ac:dyDescent="0.25">
      <c r="A1169" s="1348"/>
      <c r="B1169" s="1351" t="s">
        <v>2952</v>
      </c>
      <c r="C1169" s="1348">
        <v>93212</v>
      </c>
      <c r="H1169" s="1308"/>
      <c r="K1169" s="1308"/>
      <c r="P1169" s="1308"/>
    </row>
    <row r="1170" spans="1:16" x14ac:dyDescent="0.25">
      <c r="A1170" s="1348"/>
      <c r="B1170" s="1351" t="s">
        <v>2947</v>
      </c>
      <c r="C1170" s="1348">
        <v>93201</v>
      </c>
      <c r="H1170" s="1308"/>
      <c r="K1170" s="1308"/>
      <c r="P1170" s="1308"/>
    </row>
    <row r="1171" spans="1:16" x14ac:dyDescent="0.25">
      <c r="A1171" s="1348"/>
      <c r="B1171" s="1351" t="s">
        <v>2949</v>
      </c>
      <c r="C1171" s="1348">
        <v>93204</v>
      </c>
      <c r="H1171" s="1308"/>
      <c r="K1171" s="1308"/>
      <c r="P1171" s="1308"/>
    </row>
    <row r="1172" spans="1:16" x14ac:dyDescent="0.25">
      <c r="A1172" s="1348"/>
      <c r="B1172" s="1351" t="s">
        <v>3474</v>
      </c>
      <c r="C1172" s="1348">
        <v>99212</v>
      </c>
      <c r="H1172" s="1308"/>
      <c r="K1172" s="1308"/>
      <c r="P1172" s="1308"/>
    </row>
    <row r="1173" spans="1:16" x14ac:dyDescent="0.25">
      <c r="A1173" s="1348"/>
      <c r="B1173" s="1351" t="s">
        <v>3274</v>
      </c>
      <c r="C1173" s="1348">
        <v>97005</v>
      </c>
      <c r="H1173" s="1308"/>
      <c r="K1173" s="1308"/>
      <c r="P1173" s="1308"/>
    </row>
    <row r="1174" spans="1:16" x14ac:dyDescent="0.25">
      <c r="A1174" s="1348"/>
      <c r="B1174" s="1351" t="s">
        <v>4343</v>
      </c>
      <c r="C1174" s="1348">
        <v>99931</v>
      </c>
      <c r="H1174" s="1308"/>
      <c r="K1174" s="1308"/>
      <c r="P1174" s="1308"/>
    </row>
    <row r="1175" spans="1:16" x14ac:dyDescent="0.25">
      <c r="A1175" s="1348"/>
      <c r="B1175" s="1351" t="s">
        <v>2886</v>
      </c>
      <c r="C1175" s="1348">
        <v>92509</v>
      </c>
      <c r="H1175" s="1308"/>
      <c r="K1175" s="1308"/>
      <c r="P1175" s="1308"/>
    </row>
    <row r="1176" spans="1:16" x14ac:dyDescent="0.25">
      <c r="A1176" s="1348"/>
      <c r="B1176" s="1351" t="s">
        <v>4344</v>
      </c>
      <c r="C1176" s="1348">
        <v>98021</v>
      </c>
      <c r="H1176" s="1308"/>
      <c r="K1176" s="1308"/>
      <c r="P1176" s="1308"/>
    </row>
    <row r="1177" spans="1:16" x14ac:dyDescent="0.25">
      <c r="A1177" s="1348"/>
      <c r="B1177" s="1351" t="s">
        <v>3375</v>
      </c>
      <c r="C1177" s="1348">
        <v>98023</v>
      </c>
      <c r="H1177" s="1308"/>
      <c r="K1177" s="1308"/>
      <c r="P1177" s="1308"/>
    </row>
    <row r="1178" spans="1:16" x14ac:dyDescent="0.25">
      <c r="A1178" s="1348"/>
      <c r="B1178" s="1351" t="s">
        <v>4345</v>
      </c>
      <c r="C1178" s="1353">
        <v>70505</v>
      </c>
      <c r="H1178" s="1308"/>
      <c r="K1178" s="1308"/>
      <c r="P1178" s="1308"/>
    </row>
    <row r="1179" spans="1:16" x14ac:dyDescent="0.25">
      <c r="A1179" s="1348"/>
      <c r="B1179" s="1351" t="s">
        <v>4346</v>
      </c>
      <c r="C1179" s="1348">
        <v>99603</v>
      </c>
      <c r="H1179" s="1308"/>
      <c r="K1179" s="1308"/>
      <c r="P1179" s="1308"/>
    </row>
    <row r="1180" spans="1:16" x14ac:dyDescent="0.25">
      <c r="A1180" s="1348"/>
      <c r="B1180" s="1351" t="s">
        <v>3511</v>
      </c>
      <c r="C1180" s="1348">
        <v>99610</v>
      </c>
      <c r="H1180" s="1308"/>
      <c r="K1180" s="1308"/>
      <c r="P1180" s="1308"/>
    </row>
    <row r="1181" spans="1:16" x14ac:dyDescent="0.25">
      <c r="A1181" s="1348"/>
      <c r="B1181" s="1351" t="s">
        <v>4347</v>
      </c>
      <c r="C1181" s="1348">
        <v>92681</v>
      </c>
      <c r="H1181" s="1308"/>
      <c r="K1181" s="1308"/>
      <c r="P1181" s="1308"/>
    </row>
    <row r="1182" spans="1:16" x14ac:dyDescent="0.25">
      <c r="A1182" s="1348"/>
      <c r="B1182" s="1351" t="s">
        <v>2934</v>
      </c>
      <c r="C1182" s="1348">
        <v>93108</v>
      </c>
      <c r="H1182" s="1308"/>
      <c r="K1182" s="1308"/>
      <c r="P1182" s="1308"/>
    </row>
    <row r="1183" spans="1:16" x14ac:dyDescent="0.25">
      <c r="A1183" s="1348"/>
      <c r="B1183" s="1351" t="s">
        <v>4348</v>
      </c>
      <c r="C1183" s="1348">
        <v>97951</v>
      </c>
      <c r="H1183" s="1308"/>
      <c r="K1183" s="1308"/>
      <c r="P1183" s="1308"/>
    </row>
    <row r="1184" spans="1:16" x14ac:dyDescent="0.25">
      <c r="A1184" s="1348"/>
      <c r="B1184" s="1351" t="s">
        <v>3366</v>
      </c>
      <c r="C1184" s="1348">
        <v>97957</v>
      </c>
      <c r="H1184" s="1308"/>
      <c r="K1184" s="1308"/>
      <c r="P1184" s="1308"/>
    </row>
    <row r="1185" spans="1:16" x14ac:dyDescent="0.25">
      <c r="A1185" s="1348"/>
      <c r="B1185" s="1351" t="s">
        <v>4349</v>
      </c>
      <c r="C1185" s="1348">
        <v>92111</v>
      </c>
      <c r="H1185" s="1308"/>
      <c r="K1185" s="1308"/>
      <c r="P1185" s="1308"/>
    </row>
    <row r="1186" spans="1:16" x14ac:dyDescent="0.25">
      <c r="A1186" s="1348"/>
      <c r="B1186" s="1351" t="s">
        <v>2954</v>
      </c>
      <c r="C1186" s="1348">
        <v>93301</v>
      </c>
      <c r="H1186" s="1308"/>
      <c r="K1186" s="1308"/>
      <c r="P1186" s="1308"/>
    </row>
    <row r="1187" spans="1:16" x14ac:dyDescent="0.25">
      <c r="A1187" s="1348"/>
      <c r="B1187" s="1351" t="s">
        <v>2955</v>
      </c>
      <c r="C1187" s="1348">
        <v>93304</v>
      </c>
      <c r="H1187" s="1308"/>
      <c r="K1187" s="1308"/>
      <c r="P1187" s="1308"/>
    </row>
    <row r="1188" spans="1:16" x14ac:dyDescent="0.25">
      <c r="A1188" s="1348"/>
      <c r="B1188" s="1351" t="s">
        <v>2956</v>
      </c>
      <c r="C1188" s="1348">
        <v>93305</v>
      </c>
      <c r="H1188" s="1308"/>
      <c r="K1188" s="1308"/>
      <c r="P1188" s="1308"/>
    </row>
    <row r="1189" spans="1:16" x14ac:dyDescent="0.25">
      <c r="A1189" s="1348"/>
      <c r="B1189" s="1351" t="s">
        <v>3472</v>
      </c>
      <c r="C1189" s="1348">
        <v>99210</v>
      </c>
      <c r="H1189" s="1308"/>
      <c r="K1189" s="1308"/>
      <c r="P1189" s="1308"/>
    </row>
    <row r="1190" spans="1:16" x14ac:dyDescent="0.25">
      <c r="A1190" s="1348"/>
      <c r="B1190" s="1351" t="s">
        <v>3277</v>
      </c>
      <c r="C1190" s="1348">
        <v>97011</v>
      </c>
      <c r="H1190" s="1308"/>
      <c r="K1190" s="1308"/>
      <c r="P1190" s="1308"/>
    </row>
    <row r="1191" spans="1:16" x14ac:dyDescent="0.25">
      <c r="A1191" s="1348"/>
      <c r="B1191" s="1351" t="s">
        <v>3279</v>
      </c>
      <c r="C1191" s="1348">
        <v>97013</v>
      </c>
      <c r="H1191" s="1308"/>
      <c r="K1191" s="1308"/>
      <c r="P1191" s="1308"/>
    </row>
    <row r="1192" spans="1:16" x14ac:dyDescent="0.25">
      <c r="A1192" s="1348"/>
      <c r="B1192" s="1351" t="s">
        <v>4350</v>
      </c>
      <c r="C1192" s="1348">
        <v>97012</v>
      </c>
      <c r="H1192" s="1308"/>
      <c r="K1192" s="1308"/>
      <c r="P1192" s="1308"/>
    </row>
    <row r="1193" spans="1:16" x14ac:dyDescent="0.25">
      <c r="A1193" s="1348"/>
      <c r="B1193" s="1351" t="s">
        <v>3281</v>
      </c>
      <c r="C1193" s="1348">
        <v>97018</v>
      </c>
      <c r="H1193" s="1308"/>
      <c r="K1193" s="1308"/>
      <c r="P1193" s="1308"/>
    </row>
    <row r="1194" spans="1:16" x14ac:dyDescent="0.25">
      <c r="A1194" s="1348"/>
      <c r="B1194" s="1351" t="s">
        <v>4351</v>
      </c>
      <c r="C1194" s="1348">
        <v>90911</v>
      </c>
      <c r="H1194" s="1308"/>
      <c r="K1194" s="1308"/>
      <c r="P1194" s="1308"/>
    </row>
    <row r="1195" spans="1:16" x14ac:dyDescent="0.25">
      <c r="A1195" s="1348"/>
      <c r="B1195" s="1351" t="s">
        <v>2720</v>
      </c>
      <c r="C1195" s="1348">
        <v>90917</v>
      </c>
      <c r="H1195" s="1308"/>
      <c r="K1195" s="1308"/>
      <c r="P1195" s="1308"/>
    </row>
    <row r="1196" spans="1:16" x14ac:dyDescent="0.25">
      <c r="A1196" s="1348"/>
      <c r="B1196" s="1351" t="s">
        <v>4352</v>
      </c>
      <c r="C1196" s="1348">
        <v>90641</v>
      </c>
      <c r="H1196" s="1308"/>
      <c r="K1196" s="1308"/>
      <c r="P1196" s="1308"/>
    </row>
    <row r="1197" spans="1:16" x14ac:dyDescent="0.25">
      <c r="A1197" s="1348"/>
      <c r="B1197" s="1351" t="s">
        <v>4353</v>
      </c>
      <c r="C1197" s="1348">
        <v>98641</v>
      </c>
      <c r="H1197" s="1308"/>
      <c r="K1197" s="1308"/>
      <c r="P1197" s="1308"/>
    </row>
    <row r="1198" spans="1:16" x14ac:dyDescent="0.25">
      <c r="A1198" s="1348"/>
      <c r="B1198" s="1351" t="s">
        <v>4354</v>
      </c>
      <c r="C1198" s="1348" t="s">
        <v>4355</v>
      </c>
      <c r="H1198" s="1308"/>
      <c r="K1198" s="1308"/>
      <c r="P1198" s="1308"/>
    </row>
    <row r="1199" spans="1:16" x14ac:dyDescent="0.25">
      <c r="A1199" s="1348"/>
      <c r="B1199" s="1351" t="s">
        <v>4356</v>
      </c>
      <c r="C1199" s="1348">
        <v>98161</v>
      </c>
      <c r="H1199" s="1308"/>
      <c r="K1199" s="1308"/>
      <c r="P1199" s="1308"/>
    </row>
    <row r="1200" spans="1:16" x14ac:dyDescent="0.25">
      <c r="A1200" s="1348"/>
      <c r="B1200" s="1351" t="s">
        <v>4357</v>
      </c>
      <c r="C1200" s="1348">
        <v>97731</v>
      </c>
      <c r="H1200" s="1308"/>
      <c r="K1200" s="1308"/>
      <c r="P1200" s="1308"/>
    </row>
    <row r="1201" spans="1:16" x14ac:dyDescent="0.25">
      <c r="A1201" s="1348"/>
      <c r="B1201" s="1351" t="s">
        <v>4358</v>
      </c>
      <c r="C1201" s="1348">
        <v>99851</v>
      </c>
      <c r="H1201" s="1308"/>
      <c r="K1201" s="1308"/>
      <c r="P1201" s="1308"/>
    </row>
    <row r="1202" spans="1:16" x14ac:dyDescent="0.25">
      <c r="A1202" s="1348"/>
      <c r="B1202" s="1351" t="s">
        <v>4359</v>
      </c>
      <c r="C1202" s="1348">
        <v>90131</v>
      </c>
      <c r="H1202" s="1308"/>
      <c r="K1202" s="1308"/>
      <c r="P1202" s="1308"/>
    </row>
    <row r="1203" spans="1:16" x14ac:dyDescent="0.25">
      <c r="A1203" s="1348"/>
      <c r="B1203" s="1351" t="s">
        <v>4360</v>
      </c>
      <c r="C1203" s="1348">
        <v>91651</v>
      </c>
      <c r="H1203" s="1308"/>
      <c r="K1203" s="1308"/>
      <c r="P1203" s="1308"/>
    </row>
    <row r="1204" spans="1:16" x14ac:dyDescent="0.25">
      <c r="A1204" s="1348"/>
      <c r="B1204" s="1351" t="s">
        <v>4361</v>
      </c>
      <c r="C1204" s="1348">
        <v>94211</v>
      </c>
      <c r="H1204" s="1308"/>
      <c r="K1204" s="1308"/>
      <c r="P1204" s="1308"/>
    </row>
    <row r="1205" spans="1:16" x14ac:dyDescent="0.25">
      <c r="A1205" s="1348"/>
      <c r="B1205" s="1351" t="s">
        <v>4362</v>
      </c>
      <c r="C1205" s="1348">
        <v>94331</v>
      </c>
      <c r="H1205" s="1308"/>
      <c r="K1205" s="1308"/>
      <c r="P1205" s="1308"/>
    </row>
    <row r="1206" spans="1:16" x14ac:dyDescent="0.25">
      <c r="A1206" s="1348"/>
      <c r="B1206" s="1351" t="s">
        <v>4363</v>
      </c>
      <c r="C1206" s="1348">
        <v>92431</v>
      </c>
      <c r="H1206" s="1308"/>
      <c r="K1206" s="1308"/>
      <c r="P1206" s="1308"/>
    </row>
    <row r="1207" spans="1:16" x14ac:dyDescent="0.25">
      <c r="A1207" s="1348"/>
      <c r="B1207" s="1351" t="s">
        <v>4364</v>
      </c>
      <c r="C1207" s="1348">
        <v>97821</v>
      </c>
      <c r="H1207" s="1308"/>
      <c r="K1207" s="1308"/>
      <c r="P1207" s="1308"/>
    </row>
    <row r="1208" spans="1:16" x14ac:dyDescent="0.25">
      <c r="A1208" s="1348"/>
      <c r="B1208" s="1351" t="s">
        <v>3345</v>
      </c>
      <c r="C1208" s="1348">
        <v>97823</v>
      </c>
      <c r="H1208" s="1308"/>
      <c r="K1208" s="1308"/>
      <c r="P1208" s="1308"/>
    </row>
    <row r="1209" spans="1:16" x14ac:dyDescent="0.25">
      <c r="A1209" s="1348"/>
      <c r="B1209" s="1351" t="s">
        <v>4365</v>
      </c>
      <c r="C1209" s="1348">
        <v>93141</v>
      </c>
      <c r="H1209" s="1308"/>
      <c r="K1209" s="1308"/>
      <c r="P1209" s="1308"/>
    </row>
    <row r="1210" spans="1:16" x14ac:dyDescent="0.25">
      <c r="A1210" s="1348"/>
      <c r="B1210" s="1351" t="s">
        <v>4366</v>
      </c>
      <c r="C1210" s="1348">
        <v>98081</v>
      </c>
      <c r="H1210" s="1308"/>
      <c r="K1210" s="1308"/>
      <c r="P1210" s="1308"/>
    </row>
    <row r="1211" spans="1:16" x14ac:dyDescent="0.25">
      <c r="A1211" s="1348"/>
      <c r="B1211" s="1351" t="s">
        <v>4367</v>
      </c>
      <c r="C1211" s="1348">
        <v>92671</v>
      </c>
      <c r="H1211" s="1308"/>
      <c r="K1211" s="1308"/>
      <c r="P1211" s="1308"/>
    </row>
    <row r="1212" spans="1:16" x14ac:dyDescent="0.25">
      <c r="A1212" s="1348"/>
      <c r="B1212" s="1351" t="s">
        <v>4368</v>
      </c>
      <c r="C1212" s="1348">
        <v>97421</v>
      </c>
      <c r="H1212" s="1308"/>
      <c r="K1212" s="1308"/>
      <c r="P1212" s="1308"/>
    </row>
    <row r="1213" spans="1:16" x14ac:dyDescent="0.25">
      <c r="A1213" s="1348"/>
      <c r="B1213" s="1351" t="s">
        <v>3304</v>
      </c>
      <c r="C1213" s="1348">
        <v>97423</v>
      </c>
      <c r="H1213" s="1308"/>
      <c r="K1213" s="1308"/>
      <c r="P1213" s="1308"/>
    </row>
    <row r="1214" spans="1:16" x14ac:dyDescent="0.25">
      <c r="A1214" s="1348"/>
      <c r="B1214" s="1351" t="s">
        <v>4369</v>
      </c>
      <c r="C1214" s="1348">
        <v>92611</v>
      </c>
      <c r="H1214" s="1308"/>
      <c r="K1214" s="1308"/>
      <c r="P1214" s="1308"/>
    </row>
    <row r="1215" spans="1:16" x14ac:dyDescent="0.25">
      <c r="A1215" s="1348"/>
      <c r="B1215" s="1351" t="s">
        <v>4160</v>
      </c>
      <c r="C1215" s="1348">
        <v>92613</v>
      </c>
      <c r="H1215" s="1308"/>
      <c r="K1215" s="1308"/>
      <c r="P1215" s="1308"/>
    </row>
    <row r="1216" spans="1:16" x14ac:dyDescent="0.25">
      <c r="A1216" s="1348"/>
      <c r="B1216" s="1351" t="s">
        <v>4370</v>
      </c>
      <c r="C1216" s="1348">
        <v>92614</v>
      </c>
      <c r="H1216" s="1308"/>
      <c r="K1216" s="1308"/>
      <c r="P1216" s="1308"/>
    </row>
    <row r="1217" spans="1:16" x14ac:dyDescent="0.25">
      <c r="A1217" s="1348"/>
      <c r="B1217" s="1351" t="s">
        <v>2880</v>
      </c>
      <c r="C1217" s="1348">
        <v>92502</v>
      </c>
      <c r="H1217" s="1308"/>
      <c r="K1217" s="1308"/>
      <c r="P1217" s="1308"/>
    </row>
    <row r="1218" spans="1:16" x14ac:dyDescent="0.25">
      <c r="A1218" s="1348"/>
      <c r="B1218" s="1351" t="s">
        <v>4371</v>
      </c>
      <c r="C1218" s="1348">
        <v>94531</v>
      </c>
      <c r="H1218" s="1308"/>
      <c r="K1218" s="1308"/>
      <c r="P1218" s="1308"/>
    </row>
    <row r="1219" spans="1:16" x14ac:dyDescent="0.25">
      <c r="A1219" s="1348"/>
      <c r="B1219" s="1351" t="s">
        <v>4372</v>
      </c>
      <c r="C1219" s="1348">
        <v>94541</v>
      </c>
      <c r="H1219" s="1308"/>
      <c r="K1219" s="1308"/>
      <c r="P1219" s="1308"/>
    </row>
    <row r="1220" spans="1:16" x14ac:dyDescent="0.25">
      <c r="A1220" s="1348"/>
      <c r="B1220" s="1351" t="s">
        <v>3082</v>
      </c>
      <c r="C1220" s="1348">
        <v>94547</v>
      </c>
      <c r="H1220" s="1308"/>
      <c r="K1220" s="1308"/>
      <c r="P1220" s="1308"/>
    </row>
    <row r="1221" spans="1:16" x14ac:dyDescent="0.25">
      <c r="A1221" s="1348"/>
      <c r="B1221" s="1351" t="s">
        <v>3108</v>
      </c>
      <c r="C1221" s="1348">
        <v>95005</v>
      </c>
      <c r="H1221" s="1308"/>
      <c r="K1221" s="1308"/>
      <c r="P1221" s="1308"/>
    </row>
    <row r="1222" spans="1:16" x14ac:dyDescent="0.25">
      <c r="A1222" s="1348"/>
      <c r="B1222" s="1351" t="s">
        <v>4373</v>
      </c>
      <c r="C1222" s="1348">
        <v>98111</v>
      </c>
      <c r="H1222" s="1308"/>
      <c r="K1222" s="1308"/>
      <c r="P1222" s="1308"/>
    </row>
    <row r="1223" spans="1:16" x14ac:dyDescent="0.25">
      <c r="A1223" s="1348"/>
      <c r="B1223" s="1351" t="s">
        <v>3386</v>
      </c>
      <c r="C1223" s="1348">
        <v>98107</v>
      </c>
      <c r="H1223" s="1308"/>
      <c r="K1223" s="1308"/>
      <c r="P1223" s="1308"/>
    </row>
    <row r="1224" spans="1:16" x14ac:dyDescent="0.25">
      <c r="A1224" s="1348"/>
      <c r="B1224" s="1351" t="s">
        <v>3389</v>
      </c>
      <c r="C1224" s="1348">
        <v>98113</v>
      </c>
      <c r="H1224" s="1308"/>
      <c r="K1224" s="1308"/>
      <c r="P1224" s="1308"/>
    </row>
    <row r="1225" spans="1:16" x14ac:dyDescent="0.25">
      <c r="A1225" s="1348"/>
      <c r="B1225" s="1351" t="s">
        <v>3507</v>
      </c>
      <c r="C1225" s="1348">
        <v>99602</v>
      </c>
      <c r="H1225" s="1308"/>
      <c r="K1225" s="1308"/>
      <c r="P1225" s="1308"/>
    </row>
    <row r="1226" spans="1:16" x14ac:dyDescent="0.25">
      <c r="A1226" s="1348"/>
      <c r="B1226" s="1351" t="s">
        <v>2966</v>
      </c>
      <c r="C1226" s="1348">
        <v>93401</v>
      </c>
      <c r="H1226" s="1308"/>
      <c r="K1226" s="1308"/>
      <c r="P1226" s="1308"/>
    </row>
    <row r="1227" spans="1:16" x14ac:dyDescent="0.25">
      <c r="A1227" s="1348"/>
      <c r="B1227" s="1351" t="s">
        <v>4374</v>
      </c>
      <c r="C1227" s="1348">
        <v>97491</v>
      </c>
      <c r="H1227" s="1308"/>
      <c r="K1227" s="1308"/>
      <c r="P1227" s="1308"/>
    </row>
    <row r="1228" spans="1:16" x14ac:dyDescent="0.25">
      <c r="A1228" s="1348"/>
      <c r="B1228" s="1351" t="s">
        <v>4375</v>
      </c>
      <c r="C1228" s="1348">
        <v>95151</v>
      </c>
      <c r="H1228" s="1308"/>
      <c r="K1228" s="1308"/>
      <c r="P1228" s="1308"/>
    </row>
    <row r="1229" spans="1:16" x14ac:dyDescent="0.25">
      <c r="A1229" s="1348"/>
      <c r="B1229" s="1351" t="s">
        <v>3218</v>
      </c>
      <c r="C1229" s="1348">
        <v>96381</v>
      </c>
      <c r="H1229" s="1308"/>
      <c r="K1229" s="1308"/>
      <c r="P1229" s="1308"/>
    </row>
    <row r="1230" spans="1:16" x14ac:dyDescent="0.25">
      <c r="A1230" s="1348"/>
      <c r="B1230" s="1351" t="s">
        <v>2573</v>
      </c>
      <c r="C1230" s="1348">
        <v>95611</v>
      </c>
      <c r="H1230" s="1308"/>
      <c r="K1230" s="1308"/>
      <c r="P1230" s="1308"/>
    </row>
    <row r="1231" spans="1:16" x14ac:dyDescent="0.25">
      <c r="A1231" s="1348"/>
      <c r="B1231" s="1351" t="s">
        <v>2980</v>
      </c>
      <c r="C1231" s="1348">
        <v>93501</v>
      </c>
      <c r="H1231" s="1308"/>
      <c r="K1231" s="1308"/>
      <c r="P1231" s="1308"/>
    </row>
    <row r="1232" spans="1:16" x14ac:dyDescent="0.25">
      <c r="A1232" s="1348"/>
      <c r="B1232" s="1351" t="s">
        <v>4376</v>
      </c>
      <c r="C1232" s="1348">
        <v>93511</v>
      </c>
      <c r="H1232" s="1308"/>
      <c r="K1232" s="1308"/>
      <c r="P1232" s="1308"/>
    </row>
    <row r="1233" spans="1:16" x14ac:dyDescent="0.25">
      <c r="A1233" s="1348"/>
      <c r="B1233" s="1351" t="s">
        <v>2982</v>
      </c>
      <c r="C1233" s="1348">
        <v>93517</v>
      </c>
      <c r="H1233" s="1308"/>
      <c r="K1233" s="1308"/>
      <c r="P1233" s="1308"/>
    </row>
    <row r="1234" spans="1:16" x14ac:dyDescent="0.25">
      <c r="A1234" s="1348"/>
      <c r="B1234" s="1351" t="s">
        <v>4377</v>
      </c>
      <c r="C1234" s="1348">
        <v>99631</v>
      </c>
      <c r="H1234" s="1308"/>
      <c r="K1234" s="1308"/>
      <c r="P1234" s="1308"/>
    </row>
    <row r="1235" spans="1:16" x14ac:dyDescent="0.25">
      <c r="A1235" s="1348"/>
      <c r="B1235" s="1351" t="s">
        <v>4378</v>
      </c>
      <c r="C1235" s="1348">
        <v>99261</v>
      </c>
      <c r="H1235" s="1308"/>
      <c r="K1235" s="1308"/>
      <c r="P1235" s="1308"/>
    </row>
    <row r="1236" spans="1:16" x14ac:dyDescent="0.25">
      <c r="A1236" s="1348"/>
      <c r="B1236" s="1351" t="s">
        <v>4379</v>
      </c>
      <c r="C1236" s="1348">
        <v>98241</v>
      </c>
      <c r="H1236" s="1308"/>
      <c r="K1236" s="1308"/>
      <c r="P1236" s="1308"/>
    </row>
    <row r="1237" spans="1:16" x14ac:dyDescent="0.25">
      <c r="A1237" s="1348"/>
      <c r="B1237" s="1351" t="s">
        <v>4380</v>
      </c>
      <c r="C1237" s="1348">
        <v>99251</v>
      </c>
      <c r="H1237" s="1308"/>
      <c r="K1237" s="1308"/>
      <c r="P1237" s="1308"/>
    </row>
    <row r="1238" spans="1:16" x14ac:dyDescent="0.25">
      <c r="A1238" s="1348"/>
      <c r="B1238" s="1351" t="s">
        <v>3482</v>
      </c>
      <c r="C1238" s="1348">
        <v>99252</v>
      </c>
      <c r="H1238" s="1308"/>
      <c r="K1238" s="1308"/>
      <c r="P1238" s="1308"/>
    </row>
    <row r="1239" spans="1:16" x14ac:dyDescent="0.25">
      <c r="A1239" s="1348"/>
      <c r="B1239" s="1351" t="s">
        <v>4381</v>
      </c>
      <c r="C1239" s="1348">
        <v>96631</v>
      </c>
      <c r="H1239" s="1308"/>
      <c r="K1239" s="1308"/>
      <c r="P1239" s="1308"/>
    </row>
    <row r="1240" spans="1:16" x14ac:dyDescent="0.25">
      <c r="A1240" s="1348"/>
      <c r="B1240" s="1351" t="s">
        <v>2574</v>
      </c>
      <c r="C1240" s="1348">
        <v>96651</v>
      </c>
      <c r="H1240" s="1308"/>
      <c r="K1240" s="1308"/>
      <c r="P1240" s="1308"/>
    </row>
    <row r="1241" spans="1:16" x14ac:dyDescent="0.25">
      <c r="A1241" s="1348"/>
      <c r="B1241" s="1351" t="s">
        <v>2988</v>
      </c>
      <c r="C1241" s="1348">
        <v>93601</v>
      </c>
      <c r="H1241" s="1308"/>
      <c r="K1241" s="1308"/>
      <c r="P1241" s="1308"/>
    </row>
    <row r="1242" spans="1:16" x14ac:dyDescent="0.25">
      <c r="A1242" s="1348"/>
      <c r="B1242" s="1351" t="s">
        <v>2994</v>
      </c>
      <c r="C1242" s="1348">
        <v>93618</v>
      </c>
      <c r="H1242" s="1308"/>
      <c r="K1242" s="1308"/>
      <c r="P1242" s="1308"/>
    </row>
    <row r="1243" spans="1:16" x14ac:dyDescent="0.25">
      <c r="A1243" s="1348"/>
      <c r="B1243" s="1351" t="s">
        <v>4382</v>
      </c>
      <c r="C1243" s="1348">
        <v>93611</v>
      </c>
      <c r="H1243" s="1308"/>
      <c r="K1243" s="1308"/>
      <c r="P1243" s="1308"/>
    </row>
    <row r="1244" spans="1:16" x14ac:dyDescent="0.25">
      <c r="A1244" s="1348"/>
      <c r="B1244" s="1351" t="s">
        <v>2993</v>
      </c>
      <c r="C1244" s="1348">
        <v>93617</v>
      </c>
      <c r="H1244" s="1308"/>
      <c r="K1244" s="1308"/>
      <c r="P1244" s="1308"/>
    </row>
    <row r="1245" spans="1:16" x14ac:dyDescent="0.25">
      <c r="A1245" s="1348"/>
      <c r="B1245" s="1351" t="s">
        <v>3687</v>
      </c>
      <c r="C1245" s="1348">
        <v>93701</v>
      </c>
      <c r="H1245" s="1308"/>
      <c r="K1245" s="1308"/>
      <c r="P1245" s="1308"/>
    </row>
    <row r="1246" spans="1:16" x14ac:dyDescent="0.25">
      <c r="A1246" s="1348"/>
      <c r="B1246" s="1351" t="s">
        <v>3006</v>
      </c>
      <c r="C1246" s="1348">
        <v>93704</v>
      </c>
      <c r="H1246" s="1308"/>
      <c r="K1246" s="1308"/>
      <c r="P1246" s="1308"/>
    </row>
    <row r="1247" spans="1:16" x14ac:dyDescent="0.25">
      <c r="A1247" s="1348"/>
      <c r="B1247" s="1351" t="s">
        <v>4383</v>
      </c>
      <c r="C1247" s="1348">
        <v>98331</v>
      </c>
      <c r="H1247" s="1308"/>
      <c r="K1247" s="1308"/>
      <c r="P1247" s="1308"/>
    </row>
    <row r="1248" spans="1:16" x14ac:dyDescent="0.25">
      <c r="A1248" s="1348"/>
      <c r="B1248" s="1351" t="s">
        <v>4384</v>
      </c>
      <c r="C1248" s="1348">
        <v>94151</v>
      </c>
      <c r="H1248" s="1308"/>
      <c r="K1248" s="1308"/>
      <c r="P1248" s="1308"/>
    </row>
    <row r="1249" spans="1:16" x14ac:dyDescent="0.25">
      <c r="A1249" s="1348"/>
      <c r="B1249" s="1351" t="s">
        <v>3040</v>
      </c>
      <c r="C1249" s="1348">
        <v>94157</v>
      </c>
      <c r="H1249" s="1308"/>
      <c r="K1249" s="1308"/>
      <c r="P1249" s="1308"/>
    </row>
    <row r="1250" spans="1:16" x14ac:dyDescent="0.25">
      <c r="A1250" s="1348"/>
      <c r="B1250" s="1351" t="s">
        <v>4385</v>
      </c>
      <c r="C1250" s="1348">
        <v>91241</v>
      </c>
      <c r="H1250" s="1308"/>
      <c r="K1250" s="1308"/>
      <c r="P1250" s="1308"/>
    </row>
    <row r="1251" spans="1:16" x14ac:dyDescent="0.25">
      <c r="A1251" s="1348"/>
      <c r="B1251" s="1351" t="s">
        <v>3144</v>
      </c>
      <c r="C1251" s="1348">
        <v>95412</v>
      </c>
      <c r="H1251" s="1308"/>
      <c r="K1251" s="1308"/>
      <c r="P1251" s="1308"/>
    </row>
    <row r="1252" spans="1:16" x14ac:dyDescent="0.25">
      <c r="A1252" s="1348"/>
      <c r="B1252" s="1351" t="s">
        <v>4386</v>
      </c>
      <c r="C1252" s="1348">
        <v>99611</v>
      </c>
      <c r="H1252" s="1308"/>
      <c r="K1252" s="1308"/>
      <c r="P1252" s="1308"/>
    </row>
    <row r="1253" spans="1:16" x14ac:dyDescent="0.25">
      <c r="A1253" s="1348"/>
      <c r="B1253" s="1351" t="s">
        <v>4387</v>
      </c>
      <c r="C1253" s="1348">
        <v>99613</v>
      </c>
      <c r="H1253" s="1308"/>
      <c r="K1253" s="1308"/>
      <c r="P1253" s="1308"/>
    </row>
    <row r="1254" spans="1:16" x14ac:dyDescent="0.25">
      <c r="A1254" s="1348"/>
      <c r="B1254" s="1351" t="s">
        <v>2844</v>
      </c>
      <c r="C1254" s="1348">
        <v>91908</v>
      </c>
      <c r="H1254" s="1308"/>
      <c r="K1254" s="1308"/>
      <c r="P1254" s="1308"/>
    </row>
    <row r="1255" spans="1:16" x14ac:dyDescent="0.25">
      <c r="A1255" s="1348"/>
      <c r="B1255" s="1351" t="s">
        <v>2576</v>
      </c>
      <c r="C1255" s="1348">
        <v>90121</v>
      </c>
      <c r="H1255" s="1308"/>
      <c r="K1255" s="1308"/>
      <c r="P1255" s="1308"/>
    </row>
    <row r="1256" spans="1:16" x14ac:dyDescent="0.25">
      <c r="A1256" s="1348"/>
      <c r="B1256" s="1351" t="s">
        <v>3008</v>
      </c>
      <c r="C1256" s="1348">
        <v>93803</v>
      </c>
      <c r="H1256" s="1308"/>
      <c r="K1256" s="1308"/>
      <c r="P1256" s="1308"/>
    </row>
    <row r="1257" spans="1:16" x14ac:dyDescent="0.25">
      <c r="A1257" s="1348"/>
      <c r="B1257" s="1351" t="s">
        <v>3007</v>
      </c>
      <c r="C1257" s="1348">
        <v>93801</v>
      </c>
      <c r="H1257" s="1308"/>
      <c r="K1257" s="1308"/>
      <c r="P1257" s="1308"/>
    </row>
    <row r="1258" spans="1:16" x14ac:dyDescent="0.25">
      <c r="A1258" s="1348"/>
      <c r="B1258" s="1351" t="s">
        <v>3009</v>
      </c>
      <c r="C1258" s="1348">
        <v>93806</v>
      </c>
      <c r="H1258" s="1308"/>
      <c r="K1258" s="1308"/>
      <c r="P1258" s="1308"/>
    </row>
    <row r="1259" spans="1:16" x14ac:dyDescent="0.25">
      <c r="A1259" s="1348"/>
      <c r="B1259" s="1351" t="s">
        <v>4388</v>
      </c>
      <c r="C1259" s="1348">
        <v>91411</v>
      </c>
      <c r="H1259" s="1308"/>
      <c r="K1259" s="1308"/>
      <c r="P1259" s="1308"/>
    </row>
    <row r="1260" spans="1:16" x14ac:dyDescent="0.25">
      <c r="A1260" s="1348"/>
      <c r="B1260" s="1351" t="s">
        <v>2800</v>
      </c>
      <c r="C1260" s="1348">
        <v>91417</v>
      </c>
      <c r="H1260" s="1308"/>
      <c r="K1260" s="1308"/>
      <c r="P1260" s="1308"/>
    </row>
    <row r="1261" spans="1:16" x14ac:dyDescent="0.25">
      <c r="A1261" s="1348"/>
      <c r="B1261" s="1351" t="s">
        <v>4389</v>
      </c>
      <c r="C1261" s="1348">
        <v>98061</v>
      </c>
      <c r="H1261" s="1308"/>
      <c r="K1261" s="1308"/>
      <c r="P1261" s="1308"/>
    </row>
    <row r="1262" spans="1:16" x14ac:dyDescent="0.25">
      <c r="A1262" s="1348"/>
      <c r="B1262" s="1351" t="s">
        <v>4390</v>
      </c>
      <c r="C1262" s="1348">
        <v>93904</v>
      </c>
      <c r="H1262" s="1308"/>
      <c r="K1262" s="1308"/>
      <c r="P1262" s="1308"/>
    </row>
    <row r="1263" spans="1:16" x14ac:dyDescent="0.25">
      <c r="A1263" s="1348"/>
      <c r="B1263" s="1351" t="s">
        <v>3011</v>
      </c>
      <c r="C1263" s="1348">
        <v>93901</v>
      </c>
      <c r="H1263" s="1308"/>
      <c r="K1263" s="1308"/>
      <c r="P1263" s="1308"/>
    </row>
    <row r="1264" spans="1:16" x14ac:dyDescent="0.25">
      <c r="A1264" s="1348"/>
      <c r="B1264" s="1351" t="s">
        <v>3013</v>
      </c>
      <c r="C1264" s="1348">
        <v>93906</v>
      </c>
      <c r="H1264" s="1308"/>
      <c r="K1264" s="1308"/>
      <c r="P1264" s="1308"/>
    </row>
    <row r="1265" spans="1:16" x14ac:dyDescent="0.25">
      <c r="A1265" s="1348"/>
      <c r="B1265" s="1351" t="s">
        <v>3688</v>
      </c>
      <c r="C1265" s="1348">
        <v>93908</v>
      </c>
      <c r="H1265" s="1308"/>
      <c r="K1265" s="1308"/>
      <c r="P1265" s="1308"/>
    </row>
    <row r="1266" spans="1:16" x14ac:dyDescent="0.25">
      <c r="A1266" s="1348"/>
      <c r="B1266" s="1351" t="s">
        <v>3098</v>
      </c>
      <c r="C1266" s="1348">
        <v>94908</v>
      </c>
      <c r="H1266" s="1308"/>
      <c r="K1266" s="1308"/>
      <c r="P1266" s="1308"/>
    </row>
    <row r="1267" spans="1:16" x14ac:dyDescent="0.25">
      <c r="A1267" s="1348"/>
      <c r="B1267" s="1351" t="s">
        <v>4391</v>
      </c>
      <c r="C1267" s="1348">
        <v>90161</v>
      </c>
      <c r="H1267" s="1308"/>
      <c r="K1267" s="1308"/>
      <c r="P1267" s="1308"/>
    </row>
    <row r="1268" spans="1:16" x14ac:dyDescent="0.25">
      <c r="A1268" s="1348"/>
      <c r="B1268" s="1351" t="s">
        <v>3021</v>
      </c>
      <c r="C1268" s="1348">
        <v>94001</v>
      </c>
      <c r="H1268" s="1308"/>
      <c r="K1268" s="1308"/>
      <c r="P1268" s="1308"/>
    </row>
    <row r="1269" spans="1:16" x14ac:dyDescent="0.25">
      <c r="A1269" s="1348"/>
      <c r="B1269" s="1351" t="s">
        <v>3023</v>
      </c>
      <c r="C1269" s="1348">
        <v>94004</v>
      </c>
      <c r="H1269" s="1308"/>
      <c r="K1269" s="1308"/>
      <c r="P1269" s="1308"/>
    </row>
    <row r="1270" spans="1:16" x14ac:dyDescent="0.25">
      <c r="A1270" s="1348"/>
      <c r="B1270" s="1351" t="s">
        <v>4392</v>
      </c>
      <c r="C1270" s="1348">
        <v>94111</v>
      </c>
      <c r="H1270" s="1308"/>
      <c r="K1270" s="1308"/>
      <c r="P1270" s="1308"/>
    </row>
    <row r="1271" spans="1:16" x14ac:dyDescent="0.25">
      <c r="A1271" s="1348"/>
      <c r="B1271" s="1351" t="s">
        <v>4176</v>
      </c>
      <c r="C1271" s="1348">
        <v>94117</v>
      </c>
      <c r="H1271" s="1308"/>
      <c r="K1271" s="1308"/>
      <c r="P1271" s="1308"/>
    </row>
    <row r="1272" spans="1:16" x14ac:dyDescent="0.25">
      <c r="A1272" s="1348"/>
      <c r="B1272" s="1351" t="s">
        <v>4393</v>
      </c>
      <c r="C1272" s="1348">
        <v>97411</v>
      </c>
      <c r="H1272" s="1308"/>
      <c r="K1272" s="1308"/>
      <c r="P1272" s="1308"/>
    </row>
    <row r="1273" spans="1:16" x14ac:dyDescent="0.25">
      <c r="A1273" s="1348"/>
      <c r="B1273" s="1351" t="s">
        <v>3302</v>
      </c>
      <c r="C1273" s="1348">
        <v>97413</v>
      </c>
      <c r="H1273" s="1308"/>
      <c r="K1273" s="1308"/>
      <c r="P1273" s="1308"/>
    </row>
    <row r="1274" spans="1:16" x14ac:dyDescent="0.25">
      <c r="A1274" s="1348"/>
      <c r="B1274" s="1351" t="s">
        <v>3301</v>
      </c>
      <c r="C1274" s="1348">
        <v>97412</v>
      </c>
      <c r="H1274" s="1308"/>
      <c r="K1274" s="1308"/>
      <c r="P1274" s="1308"/>
    </row>
    <row r="1275" spans="1:16" x14ac:dyDescent="0.25">
      <c r="A1275" s="1348"/>
      <c r="B1275" s="1351" t="s">
        <v>4394</v>
      </c>
      <c r="C1275" s="1348">
        <v>97431</v>
      </c>
      <c r="H1275" s="1308"/>
      <c r="K1275" s="1308"/>
      <c r="P1275" s="1308"/>
    </row>
    <row r="1276" spans="1:16" x14ac:dyDescent="0.25">
      <c r="A1276" s="1348"/>
      <c r="B1276" s="1351" t="s">
        <v>4395</v>
      </c>
      <c r="C1276" s="1348">
        <v>97471</v>
      </c>
      <c r="H1276" s="1308"/>
      <c r="K1276" s="1308"/>
      <c r="P1276" s="1308"/>
    </row>
    <row r="1277" spans="1:16" x14ac:dyDescent="0.25">
      <c r="A1277" s="1348"/>
      <c r="B1277" s="1351" t="s">
        <v>4396</v>
      </c>
      <c r="C1277" s="1348">
        <v>92351</v>
      </c>
      <c r="H1277" s="1308"/>
      <c r="K1277" s="1308"/>
      <c r="P1277" s="1308"/>
    </row>
    <row r="1278" spans="1:16" x14ac:dyDescent="0.25">
      <c r="A1278" s="1348"/>
      <c r="B1278" s="1351" t="s">
        <v>3028</v>
      </c>
      <c r="C1278" s="1348">
        <v>94101</v>
      </c>
      <c r="H1278" s="1308"/>
      <c r="K1278" s="1308"/>
      <c r="P1278" s="1308"/>
    </row>
    <row r="1279" spans="1:16" x14ac:dyDescent="0.25">
      <c r="A1279" s="1348"/>
      <c r="B1279" s="1351" t="s">
        <v>3035</v>
      </c>
      <c r="C1279" s="1348">
        <v>94118</v>
      </c>
      <c r="H1279" s="1308"/>
      <c r="K1279" s="1308"/>
      <c r="P1279" s="1308"/>
    </row>
    <row r="1280" spans="1:16" x14ac:dyDescent="0.25">
      <c r="A1280" s="1348"/>
      <c r="B1280" s="1351" t="s">
        <v>3029</v>
      </c>
      <c r="C1280" s="1348">
        <v>94102</v>
      </c>
      <c r="H1280" s="1308"/>
      <c r="K1280" s="1308"/>
      <c r="P1280" s="1308"/>
    </row>
    <row r="1281" spans="1:16" x14ac:dyDescent="0.25">
      <c r="A1281" s="1348"/>
      <c r="B1281" s="1351" t="s">
        <v>3045</v>
      </c>
      <c r="C1281" s="1348">
        <v>94201</v>
      </c>
      <c r="H1281" s="1308"/>
      <c r="K1281" s="1308"/>
      <c r="P1281" s="1308"/>
    </row>
    <row r="1282" spans="1:16" x14ac:dyDescent="0.25">
      <c r="A1282" s="1348"/>
      <c r="B1282" s="1351" t="s">
        <v>3046</v>
      </c>
      <c r="C1282" s="1348">
        <v>94204</v>
      </c>
      <c r="H1282" s="1308"/>
      <c r="K1282" s="1308"/>
      <c r="P1282" s="1308"/>
    </row>
    <row r="1283" spans="1:16" x14ac:dyDescent="0.25">
      <c r="A1283" s="1348"/>
      <c r="B1283" s="1351" t="s">
        <v>3047</v>
      </c>
      <c r="C1283" s="1348">
        <v>94205</v>
      </c>
      <c r="H1283" s="1308"/>
      <c r="K1283" s="1308"/>
      <c r="P1283" s="1308"/>
    </row>
    <row r="1284" spans="1:16" x14ac:dyDescent="0.25">
      <c r="A1284" s="1348"/>
      <c r="B1284" s="1351" t="s">
        <v>4397</v>
      </c>
      <c r="C1284" s="1348">
        <v>95831</v>
      </c>
      <c r="H1284" s="1308"/>
      <c r="K1284" s="1308"/>
      <c r="P1284" s="1308"/>
    </row>
    <row r="1285" spans="1:16" x14ac:dyDescent="0.25">
      <c r="A1285" s="1348"/>
      <c r="B1285" s="1351" t="s">
        <v>4398</v>
      </c>
      <c r="C1285" s="1348">
        <v>97721</v>
      </c>
      <c r="H1285" s="1308"/>
      <c r="K1285" s="1308"/>
      <c r="P1285" s="1308"/>
    </row>
    <row r="1286" spans="1:16" x14ac:dyDescent="0.25">
      <c r="A1286" s="1348"/>
      <c r="B1286" s="1351" t="s">
        <v>3333</v>
      </c>
      <c r="C1286" s="1348">
        <v>97717</v>
      </c>
      <c r="H1286" s="1308"/>
      <c r="K1286" s="1308"/>
      <c r="P1286" s="1308"/>
    </row>
    <row r="1287" spans="1:16" x14ac:dyDescent="0.25">
      <c r="A1287" s="1348"/>
      <c r="B1287" s="1351" t="s">
        <v>3055</v>
      </c>
      <c r="C1287" s="1348">
        <v>94301</v>
      </c>
      <c r="H1287" s="1308"/>
      <c r="K1287" s="1308"/>
      <c r="P1287" s="1308"/>
    </row>
    <row r="1288" spans="1:16" x14ac:dyDescent="0.25">
      <c r="A1288" s="1348"/>
      <c r="B1288" s="1351" t="s">
        <v>4399</v>
      </c>
      <c r="C1288" s="1348">
        <v>91441</v>
      </c>
      <c r="H1288" s="1308"/>
      <c r="K1288" s="1308"/>
      <c r="P1288" s="1308"/>
    </row>
    <row r="1289" spans="1:16" x14ac:dyDescent="0.25">
      <c r="A1289" s="1348"/>
      <c r="B1289" s="1351" t="s">
        <v>4400</v>
      </c>
      <c r="C1289" s="1348">
        <v>92531</v>
      </c>
      <c r="H1289" s="1308"/>
      <c r="K1289" s="1308"/>
      <c r="P1289" s="1308"/>
    </row>
    <row r="1290" spans="1:16" x14ac:dyDescent="0.25">
      <c r="A1290" s="1348"/>
      <c r="B1290" s="1351" t="s">
        <v>4401</v>
      </c>
      <c r="C1290" s="1348">
        <v>90141</v>
      </c>
      <c r="H1290" s="1308"/>
      <c r="K1290" s="1308"/>
      <c r="P1290" s="1308"/>
    </row>
    <row r="1291" spans="1:16" x14ac:dyDescent="0.25">
      <c r="A1291" s="1348"/>
      <c r="B1291" s="1351" t="s">
        <v>3689</v>
      </c>
      <c r="C1291" s="1348">
        <v>94401</v>
      </c>
      <c r="H1291" s="1308"/>
      <c r="K1291" s="1308"/>
      <c r="P1291" s="1308"/>
    </row>
    <row r="1292" spans="1:16" x14ac:dyDescent="0.25">
      <c r="A1292" s="1348"/>
      <c r="B1292" s="1351" t="s">
        <v>3690</v>
      </c>
      <c r="C1292" s="1348">
        <v>94403</v>
      </c>
      <c r="H1292" s="1308"/>
      <c r="K1292" s="1308"/>
      <c r="P1292" s="1308"/>
    </row>
    <row r="1293" spans="1:16" x14ac:dyDescent="0.25">
      <c r="A1293" s="1348"/>
      <c r="B1293" s="1351" t="s">
        <v>3064</v>
      </c>
      <c r="C1293" s="1348">
        <v>94402</v>
      </c>
      <c r="H1293" s="1308"/>
      <c r="K1293" s="1308"/>
      <c r="P1293" s="1308"/>
    </row>
    <row r="1294" spans="1:16" x14ac:dyDescent="0.25">
      <c r="A1294" s="1348"/>
      <c r="B1294" s="1351" t="s">
        <v>2583</v>
      </c>
      <c r="C1294" s="1348">
        <v>99111</v>
      </c>
      <c r="H1294" s="1308"/>
      <c r="K1294" s="1308"/>
      <c r="P1294" s="1308"/>
    </row>
    <row r="1295" spans="1:16" x14ac:dyDescent="0.25">
      <c r="A1295" s="1348"/>
      <c r="B1295" s="1351" t="s">
        <v>4402</v>
      </c>
      <c r="C1295" s="1348">
        <v>94501</v>
      </c>
      <c r="H1295" s="1308"/>
      <c r="K1295" s="1308"/>
      <c r="P1295" s="1308"/>
    </row>
    <row r="1296" spans="1:16" x14ac:dyDescent="0.25">
      <c r="A1296" s="1348"/>
      <c r="B1296" s="1351" t="s">
        <v>4403</v>
      </c>
      <c r="C1296" s="1348">
        <v>94511</v>
      </c>
      <c r="H1296" s="1308"/>
      <c r="K1296" s="1308"/>
      <c r="P1296" s="1308"/>
    </row>
    <row r="1297" spans="1:16" x14ac:dyDescent="0.25">
      <c r="A1297" s="1348"/>
      <c r="B1297" s="1351" t="s">
        <v>4179</v>
      </c>
      <c r="C1297" s="1348">
        <v>94517</v>
      </c>
      <c r="H1297" s="1308"/>
      <c r="K1297" s="1308"/>
      <c r="P1297" s="1308"/>
    </row>
    <row r="1298" spans="1:16" x14ac:dyDescent="0.25">
      <c r="A1298" s="1348"/>
      <c r="B1298" s="1351" t="s">
        <v>3075</v>
      </c>
      <c r="C1298" s="1348">
        <v>94512</v>
      </c>
      <c r="H1298" s="1308"/>
      <c r="K1298" s="1308"/>
      <c r="P1298" s="1308"/>
    </row>
    <row r="1299" spans="1:16" x14ac:dyDescent="0.25">
      <c r="A1299" s="1348"/>
      <c r="B1299" s="1351" t="s">
        <v>2584</v>
      </c>
      <c r="C1299" s="1348">
        <v>97211</v>
      </c>
      <c r="H1299" s="1308"/>
      <c r="K1299" s="1308"/>
      <c r="P1299" s="1308"/>
    </row>
    <row r="1300" spans="1:16" x14ac:dyDescent="0.25">
      <c r="A1300" s="1348"/>
      <c r="B1300" s="1351" t="s">
        <v>4404</v>
      </c>
      <c r="C1300" s="1348">
        <v>97217</v>
      </c>
      <c r="H1300" s="1308"/>
      <c r="K1300" s="1308"/>
      <c r="P1300" s="1308"/>
    </row>
    <row r="1301" spans="1:16" x14ac:dyDescent="0.25">
      <c r="A1301" s="1348"/>
      <c r="B1301" s="1351" t="s">
        <v>3084</v>
      </c>
      <c r="C1301" s="1348">
        <v>94601</v>
      </c>
      <c r="H1301" s="1308"/>
      <c r="K1301" s="1308"/>
      <c r="P1301" s="1308"/>
    </row>
    <row r="1302" spans="1:16" x14ac:dyDescent="0.25">
      <c r="A1302" s="1348"/>
      <c r="B1302" s="1351" t="s">
        <v>3085</v>
      </c>
      <c r="C1302" s="1348">
        <v>94604</v>
      </c>
      <c r="H1302" s="1308"/>
      <c r="K1302" s="1308"/>
      <c r="P1302" s="1308"/>
    </row>
    <row r="1303" spans="1:16" x14ac:dyDescent="0.25">
      <c r="A1303" s="1348"/>
      <c r="B1303" s="1351" t="s">
        <v>3086</v>
      </c>
      <c r="C1303" s="1348">
        <v>94606</v>
      </c>
      <c r="H1303" s="1308"/>
      <c r="K1303" s="1308"/>
      <c r="P1303" s="1308"/>
    </row>
    <row r="1304" spans="1:16" x14ac:dyDescent="0.25">
      <c r="A1304" s="1348"/>
      <c r="B1304" s="1351" t="s">
        <v>4200</v>
      </c>
      <c r="C1304" s="1348">
        <v>97213</v>
      </c>
      <c r="H1304" s="1308"/>
      <c r="K1304" s="1308"/>
      <c r="P1304" s="1308"/>
    </row>
    <row r="1305" spans="1:16" x14ac:dyDescent="0.25">
      <c r="A1305" s="1348"/>
      <c r="B1305" s="1351" t="s">
        <v>4405</v>
      </c>
      <c r="C1305" s="1348">
        <v>91811</v>
      </c>
      <c r="H1305" s="1308"/>
      <c r="K1305" s="1308"/>
      <c r="P1305" s="1308"/>
    </row>
    <row r="1306" spans="1:16" x14ac:dyDescent="0.25">
      <c r="A1306" s="1348"/>
      <c r="B1306" s="1351" t="s">
        <v>4406</v>
      </c>
      <c r="C1306" s="1348">
        <v>91812</v>
      </c>
      <c r="H1306" s="1308"/>
      <c r="K1306" s="1308"/>
      <c r="P1306" s="1308"/>
    </row>
    <row r="1307" spans="1:16" x14ac:dyDescent="0.25">
      <c r="A1307" s="1348"/>
      <c r="B1307" s="1351" t="s">
        <v>2831</v>
      </c>
      <c r="C1307" s="1348">
        <v>91813</v>
      </c>
      <c r="H1307" s="1308"/>
      <c r="K1307" s="1308"/>
      <c r="P1307" s="1308"/>
    </row>
    <row r="1308" spans="1:16" x14ac:dyDescent="0.25">
      <c r="A1308" s="1348"/>
      <c r="B1308" s="1351" t="s">
        <v>2696</v>
      </c>
      <c r="C1308" s="1348">
        <v>90617</v>
      </c>
      <c r="H1308" s="1308"/>
      <c r="K1308" s="1308"/>
      <c r="P1308" s="1308"/>
    </row>
    <row r="1309" spans="1:16" x14ac:dyDescent="0.25">
      <c r="A1309" s="1348"/>
      <c r="B1309" s="1351" t="s">
        <v>4407</v>
      </c>
      <c r="C1309" s="1348">
        <v>94121</v>
      </c>
      <c r="H1309" s="1308"/>
      <c r="K1309" s="1308"/>
      <c r="P1309" s="1308"/>
    </row>
    <row r="1310" spans="1:16" x14ac:dyDescent="0.25">
      <c r="A1310" s="1348"/>
      <c r="B1310" s="1351" t="s">
        <v>4177</v>
      </c>
      <c r="C1310" s="1348">
        <v>94127</v>
      </c>
      <c r="H1310" s="1308"/>
      <c r="K1310" s="1308"/>
      <c r="P1310" s="1308"/>
    </row>
    <row r="1311" spans="1:16" x14ac:dyDescent="0.25">
      <c r="A1311" s="1348"/>
      <c r="B1311" s="1351" t="s">
        <v>4408</v>
      </c>
      <c r="C1311" s="1348">
        <v>95621</v>
      </c>
      <c r="H1311" s="1308"/>
      <c r="K1311" s="1308"/>
      <c r="P1311" s="1308"/>
    </row>
    <row r="1312" spans="1:16" x14ac:dyDescent="0.25">
      <c r="A1312" s="1348"/>
      <c r="B1312" s="1351" t="s">
        <v>3156</v>
      </c>
      <c r="C1312" s="1348">
        <v>95617</v>
      </c>
      <c r="H1312" s="1308"/>
      <c r="K1312" s="1308"/>
      <c r="P1312" s="1308"/>
    </row>
    <row r="1313" spans="1:16" x14ac:dyDescent="0.25">
      <c r="A1313" s="1348"/>
      <c r="B1313" s="1351" t="s">
        <v>4409</v>
      </c>
      <c r="C1313" s="1348">
        <v>91251</v>
      </c>
      <c r="H1313" s="1308"/>
      <c r="K1313" s="1308"/>
      <c r="P1313" s="1308"/>
    </row>
    <row r="1314" spans="1:16" x14ac:dyDescent="0.25">
      <c r="A1314" s="1348"/>
      <c r="B1314" s="1351" t="s">
        <v>4410</v>
      </c>
      <c r="C1314" s="1348">
        <v>96831</v>
      </c>
      <c r="H1314" s="1308"/>
      <c r="K1314" s="1308"/>
      <c r="P1314" s="1308"/>
    </row>
    <row r="1315" spans="1:16" x14ac:dyDescent="0.25">
      <c r="A1315" s="1348"/>
      <c r="B1315" s="1351" t="s">
        <v>4411</v>
      </c>
      <c r="C1315" s="1348">
        <v>94251</v>
      </c>
      <c r="H1315" s="1308"/>
      <c r="K1315" s="1308"/>
      <c r="P1315" s="1308"/>
    </row>
    <row r="1316" spans="1:16" x14ac:dyDescent="0.25">
      <c r="A1316" s="1348"/>
      <c r="B1316" s="1351" t="s">
        <v>3091</v>
      </c>
      <c r="C1316" s="1348">
        <v>94701</v>
      </c>
      <c r="H1316" s="1308"/>
      <c r="K1316" s="1308"/>
      <c r="P1316" s="1308"/>
    </row>
    <row r="1317" spans="1:16" x14ac:dyDescent="0.25">
      <c r="A1317" s="1348"/>
      <c r="B1317" s="1351" t="s">
        <v>3092</v>
      </c>
      <c r="C1317" s="1348">
        <v>94704</v>
      </c>
      <c r="H1317" s="1308"/>
      <c r="K1317" s="1308"/>
      <c r="P1317" s="1308"/>
    </row>
    <row r="1318" spans="1:16" x14ac:dyDescent="0.25">
      <c r="A1318" s="1348"/>
      <c r="B1318" s="1351" t="s">
        <v>4412</v>
      </c>
      <c r="C1318" s="1348">
        <v>91014</v>
      </c>
      <c r="H1318" s="1308"/>
      <c r="K1318" s="1308"/>
      <c r="P1318" s="1308"/>
    </row>
    <row r="1319" spans="1:16" x14ac:dyDescent="0.25">
      <c r="A1319" s="1348"/>
      <c r="B1319" s="1351" t="s">
        <v>4413</v>
      </c>
      <c r="C1319" s="1348">
        <v>96731</v>
      </c>
      <c r="H1319" s="1308"/>
      <c r="K1319" s="1308"/>
      <c r="P1319" s="1308"/>
    </row>
    <row r="1320" spans="1:16" x14ac:dyDescent="0.25">
      <c r="A1320" s="1348"/>
      <c r="B1320" s="1351" t="s">
        <v>3258</v>
      </c>
      <c r="C1320" s="1348">
        <v>96733</v>
      </c>
      <c r="H1320" s="1308"/>
      <c r="K1320" s="1308"/>
      <c r="P1320" s="1308"/>
    </row>
    <row r="1321" spans="1:16" x14ac:dyDescent="0.25">
      <c r="A1321" s="1348"/>
      <c r="B1321" s="1351" t="s">
        <v>4414</v>
      </c>
      <c r="C1321" s="1348">
        <v>99202</v>
      </c>
      <c r="H1321" s="1308"/>
      <c r="K1321" s="1308"/>
      <c r="P1321" s="1308"/>
    </row>
    <row r="1322" spans="1:16" x14ac:dyDescent="0.25">
      <c r="A1322" s="1348"/>
      <c r="B1322" s="1351" t="s">
        <v>4415</v>
      </c>
      <c r="C1322" s="1348">
        <v>94011</v>
      </c>
      <c r="H1322" s="1308"/>
      <c r="K1322" s="1308"/>
      <c r="P1322" s="1308"/>
    </row>
    <row r="1323" spans="1:16" x14ac:dyDescent="0.25">
      <c r="A1323" s="1348"/>
      <c r="B1323" s="1351" t="s">
        <v>4416</v>
      </c>
      <c r="C1323" s="1348">
        <v>92631</v>
      </c>
      <c r="H1323" s="1308"/>
      <c r="K1323" s="1308"/>
      <c r="P1323" s="1308"/>
    </row>
    <row r="1324" spans="1:16" x14ac:dyDescent="0.25">
      <c r="A1324" s="1348"/>
      <c r="B1324" s="1351" t="s">
        <v>3161</v>
      </c>
      <c r="C1324" s="1348">
        <v>95733</v>
      </c>
      <c r="H1324" s="1308"/>
      <c r="K1324" s="1308"/>
      <c r="P1324" s="1308"/>
    </row>
    <row r="1325" spans="1:16" x14ac:dyDescent="0.25">
      <c r="A1325" s="1348"/>
      <c r="B1325" s="1351" t="s">
        <v>4417</v>
      </c>
      <c r="C1325" s="1348">
        <v>91431</v>
      </c>
      <c r="H1325" s="1308"/>
      <c r="K1325" s="1308"/>
      <c r="P1325" s="1308"/>
    </row>
    <row r="1326" spans="1:16" x14ac:dyDescent="0.25">
      <c r="A1326" s="1348"/>
      <c r="B1326" s="1351" t="s">
        <v>4418</v>
      </c>
      <c r="C1326" s="1348">
        <v>96041</v>
      </c>
      <c r="H1326" s="1308"/>
      <c r="K1326" s="1308"/>
      <c r="P1326" s="1308"/>
    </row>
    <row r="1327" spans="1:16" x14ac:dyDescent="0.25">
      <c r="A1327" s="1348"/>
      <c r="B1327" s="1351" t="s">
        <v>3094</v>
      </c>
      <c r="C1327" s="1348">
        <v>94801</v>
      </c>
      <c r="H1327" s="1308"/>
      <c r="K1327" s="1308"/>
      <c r="P1327" s="1308"/>
    </row>
    <row r="1328" spans="1:16" x14ac:dyDescent="0.25">
      <c r="A1328" s="1348"/>
      <c r="B1328" s="1351" t="s">
        <v>3095</v>
      </c>
      <c r="C1328" s="1348">
        <v>94804</v>
      </c>
      <c r="H1328" s="1308"/>
      <c r="K1328" s="1308"/>
      <c r="P1328" s="1308"/>
    </row>
    <row r="1329" spans="1:16" x14ac:dyDescent="0.25">
      <c r="A1329" s="1348"/>
      <c r="B1329" s="1351" t="s">
        <v>4419</v>
      </c>
      <c r="C1329" s="1348">
        <v>91661</v>
      </c>
      <c r="H1329" s="1308"/>
      <c r="K1329" s="1308"/>
      <c r="P1329" s="1308"/>
    </row>
    <row r="1330" spans="1:16" x14ac:dyDescent="0.25">
      <c r="A1330" s="1348"/>
      <c r="B1330" s="1351" t="s">
        <v>4420</v>
      </c>
      <c r="C1330" s="1348">
        <v>99051</v>
      </c>
      <c r="H1330" s="1308"/>
      <c r="K1330" s="1308"/>
      <c r="P1330" s="1308"/>
    </row>
    <row r="1331" spans="1:16" x14ac:dyDescent="0.25">
      <c r="A1331" s="1348"/>
      <c r="B1331" s="1351" t="s">
        <v>3449</v>
      </c>
      <c r="C1331" s="1348">
        <v>99014</v>
      </c>
      <c r="H1331" s="1308"/>
      <c r="K1331" s="1308"/>
      <c r="P1331" s="1308"/>
    </row>
    <row r="1332" spans="1:16" x14ac:dyDescent="0.25">
      <c r="A1332" s="1348"/>
      <c r="B1332" s="1351" t="s">
        <v>3097</v>
      </c>
      <c r="C1332" s="1348">
        <v>94901</v>
      </c>
      <c r="H1332" s="1308"/>
      <c r="K1332" s="1308"/>
      <c r="P1332" s="1308"/>
    </row>
    <row r="1333" spans="1:16" x14ac:dyDescent="0.25">
      <c r="A1333" s="1348"/>
      <c r="B1333" s="1351" t="s">
        <v>3387</v>
      </c>
      <c r="C1333" s="1348">
        <v>98109</v>
      </c>
      <c r="H1333" s="1308"/>
      <c r="K1333" s="1308"/>
      <c r="P1333" s="1308"/>
    </row>
    <row r="1334" spans="1:16" x14ac:dyDescent="0.25">
      <c r="A1334" s="1348"/>
      <c r="B1334" s="1351" t="s">
        <v>4215</v>
      </c>
      <c r="C1334" s="1348">
        <v>98205</v>
      </c>
      <c r="H1334" s="1308"/>
      <c r="K1334" s="1308"/>
      <c r="P1334" s="1308"/>
    </row>
    <row r="1335" spans="1:16" x14ac:dyDescent="0.25">
      <c r="A1335" s="1348"/>
      <c r="B1335" s="1351" t="s">
        <v>2588</v>
      </c>
      <c r="C1335" s="1348">
        <v>96661</v>
      </c>
      <c r="H1335" s="1308"/>
      <c r="K1335" s="1308"/>
      <c r="P1335" s="1308"/>
    </row>
    <row r="1336" spans="1:16" x14ac:dyDescent="0.25">
      <c r="A1336" s="1348"/>
      <c r="B1336" s="1351" t="s">
        <v>3106</v>
      </c>
      <c r="C1336" s="1348">
        <v>95001</v>
      </c>
      <c r="H1336" s="1308"/>
      <c r="K1336" s="1308"/>
      <c r="P1336" s="1308"/>
    </row>
    <row r="1337" spans="1:16" x14ac:dyDescent="0.25">
      <c r="A1337" s="1348"/>
      <c r="B1337" s="1351" t="s">
        <v>3112</v>
      </c>
      <c r="C1337" s="1348">
        <v>95017</v>
      </c>
      <c r="H1337" s="1308"/>
      <c r="K1337" s="1308"/>
      <c r="P1337" s="1308"/>
    </row>
    <row r="1338" spans="1:16" x14ac:dyDescent="0.25">
      <c r="A1338" s="1348"/>
      <c r="B1338" s="1351" t="s">
        <v>4421</v>
      </c>
      <c r="C1338" s="1348">
        <v>96711</v>
      </c>
      <c r="H1338" s="1308"/>
      <c r="K1338" s="1308"/>
      <c r="P1338" s="1308"/>
    </row>
    <row r="1339" spans="1:16" x14ac:dyDescent="0.25">
      <c r="A1339" s="1348"/>
      <c r="B1339" s="1351" t="s">
        <v>4422</v>
      </c>
      <c r="C1339" s="1348">
        <v>94131</v>
      </c>
      <c r="H1339" s="1308"/>
      <c r="K1339" s="1308"/>
      <c r="P1339" s="1308"/>
    </row>
    <row r="1340" spans="1:16" x14ac:dyDescent="0.25">
      <c r="A1340" s="1348"/>
      <c r="B1340" s="1351" t="s">
        <v>4423</v>
      </c>
      <c r="C1340" s="1348">
        <v>95841</v>
      </c>
      <c r="H1340" s="1308"/>
      <c r="K1340" s="1308"/>
      <c r="P1340" s="1308"/>
    </row>
    <row r="1341" spans="1:16" x14ac:dyDescent="0.25">
      <c r="A1341" s="1348"/>
      <c r="B1341" s="1351" t="s">
        <v>4424</v>
      </c>
      <c r="C1341" s="1348">
        <v>90511</v>
      </c>
      <c r="H1341" s="1308"/>
      <c r="K1341" s="1308"/>
      <c r="P1341" s="1308"/>
    </row>
    <row r="1342" spans="1:16" x14ac:dyDescent="0.25">
      <c r="A1342" s="1348"/>
      <c r="B1342" s="1351" t="s">
        <v>3113</v>
      </c>
      <c r="C1342" s="1348">
        <v>95101</v>
      </c>
      <c r="H1342" s="1308"/>
      <c r="K1342" s="1308"/>
      <c r="P1342" s="1308"/>
    </row>
    <row r="1343" spans="1:16" x14ac:dyDescent="0.25">
      <c r="A1343" s="1348"/>
      <c r="B1343" s="1351" t="s">
        <v>3115</v>
      </c>
      <c r="C1343" s="1348">
        <v>95104</v>
      </c>
      <c r="H1343" s="1308"/>
      <c r="K1343" s="1308"/>
      <c r="P1343" s="1308"/>
    </row>
    <row r="1344" spans="1:16" x14ac:dyDescent="0.25">
      <c r="A1344" s="1348"/>
      <c r="B1344" s="1351" t="s">
        <v>3118</v>
      </c>
      <c r="C1344" s="1348">
        <v>95110</v>
      </c>
      <c r="H1344" s="1308"/>
      <c r="K1344" s="1308"/>
      <c r="P1344" s="1308"/>
    </row>
    <row r="1345" spans="1:16" x14ac:dyDescent="0.25">
      <c r="A1345" s="1348"/>
      <c r="B1345" s="1351" t="s">
        <v>3131</v>
      </c>
      <c r="C1345" s="1348">
        <v>95201</v>
      </c>
      <c r="H1345" s="1308"/>
      <c r="K1345" s="1308"/>
      <c r="P1345" s="1308"/>
    </row>
    <row r="1346" spans="1:16" x14ac:dyDescent="0.25">
      <c r="A1346" s="1348"/>
      <c r="B1346" s="1351" t="s">
        <v>3132</v>
      </c>
      <c r="C1346" s="1348">
        <v>95204</v>
      </c>
      <c r="H1346" s="1308"/>
      <c r="K1346" s="1308"/>
      <c r="P1346" s="1308"/>
    </row>
    <row r="1347" spans="1:16" x14ac:dyDescent="0.25">
      <c r="A1347" s="1348"/>
      <c r="B1347" s="1351" t="s">
        <v>4425</v>
      </c>
      <c r="C1347" s="1348">
        <v>99921</v>
      </c>
      <c r="H1347" s="1308"/>
      <c r="K1347" s="1308"/>
      <c r="P1347" s="1308"/>
    </row>
    <row r="1348" spans="1:16" x14ac:dyDescent="0.25">
      <c r="A1348" s="1348"/>
      <c r="B1348" s="1351" t="s">
        <v>3065</v>
      </c>
      <c r="C1348" s="1348">
        <v>94408</v>
      </c>
      <c r="H1348" s="1308"/>
      <c r="K1348" s="1308"/>
      <c r="P1348" s="1308"/>
    </row>
    <row r="1349" spans="1:16" x14ac:dyDescent="0.25">
      <c r="A1349" s="1348"/>
      <c r="B1349" s="1351" t="s">
        <v>4426</v>
      </c>
      <c r="C1349" s="1348">
        <v>91331</v>
      </c>
      <c r="H1349" s="1308"/>
      <c r="K1349" s="1308"/>
      <c r="P1349" s="1308"/>
    </row>
    <row r="1350" spans="1:16" x14ac:dyDescent="0.25">
      <c r="A1350" s="1348"/>
      <c r="B1350" s="1351" t="s">
        <v>4427</v>
      </c>
      <c r="C1350" s="1348">
        <v>93121</v>
      </c>
      <c r="H1350" s="1308"/>
      <c r="K1350" s="1308"/>
      <c r="P1350" s="1308"/>
    </row>
    <row r="1351" spans="1:16" x14ac:dyDescent="0.25">
      <c r="A1351" s="1348"/>
      <c r="B1351" s="1351" t="s">
        <v>2937</v>
      </c>
      <c r="C1351" s="1348">
        <v>93127</v>
      </c>
      <c r="H1351" s="1308"/>
      <c r="K1351" s="1308"/>
      <c r="P1351" s="1308"/>
    </row>
    <row r="1352" spans="1:16" x14ac:dyDescent="0.25">
      <c r="A1352" s="1348"/>
      <c r="B1352" s="1351" t="s">
        <v>4428</v>
      </c>
      <c r="C1352" s="1348">
        <v>95171</v>
      </c>
      <c r="H1352" s="1308"/>
      <c r="K1352" s="1308"/>
      <c r="P1352" s="1308"/>
    </row>
    <row r="1353" spans="1:16" x14ac:dyDescent="0.25">
      <c r="A1353" s="1348"/>
      <c r="B1353" s="1351" t="s">
        <v>4429</v>
      </c>
      <c r="C1353" s="1348">
        <v>93421</v>
      </c>
      <c r="H1353" s="1308"/>
      <c r="K1353" s="1308"/>
      <c r="P1353" s="1308"/>
    </row>
    <row r="1354" spans="1:16" x14ac:dyDescent="0.25">
      <c r="A1354" s="1348"/>
      <c r="B1354" s="1351" t="s">
        <v>3463</v>
      </c>
      <c r="C1354" s="1348">
        <v>99110</v>
      </c>
      <c r="H1354" s="1308"/>
      <c r="K1354" s="1308"/>
      <c r="P1354" s="1308"/>
    </row>
    <row r="1355" spans="1:16" x14ac:dyDescent="0.25">
      <c r="A1355" s="1348"/>
      <c r="B1355" s="1351" t="s">
        <v>4221</v>
      </c>
      <c r="C1355" s="1348">
        <v>99109</v>
      </c>
      <c r="H1355" s="1308"/>
      <c r="K1355" s="1308"/>
      <c r="P1355" s="1308"/>
    </row>
    <row r="1356" spans="1:16" x14ac:dyDescent="0.25">
      <c r="A1356" s="1348"/>
      <c r="B1356" s="1351" t="s">
        <v>4430</v>
      </c>
      <c r="C1356" s="1348">
        <v>92821</v>
      </c>
      <c r="H1356" s="1308"/>
      <c r="K1356" s="1308"/>
      <c r="P1356" s="1308"/>
    </row>
    <row r="1357" spans="1:16" x14ac:dyDescent="0.25">
      <c r="A1357" s="1348"/>
      <c r="B1357" s="1351" t="s">
        <v>4431</v>
      </c>
      <c r="C1357" s="1348">
        <v>98521</v>
      </c>
      <c r="H1357" s="1308"/>
      <c r="K1357" s="1308"/>
      <c r="P1357" s="1308"/>
    </row>
    <row r="1358" spans="1:16" x14ac:dyDescent="0.25">
      <c r="A1358" s="1348"/>
      <c r="B1358" s="1351" t="s">
        <v>4432</v>
      </c>
      <c r="C1358" s="1348">
        <v>92321</v>
      </c>
      <c r="H1358" s="1308"/>
      <c r="K1358" s="1308"/>
      <c r="P1358" s="1308"/>
    </row>
    <row r="1359" spans="1:16" x14ac:dyDescent="0.25">
      <c r="A1359" s="1348"/>
      <c r="B1359" s="1351" t="s">
        <v>2864</v>
      </c>
      <c r="C1359" s="1348">
        <v>92327</v>
      </c>
      <c r="H1359" s="1308"/>
      <c r="K1359" s="1308"/>
      <c r="P1359" s="1308"/>
    </row>
    <row r="1360" spans="1:16" x14ac:dyDescent="0.25">
      <c r="A1360" s="1348"/>
      <c r="B1360" s="1351" t="s">
        <v>4433</v>
      </c>
      <c r="C1360" s="1348">
        <v>95411</v>
      </c>
      <c r="H1360" s="1308"/>
      <c r="K1360" s="1308"/>
      <c r="P1360" s="1308"/>
    </row>
    <row r="1361" spans="1:16" x14ac:dyDescent="0.25">
      <c r="A1361" s="1348"/>
      <c r="B1361" s="1351" t="s">
        <v>4434</v>
      </c>
      <c r="C1361" s="1348">
        <v>95413</v>
      </c>
      <c r="H1361" s="1308"/>
      <c r="K1361" s="1308"/>
      <c r="P1361" s="1308"/>
    </row>
    <row r="1362" spans="1:16" x14ac:dyDescent="0.25">
      <c r="A1362" s="1348"/>
      <c r="B1362" s="1351" t="s">
        <v>4435</v>
      </c>
      <c r="C1362" s="1348">
        <v>95415</v>
      </c>
      <c r="H1362" s="1308"/>
      <c r="K1362" s="1308"/>
      <c r="P1362" s="1308"/>
    </row>
    <row r="1363" spans="1:16" x14ac:dyDescent="0.25">
      <c r="A1363" s="1348"/>
      <c r="B1363" s="1351" t="s">
        <v>4436</v>
      </c>
      <c r="C1363" s="1348">
        <v>92851</v>
      </c>
      <c r="H1363" s="1308"/>
      <c r="K1363" s="1308"/>
      <c r="P1363" s="1308"/>
    </row>
    <row r="1364" spans="1:16" x14ac:dyDescent="0.25">
      <c r="A1364" s="1348"/>
      <c r="B1364" s="1351" t="s">
        <v>4437</v>
      </c>
      <c r="C1364" s="1348">
        <v>99291</v>
      </c>
      <c r="H1364" s="1308"/>
      <c r="K1364" s="1308"/>
      <c r="P1364" s="1308"/>
    </row>
    <row r="1365" spans="1:16" x14ac:dyDescent="0.25">
      <c r="A1365" s="1348"/>
      <c r="B1365" s="1351" t="s">
        <v>4438</v>
      </c>
      <c r="C1365" s="1348">
        <v>96541</v>
      </c>
      <c r="H1365" s="1308"/>
      <c r="K1365" s="1308"/>
      <c r="P1365" s="1308"/>
    </row>
    <row r="1366" spans="1:16" x14ac:dyDescent="0.25">
      <c r="A1366" s="1348"/>
      <c r="B1366" s="1351" t="s">
        <v>4439</v>
      </c>
      <c r="C1366" s="1348">
        <v>95431</v>
      </c>
      <c r="H1366" s="1308"/>
      <c r="K1366" s="1308"/>
      <c r="P1366" s="1308"/>
    </row>
    <row r="1367" spans="1:16" x14ac:dyDescent="0.25">
      <c r="A1367" s="1348"/>
      <c r="B1367" s="1351" t="s">
        <v>4440</v>
      </c>
      <c r="C1367" s="1348">
        <v>98131</v>
      </c>
      <c r="H1367" s="1308"/>
      <c r="K1367" s="1308"/>
      <c r="P1367" s="1308"/>
    </row>
    <row r="1368" spans="1:16" x14ac:dyDescent="0.25">
      <c r="A1368" s="1348"/>
      <c r="B1368" s="1351" t="s">
        <v>4441</v>
      </c>
      <c r="C1368" s="1348">
        <v>92461</v>
      </c>
      <c r="H1368" s="1308"/>
      <c r="K1368" s="1308"/>
      <c r="P1368" s="1308"/>
    </row>
    <row r="1369" spans="1:16" x14ac:dyDescent="0.25">
      <c r="A1369" s="1348"/>
      <c r="B1369" s="1351" t="s">
        <v>2873</v>
      </c>
      <c r="C1369" s="1348">
        <v>92427</v>
      </c>
      <c r="H1369" s="1308"/>
      <c r="K1369" s="1308"/>
      <c r="P1369" s="1308"/>
    </row>
    <row r="1370" spans="1:16" x14ac:dyDescent="0.25">
      <c r="A1370" s="1348"/>
      <c r="B1370" s="1351" t="s">
        <v>4442</v>
      </c>
      <c r="C1370" s="1348">
        <v>98051</v>
      </c>
      <c r="H1370" s="1308"/>
      <c r="K1370" s="1308"/>
      <c r="P1370" s="1308"/>
    </row>
    <row r="1371" spans="1:16" x14ac:dyDescent="0.25">
      <c r="A1371" s="1348"/>
      <c r="B1371" s="1351" t="s">
        <v>2756</v>
      </c>
      <c r="C1371" s="1348">
        <v>91102</v>
      </c>
      <c r="H1371" s="1308"/>
      <c r="K1371" s="1308"/>
      <c r="P1371" s="1308"/>
    </row>
    <row r="1372" spans="1:16" x14ac:dyDescent="0.25">
      <c r="A1372" s="1348"/>
      <c r="B1372" s="1351" t="s">
        <v>4443</v>
      </c>
      <c r="C1372" s="1348">
        <v>94521</v>
      </c>
      <c r="H1372" s="1308"/>
      <c r="K1372" s="1308"/>
      <c r="P1372" s="1308"/>
    </row>
    <row r="1373" spans="1:16" x14ac:dyDescent="0.25">
      <c r="A1373" s="1348"/>
      <c r="B1373" s="1351" t="s">
        <v>3078</v>
      </c>
      <c r="C1373" s="1348">
        <v>94527</v>
      </c>
      <c r="H1373" s="1308"/>
      <c r="K1373" s="1308"/>
      <c r="P1373" s="1308"/>
    </row>
    <row r="1374" spans="1:16" x14ac:dyDescent="0.25">
      <c r="A1374" s="1348"/>
      <c r="B1374" s="1351" t="s">
        <v>4444</v>
      </c>
      <c r="C1374" s="1348">
        <v>98311</v>
      </c>
      <c r="H1374" s="1308"/>
      <c r="K1374" s="1308"/>
      <c r="P1374" s="1308"/>
    </row>
    <row r="1375" spans="1:16" x14ac:dyDescent="0.25">
      <c r="A1375" s="1348"/>
      <c r="B1375" s="1351" t="s">
        <v>3410</v>
      </c>
      <c r="C1375" s="1348">
        <v>98313</v>
      </c>
      <c r="H1375" s="1308"/>
      <c r="K1375" s="1308"/>
      <c r="P1375" s="1308"/>
    </row>
    <row r="1376" spans="1:16" x14ac:dyDescent="0.25">
      <c r="A1376" s="1348"/>
      <c r="B1376" s="1351" t="s">
        <v>3408</v>
      </c>
      <c r="C1376" s="1348">
        <v>98308</v>
      </c>
      <c r="H1376" s="1308"/>
      <c r="K1376" s="1308"/>
      <c r="P1376" s="1308"/>
    </row>
    <row r="1377" spans="1:16" x14ac:dyDescent="0.25">
      <c r="A1377" s="1348"/>
      <c r="B1377" s="1351" t="s">
        <v>4445</v>
      </c>
      <c r="C1377" s="1348">
        <v>92341</v>
      </c>
      <c r="H1377" s="1308"/>
      <c r="K1377" s="1308"/>
      <c r="P1377" s="1308"/>
    </row>
    <row r="1378" spans="1:16" x14ac:dyDescent="0.25">
      <c r="A1378" s="1348"/>
      <c r="B1378" s="1351" t="s">
        <v>3136</v>
      </c>
      <c r="C1378" s="1348">
        <v>95301</v>
      </c>
      <c r="H1378" s="1308"/>
      <c r="K1378" s="1308"/>
      <c r="P1378" s="1308"/>
    </row>
    <row r="1379" spans="1:16" x14ac:dyDescent="0.25">
      <c r="A1379" s="1348"/>
      <c r="B1379" s="1351" t="s">
        <v>4446</v>
      </c>
      <c r="C1379" s="1348">
        <v>91002</v>
      </c>
      <c r="H1379" s="1308"/>
      <c r="K1379" s="1308"/>
      <c r="P1379" s="1308"/>
    </row>
    <row r="1380" spans="1:16" x14ac:dyDescent="0.25">
      <c r="A1380" s="1348"/>
      <c r="B1380" s="1351" t="s">
        <v>2592</v>
      </c>
      <c r="C1380" s="1348">
        <v>91451</v>
      </c>
      <c r="H1380" s="1308"/>
      <c r="K1380" s="1308"/>
      <c r="P1380" s="1308"/>
    </row>
    <row r="1381" spans="1:16" x14ac:dyDescent="0.25">
      <c r="A1381" s="1348"/>
      <c r="B1381" s="1351" t="s">
        <v>4447</v>
      </c>
      <c r="C1381" s="1348">
        <v>91457</v>
      </c>
      <c r="H1381" s="1308"/>
      <c r="K1381" s="1308"/>
      <c r="P1381" s="1308"/>
    </row>
    <row r="1382" spans="1:16" x14ac:dyDescent="0.25">
      <c r="A1382" s="1348"/>
      <c r="B1382" s="1351" t="s">
        <v>3140</v>
      </c>
      <c r="C1382" s="1348">
        <v>95401</v>
      </c>
      <c r="H1382" s="1308"/>
      <c r="K1382" s="1308"/>
      <c r="P1382" s="1308"/>
    </row>
    <row r="1383" spans="1:16" x14ac:dyDescent="0.25">
      <c r="A1383" s="1348"/>
      <c r="B1383" s="1351" t="s">
        <v>3141</v>
      </c>
      <c r="C1383" s="1348">
        <v>95404</v>
      </c>
      <c r="H1383" s="1308"/>
      <c r="K1383" s="1308"/>
      <c r="P1383" s="1308"/>
    </row>
    <row r="1384" spans="1:16" x14ac:dyDescent="0.25">
      <c r="A1384" s="1348"/>
      <c r="B1384" s="1351" t="s">
        <v>2802</v>
      </c>
      <c r="C1384" s="1348">
        <v>91423</v>
      </c>
      <c r="H1384" s="1308"/>
      <c r="K1384" s="1308"/>
      <c r="P1384" s="1308"/>
    </row>
    <row r="1385" spans="1:16" x14ac:dyDescent="0.25">
      <c r="A1385" s="1348"/>
      <c r="B1385" s="1351" t="s">
        <v>4448</v>
      </c>
      <c r="C1385" s="1348">
        <v>90861</v>
      </c>
      <c r="H1385" s="1308"/>
      <c r="K1385" s="1308"/>
      <c r="P1385" s="1308"/>
    </row>
    <row r="1386" spans="1:16" x14ac:dyDescent="0.25">
      <c r="A1386" s="1348"/>
      <c r="B1386" s="1351" t="s">
        <v>4449</v>
      </c>
      <c r="C1386" s="1348">
        <v>93451</v>
      </c>
      <c r="H1386" s="1308"/>
      <c r="K1386" s="1308"/>
      <c r="P1386" s="1308"/>
    </row>
    <row r="1387" spans="1:16" x14ac:dyDescent="0.25">
      <c r="A1387" s="1348"/>
      <c r="B1387" s="1351" t="s">
        <v>4450</v>
      </c>
      <c r="C1387" s="1348">
        <v>92931</v>
      </c>
      <c r="H1387" s="1308"/>
      <c r="K1387" s="1308"/>
      <c r="P1387" s="1308"/>
    </row>
    <row r="1388" spans="1:16" x14ac:dyDescent="0.25">
      <c r="A1388" s="1348"/>
      <c r="B1388" s="1351" t="s">
        <v>2924</v>
      </c>
      <c r="C1388" s="1348">
        <v>92917</v>
      </c>
      <c r="H1388" s="1308"/>
      <c r="K1388" s="1308"/>
      <c r="P1388" s="1308"/>
    </row>
    <row r="1389" spans="1:16" x14ac:dyDescent="0.25">
      <c r="A1389" s="1348"/>
      <c r="B1389" s="1351" t="s">
        <v>4451</v>
      </c>
      <c r="C1389" s="1348">
        <v>97631</v>
      </c>
      <c r="H1389" s="1308"/>
      <c r="K1389" s="1308"/>
      <c r="P1389" s="1308"/>
    </row>
    <row r="1390" spans="1:16" x14ac:dyDescent="0.25">
      <c r="A1390" s="1348"/>
      <c r="B1390" s="1351" t="s">
        <v>3325</v>
      </c>
      <c r="C1390" s="1348">
        <v>97637</v>
      </c>
      <c r="H1390" s="1308"/>
      <c r="K1390" s="1308"/>
      <c r="P1390" s="1308"/>
    </row>
    <row r="1391" spans="1:16" x14ac:dyDescent="0.25">
      <c r="A1391" s="1348"/>
      <c r="B1391" s="1351" t="s">
        <v>4452</v>
      </c>
      <c r="C1391" s="1348">
        <v>90421</v>
      </c>
      <c r="H1391" s="1308"/>
      <c r="K1391" s="1308"/>
      <c r="P1391" s="1308"/>
    </row>
    <row r="1392" spans="1:16" x14ac:dyDescent="0.25">
      <c r="A1392" s="1348"/>
      <c r="B1392" s="1351" t="s">
        <v>4453</v>
      </c>
      <c r="C1392" s="1348">
        <v>94321</v>
      </c>
      <c r="H1392" s="1308"/>
      <c r="K1392" s="1308"/>
      <c r="P1392" s="1308"/>
    </row>
    <row r="1393" spans="1:16" x14ac:dyDescent="0.25">
      <c r="A1393" s="1348"/>
      <c r="B1393" s="1351" t="s">
        <v>3149</v>
      </c>
      <c r="C1393" s="1348">
        <v>95501</v>
      </c>
      <c r="H1393" s="1308"/>
      <c r="K1393" s="1308"/>
      <c r="P1393" s="1308"/>
    </row>
    <row r="1394" spans="1:16" x14ac:dyDescent="0.25">
      <c r="A1394" s="1348"/>
      <c r="B1394" s="1351" t="s">
        <v>3150</v>
      </c>
      <c r="C1394" s="1348">
        <v>95504</v>
      </c>
      <c r="H1394" s="1308"/>
      <c r="K1394" s="1308"/>
      <c r="P1394" s="1308"/>
    </row>
    <row r="1395" spans="1:16" x14ac:dyDescent="0.25">
      <c r="A1395" s="1348"/>
      <c r="B1395" s="1351" t="s">
        <v>4454</v>
      </c>
      <c r="C1395" s="1348">
        <v>95511</v>
      </c>
      <c r="H1395" s="1308"/>
      <c r="K1395" s="1308"/>
      <c r="P1395" s="1308"/>
    </row>
    <row r="1396" spans="1:16" x14ac:dyDescent="0.25">
      <c r="A1396" s="1348"/>
      <c r="B1396" s="1351" t="s">
        <v>4455</v>
      </c>
      <c r="C1396" s="1348">
        <v>95517</v>
      </c>
      <c r="H1396" s="1308"/>
      <c r="K1396" s="1308"/>
      <c r="P1396" s="1308"/>
    </row>
    <row r="1397" spans="1:16" x14ac:dyDescent="0.25">
      <c r="A1397" s="1348"/>
      <c r="B1397" s="1351" t="s">
        <v>3152</v>
      </c>
      <c r="C1397" s="1348">
        <v>95513</v>
      </c>
      <c r="H1397" s="1308"/>
      <c r="K1397" s="1308"/>
      <c r="P1397" s="1308"/>
    </row>
    <row r="1398" spans="1:16" x14ac:dyDescent="0.25">
      <c r="A1398" s="1348"/>
      <c r="B1398" s="1351" t="s">
        <v>4456</v>
      </c>
      <c r="C1398" s="1348">
        <v>92651</v>
      </c>
      <c r="H1398" s="1308"/>
      <c r="K1398" s="1308"/>
      <c r="P1398" s="1308"/>
    </row>
    <row r="1399" spans="1:16" x14ac:dyDescent="0.25">
      <c r="A1399" s="1348"/>
      <c r="B1399" s="1351" t="s">
        <v>4457</v>
      </c>
      <c r="C1399" s="1348">
        <v>94261</v>
      </c>
      <c r="H1399" s="1308"/>
      <c r="K1399" s="1308"/>
      <c r="P1399" s="1308"/>
    </row>
    <row r="1400" spans="1:16" x14ac:dyDescent="0.25">
      <c r="A1400" s="1348"/>
      <c r="B1400" s="1351" t="s">
        <v>4458</v>
      </c>
      <c r="C1400" s="1348">
        <v>98431</v>
      </c>
      <c r="H1400" s="1308"/>
      <c r="K1400" s="1308"/>
      <c r="P1400" s="1308"/>
    </row>
    <row r="1401" spans="1:16" x14ac:dyDescent="0.25">
      <c r="A1401" s="1348"/>
      <c r="B1401" s="1351" t="s">
        <v>3694</v>
      </c>
      <c r="C1401" s="1348">
        <v>98404</v>
      </c>
      <c r="H1401" s="1308"/>
      <c r="K1401" s="1308"/>
      <c r="P1401" s="1308"/>
    </row>
    <row r="1402" spans="1:16" x14ac:dyDescent="0.25">
      <c r="A1402" s="1348"/>
      <c r="B1402" s="1351" t="s">
        <v>4459</v>
      </c>
      <c r="C1402" s="1348">
        <v>91841</v>
      </c>
      <c r="H1402" s="1308"/>
      <c r="K1402" s="1308"/>
      <c r="P1402" s="1308"/>
    </row>
    <row r="1403" spans="1:16" x14ac:dyDescent="0.25">
      <c r="A1403" s="1348"/>
      <c r="B1403" s="1351" t="s">
        <v>4460</v>
      </c>
      <c r="C1403" s="1348">
        <v>93521</v>
      </c>
      <c r="H1403" s="1308"/>
      <c r="K1403" s="1308"/>
      <c r="P1403" s="1308"/>
    </row>
    <row r="1404" spans="1:16" x14ac:dyDescent="0.25">
      <c r="A1404" s="1348"/>
      <c r="B1404" s="1351" t="s">
        <v>2984</v>
      </c>
      <c r="C1404" s="1348">
        <v>93527</v>
      </c>
      <c r="H1404" s="1308"/>
      <c r="K1404" s="1308"/>
      <c r="P1404" s="1308"/>
    </row>
    <row r="1405" spans="1:16" x14ac:dyDescent="0.25">
      <c r="A1405" s="1348"/>
      <c r="B1405" s="1351" t="s">
        <v>4461</v>
      </c>
      <c r="C1405" s="1348">
        <v>93661</v>
      </c>
      <c r="H1405" s="1308"/>
      <c r="K1405" s="1308"/>
      <c r="P1405" s="1308"/>
    </row>
    <row r="1406" spans="1:16" x14ac:dyDescent="0.25">
      <c r="A1406" s="1348"/>
      <c r="B1406" s="1351" t="s">
        <v>4462</v>
      </c>
      <c r="C1406" s="1348">
        <v>96508</v>
      </c>
      <c r="H1406" s="1308"/>
      <c r="K1406" s="1308"/>
      <c r="P1406" s="1308"/>
    </row>
    <row r="1407" spans="1:16" x14ac:dyDescent="0.25">
      <c r="A1407" s="1348"/>
      <c r="B1407" s="1351" t="s">
        <v>4463</v>
      </c>
      <c r="C1407" s="1348">
        <v>99841</v>
      </c>
      <c r="H1407" s="1308"/>
      <c r="K1407" s="1308"/>
      <c r="P1407" s="1308"/>
    </row>
    <row r="1408" spans="1:16" x14ac:dyDescent="0.25">
      <c r="A1408" s="1348"/>
      <c r="B1408" s="1351" t="s">
        <v>3338</v>
      </c>
      <c r="C1408" s="1348">
        <v>97802</v>
      </c>
      <c r="H1408" s="1308"/>
      <c r="K1408" s="1308"/>
      <c r="P1408" s="1308"/>
    </row>
    <row r="1409" spans="1:16" x14ac:dyDescent="0.25">
      <c r="A1409" s="1348"/>
      <c r="B1409" s="1351" t="s">
        <v>4464</v>
      </c>
      <c r="C1409" s="1348">
        <v>97811</v>
      </c>
      <c r="H1409" s="1308"/>
      <c r="K1409" s="1308"/>
      <c r="P1409" s="1308"/>
    </row>
    <row r="1410" spans="1:16" x14ac:dyDescent="0.25">
      <c r="A1410" s="1348"/>
      <c r="B1410" s="1351" t="s">
        <v>3342</v>
      </c>
      <c r="C1410" s="1348">
        <v>97817</v>
      </c>
      <c r="H1410" s="1308"/>
      <c r="K1410" s="1308"/>
      <c r="P1410" s="1308"/>
    </row>
    <row r="1411" spans="1:16" x14ac:dyDescent="0.25">
      <c r="A1411" s="1348"/>
      <c r="B1411" s="1351" t="s">
        <v>4206</v>
      </c>
      <c r="C1411" s="1348">
        <v>97818</v>
      </c>
      <c r="H1411" s="1308"/>
      <c r="K1411" s="1308"/>
      <c r="P1411" s="1308"/>
    </row>
    <row r="1412" spans="1:16" x14ac:dyDescent="0.25">
      <c r="A1412" s="1348"/>
      <c r="B1412" s="1351" t="s">
        <v>4465</v>
      </c>
      <c r="C1412" s="1348">
        <v>93341</v>
      </c>
      <c r="H1412" s="1308"/>
      <c r="K1412" s="1308"/>
      <c r="P1412" s="1308"/>
    </row>
    <row r="1413" spans="1:16" x14ac:dyDescent="0.25">
      <c r="A1413" s="1348"/>
      <c r="B1413" s="1351" t="s">
        <v>3154</v>
      </c>
      <c r="C1413" s="1348">
        <v>95601</v>
      </c>
      <c r="H1413" s="1308"/>
      <c r="K1413" s="1308"/>
      <c r="P1413" s="1308"/>
    </row>
    <row r="1414" spans="1:16" x14ac:dyDescent="0.25">
      <c r="A1414" s="1348"/>
      <c r="B1414" s="1351" t="s">
        <v>2595</v>
      </c>
      <c r="C1414" s="1348">
        <v>97941</v>
      </c>
      <c r="H1414" s="1308"/>
      <c r="K1414" s="1308"/>
      <c r="P1414" s="1308"/>
    </row>
    <row r="1415" spans="1:16" x14ac:dyDescent="0.25">
      <c r="A1415" s="1348"/>
      <c r="B1415" s="1351" t="s">
        <v>3363</v>
      </c>
      <c r="C1415" s="1348">
        <v>97947</v>
      </c>
      <c r="H1415" s="1308"/>
      <c r="K1415" s="1308"/>
      <c r="P1415" s="1308"/>
    </row>
    <row r="1416" spans="1:16" x14ac:dyDescent="0.25">
      <c r="A1416" s="1348"/>
      <c r="B1416" s="1351" t="s">
        <v>3158</v>
      </c>
      <c r="C1416" s="1348">
        <v>95701</v>
      </c>
      <c r="H1416" s="1308"/>
      <c r="K1416" s="1308"/>
      <c r="P1416" s="1308"/>
    </row>
    <row r="1417" spans="1:16" x14ac:dyDescent="0.25">
      <c r="A1417" s="1348"/>
      <c r="B1417" s="1351" t="s">
        <v>3364</v>
      </c>
      <c r="C1417" s="1348">
        <v>97948</v>
      </c>
      <c r="H1417" s="1308"/>
      <c r="K1417" s="1308"/>
      <c r="P1417" s="1308"/>
    </row>
    <row r="1418" spans="1:16" x14ac:dyDescent="0.25">
      <c r="A1418" s="1348"/>
      <c r="B1418" s="1351" t="s">
        <v>4466</v>
      </c>
      <c r="C1418" s="1348">
        <v>94421</v>
      </c>
      <c r="H1418" s="1308"/>
      <c r="K1418" s="1308"/>
      <c r="P1418" s="1308"/>
    </row>
    <row r="1419" spans="1:16" x14ac:dyDescent="0.25">
      <c r="A1419" s="1348"/>
      <c r="B1419" s="1351" t="s">
        <v>3069</v>
      </c>
      <c r="C1419" s="1348">
        <v>94427</v>
      </c>
      <c r="H1419" s="1308"/>
      <c r="K1419" s="1308"/>
      <c r="P1419" s="1308"/>
    </row>
    <row r="1420" spans="1:16" x14ac:dyDescent="0.25">
      <c r="A1420" s="1348"/>
      <c r="B1420" s="1351" t="s">
        <v>4178</v>
      </c>
      <c r="C1420" s="1348">
        <v>94428</v>
      </c>
      <c r="H1420" s="1308"/>
      <c r="K1420" s="1308"/>
      <c r="P1420" s="1308"/>
    </row>
    <row r="1421" spans="1:16" x14ac:dyDescent="0.25">
      <c r="A1421" s="1348"/>
      <c r="B1421" s="1351" t="s">
        <v>4467</v>
      </c>
      <c r="C1421" s="1348">
        <v>93191</v>
      </c>
      <c r="H1421" s="1308"/>
      <c r="K1421" s="1308"/>
      <c r="P1421" s="1308"/>
    </row>
    <row r="1422" spans="1:16" x14ac:dyDescent="0.25">
      <c r="A1422" s="1348"/>
      <c r="B1422" s="1351" t="s">
        <v>4468</v>
      </c>
      <c r="C1422" s="1348">
        <v>91831</v>
      </c>
      <c r="H1422" s="1308"/>
      <c r="K1422" s="1308"/>
      <c r="P1422" s="1308"/>
    </row>
    <row r="1423" spans="1:16" x14ac:dyDescent="0.25">
      <c r="A1423" s="1348"/>
      <c r="B1423" s="1351" t="s">
        <v>4469</v>
      </c>
      <c r="C1423" s="1348">
        <v>92831</v>
      </c>
      <c r="H1423" s="1308"/>
      <c r="K1423" s="1308"/>
      <c r="P1423" s="1308"/>
    </row>
    <row r="1424" spans="1:16" x14ac:dyDescent="0.25">
      <c r="A1424" s="1348"/>
      <c r="B1424" s="1351" t="s">
        <v>4470</v>
      </c>
      <c r="C1424" s="1348">
        <v>95911</v>
      </c>
      <c r="H1424" s="1308"/>
      <c r="K1424" s="1308"/>
      <c r="P1424" s="1308"/>
    </row>
    <row r="1425" spans="1:16" x14ac:dyDescent="0.25">
      <c r="A1425" s="1348"/>
      <c r="B1425" s="1351" t="s">
        <v>3175</v>
      </c>
      <c r="C1425" s="1348">
        <v>95917</v>
      </c>
      <c r="H1425" s="1308"/>
      <c r="K1425" s="1308"/>
      <c r="P1425" s="1308"/>
    </row>
    <row r="1426" spans="1:16" x14ac:dyDescent="0.25">
      <c r="A1426" s="1348"/>
      <c r="B1426" s="1351" t="s">
        <v>4471</v>
      </c>
      <c r="C1426" s="1348">
        <v>95711</v>
      </c>
      <c r="H1426" s="1308"/>
      <c r="K1426" s="1308"/>
      <c r="P1426" s="1308"/>
    </row>
    <row r="1427" spans="1:16" x14ac:dyDescent="0.25">
      <c r="A1427" s="1348"/>
      <c r="B1427" s="1351" t="s">
        <v>4472</v>
      </c>
      <c r="C1427" s="1348">
        <v>95721</v>
      </c>
      <c r="H1427" s="1308"/>
      <c r="K1427" s="1308"/>
      <c r="P1427" s="1308"/>
    </row>
    <row r="1428" spans="1:16" x14ac:dyDescent="0.25">
      <c r="A1428" s="1348"/>
      <c r="B1428" s="1351" t="s">
        <v>4473</v>
      </c>
      <c r="C1428" s="1348">
        <v>99021</v>
      </c>
      <c r="H1428" s="1308"/>
      <c r="K1428" s="1308"/>
      <c r="P1428" s="1308"/>
    </row>
    <row r="1429" spans="1:16" x14ac:dyDescent="0.25">
      <c r="A1429" s="1348"/>
      <c r="B1429" s="1351" t="s">
        <v>4474</v>
      </c>
      <c r="C1429" s="1348">
        <v>95802</v>
      </c>
      <c r="H1429" s="1308"/>
      <c r="K1429" s="1308"/>
      <c r="P1429" s="1308"/>
    </row>
    <row r="1430" spans="1:16" x14ac:dyDescent="0.25">
      <c r="A1430" s="1348"/>
      <c r="B1430" s="1351" t="s">
        <v>3162</v>
      </c>
      <c r="C1430" s="1348">
        <v>95801</v>
      </c>
      <c r="H1430" s="1308"/>
      <c r="K1430" s="1308"/>
      <c r="P1430" s="1308"/>
    </row>
    <row r="1431" spans="1:16" x14ac:dyDescent="0.25">
      <c r="A1431" s="1348"/>
      <c r="B1431" s="1351" t="s">
        <v>3164</v>
      </c>
      <c r="C1431" s="1348">
        <v>95804</v>
      </c>
      <c r="H1431" s="1308"/>
      <c r="K1431" s="1308"/>
      <c r="P1431" s="1308"/>
    </row>
    <row r="1432" spans="1:16" x14ac:dyDescent="0.25">
      <c r="A1432" s="1348"/>
      <c r="B1432" s="1351" t="s">
        <v>4120</v>
      </c>
      <c r="C1432" s="1348">
        <v>90092</v>
      </c>
      <c r="H1432" s="1308"/>
      <c r="K1432" s="1308"/>
      <c r="P1432" s="1308"/>
    </row>
    <row r="1433" spans="1:16" x14ac:dyDescent="0.25">
      <c r="A1433" s="1348"/>
      <c r="B1433" s="1351" t="s">
        <v>4475</v>
      </c>
      <c r="C1433" s="1348">
        <v>99081</v>
      </c>
      <c r="H1433" s="1308"/>
      <c r="K1433" s="1308"/>
      <c r="P1433" s="1308"/>
    </row>
    <row r="1434" spans="1:16" x14ac:dyDescent="0.25">
      <c r="A1434" s="1348"/>
      <c r="B1434" s="1351" t="s">
        <v>4476</v>
      </c>
      <c r="C1434" s="1348">
        <v>96071</v>
      </c>
      <c r="H1434" s="1308"/>
      <c r="K1434" s="1308"/>
      <c r="P1434" s="1308"/>
    </row>
    <row r="1435" spans="1:16" x14ac:dyDescent="0.25">
      <c r="A1435" s="1348"/>
      <c r="B1435" s="1351" t="s">
        <v>3022</v>
      </c>
      <c r="C1435" s="1348">
        <v>94002</v>
      </c>
      <c r="H1435" s="1308"/>
      <c r="K1435" s="1308"/>
      <c r="P1435" s="1308"/>
    </row>
    <row r="1436" spans="1:16" x14ac:dyDescent="0.25">
      <c r="A1436" s="1348"/>
      <c r="B1436" s="1351" t="s">
        <v>4477</v>
      </c>
      <c r="C1436" s="1348">
        <v>97840</v>
      </c>
      <c r="H1436" s="1308"/>
      <c r="K1436" s="1308"/>
      <c r="P1436" s="1308"/>
    </row>
    <row r="1437" spans="1:16" x14ac:dyDescent="0.25">
      <c r="A1437" s="1348"/>
      <c r="B1437" s="1351" t="s">
        <v>3350</v>
      </c>
      <c r="C1437" s="1348">
        <v>97847</v>
      </c>
      <c r="H1437" s="1308"/>
      <c r="K1437" s="1308"/>
      <c r="P1437" s="1308"/>
    </row>
    <row r="1438" spans="1:16" x14ac:dyDescent="0.25">
      <c r="A1438" s="1348"/>
      <c r="B1438" s="1351" t="s">
        <v>4478</v>
      </c>
      <c r="C1438" s="1348">
        <v>97921</v>
      </c>
      <c r="H1438" s="1308"/>
      <c r="K1438" s="1308"/>
      <c r="P1438" s="1308"/>
    </row>
    <row r="1439" spans="1:16" x14ac:dyDescent="0.25">
      <c r="A1439" s="1348"/>
      <c r="B1439" s="1351" t="s">
        <v>4479</v>
      </c>
      <c r="C1439" s="1348">
        <v>95221</v>
      </c>
      <c r="H1439" s="1308"/>
      <c r="K1439" s="1308"/>
      <c r="P1439" s="1308"/>
    </row>
    <row r="1440" spans="1:16" x14ac:dyDescent="0.25">
      <c r="A1440" s="1348"/>
      <c r="B1440" s="1351" t="s">
        <v>4480</v>
      </c>
      <c r="C1440" s="1348">
        <v>93610</v>
      </c>
      <c r="H1440" s="1308"/>
      <c r="K1440" s="1308"/>
      <c r="P1440" s="1308"/>
    </row>
    <row r="1441" spans="1:16" x14ac:dyDescent="0.25">
      <c r="A1441" s="1348"/>
      <c r="B1441" s="1351" t="s">
        <v>3172</v>
      </c>
      <c r="C1441" s="1348">
        <v>95901</v>
      </c>
      <c r="H1441" s="1308"/>
      <c r="K1441" s="1308"/>
      <c r="P1441" s="1308"/>
    </row>
    <row r="1442" spans="1:16" x14ac:dyDescent="0.25">
      <c r="A1442" s="1348"/>
      <c r="B1442" s="1351" t="s">
        <v>4481</v>
      </c>
      <c r="C1442" s="1348">
        <v>90114</v>
      </c>
      <c r="H1442" s="1308"/>
      <c r="K1442" s="1308"/>
      <c r="P1442" s="1308"/>
    </row>
    <row r="1443" spans="1:16" x14ac:dyDescent="0.25">
      <c r="A1443" s="1348"/>
      <c r="B1443" s="1351" t="s">
        <v>3177</v>
      </c>
      <c r="C1443" s="1348">
        <v>96001</v>
      </c>
      <c r="H1443" s="1308"/>
      <c r="K1443" s="1308"/>
      <c r="P1443" s="1308"/>
    </row>
    <row r="1444" spans="1:16" x14ac:dyDescent="0.25">
      <c r="A1444" s="1348"/>
      <c r="B1444" s="1351" t="s">
        <v>3179</v>
      </c>
      <c r="C1444" s="1348">
        <v>96004</v>
      </c>
      <c r="H1444" s="1308"/>
      <c r="K1444" s="1308"/>
      <c r="P1444" s="1308"/>
    </row>
    <row r="1445" spans="1:16" x14ac:dyDescent="0.25">
      <c r="A1445" s="1348"/>
      <c r="B1445" s="1351" t="s">
        <v>4482</v>
      </c>
      <c r="C1445" s="1348">
        <v>96008</v>
      </c>
      <c r="H1445" s="1308"/>
      <c r="K1445" s="1308"/>
      <c r="P1445" s="1308"/>
    </row>
    <row r="1446" spans="1:16" x14ac:dyDescent="0.25">
      <c r="A1446" s="1348"/>
      <c r="B1446" s="1351" t="s">
        <v>2759</v>
      </c>
      <c r="C1446" s="1348">
        <v>91108</v>
      </c>
      <c r="H1446" s="1308"/>
      <c r="K1446" s="1308"/>
      <c r="P1446" s="1308"/>
    </row>
    <row r="1447" spans="1:16" x14ac:dyDescent="0.25">
      <c r="A1447" s="1348"/>
      <c r="B1447" s="1351" t="s">
        <v>3105</v>
      </c>
      <c r="C1447" s="1348">
        <v>94941</v>
      </c>
      <c r="H1447" s="1308"/>
      <c r="K1447" s="1308"/>
      <c r="P1447" s="1308"/>
    </row>
    <row r="1448" spans="1:16" x14ac:dyDescent="0.25">
      <c r="A1448" s="1348"/>
      <c r="B1448" s="1351" t="s">
        <v>4483</v>
      </c>
      <c r="C1448" s="1348">
        <v>95122</v>
      </c>
      <c r="H1448" s="1308"/>
      <c r="K1448" s="1308"/>
      <c r="P1448" s="1308"/>
    </row>
    <row r="1449" spans="1:16" x14ac:dyDescent="0.25">
      <c r="A1449" s="1348"/>
      <c r="B1449" s="1351" t="s">
        <v>2898</v>
      </c>
      <c r="C1449" s="1348">
        <v>92607</v>
      </c>
      <c r="H1449" s="1308"/>
      <c r="K1449" s="1308"/>
      <c r="P1449" s="1308"/>
    </row>
    <row r="1450" spans="1:16" x14ac:dyDescent="0.25">
      <c r="A1450" s="1348"/>
      <c r="B1450" s="1351" t="s">
        <v>4484</v>
      </c>
      <c r="C1450" s="1348">
        <v>96431</v>
      </c>
      <c r="H1450" s="1308"/>
      <c r="K1450" s="1308"/>
      <c r="P1450" s="1308"/>
    </row>
    <row r="1451" spans="1:16" x14ac:dyDescent="0.25">
      <c r="A1451" s="1348"/>
      <c r="B1451" s="1351" t="s">
        <v>2704</v>
      </c>
      <c r="C1451" s="1348">
        <v>90709</v>
      </c>
      <c r="H1451" s="1308"/>
      <c r="K1451" s="1308"/>
      <c r="P1451" s="1308"/>
    </row>
    <row r="1452" spans="1:16" x14ac:dyDescent="0.25">
      <c r="A1452" s="1348"/>
      <c r="B1452" s="1351" t="s">
        <v>4485</v>
      </c>
      <c r="C1452" s="1348">
        <v>91341</v>
      </c>
      <c r="H1452" s="1308"/>
      <c r="K1452" s="1308"/>
      <c r="P1452" s="1308"/>
    </row>
    <row r="1453" spans="1:16" x14ac:dyDescent="0.25">
      <c r="A1453" s="1348"/>
      <c r="B1453" s="1351" t="s">
        <v>4486</v>
      </c>
      <c r="C1453" s="1348">
        <v>92941</v>
      </c>
      <c r="H1453" s="1308"/>
      <c r="K1453" s="1308"/>
      <c r="P1453" s="1308"/>
    </row>
    <row r="1454" spans="1:16" x14ac:dyDescent="0.25">
      <c r="A1454" s="1348"/>
      <c r="B1454" s="1351" t="s">
        <v>4487</v>
      </c>
      <c r="C1454" s="1348">
        <v>94551</v>
      </c>
      <c r="H1454" s="1308"/>
      <c r="K1454" s="1308"/>
      <c r="P1454" s="1308"/>
    </row>
    <row r="1455" spans="1:16" x14ac:dyDescent="0.25">
      <c r="A1455" s="1348"/>
      <c r="B1455" s="1351" t="s">
        <v>4488</v>
      </c>
      <c r="C1455" s="1348">
        <v>99022</v>
      </c>
      <c r="H1455" s="1308"/>
      <c r="K1455" s="1308"/>
      <c r="P1455" s="1308"/>
    </row>
    <row r="1456" spans="1:16" x14ac:dyDescent="0.25">
      <c r="A1456" s="1348"/>
      <c r="B1456" s="1351" t="s">
        <v>4489</v>
      </c>
      <c r="C1456" s="1348">
        <v>96031</v>
      </c>
      <c r="H1456" s="1308"/>
      <c r="K1456" s="1308"/>
      <c r="P1456" s="1308"/>
    </row>
    <row r="1457" spans="1:16" x14ac:dyDescent="0.25">
      <c r="A1457" s="1348"/>
      <c r="B1457" s="1351" t="s">
        <v>4490</v>
      </c>
      <c r="C1457" s="1348">
        <v>98414</v>
      </c>
      <c r="H1457" s="1308"/>
      <c r="K1457" s="1308"/>
      <c r="P1457" s="1308"/>
    </row>
    <row r="1458" spans="1:16" x14ac:dyDescent="0.25">
      <c r="A1458" s="1348"/>
      <c r="B1458" s="1351" t="s">
        <v>3193</v>
      </c>
      <c r="C1458" s="1348">
        <v>96101</v>
      </c>
      <c r="H1458" s="1308"/>
      <c r="K1458" s="1308"/>
      <c r="P1458" s="1308"/>
    </row>
    <row r="1459" spans="1:16" x14ac:dyDescent="0.25">
      <c r="A1459" s="1348"/>
      <c r="B1459" s="1351" t="s">
        <v>4192</v>
      </c>
      <c r="C1459" s="1348">
        <v>96102</v>
      </c>
      <c r="H1459" s="1308"/>
      <c r="K1459" s="1308"/>
      <c r="P1459" s="1308"/>
    </row>
    <row r="1460" spans="1:16" x14ac:dyDescent="0.25">
      <c r="A1460" s="1348"/>
      <c r="B1460" s="1351" t="s">
        <v>4491</v>
      </c>
      <c r="C1460" s="1348">
        <v>93011</v>
      </c>
      <c r="H1460" s="1308"/>
      <c r="K1460" s="1308"/>
      <c r="P1460" s="1308"/>
    </row>
    <row r="1461" spans="1:16" x14ac:dyDescent="0.25">
      <c r="A1461" s="1348"/>
      <c r="B1461" s="1351" t="s">
        <v>4492</v>
      </c>
      <c r="C1461" s="1348">
        <v>99011</v>
      </c>
      <c r="H1461" s="1308"/>
      <c r="K1461" s="1308"/>
      <c r="P1461" s="1308"/>
    </row>
    <row r="1462" spans="1:16" x14ac:dyDescent="0.25">
      <c r="A1462" s="1348"/>
      <c r="B1462" s="1351" t="s">
        <v>3450</v>
      </c>
      <c r="C1462" s="1348">
        <v>99017</v>
      </c>
      <c r="H1462" s="1308"/>
      <c r="K1462" s="1308"/>
      <c r="P1462" s="1308"/>
    </row>
    <row r="1463" spans="1:16" x14ac:dyDescent="0.25">
      <c r="A1463" s="1348"/>
      <c r="B1463" s="1351" t="s">
        <v>4493</v>
      </c>
      <c r="C1463" s="1348">
        <v>99013</v>
      </c>
      <c r="H1463" s="1308"/>
      <c r="K1463" s="1308"/>
      <c r="P1463" s="1308"/>
    </row>
    <row r="1464" spans="1:16" x14ac:dyDescent="0.25">
      <c r="A1464" s="1348"/>
      <c r="B1464" s="1351" t="s">
        <v>3197</v>
      </c>
      <c r="C1464" s="1348">
        <v>96201</v>
      </c>
      <c r="H1464" s="1308"/>
      <c r="K1464" s="1308"/>
      <c r="P1464" s="1308"/>
    </row>
    <row r="1465" spans="1:16" x14ac:dyDescent="0.25">
      <c r="A1465" s="1348"/>
      <c r="B1465" s="1351" t="s">
        <v>3198</v>
      </c>
      <c r="C1465" s="1348">
        <v>96204</v>
      </c>
      <c r="H1465" s="1308"/>
      <c r="K1465" s="1308"/>
      <c r="P1465" s="1308"/>
    </row>
    <row r="1466" spans="1:16" x14ac:dyDescent="0.25">
      <c r="A1466" s="1348"/>
      <c r="B1466" s="1351" t="s">
        <v>4494</v>
      </c>
      <c r="C1466" s="1348">
        <v>91161</v>
      </c>
      <c r="H1466" s="1308"/>
      <c r="K1466" s="1308"/>
      <c r="P1466" s="1308"/>
    </row>
    <row r="1467" spans="1:16" x14ac:dyDescent="0.25">
      <c r="A1467" s="1348"/>
      <c r="B1467" s="1351" t="s">
        <v>3204</v>
      </c>
      <c r="C1467" s="1348">
        <v>96301</v>
      </c>
      <c r="H1467" s="1308"/>
      <c r="K1467" s="1308"/>
      <c r="P1467" s="1308"/>
    </row>
    <row r="1468" spans="1:16" x14ac:dyDescent="0.25">
      <c r="A1468" s="1348"/>
      <c r="B1468" s="1351" t="s">
        <v>3206</v>
      </c>
      <c r="C1468" s="1348">
        <v>96304</v>
      </c>
      <c r="H1468" s="1308"/>
      <c r="K1468" s="1308"/>
      <c r="P1468" s="1308"/>
    </row>
    <row r="1469" spans="1:16" x14ac:dyDescent="0.25">
      <c r="A1469" s="1348"/>
      <c r="B1469" s="1351" t="s">
        <v>3208</v>
      </c>
      <c r="C1469" s="1348">
        <v>96310</v>
      </c>
      <c r="H1469" s="1308"/>
      <c r="K1469" s="1308"/>
      <c r="P1469" s="1308"/>
    </row>
    <row r="1470" spans="1:16" x14ac:dyDescent="0.25">
      <c r="A1470" s="1348"/>
      <c r="B1470" s="1351" t="s">
        <v>3207</v>
      </c>
      <c r="C1470" s="1348">
        <v>96305</v>
      </c>
      <c r="H1470" s="1308"/>
      <c r="K1470" s="1308"/>
      <c r="P1470" s="1308"/>
    </row>
    <row r="1471" spans="1:16" x14ac:dyDescent="0.25">
      <c r="A1471" s="1348"/>
      <c r="B1471" s="1351" t="s">
        <v>4495</v>
      </c>
      <c r="C1471" s="1348">
        <v>94921</v>
      </c>
      <c r="H1471" s="1308"/>
      <c r="K1471" s="1308"/>
      <c r="P1471" s="1308"/>
    </row>
    <row r="1472" spans="1:16" x14ac:dyDescent="0.25">
      <c r="A1472" s="1348"/>
      <c r="B1472" s="1351" t="s">
        <v>3103</v>
      </c>
      <c r="C1472" s="1348">
        <v>94927</v>
      </c>
      <c r="H1472" s="1308"/>
      <c r="K1472" s="1308"/>
      <c r="P1472" s="1308"/>
    </row>
    <row r="1473" spans="1:16" x14ac:dyDescent="0.25">
      <c r="A1473" s="1348"/>
      <c r="B1473" s="1351" t="s">
        <v>3102</v>
      </c>
      <c r="C1473" s="1348">
        <v>94923</v>
      </c>
      <c r="H1473" s="1308"/>
      <c r="K1473" s="1308"/>
      <c r="P1473" s="1308"/>
    </row>
    <row r="1474" spans="1:16" x14ac:dyDescent="0.25">
      <c r="A1474" s="1348"/>
      <c r="B1474" s="1351" t="s">
        <v>4496</v>
      </c>
      <c r="C1474" s="1348">
        <v>91611</v>
      </c>
      <c r="H1474" s="1308"/>
      <c r="K1474" s="1308"/>
      <c r="P1474" s="1308"/>
    </row>
    <row r="1475" spans="1:16" x14ac:dyDescent="0.25">
      <c r="A1475" s="1348"/>
      <c r="B1475" s="1351" t="s">
        <v>4497</v>
      </c>
      <c r="C1475" s="1348">
        <v>91231</v>
      </c>
      <c r="H1475" s="1308"/>
      <c r="K1475" s="1308"/>
      <c r="P1475" s="1308"/>
    </row>
    <row r="1476" spans="1:16" x14ac:dyDescent="0.25">
      <c r="A1476" s="1348"/>
      <c r="B1476" s="1351" t="s">
        <v>2781</v>
      </c>
      <c r="C1476" s="1348">
        <v>91217</v>
      </c>
      <c r="H1476" s="1308"/>
      <c r="K1476" s="1308"/>
      <c r="P1476" s="1308"/>
    </row>
    <row r="1477" spans="1:16" x14ac:dyDescent="0.25">
      <c r="A1477" s="1348"/>
      <c r="B1477" s="1351" t="s">
        <v>2784</v>
      </c>
      <c r="C1477" s="1348">
        <v>91233</v>
      </c>
      <c r="H1477" s="1308"/>
      <c r="K1477" s="1308"/>
      <c r="P1477" s="1308"/>
    </row>
    <row r="1478" spans="1:16" x14ac:dyDescent="0.25">
      <c r="A1478" s="1348"/>
      <c r="B1478" s="1351" t="s">
        <v>4498</v>
      </c>
      <c r="C1478" s="1348">
        <v>99206</v>
      </c>
      <c r="H1478" s="1308"/>
      <c r="K1478" s="1308"/>
      <c r="P1478" s="1308"/>
    </row>
    <row r="1479" spans="1:16" x14ac:dyDescent="0.25">
      <c r="A1479" s="1348"/>
      <c r="B1479" s="1351" t="s">
        <v>4499</v>
      </c>
      <c r="C1479" s="1348">
        <v>90461</v>
      </c>
      <c r="H1479" s="1308"/>
      <c r="K1479" s="1308"/>
      <c r="P1479" s="1308"/>
    </row>
    <row r="1480" spans="1:16" x14ac:dyDescent="0.25">
      <c r="A1480" s="1348"/>
      <c r="B1480" s="1351" t="s">
        <v>4500</v>
      </c>
      <c r="C1480" s="1348">
        <v>98631</v>
      </c>
      <c r="H1480" s="1308"/>
      <c r="K1480" s="1308"/>
      <c r="P1480" s="1308"/>
    </row>
    <row r="1481" spans="1:16" x14ac:dyDescent="0.25">
      <c r="A1481" s="1348"/>
      <c r="B1481" s="1351" t="s">
        <v>3434</v>
      </c>
      <c r="C1481" s="1348">
        <v>98637</v>
      </c>
      <c r="H1481" s="1308"/>
      <c r="K1481" s="1308"/>
      <c r="P1481" s="1308"/>
    </row>
    <row r="1482" spans="1:16" x14ac:dyDescent="0.25">
      <c r="A1482" s="1348"/>
      <c r="B1482" s="1351" t="s">
        <v>4501</v>
      </c>
      <c r="C1482" s="1348">
        <v>96251</v>
      </c>
      <c r="H1482" s="1308"/>
      <c r="K1482" s="1308"/>
      <c r="P1482" s="1308"/>
    </row>
    <row r="1483" spans="1:16" x14ac:dyDescent="0.25">
      <c r="A1483" s="1348"/>
      <c r="B1483" s="1351" t="s">
        <v>4502</v>
      </c>
      <c r="C1483" s="1348">
        <v>93691</v>
      </c>
      <c r="H1483" s="1308"/>
      <c r="K1483" s="1308"/>
      <c r="P1483" s="1308"/>
    </row>
    <row r="1484" spans="1:16" x14ac:dyDescent="0.25">
      <c r="A1484" s="1348"/>
      <c r="B1484" s="1351" t="s">
        <v>4503</v>
      </c>
      <c r="C1484" s="1348">
        <v>99621</v>
      </c>
      <c r="H1484" s="1308"/>
      <c r="K1484" s="1308"/>
      <c r="P1484" s="1308"/>
    </row>
    <row r="1485" spans="1:16" x14ac:dyDescent="0.25">
      <c r="A1485" s="1348"/>
      <c r="B1485" s="1351" t="s">
        <v>4230</v>
      </c>
      <c r="C1485" s="1348">
        <v>99623</v>
      </c>
      <c r="H1485" s="1308"/>
      <c r="K1485" s="1308"/>
      <c r="P1485" s="1308"/>
    </row>
    <row r="1486" spans="1:16" x14ac:dyDescent="0.25">
      <c r="A1486" s="1348"/>
      <c r="B1486" s="1351" t="s">
        <v>4504</v>
      </c>
      <c r="C1486" s="1348">
        <v>91321</v>
      </c>
      <c r="H1486" s="1308"/>
      <c r="K1486" s="1308"/>
      <c r="P1486" s="1308"/>
    </row>
    <row r="1487" spans="1:16" x14ac:dyDescent="0.25">
      <c r="A1487" s="1348"/>
      <c r="B1487" s="1351" t="s">
        <v>4144</v>
      </c>
      <c r="C1487" s="1348">
        <v>91327</v>
      </c>
      <c r="H1487" s="1308"/>
      <c r="K1487" s="1308"/>
      <c r="P1487" s="1308"/>
    </row>
    <row r="1488" spans="1:16" x14ac:dyDescent="0.25">
      <c r="A1488" s="1348"/>
      <c r="B1488" s="1351" t="s">
        <v>4505</v>
      </c>
      <c r="C1488" s="1348">
        <v>94621</v>
      </c>
      <c r="H1488" s="1308"/>
      <c r="K1488" s="1308"/>
      <c r="P1488" s="1308"/>
    </row>
    <row r="1489" spans="1:16" x14ac:dyDescent="0.25">
      <c r="A1489" s="1348"/>
      <c r="B1489" s="1351" t="s">
        <v>4506</v>
      </c>
      <c r="C1489" s="1348">
        <v>92011</v>
      </c>
      <c r="H1489" s="1308"/>
      <c r="K1489" s="1308"/>
      <c r="P1489" s="1308"/>
    </row>
    <row r="1490" spans="1:16" x14ac:dyDescent="0.25">
      <c r="A1490" s="1348"/>
      <c r="B1490" s="1351" t="s">
        <v>2851</v>
      </c>
      <c r="C1490" s="1348">
        <v>92017</v>
      </c>
      <c r="H1490" s="1308"/>
      <c r="K1490" s="1308"/>
      <c r="P1490" s="1308"/>
    </row>
    <row r="1491" spans="1:16" x14ac:dyDescent="0.25">
      <c r="A1491" s="1348"/>
      <c r="B1491" s="1351" t="s">
        <v>3540</v>
      </c>
      <c r="C1491" s="1348">
        <v>99991</v>
      </c>
      <c r="H1491" s="1308"/>
      <c r="K1491" s="1308"/>
      <c r="P1491" s="1308"/>
    </row>
    <row r="1492" spans="1:16" x14ac:dyDescent="0.25">
      <c r="A1492" s="1348"/>
      <c r="B1492" s="1351" t="s">
        <v>3541</v>
      </c>
      <c r="C1492" s="1348">
        <v>99999</v>
      </c>
      <c r="H1492" s="1308"/>
      <c r="K1492" s="1308"/>
      <c r="P1492" s="1308"/>
    </row>
    <row r="1493" spans="1:16" x14ac:dyDescent="0.25">
      <c r="A1493" s="1348"/>
      <c r="B1493" s="1351" t="s">
        <v>4507</v>
      </c>
      <c r="C1493" s="1348">
        <v>92811</v>
      </c>
      <c r="H1493" s="1308"/>
      <c r="K1493" s="1308"/>
      <c r="P1493" s="1308"/>
    </row>
    <row r="1494" spans="1:16" x14ac:dyDescent="0.25">
      <c r="A1494" s="1348"/>
      <c r="B1494" s="1351" t="s">
        <v>2849</v>
      </c>
      <c r="C1494" s="1348">
        <v>92005</v>
      </c>
      <c r="H1494" s="1308"/>
      <c r="K1494" s="1308"/>
      <c r="P1494" s="1308"/>
    </row>
    <row r="1495" spans="1:16" x14ac:dyDescent="0.25">
      <c r="A1495" s="1348"/>
      <c r="B1495" s="1351" t="s">
        <v>3220</v>
      </c>
      <c r="C1495" s="1348">
        <v>96401</v>
      </c>
      <c r="H1495" s="1308"/>
      <c r="K1495" s="1308"/>
      <c r="P1495" s="1308"/>
    </row>
    <row r="1496" spans="1:16" x14ac:dyDescent="0.25">
      <c r="A1496" s="1348"/>
      <c r="B1496" s="1351" t="s">
        <v>3221</v>
      </c>
      <c r="C1496" s="1348">
        <v>96404</v>
      </c>
      <c r="H1496" s="1308"/>
      <c r="K1496" s="1308"/>
      <c r="P1496" s="1308"/>
    </row>
    <row r="1497" spans="1:16" x14ac:dyDescent="0.25">
      <c r="A1497" s="1348"/>
      <c r="B1497" s="1351" t="s">
        <v>4508</v>
      </c>
      <c r="C1497" s="1348">
        <v>96421</v>
      </c>
      <c r="H1497" s="1308"/>
      <c r="K1497" s="1308"/>
      <c r="P1497" s="1308"/>
    </row>
    <row r="1498" spans="1:16" x14ac:dyDescent="0.25">
      <c r="A1498" s="1348"/>
      <c r="B1498" s="1351" t="s">
        <v>4509</v>
      </c>
      <c r="C1498" s="1348">
        <v>91026</v>
      </c>
      <c r="H1498" s="1308"/>
      <c r="K1498" s="1308"/>
      <c r="P1498" s="1308"/>
    </row>
    <row r="1499" spans="1:16" x14ac:dyDescent="0.25">
      <c r="A1499" s="1348"/>
      <c r="B1499" s="1351" t="s">
        <v>3142</v>
      </c>
      <c r="C1499" s="1348">
        <v>95405</v>
      </c>
      <c r="H1499" s="1308"/>
      <c r="K1499" s="1308"/>
      <c r="P1499" s="1308"/>
    </row>
    <row r="1500" spans="1:16" x14ac:dyDescent="0.25">
      <c r="A1500" s="1348"/>
      <c r="B1500" s="1351" t="s">
        <v>3024</v>
      </c>
      <c r="C1500" s="1348">
        <v>94005</v>
      </c>
      <c r="H1500" s="1308"/>
      <c r="K1500" s="1308"/>
      <c r="P1500" s="1308"/>
    </row>
    <row r="1501" spans="1:16" x14ac:dyDescent="0.25">
      <c r="A1501" s="1348"/>
      <c r="B1501" s="1351" t="s">
        <v>3133</v>
      </c>
      <c r="C1501" s="1348">
        <v>95205</v>
      </c>
      <c r="H1501" s="1308"/>
      <c r="K1501" s="1308"/>
      <c r="P1501" s="1308"/>
    </row>
    <row r="1502" spans="1:16" x14ac:dyDescent="0.25">
      <c r="A1502" s="1348"/>
      <c r="B1502" s="1351" t="s">
        <v>2884</v>
      </c>
      <c r="C1502" s="1348">
        <v>92507</v>
      </c>
      <c r="H1502" s="1308"/>
      <c r="K1502" s="1308"/>
      <c r="P1502" s="1308"/>
    </row>
    <row r="1503" spans="1:16" x14ac:dyDescent="0.25">
      <c r="A1503" s="1348"/>
      <c r="B1503" s="1351" t="s">
        <v>4510</v>
      </c>
      <c r="C1503" s="1348">
        <v>92511</v>
      </c>
      <c r="H1503" s="1308"/>
      <c r="K1503" s="1308"/>
      <c r="P1503" s="1308"/>
    </row>
    <row r="1504" spans="1:16" x14ac:dyDescent="0.25">
      <c r="A1504" s="1348"/>
      <c r="B1504" s="1351" t="s">
        <v>4511</v>
      </c>
      <c r="C1504" s="1348">
        <v>92113</v>
      </c>
      <c r="H1504" s="1308"/>
      <c r="K1504" s="1308"/>
      <c r="P1504" s="1308"/>
    </row>
    <row r="1505" spans="1:16" x14ac:dyDescent="0.25">
      <c r="A1505" s="1348"/>
      <c r="B1505" s="1351" t="s">
        <v>4193</v>
      </c>
      <c r="C1505" s="1348">
        <v>96502</v>
      </c>
      <c r="H1505" s="1308"/>
      <c r="K1505" s="1308"/>
      <c r="P1505" s="1308"/>
    </row>
    <row r="1506" spans="1:16" x14ac:dyDescent="0.25">
      <c r="A1506" s="1348"/>
      <c r="B1506" s="1351" t="s">
        <v>3229</v>
      </c>
      <c r="C1506" s="1348">
        <v>96501</v>
      </c>
      <c r="H1506" s="1308"/>
      <c r="K1506" s="1308"/>
      <c r="P1506" s="1308"/>
    </row>
    <row r="1507" spans="1:16" x14ac:dyDescent="0.25">
      <c r="A1507" s="1348"/>
      <c r="B1507" s="1351" t="s">
        <v>3232</v>
      </c>
      <c r="C1507" s="1348">
        <v>96504</v>
      </c>
      <c r="H1507" s="1308"/>
      <c r="K1507" s="1308"/>
      <c r="P1507" s="1308"/>
    </row>
    <row r="1508" spans="1:16" x14ac:dyDescent="0.25">
      <c r="A1508" s="1348"/>
      <c r="B1508" s="1354" t="s">
        <v>4512</v>
      </c>
      <c r="C1508" s="1348">
        <v>98471</v>
      </c>
      <c r="H1508" s="1308"/>
      <c r="K1508" s="1308"/>
      <c r="P1508" s="1308"/>
    </row>
    <row r="1509" spans="1:16" x14ac:dyDescent="0.25">
      <c r="A1509" s="1348"/>
      <c r="B1509" s="1351" t="s">
        <v>4513</v>
      </c>
      <c r="C1509" s="1348">
        <v>97913</v>
      </c>
      <c r="H1509" s="1308"/>
      <c r="K1509" s="1308"/>
      <c r="P1509" s="1308"/>
    </row>
    <row r="1510" spans="1:16" x14ac:dyDescent="0.25">
      <c r="A1510" s="1348"/>
      <c r="B1510" s="1351" t="s">
        <v>4514</v>
      </c>
      <c r="C1510" s="1348">
        <v>90621</v>
      </c>
      <c r="H1510" s="1308"/>
      <c r="K1510" s="1308"/>
      <c r="P1510" s="1308"/>
    </row>
    <row r="1511" spans="1:16" x14ac:dyDescent="0.25">
      <c r="A1511" s="1348"/>
      <c r="B1511" s="1351" t="s">
        <v>4515</v>
      </c>
      <c r="C1511" s="1348">
        <v>91621</v>
      </c>
      <c r="H1511" s="1308"/>
      <c r="K1511" s="1308"/>
      <c r="P1511" s="1308"/>
    </row>
    <row r="1512" spans="1:16" x14ac:dyDescent="0.25">
      <c r="A1512" s="1348"/>
      <c r="B1512" s="1351" t="s">
        <v>4516</v>
      </c>
      <c r="C1512" s="1348">
        <v>91871</v>
      </c>
      <c r="H1512" s="1308"/>
      <c r="K1512" s="1308"/>
      <c r="P1512" s="1308"/>
    </row>
    <row r="1513" spans="1:16" x14ac:dyDescent="0.25">
      <c r="A1513" s="1348"/>
      <c r="B1513" s="1351" t="s">
        <v>4517</v>
      </c>
      <c r="C1513" s="1348">
        <v>98231</v>
      </c>
      <c r="H1513" s="1308"/>
      <c r="K1513" s="1308"/>
      <c r="P1513" s="1308"/>
    </row>
    <row r="1514" spans="1:16" x14ac:dyDescent="0.25">
      <c r="A1514" s="1348"/>
      <c r="B1514" s="1351" t="s">
        <v>4518</v>
      </c>
      <c r="C1514" s="1348">
        <v>99311</v>
      </c>
      <c r="H1514" s="1308"/>
      <c r="K1514" s="1308"/>
      <c r="P1514" s="1308"/>
    </row>
    <row r="1515" spans="1:16" x14ac:dyDescent="0.25">
      <c r="A1515" s="1348"/>
      <c r="B1515" s="1351" t="s">
        <v>4519</v>
      </c>
      <c r="C1515" s="1348">
        <v>96751</v>
      </c>
      <c r="H1515" s="1308"/>
      <c r="K1515" s="1308"/>
      <c r="P1515" s="1308"/>
    </row>
    <row r="1516" spans="1:16" x14ac:dyDescent="0.25">
      <c r="A1516" s="1348"/>
      <c r="B1516" s="1351" t="s">
        <v>4520</v>
      </c>
      <c r="C1516" s="1348">
        <v>99711</v>
      </c>
      <c r="H1516" s="1308"/>
      <c r="K1516" s="1308"/>
      <c r="P1516" s="1308"/>
    </row>
    <row r="1517" spans="1:16" x14ac:dyDescent="0.25">
      <c r="A1517" s="1348"/>
      <c r="B1517" s="1351" t="s">
        <v>4521</v>
      </c>
      <c r="C1517" s="1348">
        <v>99717</v>
      </c>
      <c r="H1517" s="1308"/>
      <c r="K1517" s="1308"/>
      <c r="P1517" s="1308"/>
    </row>
    <row r="1518" spans="1:16" x14ac:dyDescent="0.25">
      <c r="A1518" s="1348"/>
      <c r="B1518" s="1351" t="s">
        <v>3241</v>
      </c>
      <c r="C1518" s="1348">
        <v>96601</v>
      </c>
      <c r="H1518" s="1308"/>
      <c r="K1518" s="1308"/>
      <c r="P1518" s="1308"/>
    </row>
    <row r="1519" spans="1:16" x14ac:dyDescent="0.25">
      <c r="A1519" s="1348"/>
      <c r="B1519" s="1351" t="s">
        <v>3242</v>
      </c>
      <c r="C1519" s="1348">
        <v>96604</v>
      </c>
      <c r="H1519" s="1308"/>
      <c r="K1519" s="1308"/>
      <c r="P1519" s="1308"/>
    </row>
    <row r="1520" spans="1:16" x14ac:dyDescent="0.25">
      <c r="A1520" s="1348"/>
      <c r="B1520" s="1351" t="s">
        <v>4522</v>
      </c>
      <c r="C1520" s="1348">
        <v>91012</v>
      </c>
      <c r="H1520" s="1308"/>
      <c r="K1520" s="1308"/>
      <c r="P1520" s="1308"/>
    </row>
    <row r="1521" spans="1:16" x14ac:dyDescent="0.25">
      <c r="A1521" s="1348"/>
      <c r="B1521" s="1351" t="s">
        <v>2679</v>
      </c>
      <c r="C1521" s="1348">
        <v>90305</v>
      </c>
      <c r="H1521" s="1308"/>
      <c r="K1521" s="1308"/>
      <c r="P1521" s="1308"/>
    </row>
    <row r="1522" spans="1:16" x14ac:dyDescent="0.25">
      <c r="A1522" s="1348"/>
      <c r="B1522" s="1351" t="s">
        <v>4523</v>
      </c>
      <c r="C1522" s="1348">
        <v>98421</v>
      </c>
      <c r="H1522" s="1308"/>
      <c r="K1522" s="1308"/>
      <c r="P1522" s="1308"/>
    </row>
    <row r="1523" spans="1:16" x14ac:dyDescent="0.25">
      <c r="A1523" s="1348"/>
      <c r="B1523" s="1351" t="s">
        <v>4216</v>
      </c>
      <c r="C1523" s="1348">
        <v>98427</v>
      </c>
      <c r="H1523" s="1308"/>
      <c r="K1523" s="1308"/>
      <c r="P1523" s="1308"/>
    </row>
    <row r="1524" spans="1:16" x14ac:dyDescent="0.25">
      <c r="A1524" s="1348"/>
      <c r="B1524" s="1351" t="s">
        <v>4524</v>
      </c>
      <c r="C1524" s="1348">
        <v>95821</v>
      </c>
      <c r="H1524" s="1308"/>
      <c r="K1524" s="1308"/>
      <c r="P1524" s="1308"/>
    </row>
    <row r="1525" spans="1:16" x14ac:dyDescent="0.25">
      <c r="A1525" s="1348"/>
      <c r="B1525" s="1351" t="s">
        <v>4525</v>
      </c>
      <c r="C1525" s="1348">
        <v>91021</v>
      </c>
      <c r="H1525" s="1308"/>
      <c r="K1525" s="1308"/>
      <c r="P1525" s="1308"/>
    </row>
    <row r="1526" spans="1:16" x14ac:dyDescent="0.25">
      <c r="A1526" s="1348"/>
      <c r="B1526" s="1351" t="s">
        <v>4130</v>
      </c>
      <c r="C1526" s="1348">
        <v>91027</v>
      </c>
      <c r="H1526" s="1308"/>
      <c r="K1526" s="1308"/>
      <c r="P1526" s="1308"/>
    </row>
    <row r="1527" spans="1:16" x14ac:dyDescent="0.25">
      <c r="A1527" s="1348"/>
      <c r="B1527" s="1351" t="s">
        <v>4526</v>
      </c>
      <c r="C1527" s="1348">
        <v>94161</v>
      </c>
      <c r="H1527" s="1308"/>
      <c r="K1527" s="1308"/>
      <c r="P1527" s="1308"/>
    </row>
    <row r="1528" spans="1:16" x14ac:dyDescent="0.25">
      <c r="A1528" s="1348"/>
      <c r="B1528" s="1351" t="s">
        <v>4527</v>
      </c>
      <c r="C1528" s="1348">
        <v>98441</v>
      </c>
      <c r="H1528" s="1308"/>
      <c r="K1528" s="1308"/>
      <c r="P1528" s="1308"/>
    </row>
    <row r="1529" spans="1:16" x14ac:dyDescent="0.25">
      <c r="A1529" s="1348"/>
      <c r="B1529" s="1351" t="s">
        <v>4528</v>
      </c>
      <c r="C1529" s="1348">
        <v>91061</v>
      </c>
      <c r="H1529" s="1308"/>
      <c r="K1529" s="1308"/>
      <c r="P1529" s="1308"/>
    </row>
    <row r="1530" spans="1:16" x14ac:dyDescent="0.25">
      <c r="A1530" s="1348"/>
      <c r="B1530" s="1351" t="s">
        <v>2750</v>
      </c>
      <c r="C1530" s="1348">
        <v>91067</v>
      </c>
      <c r="H1530" s="1308"/>
      <c r="K1530" s="1308"/>
      <c r="P1530" s="1308"/>
    </row>
    <row r="1531" spans="1:16" x14ac:dyDescent="0.25">
      <c r="A1531" s="1348"/>
      <c r="B1531" s="1351" t="s">
        <v>4180</v>
      </c>
      <c r="C1531" s="1348">
        <v>94812</v>
      </c>
      <c r="H1531" s="1308"/>
      <c r="K1531" s="1308"/>
      <c r="P1531" s="1308"/>
    </row>
    <row r="1532" spans="1:16" x14ac:dyDescent="0.25">
      <c r="A1532" s="1348"/>
      <c r="B1532" s="1351" t="s">
        <v>4529</v>
      </c>
      <c r="C1532" s="1348">
        <v>95921</v>
      </c>
      <c r="H1532" s="1308"/>
      <c r="K1532" s="1308"/>
      <c r="P1532" s="1308"/>
    </row>
    <row r="1533" spans="1:16" x14ac:dyDescent="0.25">
      <c r="A1533" s="1348"/>
      <c r="B1533" s="1351" t="s">
        <v>3252</v>
      </c>
      <c r="C1533" s="1348">
        <v>96701</v>
      </c>
      <c r="H1533" s="1308"/>
      <c r="K1533" s="1308"/>
      <c r="P1533" s="1308"/>
    </row>
    <row r="1534" spans="1:16" x14ac:dyDescent="0.25">
      <c r="A1534" s="1348"/>
      <c r="B1534" s="1351" t="s">
        <v>3253</v>
      </c>
      <c r="C1534" s="1348">
        <v>96704</v>
      </c>
      <c r="H1534" s="1308"/>
      <c r="K1534" s="1308"/>
      <c r="P1534" s="1308"/>
    </row>
    <row r="1535" spans="1:16" x14ac:dyDescent="0.25">
      <c r="A1535" s="1348"/>
      <c r="B1535" s="1351" t="s">
        <v>3254</v>
      </c>
      <c r="C1535" s="1348">
        <v>96708</v>
      </c>
      <c r="H1535" s="1308"/>
      <c r="K1535" s="1308"/>
      <c r="P1535" s="1308"/>
    </row>
    <row r="1536" spans="1:16" x14ac:dyDescent="0.25">
      <c r="A1536" s="1348"/>
      <c r="B1536" s="1351" t="s">
        <v>3261</v>
      </c>
      <c r="C1536" s="1348">
        <v>96801</v>
      </c>
      <c r="H1536" s="1308"/>
      <c r="K1536" s="1308"/>
      <c r="P1536" s="1308"/>
    </row>
    <row r="1537" spans="1:16" x14ac:dyDescent="0.25">
      <c r="A1537" s="1348"/>
      <c r="B1537" s="1351" t="s">
        <v>3262</v>
      </c>
      <c r="C1537" s="1348">
        <v>96804</v>
      </c>
      <c r="H1537" s="1308"/>
      <c r="K1537" s="1308"/>
      <c r="P1537" s="1308"/>
    </row>
    <row r="1538" spans="1:16" x14ac:dyDescent="0.25">
      <c r="A1538" s="1348"/>
      <c r="B1538" s="1351" t="s">
        <v>3263</v>
      </c>
      <c r="C1538" s="1348">
        <v>96808</v>
      </c>
      <c r="H1538" s="1308"/>
      <c r="K1538" s="1308"/>
      <c r="P1538" s="1308"/>
    </row>
    <row r="1539" spans="1:16" x14ac:dyDescent="0.25">
      <c r="A1539" s="1348"/>
      <c r="B1539" s="1351" t="s">
        <v>4530</v>
      </c>
      <c r="C1539" s="1348">
        <v>96912</v>
      </c>
      <c r="H1539" s="1308"/>
      <c r="K1539" s="1308"/>
      <c r="P1539" s="1308"/>
    </row>
    <row r="1540" spans="1:16" x14ac:dyDescent="0.25">
      <c r="A1540" s="1348"/>
      <c r="B1540" s="1351" t="s">
        <v>4531</v>
      </c>
      <c r="C1540" s="1348">
        <v>93911</v>
      </c>
      <c r="H1540" s="1308"/>
      <c r="K1540" s="1308"/>
      <c r="P1540" s="1308"/>
    </row>
    <row r="1541" spans="1:16" x14ac:dyDescent="0.25">
      <c r="A1541" s="1348"/>
      <c r="B1541" s="1351" t="s">
        <v>3017</v>
      </c>
      <c r="C1541" s="1348">
        <v>93913</v>
      </c>
      <c r="H1541" s="1308"/>
      <c r="K1541" s="1308"/>
      <c r="P1541" s="1308"/>
    </row>
    <row r="1542" spans="1:16" x14ac:dyDescent="0.25">
      <c r="A1542" s="1348"/>
      <c r="B1542" s="1351" t="s">
        <v>3267</v>
      </c>
      <c r="C1542" s="1348">
        <v>96901</v>
      </c>
      <c r="H1542" s="1308"/>
      <c r="K1542" s="1308"/>
      <c r="P1542" s="1308"/>
    </row>
    <row r="1543" spans="1:16" x14ac:dyDescent="0.25">
      <c r="A1543" s="1348"/>
      <c r="B1543" s="1351" t="s">
        <v>4532</v>
      </c>
      <c r="C1543" s="1348">
        <v>97841</v>
      </c>
      <c r="H1543" s="1308"/>
      <c r="K1543" s="1308"/>
      <c r="P1543" s="1308"/>
    </row>
    <row r="1544" spans="1:16" x14ac:dyDescent="0.25">
      <c r="A1544" s="1348"/>
      <c r="B1544" s="1351" t="s">
        <v>2948</v>
      </c>
      <c r="C1544" s="1348">
        <v>93202</v>
      </c>
      <c r="H1544" s="1308"/>
      <c r="K1544" s="1308"/>
      <c r="P1544" s="1308"/>
    </row>
    <row r="1545" spans="1:16" x14ac:dyDescent="0.25">
      <c r="A1545" s="1348"/>
      <c r="B1545" s="1351" t="s">
        <v>2990</v>
      </c>
      <c r="C1545" s="1348">
        <v>93609</v>
      </c>
      <c r="H1545" s="1308"/>
      <c r="K1545" s="1308"/>
      <c r="P1545" s="1308"/>
    </row>
    <row r="1546" spans="1:16" x14ac:dyDescent="0.25">
      <c r="A1546" s="1348"/>
      <c r="B1546" s="1351" t="s">
        <v>3273</v>
      </c>
      <c r="C1546" s="1348">
        <v>97004</v>
      </c>
      <c r="H1546" s="1308"/>
      <c r="K1546" s="1308"/>
      <c r="P1546" s="1308"/>
    </row>
    <row r="1547" spans="1:16" x14ac:dyDescent="0.25">
      <c r="A1547" s="1348"/>
      <c r="B1547" s="1351" t="s">
        <v>3271</v>
      </c>
      <c r="C1547" s="1348">
        <v>97001</v>
      </c>
      <c r="H1547" s="1308"/>
      <c r="K1547" s="1308"/>
      <c r="P1547" s="1308"/>
    </row>
    <row r="1548" spans="1:16" x14ac:dyDescent="0.25">
      <c r="A1548" s="1348"/>
      <c r="B1548" s="1351" t="s">
        <v>3272</v>
      </c>
      <c r="C1548" s="1348">
        <v>97002</v>
      </c>
      <c r="H1548" s="1308"/>
      <c r="K1548" s="1308"/>
      <c r="P1548" s="1308"/>
    </row>
    <row r="1549" spans="1:16" x14ac:dyDescent="0.25">
      <c r="A1549" s="1348"/>
      <c r="B1549" s="1351" t="s">
        <v>3280</v>
      </c>
      <c r="C1549" s="1348">
        <v>97015</v>
      </c>
      <c r="H1549" s="1308"/>
      <c r="K1549" s="1308"/>
      <c r="P1549" s="1308"/>
    </row>
    <row r="1550" spans="1:16" x14ac:dyDescent="0.25">
      <c r="A1550" s="1348"/>
      <c r="B1550" s="1351" t="s">
        <v>4533</v>
      </c>
      <c r="C1550" s="1348">
        <v>90441</v>
      </c>
      <c r="H1550" s="1308"/>
      <c r="K1550" s="1308"/>
      <c r="P1550" s="1308"/>
    </row>
    <row r="1551" spans="1:16" x14ac:dyDescent="0.25">
      <c r="A1551" s="1348"/>
      <c r="B1551" s="1351" t="s">
        <v>4534</v>
      </c>
      <c r="C1551" s="1348">
        <v>97851</v>
      </c>
      <c r="H1551" s="1308"/>
      <c r="K1551" s="1308"/>
      <c r="P1551" s="1308"/>
    </row>
    <row r="1552" spans="1:16" x14ac:dyDescent="0.25">
      <c r="A1552" s="1348"/>
      <c r="B1552" s="1351" t="s">
        <v>3352</v>
      </c>
      <c r="C1552" s="1348">
        <v>97853</v>
      </c>
      <c r="H1552" s="1308"/>
      <c r="K1552" s="1308"/>
      <c r="P1552" s="1308"/>
    </row>
    <row r="1553" spans="1:16" x14ac:dyDescent="0.25">
      <c r="A1553" s="1348"/>
      <c r="B1553" s="1351" t="s">
        <v>3282</v>
      </c>
      <c r="C1553" s="1348">
        <v>97101</v>
      </c>
      <c r="H1553" s="1308"/>
      <c r="K1553" s="1308"/>
      <c r="P1553" s="1308"/>
    </row>
    <row r="1554" spans="1:16" x14ac:dyDescent="0.25">
      <c r="A1554" s="1348"/>
      <c r="B1554" s="1351" t="s">
        <v>3283</v>
      </c>
      <c r="C1554" s="1348">
        <v>97104</v>
      </c>
      <c r="H1554" s="1308"/>
      <c r="K1554" s="1308"/>
      <c r="P1554" s="1308"/>
    </row>
    <row r="1555" spans="1:16" x14ac:dyDescent="0.25">
      <c r="A1555" s="1348"/>
      <c r="B1555" s="1351" t="s">
        <v>3287</v>
      </c>
      <c r="C1555" s="1348">
        <v>97201</v>
      </c>
      <c r="H1555" s="1308"/>
      <c r="K1555" s="1308"/>
      <c r="P1555" s="1308"/>
    </row>
    <row r="1556" spans="1:16" x14ac:dyDescent="0.25">
      <c r="A1556" s="1348"/>
      <c r="B1556" s="1351" t="s">
        <v>4535</v>
      </c>
      <c r="C1556" s="1348">
        <v>97304</v>
      </c>
      <c r="H1556" s="1308"/>
      <c r="K1556" s="1308"/>
      <c r="P1556" s="1308"/>
    </row>
    <row r="1557" spans="1:16" x14ac:dyDescent="0.25">
      <c r="A1557" s="1348"/>
      <c r="B1557" s="1351" t="s">
        <v>3292</v>
      </c>
      <c r="C1557" s="1348">
        <v>97301</v>
      </c>
      <c r="H1557" s="1308"/>
      <c r="K1557" s="1308"/>
      <c r="P1557" s="1308"/>
    </row>
    <row r="1558" spans="1:16" x14ac:dyDescent="0.25">
      <c r="A1558" s="1348"/>
      <c r="B1558" s="1351" t="s">
        <v>3493</v>
      </c>
      <c r="C1558" s="1348">
        <v>99405</v>
      </c>
      <c r="H1558" s="1308"/>
      <c r="K1558" s="1308"/>
      <c r="P1558" s="1308"/>
    </row>
    <row r="1559" spans="1:16" x14ac:dyDescent="0.25">
      <c r="A1559" s="1348"/>
      <c r="B1559" s="1351" t="s">
        <v>2655</v>
      </c>
      <c r="C1559" s="1353">
        <v>72265</v>
      </c>
      <c r="H1559" s="1308"/>
      <c r="K1559" s="1308"/>
      <c r="P1559" s="1308"/>
    </row>
    <row r="1560" spans="1:16" x14ac:dyDescent="0.25">
      <c r="A1560" s="1348"/>
      <c r="B1560" s="1351" t="s">
        <v>4536</v>
      </c>
      <c r="C1560" s="1348">
        <v>94112</v>
      </c>
      <c r="H1560" s="1308"/>
      <c r="K1560" s="1308"/>
      <c r="P1560" s="1308"/>
    </row>
    <row r="1561" spans="1:16" x14ac:dyDescent="0.25">
      <c r="A1561" s="1348"/>
      <c r="B1561" s="1351" t="s">
        <v>2968</v>
      </c>
      <c r="C1561" s="1348">
        <v>93406</v>
      </c>
      <c r="H1561" s="1308"/>
      <c r="K1561" s="1308"/>
      <c r="P1561" s="1308"/>
    </row>
    <row r="1562" spans="1:16" x14ac:dyDescent="0.25">
      <c r="A1562" s="1348"/>
      <c r="B1562" s="1351" t="s">
        <v>4537</v>
      </c>
      <c r="C1562" s="1348">
        <v>99651</v>
      </c>
      <c r="H1562" s="1308"/>
      <c r="K1562" s="1308"/>
      <c r="P1562" s="1308"/>
    </row>
    <row r="1563" spans="1:16" x14ac:dyDescent="0.25">
      <c r="A1563" s="1348"/>
      <c r="B1563" s="1351" t="s">
        <v>4538</v>
      </c>
      <c r="C1563" s="1348">
        <v>98611</v>
      </c>
      <c r="H1563" s="1308"/>
      <c r="K1563" s="1308"/>
      <c r="P1563" s="1308"/>
    </row>
    <row r="1564" spans="1:16" x14ac:dyDescent="0.25">
      <c r="A1564" s="1348"/>
      <c r="B1564" s="1351" t="s">
        <v>3428</v>
      </c>
      <c r="C1564" s="1348">
        <v>98607</v>
      </c>
      <c r="H1564" s="1308"/>
      <c r="K1564" s="1308"/>
      <c r="P1564" s="1308"/>
    </row>
    <row r="1565" spans="1:16" x14ac:dyDescent="0.25">
      <c r="A1565" s="1348"/>
      <c r="B1565" s="1351" t="s">
        <v>4539</v>
      </c>
      <c r="C1565" s="1348">
        <v>91641</v>
      </c>
      <c r="H1565" s="1308"/>
      <c r="K1565" s="1308"/>
      <c r="P1565" s="1308"/>
    </row>
    <row r="1566" spans="1:16" x14ac:dyDescent="0.25">
      <c r="A1566" s="1348"/>
      <c r="B1566" s="1351" t="s">
        <v>4540</v>
      </c>
      <c r="C1566" s="1348">
        <v>95161</v>
      </c>
      <c r="H1566" s="1308"/>
      <c r="K1566" s="1308"/>
      <c r="P1566" s="1308"/>
    </row>
    <row r="1567" spans="1:16" x14ac:dyDescent="0.25">
      <c r="A1567" s="1348"/>
      <c r="B1567" s="1351" t="s">
        <v>4541</v>
      </c>
      <c r="C1567" s="1348">
        <v>96361</v>
      </c>
      <c r="H1567" s="1308"/>
      <c r="K1567" s="1308"/>
      <c r="P1567" s="1308"/>
    </row>
    <row r="1568" spans="1:16" x14ac:dyDescent="0.25">
      <c r="A1568" s="1348"/>
      <c r="B1568" s="1351" t="s">
        <v>3030</v>
      </c>
      <c r="C1568" s="1348">
        <v>94108</v>
      </c>
      <c r="H1568" s="1308"/>
      <c r="K1568" s="1308"/>
      <c r="P1568" s="1308"/>
    </row>
    <row r="1569" spans="1:16" x14ac:dyDescent="0.25">
      <c r="A1569" s="1348"/>
      <c r="B1569" s="1351" t="s">
        <v>4542</v>
      </c>
      <c r="C1569" s="1348">
        <v>96351</v>
      </c>
      <c r="H1569" s="1308"/>
      <c r="K1569" s="1308"/>
      <c r="P1569" s="1308"/>
    </row>
    <row r="1570" spans="1:16" x14ac:dyDescent="0.25">
      <c r="A1570" s="1348"/>
      <c r="B1570" s="1351" t="s">
        <v>4543</v>
      </c>
      <c r="C1570" s="1348">
        <v>93331</v>
      </c>
      <c r="H1570" s="1308"/>
      <c r="K1570" s="1308"/>
      <c r="P1570" s="1308"/>
    </row>
    <row r="1571" spans="1:16" x14ac:dyDescent="0.25">
      <c r="A1571" s="1348"/>
      <c r="B1571" s="1351" t="s">
        <v>4544</v>
      </c>
      <c r="C1571" s="1348">
        <v>96021</v>
      </c>
      <c r="H1571" s="1308"/>
      <c r="K1571" s="1308"/>
      <c r="P1571" s="1308"/>
    </row>
    <row r="1572" spans="1:16" x14ac:dyDescent="0.25">
      <c r="A1572" s="1348"/>
      <c r="B1572" s="1351" t="s">
        <v>4545</v>
      </c>
      <c r="C1572" s="1348">
        <v>95421</v>
      </c>
      <c r="H1572" s="1308"/>
      <c r="K1572" s="1308"/>
      <c r="P1572" s="1308"/>
    </row>
    <row r="1573" spans="1:16" x14ac:dyDescent="0.25">
      <c r="A1573" s="1348"/>
      <c r="B1573" s="1351" t="s">
        <v>3295</v>
      </c>
      <c r="C1573" s="1348">
        <v>97401</v>
      </c>
      <c r="H1573" s="1308"/>
      <c r="K1573" s="1308"/>
      <c r="P1573" s="1308"/>
    </row>
    <row r="1574" spans="1:16" x14ac:dyDescent="0.25">
      <c r="A1574" s="1348"/>
      <c r="B1574" s="1351" t="s">
        <v>3297</v>
      </c>
      <c r="C1574" s="1348">
        <v>97404</v>
      </c>
      <c r="H1574" s="1308"/>
      <c r="K1574" s="1308"/>
      <c r="P1574" s="1308"/>
    </row>
    <row r="1575" spans="1:16" x14ac:dyDescent="0.25">
      <c r="A1575" s="1348"/>
      <c r="B1575" s="1351" t="s">
        <v>4546</v>
      </c>
      <c r="C1575" s="1348">
        <v>97402</v>
      </c>
      <c r="H1575" s="1308"/>
      <c r="K1575" s="1308"/>
      <c r="P1575" s="1308"/>
    </row>
    <row r="1576" spans="1:16" x14ac:dyDescent="0.25">
      <c r="A1576" s="1348"/>
      <c r="B1576" s="1351" t="s">
        <v>4547</v>
      </c>
      <c r="C1576" s="1348">
        <v>91921</v>
      </c>
      <c r="H1576" s="1308"/>
      <c r="K1576" s="1308"/>
      <c r="P1576" s="1308"/>
    </row>
    <row r="1577" spans="1:16" x14ac:dyDescent="0.25">
      <c r="A1577" s="1348"/>
      <c r="B1577" s="1351" t="s">
        <v>3173</v>
      </c>
      <c r="C1577" s="1348">
        <v>95908</v>
      </c>
      <c r="H1577" s="1308"/>
      <c r="K1577" s="1308"/>
      <c r="P1577" s="1308"/>
    </row>
    <row r="1578" spans="1:16" x14ac:dyDescent="0.25">
      <c r="A1578" s="1348"/>
      <c r="B1578" s="1351" t="s">
        <v>4548</v>
      </c>
      <c r="C1578" s="1348">
        <v>99411</v>
      </c>
      <c r="H1578" s="1308"/>
      <c r="K1578" s="1308"/>
      <c r="P1578" s="1308"/>
    </row>
    <row r="1579" spans="1:16" x14ac:dyDescent="0.25">
      <c r="A1579" s="1348"/>
      <c r="B1579" s="1351" t="s">
        <v>3495</v>
      </c>
      <c r="C1579" s="1348">
        <v>99413</v>
      </c>
      <c r="H1579" s="1308"/>
      <c r="K1579" s="1308"/>
      <c r="P1579" s="1308"/>
    </row>
    <row r="1580" spans="1:16" x14ac:dyDescent="0.25">
      <c r="A1580" s="1348"/>
      <c r="B1580" s="1351" t="s">
        <v>3313</v>
      </c>
      <c r="C1580" s="1348">
        <v>97501</v>
      </c>
      <c r="H1580" s="1308"/>
      <c r="K1580" s="1308"/>
      <c r="P1580" s="1308"/>
    </row>
    <row r="1581" spans="1:16" x14ac:dyDescent="0.25">
      <c r="A1581" s="1348"/>
      <c r="B1581" s="1351" t="s">
        <v>4549</v>
      </c>
      <c r="C1581" s="1348">
        <v>90431</v>
      </c>
      <c r="H1581" s="1308"/>
      <c r="K1581" s="1308"/>
      <c r="P1581" s="1308"/>
    </row>
    <row r="1582" spans="1:16" x14ac:dyDescent="0.25">
      <c r="A1582" s="1348"/>
      <c r="B1582" s="1351" t="s">
        <v>4550</v>
      </c>
      <c r="C1582" s="1348">
        <v>95211</v>
      </c>
      <c r="H1582" s="1308"/>
      <c r="K1582" s="1308"/>
      <c r="P1582" s="1308"/>
    </row>
    <row r="1583" spans="1:16" x14ac:dyDescent="0.25">
      <c r="A1583" s="1348"/>
      <c r="B1583" s="1351" t="s">
        <v>4551</v>
      </c>
      <c r="C1583" s="1348">
        <v>95181</v>
      </c>
      <c r="H1583" s="1308"/>
      <c r="K1583" s="1308"/>
      <c r="P1583" s="1308"/>
    </row>
    <row r="1584" spans="1:16" x14ac:dyDescent="0.25">
      <c r="A1584" s="1348"/>
      <c r="B1584" s="1351" t="s">
        <v>4552</v>
      </c>
      <c r="C1584" s="1348">
        <v>93351</v>
      </c>
      <c r="H1584" s="1308"/>
      <c r="K1584" s="1308"/>
      <c r="P1584" s="1308"/>
    </row>
    <row r="1585" spans="1:16" x14ac:dyDescent="0.25">
      <c r="A1585" s="1348"/>
      <c r="B1585" s="1351" t="s">
        <v>3116</v>
      </c>
      <c r="C1585" s="1348">
        <v>95105</v>
      </c>
      <c r="H1585" s="1308"/>
      <c r="K1585" s="1308"/>
      <c r="P1585" s="1308"/>
    </row>
    <row r="1586" spans="1:16" x14ac:dyDescent="0.25">
      <c r="A1586" s="1348"/>
      <c r="B1586" s="1351" t="s">
        <v>4553</v>
      </c>
      <c r="C1586" s="1348">
        <v>94711</v>
      </c>
      <c r="H1586" s="1308"/>
      <c r="K1586" s="1308"/>
      <c r="P1586" s="1308"/>
    </row>
    <row r="1587" spans="1:16" x14ac:dyDescent="0.25">
      <c r="A1587" s="1348"/>
      <c r="B1587" s="1351" t="s">
        <v>4554</v>
      </c>
      <c r="C1587" s="1348">
        <v>99211</v>
      </c>
      <c r="H1587" s="1308"/>
      <c r="K1587" s="1308"/>
      <c r="P1587" s="1308"/>
    </row>
    <row r="1588" spans="1:16" x14ac:dyDescent="0.25">
      <c r="A1588" s="1348"/>
      <c r="B1588" s="1351" t="s">
        <v>4555</v>
      </c>
      <c r="C1588" s="1348">
        <v>99213</v>
      </c>
      <c r="H1588" s="1308"/>
      <c r="K1588" s="1308"/>
      <c r="P1588" s="1308"/>
    </row>
    <row r="1589" spans="1:16" x14ac:dyDescent="0.25">
      <c r="A1589" s="1348"/>
      <c r="B1589" s="1351" t="s">
        <v>3476</v>
      </c>
      <c r="C1589" s="1348">
        <v>99218</v>
      </c>
      <c r="H1589" s="1308"/>
      <c r="K1589" s="1308"/>
      <c r="P1589" s="1308"/>
    </row>
    <row r="1590" spans="1:16" x14ac:dyDescent="0.25">
      <c r="A1590" s="1348"/>
      <c r="B1590" s="1351" t="s">
        <v>4556</v>
      </c>
      <c r="C1590" s="1348">
        <v>97641</v>
      </c>
      <c r="H1590" s="1308"/>
      <c r="K1590" s="1308"/>
      <c r="P1590" s="1308"/>
    </row>
    <row r="1591" spans="1:16" x14ac:dyDescent="0.25">
      <c r="A1591" s="1348"/>
      <c r="B1591" s="1351" t="s">
        <v>4557</v>
      </c>
      <c r="C1591" s="1348">
        <v>97621</v>
      </c>
      <c r="H1591" s="1308"/>
      <c r="K1591" s="1308"/>
      <c r="P1591" s="1308"/>
    </row>
    <row r="1592" spans="1:16" x14ac:dyDescent="0.25">
      <c r="A1592" s="1348"/>
      <c r="B1592" s="1351" t="s">
        <v>4558</v>
      </c>
      <c r="C1592" s="1348">
        <v>97627</v>
      </c>
      <c r="H1592" s="1308"/>
      <c r="K1592" s="1308"/>
      <c r="P1592" s="1308"/>
    </row>
    <row r="1593" spans="1:16" x14ac:dyDescent="0.25">
      <c r="A1593" s="1348"/>
      <c r="B1593" s="1351" t="s">
        <v>4559</v>
      </c>
      <c r="C1593" s="1348">
        <v>97623</v>
      </c>
      <c r="H1593" s="1308"/>
      <c r="K1593" s="1308"/>
      <c r="P1593" s="1308"/>
    </row>
    <row r="1594" spans="1:16" x14ac:dyDescent="0.25">
      <c r="A1594" s="1348"/>
      <c r="B1594" s="1351" t="s">
        <v>3317</v>
      </c>
      <c r="C1594" s="1348">
        <v>97601</v>
      </c>
      <c r="H1594" s="1308"/>
      <c r="K1594" s="1308"/>
      <c r="P1594" s="1308"/>
    </row>
    <row r="1595" spans="1:16" x14ac:dyDescent="0.25">
      <c r="A1595" s="1348"/>
      <c r="B1595" s="1351" t="s">
        <v>4560</v>
      </c>
      <c r="C1595" s="1348">
        <v>93681</v>
      </c>
      <c r="H1595" s="1308"/>
      <c r="K1595" s="1308"/>
      <c r="P1595" s="1308"/>
    </row>
    <row r="1596" spans="1:16" x14ac:dyDescent="0.25">
      <c r="A1596" s="1348"/>
      <c r="B1596" s="1351" t="s">
        <v>4561</v>
      </c>
      <c r="C1596" s="1348">
        <v>97871</v>
      </c>
      <c r="H1596" s="1308"/>
      <c r="K1596" s="1308"/>
      <c r="P1596" s="1308"/>
    </row>
    <row r="1597" spans="1:16" x14ac:dyDescent="0.25">
      <c r="A1597" s="1348"/>
      <c r="B1597" s="1351" t="s">
        <v>3355</v>
      </c>
      <c r="C1597" s="1348">
        <v>97877</v>
      </c>
      <c r="H1597" s="1308"/>
      <c r="K1597" s="1308"/>
      <c r="P1597" s="1308"/>
    </row>
    <row r="1598" spans="1:16" x14ac:dyDescent="0.25">
      <c r="A1598" s="1348"/>
      <c r="B1598" s="1351" t="s">
        <v>3499</v>
      </c>
      <c r="C1598" s="1348">
        <v>99502</v>
      </c>
      <c r="H1598" s="1308"/>
      <c r="K1598" s="1308"/>
      <c r="P1598" s="1308"/>
    </row>
    <row r="1599" spans="1:16" x14ac:dyDescent="0.25">
      <c r="A1599" s="1348"/>
      <c r="B1599" s="1351" t="s">
        <v>4562</v>
      </c>
      <c r="C1599" s="1348">
        <v>97911</v>
      </c>
      <c r="H1599" s="1308"/>
      <c r="K1599" s="1308"/>
      <c r="P1599" s="1308"/>
    </row>
    <row r="1600" spans="1:16" x14ac:dyDescent="0.25">
      <c r="A1600" s="1348"/>
      <c r="B1600" s="1351" t="s">
        <v>3359</v>
      </c>
      <c r="C1600" s="1348">
        <v>97917</v>
      </c>
      <c r="H1600" s="1308"/>
      <c r="K1600" s="1308"/>
      <c r="P1600" s="1308"/>
    </row>
    <row r="1601" spans="1:16" x14ac:dyDescent="0.25">
      <c r="A1601" s="1348"/>
      <c r="B1601" s="1351" t="s">
        <v>4563</v>
      </c>
      <c r="C1601" s="1348">
        <v>96611</v>
      </c>
      <c r="H1601" s="1308"/>
      <c r="K1601" s="1308"/>
      <c r="P1601" s="1308"/>
    </row>
    <row r="1602" spans="1:16" x14ac:dyDescent="0.25">
      <c r="A1602" s="1348"/>
      <c r="B1602" s="1351" t="s">
        <v>4564</v>
      </c>
      <c r="C1602" s="1348">
        <v>96741</v>
      </c>
      <c r="H1602" s="1308"/>
      <c r="K1602" s="1308"/>
      <c r="P1602" s="1308"/>
    </row>
    <row r="1603" spans="1:16" x14ac:dyDescent="0.25">
      <c r="A1603" s="1348"/>
      <c r="B1603" s="1351" t="s">
        <v>3329</v>
      </c>
      <c r="C1603" s="1348">
        <v>97701</v>
      </c>
      <c r="H1603" s="1308"/>
      <c r="K1603" s="1308"/>
      <c r="P1603" s="1308"/>
    </row>
    <row r="1604" spans="1:16" x14ac:dyDescent="0.25">
      <c r="A1604" s="1348"/>
      <c r="B1604" s="1351" t="s">
        <v>4565</v>
      </c>
      <c r="C1604" s="1348">
        <v>92541</v>
      </c>
      <c r="H1604" s="1308"/>
      <c r="K1604" s="1308"/>
      <c r="P1604" s="1308"/>
    </row>
    <row r="1605" spans="1:16" x14ac:dyDescent="0.25">
      <c r="A1605" s="1348"/>
      <c r="B1605" s="1351" t="s">
        <v>4566</v>
      </c>
      <c r="C1605" s="1348">
        <v>94221</v>
      </c>
      <c r="H1605" s="1308"/>
      <c r="K1605" s="1308"/>
      <c r="P1605" s="1308"/>
    </row>
    <row r="1606" spans="1:16" x14ac:dyDescent="0.25">
      <c r="A1606" s="1348"/>
      <c r="B1606" s="1351" t="s">
        <v>3048</v>
      </c>
      <c r="C1606" s="1348">
        <v>94209</v>
      </c>
      <c r="H1606" s="1308"/>
      <c r="K1606" s="1308"/>
      <c r="P1606" s="1308"/>
    </row>
    <row r="1607" spans="1:16" x14ac:dyDescent="0.25">
      <c r="A1607" s="1348"/>
      <c r="B1607" s="1351" t="s">
        <v>4567</v>
      </c>
      <c r="C1607" s="1348">
        <v>96341</v>
      </c>
      <c r="H1607" s="1308"/>
      <c r="K1607" s="1308"/>
      <c r="P1607" s="1308"/>
    </row>
    <row r="1608" spans="1:16" x14ac:dyDescent="0.25">
      <c r="A1608" s="1348"/>
      <c r="B1608" s="1351" t="s">
        <v>4568</v>
      </c>
      <c r="C1608" s="1348">
        <v>93821</v>
      </c>
      <c r="H1608" s="1308"/>
      <c r="K1608" s="1308"/>
      <c r="P1608" s="1308"/>
    </row>
    <row r="1609" spans="1:16" x14ac:dyDescent="0.25">
      <c r="A1609" s="1348"/>
      <c r="B1609" s="1351" t="s">
        <v>4569</v>
      </c>
      <c r="C1609" s="1348">
        <v>95851</v>
      </c>
      <c r="H1609" s="1308"/>
      <c r="K1609" s="1308"/>
      <c r="P1609" s="1308"/>
    </row>
    <row r="1610" spans="1:16" x14ac:dyDescent="0.25">
      <c r="A1610" s="1348"/>
      <c r="B1610" s="1351" t="s">
        <v>3171</v>
      </c>
      <c r="C1610" s="1348">
        <v>95853</v>
      </c>
      <c r="H1610" s="1308"/>
      <c r="K1610" s="1308"/>
      <c r="P1610" s="1308"/>
    </row>
    <row r="1611" spans="1:16" x14ac:dyDescent="0.25">
      <c r="A1611" s="1348"/>
      <c r="B1611" s="1351" t="s">
        <v>3693</v>
      </c>
      <c r="C1611" s="1348">
        <v>97801</v>
      </c>
      <c r="H1611" s="1308"/>
      <c r="K1611" s="1308"/>
      <c r="P1611" s="1308"/>
    </row>
    <row r="1612" spans="1:16" x14ac:dyDescent="0.25">
      <c r="A1612" s="1348"/>
      <c r="B1612" s="1351" t="s">
        <v>3339</v>
      </c>
      <c r="C1612" s="1348">
        <v>97803</v>
      </c>
      <c r="H1612" s="1308"/>
      <c r="K1612" s="1308"/>
      <c r="P1612" s="1308"/>
    </row>
    <row r="1613" spans="1:16" x14ac:dyDescent="0.25">
      <c r="A1613" s="1348"/>
      <c r="B1613" s="1351" t="s">
        <v>3340</v>
      </c>
      <c r="C1613" s="1348">
        <v>97805</v>
      </c>
      <c r="H1613" s="1308"/>
      <c r="K1613" s="1308"/>
      <c r="P1613" s="1308"/>
    </row>
    <row r="1614" spans="1:16" x14ac:dyDescent="0.25">
      <c r="A1614" s="1348"/>
      <c r="B1614" s="1351" t="s">
        <v>2617</v>
      </c>
      <c r="C1614" s="1348">
        <v>97711</v>
      </c>
      <c r="H1614" s="1308"/>
      <c r="K1614" s="1308"/>
      <c r="P1614" s="1308"/>
    </row>
    <row r="1615" spans="1:16" x14ac:dyDescent="0.25">
      <c r="A1615" s="1348"/>
      <c r="B1615" s="1351" t="s">
        <v>4570</v>
      </c>
      <c r="C1615" s="1348">
        <v>97727</v>
      </c>
      <c r="H1615" s="1308"/>
      <c r="K1615" s="1308"/>
      <c r="P1615" s="1308"/>
    </row>
    <row r="1616" spans="1:16" x14ac:dyDescent="0.25">
      <c r="A1616" s="1348"/>
      <c r="B1616" s="1351" t="s">
        <v>3356</v>
      </c>
      <c r="C1616" s="1348">
        <v>97901</v>
      </c>
      <c r="H1616" s="1308"/>
      <c r="K1616" s="1308"/>
      <c r="P1616" s="1308"/>
    </row>
    <row r="1617" spans="1:16" x14ac:dyDescent="0.25">
      <c r="A1617" s="1348"/>
      <c r="B1617" s="1351" t="s">
        <v>3332</v>
      </c>
      <c r="C1617" s="1348">
        <v>97713</v>
      </c>
      <c r="H1617" s="1308"/>
      <c r="K1617" s="1308"/>
      <c r="P1617" s="1308"/>
    </row>
    <row r="1618" spans="1:16" x14ac:dyDescent="0.25">
      <c r="A1618" s="1348"/>
      <c r="B1618" s="1351" t="s">
        <v>4571</v>
      </c>
      <c r="C1618" s="1348">
        <v>98071</v>
      </c>
      <c r="H1618" s="1308"/>
      <c r="K1618" s="1308"/>
      <c r="P1618" s="1308"/>
    </row>
    <row r="1619" spans="1:16" x14ac:dyDescent="0.25">
      <c r="A1619" s="1348"/>
      <c r="B1619" s="1351" t="s">
        <v>4572</v>
      </c>
      <c r="C1619" s="1348">
        <v>93321</v>
      </c>
      <c r="H1619" s="1308"/>
      <c r="K1619" s="1308"/>
      <c r="P1619" s="1308"/>
    </row>
    <row r="1620" spans="1:16" x14ac:dyDescent="0.25">
      <c r="A1620" s="1348"/>
      <c r="B1620" s="1351" t="s">
        <v>2961</v>
      </c>
      <c r="C1620" s="1348">
        <v>93323</v>
      </c>
      <c r="H1620" s="1308"/>
      <c r="K1620" s="1308"/>
      <c r="P1620" s="1308"/>
    </row>
    <row r="1621" spans="1:16" x14ac:dyDescent="0.25">
      <c r="A1621" s="1348"/>
      <c r="B1621" s="1351" t="s">
        <v>2963</v>
      </c>
      <c r="C1621" s="1348">
        <v>93333</v>
      </c>
      <c r="H1621" s="1308"/>
      <c r="K1621" s="1308"/>
      <c r="P1621" s="1308"/>
    </row>
    <row r="1622" spans="1:16" x14ac:dyDescent="0.25">
      <c r="A1622" s="1348"/>
      <c r="B1622" s="1351" t="s">
        <v>4573</v>
      </c>
      <c r="C1622" s="1348">
        <v>99203</v>
      </c>
      <c r="H1622" s="1308"/>
      <c r="K1622" s="1308"/>
      <c r="P1622" s="1308"/>
    </row>
    <row r="1623" spans="1:16" x14ac:dyDescent="0.25">
      <c r="A1623" s="1348"/>
      <c r="B1623" s="1351" t="s">
        <v>4574</v>
      </c>
      <c r="C1623" s="1348">
        <v>99421</v>
      </c>
      <c r="H1623" s="1308"/>
      <c r="K1623" s="1308"/>
      <c r="P1623" s="1308"/>
    </row>
    <row r="1624" spans="1:16" x14ac:dyDescent="0.25">
      <c r="A1624" s="1348"/>
      <c r="B1624" s="1351" t="s">
        <v>4575</v>
      </c>
      <c r="C1624" s="1348">
        <v>93161</v>
      </c>
      <c r="H1624" s="1308"/>
      <c r="K1624" s="1308"/>
      <c r="P1624" s="1308"/>
    </row>
    <row r="1625" spans="1:16" x14ac:dyDescent="0.25">
      <c r="A1625" s="1348"/>
      <c r="B1625" s="1351" t="s">
        <v>4576</v>
      </c>
      <c r="C1625" s="1348">
        <v>98261</v>
      </c>
      <c r="H1625" s="1308"/>
      <c r="K1625" s="1308"/>
      <c r="P1625" s="1308"/>
    </row>
    <row r="1626" spans="1:16" x14ac:dyDescent="0.25">
      <c r="A1626" s="1348"/>
      <c r="B1626" s="1351" t="s">
        <v>3401</v>
      </c>
      <c r="C1626" s="1348">
        <v>98237</v>
      </c>
      <c r="H1626" s="1308"/>
      <c r="K1626" s="1308"/>
      <c r="P1626" s="1308"/>
    </row>
    <row r="1627" spans="1:16" x14ac:dyDescent="0.25">
      <c r="A1627" s="1348"/>
      <c r="B1627" s="1351" t="s">
        <v>3369</v>
      </c>
      <c r="C1627" s="1348">
        <v>98003</v>
      </c>
      <c r="H1627" s="1308"/>
      <c r="K1627" s="1308"/>
      <c r="P1627" s="1308"/>
    </row>
    <row r="1628" spans="1:16" x14ac:dyDescent="0.25">
      <c r="A1628" s="1348"/>
      <c r="B1628" s="1351" t="s">
        <v>4577</v>
      </c>
      <c r="C1628" s="1348">
        <v>98008</v>
      </c>
      <c r="H1628" s="1308"/>
      <c r="K1628" s="1308"/>
      <c r="P1628" s="1308"/>
    </row>
    <row r="1629" spans="1:16" x14ac:dyDescent="0.25">
      <c r="A1629" s="1348"/>
      <c r="B1629" s="1351" t="s">
        <v>3368</v>
      </c>
      <c r="C1629" s="1348">
        <v>98002</v>
      </c>
      <c r="H1629" s="1308"/>
      <c r="K1629" s="1308"/>
      <c r="P1629" s="1308"/>
    </row>
    <row r="1630" spans="1:16" x14ac:dyDescent="0.25">
      <c r="A1630" s="1348"/>
      <c r="B1630" s="1351" t="s">
        <v>3367</v>
      </c>
      <c r="C1630" s="1348">
        <v>98001</v>
      </c>
      <c r="H1630" s="1308"/>
      <c r="K1630" s="1308"/>
      <c r="P1630" s="1308"/>
    </row>
    <row r="1631" spans="1:16" x14ac:dyDescent="0.25">
      <c r="A1631" s="1348"/>
      <c r="B1631" s="1351" t="s">
        <v>3370</v>
      </c>
      <c r="C1631" s="1348">
        <v>98004</v>
      </c>
      <c r="H1631" s="1308"/>
      <c r="K1631" s="1308"/>
      <c r="P1631" s="1308"/>
    </row>
    <row r="1632" spans="1:16" x14ac:dyDescent="0.25">
      <c r="A1632" s="1348"/>
      <c r="B1632" s="1351" t="s">
        <v>4578</v>
      </c>
      <c r="C1632" s="1348">
        <v>97861</v>
      </c>
      <c r="H1632" s="1308"/>
      <c r="K1632" s="1308"/>
      <c r="P1632" s="1308"/>
    </row>
    <row r="1633" spans="1:16" x14ac:dyDescent="0.25">
      <c r="A1633" s="1348"/>
      <c r="B1633" s="1351" t="s">
        <v>4579</v>
      </c>
      <c r="C1633" s="1348">
        <v>97311</v>
      </c>
      <c r="H1633" s="1308"/>
      <c r="K1633" s="1308"/>
      <c r="P1633" s="1308"/>
    </row>
    <row r="1634" spans="1:16" x14ac:dyDescent="0.25">
      <c r="A1634" s="1348"/>
      <c r="B1634" s="1351" t="s">
        <v>4580</v>
      </c>
      <c r="C1634" s="1348">
        <v>93431</v>
      </c>
      <c r="H1634" s="1308"/>
      <c r="K1634" s="1308"/>
      <c r="P1634" s="1308"/>
    </row>
    <row r="1635" spans="1:16" x14ac:dyDescent="0.25">
      <c r="A1635" s="1348"/>
      <c r="B1635" s="1351" t="s">
        <v>4581</v>
      </c>
      <c r="C1635" s="1348">
        <v>91214</v>
      </c>
      <c r="H1635" s="1308"/>
      <c r="K1635" s="1308"/>
      <c r="P1635" s="1308"/>
    </row>
    <row r="1636" spans="1:16" x14ac:dyDescent="0.25">
      <c r="A1636" s="1348"/>
      <c r="B1636" s="1351" t="s">
        <v>3383</v>
      </c>
      <c r="C1636" s="1348">
        <v>98101</v>
      </c>
      <c r="H1636" s="1308"/>
      <c r="K1636" s="1308"/>
      <c r="P1636" s="1308"/>
    </row>
    <row r="1637" spans="1:16" x14ac:dyDescent="0.25">
      <c r="A1637" s="1348"/>
      <c r="B1637" s="1351" t="s">
        <v>4213</v>
      </c>
      <c r="C1637" s="1348">
        <v>98103</v>
      </c>
      <c r="H1637" s="1308"/>
      <c r="K1637" s="1308"/>
      <c r="P1637" s="1308"/>
    </row>
    <row r="1638" spans="1:16" x14ac:dyDescent="0.25">
      <c r="A1638" s="1348"/>
      <c r="B1638" s="1351" t="s">
        <v>4582</v>
      </c>
      <c r="C1638" s="1348">
        <v>98141</v>
      </c>
      <c r="H1638" s="1308"/>
      <c r="K1638" s="1308"/>
      <c r="P1638" s="1308"/>
    </row>
    <row r="1639" spans="1:16" x14ac:dyDescent="0.25">
      <c r="A1639" s="1348"/>
      <c r="B1639" s="1351" t="s">
        <v>4583</v>
      </c>
      <c r="C1639" s="1348">
        <v>98147</v>
      </c>
      <c r="H1639" s="1308"/>
      <c r="K1639" s="1308"/>
      <c r="P1639" s="1308"/>
    </row>
    <row r="1640" spans="1:16" x14ac:dyDescent="0.25">
      <c r="A1640" s="1348"/>
      <c r="B1640" s="1351" t="s">
        <v>4584</v>
      </c>
      <c r="C1640" s="1348">
        <v>91032</v>
      </c>
      <c r="H1640" s="1308"/>
      <c r="K1640" s="1308"/>
      <c r="P1640" s="1308"/>
    </row>
    <row r="1641" spans="1:16" x14ac:dyDescent="0.25">
      <c r="A1641" s="1348"/>
      <c r="B1641" s="1351" t="s">
        <v>4585</v>
      </c>
      <c r="C1641" s="1348">
        <v>97831</v>
      </c>
      <c r="H1641" s="1308"/>
      <c r="K1641" s="1308"/>
      <c r="P1641" s="1308"/>
    </row>
    <row r="1642" spans="1:16" x14ac:dyDescent="0.25">
      <c r="A1642" s="1348"/>
      <c r="B1642" s="1351" t="s">
        <v>4586</v>
      </c>
      <c r="C1642" s="1348">
        <v>97837</v>
      </c>
      <c r="H1642" s="1308"/>
      <c r="K1642" s="1308"/>
      <c r="P1642" s="1308"/>
    </row>
    <row r="1643" spans="1:16" x14ac:dyDescent="0.25">
      <c r="A1643" s="1348"/>
      <c r="B1643" s="1351" t="s">
        <v>4587</v>
      </c>
      <c r="C1643" s="1348">
        <v>98221</v>
      </c>
      <c r="H1643" s="1308"/>
      <c r="K1643" s="1308"/>
      <c r="P1643" s="1308"/>
    </row>
    <row r="1644" spans="1:16" x14ac:dyDescent="0.25">
      <c r="A1644" s="1348"/>
      <c r="B1644" s="1351" t="s">
        <v>4588</v>
      </c>
      <c r="C1644" s="1348">
        <v>98011</v>
      </c>
      <c r="H1644" s="1308"/>
      <c r="K1644" s="1308"/>
      <c r="P1644" s="1308"/>
    </row>
    <row r="1645" spans="1:16" x14ac:dyDescent="0.25">
      <c r="A1645" s="1348"/>
      <c r="B1645" s="1351" t="s">
        <v>4589</v>
      </c>
      <c r="C1645" s="1348">
        <v>98013</v>
      </c>
      <c r="H1645" s="1308"/>
      <c r="K1645" s="1308"/>
      <c r="P1645" s="1308"/>
    </row>
    <row r="1646" spans="1:16" x14ac:dyDescent="0.25">
      <c r="A1646" s="1348"/>
      <c r="B1646" s="1351" t="s">
        <v>4590</v>
      </c>
      <c r="C1646" s="1348">
        <v>97531</v>
      </c>
      <c r="H1646" s="1308"/>
      <c r="K1646" s="1308"/>
      <c r="P1646" s="1308"/>
    </row>
    <row r="1647" spans="1:16" x14ac:dyDescent="0.25">
      <c r="A1647" s="1348"/>
      <c r="B1647" s="1351" t="s">
        <v>3395</v>
      </c>
      <c r="C1647" s="1348">
        <v>98201</v>
      </c>
      <c r="H1647" s="1308"/>
      <c r="K1647" s="1308"/>
      <c r="P1647" s="1308"/>
    </row>
    <row r="1648" spans="1:16" x14ac:dyDescent="0.25">
      <c r="A1648" s="1348"/>
      <c r="B1648" s="1351" t="s">
        <v>3330</v>
      </c>
      <c r="C1648" s="1348">
        <v>97705</v>
      </c>
      <c r="H1648" s="1308"/>
      <c r="K1648" s="1308"/>
      <c r="P1648" s="1308"/>
    </row>
    <row r="1649" spans="1:16" x14ac:dyDescent="0.25">
      <c r="A1649" s="1348"/>
      <c r="B1649" s="1351" t="s">
        <v>3211</v>
      </c>
      <c r="C1649" s="1348">
        <v>96318</v>
      </c>
      <c r="H1649" s="1308"/>
      <c r="K1649" s="1308"/>
      <c r="P1649" s="1308"/>
    </row>
    <row r="1650" spans="1:16" x14ac:dyDescent="0.25">
      <c r="A1650" s="1348"/>
      <c r="B1650" s="1351" t="s">
        <v>4591</v>
      </c>
      <c r="C1650" s="1348">
        <v>95311</v>
      </c>
      <c r="H1650" s="1308"/>
      <c r="K1650" s="1308"/>
      <c r="P1650" s="1308"/>
    </row>
    <row r="1651" spans="1:16" x14ac:dyDescent="0.25">
      <c r="A1651" s="1348"/>
      <c r="B1651" s="1351" t="s">
        <v>3138</v>
      </c>
      <c r="C1651" s="1348">
        <v>95317</v>
      </c>
      <c r="H1651" s="1308"/>
      <c r="K1651" s="1308"/>
      <c r="P1651" s="1308"/>
    </row>
    <row r="1652" spans="1:16" x14ac:dyDescent="0.25">
      <c r="A1652" s="1348"/>
      <c r="B1652" s="1351" t="s">
        <v>4592</v>
      </c>
      <c r="C1652" s="1348">
        <v>91421</v>
      </c>
      <c r="H1652" s="1308"/>
      <c r="K1652" s="1308"/>
      <c r="P1652" s="1308"/>
    </row>
    <row r="1653" spans="1:16" x14ac:dyDescent="0.25">
      <c r="A1653" s="1348"/>
      <c r="B1653" s="1351" t="s">
        <v>3406</v>
      </c>
      <c r="C1653" s="1348">
        <v>98301</v>
      </c>
      <c r="H1653" s="1308"/>
      <c r="K1653" s="1308"/>
      <c r="P1653" s="1308"/>
    </row>
    <row r="1654" spans="1:16" x14ac:dyDescent="0.25">
      <c r="A1654" s="1348"/>
      <c r="B1654" s="1351" t="s">
        <v>3407</v>
      </c>
      <c r="C1654" s="1348">
        <v>98304</v>
      </c>
      <c r="H1654" s="1308"/>
      <c r="K1654" s="1308"/>
      <c r="P1654" s="1308"/>
    </row>
    <row r="1655" spans="1:16" x14ac:dyDescent="0.25">
      <c r="A1655" s="1348"/>
      <c r="B1655" s="1351" t="s">
        <v>4593</v>
      </c>
      <c r="C1655" s="1348">
        <v>94241</v>
      </c>
      <c r="H1655" s="1308"/>
      <c r="K1655" s="1308"/>
      <c r="P1655" s="1308"/>
    </row>
    <row r="1656" spans="1:16" x14ac:dyDescent="0.25">
      <c r="A1656" s="1348"/>
      <c r="B1656" s="1351" t="s">
        <v>4594</v>
      </c>
      <c r="C1656" s="1348">
        <v>96681</v>
      </c>
      <c r="H1656" s="1308"/>
      <c r="K1656" s="1308"/>
      <c r="P1656" s="1308"/>
    </row>
    <row r="1657" spans="1:16" x14ac:dyDescent="0.25">
      <c r="A1657" s="1348"/>
      <c r="B1657" s="1351" t="s">
        <v>4595</v>
      </c>
      <c r="C1657" s="1353">
        <v>72593</v>
      </c>
      <c r="H1657" s="1308"/>
      <c r="K1657" s="1308"/>
      <c r="P1657" s="1308"/>
    </row>
    <row r="1658" spans="1:16" x14ac:dyDescent="0.25">
      <c r="A1658" s="1348"/>
      <c r="B1658" s="1351" t="s">
        <v>4596</v>
      </c>
      <c r="C1658" s="1348">
        <v>95121</v>
      </c>
      <c r="H1658" s="1308"/>
      <c r="K1658" s="1308"/>
      <c r="P1658" s="1308"/>
    </row>
    <row r="1659" spans="1:16" x14ac:dyDescent="0.25">
      <c r="A1659" s="1348"/>
      <c r="B1659" s="1351" t="s">
        <v>3123</v>
      </c>
      <c r="C1659" s="1348">
        <v>95123</v>
      </c>
      <c r="H1659" s="1308"/>
      <c r="K1659" s="1308"/>
      <c r="P1659" s="1308"/>
    </row>
    <row r="1660" spans="1:16" x14ac:dyDescent="0.25">
      <c r="A1660" s="1348"/>
      <c r="B1660" s="1351" t="s">
        <v>4597</v>
      </c>
      <c r="C1660" s="1348">
        <v>99531</v>
      </c>
      <c r="H1660" s="1308"/>
      <c r="K1660" s="1308"/>
      <c r="P1660" s="1308"/>
    </row>
    <row r="1661" spans="1:16" x14ac:dyDescent="0.25">
      <c r="A1661" s="1348"/>
      <c r="B1661" s="1351" t="s">
        <v>4598</v>
      </c>
      <c r="C1661" s="1348">
        <v>96671</v>
      </c>
      <c r="H1661" s="1308"/>
      <c r="K1661" s="1308"/>
      <c r="P1661" s="1308"/>
    </row>
    <row r="1662" spans="1:16" x14ac:dyDescent="0.25">
      <c r="A1662" s="1348"/>
      <c r="B1662" s="1351" t="s">
        <v>4599</v>
      </c>
      <c r="C1662" s="1348">
        <v>91081</v>
      </c>
      <c r="H1662" s="1308"/>
      <c r="K1662" s="1308"/>
      <c r="P1662" s="1308"/>
    </row>
    <row r="1663" spans="1:16" x14ac:dyDescent="0.25">
      <c r="A1663" s="1348"/>
      <c r="B1663" s="1351" t="s">
        <v>2748</v>
      </c>
      <c r="C1663" s="1348">
        <v>91057</v>
      </c>
      <c r="H1663" s="1308"/>
      <c r="K1663" s="1308"/>
      <c r="P1663" s="1308"/>
    </row>
    <row r="1664" spans="1:16" x14ac:dyDescent="0.25">
      <c r="A1664" s="1348"/>
      <c r="B1664" s="1351" t="s">
        <v>4600</v>
      </c>
      <c r="C1664" s="1348">
        <v>96461</v>
      </c>
      <c r="H1664" s="1308"/>
      <c r="K1664" s="1308"/>
      <c r="P1664" s="1308"/>
    </row>
    <row r="1665" spans="1:16" x14ac:dyDescent="0.25">
      <c r="A1665" s="1348"/>
      <c r="B1665" s="1351" t="s">
        <v>4601</v>
      </c>
      <c r="C1665" s="1348">
        <v>92311</v>
      </c>
      <c r="H1665" s="1308"/>
      <c r="K1665" s="1308"/>
      <c r="P1665" s="1308"/>
    </row>
    <row r="1666" spans="1:16" x14ac:dyDescent="0.25">
      <c r="A1666" s="1348"/>
      <c r="B1666" s="1351" t="s">
        <v>2862</v>
      </c>
      <c r="C1666" s="1348">
        <v>92317</v>
      </c>
      <c r="H1666" s="1308"/>
      <c r="K1666" s="1308"/>
      <c r="P1666" s="1308"/>
    </row>
    <row r="1667" spans="1:16" x14ac:dyDescent="0.25">
      <c r="A1667" s="1348"/>
      <c r="B1667" s="1351" t="s">
        <v>3298</v>
      </c>
      <c r="C1667" s="1348">
        <v>97405</v>
      </c>
      <c r="H1667" s="1308"/>
      <c r="K1667" s="1308"/>
      <c r="P1667" s="1308"/>
    </row>
    <row r="1668" spans="1:16" x14ac:dyDescent="0.25">
      <c r="A1668" s="1348"/>
      <c r="B1668" s="1351" t="s">
        <v>4602</v>
      </c>
      <c r="C1668" s="1348">
        <v>91911</v>
      </c>
      <c r="H1668" s="1308"/>
      <c r="K1668" s="1308"/>
      <c r="P1668" s="1308"/>
    </row>
    <row r="1669" spans="1:16" x14ac:dyDescent="0.25">
      <c r="A1669" s="1348"/>
      <c r="B1669" s="1351" t="s">
        <v>2846</v>
      </c>
      <c r="C1669" s="1348">
        <v>91917</v>
      </c>
      <c r="H1669" s="1308"/>
      <c r="K1669" s="1308"/>
      <c r="P1669" s="1308"/>
    </row>
    <row r="1670" spans="1:16" x14ac:dyDescent="0.25">
      <c r="A1670" s="1348"/>
      <c r="B1670" s="1351" t="s">
        <v>4603</v>
      </c>
      <c r="C1670" s="1348">
        <v>97481</v>
      </c>
      <c r="H1670" s="1308"/>
      <c r="K1670" s="1308"/>
      <c r="P1670" s="1308"/>
    </row>
    <row r="1671" spans="1:16" x14ac:dyDescent="0.25">
      <c r="A1671" s="1348"/>
      <c r="B1671" s="1351" t="s">
        <v>2766</v>
      </c>
      <c r="C1671" s="1348">
        <v>91138</v>
      </c>
      <c r="H1671" s="1308"/>
      <c r="K1671" s="1308"/>
      <c r="P1671" s="1308"/>
    </row>
    <row r="1672" spans="1:16" x14ac:dyDescent="0.25">
      <c r="A1672" s="1348"/>
      <c r="B1672" s="1351" t="s">
        <v>4604</v>
      </c>
      <c r="C1672" s="1348">
        <v>95111</v>
      </c>
      <c r="H1672" s="1308"/>
      <c r="K1672" s="1308"/>
      <c r="P1672" s="1308"/>
    </row>
    <row r="1673" spans="1:16" x14ac:dyDescent="0.25">
      <c r="A1673" s="1348"/>
      <c r="B1673" s="1351" t="s">
        <v>3120</v>
      </c>
      <c r="C1673" s="1348">
        <v>95113</v>
      </c>
      <c r="H1673" s="1308"/>
      <c r="K1673" s="1308"/>
      <c r="P1673" s="1308"/>
    </row>
    <row r="1674" spans="1:16" x14ac:dyDescent="0.25">
      <c r="A1674" s="1348"/>
      <c r="B1674" s="1351" t="s">
        <v>4605</v>
      </c>
      <c r="C1674" s="1348">
        <v>94021</v>
      </c>
      <c r="H1674" s="1308"/>
      <c r="K1674" s="1308"/>
      <c r="P1674" s="1308"/>
    </row>
    <row r="1675" spans="1:16" x14ac:dyDescent="0.25">
      <c r="A1675" s="1348"/>
      <c r="B1675" s="1351" t="s">
        <v>2721</v>
      </c>
      <c r="C1675" s="1348">
        <v>90918</v>
      </c>
      <c r="H1675" s="1308"/>
      <c r="K1675" s="1308"/>
      <c r="P1675" s="1308"/>
    </row>
    <row r="1676" spans="1:16" x14ac:dyDescent="0.25">
      <c r="A1676" s="1348"/>
      <c r="B1676" s="1351" t="s">
        <v>3015</v>
      </c>
      <c r="C1676" s="1348">
        <v>93910</v>
      </c>
      <c r="H1676" s="1308"/>
      <c r="K1676" s="1308"/>
      <c r="P1676" s="1308"/>
    </row>
    <row r="1677" spans="1:16" x14ac:dyDescent="0.25">
      <c r="A1677" s="1348"/>
      <c r="B1677" s="1351" t="s">
        <v>2736</v>
      </c>
      <c r="C1677" s="1348">
        <v>91013</v>
      </c>
      <c r="H1677" s="1308"/>
      <c r="K1677" s="1308"/>
      <c r="P1677" s="1308"/>
    </row>
    <row r="1678" spans="1:16" x14ac:dyDescent="0.25">
      <c r="A1678" s="1348"/>
      <c r="B1678" s="1351" t="s">
        <v>4606</v>
      </c>
      <c r="C1678" s="1348">
        <v>96311</v>
      </c>
      <c r="H1678" s="1308"/>
      <c r="K1678" s="1308"/>
      <c r="P1678" s="1308"/>
    </row>
    <row r="1679" spans="1:16" x14ac:dyDescent="0.25">
      <c r="A1679" s="1348"/>
      <c r="B1679" s="1351" t="s">
        <v>4607</v>
      </c>
      <c r="C1679" s="1348">
        <v>92841</v>
      </c>
      <c r="H1679" s="1308"/>
      <c r="K1679" s="1308"/>
      <c r="P1679" s="1308"/>
    </row>
    <row r="1680" spans="1:16" x14ac:dyDescent="0.25">
      <c r="A1680" s="1348"/>
      <c r="B1680" s="1351" t="s">
        <v>3510</v>
      </c>
      <c r="C1680" s="1348">
        <v>99609</v>
      </c>
      <c r="H1680" s="1308"/>
      <c r="K1680" s="1308"/>
      <c r="P1680" s="1308"/>
    </row>
    <row r="1681" spans="1:16" x14ac:dyDescent="0.25">
      <c r="A1681" s="1348"/>
      <c r="B1681" s="1351" t="s">
        <v>4608</v>
      </c>
      <c r="C1681" s="1348">
        <v>91011</v>
      </c>
      <c r="H1681" s="1308"/>
      <c r="K1681" s="1308"/>
      <c r="P1681" s="1308"/>
    </row>
    <row r="1682" spans="1:16" x14ac:dyDescent="0.25">
      <c r="A1682" s="1348"/>
      <c r="B1682" s="1351" t="s">
        <v>4609</v>
      </c>
      <c r="C1682" s="1348">
        <v>91017</v>
      </c>
      <c r="H1682" s="1308"/>
      <c r="K1682" s="1308"/>
      <c r="P1682" s="1308"/>
    </row>
    <row r="1683" spans="1:16" x14ac:dyDescent="0.25">
      <c r="A1683" s="1348"/>
      <c r="B1683" s="1351" t="s">
        <v>3109</v>
      </c>
      <c r="C1683" s="1348">
        <v>95008</v>
      </c>
      <c r="H1683" s="1308"/>
      <c r="K1683" s="1308"/>
      <c r="P1683" s="1308"/>
    </row>
    <row r="1684" spans="1:16" x14ac:dyDescent="0.25">
      <c r="A1684" s="1348"/>
      <c r="B1684" s="1351" t="s">
        <v>4610</v>
      </c>
      <c r="C1684" s="1348">
        <v>72657</v>
      </c>
      <c r="H1684" s="1308"/>
      <c r="K1684" s="1308"/>
      <c r="P1684" s="1308"/>
    </row>
    <row r="1685" spans="1:16" x14ac:dyDescent="0.25">
      <c r="A1685" s="1348"/>
      <c r="B1685" s="1351" t="s">
        <v>4611</v>
      </c>
      <c r="C1685" s="1348">
        <v>90307</v>
      </c>
      <c r="H1685" s="1308"/>
      <c r="K1685" s="1308"/>
      <c r="P1685" s="1308"/>
    </row>
    <row r="1686" spans="1:16" x14ac:dyDescent="0.25">
      <c r="A1686" s="1348"/>
      <c r="B1686" s="1351" t="s">
        <v>4612</v>
      </c>
      <c r="C1686" s="1348">
        <v>98031</v>
      </c>
      <c r="H1686" s="1308"/>
      <c r="K1686" s="1308"/>
      <c r="P1686" s="1308"/>
    </row>
    <row r="1687" spans="1:16" x14ac:dyDescent="0.25">
      <c r="A1687" s="1348"/>
      <c r="B1687" s="1351" t="s">
        <v>4613</v>
      </c>
      <c r="C1687" s="1348">
        <v>98121</v>
      </c>
      <c r="H1687" s="1308"/>
      <c r="K1687" s="1308"/>
      <c r="P1687" s="1308"/>
    </row>
    <row r="1688" spans="1:16" x14ac:dyDescent="0.25">
      <c r="A1688" s="1348"/>
      <c r="B1688" s="1351" t="s">
        <v>4614</v>
      </c>
      <c r="C1688" s="1348">
        <v>96411</v>
      </c>
      <c r="H1688" s="1308"/>
      <c r="K1688" s="1308"/>
      <c r="P1688" s="1308"/>
    </row>
    <row r="1689" spans="1:16" x14ac:dyDescent="0.25">
      <c r="A1689" s="1348"/>
      <c r="B1689" s="1351" t="s">
        <v>4615</v>
      </c>
      <c r="C1689" s="1348">
        <v>92661</v>
      </c>
      <c r="H1689" s="1308"/>
      <c r="K1689" s="1308"/>
      <c r="P1689" s="1308"/>
    </row>
    <row r="1690" spans="1:16" x14ac:dyDescent="0.25">
      <c r="A1690" s="1348"/>
      <c r="B1690" s="1351" t="s">
        <v>4616</v>
      </c>
      <c r="C1690" s="1348">
        <v>96111</v>
      </c>
      <c r="H1690" s="1308"/>
      <c r="K1690" s="1308"/>
      <c r="P1690" s="1308"/>
    </row>
    <row r="1691" spans="1:16" x14ac:dyDescent="0.25">
      <c r="A1691" s="1348"/>
      <c r="B1691" s="1351" t="s">
        <v>4617</v>
      </c>
      <c r="C1691" s="1348">
        <v>96061</v>
      </c>
      <c r="H1691" s="1308"/>
      <c r="K1691" s="1308"/>
      <c r="P1691" s="1308"/>
    </row>
    <row r="1692" spans="1:16" x14ac:dyDescent="0.25">
      <c r="A1692" s="1348"/>
      <c r="B1692" s="1351" t="s">
        <v>4618</v>
      </c>
      <c r="C1692" s="1348">
        <v>98481</v>
      </c>
      <c r="H1692" s="1308"/>
      <c r="K1692" s="1308"/>
      <c r="P1692" s="1308"/>
    </row>
    <row r="1693" spans="1:16" x14ac:dyDescent="0.25">
      <c r="A1693" s="1348"/>
      <c r="B1693" s="1351" t="s">
        <v>4619</v>
      </c>
      <c r="C1693" s="1348">
        <v>93602</v>
      </c>
      <c r="H1693" s="1308"/>
      <c r="K1693" s="1308"/>
      <c r="P1693" s="1308"/>
    </row>
    <row r="1694" spans="1:16" x14ac:dyDescent="0.25">
      <c r="A1694" s="1348"/>
      <c r="B1694" s="1351" t="s">
        <v>3413</v>
      </c>
      <c r="C1694" s="1348">
        <v>98401</v>
      </c>
      <c r="H1694" s="1308"/>
      <c r="K1694" s="1308"/>
      <c r="P1694" s="1308"/>
    </row>
    <row r="1695" spans="1:16" x14ac:dyDescent="0.25">
      <c r="A1695" s="1348"/>
      <c r="B1695" s="1351" t="s">
        <v>4620</v>
      </c>
      <c r="C1695" s="1348">
        <v>99821</v>
      </c>
      <c r="H1695" s="1308"/>
      <c r="K1695" s="1308"/>
      <c r="P1695" s="1308"/>
    </row>
    <row r="1696" spans="1:16" x14ac:dyDescent="0.25">
      <c r="A1696" s="1348"/>
      <c r="B1696" s="1351" t="s">
        <v>4621</v>
      </c>
      <c r="C1696" s="1348">
        <v>96211</v>
      </c>
      <c r="H1696" s="1308"/>
      <c r="K1696" s="1308"/>
      <c r="P1696" s="1308"/>
    </row>
    <row r="1697" spans="1:16" x14ac:dyDescent="0.25">
      <c r="A1697" s="1348"/>
      <c r="B1697" s="1351" t="s">
        <v>4622</v>
      </c>
      <c r="C1697" s="1348">
        <v>94911</v>
      </c>
      <c r="H1697" s="1308"/>
      <c r="K1697" s="1308"/>
      <c r="P1697" s="1308"/>
    </row>
    <row r="1698" spans="1:16" x14ac:dyDescent="0.25">
      <c r="A1698" s="1348"/>
      <c r="B1698" s="1351" t="s">
        <v>3100</v>
      </c>
      <c r="C1698" s="1348">
        <v>94917</v>
      </c>
      <c r="H1698" s="1308"/>
      <c r="K1698" s="1308"/>
      <c r="P1698" s="1308"/>
    </row>
    <row r="1699" spans="1:16" x14ac:dyDescent="0.25">
      <c r="A1699" s="1348"/>
      <c r="B1699" s="1351" t="s">
        <v>4623</v>
      </c>
      <c r="C1699" s="1348">
        <v>92621</v>
      </c>
      <c r="H1699" s="1308"/>
      <c r="K1699" s="1308"/>
      <c r="P1699" s="1308"/>
    </row>
    <row r="1700" spans="1:16" x14ac:dyDescent="0.25">
      <c r="A1700" s="1348"/>
      <c r="B1700" s="1351" t="s">
        <v>3422</v>
      </c>
      <c r="C1700" s="1348">
        <v>98501</v>
      </c>
      <c r="H1700" s="1308"/>
      <c r="K1700" s="1308"/>
      <c r="P1700" s="1308"/>
    </row>
    <row r="1701" spans="1:16" x14ac:dyDescent="0.25">
      <c r="A1701" s="1348"/>
      <c r="B1701" s="1351" t="s">
        <v>4624</v>
      </c>
      <c r="C1701" s="1348">
        <v>97931</v>
      </c>
      <c r="H1701" s="1308"/>
      <c r="K1701" s="1308"/>
      <c r="P1701" s="1308"/>
    </row>
    <row r="1702" spans="1:16" x14ac:dyDescent="0.25">
      <c r="A1702" s="1348"/>
      <c r="B1702" s="1351" t="s">
        <v>4625</v>
      </c>
      <c r="C1702" s="1348">
        <v>93914</v>
      </c>
      <c r="H1702" s="1308"/>
      <c r="K1702" s="1308"/>
      <c r="P1702" s="1308"/>
    </row>
    <row r="1703" spans="1:16" x14ac:dyDescent="0.25">
      <c r="A1703" s="1348"/>
      <c r="B1703" s="1351" t="s">
        <v>4626</v>
      </c>
      <c r="C1703" s="1348">
        <v>90651</v>
      </c>
      <c r="H1703" s="1308"/>
      <c r="K1703" s="1308"/>
      <c r="P1703" s="1308"/>
    </row>
    <row r="1704" spans="1:16" x14ac:dyDescent="0.25">
      <c r="A1704" s="1348"/>
      <c r="B1704" s="1351" t="s">
        <v>4627</v>
      </c>
      <c r="C1704" s="1348">
        <v>94171</v>
      </c>
      <c r="H1704" s="1308"/>
      <c r="K1704" s="1308"/>
      <c r="P1704" s="1308"/>
    </row>
    <row r="1705" spans="1:16" x14ac:dyDescent="0.25">
      <c r="A1705" s="1348"/>
      <c r="B1705" s="1351" t="s">
        <v>3044</v>
      </c>
      <c r="C1705" s="1348">
        <v>94172</v>
      </c>
      <c r="H1705" s="1308"/>
      <c r="K1705" s="1308"/>
      <c r="P1705" s="1308"/>
    </row>
    <row r="1706" spans="1:16" x14ac:dyDescent="0.25">
      <c r="A1706" s="1348"/>
      <c r="B1706" s="1351" t="s">
        <v>4628</v>
      </c>
      <c r="C1706" s="1348">
        <v>91041</v>
      </c>
      <c r="H1706" s="1308"/>
      <c r="K1706" s="1308"/>
      <c r="P1706" s="1308"/>
    </row>
    <row r="1707" spans="1:16" x14ac:dyDescent="0.25">
      <c r="A1707" s="1348"/>
      <c r="B1707" s="1351" t="s">
        <v>4629</v>
      </c>
      <c r="C1707" s="1348">
        <v>91047</v>
      </c>
      <c r="H1707" s="1308"/>
      <c r="K1707" s="1308"/>
      <c r="P1707" s="1308"/>
    </row>
    <row r="1708" spans="1:16" x14ac:dyDescent="0.25">
      <c r="A1708" s="1348"/>
      <c r="B1708" s="1351" t="s">
        <v>4630</v>
      </c>
      <c r="C1708" s="1348">
        <v>97131</v>
      </c>
      <c r="H1708" s="1308"/>
      <c r="K1708" s="1308"/>
      <c r="P1708" s="1308"/>
    </row>
    <row r="1709" spans="1:16" x14ac:dyDescent="0.25">
      <c r="A1709" s="1348"/>
      <c r="B1709" s="1351" t="s">
        <v>3426</v>
      </c>
      <c r="C1709" s="1348">
        <v>98601</v>
      </c>
      <c r="H1709" s="1308"/>
      <c r="K1709" s="1308"/>
      <c r="P1709" s="1308"/>
    </row>
    <row r="1710" spans="1:16" x14ac:dyDescent="0.25">
      <c r="A1710" s="1348"/>
      <c r="B1710" s="1351" t="s">
        <v>3437</v>
      </c>
      <c r="C1710" s="1348">
        <v>98701</v>
      </c>
      <c r="H1710" s="1308"/>
      <c r="K1710" s="1308"/>
      <c r="P1710" s="1308"/>
    </row>
    <row r="1711" spans="1:16" x14ac:dyDescent="0.25">
      <c r="A1711" s="1348"/>
      <c r="B1711" s="1351" t="s">
        <v>4631</v>
      </c>
      <c r="C1711" s="1348">
        <v>96721</v>
      </c>
      <c r="H1711" s="1308"/>
      <c r="K1711" s="1308"/>
      <c r="P1711" s="1308"/>
    </row>
    <row r="1712" spans="1:16" x14ac:dyDescent="0.25">
      <c r="A1712" s="1348"/>
      <c r="B1712" s="1351" t="s">
        <v>4632</v>
      </c>
      <c r="C1712" s="1348">
        <v>95011</v>
      </c>
      <c r="H1712" s="1308"/>
      <c r="K1712" s="1308"/>
      <c r="P1712" s="1308"/>
    </row>
    <row r="1713" spans="1:16" x14ac:dyDescent="0.25">
      <c r="A1713" s="1348"/>
      <c r="B1713" s="1351" t="s">
        <v>4633</v>
      </c>
      <c r="C1713" s="1348">
        <v>92451</v>
      </c>
      <c r="H1713" s="1308"/>
      <c r="K1713" s="1308"/>
      <c r="P1713" s="1308"/>
    </row>
    <row r="1714" spans="1:16" x14ac:dyDescent="0.25">
      <c r="A1714" s="1348"/>
      <c r="B1714" s="1351" t="s">
        <v>4634</v>
      </c>
      <c r="C1714" s="1348">
        <v>93311</v>
      </c>
      <c r="H1714" s="1308"/>
      <c r="K1714" s="1308"/>
      <c r="P1714" s="1308"/>
    </row>
    <row r="1715" spans="1:16" x14ac:dyDescent="0.25">
      <c r="A1715" s="1348"/>
      <c r="B1715" s="1351" t="s">
        <v>2959</v>
      </c>
      <c r="C1715" s="1348">
        <v>93317</v>
      </c>
      <c r="H1715" s="1308"/>
      <c r="K1715" s="1308"/>
      <c r="P1715" s="1308"/>
    </row>
    <row r="1716" spans="1:16" x14ac:dyDescent="0.25">
      <c r="A1716" s="1348"/>
      <c r="B1716" s="1351" t="s">
        <v>4635</v>
      </c>
      <c r="C1716" s="1348">
        <v>90211</v>
      </c>
      <c r="H1716" s="1308"/>
      <c r="K1716" s="1308"/>
      <c r="P1716" s="1308"/>
    </row>
    <row r="1717" spans="1:16" x14ac:dyDescent="0.25">
      <c r="A1717" s="1348"/>
      <c r="B1717" s="1351" t="s">
        <v>4636</v>
      </c>
      <c r="C1717" s="1348">
        <v>96302</v>
      </c>
      <c r="H1717" s="1308"/>
      <c r="K1717" s="1308"/>
      <c r="P1717" s="1308"/>
    </row>
    <row r="1718" spans="1:16" x14ac:dyDescent="0.25">
      <c r="A1718" s="1348"/>
      <c r="B1718" s="1351" t="s">
        <v>4637</v>
      </c>
      <c r="C1718" s="1348">
        <v>93181</v>
      </c>
      <c r="H1718" s="1308"/>
      <c r="K1718" s="1308"/>
      <c r="P1718" s="1308"/>
    </row>
    <row r="1719" spans="1:16" x14ac:dyDescent="0.25">
      <c r="A1719" s="1348"/>
      <c r="B1719" s="1351" t="s">
        <v>4638</v>
      </c>
      <c r="C1719" s="1348">
        <v>92911</v>
      </c>
      <c r="H1719" s="1308"/>
      <c r="K1719" s="1308"/>
      <c r="P1719" s="1308"/>
    </row>
    <row r="1720" spans="1:16" x14ac:dyDescent="0.25">
      <c r="A1720" s="1348"/>
      <c r="B1720" s="1351" t="s">
        <v>3686</v>
      </c>
      <c r="C1720" s="1348">
        <v>92914</v>
      </c>
      <c r="H1720" s="1308"/>
      <c r="K1720" s="1308"/>
      <c r="P1720" s="1308"/>
    </row>
    <row r="1721" spans="1:16" x14ac:dyDescent="0.25">
      <c r="A1721" s="1348"/>
      <c r="B1721" s="1351" t="s">
        <v>2923</v>
      </c>
      <c r="C1721" s="1348">
        <v>92913</v>
      </c>
      <c r="H1721" s="1308"/>
      <c r="K1721" s="1308"/>
      <c r="P1721" s="1308"/>
    </row>
    <row r="1722" spans="1:16" x14ac:dyDescent="0.25">
      <c r="A1722" s="1348"/>
      <c r="B1722" s="1351" t="s">
        <v>4639</v>
      </c>
      <c r="C1722" s="1348">
        <v>93471</v>
      </c>
      <c r="H1722" s="1308"/>
      <c r="K1722" s="1308"/>
      <c r="P1722" s="1308"/>
    </row>
    <row r="1723" spans="1:16" x14ac:dyDescent="0.25">
      <c r="A1723" s="1348"/>
      <c r="B1723" s="1351" t="s">
        <v>2662</v>
      </c>
      <c r="C1723" s="1348">
        <v>90098</v>
      </c>
      <c r="H1723" s="1308"/>
      <c r="K1723" s="1308"/>
      <c r="P1723" s="1308"/>
    </row>
    <row r="1724" spans="1:16" x14ac:dyDescent="0.25">
      <c r="A1724" s="1348"/>
      <c r="B1724" s="1351" t="s">
        <v>4640</v>
      </c>
      <c r="C1724" s="1348">
        <v>97121</v>
      </c>
      <c r="H1724" s="1308"/>
      <c r="K1724" s="1308"/>
      <c r="P1724" s="1308"/>
    </row>
    <row r="1725" spans="1:16" x14ac:dyDescent="0.25">
      <c r="A1725" s="1348"/>
      <c r="B1725" s="1351" t="s">
        <v>3440</v>
      </c>
      <c r="C1725" s="1348">
        <v>98801</v>
      </c>
      <c r="H1725" s="1308"/>
      <c r="K1725" s="1308"/>
      <c r="P1725" s="1308"/>
    </row>
    <row r="1726" spans="1:16" x14ac:dyDescent="0.25">
      <c r="A1726" s="1348"/>
      <c r="B1726" s="1351" t="s">
        <v>4641</v>
      </c>
      <c r="C1726" s="1348">
        <v>92521</v>
      </c>
      <c r="H1726" s="1308"/>
      <c r="K1726" s="1308"/>
      <c r="P1726" s="1308"/>
    </row>
    <row r="1727" spans="1:16" x14ac:dyDescent="0.25">
      <c r="A1727" s="1348"/>
      <c r="B1727" s="1351" t="s">
        <v>2972</v>
      </c>
      <c r="C1727" s="1348">
        <v>93417</v>
      </c>
      <c r="H1727" s="1308"/>
      <c r="K1727" s="1308"/>
      <c r="P1727" s="1308"/>
    </row>
    <row r="1728" spans="1:16" x14ac:dyDescent="0.25">
      <c r="A1728" s="1348"/>
      <c r="B1728" s="1351" t="s">
        <v>2953</v>
      </c>
      <c r="C1728" s="1348">
        <v>93219</v>
      </c>
      <c r="H1728" s="1308"/>
      <c r="K1728" s="1308"/>
      <c r="P1728" s="1308"/>
    </row>
    <row r="1729" spans="1:16" x14ac:dyDescent="0.25">
      <c r="A1729" s="1348"/>
      <c r="B1729" s="1351" t="s">
        <v>2888</v>
      </c>
      <c r="C1729" s="1348">
        <v>92513</v>
      </c>
      <c r="H1729" s="1308"/>
      <c r="K1729" s="1308"/>
      <c r="P1729" s="1308"/>
    </row>
    <row r="1730" spans="1:16" x14ac:dyDescent="0.25">
      <c r="A1730" s="1348"/>
      <c r="B1730" s="1351" t="s">
        <v>4642</v>
      </c>
      <c r="C1730" s="1348">
        <v>97661</v>
      </c>
      <c r="H1730" s="1308"/>
      <c r="K1730" s="1308"/>
      <c r="P1730" s="1308"/>
    </row>
    <row r="1731" spans="1:16" x14ac:dyDescent="0.25">
      <c r="A1731" s="1348"/>
      <c r="B1731" s="1351" t="s">
        <v>4643</v>
      </c>
      <c r="C1731" s="1348">
        <v>94931</v>
      </c>
      <c r="H1731" s="1308"/>
      <c r="K1731" s="1308"/>
      <c r="P1731" s="1308"/>
    </row>
    <row r="1732" spans="1:16" x14ac:dyDescent="0.25">
      <c r="A1732" s="1348"/>
      <c r="B1732" s="1355" t="s">
        <v>4644</v>
      </c>
      <c r="C1732" s="1348">
        <v>94937</v>
      </c>
      <c r="H1732" s="1308"/>
      <c r="K1732" s="1308"/>
      <c r="P1732" s="1308"/>
    </row>
    <row r="1733" spans="1:16" x14ac:dyDescent="0.25">
      <c r="A1733" s="1348"/>
      <c r="B1733" s="1351" t="s">
        <v>4645</v>
      </c>
      <c r="C1733" s="1348">
        <v>96221</v>
      </c>
      <c r="H1733" s="1308"/>
      <c r="K1733" s="1308"/>
      <c r="P1733" s="1308"/>
    </row>
    <row r="1734" spans="1:16" x14ac:dyDescent="0.25">
      <c r="A1734" s="1348"/>
      <c r="B1734" s="1351" t="s">
        <v>4646</v>
      </c>
      <c r="C1734" s="1348">
        <v>97511</v>
      </c>
      <c r="H1734" s="1308"/>
      <c r="K1734" s="1308"/>
      <c r="P1734" s="1308"/>
    </row>
    <row r="1735" spans="1:16" x14ac:dyDescent="0.25">
      <c r="A1735" s="1348"/>
      <c r="B1735" s="1351" t="s">
        <v>3107</v>
      </c>
      <c r="C1735" s="1348">
        <v>95002</v>
      </c>
      <c r="H1735" s="1308"/>
      <c r="K1735" s="1308"/>
      <c r="P1735" s="1308"/>
    </row>
    <row r="1736" spans="1:16" x14ac:dyDescent="0.25">
      <c r="A1736" s="1348"/>
      <c r="B1736" s="1351" t="s">
        <v>4647</v>
      </c>
      <c r="C1736" s="1348">
        <v>98251</v>
      </c>
      <c r="H1736" s="1308"/>
      <c r="K1736" s="1308"/>
      <c r="P1736" s="1308"/>
    </row>
    <row r="1737" spans="1:16" x14ac:dyDescent="0.25">
      <c r="A1737" s="1348"/>
      <c r="B1737" s="1351" t="s">
        <v>3443</v>
      </c>
      <c r="C1737" s="1348">
        <v>98901</v>
      </c>
      <c r="H1737" s="1308"/>
      <c r="K1737" s="1308"/>
      <c r="P1737" s="1308"/>
    </row>
    <row r="1738" spans="1:16" x14ac:dyDescent="0.25">
      <c r="A1738" s="1348"/>
      <c r="B1738" s="1351" t="s">
        <v>4219</v>
      </c>
      <c r="C1738" s="1348">
        <v>98904</v>
      </c>
      <c r="H1738" s="1308"/>
      <c r="K1738" s="1308"/>
      <c r="P1738" s="1308"/>
    </row>
    <row r="1739" spans="1:16" x14ac:dyDescent="0.25">
      <c r="A1739" s="1348"/>
      <c r="B1739" s="1351" t="s">
        <v>3446</v>
      </c>
      <c r="C1739" s="1348">
        <v>99001</v>
      </c>
      <c r="H1739" s="1308"/>
      <c r="K1739" s="1308"/>
      <c r="P1739" s="1308"/>
    </row>
    <row r="1740" spans="1:16" x14ac:dyDescent="0.25">
      <c r="A1740" s="1348"/>
      <c r="B1740" s="1351" t="s">
        <v>4648</v>
      </c>
      <c r="C1740" s="1348">
        <v>99061</v>
      </c>
      <c r="H1740" s="1308"/>
      <c r="K1740" s="1308"/>
      <c r="P1740" s="1308"/>
    </row>
    <row r="1741" spans="1:16" x14ac:dyDescent="0.25">
      <c r="A1741" s="1348"/>
      <c r="B1741" s="1351" t="s">
        <v>2957</v>
      </c>
      <c r="C1741" s="1348">
        <v>93309</v>
      </c>
      <c r="H1741" s="1308"/>
      <c r="K1741" s="1308"/>
      <c r="P1741" s="1308"/>
    </row>
    <row r="1742" spans="1:16" x14ac:dyDescent="0.25">
      <c r="A1742" s="1348"/>
      <c r="B1742" s="1351" t="s">
        <v>4649</v>
      </c>
      <c r="C1742" s="1348">
        <v>91211</v>
      </c>
      <c r="H1742" s="1308"/>
      <c r="K1742" s="1308"/>
      <c r="P1742" s="1308"/>
    </row>
    <row r="1743" spans="1:16" x14ac:dyDescent="0.25">
      <c r="A1743" s="1348"/>
      <c r="B1743" s="1352" t="s">
        <v>4183</v>
      </c>
      <c r="C1743" s="1348">
        <v>94947</v>
      </c>
      <c r="H1743" s="1308"/>
      <c r="K1743" s="1308"/>
      <c r="P1743" s="1308"/>
    </row>
    <row r="1744" spans="1:16" x14ac:dyDescent="0.25">
      <c r="A1744" s="1348"/>
      <c r="B1744" s="1351" t="s">
        <v>2779</v>
      </c>
      <c r="C1744" s="1348">
        <v>91213</v>
      </c>
      <c r="H1744" s="1308"/>
      <c r="K1744" s="1308"/>
      <c r="P1744" s="1308"/>
    </row>
    <row r="1745" spans="1:16" x14ac:dyDescent="0.25">
      <c r="A1745" s="1348"/>
      <c r="B1745" s="1351" t="s">
        <v>3460</v>
      </c>
      <c r="C1745" s="1348">
        <v>99101</v>
      </c>
      <c r="H1745" s="1308"/>
      <c r="K1745" s="1308"/>
      <c r="P1745" s="1308"/>
    </row>
    <row r="1746" spans="1:16" x14ac:dyDescent="0.25">
      <c r="A1746" s="1348"/>
      <c r="B1746" s="1351" t="s">
        <v>4220</v>
      </c>
      <c r="C1746" s="1348">
        <v>99104</v>
      </c>
      <c r="H1746" s="1308"/>
      <c r="K1746" s="1308"/>
      <c r="P1746" s="1308"/>
    </row>
    <row r="1747" spans="1:16" x14ac:dyDescent="0.25">
      <c r="A1747" s="1348"/>
      <c r="B1747" s="1351" t="s">
        <v>4650</v>
      </c>
      <c r="C1747" s="1348">
        <v>92551</v>
      </c>
      <c r="H1747" s="1308"/>
      <c r="K1747" s="1308"/>
      <c r="P1747" s="1308"/>
    </row>
    <row r="1748" spans="1:16" x14ac:dyDescent="0.25">
      <c r="A1748" s="1348"/>
      <c r="B1748" s="1351" t="s">
        <v>4651</v>
      </c>
      <c r="C1748" s="1348">
        <v>96321</v>
      </c>
      <c r="H1748" s="1308"/>
      <c r="K1748" s="1308"/>
      <c r="P1748" s="1308"/>
    </row>
    <row r="1749" spans="1:16" x14ac:dyDescent="0.25">
      <c r="A1749" s="1348"/>
      <c r="B1749" s="1351" t="s">
        <v>3691</v>
      </c>
      <c r="C1749" s="1348">
        <v>95009</v>
      </c>
      <c r="H1749" s="1308"/>
      <c r="K1749" s="1308"/>
      <c r="P1749" s="1308"/>
    </row>
    <row r="1750" spans="1:16" x14ac:dyDescent="0.25">
      <c r="A1750" s="1348"/>
      <c r="B1750" s="1351" t="s">
        <v>4652</v>
      </c>
      <c r="C1750" s="1348">
        <v>92641</v>
      </c>
      <c r="H1750" s="1308"/>
      <c r="K1750" s="1308"/>
      <c r="P1750" s="1308"/>
    </row>
    <row r="1751" spans="1:16" x14ac:dyDescent="0.25">
      <c r="A1751" s="1348"/>
      <c r="B1751" s="1351" t="s">
        <v>4653</v>
      </c>
      <c r="C1751" s="1348">
        <v>90411</v>
      </c>
      <c r="H1751" s="1308"/>
      <c r="K1751" s="1308"/>
      <c r="P1751" s="1308"/>
    </row>
    <row r="1752" spans="1:16" x14ac:dyDescent="0.25">
      <c r="A1752" s="1348"/>
      <c r="B1752" s="1351" t="s">
        <v>2684</v>
      </c>
      <c r="C1752" s="1348">
        <v>90417</v>
      </c>
      <c r="H1752" s="1308"/>
      <c r="K1752" s="1308"/>
      <c r="P1752" s="1308"/>
    </row>
    <row r="1753" spans="1:16" x14ac:dyDescent="0.25">
      <c r="A1753" s="1348"/>
      <c r="B1753" s="1351" t="s">
        <v>2683</v>
      </c>
      <c r="C1753" s="1348">
        <v>90413</v>
      </c>
      <c r="H1753" s="1308"/>
      <c r="K1753" s="1308"/>
      <c r="P1753" s="1308"/>
    </row>
    <row r="1754" spans="1:16" x14ac:dyDescent="0.25">
      <c r="A1754" s="1348"/>
      <c r="B1754" s="1351" t="s">
        <v>4654</v>
      </c>
      <c r="C1754" s="1348">
        <v>98321</v>
      </c>
      <c r="H1754" s="1308"/>
      <c r="K1754" s="1308"/>
      <c r="P1754" s="1308"/>
    </row>
    <row r="1755" spans="1:16" x14ac:dyDescent="0.25">
      <c r="A1755" s="1348"/>
      <c r="B1755" s="1351" t="s">
        <v>3465</v>
      </c>
      <c r="C1755" s="1348">
        <v>99201</v>
      </c>
      <c r="H1755" s="1308"/>
      <c r="K1755" s="1308"/>
      <c r="P1755" s="1308"/>
    </row>
    <row r="1756" spans="1:16" x14ac:dyDescent="0.25">
      <c r="A1756" s="1348"/>
      <c r="B1756" s="1351" t="s">
        <v>3468</v>
      </c>
      <c r="C1756" s="1348">
        <v>99204</v>
      </c>
      <c r="H1756" s="1308"/>
      <c r="K1756" s="1308"/>
      <c r="P1756" s="1308"/>
    </row>
    <row r="1757" spans="1:16" x14ac:dyDescent="0.25">
      <c r="A1757" s="1348"/>
      <c r="B1757" s="1351" t="s">
        <v>3695</v>
      </c>
      <c r="C1757" s="1348">
        <v>99207</v>
      </c>
      <c r="H1757" s="1308"/>
      <c r="K1757" s="1308"/>
      <c r="P1757" s="1308"/>
    </row>
    <row r="1758" spans="1:16" x14ac:dyDescent="0.25">
      <c r="A1758" s="1348"/>
      <c r="B1758" s="1351" t="s">
        <v>4655</v>
      </c>
      <c r="C1758" s="1348">
        <v>99281</v>
      </c>
      <c r="H1758" s="1308"/>
      <c r="K1758" s="1308"/>
      <c r="P1758" s="1308"/>
    </row>
    <row r="1759" spans="1:16" x14ac:dyDescent="0.25">
      <c r="A1759" s="1348"/>
      <c r="B1759" s="1351" t="s">
        <v>4656</v>
      </c>
      <c r="C1759" s="1348">
        <v>93461</v>
      </c>
      <c r="H1759" s="1308"/>
      <c r="K1759" s="1308"/>
      <c r="P1759" s="1308"/>
    </row>
    <row r="1760" spans="1:16" x14ac:dyDescent="0.25">
      <c r="A1760" s="1348"/>
      <c r="B1760" s="1351" t="s">
        <v>4657</v>
      </c>
      <c r="C1760" s="1348">
        <v>93151</v>
      </c>
      <c r="H1760" s="1308"/>
      <c r="K1760" s="1308"/>
      <c r="P1760" s="1308"/>
    </row>
    <row r="1761" spans="1:16" x14ac:dyDescent="0.25">
      <c r="A1761" s="1348"/>
      <c r="B1761" s="1351" t="s">
        <v>2942</v>
      </c>
      <c r="C1761" s="1348">
        <v>93157</v>
      </c>
      <c r="H1761" s="1308"/>
      <c r="K1761" s="1308"/>
      <c r="P1761" s="1308"/>
    </row>
    <row r="1762" spans="1:16" x14ac:dyDescent="0.25">
      <c r="A1762" s="1348"/>
      <c r="B1762" s="1351" t="s">
        <v>4658</v>
      </c>
      <c r="C1762" s="1348">
        <v>98511</v>
      </c>
      <c r="H1762" s="1308"/>
      <c r="K1762" s="1308"/>
      <c r="P1762" s="1308"/>
    </row>
    <row r="1763" spans="1:16" x14ac:dyDescent="0.25">
      <c r="A1763" s="1348"/>
      <c r="B1763" s="1351" t="s">
        <v>3424</v>
      </c>
      <c r="C1763" s="1348">
        <v>98517</v>
      </c>
      <c r="H1763" s="1308"/>
      <c r="K1763" s="1308"/>
      <c r="P1763" s="1308"/>
    </row>
    <row r="1764" spans="1:16" x14ac:dyDescent="0.25">
      <c r="A1764" s="1348"/>
      <c r="B1764" s="1351" t="s">
        <v>4659</v>
      </c>
      <c r="C1764" s="1348">
        <v>99661</v>
      </c>
      <c r="H1764" s="1308"/>
      <c r="K1764" s="1308"/>
      <c r="P1764" s="1308"/>
    </row>
    <row r="1765" spans="1:16" x14ac:dyDescent="0.25">
      <c r="A1765" s="1348"/>
      <c r="B1765" s="1351" t="s">
        <v>4660</v>
      </c>
      <c r="C1765" s="1348">
        <v>94031</v>
      </c>
      <c r="H1765" s="1308"/>
      <c r="K1765" s="1308"/>
      <c r="P1765" s="1308"/>
    </row>
    <row r="1766" spans="1:16" x14ac:dyDescent="0.25">
      <c r="A1766" s="1348"/>
      <c r="B1766" s="1351" t="s">
        <v>3487</v>
      </c>
      <c r="C1766" s="1348">
        <v>99301</v>
      </c>
      <c r="H1766" s="1308"/>
      <c r="K1766" s="1308"/>
      <c r="P1766" s="1308"/>
    </row>
    <row r="1767" spans="1:16" x14ac:dyDescent="0.25">
      <c r="A1767" s="1348"/>
      <c r="B1767" s="1351" t="s">
        <v>3488</v>
      </c>
      <c r="C1767" s="1348">
        <v>99304</v>
      </c>
      <c r="H1767" s="1308"/>
      <c r="K1767" s="1308"/>
      <c r="P1767" s="1308"/>
    </row>
    <row r="1768" spans="1:16" x14ac:dyDescent="0.25">
      <c r="A1768" s="1348"/>
      <c r="B1768" s="1351" t="s">
        <v>4661</v>
      </c>
      <c r="C1768" s="1348">
        <v>99321</v>
      </c>
      <c r="H1768" s="1308"/>
      <c r="K1768" s="1308"/>
      <c r="P1768" s="1308"/>
    </row>
    <row r="1769" spans="1:16" x14ac:dyDescent="0.25">
      <c r="A1769" s="1348"/>
      <c r="B1769" s="1351" t="s">
        <v>4662</v>
      </c>
      <c r="C1769" s="1348">
        <v>93131</v>
      </c>
      <c r="H1769" s="1308"/>
      <c r="K1769" s="1308"/>
      <c r="P1769" s="1308"/>
    </row>
    <row r="1770" spans="1:16" x14ac:dyDescent="0.25">
      <c r="A1770" s="1348"/>
      <c r="B1770" s="1351" t="s">
        <v>2939</v>
      </c>
      <c r="C1770" s="1348">
        <v>93137</v>
      </c>
      <c r="H1770" s="1308"/>
      <c r="K1770" s="1308"/>
      <c r="P1770" s="1308"/>
    </row>
    <row r="1771" spans="1:16" x14ac:dyDescent="0.25">
      <c r="A1771" s="1348"/>
      <c r="B1771" s="1351" t="s">
        <v>2632</v>
      </c>
      <c r="C1771" s="1348">
        <v>90711</v>
      </c>
      <c r="H1771" s="1308"/>
      <c r="K1771" s="1308"/>
      <c r="P1771" s="1308"/>
    </row>
    <row r="1772" spans="1:16" x14ac:dyDescent="0.25">
      <c r="A1772" s="1348"/>
      <c r="B1772" s="1351" t="s">
        <v>3491</v>
      </c>
      <c r="C1772" s="1348">
        <v>99401</v>
      </c>
      <c r="H1772" s="1308"/>
      <c r="K1772" s="1308"/>
      <c r="P1772" s="1308"/>
    </row>
    <row r="1773" spans="1:16" x14ac:dyDescent="0.25">
      <c r="A1773" s="1348"/>
      <c r="B1773" s="1351" t="s">
        <v>3492</v>
      </c>
      <c r="C1773" s="1348">
        <v>99404</v>
      </c>
      <c r="H1773" s="1308"/>
      <c r="K1773" s="1308"/>
      <c r="P1773" s="1308"/>
    </row>
    <row r="1774" spans="1:16" x14ac:dyDescent="0.25">
      <c r="A1774" s="1348"/>
      <c r="B1774" s="1351" t="s">
        <v>4663</v>
      </c>
      <c r="C1774" s="1348">
        <v>90741</v>
      </c>
      <c r="H1774" s="1308"/>
      <c r="K1774" s="1308"/>
      <c r="P1774" s="1308"/>
    </row>
    <row r="1775" spans="1:16" x14ac:dyDescent="0.25">
      <c r="A1775" s="1348"/>
      <c r="B1775" s="1351" t="s">
        <v>3498</v>
      </c>
      <c r="C1775" s="1348">
        <v>99501</v>
      </c>
      <c r="H1775" s="1308"/>
      <c r="K1775" s="1308"/>
      <c r="P1775" s="1308"/>
    </row>
    <row r="1776" spans="1:16" x14ac:dyDescent="0.25">
      <c r="A1776" s="1348"/>
      <c r="B1776" s="1351" t="s">
        <v>3501</v>
      </c>
      <c r="C1776" s="1348">
        <v>99509</v>
      </c>
      <c r="H1776" s="1308"/>
      <c r="K1776" s="1308"/>
      <c r="P1776" s="1308"/>
    </row>
    <row r="1777" spans="1:16" x14ac:dyDescent="0.25">
      <c r="A1777" s="1348"/>
      <c r="B1777" s="1351" t="s">
        <v>4664</v>
      </c>
      <c r="C1777" s="1348">
        <v>91302</v>
      </c>
      <c r="H1777" s="1308"/>
      <c r="K1777" s="1308"/>
      <c r="P1777" s="1308"/>
    </row>
    <row r="1778" spans="1:16" x14ac:dyDescent="0.25">
      <c r="A1778" s="1348"/>
      <c r="B1778" s="1351" t="s">
        <v>4665</v>
      </c>
      <c r="C1778" s="1348">
        <v>99041</v>
      </c>
      <c r="H1778" s="1308"/>
      <c r="K1778" s="1308"/>
      <c r="P1778" s="1308"/>
    </row>
    <row r="1779" spans="1:16" x14ac:dyDescent="0.25">
      <c r="A1779" s="1348"/>
      <c r="B1779" s="1351" t="s">
        <v>3454</v>
      </c>
      <c r="C1779" s="1348">
        <v>99047</v>
      </c>
      <c r="H1779" s="1308"/>
      <c r="K1779" s="1308"/>
      <c r="P1779" s="1308"/>
    </row>
    <row r="1780" spans="1:16" x14ac:dyDescent="0.25">
      <c r="A1780" s="1348"/>
      <c r="B1780" s="1351" t="s">
        <v>3506</v>
      </c>
      <c r="C1780" s="1348">
        <v>99601</v>
      </c>
      <c r="H1780" s="1308"/>
      <c r="K1780" s="1308"/>
      <c r="P1780" s="1308"/>
    </row>
    <row r="1781" spans="1:16" x14ac:dyDescent="0.25">
      <c r="A1781" s="1348"/>
      <c r="B1781" s="1351" t="s">
        <v>3509</v>
      </c>
      <c r="C1781" s="1348">
        <v>99604</v>
      </c>
      <c r="H1781" s="1308"/>
      <c r="K1781" s="1308"/>
      <c r="P1781" s="1308"/>
    </row>
    <row r="1782" spans="1:16" x14ac:dyDescent="0.25">
      <c r="A1782" s="1348"/>
      <c r="B1782" s="1351" t="s">
        <v>4666</v>
      </c>
      <c r="C1782" s="1348">
        <v>94411</v>
      </c>
      <c r="H1782" s="1308"/>
      <c r="K1782" s="1308"/>
      <c r="P1782" s="1308"/>
    </row>
    <row r="1783" spans="1:16" x14ac:dyDescent="0.25">
      <c r="A1783" s="1348"/>
      <c r="B1783" s="1351" t="s">
        <v>3067</v>
      </c>
      <c r="C1783" s="1348">
        <v>94412</v>
      </c>
      <c r="H1783" s="1308"/>
      <c r="K1783" s="1308"/>
      <c r="P1783" s="1308"/>
    </row>
    <row r="1784" spans="1:16" x14ac:dyDescent="0.25">
      <c r="A1784" s="1348"/>
      <c r="B1784" s="1351" t="s">
        <v>4667</v>
      </c>
      <c r="C1784" s="1348">
        <v>91141</v>
      </c>
      <c r="H1784" s="1308"/>
      <c r="K1784" s="1308"/>
      <c r="P1784" s="1308"/>
    </row>
    <row r="1785" spans="1:16" x14ac:dyDescent="0.25">
      <c r="A1785" s="1348"/>
      <c r="B1785" s="1351" t="s">
        <v>2768</v>
      </c>
      <c r="C1785" s="1348">
        <v>91147</v>
      </c>
      <c r="H1785" s="1308"/>
      <c r="K1785" s="1308"/>
      <c r="P1785" s="1308"/>
    </row>
    <row r="1786" spans="1:16" x14ac:dyDescent="0.25">
      <c r="A1786" s="1348"/>
      <c r="B1786" s="1351" t="s">
        <v>4668</v>
      </c>
      <c r="C1786" s="1348">
        <v>99071</v>
      </c>
      <c r="H1786" s="1308"/>
      <c r="K1786" s="1308"/>
      <c r="P1786" s="1308"/>
    </row>
    <row r="1787" spans="1:16" x14ac:dyDescent="0.25">
      <c r="A1787" s="1348"/>
      <c r="B1787" s="1351" t="s">
        <v>4669</v>
      </c>
      <c r="C1787" s="1348">
        <v>94231</v>
      </c>
      <c r="H1787" s="1308"/>
      <c r="K1787" s="1308"/>
      <c r="P1787" s="1308"/>
    </row>
    <row r="1788" spans="1:16" x14ac:dyDescent="0.25">
      <c r="A1788" s="1348"/>
      <c r="B1788" s="1351" t="s">
        <v>4670</v>
      </c>
      <c r="C1788" s="1348">
        <v>99231</v>
      </c>
      <c r="H1788" s="1308"/>
      <c r="K1788" s="1308"/>
      <c r="P1788" s="1308"/>
    </row>
    <row r="1789" spans="1:16" x14ac:dyDescent="0.25">
      <c r="A1789" s="1348"/>
      <c r="B1789" s="1351" t="s">
        <v>4671</v>
      </c>
      <c r="C1789" s="1348">
        <v>99091</v>
      </c>
      <c r="H1789" s="1308"/>
      <c r="K1789" s="1308"/>
      <c r="P1789" s="1308"/>
    </row>
    <row r="1790" spans="1:16" x14ac:dyDescent="0.25">
      <c r="A1790" s="1348"/>
      <c r="B1790" s="1351" t="s">
        <v>2762</v>
      </c>
      <c r="C1790" s="1348">
        <v>91120</v>
      </c>
      <c r="H1790" s="1308"/>
      <c r="K1790" s="1308"/>
      <c r="P1790" s="1308"/>
    </row>
    <row r="1791" spans="1:16" x14ac:dyDescent="0.25">
      <c r="A1791" s="1348"/>
      <c r="B1791" s="1351" t="s">
        <v>2876</v>
      </c>
      <c r="C1791" s="1348">
        <v>92444</v>
      </c>
      <c r="H1791" s="1308"/>
      <c r="K1791" s="1308"/>
      <c r="P1791" s="1308"/>
    </row>
    <row r="1792" spans="1:16" x14ac:dyDescent="0.25">
      <c r="A1792" s="1348"/>
      <c r="B1792" s="1351" t="s">
        <v>4672</v>
      </c>
      <c r="C1792" s="1348">
        <v>90521</v>
      </c>
      <c r="H1792" s="1308"/>
      <c r="K1792" s="1308"/>
      <c r="P1792" s="1308"/>
    </row>
    <row r="1793" spans="1:16" x14ac:dyDescent="0.25">
      <c r="A1793" s="1348"/>
      <c r="B1793" s="1351" t="s">
        <v>1220</v>
      </c>
      <c r="C1793" s="1348">
        <v>90507</v>
      </c>
      <c r="H1793" s="1308"/>
      <c r="K1793" s="1308"/>
      <c r="P1793" s="1308"/>
    </row>
    <row r="1794" spans="1:16" x14ac:dyDescent="0.25">
      <c r="A1794" s="1348"/>
      <c r="B1794" s="1351" t="s">
        <v>2896</v>
      </c>
      <c r="C1794" s="1348">
        <v>92602</v>
      </c>
      <c r="H1794" s="1308"/>
      <c r="K1794" s="1308"/>
      <c r="P1794" s="1308"/>
    </row>
    <row r="1795" spans="1:16" x14ac:dyDescent="0.25">
      <c r="A1795" s="1348"/>
      <c r="B1795" s="1351" t="s">
        <v>2812</v>
      </c>
      <c r="C1795" s="1348">
        <v>91608</v>
      </c>
      <c r="H1795" s="1308"/>
      <c r="K1795" s="1308"/>
      <c r="P1795" s="1308"/>
    </row>
    <row r="1796" spans="1:16" x14ac:dyDescent="0.25">
      <c r="A1796" s="1348"/>
      <c r="B1796" s="1351" t="s">
        <v>1289</v>
      </c>
      <c r="C1796" s="1348">
        <v>91119</v>
      </c>
      <c r="H1796" s="1308"/>
      <c r="K1796" s="1308"/>
      <c r="P1796" s="1308"/>
    </row>
    <row r="1797" spans="1:16" x14ac:dyDescent="0.25">
      <c r="A1797" s="1348"/>
      <c r="B1797" s="1351" t="s">
        <v>3683</v>
      </c>
      <c r="C1797" s="1348">
        <v>91107</v>
      </c>
      <c r="H1797" s="1308"/>
      <c r="K1797" s="1308"/>
      <c r="P1797" s="1308"/>
    </row>
    <row r="1798" spans="1:16" x14ac:dyDescent="0.25">
      <c r="A1798" s="1348"/>
      <c r="B1798" s="1351" t="s">
        <v>4150</v>
      </c>
      <c r="C1798" s="1348">
        <v>91818</v>
      </c>
      <c r="H1798" s="1308"/>
      <c r="K1798" s="1308"/>
      <c r="P1798" s="1308"/>
    </row>
    <row r="1799" spans="1:16" x14ac:dyDescent="0.25">
      <c r="A1799" s="1348"/>
      <c r="B1799" s="1351" t="s">
        <v>2833</v>
      </c>
      <c r="C1799" s="1348">
        <v>91819</v>
      </c>
      <c r="H1799" s="1308"/>
      <c r="K1799" s="1308"/>
      <c r="P1799" s="1308"/>
    </row>
    <row r="1800" spans="1:16" x14ac:dyDescent="0.25">
      <c r="A1800" s="1348"/>
      <c r="B1800" s="1351" t="s">
        <v>4673</v>
      </c>
      <c r="C1800" s="1348">
        <v>96371</v>
      </c>
      <c r="H1800" s="1308"/>
      <c r="K1800" s="1308"/>
      <c r="P1800" s="1308"/>
    </row>
    <row r="1801" spans="1:16" x14ac:dyDescent="0.25">
      <c r="A1801" s="1348"/>
      <c r="B1801" s="1351" t="s">
        <v>4674</v>
      </c>
      <c r="C1801" s="1348">
        <v>96441</v>
      </c>
      <c r="H1801" s="1308"/>
      <c r="K1801" s="1308"/>
      <c r="P1801" s="1308"/>
    </row>
    <row r="1802" spans="1:16" x14ac:dyDescent="0.25">
      <c r="A1802" s="1348"/>
      <c r="B1802" s="1351" t="s">
        <v>4675</v>
      </c>
      <c r="C1802" s="1348">
        <v>90921</v>
      </c>
      <c r="H1802" s="1308"/>
      <c r="K1802" s="1308"/>
      <c r="P1802" s="1308"/>
    </row>
    <row r="1803" spans="1:16" x14ac:dyDescent="0.25">
      <c r="A1803" s="1348"/>
      <c r="B1803" s="1351" t="s">
        <v>4676</v>
      </c>
      <c r="C1803" s="1348">
        <v>92411</v>
      </c>
      <c r="H1803" s="1308"/>
      <c r="K1803" s="1308"/>
      <c r="P1803" s="1308"/>
    </row>
    <row r="1804" spans="1:16" x14ac:dyDescent="0.25">
      <c r="A1804" s="1348"/>
      <c r="B1804" s="1351" t="s">
        <v>2871</v>
      </c>
      <c r="C1804" s="1348">
        <v>92417</v>
      </c>
      <c r="H1804" s="1308"/>
      <c r="K1804" s="1308"/>
      <c r="P1804" s="1308"/>
    </row>
    <row r="1805" spans="1:16" x14ac:dyDescent="0.25">
      <c r="A1805" s="1348"/>
      <c r="B1805" s="1351" t="s">
        <v>2869</v>
      </c>
      <c r="C1805" s="1348">
        <v>92403</v>
      </c>
      <c r="H1805" s="1308"/>
      <c r="K1805" s="1308"/>
      <c r="P1805" s="1308"/>
    </row>
    <row r="1806" spans="1:16" x14ac:dyDescent="0.25">
      <c r="A1806" s="1348"/>
      <c r="B1806" s="1351" t="s">
        <v>3519</v>
      </c>
      <c r="C1806" s="1348">
        <v>99701</v>
      </c>
      <c r="H1806" s="1308"/>
      <c r="K1806" s="1308"/>
      <c r="P1806" s="1308"/>
    </row>
    <row r="1807" spans="1:16" x14ac:dyDescent="0.25">
      <c r="A1807" s="1348"/>
      <c r="B1807" s="1351" t="s">
        <v>4677</v>
      </c>
      <c r="C1807" s="1348">
        <v>99721</v>
      </c>
      <c r="H1807" s="1308"/>
      <c r="K1807" s="1308"/>
      <c r="P1807" s="1308"/>
    </row>
    <row r="1808" spans="1:16" x14ac:dyDescent="0.25">
      <c r="A1808" s="1348"/>
      <c r="B1808" s="1351" t="s">
        <v>3524</v>
      </c>
      <c r="C1808" s="1348">
        <v>99727</v>
      </c>
      <c r="H1808" s="1308"/>
      <c r="K1808" s="1308"/>
      <c r="P1808" s="1308"/>
    </row>
    <row r="1809" spans="1:16" x14ac:dyDescent="0.25">
      <c r="A1809" s="1348"/>
      <c r="B1809" s="1351" t="s">
        <v>4678</v>
      </c>
      <c r="C1809" s="1348">
        <v>95811</v>
      </c>
      <c r="H1809" s="1308"/>
      <c r="K1809" s="1308"/>
      <c r="P1809" s="1308"/>
    </row>
    <row r="1810" spans="1:16" x14ac:dyDescent="0.25">
      <c r="A1810" s="1348"/>
      <c r="B1810" s="1351" t="s">
        <v>3166</v>
      </c>
      <c r="C1810" s="1348">
        <v>95813</v>
      </c>
      <c r="H1810" s="1308"/>
      <c r="K1810" s="1308"/>
      <c r="P1810" s="1308"/>
    </row>
    <row r="1811" spans="1:16" x14ac:dyDescent="0.25">
      <c r="A1811" s="1348"/>
      <c r="B1811" s="1351" t="s">
        <v>4679</v>
      </c>
      <c r="C1811" s="1348">
        <v>96531</v>
      </c>
      <c r="H1811" s="1308"/>
      <c r="K1811" s="1308"/>
      <c r="P1811" s="1308"/>
    </row>
    <row r="1812" spans="1:16" x14ac:dyDescent="0.25">
      <c r="A1812" s="1348"/>
      <c r="B1812" s="1351" t="s">
        <v>3692</v>
      </c>
      <c r="C1812" s="1348">
        <v>96503</v>
      </c>
      <c r="H1812" s="1308"/>
      <c r="K1812" s="1308"/>
      <c r="P1812" s="1308"/>
    </row>
    <row r="1813" spans="1:16" x14ac:dyDescent="0.25">
      <c r="A1813" s="1348"/>
      <c r="B1813" s="1351" t="s">
        <v>2636</v>
      </c>
      <c r="C1813" s="1348">
        <v>99811</v>
      </c>
      <c r="H1813" s="1308"/>
      <c r="K1813" s="1308"/>
      <c r="P1813" s="1308"/>
    </row>
    <row r="1814" spans="1:16" x14ac:dyDescent="0.25">
      <c r="A1814" s="1348"/>
      <c r="B1814" s="1351" t="s">
        <v>4680</v>
      </c>
      <c r="C1814" s="1348">
        <v>99818</v>
      </c>
      <c r="H1814" s="1308"/>
      <c r="K1814" s="1308"/>
      <c r="P1814" s="1308"/>
    </row>
    <row r="1815" spans="1:16" x14ac:dyDescent="0.25">
      <c r="A1815" s="1348"/>
      <c r="B1815" s="1351" t="s">
        <v>3525</v>
      </c>
      <c r="C1815" s="1348">
        <v>99801</v>
      </c>
      <c r="H1815" s="1308"/>
      <c r="K1815" s="1308"/>
      <c r="P1815" s="1308"/>
    </row>
    <row r="1816" spans="1:16" x14ac:dyDescent="0.25">
      <c r="A1816" s="1348"/>
      <c r="B1816" s="1351" t="s">
        <v>3527</v>
      </c>
      <c r="C1816" s="1348">
        <v>99804</v>
      </c>
      <c r="H1816" s="1308"/>
      <c r="K1816" s="1308"/>
      <c r="P1816" s="1308"/>
    </row>
    <row r="1817" spans="1:16" x14ac:dyDescent="0.25">
      <c r="A1817" s="1348"/>
      <c r="B1817" s="1351" t="s">
        <v>4233</v>
      </c>
      <c r="C1817" s="1348">
        <v>99802</v>
      </c>
      <c r="H1817" s="1308"/>
      <c r="K1817" s="1308"/>
      <c r="P1817" s="1308"/>
    </row>
    <row r="1818" spans="1:16" x14ac:dyDescent="0.25">
      <c r="A1818" s="1348"/>
      <c r="B1818" s="1351" t="s">
        <v>3529</v>
      </c>
      <c r="C1818" s="1348">
        <v>99812</v>
      </c>
      <c r="H1818" s="1308"/>
      <c r="K1818" s="1308"/>
      <c r="P1818" s="1308"/>
    </row>
    <row r="1819" spans="1:16" x14ac:dyDescent="0.25">
      <c r="A1819" s="1348"/>
      <c r="B1819" s="1351" t="s">
        <v>4681</v>
      </c>
      <c r="C1819" s="1348">
        <v>95191</v>
      </c>
      <c r="H1819" s="1308"/>
      <c r="K1819" s="1308"/>
      <c r="P1819" s="1308"/>
    </row>
    <row r="1820" spans="1:16" x14ac:dyDescent="0.25">
      <c r="A1820" s="1348"/>
      <c r="B1820" s="1351" t="s">
        <v>4682</v>
      </c>
      <c r="C1820" s="1348">
        <v>90812</v>
      </c>
      <c r="H1820" s="1308"/>
      <c r="K1820" s="1308"/>
      <c r="P1820" s="1308"/>
    </row>
    <row r="1821" spans="1:16" x14ac:dyDescent="0.25">
      <c r="A1821" s="1348"/>
      <c r="B1821" s="1351" t="s">
        <v>4683</v>
      </c>
      <c r="C1821" s="1348">
        <v>97221</v>
      </c>
      <c r="H1821" s="1308"/>
      <c r="K1821" s="1308"/>
      <c r="P1821" s="1308"/>
    </row>
    <row r="1822" spans="1:16" x14ac:dyDescent="0.25">
      <c r="A1822" s="1348"/>
      <c r="B1822" s="1351" t="s">
        <v>4684</v>
      </c>
      <c r="C1822" s="1348">
        <v>99031</v>
      </c>
      <c r="H1822" s="1308"/>
      <c r="K1822" s="1308"/>
      <c r="P1822" s="1308"/>
    </row>
    <row r="1823" spans="1:16" x14ac:dyDescent="0.25">
      <c r="A1823" s="1348"/>
      <c r="B1823" s="1351" t="s">
        <v>4685</v>
      </c>
      <c r="C1823" s="1348">
        <v>93411</v>
      </c>
      <c r="H1823" s="1308"/>
      <c r="K1823" s="1308"/>
      <c r="P1823" s="1308"/>
    </row>
    <row r="1824" spans="1:16" x14ac:dyDescent="0.25">
      <c r="A1824" s="1348"/>
      <c r="B1824" s="1351" t="s">
        <v>2971</v>
      </c>
      <c r="C1824" s="1348">
        <v>93413</v>
      </c>
      <c r="H1824" s="1308"/>
      <c r="K1824" s="1308"/>
      <c r="P1824" s="1308"/>
    </row>
    <row r="1825" spans="1:16" x14ac:dyDescent="0.25">
      <c r="A1825" s="1348"/>
      <c r="B1825" s="1351" t="s">
        <v>4686</v>
      </c>
      <c r="C1825" s="1348">
        <v>97451</v>
      </c>
      <c r="H1825" s="1308"/>
      <c r="K1825" s="1308"/>
      <c r="P1825" s="1308"/>
    </row>
    <row r="1826" spans="1:16" x14ac:dyDescent="0.25">
      <c r="A1826" s="1348"/>
      <c r="B1826" s="1351" t="s">
        <v>4687</v>
      </c>
      <c r="C1826" s="1348">
        <v>94631</v>
      </c>
      <c r="H1826" s="1308"/>
      <c r="K1826" s="1308"/>
      <c r="P1826" s="1308"/>
    </row>
    <row r="1827" spans="1:16" x14ac:dyDescent="0.25">
      <c r="A1827" s="1348"/>
      <c r="B1827" s="1351" t="s">
        <v>4688</v>
      </c>
      <c r="C1827" s="1348">
        <v>91171</v>
      </c>
      <c r="H1827" s="1308"/>
      <c r="K1827" s="1308"/>
      <c r="P1827" s="1308"/>
    </row>
    <row r="1828" spans="1:16" x14ac:dyDescent="0.25">
      <c r="A1828" s="1348"/>
      <c r="B1828" s="1351" t="s">
        <v>2757</v>
      </c>
      <c r="C1828" s="1348">
        <v>91104</v>
      </c>
      <c r="H1828" s="1308"/>
      <c r="K1828" s="1308"/>
      <c r="P1828" s="1308"/>
    </row>
    <row r="1829" spans="1:16" x14ac:dyDescent="0.25">
      <c r="A1829" s="1348"/>
      <c r="B1829" s="1351" t="s">
        <v>4134</v>
      </c>
      <c r="C1829" s="1348">
        <v>91109</v>
      </c>
      <c r="H1829" s="1308"/>
      <c r="K1829" s="1308"/>
      <c r="P1829" s="1308"/>
    </row>
    <row r="1830" spans="1:16" x14ac:dyDescent="0.25">
      <c r="A1830" s="1348"/>
      <c r="B1830" s="1351" t="s">
        <v>4689</v>
      </c>
      <c r="C1830" s="1348">
        <v>96621</v>
      </c>
      <c r="H1830" s="1308"/>
      <c r="K1830" s="1308"/>
      <c r="P1830" s="1308"/>
    </row>
    <row r="1831" spans="1:16" x14ac:dyDescent="0.25">
      <c r="A1831" s="1348"/>
      <c r="B1831" s="1351" t="s">
        <v>4690</v>
      </c>
      <c r="C1831" s="1348">
        <v>96511</v>
      </c>
      <c r="H1831" s="1308"/>
      <c r="K1831" s="1308"/>
      <c r="P1831" s="1308"/>
    </row>
    <row r="1832" spans="1:16" x14ac:dyDescent="0.25">
      <c r="A1832" s="1348"/>
      <c r="B1832" s="1351" t="s">
        <v>3535</v>
      </c>
      <c r="C1832" s="1348">
        <v>99901</v>
      </c>
      <c r="H1832" s="1308"/>
      <c r="K1832" s="1308"/>
      <c r="P1832" s="1308"/>
    </row>
    <row r="1833" spans="1:16" x14ac:dyDescent="0.25">
      <c r="A1833" s="1348"/>
      <c r="B1833" s="1351" t="s">
        <v>4691</v>
      </c>
      <c r="C1833" s="1348">
        <v>98604</v>
      </c>
      <c r="H1833" s="1308"/>
      <c r="K1833" s="1308"/>
      <c r="P1833" s="1308"/>
    </row>
    <row r="1834" spans="1:16" x14ac:dyDescent="0.25">
      <c r="A1834" s="1348"/>
      <c r="B1834" s="1351" t="s">
        <v>3429</v>
      </c>
      <c r="C1834" s="1348">
        <v>98608</v>
      </c>
      <c r="H1834" s="1308"/>
      <c r="K1834" s="1308"/>
      <c r="P1834" s="1308"/>
    </row>
    <row r="1835" spans="1:16" x14ac:dyDescent="0.25">
      <c r="A1835" s="1348"/>
      <c r="B1835" s="1351" t="s">
        <v>4692</v>
      </c>
      <c r="C1835" s="1348">
        <v>99911</v>
      </c>
      <c r="H1835" s="1308"/>
      <c r="K1835" s="1308"/>
      <c r="P1835" s="1308"/>
    </row>
    <row r="1836" spans="1:16" x14ac:dyDescent="0.25">
      <c r="A1836" s="1348"/>
      <c r="B1836" s="1351" t="s">
        <v>2657</v>
      </c>
      <c r="C1836" s="1348">
        <v>90001</v>
      </c>
      <c r="H1836" s="1308"/>
      <c r="K1836" s="1308"/>
      <c r="P1836" s="1308"/>
    </row>
    <row r="1837" spans="1:16" x14ac:dyDescent="0.25">
      <c r="A1837" s="1348"/>
      <c r="B1837" s="1351" t="s">
        <v>4693</v>
      </c>
      <c r="C1837" s="1348">
        <v>90002</v>
      </c>
      <c r="H1837" s="1308"/>
      <c r="K1837" s="1308"/>
      <c r="P1837" s="1308"/>
    </row>
    <row r="1838" spans="1:16" x14ac:dyDescent="0.25">
      <c r="A1838" s="1348"/>
      <c r="B1838" s="1351" t="s">
        <v>4694</v>
      </c>
      <c r="C1838" s="1348">
        <v>91719</v>
      </c>
      <c r="H1838" s="1308"/>
      <c r="K1838" s="1308"/>
      <c r="P1838" s="1308"/>
    </row>
    <row r="1839" spans="1:16" x14ac:dyDescent="0.25">
      <c r="A1839" s="1348"/>
      <c r="B1839" s="1351" t="s">
        <v>4695</v>
      </c>
      <c r="C1839" s="1348">
        <v>93541</v>
      </c>
      <c r="H1839" s="1308"/>
      <c r="K1839" s="1308"/>
      <c r="P1839" s="1308"/>
    </row>
    <row r="1840" spans="1:16" x14ac:dyDescent="0.25">
      <c r="A1840" s="1348"/>
      <c r="B1840" s="1351" t="s">
        <v>4696</v>
      </c>
      <c r="C1840" s="1348">
        <v>99241</v>
      </c>
      <c r="H1840" s="1308"/>
      <c r="K1840" s="1308"/>
      <c r="P1840" s="1308"/>
    </row>
    <row r="1841" spans="1:16" x14ac:dyDescent="0.25">
      <c r="A1841" s="1348"/>
      <c r="B1841" s="1356"/>
      <c r="H1841" s="1308"/>
      <c r="K1841" s="1308"/>
      <c r="P1841" s="1308"/>
    </row>
    <row r="1842" spans="1:16" x14ac:dyDescent="0.25">
      <c r="B1842" s="1356"/>
      <c r="H1842" s="1308"/>
      <c r="K1842" s="1308"/>
      <c r="P1842" s="1308"/>
    </row>
    <row r="1843" spans="1:16" x14ac:dyDescent="0.25">
      <c r="B1843" s="1356"/>
      <c r="H1843" s="1308"/>
      <c r="K1843" s="1308"/>
      <c r="P1843" s="1308"/>
    </row>
    <row r="1844" spans="1:16" x14ac:dyDescent="0.25">
      <c r="B1844" s="1356"/>
      <c r="H1844" s="1308"/>
      <c r="K1844" s="1308"/>
      <c r="P1844" s="1308"/>
    </row>
    <row r="1845" spans="1:16" x14ac:dyDescent="0.25">
      <c r="B1845" s="1356"/>
      <c r="H1845" s="1308"/>
      <c r="K1845" s="1308"/>
      <c r="P1845" s="1308"/>
    </row>
    <row r="1846" spans="1:16" x14ac:dyDescent="0.25">
      <c r="B1846" s="1356"/>
      <c r="H1846" s="1308"/>
      <c r="K1846" s="1308"/>
      <c r="P1846" s="1308"/>
    </row>
    <row r="1847" spans="1:16" x14ac:dyDescent="0.25">
      <c r="B1847" s="1356"/>
      <c r="H1847" s="1308"/>
      <c r="K1847" s="1308"/>
      <c r="P1847" s="1308"/>
    </row>
    <row r="1848" spans="1:16" x14ac:dyDescent="0.25">
      <c r="B1848" s="1356"/>
      <c r="H1848" s="1308"/>
      <c r="K1848" s="1308"/>
      <c r="P1848" s="1308"/>
    </row>
    <row r="1849" spans="1:16" x14ac:dyDescent="0.25">
      <c r="B1849" s="1356"/>
      <c r="H1849" s="1308"/>
      <c r="K1849" s="1308"/>
      <c r="P1849" s="1308"/>
    </row>
    <row r="1850" spans="1:16" x14ac:dyDescent="0.25">
      <c r="B1850" s="1356"/>
      <c r="H1850" s="1308"/>
      <c r="K1850" s="1308"/>
      <c r="P1850" s="1308"/>
    </row>
    <row r="1851" spans="1:16" x14ac:dyDescent="0.25">
      <c r="B1851" s="1356"/>
      <c r="H1851" s="1308"/>
      <c r="K1851" s="1308"/>
      <c r="P1851" s="1308"/>
    </row>
    <row r="1852" spans="1:16" x14ac:dyDescent="0.25">
      <c r="B1852" s="1356"/>
      <c r="H1852" s="1308"/>
      <c r="K1852" s="1308"/>
      <c r="P1852" s="1308"/>
    </row>
    <row r="1853" spans="1:16" x14ac:dyDescent="0.25">
      <c r="B1853" s="1356"/>
      <c r="H1853" s="1308"/>
      <c r="K1853" s="1308"/>
      <c r="P1853" s="1308"/>
    </row>
    <row r="1854" spans="1:16" x14ac:dyDescent="0.25">
      <c r="B1854" s="1356"/>
      <c r="H1854" s="1308"/>
      <c r="K1854" s="1308"/>
      <c r="P1854" s="1308"/>
    </row>
    <row r="1855" spans="1:16" x14ac:dyDescent="0.25">
      <c r="B1855" s="1356"/>
      <c r="H1855" s="1308"/>
      <c r="K1855" s="1308"/>
      <c r="P1855" s="1308"/>
    </row>
    <row r="1856" spans="1:16" x14ac:dyDescent="0.25">
      <c r="B1856" s="1356"/>
      <c r="H1856" s="1308"/>
      <c r="K1856" s="1308"/>
      <c r="P1856" s="1308"/>
    </row>
    <row r="1857" spans="2:16" x14ac:dyDescent="0.25">
      <c r="B1857" s="1356"/>
      <c r="H1857" s="1308"/>
      <c r="K1857" s="1308"/>
      <c r="P1857" s="1308"/>
    </row>
    <row r="1858" spans="2:16" x14ac:dyDescent="0.25">
      <c r="B1858" s="1356"/>
      <c r="H1858" s="1308"/>
      <c r="K1858" s="1308"/>
      <c r="P1858" s="1308"/>
    </row>
    <row r="1859" spans="2:16" x14ac:dyDescent="0.25">
      <c r="B1859" s="1356"/>
      <c r="H1859" s="1308"/>
      <c r="K1859" s="1308"/>
      <c r="P1859" s="1308"/>
    </row>
    <row r="1860" spans="2:16" x14ac:dyDescent="0.25">
      <c r="B1860" s="1356"/>
      <c r="H1860" s="1308"/>
      <c r="K1860" s="1308"/>
      <c r="P1860" s="1308"/>
    </row>
    <row r="1861" spans="2:16" x14ac:dyDescent="0.25">
      <c r="B1861" s="1356"/>
      <c r="H1861" s="1308"/>
      <c r="K1861" s="1308"/>
      <c r="P1861" s="1308"/>
    </row>
    <row r="1862" spans="2:16" x14ac:dyDescent="0.25">
      <c r="B1862" s="1356"/>
      <c r="H1862" s="1308"/>
      <c r="K1862" s="1308"/>
      <c r="P1862" s="1308"/>
    </row>
    <row r="1863" spans="2:16" x14ac:dyDescent="0.25">
      <c r="B1863" s="1356"/>
      <c r="H1863" s="1308"/>
      <c r="K1863" s="1308"/>
      <c r="P1863" s="1308"/>
    </row>
    <row r="1864" spans="2:16" x14ac:dyDescent="0.25">
      <c r="B1864" s="1356"/>
      <c r="H1864" s="1308"/>
      <c r="K1864" s="1308"/>
      <c r="P1864" s="1308"/>
    </row>
    <row r="1865" spans="2:16" x14ac:dyDescent="0.25">
      <c r="B1865" s="1356"/>
      <c r="H1865" s="1308"/>
      <c r="K1865" s="1308"/>
      <c r="P1865" s="1308"/>
    </row>
    <row r="1866" spans="2:16" x14ac:dyDescent="0.25">
      <c r="B1866" s="1356"/>
      <c r="H1866" s="1308"/>
      <c r="K1866" s="1308"/>
      <c r="P1866" s="1308"/>
    </row>
    <row r="1867" spans="2:16" x14ac:dyDescent="0.25">
      <c r="B1867" s="1356"/>
      <c r="H1867" s="1308"/>
      <c r="K1867" s="1308"/>
      <c r="P1867" s="1308"/>
    </row>
    <row r="1868" spans="2:16" x14ac:dyDescent="0.25">
      <c r="B1868" s="1356"/>
      <c r="H1868" s="1308"/>
      <c r="K1868" s="1308"/>
      <c r="P1868" s="1308"/>
    </row>
    <row r="1869" spans="2:16" x14ac:dyDescent="0.25">
      <c r="B1869" s="1356"/>
      <c r="H1869" s="1308"/>
      <c r="K1869" s="1308"/>
      <c r="P1869" s="1308"/>
    </row>
    <row r="1870" spans="2:16" x14ac:dyDescent="0.25">
      <c r="B1870" s="1356"/>
      <c r="H1870" s="1308"/>
      <c r="K1870" s="1308"/>
      <c r="P1870" s="1308"/>
    </row>
    <row r="1871" spans="2:16" x14ac:dyDescent="0.25">
      <c r="B1871" s="1356"/>
      <c r="H1871" s="1308"/>
      <c r="K1871" s="1308"/>
      <c r="P1871" s="1308"/>
    </row>
    <row r="1872" spans="2:16" x14ac:dyDescent="0.25">
      <c r="B1872" s="1356"/>
      <c r="H1872" s="1308"/>
      <c r="K1872" s="1308"/>
      <c r="P1872" s="1308"/>
    </row>
    <row r="1873" spans="2:16" x14ac:dyDescent="0.25">
      <c r="B1873" s="1356"/>
      <c r="H1873" s="1308"/>
      <c r="K1873" s="1308"/>
      <c r="P1873" s="1308"/>
    </row>
    <row r="1874" spans="2:16" x14ac:dyDescent="0.25">
      <c r="B1874" s="1356"/>
      <c r="H1874" s="1308"/>
      <c r="K1874" s="1308"/>
      <c r="P1874" s="1308"/>
    </row>
    <row r="1875" spans="2:16" x14ac:dyDescent="0.25">
      <c r="B1875" s="1356"/>
      <c r="H1875" s="1308"/>
      <c r="K1875" s="1308"/>
      <c r="P1875" s="1308"/>
    </row>
    <row r="1876" spans="2:16" x14ac:dyDescent="0.25">
      <c r="B1876" s="1356"/>
      <c r="H1876" s="1308"/>
      <c r="K1876" s="1308"/>
      <c r="P1876" s="1308"/>
    </row>
    <row r="1877" spans="2:16" x14ac:dyDescent="0.25">
      <c r="B1877" s="1356"/>
      <c r="H1877" s="1308"/>
      <c r="K1877" s="1308"/>
      <c r="P1877" s="1308"/>
    </row>
    <row r="1878" spans="2:16" x14ac:dyDescent="0.25">
      <c r="B1878" s="1356"/>
      <c r="H1878" s="1308"/>
      <c r="K1878" s="1308"/>
      <c r="P1878" s="1308"/>
    </row>
    <row r="1879" spans="2:16" x14ac:dyDescent="0.25">
      <c r="B1879" s="1356"/>
      <c r="H1879" s="1308"/>
      <c r="K1879" s="1308"/>
      <c r="P1879" s="1308"/>
    </row>
    <row r="1880" spans="2:16" x14ac:dyDescent="0.25">
      <c r="B1880" s="1356"/>
      <c r="H1880" s="1308"/>
      <c r="K1880" s="1308"/>
      <c r="P1880" s="1308"/>
    </row>
    <row r="1881" spans="2:16" x14ac:dyDescent="0.25">
      <c r="B1881" s="1356"/>
      <c r="H1881" s="1308"/>
      <c r="K1881" s="1308"/>
      <c r="P1881" s="1308"/>
    </row>
    <row r="1882" spans="2:16" x14ac:dyDescent="0.25">
      <c r="B1882" s="1356"/>
      <c r="H1882" s="1308"/>
      <c r="K1882" s="1308"/>
      <c r="P1882" s="1308"/>
    </row>
    <row r="1883" spans="2:16" x14ac:dyDescent="0.25">
      <c r="B1883" s="1356"/>
      <c r="H1883" s="1308"/>
      <c r="K1883" s="1308"/>
      <c r="P1883" s="1308"/>
    </row>
    <row r="1884" spans="2:16" x14ac:dyDescent="0.25">
      <c r="B1884" s="1356"/>
      <c r="H1884" s="1308"/>
      <c r="K1884" s="1308"/>
      <c r="P1884" s="1308"/>
    </row>
    <row r="1885" spans="2:16" x14ac:dyDescent="0.25">
      <c r="B1885" s="1356"/>
      <c r="H1885" s="1308"/>
      <c r="K1885" s="1308"/>
      <c r="P1885" s="1308"/>
    </row>
    <row r="1886" spans="2:16" x14ac:dyDescent="0.25">
      <c r="B1886" s="1356"/>
      <c r="H1886" s="1308"/>
      <c r="K1886" s="1308"/>
      <c r="P1886" s="1308"/>
    </row>
    <row r="1887" spans="2:16" x14ac:dyDescent="0.25">
      <c r="B1887" s="1356"/>
      <c r="H1887" s="1308"/>
      <c r="K1887" s="1308"/>
      <c r="P1887" s="1308"/>
    </row>
    <row r="1888" spans="2:16" x14ac:dyDescent="0.25">
      <c r="B1888" s="1356"/>
      <c r="H1888" s="1308"/>
      <c r="K1888" s="1308"/>
      <c r="P1888" s="1308"/>
    </row>
    <row r="1889" spans="2:16" x14ac:dyDescent="0.25">
      <c r="B1889" s="1356"/>
      <c r="H1889" s="1308"/>
      <c r="K1889" s="1308"/>
      <c r="P1889" s="1308"/>
    </row>
    <row r="1890" spans="2:16" x14ac:dyDescent="0.25">
      <c r="B1890" s="1356"/>
      <c r="H1890" s="1308"/>
      <c r="K1890" s="1308"/>
      <c r="P1890" s="1308"/>
    </row>
    <row r="1891" spans="2:16" x14ac:dyDescent="0.25">
      <c r="B1891" s="1356"/>
      <c r="H1891" s="1308"/>
      <c r="K1891" s="1308"/>
      <c r="P1891" s="1308"/>
    </row>
    <row r="1892" spans="2:16" x14ac:dyDescent="0.25">
      <c r="B1892" s="1356"/>
      <c r="H1892" s="1308"/>
      <c r="K1892" s="1308"/>
      <c r="P1892" s="1308"/>
    </row>
    <row r="1893" spans="2:16" x14ac:dyDescent="0.25">
      <c r="B1893" s="1356"/>
      <c r="H1893" s="1308"/>
      <c r="K1893" s="1308"/>
      <c r="P1893" s="1308"/>
    </row>
    <row r="1894" spans="2:16" x14ac:dyDescent="0.25">
      <c r="B1894" s="1356"/>
      <c r="H1894" s="1308"/>
      <c r="K1894" s="1308"/>
      <c r="P1894" s="1308"/>
    </row>
    <row r="1895" spans="2:16" x14ac:dyDescent="0.25">
      <c r="B1895" s="1356"/>
      <c r="H1895" s="1308"/>
      <c r="K1895" s="1308"/>
      <c r="P1895" s="1308"/>
    </row>
    <row r="1896" spans="2:16" x14ac:dyDescent="0.25">
      <c r="B1896" s="1356"/>
      <c r="H1896" s="1308"/>
      <c r="K1896" s="1308"/>
      <c r="P1896" s="1308"/>
    </row>
    <row r="1897" spans="2:16" x14ac:dyDescent="0.25">
      <c r="B1897" s="1356"/>
      <c r="H1897" s="1308"/>
      <c r="K1897" s="1308"/>
      <c r="P1897" s="1308"/>
    </row>
    <row r="1898" spans="2:16" x14ac:dyDescent="0.25">
      <c r="B1898" s="1356"/>
      <c r="H1898" s="1308"/>
      <c r="K1898" s="1308"/>
      <c r="P1898" s="1308"/>
    </row>
    <row r="1899" spans="2:16" x14ac:dyDescent="0.25">
      <c r="B1899" s="1356"/>
      <c r="H1899" s="1308"/>
      <c r="K1899" s="1308"/>
      <c r="P1899" s="1308"/>
    </row>
    <row r="1900" spans="2:16" x14ac:dyDescent="0.25">
      <c r="B1900" s="1356"/>
      <c r="H1900" s="1308"/>
      <c r="K1900" s="1308"/>
      <c r="P1900" s="1308"/>
    </row>
    <row r="1901" spans="2:16" x14ac:dyDescent="0.25">
      <c r="B1901" s="1356"/>
      <c r="H1901" s="1308"/>
      <c r="K1901" s="1308"/>
      <c r="P1901" s="1308"/>
    </row>
    <row r="1902" spans="2:16" x14ac:dyDescent="0.25">
      <c r="B1902" s="1356"/>
      <c r="H1902" s="1308"/>
      <c r="K1902" s="1308"/>
      <c r="P1902" s="1308"/>
    </row>
    <row r="1903" spans="2:16" x14ac:dyDescent="0.25">
      <c r="B1903" s="1356"/>
      <c r="H1903" s="1308"/>
      <c r="K1903" s="1308"/>
      <c r="P1903" s="1308"/>
    </row>
    <row r="1904" spans="2:16" x14ac:dyDescent="0.25">
      <c r="B1904" s="1356"/>
      <c r="H1904" s="1308"/>
      <c r="K1904" s="1308"/>
      <c r="P1904" s="1308"/>
    </row>
    <row r="1905" spans="2:16" x14ac:dyDescent="0.25">
      <c r="B1905" s="1356"/>
      <c r="H1905" s="1308"/>
      <c r="K1905" s="1308"/>
      <c r="P1905" s="1308"/>
    </row>
    <row r="1906" spans="2:16" x14ac:dyDescent="0.25">
      <c r="B1906" s="1356"/>
      <c r="H1906" s="1308"/>
      <c r="K1906" s="1308"/>
      <c r="P1906" s="1308"/>
    </row>
    <row r="1907" spans="2:16" x14ac:dyDescent="0.25">
      <c r="B1907" s="1356"/>
      <c r="H1907" s="1308"/>
      <c r="K1907" s="1308"/>
      <c r="P1907" s="1308"/>
    </row>
    <row r="1908" spans="2:16" x14ac:dyDescent="0.25">
      <c r="B1908" s="1356"/>
      <c r="H1908" s="1308"/>
      <c r="K1908" s="1308"/>
      <c r="P1908" s="1308"/>
    </row>
    <row r="1909" spans="2:16" x14ac:dyDescent="0.25">
      <c r="B1909" s="1356"/>
      <c r="H1909" s="1308"/>
      <c r="K1909" s="1308"/>
      <c r="P1909" s="1308"/>
    </row>
    <row r="1910" spans="2:16" x14ac:dyDescent="0.25">
      <c r="B1910" s="1356"/>
      <c r="H1910" s="1308"/>
      <c r="K1910" s="1308"/>
      <c r="P1910" s="1308"/>
    </row>
  </sheetData>
  <sheetProtection algorithmName="SHA-512" hashValue="SUZhQ3ehsQVcEWttWMXpyOsmMw39t+gNdYrcnaEZBLzTkHRiKkqNHhl3wkM8Tnb/a+/c9ZaCQ+d0z5+LBo39Sw==" saltValue="bMMV2EX5RpUvTnR975Lckw==" spinCount="100000" sheet="1" objects="1" scenarios="1"/>
  <autoFilter ref="A7:T927" xr:uid="{A86E2DE0-9FF4-4C02-97CB-4D6704BF96EB}">
    <sortState xmlns:xlrd2="http://schemas.microsoft.com/office/spreadsheetml/2017/richdata2" ref="A8:T927">
      <sortCondition descending="1" sortBy="cellColor" ref="A8:A927" dxfId="33"/>
    </sortState>
  </autoFilter>
  <pageMargins left="0.7" right="0.7" top="0.75" bottom="0.75" header="0.3" footer="0.3"/>
  <pageSetup paperSize="5" scale="40" fitToHeight="0" orientation="landscape"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53A58-584B-4339-87CA-547684BF8AC2}">
  <dimension ref="A1:O2366"/>
  <sheetViews>
    <sheetView zoomScaleNormal="100" workbookViewId="0">
      <selection activeCell="C4" sqref="C4:C902"/>
    </sheetView>
  </sheetViews>
  <sheetFormatPr defaultRowHeight="15" x14ac:dyDescent="0.25"/>
  <cols>
    <col min="1" max="1" width="12.140625" style="1357" bestFit="1" customWidth="1"/>
    <col min="2" max="2" width="55.5703125" style="1357" bestFit="1" customWidth="1"/>
    <col min="3" max="3" width="27" style="1370" bestFit="1" customWidth="1"/>
    <col min="4" max="4" width="9.140625" style="1357"/>
    <col min="5" max="5" width="30.140625" style="1323" customWidth="1"/>
    <col min="6" max="6" width="21" style="1323" customWidth="1"/>
    <col min="7" max="7" width="16" style="1323" bestFit="1" customWidth="1"/>
    <col min="8" max="11" width="9.140625" style="1323"/>
    <col min="12" max="12" width="55.5703125" style="1323" bestFit="1" customWidth="1"/>
    <col min="13" max="13" width="19.28515625" style="1323" bestFit="1" customWidth="1"/>
    <col min="14" max="14" width="15.28515625" style="1323" bestFit="1" customWidth="1"/>
    <col min="15" max="15" width="11.5703125" style="1323" bestFit="1" customWidth="1"/>
    <col min="16" max="16384" width="9.140625" style="1323"/>
  </cols>
  <sheetData>
    <row r="1" spans="1:15" ht="15.75" thickBot="1" x14ac:dyDescent="0.3">
      <c r="C1" s="1358">
        <f>SUM(C3:C927)</f>
        <v>528347297.85000002</v>
      </c>
      <c r="E1" s="1359"/>
      <c r="F1" s="1358"/>
      <c r="G1" s="1359"/>
      <c r="M1" s="1359"/>
      <c r="N1" s="1360"/>
      <c r="O1" s="1359"/>
    </row>
    <row r="2" spans="1:15" ht="15.75" thickTop="1" x14ac:dyDescent="0.25">
      <c r="A2" s="1361" t="s">
        <v>4808</v>
      </c>
      <c r="B2" s="1361" t="s">
        <v>4809</v>
      </c>
      <c r="C2" s="1362" t="s">
        <v>4697</v>
      </c>
      <c r="D2" s="1357" t="s">
        <v>4810</v>
      </c>
      <c r="K2" s="1363"/>
      <c r="L2" s="1363"/>
      <c r="M2" s="1364"/>
    </row>
    <row r="3" spans="1:15" x14ac:dyDescent="0.25">
      <c r="A3" s="1365" t="s">
        <v>837</v>
      </c>
      <c r="B3" s="1366" t="s">
        <v>2112</v>
      </c>
      <c r="C3" s="1367"/>
      <c r="K3" s="1368"/>
      <c r="L3" s="1368"/>
      <c r="M3" s="1369"/>
    </row>
    <row r="4" spans="1:15" x14ac:dyDescent="0.25">
      <c r="A4" s="1357">
        <v>70505</v>
      </c>
      <c r="B4" s="1357" t="s">
        <v>2653</v>
      </c>
      <c r="C4" s="1370">
        <v>183801.88</v>
      </c>
      <c r="F4" s="1359"/>
      <c r="M4" s="1360"/>
    </row>
    <row r="5" spans="1:15" x14ac:dyDescent="0.25">
      <c r="A5" s="1357">
        <v>72265</v>
      </c>
      <c r="B5" s="1357" t="s">
        <v>2655</v>
      </c>
      <c r="C5" s="1370">
        <v>79299.899999999994</v>
      </c>
      <c r="F5" s="1359"/>
      <c r="M5" s="1360"/>
    </row>
    <row r="6" spans="1:15" x14ac:dyDescent="0.25">
      <c r="A6" s="1357">
        <v>72593</v>
      </c>
      <c r="B6" s="1357" t="s">
        <v>3681</v>
      </c>
      <c r="C6" s="1370">
        <v>2615.2800000000002</v>
      </c>
      <c r="F6" s="1359"/>
      <c r="M6" s="1360"/>
    </row>
    <row r="7" spans="1:15" x14ac:dyDescent="0.25">
      <c r="A7" s="1357">
        <v>72657</v>
      </c>
      <c r="B7" s="1357" t="s">
        <v>2656</v>
      </c>
      <c r="C7" s="1370">
        <v>17540.32</v>
      </c>
      <c r="F7" s="1359"/>
      <c r="M7" s="1360"/>
    </row>
    <row r="8" spans="1:15" x14ac:dyDescent="0.25">
      <c r="A8" s="1357">
        <v>90001</v>
      </c>
      <c r="B8" s="1357" t="s">
        <v>2657</v>
      </c>
      <c r="C8" s="1370">
        <v>465715.38</v>
      </c>
      <c r="F8" s="1359"/>
      <c r="M8" s="1360"/>
    </row>
    <row r="9" spans="1:15" x14ac:dyDescent="0.25">
      <c r="A9" s="1357">
        <v>90002</v>
      </c>
      <c r="B9" s="1357" t="s">
        <v>2658</v>
      </c>
      <c r="C9" s="1370">
        <v>6756.64</v>
      </c>
      <c r="F9" s="1359"/>
      <c r="M9" s="1360"/>
    </row>
    <row r="10" spans="1:15" x14ac:dyDescent="0.25">
      <c r="A10" s="1357">
        <v>90011</v>
      </c>
      <c r="B10" s="1357" t="s">
        <v>2659</v>
      </c>
      <c r="C10" s="1370">
        <v>96277.11</v>
      </c>
      <c r="F10" s="1359"/>
      <c r="M10" s="1360"/>
    </row>
    <row r="11" spans="1:15" x14ac:dyDescent="0.25">
      <c r="A11" s="1357">
        <v>90092</v>
      </c>
      <c r="B11" s="1357" t="s">
        <v>2660</v>
      </c>
      <c r="C11" s="1370">
        <v>217473.12</v>
      </c>
      <c r="F11" s="1359"/>
      <c r="M11" s="1360"/>
    </row>
    <row r="12" spans="1:15" x14ac:dyDescent="0.25">
      <c r="A12" s="1357">
        <v>90096</v>
      </c>
      <c r="B12" s="1357" t="s">
        <v>2661</v>
      </c>
      <c r="C12" s="1370">
        <v>615648.71</v>
      </c>
      <c r="F12" s="1359"/>
      <c r="M12" s="1360"/>
    </row>
    <row r="13" spans="1:15" x14ac:dyDescent="0.25">
      <c r="A13" s="1357">
        <v>90098</v>
      </c>
      <c r="B13" s="1357" t="s">
        <v>2662</v>
      </c>
      <c r="C13" s="1370">
        <v>143864.85999999999</v>
      </c>
      <c r="F13" s="1359"/>
      <c r="M13" s="1360"/>
    </row>
    <row r="14" spans="1:15" x14ac:dyDescent="0.25">
      <c r="A14" s="1357">
        <v>90099</v>
      </c>
      <c r="B14" s="1357" t="s">
        <v>2663</v>
      </c>
      <c r="C14" s="1370">
        <v>310082.45</v>
      </c>
      <c r="F14" s="1359"/>
      <c r="M14" s="1360"/>
    </row>
    <row r="15" spans="1:15" x14ac:dyDescent="0.25">
      <c r="A15" s="1357">
        <v>90101</v>
      </c>
      <c r="B15" s="1357" t="s">
        <v>2664</v>
      </c>
      <c r="C15" s="1370">
        <v>3260323.37</v>
      </c>
      <c r="F15" s="1359"/>
      <c r="M15" s="1360"/>
    </row>
    <row r="16" spans="1:15" x14ac:dyDescent="0.25">
      <c r="A16" s="1357">
        <v>90111</v>
      </c>
      <c r="B16" s="1357" t="s">
        <v>2665</v>
      </c>
      <c r="C16" s="1370">
        <v>2548497.62</v>
      </c>
      <c r="F16" s="1359"/>
      <c r="M16" s="1360"/>
    </row>
    <row r="17" spans="1:13" x14ac:dyDescent="0.25">
      <c r="A17" s="1357">
        <v>90114</v>
      </c>
      <c r="B17" s="1357" t="s">
        <v>2666</v>
      </c>
      <c r="C17" s="1370">
        <v>1328863.8500000001</v>
      </c>
      <c r="F17" s="1359"/>
      <c r="M17" s="1360"/>
    </row>
    <row r="18" spans="1:13" x14ac:dyDescent="0.25">
      <c r="A18" s="1357">
        <v>90117</v>
      </c>
      <c r="B18" s="1357" t="s">
        <v>2667</v>
      </c>
      <c r="C18" s="1370">
        <v>93023.26</v>
      </c>
      <c r="F18" s="1359"/>
      <c r="M18" s="1360"/>
    </row>
    <row r="19" spans="1:13" x14ac:dyDescent="0.25">
      <c r="A19" s="1357">
        <v>90121</v>
      </c>
      <c r="B19" s="1357" t="s">
        <v>2668</v>
      </c>
      <c r="C19" s="1370">
        <v>532416.04</v>
      </c>
      <c r="F19" s="1359"/>
      <c r="M19" s="1360"/>
    </row>
    <row r="20" spans="1:13" x14ac:dyDescent="0.25">
      <c r="A20" s="1357">
        <v>90131</v>
      </c>
      <c r="B20" s="1357" t="s">
        <v>2669</v>
      </c>
      <c r="C20" s="1370">
        <v>249917.79</v>
      </c>
      <c r="F20" s="1359"/>
      <c r="M20" s="1360"/>
    </row>
    <row r="21" spans="1:13" x14ac:dyDescent="0.25">
      <c r="A21" s="1357">
        <v>90141</v>
      </c>
      <c r="B21" s="1357" t="s">
        <v>2670</v>
      </c>
      <c r="C21" s="1370">
        <v>79960.899999999994</v>
      </c>
      <c r="F21" s="1359"/>
      <c r="M21" s="1360"/>
    </row>
    <row r="22" spans="1:13" x14ac:dyDescent="0.25">
      <c r="A22" s="1357">
        <v>90151</v>
      </c>
      <c r="B22" s="1357" t="s">
        <v>2671</v>
      </c>
      <c r="C22" s="1370">
        <v>3499.32</v>
      </c>
      <c r="F22" s="1359"/>
      <c r="M22" s="1360"/>
    </row>
    <row r="23" spans="1:13" x14ac:dyDescent="0.25">
      <c r="A23" s="1357">
        <v>90161</v>
      </c>
      <c r="B23" s="1357" t="s">
        <v>2672</v>
      </c>
      <c r="C23" s="1370">
        <v>19107.830000000002</v>
      </c>
      <c r="F23" s="1359"/>
      <c r="M23" s="1360"/>
    </row>
    <row r="24" spans="1:13" x14ac:dyDescent="0.25">
      <c r="A24" s="1357">
        <v>90201</v>
      </c>
      <c r="B24" s="1357" t="s">
        <v>2673</v>
      </c>
      <c r="C24" s="1370">
        <v>650654.12</v>
      </c>
      <c r="F24" s="1359"/>
      <c r="M24" s="1360"/>
    </row>
    <row r="25" spans="1:13" x14ac:dyDescent="0.25">
      <c r="A25" s="1357">
        <v>90203</v>
      </c>
      <c r="B25" s="1357" t="s">
        <v>2674</v>
      </c>
      <c r="C25" s="1370">
        <v>108275.74</v>
      </c>
      <c r="F25" s="1359"/>
      <c r="M25" s="1360"/>
    </row>
    <row r="26" spans="1:13" x14ac:dyDescent="0.25">
      <c r="A26" s="1357">
        <v>90205</v>
      </c>
      <c r="B26" s="1357" t="s">
        <v>2675</v>
      </c>
      <c r="C26" s="1370">
        <v>17587.310000000001</v>
      </c>
      <c r="F26" s="1359"/>
      <c r="M26" s="1360"/>
    </row>
    <row r="27" spans="1:13" x14ac:dyDescent="0.25">
      <c r="A27" s="1357">
        <v>90206</v>
      </c>
      <c r="B27" s="1357" t="s">
        <v>2676</v>
      </c>
      <c r="C27" s="1370">
        <v>198714.17</v>
      </c>
      <c r="F27" s="1359"/>
      <c r="M27" s="1360"/>
    </row>
    <row r="28" spans="1:13" x14ac:dyDescent="0.25">
      <c r="A28" s="1357">
        <v>90211</v>
      </c>
      <c r="B28" s="1357" t="s">
        <v>2677</v>
      </c>
      <c r="C28" s="1370">
        <v>84374.14</v>
      </c>
      <c r="F28" s="1359"/>
      <c r="M28" s="1360"/>
    </row>
    <row r="29" spans="1:13" x14ac:dyDescent="0.25">
      <c r="A29" s="1357">
        <v>90301</v>
      </c>
      <c r="B29" s="1357" t="s">
        <v>2678</v>
      </c>
      <c r="C29" s="1370">
        <v>357961.79</v>
      </c>
      <c r="F29" s="1359"/>
      <c r="M29" s="1360"/>
    </row>
    <row r="30" spans="1:13" x14ac:dyDescent="0.25">
      <c r="A30" s="1357">
        <v>90305</v>
      </c>
      <c r="B30" s="1357" t="s">
        <v>2679</v>
      </c>
      <c r="C30" s="1370">
        <v>94586.76</v>
      </c>
      <c r="F30" s="1359"/>
      <c r="M30" s="1360"/>
    </row>
    <row r="31" spans="1:13" x14ac:dyDescent="0.25">
      <c r="A31" s="1357">
        <v>90307</v>
      </c>
      <c r="B31" s="1357" t="s">
        <v>2680</v>
      </c>
      <c r="C31" s="1370">
        <v>4525.25</v>
      </c>
      <c r="F31" s="1359"/>
      <c r="M31" s="1360"/>
    </row>
    <row r="32" spans="1:13" x14ac:dyDescent="0.25">
      <c r="A32" s="1357">
        <v>90401</v>
      </c>
      <c r="B32" s="1357" t="s">
        <v>2681</v>
      </c>
      <c r="C32" s="1370">
        <v>745992.05</v>
      </c>
      <c r="F32" s="1359"/>
      <c r="M32" s="1360"/>
    </row>
    <row r="33" spans="1:13" x14ac:dyDescent="0.25">
      <c r="A33" s="1357">
        <v>90411</v>
      </c>
      <c r="B33" s="1357" t="s">
        <v>2682</v>
      </c>
      <c r="C33" s="1370">
        <v>170773.52</v>
      </c>
      <c r="F33" s="1359"/>
      <c r="M33" s="1360"/>
    </row>
    <row r="34" spans="1:13" x14ac:dyDescent="0.25">
      <c r="A34" s="1357">
        <v>90413</v>
      </c>
      <c r="B34" s="1357" t="s">
        <v>2683</v>
      </c>
      <c r="C34" s="1370">
        <v>20234.72</v>
      </c>
      <c r="F34" s="1359"/>
      <c r="M34" s="1360"/>
    </row>
    <row r="35" spans="1:13" x14ac:dyDescent="0.25">
      <c r="A35" s="1357">
        <v>90417</v>
      </c>
      <c r="B35" s="1357" t="s">
        <v>2684</v>
      </c>
      <c r="C35" s="1370">
        <v>8960.24</v>
      </c>
      <c r="F35" s="1359"/>
      <c r="M35" s="1360"/>
    </row>
    <row r="36" spans="1:13" x14ac:dyDescent="0.25">
      <c r="A36" s="1357">
        <v>90421</v>
      </c>
      <c r="B36" s="1357" t="s">
        <v>2685</v>
      </c>
      <c r="C36" s="1370">
        <v>9929.2199999999993</v>
      </c>
      <c r="F36" s="1359"/>
      <c r="M36" s="1360"/>
    </row>
    <row r="37" spans="1:13" x14ac:dyDescent="0.25">
      <c r="A37" s="1357">
        <v>90431</v>
      </c>
      <c r="B37" s="1357" t="s">
        <v>2686</v>
      </c>
      <c r="C37" s="1370">
        <v>25477.17</v>
      </c>
      <c r="F37" s="1359"/>
      <c r="M37" s="1360"/>
    </row>
    <row r="38" spans="1:13" x14ac:dyDescent="0.25">
      <c r="A38" s="1357">
        <v>90441</v>
      </c>
      <c r="B38" s="1357" t="s">
        <v>2687</v>
      </c>
      <c r="C38" s="1370">
        <v>5476.02</v>
      </c>
      <c r="F38" s="1359"/>
      <c r="M38" s="1360"/>
    </row>
    <row r="39" spans="1:13" x14ac:dyDescent="0.25">
      <c r="A39" s="1357">
        <v>90451</v>
      </c>
      <c r="B39" s="1357" t="s">
        <v>2688</v>
      </c>
      <c r="C39" s="1370">
        <v>11750.47</v>
      </c>
      <c r="F39" s="1359"/>
      <c r="M39" s="1360"/>
    </row>
    <row r="40" spans="1:13" x14ac:dyDescent="0.25">
      <c r="A40" s="1357">
        <v>90461</v>
      </c>
      <c r="B40" s="1357" t="s">
        <v>2689</v>
      </c>
      <c r="C40" s="1370">
        <v>1556.14</v>
      </c>
      <c r="F40" s="1359"/>
      <c r="M40" s="1360"/>
    </row>
    <row r="41" spans="1:13" x14ac:dyDescent="0.25">
      <c r="A41" s="1357">
        <v>90501</v>
      </c>
      <c r="B41" s="1357" t="s">
        <v>2690</v>
      </c>
      <c r="C41" s="1370">
        <v>786568.7</v>
      </c>
      <c r="F41" s="1359"/>
      <c r="M41" s="1360"/>
    </row>
    <row r="42" spans="1:13" x14ac:dyDescent="0.25">
      <c r="A42" s="1357">
        <v>90507</v>
      </c>
      <c r="B42" s="1357" t="s">
        <v>1220</v>
      </c>
      <c r="C42" s="1370">
        <v>9157.0400000000009</v>
      </c>
      <c r="F42" s="1359"/>
      <c r="M42" s="1360"/>
    </row>
    <row r="43" spans="1:13" x14ac:dyDescent="0.25">
      <c r="A43" s="1357">
        <v>90511</v>
      </c>
      <c r="B43" s="1357" t="s">
        <v>2691</v>
      </c>
      <c r="C43" s="1370">
        <v>60485.5</v>
      </c>
      <c r="F43" s="1359"/>
      <c r="M43" s="1360"/>
    </row>
    <row r="44" spans="1:13" x14ac:dyDescent="0.25">
      <c r="A44" s="1357">
        <v>90521</v>
      </c>
      <c r="B44" s="1357" t="s">
        <v>2692</v>
      </c>
      <c r="C44" s="1370">
        <v>60331.17</v>
      </c>
      <c r="F44" s="1359"/>
      <c r="M44" s="1360"/>
    </row>
    <row r="45" spans="1:13" x14ac:dyDescent="0.25">
      <c r="A45" s="1357">
        <v>90601</v>
      </c>
      <c r="B45" s="1357" t="s">
        <v>2693</v>
      </c>
      <c r="C45" s="1370">
        <v>625366.18999999994</v>
      </c>
      <c r="F45" s="1359"/>
      <c r="M45" s="1360"/>
    </row>
    <row r="46" spans="1:13" x14ac:dyDescent="0.25">
      <c r="A46" s="1357">
        <v>90602</v>
      </c>
      <c r="B46" s="1357" t="s">
        <v>2125</v>
      </c>
      <c r="C46" s="1370">
        <v>55243.47</v>
      </c>
      <c r="F46" s="1359"/>
      <c r="M46" s="1360"/>
    </row>
    <row r="47" spans="1:13" x14ac:dyDescent="0.25">
      <c r="A47" s="1357">
        <v>90605</v>
      </c>
      <c r="B47" s="1357" t="s">
        <v>2694</v>
      </c>
      <c r="C47" s="1370">
        <v>28705.34</v>
      </c>
      <c r="F47" s="1359"/>
      <c r="M47" s="1360"/>
    </row>
    <row r="48" spans="1:13" x14ac:dyDescent="0.25">
      <c r="A48" s="1357">
        <v>90611</v>
      </c>
      <c r="B48" s="1357" t="s">
        <v>2695</v>
      </c>
      <c r="C48" s="1370">
        <v>73545.320000000007</v>
      </c>
      <c r="F48" s="1359"/>
      <c r="M48" s="1360"/>
    </row>
    <row r="49" spans="1:13" x14ac:dyDescent="0.25">
      <c r="A49" s="1357">
        <v>90617</v>
      </c>
      <c r="B49" s="1357" t="s">
        <v>2696</v>
      </c>
      <c r="C49" s="1370">
        <v>16833.349999999999</v>
      </c>
      <c r="F49" s="1359"/>
      <c r="M49" s="1360"/>
    </row>
    <row r="50" spans="1:13" x14ac:dyDescent="0.25">
      <c r="A50" s="1357">
        <v>90621</v>
      </c>
      <c r="B50" s="1357" t="s">
        <v>2697</v>
      </c>
      <c r="C50" s="1370">
        <v>35331.75</v>
      </c>
      <c r="F50" s="1359"/>
      <c r="M50" s="1360"/>
    </row>
    <row r="51" spans="1:13" x14ac:dyDescent="0.25">
      <c r="A51" s="1357">
        <v>90631</v>
      </c>
      <c r="B51" s="1357" t="s">
        <v>2698</v>
      </c>
      <c r="C51" s="1370">
        <v>199949.25</v>
      </c>
      <c r="F51" s="1359"/>
      <c r="M51" s="1360"/>
    </row>
    <row r="52" spans="1:13" x14ac:dyDescent="0.25">
      <c r="A52" s="1357">
        <v>90641</v>
      </c>
      <c r="B52" s="1357" t="s">
        <v>2699</v>
      </c>
      <c r="C52" s="1370">
        <v>7645.54</v>
      </c>
      <c r="F52" s="1359"/>
      <c r="M52" s="1360"/>
    </row>
    <row r="53" spans="1:13" x14ac:dyDescent="0.25">
      <c r="A53" s="1357">
        <v>90651</v>
      </c>
      <c r="B53" s="1357" t="s">
        <v>4811</v>
      </c>
      <c r="C53" s="1370">
        <v>110911.29</v>
      </c>
      <c r="F53" s="1359"/>
      <c r="M53" s="1360"/>
    </row>
    <row r="54" spans="1:13" x14ac:dyDescent="0.25">
      <c r="A54" s="1357">
        <v>90701</v>
      </c>
      <c r="B54" s="1357" t="s">
        <v>3682</v>
      </c>
      <c r="C54" s="1370">
        <v>1289223.42</v>
      </c>
      <c r="F54" s="1359"/>
      <c r="M54" s="1360"/>
    </row>
    <row r="55" spans="1:13" x14ac:dyDescent="0.25">
      <c r="A55" s="1357">
        <v>90704</v>
      </c>
      <c r="B55" s="1357" t="s">
        <v>2702</v>
      </c>
      <c r="C55" s="1370">
        <v>31057.26</v>
      </c>
      <c r="F55" s="1359"/>
      <c r="M55" s="1360"/>
    </row>
    <row r="56" spans="1:13" x14ac:dyDescent="0.25">
      <c r="A56" s="1357">
        <v>90705</v>
      </c>
      <c r="B56" s="1357" t="s">
        <v>2703</v>
      </c>
      <c r="C56" s="1370">
        <v>26090.1</v>
      </c>
      <c r="F56" s="1359"/>
      <c r="M56" s="1360"/>
    </row>
    <row r="57" spans="1:13" x14ac:dyDescent="0.25">
      <c r="A57" s="1357">
        <v>90709</v>
      </c>
      <c r="B57" s="1357" t="s">
        <v>2704</v>
      </c>
      <c r="C57" s="1370">
        <v>81763.95</v>
      </c>
      <c r="F57" s="1359"/>
      <c r="M57" s="1360"/>
    </row>
    <row r="58" spans="1:13" x14ac:dyDescent="0.25">
      <c r="A58" s="1357">
        <v>90711</v>
      </c>
      <c r="B58" s="1357" t="s">
        <v>2705</v>
      </c>
      <c r="C58" s="1370">
        <v>820543.64</v>
      </c>
      <c r="F58" s="1359"/>
      <c r="M58" s="1360"/>
    </row>
    <row r="59" spans="1:13" x14ac:dyDescent="0.25">
      <c r="A59" s="1357">
        <v>90721</v>
      </c>
      <c r="B59" s="1357" t="s">
        <v>2706</v>
      </c>
      <c r="C59" s="1370">
        <v>13312.1</v>
      </c>
      <c r="F59" s="1359"/>
      <c r="M59" s="1360"/>
    </row>
    <row r="60" spans="1:13" x14ac:dyDescent="0.25">
      <c r="A60" s="1357">
        <v>90731</v>
      </c>
      <c r="B60" s="1357" t="s">
        <v>2707</v>
      </c>
      <c r="C60" s="1370">
        <v>83710.77</v>
      </c>
      <c r="F60" s="1359"/>
      <c r="M60" s="1360"/>
    </row>
    <row r="61" spans="1:13" x14ac:dyDescent="0.25">
      <c r="A61" s="1357">
        <v>90741</v>
      </c>
      <c r="B61" s="1357" t="s">
        <v>2708</v>
      </c>
      <c r="C61" s="1370">
        <v>7545.18</v>
      </c>
      <c r="F61" s="1359"/>
      <c r="M61" s="1360"/>
    </row>
    <row r="62" spans="1:13" x14ac:dyDescent="0.25">
      <c r="A62" s="1357">
        <v>90751</v>
      </c>
      <c r="B62" s="1357" t="s">
        <v>2709</v>
      </c>
      <c r="C62" s="1370">
        <v>30362.59</v>
      </c>
      <c r="F62" s="1359"/>
      <c r="M62" s="1360"/>
    </row>
    <row r="63" spans="1:13" x14ac:dyDescent="0.25">
      <c r="A63" s="1357">
        <v>90801</v>
      </c>
      <c r="B63" s="1357" t="s">
        <v>2710</v>
      </c>
      <c r="C63" s="1370">
        <v>602531.56000000006</v>
      </c>
      <c r="F63" s="1359"/>
      <c r="M63" s="1360"/>
    </row>
    <row r="64" spans="1:13" x14ac:dyDescent="0.25">
      <c r="A64" s="1357">
        <v>90804</v>
      </c>
      <c r="B64" s="1357" t="s">
        <v>2711</v>
      </c>
      <c r="C64" s="1370">
        <v>2986.02</v>
      </c>
      <c r="F64" s="1359"/>
      <c r="M64" s="1360"/>
    </row>
    <row r="65" spans="1:13" x14ac:dyDescent="0.25">
      <c r="A65" s="1357">
        <v>90805</v>
      </c>
      <c r="B65" s="1357" t="s">
        <v>2712</v>
      </c>
      <c r="C65" s="1370">
        <v>44785.26</v>
      </c>
      <c r="F65" s="1359"/>
      <c r="M65" s="1360"/>
    </row>
    <row r="66" spans="1:13" x14ac:dyDescent="0.25">
      <c r="A66" s="1357">
        <v>90808</v>
      </c>
      <c r="B66" s="1357" t="s">
        <v>2713</v>
      </c>
      <c r="C66" s="1370">
        <v>80247.5</v>
      </c>
      <c r="F66" s="1359"/>
      <c r="M66" s="1360"/>
    </row>
    <row r="67" spans="1:13" x14ac:dyDescent="0.25">
      <c r="A67" s="1357">
        <v>90811</v>
      </c>
      <c r="B67" s="1357" t="s">
        <v>2714</v>
      </c>
      <c r="C67" s="1370">
        <v>15156.78</v>
      </c>
      <c r="F67" s="1359"/>
      <c r="M67" s="1360"/>
    </row>
    <row r="68" spans="1:13" x14ac:dyDescent="0.25">
      <c r="A68" s="1357">
        <v>90812</v>
      </c>
      <c r="B68" s="1357" t="s">
        <v>2715</v>
      </c>
      <c r="C68" s="1370">
        <v>114046.68</v>
      </c>
      <c r="F68" s="1359"/>
      <c r="M68" s="1360"/>
    </row>
    <row r="69" spans="1:13" x14ac:dyDescent="0.25">
      <c r="A69" s="1357">
        <v>90813</v>
      </c>
      <c r="B69" s="1357" t="s">
        <v>2716</v>
      </c>
      <c r="C69" s="1370">
        <v>2274.73</v>
      </c>
      <c r="F69" s="1359"/>
      <c r="M69" s="1360"/>
    </row>
    <row r="70" spans="1:13" x14ac:dyDescent="0.25">
      <c r="A70" s="1357">
        <v>90861</v>
      </c>
      <c r="B70" s="1357" t="s">
        <v>2717</v>
      </c>
      <c r="C70" s="1370">
        <v>7984.29</v>
      </c>
      <c r="F70" s="1359"/>
      <c r="M70" s="1360"/>
    </row>
    <row r="71" spans="1:13" x14ac:dyDescent="0.25">
      <c r="A71" s="1357">
        <v>90901</v>
      </c>
      <c r="B71" s="1357" t="s">
        <v>2718</v>
      </c>
      <c r="C71" s="1370">
        <v>1170638.6100000001</v>
      </c>
      <c r="F71" s="1359"/>
      <c r="M71" s="1360"/>
    </row>
    <row r="72" spans="1:13" x14ac:dyDescent="0.25">
      <c r="A72" s="1357">
        <v>90911</v>
      </c>
      <c r="B72" s="1357" t="s">
        <v>2719</v>
      </c>
      <c r="C72" s="1370">
        <v>183906.7</v>
      </c>
      <c r="F72" s="1359"/>
      <c r="M72" s="1360"/>
    </row>
    <row r="73" spans="1:13" x14ac:dyDescent="0.25">
      <c r="A73" s="1357">
        <v>90917</v>
      </c>
      <c r="B73" s="1357" t="s">
        <v>2720</v>
      </c>
      <c r="C73" s="1370">
        <v>5624.28</v>
      </c>
      <c r="F73" s="1359"/>
      <c r="M73" s="1360"/>
    </row>
    <row r="74" spans="1:13" x14ac:dyDescent="0.25">
      <c r="A74" s="1357">
        <v>90918</v>
      </c>
      <c r="B74" s="1357" t="s">
        <v>2721</v>
      </c>
      <c r="C74" s="1370">
        <v>5360.4</v>
      </c>
      <c r="F74" s="1359"/>
      <c r="M74" s="1360"/>
    </row>
    <row r="75" spans="1:13" x14ac:dyDescent="0.25">
      <c r="A75" s="1357">
        <v>90921</v>
      </c>
      <c r="B75" s="1357" t="s">
        <v>2722</v>
      </c>
      <c r="C75" s="1370">
        <v>69213.990000000005</v>
      </c>
      <c r="F75" s="1359"/>
      <c r="M75" s="1360"/>
    </row>
    <row r="76" spans="1:13" x14ac:dyDescent="0.25">
      <c r="A76" s="1357">
        <v>90931</v>
      </c>
      <c r="B76" s="1357" t="s">
        <v>2723</v>
      </c>
      <c r="C76" s="1370">
        <v>17293.41</v>
      </c>
      <c r="F76" s="1359"/>
      <c r="M76" s="1360"/>
    </row>
    <row r="77" spans="1:13" x14ac:dyDescent="0.25">
      <c r="A77" s="1357">
        <v>90941</v>
      </c>
      <c r="B77" s="1357" t="s">
        <v>2724</v>
      </c>
      <c r="C77" s="1370">
        <v>41268.82</v>
      </c>
      <c r="F77" s="1359"/>
      <c r="M77" s="1360"/>
    </row>
    <row r="78" spans="1:13" x14ac:dyDescent="0.25">
      <c r="A78" s="1357">
        <v>91001</v>
      </c>
      <c r="B78" s="1357" t="s">
        <v>2725</v>
      </c>
      <c r="C78" s="1370">
        <v>3599383.6</v>
      </c>
      <c r="F78" s="1359"/>
      <c r="M78" s="1360"/>
    </row>
    <row r="79" spans="1:13" x14ac:dyDescent="0.25">
      <c r="A79" s="1357">
        <v>91002</v>
      </c>
      <c r="B79" s="1357" t="s">
        <v>2726</v>
      </c>
      <c r="C79" s="1370">
        <v>540811.48</v>
      </c>
      <c r="F79" s="1359"/>
      <c r="M79" s="1360"/>
    </row>
    <row r="80" spans="1:13" x14ac:dyDescent="0.25">
      <c r="A80" s="1357">
        <v>91003</v>
      </c>
      <c r="B80" s="1357" t="s">
        <v>2727</v>
      </c>
      <c r="C80" s="1370">
        <v>311787.37</v>
      </c>
      <c r="F80" s="1359"/>
      <c r="M80" s="1360"/>
    </row>
    <row r="81" spans="1:13" x14ac:dyDescent="0.25">
      <c r="A81" s="1357">
        <v>91004</v>
      </c>
      <c r="B81" s="1357" t="s">
        <v>2728</v>
      </c>
      <c r="C81" s="1370">
        <v>16893.27</v>
      </c>
      <c r="F81" s="1359"/>
      <c r="M81" s="1360"/>
    </row>
    <row r="82" spans="1:13" x14ac:dyDescent="0.25">
      <c r="A82" s="1357">
        <v>91006</v>
      </c>
      <c r="B82" s="1357" t="s">
        <v>2729</v>
      </c>
      <c r="C82" s="1370">
        <v>516576.22</v>
      </c>
      <c r="F82" s="1359"/>
      <c r="M82" s="1360"/>
    </row>
    <row r="83" spans="1:13" x14ac:dyDescent="0.25">
      <c r="A83" s="1357">
        <v>91007</v>
      </c>
      <c r="B83" s="1357" t="s">
        <v>2730</v>
      </c>
      <c r="C83" s="1370">
        <v>5931.51</v>
      </c>
      <c r="F83" s="1359"/>
      <c r="M83" s="1360"/>
    </row>
    <row r="84" spans="1:13" x14ac:dyDescent="0.25">
      <c r="A84" s="1357">
        <v>91008</v>
      </c>
      <c r="B84" s="1357" t="s">
        <v>2731</v>
      </c>
      <c r="C84" s="1370">
        <v>83066.720000000001</v>
      </c>
      <c r="F84" s="1359"/>
      <c r="M84" s="1360"/>
    </row>
    <row r="85" spans="1:13" x14ac:dyDescent="0.25">
      <c r="A85" s="1357">
        <v>91009</v>
      </c>
      <c r="B85" s="1357" t="s">
        <v>2732</v>
      </c>
      <c r="C85" s="1370">
        <v>11664.57</v>
      </c>
      <c r="F85" s="1359"/>
      <c r="M85" s="1360"/>
    </row>
    <row r="86" spans="1:13" x14ac:dyDescent="0.25">
      <c r="A86" s="1357">
        <v>91010</v>
      </c>
      <c r="B86" s="1357" t="s">
        <v>2733</v>
      </c>
      <c r="C86" s="1370">
        <v>31940.04</v>
      </c>
      <c r="F86" s="1359"/>
      <c r="M86" s="1360"/>
    </row>
    <row r="87" spans="1:13" x14ac:dyDescent="0.25">
      <c r="A87" s="1357">
        <v>91011</v>
      </c>
      <c r="B87" s="1357" t="s">
        <v>2734</v>
      </c>
      <c r="C87" s="1370">
        <v>185354.96</v>
      </c>
      <c r="F87" s="1359"/>
      <c r="M87" s="1360"/>
    </row>
    <row r="88" spans="1:13" x14ac:dyDescent="0.25">
      <c r="A88" s="1357">
        <v>91012</v>
      </c>
      <c r="B88" s="1357" t="s">
        <v>2735</v>
      </c>
      <c r="C88" s="1370">
        <v>9806.56</v>
      </c>
      <c r="F88" s="1359"/>
      <c r="M88" s="1360"/>
    </row>
    <row r="89" spans="1:13" x14ac:dyDescent="0.25">
      <c r="A89" s="1357">
        <v>91013</v>
      </c>
      <c r="B89" s="1357" t="s">
        <v>2736</v>
      </c>
      <c r="C89" s="1370">
        <v>31452.44</v>
      </c>
      <c r="F89" s="1359"/>
      <c r="M89" s="1360"/>
    </row>
    <row r="90" spans="1:13" x14ac:dyDescent="0.25">
      <c r="A90" s="1357">
        <v>91014</v>
      </c>
      <c r="B90" s="1357" t="s">
        <v>2737</v>
      </c>
      <c r="C90" s="1370">
        <v>103119.86</v>
      </c>
      <c r="F90" s="1359"/>
      <c r="M90" s="1360"/>
    </row>
    <row r="91" spans="1:13" x14ac:dyDescent="0.25">
      <c r="A91" s="1357">
        <v>91015</v>
      </c>
      <c r="B91" s="1357" t="s">
        <v>4129</v>
      </c>
      <c r="C91" s="1370">
        <v>19093.82</v>
      </c>
      <c r="F91" s="1359"/>
      <c r="M91" s="1360"/>
    </row>
    <row r="92" spans="1:13" x14ac:dyDescent="0.25">
      <c r="A92" s="1357">
        <v>91017</v>
      </c>
      <c r="B92" s="1357" t="s">
        <v>2738</v>
      </c>
      <c r="C92" s="1370">
        <v>14504.34</v>
      </c>
      <c r="F92" s="1359"/>
      <c r="M92" s="1360"/>
    </row>
    <row r="93" spans="1:13" x14ac:dyDescent="0.25">
      <c r="A93" s="1357">
        <v>91020</v>
      </c>
      <c r="B93" s="1357" t="s">
        <v>2739</v>
      </c>
      <c r="C93" s="1370">
        <v>11759.15</v>
      </c>
      <c r="F93" s="1359"/>
      <c r="M93" s="1360"/>
    </row>
    <row r="94" spans="1:13" x14ac:dyDescent="0.25">
      <c r="A94" s="1357">
        <v>91021</v>
      </c>
      <c r="B94" s="1357" t="s">
        <v>2740</v>
      </c>
      <c r="C94" s="1370">
        <v>495808.35</v>
      </c>
      <c r="F94" s="1359"/>
      <c r="M94" s="1360"/>
    </row>
    <row r="95" spans="1:13" x14ac:dyDescent="0.25">
      <c r="A95" s="1357">
        <v>91024</v>
      </c>
      <c r="B95" s="1357" t="s">
        <v>2741</v>
      </c>
      <c r="C95" s="1370">
        <v>55900.43</v>
      </c>
      <c r="F95" s="1359"/>
      <c r="M95" s="1360"/>
    </row>
    <row r="96" spans="1:13" x14ac:dyDescent="0.25">
      <c r="A96" s="1357">
        <v>91026</v>
      </c>
      <c r="B96" s="1357" t="s">
        <v>1269</v>
      </c>
      <c r="C96" s="1370">
        <v>42355.97</v>
      </c>
      <c r="F96" s="1359"/>
      <c r="M96" s="1360"/>
    </row>
    <row r="97" spans="1:13" x14ac:dyDescent="0.25">
      <c r="A97" s="1357">
        <v>91027</v>
      </c>
      <c r="B97" s="1357" t="s">
        <v>2742</v>
      </c>
      <c r="C97" s="1370">
        <v>15229.15</v>
      </c>
      <c r="F97" s="1359"/>
      <c r="M97" s="1360"/>
    </row>
    <row r="98" spans="1:13" x14ac:dyDescent="0.25">
      <c r="A98" s="1357">
        <v>91032</v>
      </c>
      <c r="B98" s="1357" t="s">
        <v>2743</v>
      </c>
      <c r="C98" s="1370">
        <v>20379.63</v>
      </c>
      <c r="F98" s="1359"/>
      <c r="M98" s="1360"/>
    </row>
    <row r="99" spans="1:13" x14ac:dyDescent="0.25">
      <c r="A99" s="1357">
        <v>91041</v>
      </c>
      <c r="B99" s="1357" t="s">
        <v>2744</v>
      </c>
      <c r="C99" s="1370">
        <v>202620.59</v>
      </c>
      <c r="F99" s="1359"/>
      <c r="M99" s="1360"/>
    </row>
    <row r="100" spans="1:13" x14ac:dyDescent="0.25">
      <c r="A100" s="1357">
        <v>91042</v>
      </c>
      <c r="B100" s="1357" t="s">
        <v>2745</v>
      </c>
      <c r="C100" s="1370">
        <v>126574.18</v>
      </c>
      <c r="F100" s="1359"/>
      <c r="M100" s="1360"/>
    </row>
    <row r="101" spans="1:13" x14ac:dyDescent="0.25">
      <c r="A101" s="1357">
        <v>91047</v>
      </c>
      <c r="B101" s="1357" t="s">
        <v>2746</v>
      </c>
      <c r="C101" s="1370">
        <v>18916.89</v>
      </c>
      <c r="F101" s="1359"/>
      <c r="M101" s="1360"/>
    </row>
    <row r="102" spans="1:13" x14ac:dyDescent="0.25">
      <c r="A102" s="1357">
        <v>91051</v>
      </c>
      <c r="B102" s="1357" t="s">
        <v>2747</v>
      </c>
      <c r="C102" s="1370">
        <v>37336.839999999997</v>
      </c>
      <c r="F102" s="1359"/>
      <c r="M102" s="1360"/>
    </row>
    <row r="103" spans="1:13" x14ac:dyDescent="0.25">
      <c r="A103" s="1357">
        <v>91057</v>
      </c>
      <c r="B103" s="1357" t="s">
        <v>2748</v>
      </c>
      <c r="C103" s="1370">
        <v>12550.04</v>
      </c>
      <c r="F103" s="1359"/>
      <c r="M103" s="1360"/>
    </row>
    <row r="104" spans="1:13" x14ac:dyDescent="0.25">
      <c r="A104" s="1357">
        <v>91061</v>
      </c>
      <c r="B104" s="1357" t="s">
        <v>2749</v>
      </c>
      <c r="C104" s="1370">
        <v>190362.02</v>
      </c>
      <c r="F104" s="1359"/>
      <c r="M104" s="1360"/>
    </row>
    <row r="105" spans="1:13" x14ac:dyDescent="0.25">
      <c r="A105" s="1357">
        <v>91067</v>
      </c>
      <c r="B105" s="1357" t="s">
        <v>2750</v>
      </c>
      <c r="C105" s="1370">
        <v>9898.82</v>
      </c>
      <c r="F105" s="1359"/>
      <c r="M105" s="1360"/>
    </row>
    <row r="106" spans="1:13" x14ac:dyDescent="0.25">
      <c r="A106" s="1357">
        <v>91071</v>
      </c>
      <c r="B106" s="1357" t="s">
        <v>2751</v>
      </c>
      <c r="C106" s="1370">
        <v>117012.39</v>
      </c>
      <c r="F106" s="1359"/>
      <c r="M106" s="1360"/>
    </row>
    <row r="107" spans="1:13" x14ac:dyDescent="0.25">
      <c r="A107" s="1357">
        <v>91077</v>
      </c>
      <c r="B107" s="1357" t="s">
        <v>2752</v>
      </c>
      <c r="C107" s="1370">
        <v>3114.97</v>
      </c>
      <c r="F107" s="1359"/>
      <c r="M107" s="1360"/>
    </row>
    <row r="108" spans="1:13" x14ac:dyDescent="0.25">
      <c r="A108" s="1357">
        <v>91081</v>
      </c>
      <c r="B108" s="1357" t="s">
        <v>2753</v>
      </c>
      <c r="C108" s="1370">
        <v>203994.04</v>
      </c>
      <c r="F108" s="1359"/>
      <c r="M108" s="1360"/>
    </row>
    <row r="109" spans="1:13" x14ac:dyDescent="0.25">
      <c r="A109" s="1357">
        <v>91091</v>
      </c>
      <c r="B109" s="1357" t="s">
        <v>2754</v>
      </c>
      <c r="C109" s="1370">
        <v>277328.65000000002</v>
      </c>
      <c r="F109" s="1359"/>
      <c r="M109" s="1360"/>
    </row>
    <row r="110" spans="1:13" x14ac:dyDescent="0.25">
      <c r="A110" s="1357">
        <v>91101</v>
      </c>
      <c r="B110" s="1357" t="s">
        <v>2755</v>
      </c>
      <c r="C110" s="1370">
        <v>6681835.1600000001</v>
      </c>
      <c r="F110" s="1359"/>
      <c r="M110" s="1360"/>
    </row>
    <row r="111" spans="1:13" x14ac:dyDescent="0.25">
      <c r="A111" s="1357">
        <v>91102</v>
      </c>
      <c r="B111" s="1357" t="s">
        <v>2756</v>
      </c>
      <c r="C111" s="1370">
        <v>170492.43</v>
      </c>
      <c r="F111" s="1359"/>
      <c r="M111" s="1360"/>
    </row>
    <row r="112" spans="1:13" x14ac:dyDescent="0.25">
      <c r="A112" s="1357">
        <v>91104</v>
      </c>
      <c r="B112" s="1357" t="s">
        <v>2757</v>
      </c>
      <c r="C112" s="1370">
        <v>11960.62</v>
      </c>
      <c r="F112" s="1359"/>
      <c r="M112" s="1360"/>
    </row>
    <row r="113" spans="1:13" x14ac:dyDescent="0.25">
      <c r="A113" s="1357">
        <v>91107</v>
      </c>
      <c r="B113" s="1357" t="s">
        <v>3683</v>
      </c>
      <c r="C113" s="1370">
        <v>44039.77</v>
      </c>
      <c r="F113" s="1359"/>
      <c r="M113" s="1360"/>
    </row>
    <row r="114" spans="1:13" x14ac:dyDescent="0.25">
      <c r="A114" s="1357">
        <v>91108</v>
      </c>
      <c r="B114" s="1357" t="s">
        <v>2759</v>
      </c>
      <c r="C114" s="1370">
        <v>697770.01</v>
      </c>
      <c r="F114" s="1359"/>
      <c r="M114" s="1360"/>
    </row>
    <row r="115" spans="1:13" x14ac:dyDescent="0.25">
      <c r="A115" s="1357">
        <v>91109</v>
      </c>
      <c r="B115" s="1357" t="s">
        <v>2760</v>
      </c>
      <c r="C115" s="1370">
        <v>54714.07</v>
      </c>
      <c r="F115" s="1359"/>
      <c r="M115" s="1360"/>
    </row>
    <row r="116" spans="1:13" x14ac:dyDescent="0.25">
      <c r="A116" s="1357">
        <v>91111</v>
      </c>
      <c r="B116" s="1357" t="s">
        <v>2761</v>
      </c>
      <c r="C116" s="1370">
        <v>120216.67</v>
      </c>
      <c r="F116" s="1359"/>
      <c r="M116" s="1360"/>
    </row>
    <row r="117" spans="1:13" x14ac:dyDescent="0.25">
      <c r="A117" s="1357">
        <v>91120</v>
      </c>
      <c r="B117" s="1357" t="s">
        <v>2762</v>
      </c>
      <c r="C117" s="1370">
        <v>81787.649999999994</v>
      </c>
      <c r="F117" s="1359"/>
      <c r="M117" s="1360"/>
    </row>
    <row r="118" spans="1:13" x14ac:dyDescent="0.25">
      <c r="A118" s="1357">
        <v>91121</v>
      </c>
      <c r="B118" s="1357" t="s">
        <v>2763</v>
      </c>
      <c r="C118" s="1370">
        <v>5084445.32</v>
      </c>
      <c r="F118" s="1359"/>
      <c r="M118" s="1360"/>
    </row>
    <row r="119" spans="1:13" x14ac:dyDescent="0.25">
      <c r="A119" s="1357">
        <v>91127</v>
      </c>
      <c r="B119" s="1357" t="s">
        <v>2764</v>
      </c>
      <c r="C119" s="1370">
        <v>171480.43</v>
      </c>
      <c r="F119" s="1359"/>
      <c r="M119" s="1360"/>
    </row>
    <row r="120" spans="1:13" x14ac:dyDescent="0.25">
      <c r="A120" s="1357">
        <v>91128</v>
      </c>
      <c r="B120" s="1357" t="s">
        <v>2765</v>
      </c>
      <c r="C120" s="1370">
        <v>264000</v>
      </c>
      <c r="F120" s="1359"/>
      <c r="M120" s="1360"/>
    </row>
    <row r="121" spans="1:13" x14ac:dyDescent="0.25">
      <c r="A121" s="1357">
        <v>91138</v>
      </c>
      <c r="B121" s="1357" t="s">
        <v>2766</v>
      </c>
      <c r="C121" s="1370">
        <v>221760.66</v>
      </c>
      <c r="F121" s="1359"/>
      <c r="M121" s="1360"/>
    </row>
    <row r="122" spans="1:13" x14ac:dyDescent="0.25">
      <c r="A122" s="1357">
        <v>91141</v>
      </c>
      <c r="B122" s="1357" t="s">
        <v>2767</v>
      </c>
      <c r="C122" s="1370">
        <v>293398.83</v>
      </c>
      <c r="F122" s="1359"/>
      <c r="M122" s="1360"/>
    </row>
    <row r="123" spans="1:13" x14ac:dyDescent="0.25">
      <c r="A123" s="1357">
        <v>91147</v>
      </c>
      <c r="B123" s="1357" t="s">
        <v>2768</v>
      </c>
      <c r="C123" s="1370">
        <v>16252.57</v>
      </c>
      <c r="F123" s="1359"/>
      <c r="M123" s="1360"/>
    </row>
    <row r="124" spans="1:13" x14ac:dyDescent="0.25">
      <c r="A124" s="1357">
        <v>91151</v>
      </c>
      <c r="B124" s="1357" t="s">
        <v>2769</v>
      </c>
      <c r="C124" s="1370">
        <v>282767.11</v>
      </c>
      <c r="F124" s="1359"/>
      <c r="M124" s="1360"/>
    </row>
    <row r="125" spans="1:13" x14ac:dyDescent="0.25">
      <c r="A125" s="1357">
        <v>91154</v>
      </c>
      <c r="B125" s="1357" t="s">
        <v>2770</v>
      </c>
      <c r="C125" s="1370">
        <v>9739.98</v>
      </c>
      <c r="F125" s="1359"/>
      <c r="M125" s="1360"/>
    </row>
    <row r="126" spans="1:13" x14ac:dyDescent="0.25">
      <c r="A126" s="1357">
        <v>91161</v>
      </c>
      <c r="B126" s="1357" t="s">
        <v>2771</v>
      </c>
      <c r="C126" s="1370">
        <v>42773.66</v>
      </c>
      <c r="F126" s="1359"/>
      <c r="M126" s="1360"/>
    </row>
    <row r="127" spans="1:13" x14ac:dyDescent="0.25">
      <c r="A127" s="1357">
        <v>91171</v>
      </c>
      <c r="B127" s="1357" t="s">
        <v>2772</v>
      </c>
      <c r="C127" s="1370">
        <v>120474.56</v>
      </c>
      <c r="F127" s="1359"/>
      <c r="M127" s="1360"/>
    </row>
    <row r="128" spans="1:13" x14ac:dyDescent="0.25">
      <c r="A128" s="1357">
        <v>91201</v>
      </c>
      <c r="B128" s="1357" t="s">
        <v>2773</v>
      </c>
      <c r="C128" s="1370">
        <v>1140236.78</v>
      </c>
      <c r="F128" s="1359"/>
      <c r="M128" s="1360"/>
    </row>
    <row r="129" spans="1:13" x14ac:dyDescent="0.25">
      <c r="A129" s="1357">
        <v>91202</v>
      </c>
      <c r="B129" s="1357" t="s">
        <v>2774</v>
      </c>
      <c r="C129" s="1370">
        <v>93531.29</v>
      </c>
      <c r="F129" s="1359"/>
      <c r="M129" s="1360"/>
    </row>
    <row r="130" spans="1:13" x14ac:dyDescent="0.25">
      <c r="A130" s="1357">
        <v>91203</v>
      </c>
      <c r="B130" s="1357" t="s">
        <v>2775</v>
      </c>
      <c r="C130" s="1370">
        <v>140746.18</v>
      </c>
      <c r="F130" s="1359"/>
      <c r="M130" s="1360"/>
    </row>
    <row r="131" spans="1:13" x14ac:dyDescent="0.25">
      <c r="A131" s="1357">
        <v>91206</v>
      </c>
      <c r="B131" s="1357" t="s">
        <v>2776</v>
      </c>
      <c r="C131" s="1370">
        <v>486171.91</v>
      </c>
      <c r="F131" s="1359"/>
      <c r="M131" s="1360"/>
    </row>
    <row r="132" spans="1:13" x14ac:dyDescent="0.25">
      <c r="A132" s="1357">
        <v>91208</v>
      </c>
      <c r="B132" s="1357" t="s">
        <v>2777</v>
      </c>
      <c r="C132" s="1370">
        <v>10067.58</v>
      </c>
      <c r="F132" s="1359"/>
      <c r="M132" s="1360"/>
    </row>
    <row r="133" spans="1:13" x14ac:dyDescent="0.25">
      <c r="A133" s="1357">
        <v>91211</v>
      </c>
      <c r="B133" s="1357" t="s">
        <v>2778</v>
      </c>
      <c r="C133" s="1370">
        <v>216785.86</v>
      </c>
      <c r="F133" s="1359"/>
      <c r="M133" s="1360"/>
    </row>
    <row r="134" spans="1:13" x14ac:dyDescent="0.25">
      <c r="A134" s="1357">
        <v>91213</v>
      </c>
      <c r="B134" s="1357" t="s">
        <v>2779</v>
      </c>
      <c r="C134" s="1370">
        <v>13869.39</v>
      </c>
      <c r="F134" s="1359"/>
      <c r="M134" s="1360"/>
    </row>
    <row r="135" spans="1:13" x14ac:dyDescent="0.25">
      <c r="A135" s="1357">
        <v>91214</v>
      </c>
      <c r="B135" s="1357" t="s">
        <v>2780</v>
      </c>
      <c r="C135" s="1370">
        <v>14049.48</v>
      </c>
      <c r="F135" s="1359"/>
      <c r="M135" s="1360"/>
    </row>
    <row r="136" spans="1:13" x14ac:dyDescent="0.25">
      <c r="A136" s="1357">
        <v>91217</v>
      </c>
      <c r="B136" s="1357" t="s">
        <v>2781</v>
      </c>
      <c r="C136" s="1370">
        <v>17716.47</v>
      </c>
      <c r="F136" s="1359"/>
      <c r="M136" s="1360"/>
    </row>
    <row r="137" spans="1:13" x14ac:dyDescent="0.25">
      <c r="A137" s="1357">
        <v>91221</v>
      </c>
      <c r="B137" s="1357" t="s">
        <v>2782</v>
      </c>
      <c r="C137" s="1370">
        <v>57689.2</v>
      </c>
      <c r="F137" s="1359"/>
      <c r="M137" s="1360"/>
    </row>
    <row r="138" spans="1:13" x14ac:dyDescent="0.25">
      <c r="A138" s="1357">
        <v>91231</v>
      </c>
      <c r="B138" s="1357" t="s">
        <v>2783</v>
      </c>
      <c r="C138" s="1370">
        <v>990888.77</v>
      </c>
      <c r="F138" s="1359"/>
      <c r="M138" s="1360"/>
    </row>
    <row r="139" spans="1:13" x14ac:dyDescent="0.25">
      <c r="A139" s="1357">
        <v>91233</v>
      </c>
      <c r="B139" s="1357" t="s">
        <v>2784</v>
      </c>
      <c r="C139" s="1370">
        <v>30147.15</v>
      </c>
      <c r="F139" s="1359"/>
      <c r="M139" s="1360"/>
    </row>
    <row r="140" spans="1:13" x14ac:dyDescent="0.25">
      <c r="A140" s="1357">
        <v>91241</v>
      </c>
      <c r="B140" s="1357" t="s">
        <v>2785</v>
      </c>
      <c r="C140" s="1370">
        <v>19589.04</v>
      </c>
      <c r="F140" s="1359"/>
      <c r="M140" s="1360"/>
    </row>
    <row r="141" spans="1:13" x14ac:dyDescent="0.25">
      <c r="A141" s="1357">
        <v>91251</v>
      </c>
      <c r="B141" s="1357" t="s">
        <v>2786</v>
      </c>
      <c r="C141" s="1370">
        <v>11627</v>
      </c>
      <c r="F141" s="1359"/>
      <c r="M141" s="1360"/>
    </row>
    <row r="142" spans="1:13" x14ac:dyDescent="0.25">
      <c r="A142" s="1357">
        <v>91261</v>
      </c>
      <c r="B142" s="1357" t="s">
        <v>2787</v>
      </c>
      <c r="C142" s="1370">
        <v>3996.03</v>
      </c>
      <c r="F142" s="1359"/>
      <c r="M142" s="1360"/>
    </row>
    <row r="143" spans="1:13" x14ac:dyDescent="0.25">
      <c r="A143" s="1357">
        <v>91301</v>
      </c>
      <c r="B143" s="1357" t="s">
        <v>2788</v>
      </c>
      <c r="C143" s="1370">
        <v>4058843.46</v>
      </c>
      <c r="F143" s="1359"/>
      <c r="M143" s="1360"/>
    </row>
    <row r="144" spans="1:13" x14ac:dyDescent="0.25">
      <c r="A144" s="1357">
        <v>91302</v>
      </c>
      <c r="B144" s="1357" t="s">
        <v>3684</v>
      </c>
      <c r="C144" s="1370">
        <v>280327.90999999997</v>
      </c>
      <c r="F144" s="1359"/>
      <c r="M144" s="1360"/>
    </row>
    <row r="145" spans="1:13" x14ac:dyDescent="0.25">
      <c r="A145" s="1357">
        <v>91306</v>
      </c>
      <c r="B145" s="1357" t="s">
        <v>2790</v>
      </c>
      <c r="C145" s="1370">
        <v>968202.18</v>
      </c>
      <c r="F145" s="1359"/>
      <c r="M145" s="1360"/>
    </row>
    <row r="146" spans="1:13" x14ac:dyDescent="0.25">
      <c r="A146" s="1357">
        <v>91308</v>
      </c>
      <c r="B146" s="1357" t="s">
        <v>2791</v>
      </c>
      <c r="C146" s="1370">
        <v>89774.06</v>
      </c>
      <c r="F146" s="1359"/>
      <c r="M146" s="1360"/>
    </row>
    <row r="147" spans="1:13" x14ac:dyDescent="0.25">
      <c r="A147" s="1357">
        <v>91311</v>
      </c>
      <c r="B147" s="1357" t="s">
        <v>2792</v>
      </c>
      <c r="C147" s="1370">
        <v>4083525.78</v>
      </c>
      <c r="F147" s="1359"/>
      <c r="M147" s="1360"/>
    </row>
    <row r="148" spans="1:13" x14ac:dyDescent="0.25">
      <c r="A148" s="1357">
        <v>91317</v>
      </c>
      <c r="B148" s="1357" t="s">
        <v>2793</v>
      </c>
      <c r="C148" s="1370">
        <v>64698.080000000002</v>
      </c>
      <c r="F148" s="1359"/>
      <c r="M148" s="1360"/>
    </row>
    <row r="149" spans="1:13" x14ac:dyDescent="0.25">
      <c r="A149" s="1357">
        <v>91321</v>
      </c>
      <c r="B149" s="1357" t="s">
        <v>2794</v>
      </c>
      <c r="C149" s="1370">
        <v>50002.73</v>
      </c>
      <c r="F149" s="1359"/>
      <c r="M149" s="1360"/>
    </row>
    <row r="150" spans="1:13" x14ac:dyDescent="0.25">
      <c r="A150" s="1357">
        <v>91327</v>
      </c>
      <c r="B150" s="1357" t="s">
        <v>2795</v>
      </c>
      <c r="C150" s="1370">
        <v>5813.44</v>
      </c>
      <c r="F150" s="1359"/>
      <c r="M150" s="1360"/>
    </row>
    <row r="151" spans="1:13" x14ac:dyDescent="0.25">
      <c r="A151" s="1357">
        <v>91331</v>
      </c>
      <c r="B151" s="1357" t="s">
        <v>2796</v>
      </c>
      <c r="C151" s="1370">
        <v>1420948.35</v>
      </c>
      <c r="F151" s="1359"/>
      <c r="M151" s="1360"/>
    </row>
    <row r="152" spans="1:13" x14ac:dyDescent="0.25">
      <c r="A152" s="1357">
        <v>91341</v>
      </c>
      <c r="B152" s="1357" t="s">
        <v>2797</v>
      </c>
      <c r="C152" s="1370">
        <v>17049.3</v>
      </c>
      <c r="F152" s="1359"/>
      <c r="M152" s="1360"/>
    </row>
    <row r="153" spans="1:13" x14ac:dyDescent="0.25">
      <c r="A153" s="1357">
        <v>91401</v>
      </c>
      <c r="B153" s="1357" t="s">
        <v>2798</v>
      </c>
      <c r="C153" s="1370">
        <v>1845497.32</v>
      </c>
      <c r="F153" s="1359"/>
      <c r="M153" s="1360"/>
    </row>
    <row r="154" spans="1:13" x14ac:dyDescent="0.25">
      <c r="A154" s="1357">
        <v>91411</v>
      </c>
      <c r="B154" s="1357" t="s">
        <v>2799</v>
      </c>
      <c r="C154" s="1370">
        <v>198816.85</v>
      </c>
      <c r="F154" s="1359"/>
      <c r="M154" s="1360"/>
    </row>
    <row r="155" spans="1:13" x14ac:dyDescent="0.25">
      <c r="A155" s="1371">
        <v>91414</v>
      </c>
      <c r="B155" s="1371" t="s">
        <v>4145</v>
      </c>
      <c r="C155" s="1372">
        <v>9397.24</v>
      </c>
      <c r="D155" s="1357" t="s">
        <v>4825</v>
      </c>
      <c r="F155" s="1359"/>
      <c r="M155" s="1360"/>
    </row>
    <row r="156" spans="1:13" x14ac:dyDescent="0.25">
      <c r="A156" s="1357">
        <v>91417</v>
      </c>
      <c r="B156" s="1357" t="s">
        <v>2800</v>
      </c>
      <c r="C156" s="1370">
        <v>6068.11</v>
      </c>
      <c r="F156" s="1359"/>
      <c r="M156" s="1360"/>
    </row>
    <row r="157" spans="1:13" x14ac:dyDescent="0.25">
      <c r="A157" s="1357">
        <v>91421</v>
      </c>
      <c r="B157" s="1357" t="s">
        <v>2801</v>
      </c>
      <c r="C157" s="1370">
        <v>40352.5</v>
      </c>
      <c r="F157" s="1359"/>
      <c r="M157" s="1360"/>
    </row>
    <row r="158" spans="1:13" x14ac:dyDescent="0.25">
      <c r="A158" s="1357">
        <v>91423</v>
      </c>
      <c r="B158" s="1357" t="s">
        <v>2802</v>
      </c>
      <c r="C158" s="1370">
        <v>24726.67</v>
      </c>
      <c r="F158" s="1359"/>
      <c r="M158" s="1360"/>
    </row>
    <row r="159" spans="1:13" x14ac:dyDescent="0.25">
      <c r="A159" s="1357">
        <v>91431</v>
      </c>
      <c r="B159" s="1357" t="s">
        <v>2803</v>
      </c>
      <c r="C159" s="1370">
        <v>97752.53</v>
      </c>
      <c r="F159" s="1359"/>
      <c r="M159" s="1360"/>
    </row>
    <row r="160" spans="1:13" x14ac:dyDescent="0.25">
      <c r="A160" s="1357">
        <v>91441</v>
      </c>
      <c r="B160" s="1357" t="s">
        <v>2804</v>
      </c>
      <c r="C160" s="1370">
        <v>390490.98</v>
      </c>
      <c r="F160" s="1359"/>
      <c r="M160" s="1360"/>
    </row>
    <row r="161" spans="1:13" x14ac:dyDescent="0.25">
      <c r="A161" s="1357">
        <v>91451</v>
      </c>
      <c r="B161" s="1357" t="s">
        <v>2805</v>
      </c>
      <c r="C161" s="1370">
        <v>787423.33</v>
      </c>
      <c r="F161" s="1359"/>
      <c r="M161" s="1360"/>
    </row>
    <row r="162" spans="1:13" x14ac:dyDescent="0.25">
      <c r="A162" s="1357">
        <v>91457</v>
      </c>
      <c r="B162" s="1357" t="s">
        <v>2806</v>
      </c>
      <c r="C162" s="1370">
        <v>30830.720000000001</v>
      </c>
      <c r="F162" s="1359"/>
      <c r="M162" s="1360"/>
    </row>
    <row r="163" spans="1:13" x14ac:dyDescent="0.25">
      <c r="A163" s="1357">
        <v>91461</v>
      </c>
      <c r="B163" s="1357" t="s">
        <v>2807</v>
      </c>
      <c r="C163" s="1370">
        <v>3334.67</v>
      </c>
      <c r="F163" s="1359"/>
      <c r="M163" s="1360"/>
    </row>
    <row r="164" spans="1:13" x14ac:dyDescent="0.25">
      <c r="A164" s="1357">
        <v>91501</v>
      </c>
      <c r="B164" s="1357" t="s">
        <v>2808</v>
      </c>
      <c r="C164" s="1370">
        <v>257328.54</v>
      </c>
      <c r="F164" s="1359"/>
      <c r="M164" s="1360"/>
    </row>
    <row r="165" spans="1:13" x14ac:dyDescent="0.25">
      <c r="A165" s="1357">
        <v>91504</v>
      </c>
      <c r="B165" s="1357" t="s">
        <v>2809</v>
      </c>
      <c r="C165" s="1370">
        <v>7298.46</v>
      </c>
      <c r="F165" s="1359"/>
      <c r="M165" s="1360"/>
    </row>
    <row r="166" spans="1:13" x14ac:dyDescent="0.25">
      <c r="A166" s="1357">
        <v>91601</v>
      </c>
      <c r="B166" s="1357" t="s">
        <v>2810</v>
      </c>
      <c r="C166" s="1370">
        <v>1614794.34</v>
      </c>
      <c r="F166" s="1359"/>
      <c r="M166" s="1360"/>
    </row>
    <row r="167" spans="1:13" x14ac:dyDescent="0.25">
      <c r="A167" s="1357">
        <v>91604</v>
      </c>
      <c r="B167" s="1357" t="s">
        <v>2811</v>
      </c>
      <c r="C167" s="1370">
        <v>61385.89</v>
      </c>
      <c r="F167" s="1359"/>
      <c r="M167" s="1360"/>
    </row>
    <row r="168" spans="1:13" x14ac:dyDescent="0.25">
      <c r="A168" s="1357">
        <v>91608</v>
      </c>
      <c r="B168" s="1357" t="s">
        <v>2812</v>
      </c>
      <c r="C168" s="1370">
        <v>58326.21</v>
      </c>
      <c r="F168" s="1359"/>
      <c r="M168" s="1360"/>
    </row>
    <row r="169" spans="1:13" x14ac:dyDescent="0.25">
      <c r="A169" s="1357">
        <v>91611</v>
      </c>
      <c r="B169" s="1357" t="s">
        <v>2813</v>
      </c>
      <c r="C169" s="1370">
        <v>679728.61</v>
      </c>
      <c r="F169" s="1359"/>
      <c r="M169" s="1360"/>
    </row>
    <row r="170" spans="1:13" x14ac:dyDescent="0.25">
      <c r="A170" s="1357">
        <v>91621</v>
      </c>
      <c r="B170" s="1357" t="s">
        <v>2814</v>
      </c>
      <c r="C170" s="1370">
        <v>134331.6</v>
      </c>
      <c r="F170" s="1359"/>
      <c r="M170" s="1360"/>
    </row>
    <row r="171" spans="1:13" x14ac:dyDescent="0.25">
      <c r="A171" s="1357">
        <v>91631</v>
      </c>
      <c r="B171" s="1357" t="s">
        <v>2815</v>
      </c>
      <c r="C171" s="1370">
        <v>283340.06</v>
      </c>
      <c r="F171" s="1359"/>
      <c r="M171" s="1360"/>
    </row>
    <row r="172" spans="1:13" x14ac:dyDescent="0.25">
      <c r="A172" s="1357">
        <v>91633</v>
      </c>
      <c r="B172" s="1357" t="s">
        <v>2816</v>
      </c>
      <c r="C172" s="1370">
        <v>13682.34</v>
      </c>
      <c r="F172" s="1359"/>
      <c r="M172" s="1360"/>
    </row>
    <row r="173" spans="1:13" x14ac:dyDescent="0.25">
      <c r="A173" s="1357">
        <v>91641</v>
      </c>
      <c r="B173" s="1357" t="s">
        <v>2817</v>
      </c>
      <c r="C173" s="1370">
        <v>131410.69</v>
      </c>
      <c r="F173" s="1359"/>
      <c r="M173" s="1360"/>
    </row>
    <row r="174" spans="1:13" x14ac:dyDescent="0.25">
      <c r="A174" s="1357">
        <v>91651</v>
      </c>
      <c r="B174" s="1357" t="s">
        <v>2818</v>
      </c>
      <c r="C174" s="1370">
        <v>279577.11</v>
      </c>
      <c r="F174" s="1359"/>
      <c r="M174" s="1360"/>
    </row>
    <row r="175" spans="1:13" x14ac:dyDescent="0.25">
      <c r="A175" s="1357">
        <v>91661</v>
      </c>
      <c r="B175" s="1357" t="s">
        <v>2819</v>
      </c>
      <c r="C175" s="1370">
        <v>76004.77</v>
      </c>
      <c r="F175" s="1359"/>
      <c r="M175" s="1360"/>
    </row>
    <row r="176" spans="1:13" x14ac:dyDescent="0.25">
      <c r="A176" s="1357">
        <v>91671</v>
      </c>
      <c r="B176" s="1357" t="s">
        <v>2820</v>
      </c>
      <c r="C176" s="1370">
        <v>46142.85</v>
      </c>
      <c r="F176" s="1359"/>
      <c r="M176" s="1360"/>
    </row>
    <row r="177" spans="1:13" x14ac:dyDescent="0.25">
      <c r="A177" s="1357">
        <v>91681</v>
      </c>
      <c r="B177" s="1357" t="s">
        <v>2821</v>
      </c>
      <c r="C177" s="1370">
        <v>420625.88</v>
      </c>
      <c r="F177" s="1359"/>
      <c r="M177" s="1360"/>
    </row>
    <row r="178" spans="1:13" x14ac:dyDescent="0.25">
      <c r="A178" s="1357">
        <v>91691</v>
      </c>
      <c r="B178" s="1357" t="s">
        <v>2822</v>
      </c>
      <c r="C178" s="1370">
        <v>14332.32</v>
      </c>
      <c r="F178" s="1359"/>
      <c r="M178" s="1360"/>
    </row>
    <row r="179" spans="1:13" x14ac:dyDescent="0.25">
      <c r="A179" s="1357">
        <v>91701</v>
      </c>
      <c r="B179" s="1357" t="s">
        <v>2823</v>
      </c>
      <c r="C179" s="1370">
        <v>582513.18000000005</v>
      </c>
      <c r="F179" s="1359"/>
      <c r="M179" s="1360"/>
    </row>
    <row r="180" spans="1:13" x14ac:dyDescent="0.25">
      <c r="A180" s="1357">
        <v>91704</v>
      </c>
      <c r="B180" s="1357" t="s">
        <v>2824</v>
      </c>
      <c r="C180" s="1370">
        <v>9702.58</v>
      </c>
      <c r="F180" s="1359"/>
      <c r="M180" s="1360"/>
    </row>
    <row r="181" spans="1:13" x14ac:dyDescent="0.25">
      <c r="A181" s="1357">
        <v>91706</v>
      </c>
      <c r="B181" s="1357" t="s">
        <v>2825</v>
      </c>
      <c r="C181" s="1370">
        <v>137653</v>
      </c>
      <c r="F181" s="1359"/>
      <c r="M181" s="1360"/>
    </row>
    <row r="182" spans="1:13" x14ac:dyDescent="0.25">
      <c r="A182" s="1357">
        <v>91719</v>
      </c>
      <c r="B182" s="1357" t="s">
        <v>2826</v>
      </c>
      <c r="C182" s="1370">
        <v>23258.15</v>
      </c>
      <c r="F182" s="1359"/>
      <c r="M182" s="1360"/>
    </row>
    <row r="183" spans="1:13" x14ac:dyDescent="0.25">
      <c r="A183" s="1357">
        <v>91801</v>
      </c>
      <c r="B183" s="1357" t="s">
        <v>2827</v>
      </c>
      <c r="C183" s="1370">
        <v>4066001.47</v>
      </c>
      <c r="F183" s="1359"/>
      <c r="M183" s="1360"/>
    </row>
    <row r="184" spans="1:13" x14ac:dyDescent="0.25">
      <c r="A184" s="1357">
        <v>91804</v>
      </c>
      <c r="B184" s="1357" t="s">
        <v>2828</v>
      </c>
      <c r="C184" s="1370">
        <v>105747.53</v>
      </c>
      <c r="F184" s="1359"/>
      <c r="M184" s="1360"/>
    </row>
    <row r="185" spans="1:13" x14ac:dyDescent="0.25">
      <c r="A185" s="1357">
        <v>91811</v>
      </c>
      <c r="B185" s="1357" t="s">
        <v>2829</v>
      </c>
      <c r="C185" s="1370">
        <v>2212364.4300000002</v>
      </c>
      <c r="F185" s="1359"/>
      <c r="M185" s="1360"/>
    </row>
    <row r="186" spans="1:13" x14ac:dyDescent="0.25">
      <c r="A186" s="1357">
        <v>91812</v>
      </c>
      <c r="B186" s="1357" t="s">
        <v>2830</v>
      </c>
      <c r="C186" s="1370">
        <v>29488.98</v>
      </c>
      <c r="F186" s="1359"/>
      <c r="M186" s="1360"/>
    </row>
    <row r="187" spans="1:13" x14ac:dyDescent="0.25">
      <c r="A187" s="1357">
        <v>91813</v>
      </c>
      <c r="B187" s="1357" t="s">
        <v>2831</v>
      </c>
      <c r="C187" s="1370">
        <v>40206.25</v>
      </c>
      <c r="F187" s="1359"/>
      <c r="M187" s="1360"/>
    </row>
    <row r="188" spans="1:13" x14ac:dyDescent="0.25">
      <c r="A188" s="1357">
        <v>91818</v>
      </c>
      <c r="B188" s="1357" t="s">
        <v>2832</v>
      </c>
      <c r="C188" s="1370">
        <v>229803.71</v>
      </c>
      <c r="F188" s="1359"/>
      <c r="M188" s="1360"/>
    </row>
    <row r="189" spans="1:13" x14ac:dyDescent="0.25">
      <c r="A189" s="1357">
        <v>91819</v>
      </c>
      <c r="B189" s="1357" t="s">
        <v>2833</v>
      </c>
      <c r="C189" s="1370">
        <v>181272.71</v>
      </c>
      <c r="F189" s="1359"/>
      <c r="M189" s="1360"/>
    </row>
    <row r="190" spans="1:13" x14ac:dyDescent="0.25">
      <c r="A190" s="1357">
        <v>91821</v>
      </c>
      <c r="B190" s="1357" t="s">
        <v>2834</v>
      </c>
      <c r="C190" s="1370">
        <v>85967.16</v>
      </c>
      <c r="F190" s="1359"/>
      <c r="M190" s="1360"/>
    </row>
    <row r="191" spans="1:13" x14ac:dyDescent="0.25">
      <c r="A191" s="1357">
        <v>91831</v>
      </c>
      <c r="B191" s="1357" t="s">
        <v>2835</v>
      </c>
      <c r="C191" s="1370">
        <v>195579.38</v>
      </c>
      <c r="F191" s="1359"/>
      <c r="M191" s="1360"/>
    </row>
    <row r="192" spans="1:13" x14ac:dyDescent="0.25">
      <c r="A192" s="1357">
        <v>91841</v>
      </c>
      <c r="B192" s="1357" t="s">
        <v>2836</v>
      </c>
      <c r="C192" s="1370">
        <v>138048.41</v>
      </c>
      <c r="F192" s="1359"/>
      <c r="M192" s="1360"/>
    </row>
    <row r="193" spans="1:13" x14ac:dyDescent="0.25">
      <c r="A193" s="1357">
        <v>91851</v>
      </c>
      <c r="B193" s="1357" t="s">
        <v>2837</v>
      </c>
      <c r="C193" s="1370">
        <v>379290.56</v>
      </c>
      <c r="F193" s="1359"/>
      <c r="M193" s="1360"/>
    </row>
    <row r="194" spans="1:13" x14ac:dyDescent="0.25">
      <c r="A194" s="1357">
        <v>91861</v>
      </c>
      <c r="B194" s="1357" t="s">
        <v>2838</v>
      </c>
      <c r="C194" s="1370">
        <v>3719.82</v>
      </c>
      <c r="F194" s="1359"/>
      <c r="M194" s="1360"/>
    </row>
    <row r="195" spans="1:13" x14ac:dyDescent="0.25">
      <c r="A195" s="1357">
        <v>91871</v>
      </c>
      <c r="B195" s="1357" t="s">
        <v>2839</v>
      </c>
      <c r="C195" s="1370">
        <v>683244.37</v>
      </c>
      <c r="F195" s="1359"/>
      <c r="M195" s="1360"/>
    </row>
    <row r="196" spans="1:13" x14ac:dyDescent="0.25">
      <c r="A196" s="1357">
        <v>91881</v>
      </c>
      <c r="B196" s="1357" t="s">
        <v>2840</v>
      </c>
      <c r="C196" s="1370">
        <v>8550.19</v>
      </c>
      <c r="F196" s="1359"/>
      <c r="M196" s="1360"/>
    </row>
    <row r="197" spans="1:13" x14ac:dyDescent="0.25">
      <c r="A197" s="1357">
        <v>91901</v>
      </c>
      <c r="B197" s="1357" t="s">
        <v>2841</v>
      </c>
      <c r="C197" s="1370">
        <v>1892443.88</v>
      </c>
      <c r="F197" s="1359"/>
      <c r="M197" s="1360"/>
    </row>
    <row r="198" spans="1:13" x14ac:dyDescent="0.25">
      <c r="A198" s="1357">
        <v>91903</v>
      </c>
      <c r="B198" s="1357" t="s">
        <v>2842</v>
      </c>
      <c r="C198" s="1370">
        <v>6755.16</v>
      </c>
      <c r="F198" s="1359"/>
      <c r="M198" s="1360"/>
    </row>
    <row r="199" spans="1:13" x14ac:dyDescent="0.25">
      <c r="A199" s="1357">
        <v>91904</v>
      </c>
      <c r="B199" s="1357" t="s">
        <v>2843</v>
      </c>
      <c r="C199" s="1370">
        <v>20041.36</v>
      </c>
      <c r="F199" s="1359"/>
      <c r="M199" s="1360"/>
    </row>
    <row r="200" spans="1:13" x14ac:dyDescent="0.25">
      <c r="A200" s="1357">
        <v>91908</v>
      </c>
      <c r="B200" s="1357" t="s">
        <v>2844</v>
      </c>
      <c r="C200" s="1370">
        <v>5525.64</v>
      </c>
      <c r="F200" s="1359"/>
      <c r="M200" s="1360"/>
    </row>
    <row r="201" spans="1:13" x14ac:dyDescent="0.25">
      <c r="A201" s="1357">
        <v>91911</v>
      </c>
      <c r="B201" s="1357" t="s">
        <v>2845</v>
      </c>
      <c r="C201" s="1370">
        <v>238722.17</v>
      </c>
      <c r="F201" s="1359"/>
      <c r="M201" s="1360"/>
    </row>
    <row r="202" spans="1:13" x14ac:dyDescent="0.25">
      <c r="A202" s="1357">
        <v>91917</v>
      </c>
      <c r="B202" s="1357" t="s">
        <v>2846</v>
      </c>
      <c r="C202" s="1370">
        <v>7857.52</v>
      </c>
      <c r="F202" s="1359"/>
      <c r="M202" s="1360"/>
    </row>
    <row r="203" spans="1:13" x14ac:dyDescent="0.25">
      <c r="A203" s="1357">
        <v>91921</v>
      </c>
      <c r="B203" s="1357" t="s">
        <v>2847</v>
      </c>
      <c r="C203" s="1370">
        <v>190506.58</v>
      </c>
      <c r="F203" s="1359"/>
      <c r="M203" s="1360"/>
    </row>
    <row r="204" spans="1:13" x14ac:dyDescent="0.25">
      <c r="A204" s="1357">
        <v>92001</v>
      </c>
      <c r="B204" s="1357" t="s">
        <v>2848</v>
      </c>
      <c r="C204" s="1370">
        <v>931122.95</v>
      </c>
      <c r="F204" s="1359"/>
      <c r="M204" s="1360"/>
    </row>
    <row r="205" spans="1:13" x14ac:dyDescent="0.25">
      <c r="A205" s="1357">
        <v>92005</v>
      </c>
      <c r="B205" s="1357" t="s">
        <v>2849</v>
      </c>
      <c r="C205" s="1370">
        <v>23193.23</v>
      </c>
      <c r="F205" s="1359"/>
      <c r="M205" s="1360"/>
    </row>
    <row r="206" spans="1:13" x14ac:dyDescent="0.25">
      <c r="A206" s="1357">
        <v>92011</v>
      </c>
      <c r="B206" s="1357" t="s">
        <v>2850</v>
      </c>
      <c r="C206" s="1370">
        <v>95059.520000000004</v>
      </c>
      <c r="F206" s="1359"/>
      <c r="M206" s="1360"/>
    </row>
    <row r="207" spans="1:13" x14ac:dyDescent="0.25">
      <c r="A207" s="1357">
        <v>92017</v>
      </c>
      <c r="B207" s="1357" t="s">
        <v>2851</v>
      </c>
      <c r="C207" s="1370">
        <v>19823.349999999999</v>
      </c>
      <c r="F207" s="1359"/>
      <c r="M207" s="1360"/>
    </row>
    <row r="208" spans="1:13" x14ac:dyDescent="0.25">
      <c r="A208" s="1357">
        <v>92021</v>
      </c>
      <c r="B208" s="1357" t="s">
        <v>2852</v>
      </c>
      <c r="C208" s="1370">
        <v>53295.42</v>
      </c>
      <c r="F208" s="1359"/>
      <c r="M208" s="1360"/>
    </row>
    <row r="209" spans="1:13" x14ac:dyDescent="0.25">
      <c r="A209" s="1357">
        <v>92101</v>
      </c>
      <c r="B209" s="1357" t="s">
        <v>2853</v>
      </c>
      <c r="C209" s="1370">
        <v>404383.2</v>
      </c>
      <c r="F209" s="1359"/>
      <c r="M209" s="1360"/>
    </row>
    <row r="210" spans="1:13" x14ac:dyDescent="0.25">
      <c r="A210" s="1357">
        <v>92104</v>
      </c>
      <c r="B210" s="1357" t="s">
        <v>2854</v>
      </c>
      <c r="C210" s="1370">
        <v>5700.74</v>
      </c>
      <c r="F210" s="1359"/>
      <c r="M210" s="1360"/>
    </row>
    <row r="211" spans="1:13" x14ac:dyDescent="0.25">
      <c r="A211" s="1357">
        <v>92109</v>
      </c>
      <c r="B211" s="1357" t="s">
        <v>2855</v>
      </c>
      <c r="C211" s="1370">
        <v>87268.86</v>
      </c>
      <c r="F211" s="1359"/>
      <c r="M211" s="1360"/>
    </row>
    <row r="212" spans="1:13" x14ac:dyDescent="0.25">
      <c r="A212" s="1357">
        <v>92111</v>
      </c>
      <c r="B212" s="1357" t="s">
        <v>2856</v>
      </c>
      <c r="C212" s="1370">
        <v>256369.32</v>
      </c>
      <c r="F212" s="1359"/>
      <c r="M212" s="1360"/>
    </row>
    <row r="213" spans="1:13" x14ac:dyDescent="0.25">
      <c r="A213" s="1357">
        <v>92113</v>
      </c>
      <c r="B213" s="1357" t="s">
        <v>2857</v>
      </c>
      <c r="C213" s="1370">
        <v>13944.88</v>
      </c>
      <c r="F213" s="1359"/>
      <c r="M213" s="1360"/>
    </row>
    <row r="214" spans="1:13" x14ac:dyDescent="0.25">
      <c r="A214" s="1357">
        <v>92201</v>
      </c>
      <c r="B214" s="1357" t="s">
        <v>2858</v>
      </c>
      <c r="C214" s="1370">
        <v>472315.86</v>
      </c>
      <c r="F214" s="1359"/>
      <c r="M214" s="1360"/>
    </row>
    <row r="215" spans="1:13" x14ac:dyDescent="0.25">
      <c r="A215" s="1357">
        <v>92214</v>
      </c>
      <c r="B215" s="1357" t="s">
        <v>4154</v>
      </c>
      <c r="C215" s="1370">
        <v>10286.44</v>
      </c>
      <c r="F215" s="1359"/>
      <c r="M215" s="1360"/>
    </row>
    <row r="216" spans="1:13" x14ac:dyDescent="0.25">
      <c r="A216" s="1357">
        <v>92301</v>
      </c>
      <c r="B216" s="1357" t="s">
        <v>2859</v>
      </c>
      <c r="C216" s="1370">
        <v>2653029.66</v>
      </c>
      <c r="F216" s="1359"/>
      <c r="M216" s="1360"/>
    </row>
    <row r="217" spans="1:13" x14ac:dyDescent="0.25">
      <c r="A217" s="1357">
        <v>92302</v>
      </c>
      <c r="B217" s="1357" t="s">
        <v>3685</v>
      </c>
      <c r="C217" s="1370">
        <v>151867.91</v>
      </c>
      <c r="F217" s="1359"/>
      <c r="M217" s="1360"/>
    </row>
    <row r="218" spans="1:13" x14ac:dyDescent="0.25">
      <c r="A218" s="1357">
        <v>92311</v>
      </c>
      <c r="B218" s="1357" t="s">
        <v>2861</v>
      </c>
      <c r="C218" s="1370">
        <v>1165521.82</v>
      </c>
      <c r="F218" s="1359"/>
      <c r="M218" s="1360"/>
    </row>
    <row r="219" spans="1:13" x14ac:dyDescent="0.25">
      <c r="A219" s="1357">
        <v>92317</v>
      </c>
      <c r="B219" s="1357" t="s">
        <v>2862</v>
      </c>
      <c r="C219" s="1370">
        <v>24439.37</v>
      </c>
      <c r="F219" s="1359"/>
      <c r="M219" s="1360"/>
    </row>
    <row r="220" spans="1:13" x14ac:dyDescent="0.25">
      <c r="A220" s="1357">
        <v>92321</v>
      </c>
      <c r="B220" s="1357" t="s">
        <v>2863</v>
      </c>
      <c r="C220" s="1370">
        <v>656427.5</v>
      </c>
      <c r="F220" s="1359"/>
      <c r="M220" s="1360"/>
    </row>
    <row r="221" spans="1:13" x14ac:dyDescent="0.25">
      <c r="A221" s="1357">
        <v>92327</v>
      </c>
      <c r="B221" s="1357" t="s">
        <v>2864</v>
      </c>
      <c r="C221" s="1370">
        <v>7418.43</v>
      </c>
      <c r="F221" s="1359"/>
      <c r="M221" s="1360"/>
    </row>
    <row r="222" spans="1:13" x14ac:dyDescent="0.25">
      <c r="A222" s="1357">
        <v>92331</v>
      </c>
      <c r="B222" s="1357" t="s">
        <v>2865</v>
      </c>
      <c r="C222" s="1370">
        <v>76059.83</v>
      </c>
      <c r="F222" s="1359"/>
      <c r="M222" s="1360"/>
    </row>
    <row r="223" spans="1:13" x14ac:dyDescent="0.25">
      <c r="A223" s="1357">
        <v>92341</v>
      </c>
      <c r="B223" s="1357" t="s">
        <v>2866</v>
      </c>
      <c r="C223" s="1370">
        <v>3394.65</v>
      </c>
      <c r="F223" s="1359"/>
      <c r="M223" s="1360"/>
    </row>
    <row r="224" spans="1:13" x14ac:dyDescent="0.25">
      <c r="A224" s="1357">
        <v>92351</v>
      </c>
      <c r="B224" s="1357" t="s">
        <v>2867</v>
      </c>
      <c r="C224" s="1370">
        <v>10362.44</v>
      </c>
      <c r="F224" s="1359"/>
      <c r="M224" s="1360"/>
    </row>
    <row r="225" spans="1:13" x14ac:dyDescent="0.25">
      <c r="A225" s="1357">
        <v>92401</v>
      </c>
      <c r="B225" s="1357" t="s">
        <v>2868</v>
      </c>
      <c r="C225" s="1370">
        <v>1500671.12</v>
      </c>
      <c r="F225" s="1359"/>
      <c r="M225" s="1360"/>
    </row>
    <row r="226" spans="1:13" x14ac:dyDescent="0.25">
      <c r="A226" s="1357">
        <v>92403</v>
      </c>
      <c r="B226" s="1357" t="s">
        <v>2869</v>
      </c>
      <c r="C226" s="1370">
        <v>6780.76</v>
      </c>
      <c r="F226" s="1359"/>
      <c r="M226" s="1360"/>
    </row>
    <row r="227" spans="1:13" x14ac:dyDescent="0.25">
      <c r="A227" s="1357">
        <v>92411</v>
      </c>
      <c r="B227" s="1357" t="s">
        <v>2870</v>
      </c>
      <c r="C227" s="1370">
        <v>239607.87</v>
      </c>
      <c r="F227" s="1359"/>
      <c r="M227" s="1360"/>
    </row>
    <row r="228" spans="1:13" x14ac:dyDescent="0.25">
      <c r="A228" s="1357">
        <v>92417</v>
      </c>
      <c r="B228" s="1357" t="s">
        <v>2871</v>
      </c>
      <c r="C228" s="1370">
        <v>6047.18</v>
      </c>
      <c r="F228" s="1359"/>
      <c r="M228" s="1360"/>
    </row>
    <row r="229" spans="1:13" x14ac:dyDescent="0.25">
      <c r="A229" s="1357">
        <v>92421</v>
      </c>
      <c r="B229" s="1357" t="s">
        <v>2872</v>
      </c>
      <c r="C229" s="1370">
        <v>8159.51</v>
      </c>
      <c r="F229" s="1359"/>
      <c r="M229" s="1360"/>
    </row>
    <row r="230" spans="1:13" x14ac:dyDescent="0.25">
      <c r="A230" s="1357">
        <v>92427</v>
      </c>
      <c r="B230" s="1357" t="s">
        <v>2873</v>
      </c>
      <c r="C230" s="1370">
        <v>1795.8</v>
      </c>
      <c r="F230" s="1359"/>
      <c r="M230" s="1360"/>
    </row>
    <row r="231" spans="1:13" x14ac:dyDescent="0.25">
      <c r="A231" s="1357">
        <v>92431</v>
      </c>
      <c r="B231" s="1357" t="s">
        <v>2874</v>
      </c>
      <c r="C231" s="1370">
        <v>18033.13</v>
      </c>
      <c r="F231" s="1359"/>
      <c r="M231" s="1360"/>
    </row>
    <row r="232" spans="1:13" x14ac:dyDescent="0.25">
      <c r="A232" s="1357">
        <v>92441</v>
      </c>
      <c r="B232" s="1357" t="s">
        <v>2875</v>
      </c>
      <c r="C232" s="1370">
        <v>44251.38</v>
      </c>
      <c r="F232" s="1359"/>
      <c r="M232" s="1360"/>
    </row>
    <row r="233" spans="1:13" x14ac:dyDescent="0.25">
      <c r="A233" s="1357">
        <v>92444</v>
      </c>
      <c r="B233" s="1357" t="s">
        <v>2876</v>
      </c>
      <c r="C233" s="1370">
        <v>4223.66</v>
      </c>
      <c r="F233" s="1359"/>
      <c r="M233" s="1360"/>
    </row>
    <row r="234" spans="1:13" x14ac:dyDescent="0.25">
      <c r="A234" s="1357">
        <v>92451</v>
      </c>
      <c r="B234" s="1357" t="s">
        <v>2877</v>
      </c>
      <c r="C234" s="1370">
        <v>84987.63</v>
      </c>
      <c r="F234" s="1359"/>
      <c r="M234" s="1360"/>
    </row>
    <row r="235" spans="1:13" x14ac:dyDescent="0.25">
      <c r="A235" s="1357">
        <v>92461</v>
      </c>
      <c r="B235" s="1357" t="s">
        <v>2878</v>
      </c>
      <c r="C235" s="1370">
        <v>42433.85</v>
      </c>
      <c r="F235" s="1359"/>
      <c r="M235" s="1360"/>
    </row>
    <row r="236" spans="1:13" x14ac:dyDescent="0.25">
      <c r="A236" s="1357">
        <v>92501</v>
      </c>
      <c r="B236" s="1357" t="s">
        <v>2879</v>
      </c>
      <c r="C236" s="1370">
        <v>2146475.44</v>
      </c>
      <c r="F236" s="1359"/>
      <c r="M236" s="1360"/>
    </row>
    <row r="237" spans="1:13" x14ac:dyDescent="0.25">
      <c r="A237" s="1357">
        <v>92502</v>
      </c>
      <c r="B237" s="1357" t="s">
        <v>2880</v>
      </c>
      <c r="C237" s="1370">
        <v>16386.57</v>
      </c>
      <c r="F237" s="1359"/>
      <c r="M237" s="1360"/>
    </row>
    <row r="238" spans="1:13" x14ac:dyDescent="0.25">
      <c r="A238" s="1357">
        <v>92504</v>
      </c>
      <c r="B238" s="1357" t="s">
        <v>2881</v>
      </c>
      <c r="C238" s="1370">
        <v>55299.13</v>
      </c>
      <c r="F238" s="1359"/>
      <c r="M238" s="1360"/>
    </row>
    <row r="239" spans="1:13" x14ac:dyDescent="0.25">
      <c r="A239" s="1357">
        <v>92505</v>
      </c>
      <c r="B239" s="1357" t="s">
        <v>2882</v>
      </c>
      <c r="C239" s="1370">
        <v>135467.60999999999</v>
      </c>
      <c r="F239" s="1359"/>
      <c r="M239" s="1360"/>
    </row>
    <row r="240" spans="1:13" x14ac:dyDescent="0.25">
      <c r="A240" s="1357">
        <v>92506</v>
      </c>
      <c r="B240" s="1357" t="s">
        <v>2883</v>
      </c>
      <c r="C240" s="1370">
        <v>33883.61</v>
      </c>
      <c r="F240" s="1359"/>
      <c r="M240" s="1360"/>
    </row>
    <row r="241" spans="1:13" x14ac:dyDescent="0.25">
      <c r="A241" s="1357">
        <v>92507</v>
      </c>
      <c r="B241" s="1357" t="s">
        <v>2884</v>
      </c>
      <c r="C241" s="1370">
        <v>46922.79</v>
      </c>
      <c r="F241" s="1359"/>
      <c r="M241" s="1360"/>
    </row>
    <row r="242" spans="1:13" x14ac:dyDescent="0.25">
      <c r="A242" s="1357">
        <v>92508</v>
      </c>
      <c r="B242" s="1357" t="s">
        <v>2885</v>
      </c>
      <c r="C242" s="1370">
        <v>198359.12</v>
      </c>
      <c r="F242" s="1359"/>
      <c r="M242" s="1360"/>
    </row>
    <row r="243" spans="1:13" x14ac:dyDescent="0.25">
      <c r="A243" s="1357">
        <v>92511</v>
      </c>
      <c r="B243" s="1357" t="s">
        <v>2887</v>
      </c>
      <c r="C243" s="1370">
        <v>1842811.88</v>
      </c>
      <c r="F243" s="1359"/>
      <c r="M243" s="1360"/>
    </row>
    <row r="244" spans="1:13" x14ac:dyDescent="0.25">
      <c r="A244" s="1357">
        <v>92513</v>
      </c>
      <c r="B244" s="1357" t="s">
        <v>2888</v>
      </c>
      <c r="C244" s="1370">
        <v>1930138.27</v>
      </c>
      <c r="F244" s="1359"/>
      <c r="M244" s="1360"/>
    </row>
    <row r="245" spans="1:13" x14ac:dyDescent="0.25">
      <c r="A245" s="1357">
        <v>92521</v>
      </c>
      <c r="B245" s="1357" t="s">
        <v>2889</v>
      </c>
      <c r="C245" s="1370">
        <v>42170.84</v>
      </c>
      <c r="F245" s="1359"/>
      <c r="M245" s="1360"/>
    </row>
    <row r="246" spans="1:13" x14ac:dyDescent="0.25">
      <c r="A246" s="1357">
        <v>92531</v>
      </c>
      <c r="B246" s="1357" t="s">
        <v>2890</v>
      </c>
      <c r="C246" s="1370">
        <v>406480.1</v>
      </c>
      <c r="F246" s="1359"/>
      <c r="M246" s="1360"/>
    </row>
    <row r="247" spans="1:13" x14ac:dyDescent="0.25">
      <c r="A247" s="1357">
        <v>92541</v>
      </c>
      <c r="B247" s="1357" t="s">
        <v>2891</v>
      </c>
      <c r="C247" s="1370">
        <v>72187.839999999997</v>
      </c>
      <c r="F247" s="1359"/>
      <c r="M247" s="1360"/>
    </row>
    <row r="248" spans="1:13" x14ac:dyDescent="0.25">
      <c r="A248" s="1357">
        <v>92551</v>
      </c>
      <c r="B248" s="1357" t="s">
        <v>2892</v>
      </c>
      <c r="C248" s="1370">
        <v>24611.03</v>
      </c>
      <c r="F248" s="1359"/>
      <c r="M248" s="1360"/>
    </row>
    <row r="249" spans="1:13" x14ac:dyDescent="0.25">
      <c r="A249" s="1357">
        <v>92561</v>
      </c>
      <c r="B249" s="1357" t="s">
        <v>2893</v>
      </c>
      <c r="C249" s="1370">
        <v>10163.27</v>
      </c>
      <c r="F249" s="1359"/>
      <c r="M249" s="1360"/>
    </row>
    <row r="250" spans="1:13" x14ac:dyDescent="0.25">
      <c r="A250" s="1357">
        <v>92571</v>
      </c>
      <c r="B250" s="1357" t="s">
        <v>2894</v>
      </c>
      <c r="C250" s="1370">
        <v>4473.1099999999997</v>
      </c>
      <c r="F250" s="1359"/>
      <c r="M250" s="1360"/>
    </row>
    <row r="251" spans="1:13" x14ac:dyDescent="0.25">
      <c r="A251" s="1357">
        <v>92601</v>
      </c>
      <c r="B251" s="1357" t="s">
        <v>2895</v>
      </c>
      <c r="C251" s="1370">
        <v>7178367.8200000003</v>
      </c>
      <c r="F251" s="1359"/>
      <c r="M251" s="1360"/>
    </row>
    <row r="252" spans="1:13" x14ac:dyDescent="0.25">
      <c r="A252" s="1357">
        <v>92602</v>
      </c>
      <c r="B252" s="1357" t="s">
        <v>2896</v>
      </c>
      <c r="C252" s="1370">
        <v>1757.57</v>
      </c>
      <c r="F252" s="1359"/>
      <c r="M252" s="1360"/>
    </row>
    <row r="253" spans="1:13" x14ac:dyDescent="0.25">
      <c r="A253" s="1357">
        <v>92604</v>
      </c>
      <c r="B253" s="1357" t="s">
        <v>2897</v>
      </c>
      <c r="C253" s="1370">
        <v>214142.14</v>
      </c>
      <c r="F253" s="1359"/>
      <c r="M253" s="1360"/>
    </row>
    <row r="254" spans="1:13" x14ac:dyDescent="0.25">
      <c r="A254" s="1357">
        <v>92607</v>
      </c>
      <c r="B254" s="1357" t="s">
        <v>2898</v>
      </c>
      <c r="C254" s="1370">
        <v>34326.629999999997</v>
      </c>
      <c r="F254" s="1359"/>
      <c r="M254" s="1360"/>
    </row>
    <row r="255" spans="1:13" x14ac:dyDescent="0.25">
      <c r="A255" s="1357">
        <v>92611</v>
      </c>
      <c r="B255" s="1357" t="s">
        <v>2900</v>
      </c>
      <c r="C255" s="1370">
        <v>6167512.8799999999</v>
      </c>
      <c r="F255" s="1359"/>
      <c r="M255" s="1360"/>
    </row>
    <row r="256" spans="1:13" x14ac:dyDescent="0.25">
      <c r="A256" s="1357">
        <v>92613</v>
      </c>
      <c r="B256" s="1357" t="s">
        <v>2901</v>
      </c>
      <c r="C256" s="1370">
        <v>136275.84</v>
      </c>
      <c r="F256" s="1359"/>
      <c r="M256" s="1360"/>
    </row>
    <row r="257" spans="1:13" x14ac:dyDescent="0.25">
      <c r="A257" s="1357">
        <v>92614</v>
      </c>
      <c r="B257" s="1357" t="s">
        <v>2902</v>
      </c>
      <c r="C257" s="1370">
        <v>5457746.2199999997</v>
      </c>
      <c r="F257" s="1359"/>
      <c r="M257" s="1360"/>
    </row>
    <row r="258" spans="1:13" x14ac:dyDescent="0.25">
      <c r="A258" s="1357">
        <v>92621</v>
      </c>
      <c r="B258" s="1357" t="s">
        <v>2903</v>
      </c>
      <c r="C258" s="1370">
        <v>14902.76</v>
      </c>
      <c r="F258" s="1359"/>
      <c r="M258" s="1360"/>
    </row>
    <row r="259" spans="1:13" x14ac:dyDescent="0.25">
      <c r="A259" s="1357">
        <v>92631</v>
      </c>
      <c r="B259" s="1357" t="s">
        <v>2904</v>
      </c>
      <c r="C259" s="1370">
        <v>454395</v>
      </c>
      <c r="F259" s="1359"/>
      <c r="M259" s="1360"/>
    </row>
    <row r="260" spans="1:13" x14ac:dyDescent="0.25">
      <c r="A260" s="1357">
        <v>92641</v>
      </c>
      <c r="B260" s="1357" t="s">
        <v>2905</v>
      </c>
      <c r="C260" s="1370">
        <v>8058.08</v>
      </c>
      <c r="F260" s="1359"/>
      <c r="M260" s="1360"/>
    </row>
    <row r="261" spans="1:13" x14ac:dyDescent="0.25">
      <c r="A261" s="1357">
        <v>92651</v>
      </c>
      <c r="B261" s="1357" t="s">
        <v>2906</v>
      </c>
      <c r="C261" s="1370">
        <v>2707.48</v>
      </c>
      <c r="F261" s="1359"/>
      <c r="M261" s="1360"/>
    </row>
    <row r="262" spans="1:13" x14ac:dyDescent="0.25">
      <c r="A262" s="1357">
        <v>92661</v>
      </c>
      <c r="B262" s="1357" t="s">
        <v>2907</v>
      </c>
      <c r="C262" s="1370">
        <v>570542.14</v>
      </c>
      <c r="F262" s="1359"/>
      <c r="M262" s="1360"/>
    </row>
    <row r="263" spans="1:13" x14ac:dyDescent="0.25">
      <c r="A263" s="1357">
        <v>92671</v>
      </c>
      <c r="B263" s="1357" t="s">
        <v>2908</v>
      </c>
      <c r="C263" s="1370">
        <v>5567.28</v>
      </c>
      <c r="F263" s="1359"/>
      <c r="M263" s="1360"/>
    </row>
    <row r="264" spans="1:13" x14ac:dyDescent="0.25">
      <c r="A264" s="1357">
        <v>92681</v>
      </c>
      <c r="B264" s="1357" t="s">
        <v>2909</v>
      </c>
      <c r="C264" s="1370">
        <v>9049.08</v>
      </c>
      <c r="F264" s="1359"/>
      <c r="M264" s="1360"/>
    </row>
    <row r="265" spans="1:13" x14ac:dyDescent="0.25">
      <c r="A265" s="1357">
        <v>92701</v>
      </c>
      <c r="B265" s="1357" t="s">
        <v>2910</v>
      </c>
      <c r="C265" s="1370">
        <v>1554456.54</v>
      </c>
      <c r="F265" s="1359"/>
      <c r="M265" s="1360"/>
    </row>
    <row r="266" spans="1:13" x14ac:dyDescent="0.25">
      <c r="A266" s="1357">
        <v>92704</v>
      </c>
      <c r="B266" s="1357" t="s">
        <v>2911</v>
      </c>
      <c r="C266" s="1370">
        <v>20231.41</v>
      </c>
      <c r="F266" s="1359"/>
      <c r="M266" s="1360"/>
    </row>
    <row r="267" spans="1:13" x14ac:dyDescent="0.25">
      <c r="A267" s="1357">
        <v>92801</v>
      </c>
      <c r="B267" s="1357" t="s">
        <v>2912</v>
      </c>
      <c r="C267" s="1370">
        <v>2947668.95</v>
      </c>
      <c r="F267" s="1359"/>
      <c r="M267" s="1360"/>
    </row>
    <row r="268" spans="1:13" x14ac:dyDescent="0.25">
      <c r="A268" s="1357">
        <v>92802</v>
      </c>
      <c r="B268" s="1357" t="s">
        <v>2913</v>
      </c>
      <c r="C268" s="1370">
        <v>59756.03</v>
      </c>
      <c r="F268" s="1359"/>
      <c r="M268" s="1360"/>
    </row>
    <row r="269" spans="1:13" x14ac:dyDescent="0.25">
      <c r="A269" s="1357">
        <v>92804</v>
      </c>
      <c r="B269" s="1357" t="s">
        <v>2914</v>
      </c>
      <c r="C269" s="1370">
        <v>70943.360000000001</v>
      </c>
      <c r="F269" s="1359"/>
      <c r="M269" s="1360"/>
    </row>
    <row r="270" spans="1:13" x14ac:dyDescent="0.25">
      <c r="A270" s="1357">
        <v>92811</v>
      </c>
      <c r="B270" s="1357" t="s">
        <v>2915</v>
      </c>
      <c r="C270" s="1370">
        <v>502097.06</v>
      </c>
      <c r="F270" s="1359"/>
      <c r="M270" s="1360"/>
    </row>
    <row r="271" spans="1:13" x14ac:dyDescent="0.25">
      <c r="A271" s="1357">
        <v>92821</v>
      </c>
      <c r="B271" s="1357" t="s">
        <v>2916</v>
      </c>
      <c r="C271" s="1370">
        <v>542419.52</v>
      </c>
      <c r="F271" s="1359"/>
      <c r="M271" s="1360"/>
    </row>
    <row r="272" spans="1:13" x14ac:dyDescent="0.25">
      <c r="A272" s="1357">
        <v>92831</v>
      </c>
      <c r="B272" s="1357" t="s">
        <v>2917</v>
      </c>
      <c r="C272" s="1370">
        <v>146906.98000000001</v>
      </c>
      <c r="F272" s="1359"/>
      <c r="M272" s="1360"/>
    </row>
    <row r="273" spans="1:13" x14ac:dyDescent="0.25">
      <c r="A273" s="1357">
        <v>92841</v>
      </c>
      <c r="B273" s="1357" t="s">
        <v>2918</v>
      </c>
      <c r="C273" s="1370">
        <v>134012.69</v>
      </c>
      <c r="F273" s="1359"/>
      <c r="M273" s="1360"/>
    </row>
    <row r="274" spans="1:13" x14ac:dyDescent="0.25">
      <c r="A274" s="1357">
        <v>92851</v>
      </c>
      <c r="B274" s="1357" t="s">
        <v>2919</v>
      </c>
      <c r="C274" s="1370">
        <v>201341.28</v>
      </c>
      <c r="F274" s="1359"/>
      <c r="M274" s="1360"/>
    </row>
    <row r="275" spans="1:13" x14ac:dyDescent="0.25">
      <c r="A275" s="1357">
        <v>92861</v>
      </c>
      <c r="B275" s="1357" t="s">
        <v>2920</v>
      </c>
      <c r="C275" s="1370">
        <v>163355.29999999999</v>
      </c>
      <c r="F275" s="1359"/>
      <c r="M275" s="1360"/>
    </row>
    <row r="276" spans="1:13" x14ac:dyDescent="0.25">
      <c r="A276" s="1357">
        <v>92901</v>
      </c>
      <c r="B276" s="1357" t="s">
        <v>2921</v>
      </c>
      <c r="C276" s="1370">
        <v>2911769.34</v>
      </c>
      <c r="F276" s="1359"/>
      <c r="M276" s="1360"/>
    </row>
    <row r="277" spans="1:13" x14ac:dyDescent="0.25">
      <c r="A277" s="1357">
        <v>92911</v>
      </c>
      <c r="B277" s="1357" t="s">
        <v>2922</v>
      </c>
      <c r="C277" s="1370">
        <v>1069188.3799999999</v>
      </c>
      <c r="F277" s="1359"/>
      <c r="M277" s="1360"/>
    </row>
    <row r="278" spans="1:13" x14ac:dyDescent="0.25">
      <c r="A278" s="1357">
        <v>92913</v>
      </c>
      <c r="B278" s="1357" t="s">
        <v>2923</v>
      </c>
      <c r="C278" s="1370">
        <v>64321.72</v>
      </c>
      <c r="F278" s="1359"/>
      <c r="M278" s="1360"/>
    </row>
    <row r="279" spans="1:13" x14ac:dyDescent="0.25">
      <c r="A279" s="1357">
        <v>92914</v>
      </c>
      <c r="B279" s="1357" t="s">
        <v>3686</v>
      </c>
      <c r="C279" s="1370">
        <v>14864.82</v>
      </c>
      <c r="F279" s="1359"/>
      <c r="M279" s="1360"/>
    </row>
    <row r="280" spans="1:13" x14ac:dyDescent="0.25">
      <c r="A280" s="1357">
        <v>92917</v>
      </c>
      <c r="B280" s="1357" t="s">
        <v>2924</v>
      </c>
      <c r="C280" s="1370">
        <v>15957.8</v>
      </c>
      <c r="F280" s="1359"/>
      <c r="M280" s="1360"/>
    </row>
    <row r="281" spans="1:13" x14ac:dyDescent="0.25">
      <c r="A281" s="1357">
        <v>92921</v>
      </c>
      <c r="B281" s="1357" t="s">
        <v>2925</v>
      </c>
      <c r="C281" s="1370">
        <v>58694.86</v>
      </c>
      <c r="F281" s="1359"/>
      <c r="M281" s="1360"/>
    </row>
    <row r="282" spans="1:13" x14ac:dyDescent="0.25">
      <c r="A282" s="1357">
        <v>92931</v>
      </c>
      <c r="B282" s="1357" t="s">
        <v>2926</v>
      </c>
      <c r="C282" s="1370">
        <v>1173063.23</v>
      </c>
      <c r="F282" s="1359"/>
      <c r="M282" s="1360"/>
    </row>
    <row r="283" spans="1:13" x14ac:dyDescent="0.25">
      <c r="A283" s="1357">
        <v>92941</v>
      </c>
      <c r="B283" s="1357" t="s">
        <v>1450</v>
      </c>
      <c r="C283" s="1370">
        <v>3668.61</v>
      </c>
      <c r="F283" s="1359"/>
      <c r="M283" s="1360"/>
    </row>
    <row r="284" spans="1:13" x14ac:dyDescent="0.25">
      <c r="A284" s="1357">
        <v>93001</v>
      </c>
      <c r="B284" s="1357" t="s">
        <v>2927</v>
      </c>
      <c r="C284" s="1370">
        <v>1157133.98</v>
      </c>
      <c r="F284" s="1359"/>
      <c r="M284" s="1360"/>
    </row>
    <row r="285" spans="1:13" x14ac:dyDescent="0.25">
      <c r="A285" s="1357">
        <v>93009</v>
      </c>
      <c r="B285" s="1357" t="s">
        <v>2928</v>
      </c>
      <c r="C285" s="1370">
        <v>5485.76</v>
      </c>
      <c r="F285" s="1359"/>
      <c r="M285" s="1360"/>
    </row>
    <row r="286" spans="1:13" x14ac:dyDescent="0.25">
      <c r="A286" s="1357">
        <v>93011</v>
      </c>
      <c r="B286" s="1357" t="s">
        <v>2929</v>
      </c>
      <c r="C286" s="1370">
        <v>161395.35</v>
      </c>
      <c r="F286" s="1359"/>
      <c r="M286" s="1360"/>
    </row>
    <row r="287" spans="1:13" x14ac:dyDescent="0.25">
      <c r="A287" s="1357">
        <v>93021</v>
      </c>
      <c r="B287" s="1357" t="s">
        <v>2930</v>
      </c>
      <c r="C287" s="1370">
        <v>14982.44</v>
      </c>
      <c r="F287" s="1359"/>
      <c r="M287" s="1360"/>
    </row>
    <row r="288" spans="1:13" x14ac:dyDescent="0.25">
      <c r="A288" s="1357">
        <v>93027</v>
      </c>
      <c r="B288" s="1373" t="s">
        <v>4164</v>
      </c>
      <c r="C288" s="1370">
        <v>4619.82</v>
      </c>
      <c r="D288" s="1357" t="s">
        <v>4826</v>
      </c>
      <c r="F288" s="1359"/>
      <c r="M288" s="1360"/>
    </row>
    <row r="289" spans="1:13" x14ac:dyDescent="0.25">
      <c r="A289" s="1357">
        <v>93031</v>
      </c>
      <c r="B289" s="1357" t="s">
        <v>2932</v>
      </c>
      <c r="C289" s="1370">
        <v>10966.06</v>
      </c>
      <c r="F289" s="1359"/>
      <c r="M289" s="1360"/>
    </row>
    <row r="290" spans="1:13" x14ac:dyDescent="0.25">
      <c r="A290" s="1357">
        <v>93101</v>
      </c>
      <c r="B290" s="1357" t="s">
        <v>2933</v>
      </c>
      <c r="C290" s="1370">
        <v>1606115.76</v>
      </c>
      <c r="F290" s="1359"/>
      <c r="M290" s="1360"/>
    </row>
    <row r="291" spans="1:13" x14ac:dyDescent="0.25">
      <c r="A291" s="1357">
        <v>93103</v>
      </c>
      <c r="B291" s="1357" t="s">
        <v>2126</v>
      </c>
      <c r="C291" s="1370">
        <v>6272.57</v>
      </c>
      <c r="F291" s="1359"/>
      <c r="M291" s="1360"/>
    </row>
    <row r="292" spans="1:13" x14ac:dyDescent="0.25">
      <c r="A292" s="1357">
        <v>93108</v>
      </c>
      <c r="B292" s="1357" t="s">
        <v>2934</v>
      </c>
      <c r="C292" s="1370">
        <v>1216604.81</v>
      </c>
      <c r="F292" s="1359"/>
      <c r="M292" s="1360"/>
    </row>
    <row r="293" spans="1:13" x14ac:dyDescent="0.25">
      <c r="A293" s="1357">
        <v>93111</v>
      </c>
      <c r="B293" s="1357" t="s">
        <v>2935</v>
      </c>
      <c r="C293" s="1370">
        <v>29490.03</v>
      </c>
      <c r="F293" s="1359"/>
      <c r="M293" s="1360"/>
    </row>
    <row r="294" spans="1:13" x14ac:dyDescent="0.25">
      <c r="A294" s="1357">
        <v>93121</v>
      </c>
      <c r="B294" s="1357" t="s">
        <v>2936</v>
      </c>
      <c r="C294" s="1370">
        <v>34376.699999999997</v>
      </c>
      <c r="F294" s="1359"/>
      <c r="M294" s="1360"/>
    </row>
    <row r="295" spans="1:13" x14ac:dyDescent="0.25">
      <c r="A295" s="1357">
        <v>93127</v>
      </c>
      <c r="B295" s="1357" t="s">
        <v>2937</v>
      </c>
      <c r="C295" s="1370">
        <v>3063.77</v>
      </c>
      <c r="F295" s="1359"/>
      <c r="M295" s="1360"/>
    </row>
    <row r="296" spans="1:13" x14ac:dyDescent="0.25">
      <c r="A296" s="1357">
        <v>93131</v>
      </c>
      <c r="B296" s="1357" t="s">
        <v>2938</v>
      </c>
      <c r="C296" s="1370">
        <v>99350.17</v>
      </c>
      <c r="F296" s="1359"/>
      <c r="M296" s="1360"/>
    </row>
    <row r="297" spans="1:13" x14ac:dyDescent="0.25">
      <c r="A297" s="1357">
        <v>93137</v>
      </c>
      <c r="B297" s="1357" t="s">
        <v>2939</v>
      </c>
      <c r="C297" s="1370">
        <v>3215.07</v>
      </c>
      <c r="F297" s="1359"/>
      <c r="M297" s="1360"/>
    </row>
    <row r="298" spans="1:13" x14ac:dyDescent="0.25">
      <c r="A298" s="1357">
        <v>93141</v>
      </c>
      <c r="B298" s="1357" t="s">
        <v>2940</v>
      </c>
      <c r="C298" s="1370">
        <v>18666</v>
      </c>
      <c r="F298" s="1359"/>
      <c r="M298" s="1360"/>
    </row>
    <row r="299" spans="1:13" x14ac:dyDescent="0.25">
      <c r="A299" s="1357">
        <v>93151</v>
      </c>
      <c r="B299" s="1357" t="s">
        <v>2941</v>
      </c>
      <c r="C299" s="1370">
        <v>168668.45</v>
      </c>
      <c r="F299" s="1359"/>
      <c r="M299" s="1360"/>
    </row>
    <row r="300" spans="1:13" x14ac:dyDescent="0.25">
      <c r="A300" s="1357">
        <v>93157</v>
      </c>
      <c r="B300" s="1357" t="s">
        <v>2942</v>
      </c>
      <c r="C300" s="1370">
        <v>6856.04</v>
      </c>
      <c r="F300" s="1359"/>
      <c r="M300" s="1360"/>
    </row>
    <row r="301" spans="1:13" x14ac:dyDescent="0.25">
      <c r="A301" s="1357">
        <v>93161</v>
      </c>
      <c r="B301" s="1357" t="s">
        <v>2943</v>
      </c>
      <c r="C301" s="1370">
        <v>57378.37</v>
      </c>
      <c r="F301" s="1359"/>
      <c r="M301" s="1360"/>
    </row>
    <row r="302" spans="1:13" x14ac:dyDescent="0.25">
      <c r="A302" s="1357">
        <v>93171</v>
      </c>
      <c r="B302" s="1357" t="s">
        <v>2944</v>
      </c>
      <c r="C302" s="1370">
        <v>5049.51</v>
      </c>
      <c r="F302" s="1359"/>
      <c r="M302" s="1360"/>
    </row>
    <row r="303" spans="1:13" x14ac:dyDescent="0.25">
      <c r="A303" s="1357">
        <v>93181</v>
      </c>
      <c r="B303" s="1357" t="s">
        <v>2945</v>
      </c>
      <c r="C303" s="1370">
        <v>6285.27</v>
      </c>
      <c r="F303" s="1359"/>
      <c r="M303" s="1360"/>
    </row>
    <row r="304" spans="1:13" x14ac:dyDescent="0.25">
      <c r="A304" s="1357">
        <v>93191</v>
      </c>
      <c r="B304" s="1357" t="s">
        <v>2946</v>
      </c>
      <c r="C304" s="1370">
        <v>17982.41</v>
      </c>
      <c r="F304" s="1359"/>
      <c r="M304" s="1360"/>
    </row>
    <row r="305" spans="1:13" x14ac:dyDescent="0.25">
      <c r="A305" s="1357">
        <v>93201</v>
      </c>
      <c r="B305" s="1357" t="s">
        <v>2947</v>
      </c>
      <c r="C305" s="1370">
        <v>8195205.0199999996</v>
      </c>
      <c r="F305" s="1359"/>
      <c r="M305" s="1360"/>
    </row>
    <row r="306" spans="1:13" x14ac:dyDescent="0.25">
      <c r="A306" s="1357">
        <v>93204</v>
      </c>
      <c r="B306" s="1357" t="s">
        <v>2949</v>
      </c>
      <c r="C306" s="1370">
        <v>178972.2</v>
      </c>
      <c r="F306" s="1359"/>
      <c r="M306" s="1360"/>
    </row>
    <row r="307" spans="1:13" x14ac:dyDescent="0.25">
      <c r="A307" s="1357">
        <v>93209</v>
      </c>
      <c r="B307" s="1357" t="s">
        <v>2950</v>
      </c>
      <c r="C307" s="1370">
        <v>2614374.9900000002</v>
      </c>
      <c r="F307" s="1359"/>
      <c r="M307" s="1360"/>
    </row>
    <row r="308" spans="1:13" x14ac:dyDescent="0.25">
      <c r="A308" s="1357">
        <v>93211</v>
      </c>
      <c r="B308" s="1357" t="s">
        <v>2951</v>
      </c>
      <c r="C308" s="1370">
        <v>11446327.32</v>
      </c>
      <c r="F308" s="1359"/>
      <c r="M308" s="1360"/>
    </row>
    <row r="309" spans="1:13" x14ac:dyDescent="0.25">
      <c r="A309" s="1357">
        <v>93212</v>
      </c>
      <c r="B309" s="1357" t="s">
        <v>2952</v>
      </c>
      <c r="C309" s="1370">
        <v>239714.07</v>
      </c>
      <c r="F309" s="1359"/>
      <c r="M309" s="1360"/>
    </row>
    <row r="310" spans="1:13" x14ac:dyDescent="0.25">
      <c r="A310" s="1357">
        <v>93219</v>
      </c>
      <c r="B310" s="1357" t="s">
        <v>2953</v>
      </c>
      <c r="C310" s="1370">
        <v>148151.73000000001</v>
      </c>
      <c r="F310" s="1359"/>
      <c r="M310" s="1360"/>
    </row>
    <row r="311" spans="1:13" x14ac:dyDescent="0.25">
      <c r="A311" s="1357">
        <v>93301</v>
      </c>
      <c r="B311" s="1357" t="s">
        <v>2954</v>
      </c>
      <c r="C311" s="1370">
        <v>1217879.82</v>
      </c>
      <c r="F311" s="1359"/>
      <c r="M311" s="1360"/>
    </row>
    <row r="312" spans="1:13" x14ac:dyDescent="0.25">
      <c r="A312" s="1357">
        <v>93304</v>
      </c>
      <c r="B312" s="1357" t="s">
        <v>2955</v>
      </c>
      <c r="C312" s="1370">
        <v>23575.84</v>
      </c>
      <c r="F312" s="1359"/>
      <c r="M312" s="1360"/>
    </row>
    <row r="313" spans="1:13" x14ac:dyDescent="0.25">
      <c r="A313" s="1357">
        <v>93305</v>
      </c>
      <c r="B313" s="1357" t="s">
        <v>2956</v>
      </c>
      <c r="C313" s="1370">
        <v>21160.73</v>
      </c>
      <c r="F313" s="1359"/>
      <c r="M313" s="1360"/>
    </row>
    <row r="314" spans="1:13" x14ac:dyDescent="0.25">
      <c r="A314" s="1357">
        <v>93309</v>
      </c>
      <c r="B314" s="1357" t="s">
        <v>2957</v>
      </c>
      <c r="C314" s="1370">
        <v>102326.45</v>
      </c>
      <c r="F314" s="1359"/>
      <c r="M314" s="1360"/>
    </row>
    <row r="315" spans="1:13" x14ac:dyDescent="0.25">
      <c r="A315" s="1357">
        <v>93311</v>
      </c>
      <c r="B315" s="1357" t="s">
        <v>2958</v>
      </c>
      <c r="C315" s="1370">
        <v>587024.14</v>
      </c>
      <c r="F315" s="1359"/>
      <c r="M315" s="1360"/>
    </row>
    <row r="316" spans="1:13" x14ac:dyDescent="0.25">
      <c r="A316" s="1357">
        <v>93317</v>
      </c>
      <c r="B316" s="1357" t="s">
        <v>2959</v>
      </c>
      <c r="C316" s="1370">
        <v>24153.43</v>
      </c>
      <c r="F316" s="1359"/>
      <c r="M316" s="1360"/>
    </row>
    <row r="317" spans="1:13" x14ac:dyDescent="0.25">
      <c r="A317" s="1357">
        <v>93321</v>
      </c>
      <c r="B317" s="1357" t="s">
        <v>2960</v>
      </c>
      <c r="C317" s="1370">
        <v>3551024.55</v>
      </c>
      <c r="F317" s="1359"/>
      <c r="M317" s="1360"/>
    </row>
    <row r="318" spans="1:13" x14ac:dyDescent="0.25">
      <c r="A318" s="1357">
        <v>93323</v>
      </c>
      <c r="B318" s="1357" t="s">
        <v>2961</v>
      </c>
      <c r="C318" s="1370">
        <v>8939.7000000000007</v>
      </c>
      <c r="F318" s="1359"/>
      <c r="M318" s="1360"/>
    </row>
    <row r="319" spans="1:13" x14ac:dyDescent="0.25">
      <c r="A319" s="1357">
        <v>93331</v>
      </c>
      <c r="B319" s="1357" t="s">
        <v>2962</v>
      </c>
      <c r="C319" s="1370">
        <v>59492.94</v>
      </c>
      <c r="F319" s="1359"/>
      <c r="M319" s="1360"/>
    </row>
    <row r="320" spans="1:13" x14ac:dyDescent="0.25">
      <c r="A320" s="1357">
        <v>93333</v>
      </c>
      <c r="B320" s="1357" t="s">
        <v>2963</v>
      </c>
      <c r="C320" s="1370">
        <v>128244.78</v>
      </c>
      <c r="F320" s="1359"/>
      <c r="M320" s="1360"/>
    </row>
    <row r="321" spans="1:13" x14ac:dyDescent="0.25">
      <c r="A321" s="1357">
        <v>93341</v>
      </c>
      <c r="B321" s="1357" t="s">
        <v>2964</v>
      </c>
      <c r="C321" s="1370">
        <v>16069</v>
      </c>
      <c r="F321" s="1359"/>
      <c r="M321" s="1360"/>
    </row>
    <row r="322" spans="1:13" x14ac:dyDescent="0.25">
      <c r="A322" s="1357">
        <v>93351</v>
      </c>
      <c r="B322" s="1357" t="s">
        <v>2965</v>
      </c>
      <c r="C322" s="1370">
        <v>9853.19</v>
      </c>
      <c r="F322" s="1359"/>
      <c r="M322" s="1360"/>
    </row>
    <row r="323" spans="1:13" x14ac:dyDescent="0.25">
      <c r="A323" s="1357">
        <v>93401</v>
      </c>
      <c r="B323" s="1357" t="s">
        <v>2966</v>
      </c>
      <c r="C323" s="1370">
        <v>7243217.04</v>
      </c>
      <c r="F323" s="1359"/>
      <c r="M323" s="1360"/>
    </row>
    <row r="324" spans="1:13" x14ac:dyDescent="0.25">
      <c r="A324" s="1357">
        <v>93402</v>
      </c>
      <c r="B324" s="1357" t="s">
        <v>2967</v>
      </c>
      <c r="C324" s="1370">
        <v>21492.240000000002</v>
      </c>
      <c r="F324" s="1359"/>
      <c r="M324" s="1360"/>
    </row>
    <row r="325" spans="1:13" x14ac:dyDescent="0.25">
      <c r="A325" s="1357">
        <v>93406</v>
      </c>
      <c r="B325" s="1357" t="s">
        <v>2968</v>
      </c>
      <c r="C325" s="1370">
        <v>280895.17</v>
      </c>
      <c r="F325" s="1359"/>
      <c r="M325" s="1360"/>
    </row>
    <row r="326" spans="1:13" x14ac:dyDescent="0.25">
      <c r="A326" s="1357">
        <v>93411</v>
      </c>
      <c r="B326" s="1357" t="s">
        <v>2970</v>
      </c>
      <c r="C326" s="1370">
        <v>9444604.1300000008</v>
      </c>
      <c r="F326" s="1359"/>
      <c r="M326" s="1360"/>
    </row>
    <row r="327" spans="1:13" x14ac:dyDescent="0.25">
      <c r="A327" s="1357">
        <v>93413</v>
      </c>
      <c r="B327" s="1357" t="s">
        <v>2971</v>
      </c>
      <c r="C327" s="1370">
        <v>395125.02</v>
      </c>
      <c r="F327" s="1359"/>
      <c r="M327" s="1360"/>
    </row>
    <row r="328" spans="1:13" x14ac:dyDescent="0.25">
      <c r="A328" s="1357">
        <v>93417</v>
      </c>
      <c r="B328" s="1357" t="s">
        <v>2972</v>
      </c>
      <c r="C328" s="1370">
        <v>191519.15</v>
      </c>
      <c r="F328" s="1359"/>
      <c r="M328" s="1360"/>
    </row>
    <row r="329" spans="1:13" x14ac:dyDescent="0.25">
      <c r="A329" s="1357">
        <v>93421</v>
      </c>
      <c r="B329" s="1357" t="s">
        <v>2973</v>
      </c>
      <c r="C329" s="1370">
        <v>1010882.32</v>
      </c>
      <c r="F329" s="1359"/>
      <c r="M329" s="1360"/>
    </row>
    <row r="330" spans="1:13" x14ac:dyDescent="0.25">
      <c r="A330" s="1357">
        <v>93431</v>
      </c>
      <c r="B330" s="1357" t="s">
        <v>2974</v>
      </c>
      <c r="C330" s="1370">
        <v>73539.02</v>
      </c>
      <c r="F330" s="1359"/>
      <c r="M330" s="1360"/>
    </row>
    <row r="331" spans="1:13" x14ac:dyDescent="0.25">
      <c r="A331" s="1357">
        <v>93441</v>
      </c>
      <c r="B331" s="1357" t="s">
        <v>2975</v>
      </c>
      <c r="C331" s="1370">
        <v>81856.039999999994</v>
      </c>
      <c r="F331" s="1359"/>
      <c r="M331" s="1360"/>
    </row>
    <row r="332" spans="1:13" x14ac:dyDescent="0.25">
      <c r="A332" s="1357">
        <v>93442</v>
      </c>
      <c r="B332" s="1357" t="s">
        <v>2976</v>
      </c>
      <c r="C332" s="1370">
        <v>70393.5</v>
      </c>
      <c r="F332" s="1359"/>
      <c r="M332" s="1360"/>
    </row>
    <row r="333" spans="1:13" x14ac:dyDescent="0.25">
      <c r="A333" s="1357">
        <v>93451</v>
      </c>
      <c r="B333" s="1357" t="s">
        <v>2977</v>
      </c>
      <c r="C333" s="1370">
        <v>47773.23</v>
      </c>
      <c r="F333" s="1359"/>
      <c r="M333" s="1360"/>
    </row>
    <row r="334" spans="1:13" x14ac:dyDescent="0.25">
      <c r="A334" s="1357">
        <v>93461</v>
      </c>
      <c r="B334" s="1357" t="s">
        <v>2978</v>
      </c>
      <c r="C334" s="1370">
        <v>8560.68</v>
      </c>
      <c r="F334" s="1359"/>
      <c r="M334" s="1360"/>
    </row>
    <row r="335" spans="1:13" x14ac:dyDescent="0.25">
      <c r="A335" s="1357">
        <v>93471</v>
      </c>
      <c r="B335" s="1357" t="s">
        <v>2979</v>
      </c>
      <c r="C335" s="1370">
        <v>9132.39</v>
      </c>
      <c r="F335" s="1359"/>
      <c r="M335" s="1360"/>
    </row>
    <row r="336" spans="1:13" x14ac:dyDescent="0.25">
      <c r="A336" s="1357">
        <v>93501</v>
      </c>
      <c r="B336" s="1357" t="s">
        <v>2980</v>
      </c>
      <c r="C336" s="1370">
        <v>1961932.46</v>
      </c>
      <c r="F336" s="1359"/>
      <c r="M336" s="1360"/>
    </row>
    <row r="337" spans="1:13" x14ac:dyDescent="0.25">
      <c r="A337" s="1357">
        <v>93511</v>
      </c>
      <c r="B337" s="1357" t="s">
        <v>2981</v>
      </c>
      <c r="C337" s="1370">
        <v>54732.4</v>
      </c>
      <c r="F337" s="1359"/>
      <c r="M337" s="1360"/>
    </row>
    <row r="338" spans="1:13" x14ac:dyDescent="0.25">
      <c r="A338" s="1357">
        <v>93517</v>
      </c>
      <c r="B338" s="1357" t="s">
        <v>2982</v>
      </c>
      <c r="C338" s="1370">
        <v>4924.68</v>
      </c>
      <c r="F338" s="1359"/>
      <c r="M338" s="1360"/>
    </row>
    <row r="339" spans="1:13" x14ac:dyDescent="0.25">
      <c r="A339" s="1357">
        <v>93521</v>
      </c>
      <c r="B339" s="1357" t="s">
        <v>2983</v>
      </c>
      <c r="C339" s="1370">
        <v>254897.06</v>
      </c>
      <c r="F339" s="1359"/>
      <c r="M339" s="1360"/>
    </row>
    <row r="340" spans="1:13" x14ac:dyDescent="0.25">
      <c r="A340" s="1357">
        <v>93527</v>
      </c>
      <c r="B340" s="1357" t="s">
        <v>2984</v>
      </c>
      <c r="C340" s="1370">
        <v>9872.25</v>
      </c>
      <c r="F340" s="1359"/>
      <c r="M340" s="1360"/>
    </row>
    <row r="341" spans="1:13" x14ac:dyDescent="0.25">
      <c r="A341" s="1357">
        <v>93531</v>
      </c>
      <c r="B341" s="1357" t="s">
        <v>2985</v>
      </c>
      <c r="C341" s="1370">
        <v>13068.48</v>
      </c>
      <c r="F341" s="1359"/>
      <c r="M341" s="1360"/>
    </row>
    <row r="342" spans="1:13" x14ac:dyDescent="0.25">
      <c r="A342" s="1357">
        <v>93537</v>
      </c>
      <c r="B342" s="1357" t="s">
        <v>2986</v>
      </c>
      <c r="C342" s="1370">
        <v>4533.1000000000004</v>
      </c>
      <c r="F342" s="1359"/>
      <c r="M342" s="1360"/>
    </row>
    <row r="343" spans="1:13" x14ac:dyDescent="0.25">
      <c r="A343" s="1357">
        <v>93541</v>
      </c>
      <c r="B343" s="1357" t="s">
        <v>2987</v>
      </c>
      <c r="C343" s="1370">
        <v>53968.15</v>
      </c>
      <c r="F343" s="1359"/>
      <c r="M343" s="1360"/>
    </row>
    <row r="344" spans="1:13" x14ac:dyDescent="0.25">
      <c r="A344" s="1357">
        <v>93601</v>
      </c>
      <c r="B344" s="1357" t="s">
        <v>2988</v>
      </c>
      <c r="C344" s="1370">
        <v>5992723.9199999999</v>
      </c>
      <c r="F344" s="1359"/>
      <c r="M344" s="1360"/>
    </row>
    <row r="345" spans="1:13" x14ac:dyDescent="0.25">
      <c r="A345" s="1357">
        <v>93602</v>
      </c>
      <c r="B345" s="1357" t="s">
        <v>2989</v>
      </c>
      <c r="C345" s="1370">
        <v>108807.1</v>
      </c>
      <c r="F345" s="1359"/>
      <c r="M345" s="1360"/>
    </row>
    <row r="346" spans="1:13" x14ac:dyDescent="0.25">
      <c r="A346" s="1357">
        <v>93604</v>
      </c>
      <c r="B346" s="1357" t="s">
        <v>4168</v>
      </c>
      <c r="C346" s="1370">
        <v>16339.22</v>
      </c>
      <c r="F346" s="1359"/>
      <c r="M346" s="1360"/>
    </row>
    <row r="347" spans="1:13" x14ac:dyDescent="0.25">
      <c r="A347" s="1357">
        <v>93609</v>
      </c>
      <c r="B347" s="1357" t="s">
        <v>2990</v>
      </c>
      <c r="C347" s="1370">
        <v>1968207.82</v>
      </c>
      <c r="F347" s="1359"/>
      <c r="M347" s="1360"/>
    </row>
    <row r="348" spans="1:13" x14ac:dyDescent="0.25">
      <c r="A348" s="1357">
        <v>93610</v>
      </c>
      <c r="B348" s="1357" t="s">
        <v>2991</v>
      </c>
      <c r="C348" s="1370">
        <v>7152.4</v>
      </c>
      <c r="F348" s="1359"/>
      <c r="M348" s="1360"/>
    </row>
    <row r="349" spans="1:13" x14ac:dyDescent="0.25">
      <c r="A349" s="1357">
        <v>93611</v>
      </c>
      <c r="B349" s="1357" t="s">
        <v>2992</v>
      </c>
      <c r="C349" s="1370">
        <v>3643954.74</v>
      </c>
      <c r="F349" s="1359"/>
      <c r="M349" s="1360"/>
    </row>
    <row r="350" spans="1:13" x14ac:dyDescent="0.25">
      <c r="A350" s="1357">
        <v>93617</v>
      </c>
      <c r="B350" s="1357" t="s">
        <v>2993</v>
      </c>
      <c r="C350" s="1370">
        <v>57791.91</v>
      </c>
      <c r="F350" s="1359"/>
      <c r="M350" s="1360"/>
    </row>
    <row r="351" spans="1:13" x14ac:dyDescent="0.25">
      <c r="A351" s="1357">
        <v>93618</v>
      </c>
      <c r="B351" s="1357" t="s">
        <v>2994</v>
      </c>
      <c r="C351" s="1370">
        <v>26457.360000000001</v>
      </c>
      <c r="F351" s="1359"/>
      <c r="M351" s="1360"/>
    </row>
    <row r="352" spans="1:13" x14ac:dyDescent="0.25">
      <c r="A352" s="1357">
        <v>93621</v>
      </c>
      <c r="B352" s="1357" t="s">
        <v>2995</v>
      </c>
      <c r="C352" s="1370">
        <v>518880.93</v>
      </c>
      <c r="F352" s="1359"/>
      <c r="M352" s="1360"/>
    </row>
    <row r="353" spans="1:13" x14ac:dyDescent="0.25">
      <c r="A353" s="1357">
        <v>93623</v>
      </c>
      <c r="B353" s="1357" t="s">
        <v>2996</v>
      </c>
      <c r="C353" s="1370">
        <v>6913.62</v>
      </c>
      <c r="F353" s="1359"/>
      <c r="M353" s="1360"/>
    </row>
    <row r="354" spans="1:13" x14ac:dyDescent="0.25">
      <c r="A354" s="1357">
        <v>93631</v>
      </c>
      <c r="B354" s="1357" t="s">
        <v>2997</v>
      </c>
      <c r="C354" s="1370">
        <v>116246.94</v>
      </c>
      <c r="F354" s="1359"/>
      <c r="M354" s="1360"/>
    </row>
    <row r="355" spans="1:13" x14ac:dyDescent="0.25">
      <c r="A355" s="1357">
        <v>93641</v>
      </c>
      <c r="B355" s="1357" t="s">
        <v>2998</v>
      </c>
      <c r="C355" s="1370">
        <v>227358.34</v>
      </c>
      <c r="F355" s="1359"/>
      <c r="M355" s="1360"/>
    </row>
    <row r="356" spans="1:13" x14ac:dyDescent="0.25">
      <c r="A356" s="1357">
        <v>93647</v>
      </c>
      <c r="B356" s="1357" t="s">
        <v>2999</v>
      </c>
      <c r="C356" s="1370">
        <v>10194.91</v>
      </c>
      <c r="F356" s="1359"/>
      <c r="M356" s="1360"/>
    </row>
    <row r="357" spans="1:13" x14ac:dyDescent="0.25">
      <c r="A357" s="1357">
        <v>93651</v>
      </c>
      <c r="B357" s="1357" t="s">
        <v>3000</v>
      </c>
      <c r="C357" s="1370">
        <v>216921.48</v>
      </c>
      <c r="F357" s="1359"/>
      <c r="M357" s="1360"/>
    </row>
    <row r="358" spans="1:13" x14ac:dyDescent="0.25">
      <c r="A358" s="1357">
        <v>93661</v>
      </c>
      <c r="B358" s="1357" t="s">
        <v>3001</v>
      </c>
      <c r="C358" s="1370">
        <v>73068.05</v>
      </c>
      <c r="F358" s="1359"/>
      <c r="M358" s="1360"/>
    </row>
    <row r="359" spans="1:13" x14ac:dyDescent="0.25">
      <c r="A359" s="1357">
        <v>93671</v>
      </c>
      <c r="B359" s="1357" t="s">
        <v>3002</v>
      </c>
      <c r="C359" s="1370">
        <v>199416.52</v>
      </c>
      <c r="F359" s="1359"/>
      <c r="M359" s="1360"/>
    </row>
    <row r="360" spans="1:13" x14ac:dyDescent="0.25">
      <c r="A360" s="1357">
        <v>93681</v>
      </c>
      <c r="B360" s="1357" t="s">
        <v>3003</v>
      </c>
      <c r="C360" s="1370">
        <v>62533.82</v>
      </c>
      <c r="F360" s="1359"/>
      <c r="M360" s="1360"/>
    </row>
    <row r="361" spans="1:13" x14ac:dyDescent="0.25">
      <c r="A361" s="1357">
        <v>93691</v>
      </c>
      <c r="B361" s="1357" t="s">
        <v>3004</v>
      </c>
      <c r="C361" s="1370">
        <v>547057.78</v>
      </c>
      <c r="F361" s="1359"/>
      <c r="M361" s="1360"/>
    </row>
    <row r="362" spans="1:13" x14ac:dyDescent="0.25">
      <c r="A362" s="1357">
        <v>93701</v>
      </c>
      <c r="B362" s="1357" t="s">
        <v>3687</v>
      </c>
      <c r="C362" s="1370">
        <v>230165.51</v>
      </c>
      <c r="F362" s="1359"/>
      <c r="M362" s="1360"/>
    </row>
    <row r="363" spans="1:13" x14ac:dyDescent="0.25">
      <c r="A363" s="1357">
        <v>93704</v>
      </c>
      <c r="B363" s="1357" t="s">
        <v>3006</v>
      </c>
      <c r="C363" s="1370">
        <v>2097.84</v>
      </c>
      <c r="F363" s="1359"/>
      <c r="M363" s="1360"/>
    </row>
    <row r="364" spans="1:13" x14ac:dyDescent="0.25">
      <c r="A364" s="1357">
        <v>93801</v>
      </c>
      <c r="B364" s="1357" t="s">
        <v>3007</v>
      </c>
      <c r="C364" s="1370">
        <v>230712.81</v>
      </c>
      <c r="F364" s="1359"/>
      <c r="M364" s="1360"/>
    </row>
    <row r="365" spans="1:13" x14ac:dyDescent="0.25">
      <c r="A365" s="1357">
        <v>93803</v>
      </c>
      <c r="B365" s="1357" t="s">
        <v>3008</v>
      </c>
      <c r="C365" s="1370">
        <v>48348.65</v>
      </c>
      <c r="F365" s="1359"/>
      <c r="M365" s="1360"/>
    </row>
    <row r="366" spans="1:13" x14ac:dyDescent="0.25">
      <c r="A366" s="1357">
        <v>93806</v>
      </c>
      <c r="B366" s="1357" t="s">
        <v>3009</v>
      </c>
      <c r="C366" s="1370">
        <v>40415.230000000003</v>
      </c>
      <c r="F366" s="1359"/>
      <c r="M366" s="1360"/>
    </row>
    <row r="367" spans="1:13" x14ac:dyDescent="0.25">
      <c r="A367" s="1357">
        <v>93821</v>
      </c>
      <c r="B367" s="1357" t="s">
        <v>3010</v>
      </c>
      <c r="C367" s="1370">
        <v>34266.559999999998</v>
      </c>
      <c r="F367" s="1359"/>
      <c r="M367" s="1360"/>
    </row>
    <row r="368" spans="1:13" x14ac:dyDescent="0.25">
      <c r="A368" s="1357">
        <v>93901</v>
      </c>
      <c r="B368" s="1357" t="s">
        <v>3011</v>
      </c>
      <c r="C368" s="1370">
        <v>1059410.22</v>
      </c>
      <c r="F368" s="1359"/>
      <c r="M368" s="1360"/>
    </row>
    <row r="369" spans="1:13" x14ac:dyDescent="0.25">
      <c r="A369" s="1357">
        <v>93904</v>
      </c>
      <c r="B369" s="1357" t="s">
        <v>3012</v>
      </c>
      <c r="C369" s="1370">
        <v>23658.09</v>
      </c>
      <c r="F369" s="1359"/>
      <c r="M369" s="1360"/>
    </row>
    <row r="370" spans="1:13" x14ac:dyDescent="0.25">
      <c r="A370" s="1357">
        <v>93906</v>
      </c>
      <c r="B370" s="1357" t="s">
        <v>3013</v>
      </c>
      <c r="C370" s="1370">
        <v>1598215.31</v>
      </c>
      <c r="F370" s="1359"/>
      <c r="M370" s="1360"/>
    </row>
    <row r="371" spans="1:13" x14ac:dyDescent="0.25">
      <c r="A371" s="1357">
        <v>93908</v>
      </c>
      <c r="B371" s="1357" t="s">
        <v>3688</v>
      </c>
      <c r="C371" s="1370">
        <v>255757.96</v>
      </c>
      <c r="F371" s="1359"/>
      <c r="M371" s="1360"/>
    </row>
    <row r="372" spans="1:13" x14ac:dyDescent="0.25">
      <c r="A372" s="1357">
        <v>93910</v>
      </c>
      <c r="B372" s="1357" t="s">
        <v>3015</v>
      </c>
      <c r="C372" s="1370">
        <v>128757.39</v>
      </c>
      <c r="F372" s="1359"/>
      <c r="M372" s="1360"/>
    </row>
    <row r="373" spans="1:13" x14ac:dyDescent="0.25">
      <c r="A373" s="1357">
        <v>93911</v>
      </c>
      <c r="B373" s="1357" t="s">
        <v>3016</v>
      </c>
      <c r="C373" s="1370">
        <v>344208.25</v>
      </c>
      <c r="F373" s="1359"/>
      <c r="M373" s="1360"/>
    </row>
    <row r="374" spans="1:13" x14ac:dyDescent="0.25">
      <c r="A374" s="1357">
        <v>93913</v>
      </c>
      <c r="B374" s="1357" t="s">
        <v>3017</v>
      </c>
      <c r="C374" s="1370">
        <v>33212.26</v>
      </c>
      <c r="F374" s="1359"/>
      <c r="M374" s="1360"/>
    </row>
    <row r="375" spans="1:13" x14ac:dyDescent="0.25">
      <c r="A375" s="1357">
        <v>93914</v>
      </c>
      <c r="B375" s="1357" t="s">
        <v>3018</v>
      </c>
      <c r="C375" s="1370">
        <v>6747.15</v>
      </c>
      <c r="F375" s="1359"/>
      <c r="M375" s="1360"/>
    </row>
    <row r="376" spans="1:13" x14ac:dyDescent="0.25">
      <c r="A376" s="1357">
        <v>93921</v>
      </c>
      <c r="B376" s="1357" t="s">
        <v>3019</v>
      </c>
      <c r="C376" s="1370">
        <v>134011.79999999999</v>
      </c>
      <c r="F376" s="1359"/>
      <c r="M376" s="1360"/>
    </row>
    <row r="377" spans="1:13" x14ac:dyDescent="0.25">
      <c r="A377" s="1357">
        <v>93931</v>
      </c>
      <c r="B377" s="1357" t="s">
        <v>3020</v>
      </c>
      <c r="C377" s="1370">
        <v>251850.67</v>
      </c>
      <c r="F377" s="1359"/>
      <c r="M377" s="1360"/>
    </row>
    <row r="378" spans="1:13" x14ac:dyDescent="0.25">
      <c r="A378" s="1357">
        <v>94001</v>
      </c>
      <c r="B378" s="1357" t="s">
        <v>3021</v>
      </c>
      <c r="C378" s="1370">
        <v>513110.87</v>
      </c>
      <c r="F378" s="1359"/>
      <c r="M378" s="1360"/>
    </row>
    <row r="379" spans="1:13" x14ac:dyDescent="0.25">
      <c r="A379" s="1357">
        <v>94002</v>
      </c>
      <c r="B379" s="1357" t="s">
        <v>3022</v>
      </c>
      <c r="C379" s="1370">
        <v>5071.04</v>
      </c>
      <c r="F379" s="1359"/>
      <c r="M379" s="1360"/>
    </row>
    <row r="380" spans="1:13" x14ac:dyDescent="0.25">
      <c r="A380" s="1357">
        <v>94004</v>
      </c>
      <c r="B380" s="1357" t="s">
        <v>3023</v>
      </c>
      <c r="C380" s="1370">
        <v>4962.3599999999997</v>
      </c>
      <c r="F380" s="1359"/>
      <c r="M380" s="1360"/>
    </row>
    <row r="381" spans="1:13" x14ac:dyDescent="0.25">
      <c r="A381" s="1357">
        <v>94005</v>
      </c>
      <c r="B381" s="1357" t="s">
        <v>3024</v>
      </c>
      <c r="C381" s="1370">
        <v>2273.25</v>
      </c>
      <c r="F381" s="1359"/>
      <c r="M381" s="1360"/>
    </row>
    <row r="382" spans="1:13" x14ac:dyDescent="0.25">
      <c r="A382" s="1357">
        <v>94011</v>
      </c>
      <c r="B382" s="1357" t="s">
        <v>3025</v>
      </c>
      <c r="C382" s="1370">
        <v>12786.57</v>
      </c>
      <c r="F382" s="1359"/>
      <c r="M382" s="1360"/>
    </row>
    <row r="383" spans="1:13" x14ac:dyDescent="0.25">
      <c r="A383" s="1357">
        <v>94021</v>
      </c>
      <c r="B383" s="1357" t="s">
        <v>3026</v>
      </c>
      <c r="C383" s="1370">
        <v>55111.8</v>
      </c>
      <c r="F383" s="1359"/>
      <c r="M383" s="1360"/>
    </row>
    <row r="384" spans="1:13" x14ac:dyDescent="0.25">
      <c r="A384" s="1357">
        <v>94031</v>
      </c>
      <c r="B384" s="1357" t="s">
        <v>3027</v>
      </c>
      <c r="C384" s="1370">
        <v>7792.36</v>
      </c>
      <c r="F384" s="1359"/>
      <c r="M384" s="1360"/>
    </row>
    <row r="385" spans="1:13" x14ac:dyDescent="0.25">
      <c r="A385" s="1357">
        <v>94101</v>
      </c>
      <c r="B385" s="1357" t="s">
        <v>3028</v>
      </c>
      <c r="C385" s="1370">
        <v>9599201.9600000009</v>
      </c>
      <c r="F385" s="1359"/>
      <c r="M385" s="1360"/>
    </row>
    <row r="386" spans="1:13" x14ac:dyDescent="0.25">
      <c r="A386" s="1357">
        <v>94102</v>
      </c>
      <c r="B386" s="1357" t="s">
        <v>3029</v>
      </c>
      <c r="C386" s="1370">
        <v>137042.84</v>
      </c>
      <c r="F386" s="1359"/>
      <c r="M386" s="1360"/>
    </row>
    <row r="387" spans="1:13" x14ac:dyDescent="0.25">
      <c r="A387" s="1357">
        <v>94108</v>
      </c>
      <c r="B387" s="1357" t="s">
        <v>3030</v>
      </c>
      <c r="C387" s="1370">
        <v>151392.94</v>
      </c>
      <c r="F387" s="1359"/>
      <c r="M387" s="1360"/>
    </row>
    <row r="388" spans="1:13" x14ac:dyDescent="0.25">
      <c r="A388" s="1357">
        <v>94109</v>
      </c>
      <c r="B388" s="1357" t="s">
        <v>3031</v>
      </c>
      <c r="C388" s="1370">
        <v>40200.71</v>
      </c>
      <c r="F388" s="1359"/>
      <c r="M388" s="1360"/>
    </row>
    <row r="389" spans="1:13" x14ac:dyDescent="0.25">
      <c r="A389" s="1357">
        <v>94111</v>
      </c>
      <c r="B389" s="1357" t="s">
        <v>3032</v>
      </c>
      <c r="C389" s="1370">
        <v>12978769.220000001</v>
      </c>
      <c r="F389" s="1359"/>
      <c r="M389" s="1360"/>
    </row>
    <row r="390" spans="1:13" x14ac:dyDescent="0.25">
      <c r="A390" s="1357">
        <v>94112</v>
      </c>
      <c r="B390" s="1357" t="s">
        <v>3033</v>
      </c>
      <c r="C390" s="1370">
        <v>82758.67</v>
      </c>
      <c r="F390" s="1359"/>
      <c r="M390" s="1360"/>
    </row>
    <row r="391" spans="1:13" x14ac:dyDescent="0.25">
      <c r="A391" s="1357">
        <v>94117</v>
      </c>
      <c r="B391" s="1357" t="s">
        <v>3034</v>
      </c>
      <c r="C391" s="1370">
        <v>194383.9</v>
      </c>
      <c r="F391" s="1359"/>
      <c r="M391" s="1360"/>
    </row>
    <row r="392" spans="1:13" x14ac:dyDescent="0.25">
      <c r="A392" s="1357">
        <v>94118</v>
      </c>
      <c r="B392" s="1357" t="s">
        <v>3035</v>
      </c>
      <c r="C392" s="1370">
        <v>68053.460000000006</v>
      </c>
      <c r="F392" s="1359"/>
      <c r="M392" s="1360"/>
    </row>
    <row r="393" spans="1:13" x14ac:dyDescent="0.25">
      <c r="A393" s="1357">
        <v>94121</v>
      </c>
      <c r="B393" s="1357" t="s">
        <v>3036</v>
      </c>
      <c r="C393" s="1370">
        <v>6095981.1100000003</v>
      </c>
      <c r="F393" s="1359"/>
      <c r="M393" s="1360"/>
    </row>
    <row r="394" spans="1:13" x14ac:dyDescent="0.25">
      <c r="A394" s="1357">
        <v>94127</v>
      </c>
      <c r="B394" s="1357" t="s">
        <v>3037</v>
      </c>
      <c r="C394" s="1370">
        <v>78842.539999999994</v>
      </c>
      <c r="F394" s="1359"/>
      <c r="M394" s="1360"/>
    </row>
    <row r="395" spans="1:13" x14ac:dyDescent="0.25">
      <c r="A395" s="1357">
        <v>94131</v>
      </c>
      <c r="B395" s="1357" t="s">
        <v>3038</v>
      </c>
      <c r="C395" s="1370">
        <v>111105.76</v>
      </c>
      <c r="F395" s="1359"/>
      <c r="M395" s="1360"/>
    </row>
    <row r="396" spans="1:13" x14ac:dyDescent="0.25">
      <c r="A396" s="1357">
        <v>94151</v>
      </c>
      <c r="B396" s="1357" t="s">
        <v>3039</v>
      </c>
      <c r="C396" s="1370">
        <v>221139.94</v>
      </c>
      <c r="F396" s="1359"/>
      <c r="M396" s="1360"/>
    </row>
    <row r="397" spans="1:13" x14ac:dyDescent="0.25">
      <c r="A397" s="1357">
        <v>94157</v>
      </c>
      <c r="B397" s="1357" t="s">
        <v>3040</v>
      </c>
      <c r="C397" s="1370">
        <v>6177.25</v>
      </c>
      <c r="F397" s="1359"/>
      <c r="M397" s="1360"/>
    </row>
    <row r="398" spans="1:13" x14ac:dyDescent="0.25">
      <c r="A398" s="1357">
        <v>94161</v>
      </c>
      <c r="B398" s="1357" t="s">
        <v>3041</v>
      </c>
      <c r="C398" s="1370">
        <v>27374.38</v>
      </c>
      <c r="F398" s="1359"/>
      <c r="M398" s="1360"/>
    </row>
    <row r="399" spans="1:13" x14ac:dyDescent="0.25">
      <c r="A399" s="1357">
        <v>94168</v>
      </c>
      <c r="B399" s="1357" t="s">
        <v>3042</v>
      </c>
      <c r="C399" s="1370">
        <v>26467.71</v>
      </c>
      <c r="F399" s="1359"/>
      <c r="M399" s="1360"/>
    </row>
    <row r="400" spans="1:13" x14ac:dyDescent="0.25">
      <c r="A400" s="1357">
        <v>94171</v>
      </c>
      <c r="B400" s="1357" t="s">
        <v>3043</v>
      </c>
      <c r="C400" s="1370">
        <v>31059.79</v>
      </c>
      <c r="F400" s="1359"/>
      <c r="M400" s="1360"/>
    </row>
    <row r="401" spans="1:13" x14ac:dyDescent="0.25">
      <c r="A401" s="1357">
        <v>94172</v>
      </c>
      <c r="B401" s="1357" t="s">
        <v>3044</v>
      </c>
      <c r="C401" s="1370">
        <v>115972.98</v>
      </c>
      <c r="F401" s="1359"/>
      <c r="M401" s="1360"/>
    </row>
    <row r="402" spans="1:13" x14ac:dyDescent="0.25">
      <c r="A402" s="1357">
        <v>94201</v>
      </c>
      <c r="B402" s="1357" t="s">
        <v>3045</v>
      </c>
      <c r="C402" s="1370">
        <v>1773966.15</v>
      </c>
      <c r="F402" s="1359"/>
      <c r="M402" s="1360"/>
    </row>
    <row r="403" spans="1:13" x14ac:dyDescent="0.25">
      <c r="A403" s="1357">
        <v>94204</v>
      </c>
      <c r="B403" s="1357" t="s">
        <v>3046</v>
      </c>
      <c r="C403" s="1370">
        <v>18440.93</v>
      </c>
      <c r="F403" s="1359"/>
      <c r="M403" s="1360"/>
    </row>
    <row r="404" spans="1:13" x14ac:dyDescent="0.25">
      <c r="A404" s="1357">
        <v>94205</v>
      </c>
      <c r="B404" s="1357" t="s">
        <v>3047</v>
      </c>
      <c r="C404" s="1370">
        <v>12212.83</v>
      </c>
      <c r="F404" s="1359"/>
      <c r="M404" s="1360"/>
    </row>
    <row r="405" spans="1:13" x14ac:dyDescent="0.25">
      <c r="A405" s="1357">
        <v>94209</v>
      </c>
      <c r="B405" s="1357" t="s">
        <v>3048</v>
      </c>
      <c r="C405" s="1370">
        <v>171999.81</v>
      </c>
      <c r="F405" s="1359"/>
      <c r="M405" s="1360"/>
    </row>
    <row r="406" spans="1:13" x14ac:dyDescent="0.25">
      <c r="A406" s="1357">
        <v>94211</v>
      </c>
      <c r="B406" s="1357" t="s">
        <v>3049</v>
      </c>
      <c r="C406" s="1370">
        <v>80589.19</v>
      </c>
      <c r="F406" s="1359"/>
      <c r="M406" s="1360"/>
    </row>
    <row r="407" spans="1:13" x14ac:dyDescent="0.25">
      <c r="A407" s="1357">
        <v>94221</v>
      </c>
      <c r="B407" s="1357" t="s">
        <v>3050</v>
      </c>
      <c r="C407" s="1370">
        <v>500342.06</v>
      </c>
      <c r="F407" s="1359"/>
      <c r="M407" s="1360"/>
    </row>
    <row r="408" spans="1:13" x14ac:dyDescent="0.25">
      <c r="A408" s="1357">
        <v>94231</v>
      </c>
      <c r="B408" s="1357" t="s">
        <v>3051</v>
      </c>
      <c r="C408" s="1370">
        <v>84160.17</v>
      </c>
      <c r="F408" s="1359"/>
      <c r="M408" s="1360"/>
    </row>
    <row r="409" spans="1:13" x14ac:dyDescent="0.25">
      <c r="A409" s="1357">
        <v>94241</v>
      </c>
      <c r="B409" s="1357" t="s">
        <v>3052</v>
      </c>
      <c r="C409" s="1370">
        <v>59958.92</v>
      </c>
      <c r="F409" s="1359"/>
      <c r="M409" s="1360"/>
    </row>
    <row r="410" spans="1:13" x14ac:dyDescent="0.25">
      <c r="A410" s="1357">
        <v>94251</v>
      </c>
      <c r="B410" s="1357" t="s">
        <v>3053</v>
      </c>
      <c r="C410" s="1370">
        <v>9463.89</v>
      </c>
      <c r="F410" s="1359"/>
      <c r="M410" s="1360"/>
    </row>
    <row r="411" spans="1:13" x14ac:dyDescent="0.25">
      <c r="A411" s="1357">
        <v>94261</v>
      </c>
      <c r="B411" s="1357" t="s">
        <v>3054</v>
      </c>
      <c r="C411" s="1370">
        <v>22035.81</v>
      </c>
      <c r="F411" s="1359"/>
      <c r="M411" s="1360"/>
    </row>
    <row r="412" spans="1:13" x14ac:dyDescent="0.25">
      <c r="A412" s="1357">
        <v>94301</v>
      </c>
      <c r="B412" s="1357" t="s">
        <v>3055</v>
      </c>
      <c r="C412" s="1370">
        <v>3239941.57</v>
      </c>
      <c r="F412" s="1359"/>
      <c r="M412" s="1360"/>
    </row>
    <row r="413" spans="1:13" x14ac:dyDescent="0.25">
      <c r="A413" s="1357">
        <v>94311</v>
      </c>
      <c r="B413" s="1357" t="s">
        <v>3056</v>
      </c>
      <c r="C413" s="1370">
        <v>419427.19</v>
      </c>
      <c r="F413" s="1359"/>
      <c r="M413" s="1360"/>
    </row>
    <row r="414" spans="1:13" x14ac:dyDescent="0.25">
      <c r="A414" s="1357">
        <v>94313</v>
      </c>
      <c r="B414" s="1357" t="s">
        <v>3057</v>
      </c>
      <c r="C414" s="1370">
        <v>14861.95</v>
      </c>
      <c r="F414" s="1359"/>
      <c r="M414" s="1360"/>
    </row>
    <row r="415" spans="1:13" x14ac:dyDescent="0.25">
      <c r="A415" s="1357">
        <v>94317</v>
      </c>
      <c r="B415" s="1357" t="s">
        <v>3058</v>
      </c>
      <c r="C415" s="1370">
        <v>11140.83</v>
      </c>
      <c r="F415" s="1359"/>
      <c r="M415" s="1360"/>
    </row>
    <row r="416" spans="1:13" x14ac:dyDescent="0.25">
      <c r="A416" s="1357">
        <v>94321</v>
      </c>
      <c r="B416" s="1357" t="s">
        <v>3059</v>
      </c>
      <c r="C416" s="1370">
        <v>145358.07999999999</v>
      </c>
      <c r="F416" s="1359"/>
      <c r="M416" s="1360"/>
    </row>
    <row r="417" spans="1:13" x14ac:dyDescent="0.25">
      <c r="A417" s="1357">
        <v>94331</v>
      </c>
      <c r="B417" s="1357" t="s">
        <v>3060</v>
      </c>
      <c r="C417" s="1370">
        <v>80679.83</v>
      </c>
      <c r="F417" s="1359"/>
      <c r="M417" s="1360"/>
    </row>
    <row r="418" spans="1:13" x14ac:dyDescent="0.25">
      <c r="A418" s="1357">
        <v>94341</v>
      </c>
      <c r="B418" s="1357" t="s">
        <v>3061</v>
      </c>
      <c r="C418" s="1370">
        <v>43965.35</v>
      </c>
      <c r="F418" s="1359"/>
      <c r="M418" s="1360"/>
    </row>
    <row r="419" spans="1:13" x14ac:dyDescent="0.25">
      <c r="A419" s="1357">
        <v>94347</v>
      </c>
      <c r="B419" s="1357" t="s">
        <v>3062</v>
      </c>
      <c r="C419" s="1370">
        <v>9634.7199999999993</v>
      </c>
      <c r="F419" s="1359"/>
      <c r="M419" s="1360"/>
    </row>
    <row r="420" spans="1:13" x14ac:dyDescent="0.25">
      <c r="A420" s="1357">
        <v>94351</v>
      </c>
      <c r="B420" s="1357" t="s">
        <v>3063</v>
      </c>
      <c r="C420" s="1370">
        <v>121230.09</v>
      </c>
      <c r="F420" s="1359"/>
      <c r="M420" s="1360"/>
    </row>
    <row r="421" spans="1:13" x14ac:dyDescent="0.25">
      <c r="A421" s="1357">
        <v>94401</v>
      </c>
      <c r="B421" s="1357" t="s">
        <v>3689</v>
      </c>
      <c r="C421" s="1370">
        <v>1750399.96</v>
      </c>
      <c r="F421" s="1359"/>
      <c r="M421" s="1360"/>
    </row>
    <row r="422" spans="1:13" x14ac:dyDescent="0.25">
      <c r="A422" s="1357">
        <v>94403</v>
      </c>
      <c r="B422" s="1357" t="s">
        <v>3690</v>
      </c>
      <c r="C422" s="1370">
        <v>19099.13</v>
      </c>
      <c r="F422" s="1359"/>
      <c r="M422" s="1360"/>
    </row>
    <row r="423" spans="1:13" x14ac:dyDescent="0.25">
      <c r="A423" s="1357">
        <v>94408</v>
      </c>
      <c r="B423" s="1357" t="s">
        <v>3065</v>
      </c>
      <c r="C423" s="1370">
        <v>26973.09</v>
      </c>
      <c r="F423" s="1359"/>
      <c r="M423" s="1360"/>
    </row>
    <row r="424" spans="1:13" x14ac:dyDescent="0.25">
      <c r="A424" s="1357">
        <v>94411</v>
      </c>
      <c r="B424" s="1357" t="s">
        <v>3066</v>
      </c>
      <c r="C424" s="1370">
        <v>632538.21</v>
      </c>
      <c r="F424" s="1359"/>
      <c r="M424" s="1360"/>
    </row>
    <row r="425" spans="1:13" x14ac:dyDescent="0.25">
      <c r="A425" s="1357">
        <v>94412</v>
      </c>
      <c r="B425" s="1357" t="s">
        <v>3067</v>
      </c>
      <c r="C425" s="1370">
        <v>14756.76</v>
      </c>
      <c r="F425" s="1359"/>
      <c r="M425" s="1360"/>
    </row>
    <row r="426" spans="1:13" x14ac:dyDescent="0.25">
      <c r="A426" s="1357">
        <v>94421</v>
      </c>
      <c r="B426" s="1357" t="s">
        <v>3068</v>
      </c>
      <c r="C426" s="1370">
        <v>84715.51</v>
      </c>
      <c r="F426" s="1359"/>
      <c r="M426" s="1360"/>
    </row>
    <row r="427" spans="1:13" x14ac:dyDescent="0.25">
      <c r="A427" s="1357">
        <v>94427</v>
      </c>
      <c r="B427" s="1357" t="s">
        <v>3069</v>
      </c>
      <c r="C427" s="1370">
        <v>16735.419999999998</v>
      </c>
      <c r="F427" s="1359"/>
      <c r="M427" s="1360"/>
    </row>
    <row r="428" spans="1:13" x14ac:dyDescent="0.25">
      <c r="A428" s="1357">
        <v>94428</v>
      </c>
      <c r="B428" s="1357" t="s">
        <v>3070</v>
      </c>
      <c r="C428" s="1370">
        <v>39816.58</v>
      </c>
      <c r="F428" s="1359"/>
      <c r="M428" s="1360"/>
    </row>
    <row r="429" spans="1:13" x14ac:dyDescent="0.25">
      <c r="A429" s="1357">
        <v>94431</v>
      </c>
      <c r="B429" s="1357" t="s">
        <v>3071</v>
      </c>
      <c r="C429" s="1370">
        <v>325914.23999999999</v>
      </c>
      <c r="F429" s="1359"/>
      <c r="M429" s="1360"/>
    </row>
    <row r="430" spans="1:13" x14ac:dyDescent="0.25">
      <c r="A430" s="1357">
        <v>94437</v>
      </c>
      <c r="B430" s="1357" t="s">
        <v>3072</v>
      </c>
      <c r="C430" s="1370">
        <v>13614.41</v>
      </c>
      <c r="F430" s="1359"/>
      <c r="M430" s="1360"/>
    </row>
    <row r="431" spans="1:13" x14ac:dyDescent="0.25">
      <c r="A431" s="1357">
        <v>94501</v>
      </c>
      <c r="B431" s="1323" t="s">
        <v>4402</v>
      </c>
      <c r="C431" s="1370">
        <v>3126089.6</v>
      </c>
      <c r="F431" s="1359"/>
      <c r="M431" s="1360"/>
    </row>
    <row r="432" spans="1:13" x14ac:dyDescent="0.25">
      <c r="A432" s="1357">
        <v>94511</v>
      </c>
      <c r="B432" s="1357" t="s">
        <v>3074</v>
      </c>
      <c r="C432" s="1370">
        <v>976940.66</v>
      </c>
      <c r="F432" s="1359"/>
      <c r="M432" s="1360"/>
    </row>
    <row r="433" spans="1:13" x14ac:dyDescent="0.25">
      <c r="A433" s="1357">
        <v>94517</v>
      </c>
      <c r="B433" s="1357" t="s">
        <v>3076</v>
      </c>
      <c r="C433" s="1370">
        <v>39314.54</v>
      </c>
      <c r="F433" s="1359"/>
      <c r="M433" s="1360"/>
    </row>
    <row r="434" spans="1:13" x14ac:dyDescent="0.25">
      <c r="A434" s="1357">
        <v>94521</v>
      </c>
      <c r="B434" s="1357" t="s">
        <v>3077</v>
      </c>
      <c r="C434" s="1370">
        <v>65267.58</v>
      </c>
      <c r="F434" s="1359"/>
      <c r="M434" s="1360"/>
    </row>
    <row r="435" spans="1:13" x14ac:dyDescent="0.25">
      <c r="A435" s="1357">
        <v>94527</v>
      </c>
      <c r="B435" s="1357" t="s">
        <v>3078</v>
      </c>
      <c r="C435" s="1370">
        <v>3414.86</v>
      </c>
      <c r="F435" s="1359"/>
      <c r="M435" s="1360"/>
    </row>
    <row r="436" spans="1:13" x14ac:dyDescent="0.25">
      <c r="A436" s="1357">
        <v>94531</v>
      </c>
      <c r="B436" s="1357" t="s">
        <v>3079</v>
      </c>
      <c r="C436" s="1370">
        <v>15948.37</v>
      </c>
      <c r="F436" s="1359"/>
      <c r="M436" s="1360"/>
    </row>
    <row r="437" spans="1:13" x14ac:dyDescent="0.25">
      <c r="A437" s="1357">
        <v>94532</v>
      </c>
      <c r="B437" s="1357" t="s">
        <v>3080</v>
      </c>
      <c r="C437" s="1370">
        <v>56192.27</v>
      </c>
      <c r="F437" s="1359"/>
      <c r="M437" s="1360"/>
    </row>
    <row r="438" spans="1:13" x14ac:dyDescent="0.25">
      <c r="A438" s="1357">
        <v>94541</v>
      </c>
      <c r="B438" s="1357" t="s">
        <v>3081</v>
      </c>
      <c r="C438" s="1370">
        <v>139679.82999999999</v>
      </c>
      <c r="F438" s="1359"/>
      <c r="M438" s="1360"/>
    </row>
    <row r="439" spans="1:13" x14ac:dyDescent="0.25">
      <c r="A439" s="1357">
        <v>94547</v>
      </c>
      <c r="B439" s="1357" t="s">
        <v>3082</v>
      </c>
      <c r="C439" s="1370">
        <v>11084.4</v>
      </c>
      <c r="F439" s="1359"/>
      <c r="M439" s="1360"/>
    </row>
    <row r="440" spans="1:13" x14ac:dyDescent="0.25">
      <c r="A440" s="1357">
        <v>94551</v>
      </c>
      <c r="B440" s="1357" t="s">
        <v>3083</v>
      </c>
      <c r="C440" s="1370">
        <v>27954.14</v>
      </c>
      <c r="F440" s="1359"/>
      <c r="M440" s="1360"/>
    </row>
    <row r="441" spans="1:13" x14ac:dyDescent="0.25">
      <c r="A441" s="1357">
        <v>94601</v>
      </c>
      <c r="B441" s="1357" t="s">
        <v>3084</v>
      </c>
      <c r="C441" s="1370">
        <v>517654.13</v>
      </c>
      <c r="F441" s="1359"/>
      <c r="M441" s="1360"/>
    </row>
    <row r="442" spans="1:13" x14ac:dyDescent="0.25">
      <c r="A442" s="1357">
        <v>94604</v>
      </c>
      <c r="B442" s="1357" t="s">
        <v>3085</v>
      </c>
      <c r="C442" s="1370">
        <v>15507.61</v>
      </c>
      <c r="F442" s="1359"/>
      <c r="M442" s="1360"/>
    </row>
    <row r="443" spans="1:13" x14ac:dyDescent="0.25">
      <c r="A443" s="1374">
        <v>94606</v>
      </c>
      <c r="B443" s="1374" t="s">
        <v>3086</v>
      </c>
      <c r="C443" s="1375"/>
      <c r="D443" s="1357" t="s">
        <v>4827</v>
      </c>
      <c r="F443" s="1359"/>
      <c r="M443" s="1360"/>
    </row>
    <row r="444" spans="1:13" x14ac:dyDescent="0.25">
      <c r="A444" s="1357">
        <v>94611</v>
      </c>
      <c r="B444" s="1357" t="s">
        <v>3087</v>
      </c>
      <c r="C444" s="1370">
        <v>182000.53</v>
      </c>
      <c r="F444" s="1359"/>
      <c r="M444" s="1360"/>
    </row>
    <row r="445" spans="1:13" x14ac:dyDescent="0.25">
      <c r="A445" s="1357">
        <v>94621</v>
      </c>
      <c r="B445" s="1357" t="s">
        <v>3088</v>
      </c>
      <c r="C445" s="1370">
        <v>72451.59</v>
      </c>
      <c r="F445" s="1359"/>
      <c r="M445" s="1360"/>
    </row>
    <row r="446" spans="1:13" x14ac:dyDescent="0.25">
      <c r="A446" s="1357">
        <v>94631</v>
      </c>
      <c r="B446" s="1357" t="s">
        <v>3089</v>
      </c>
      <c r="C446" s="1370">
        <v>22253.85</v>
      </c>
      <c r="F446" s="1359"/>
      <c r="M446" s="1360"/>
    </row>
    <row r="447" spans="1:13" x14ac:dyDescent="0.25">
      <c r="A447" s="1357">
        <v>94641</v>
      </c>
      <c r="B447" s="1357" t="s">
        <v>3090</v>
      </c>
      <c r="C447" s="1370">
        <v>8021.25</v>
      </c>
      <c r="F447" s="1359"/>
      <c r="M447" s="1360"/>
    </row>
    <row r="448" spans="1:13" x14ac:dyDescent="0.25">
      <c r="A448" s="1357">
        <v>94701</v>
      </c>
      <c r="B448" s="1357" t="s">
        <v>3091</v>
      </c>
      <c r="C448" s="1370">
        <v>1308817.07</v>
      </c>
      <c r="F448" s="1359"/>
      <c r="M448" s="1360"/>
    </row>
    <row r="449" spans="1:13" x14ac:dyDescent="0.25">
      <c r="A449" s="1357">
        <v>94704</v>
      </c>
      <c r="B449" s="1357" t="s">
        <v>3092</v>
      </c>
      <c r="C449" s="1370">
        <v>9096.06</v>
      </c>
      <c r="F449" s="1359"/>
      <c r="M449" s="1360"/>
    </row>
    <row r="450" spans="1:13" x14ac:dyDescent="0.25">
      <c r="A450" s="1357">
        <v>94711</v>
      </c>
      <c r="B450" s="1357" t="s">
        <v>3093</v>
      </c>
      <c r="C450" s="1370">
        <v>187247.17</v>
      </c>
      <c r="F450" s="1359"/>
      <c r="M450" s="1360"/>
    </row>
    <row r="451" spans="1:13" x14ac:dyDescent="0.25">
      <c r="A451" s="1357">
        <v>94801</v>
      </c>
      <c r="B451" s="1357" t="s">
        <v>3094</v>
      </c>
      <c r="C451" s="1370">
        <v>366548.61</v>
      </c>
      <c r="F451" s="1359"/>
      <c r="M451" s="1360"/>
    </row>
    <row r="452" spans="1:13" x14ac:dyDescent="0.25">
      <c r="A452" s="1357">
        <v>94804</v>
      </c>
      <c r="B452" s="1357" t="s">
        <v>3095</v>
      </c>
      <c r="C452" s="1370">
        <v>3162.67</v>
      </c>
      <c r="F452" s="1359"/>
      <c r="M452" s="1360"/>
    </row>
    <row r="453" spans="1:13" x14ac:dyDescent="0.25">
      <c r="A453" s="1357">
        <v>94812</v>
      </c>
      <c r="B453" s="1357" t="s">
        <v>3096</v>
      </c>
      <c r="C453" s="1370">
        <v>21880.21</v>
      </c>
      <c r="F453" s="1359"/>
      <c r="M453" s="1360"/>
    </row>
    <row r="454" spans="1:13" x14ac:dyDescent="0.25">
      <c r="A454" s="1357">
        <v>94901</v>
      </c>
      <c r="B454" s="1357" t="s">
        <v>3097</v>
      </c>
      <c r="C454" s="1370">
        <v>3778993.09</v>
      </c>
      <c r="F454" s="1359"/>
      <c r="M454" s="1360"/>
    </row>
    <row r="455" spans="1:13" x14ac:dyDescent="0.25">
      <c r="A455" s="1376">
        <v>94908</v>
      </c>
      <c r="B455" s="1371" t="s">
        <v>4813</v>
      </c>
      <c r="C455" s="1377">
        <v>16141.53</v>
      </c>
      <c r="D455" s="1357" t="s">
        <v>4825</v>
      </c>
      <c r="F455" s="1359"/>
      <c r="M455" s="1360"/>
    </row>
    <row r="456" spans="1:13" x14ac:dyDescent="0.25">
      <c r="A456" s="1357">
        <v>94911</v>
      </c>
      <c r="B456" s="1357" t="s">
        <v>3099</v>
      </c>
      <c r="C456" s="1370">
        <v>1525735.3</v>
      </c>
      <c r="F456" s="1359"/>
      <c r="M456" s="1360"/>
    </row>
    <row r="457" spans="1:13" x14ac:dyDescent="0.25">
      <c r="A457" s="1357">
        <v>94917</v>
      </c>
      <c r="B457" s="1357" t="s">
        <v>3100</v>
      </c>
      <c r="C457" s="1370">
        <v>30511.35</v>
      </c>
      <c r="F457" s="1359"/>
      <c r="M457" s="1360"/>
    </row>
    <row r="458" spans="1:13" x14ac:dyDescent="0.25">
      <c r="A458" s="1357">
        <v>94921</v>
      </c>
      <c r="B458" s="1357" t="s">
        <v>3101</v>
      </c>
      <c r="C458" s="1370">
        <v>1918754.97</v>
      </c>
      <c r="F458" s="1359"/>
      <c r="M458" s="1360"/>
    </row>
    <row r="459" spans="1:13" x14ac:dyDescent="0.25">
      <c r="A459" s="1357">
        <v>94923</v>
      </c>
      <c r="B459" s="1357" t="s">
        <v>3102</v>
      </c>
      <c r="C459" s="1370">
        <v>17339.73</v>
      </c>
      <c r="F459" s="1359"/>
      <c r="M459" s="1360"/>
    </row>
    <row r="460" spans="1:13" x14ac:dyDescent="0.25">
      <c r="A460" s="1357">
        <v>94927</v>
      </c>
      <c r="B460" s="1357" t="s">
        <v>3103</v>
      </c>
      <c r="C460" s="1370">
        <v>22103.27</v>
      </c>
      <c r="F460" s="1359"/>
      <c r="M460" s="1360"/>
    </row>
    <row r="461" spans="1:13" x14ac:dyDescent="0.25">
      <c r="A461" s="1357">
        <v>94931</v>
      </c>
      <c r="B461" s="1357" t="s">
        <v>3104</v>
      </c>
      <c r="C461" s="1370">
        <v>114081.33</v>
      </c>
      <c r="F461" s="1359"/>
      <c r="M461" s="1360"/>
    </row>
    <row r="462" spans="1:13" x14ac:dyDescent="0.25">
      <c r="A462" s="1357">
        <v>94937</v>
      </c>
      <c r="B462" s="1357" t="s">
        <v>4182</v>
      </c>
      <c r="C462" s="1370">
        <v>3727.86</v>
      </c>
      <c r="F462" s="1359"/>
      <c r="M462" s="1360"/>
    </row>
    <row r="463" spans="1:13" x14ac:dyDescent="0.25">
      <c r="A463" s="1357">
        <v>94941</v>
      </c>
      <c r="B463" s="1357" t="s">
        <v>3105</v>
      </c>
      <c r="C463" s="1370">
        <v>281477.42</v>
      </c>
      <c r="F463" s="1359"/>
      <c r="M463" s="1360"/>
    </row>
    <row r="464" spans="1:13" x14ac:dyDescent="0.25">
      <c r="A464" s="1357">
        <v>94947</v>
      </c>
      <c r="B464" s="1357" t="s">
        <v>4183</v>
      </c>
      <c r="C464" s="1370">
        <v>4724.1499999999996</v>
      </c>
      <c r="F464" s="1359"/>
      <c r="M464" s="1360"/>
    </row>
    <row r="465" spans="1:13" x14ac:dyDescent="0.25">
      <c r="A465" s="1357">
        <v>95001</v>
      </c>
      <c r="B465" s="1357" t="s">
        <v>3106</v>
      </c>
      <c r="C465" s="1370">
        <v>1334062.3400000001</v>
      </c>
      <c r="F465" s="1359"/>
      <c r="M465" s="1360"/>
    </row>
    <row r="466" spans="1:13" x14ac:dyDescent="0.25">
      <c r="A466" s="1357">
        <v>95002</v>
      </c>
      <c r="B466" s="1357" t="s">
        <v>3107</v>
      </c>
      <c r="C466" s="1370">
        <v>119638.08</v>
      </c>
      <c r="F466" s="1359"/>
      <c r="M466" s="1360"/>
    </row>
    <row r="467" spans="1:13" x14ac:dyDescent="0.25">
      <c r="A467" s="1357">
        <v>95005</v>
      </c>
      <c r="B467" s="1357" t="s">
        <v>3108</v>
      </c>
      <c r="C467" s="1370">
        <v>116417.87</v>
      </c>
      <c r="F467" s="1359"/>
      <c r="M467" s="1360"/>
    </row>
    <row r="468" spans="1:13" x14ac:dyDescent="0.25">
      <c r="A468" s="1357">
        <v>95008</v>
      </c>
      <c r="B468" s="1357" t="s">
        <v>3109</v>
      </c>
      <c r="C468" s="1370">
        <v>72497.58</v>
      </c>
      <c r="F468" s="1359"/>
      <c r="M468" s="1360"/>
    </row>
    <row r="469" spans="1:13" x14ac:dyDescent="0.25">
      <c r="A469" s="1357">
        <v>95009</v>
      </c>
      <c r="B469" s="1357" t="s">
        <v>3691</v>
      </c>
      <c r="C469" s="1370">
        <v>2029833.13</v>
      </c>
      <c r="F469" s="1359"/>
      <c r="M469" s="1360"/>
    </row>
    <row r="470" spans="1:13" x14ac:dyDescent="0.25">
      <c r="A470" s="1357">
        <v>95011</v>
      </c>
      <c r="B470" s="1357" t="s">
        <v>3111</v>
      </c>
      <c r="C470" s="1370">
        <v>97915.11</v>
      </c>
      <c r="F470" s="1359"/>
      <c r="M470" s="1360"/>
    </row>
    <row r="471" spans="1:13" x14ac:dyDescent="0.25">
      <c r="A471" s="1357">
        <v>95017</v>
      </c>
      <c r="B471" s="1357" t="s">
        <v>3112</v>
      </c>
      <c r="C471" s="1370">
        <v>21114.34</v>
      </c>
      <c r="F471" s="1359"/>
      <c r="M471" s="1360"/>
    </row>
    <row r="472" spans="1:13" x14ac:dyDescent="0.25">
      <c r="A472" s="1357">
        <v>95101</v>
      </c>
      <c r="B472" s="1357" t="s">
        <v>3113</v>
      </c>
      <c r="C472" s="1370">
        <v>4367964.8600000003</v>
      </c>
      <c r="F472" s="1359"/>
      <c r="M472" s="1360"/>
    </row>
    <row r="473" spans="1:13" x14ac:dyDescent="0.25">
      <c r="A473" s="1357">
        <v>95103</v>
      </c>
      <c r="B473" s="1357" t="s">
        <v>3114</v>
      </c>
      <c r="C473" s="1370">
        <v>35618.67</v>
      </c>
      <c r="F473" s="1359"/>
      <c r="M473" s="1360"/>
    </row>
    <row r="474" spans="1:13" x14ac:dyDescent="0.25">
      <c r="A474" s="1357">
        <v>95104</v>
      </c>
      <c r="B474" s="1357" t="s">
        <v>3115</v>
      </c>
      <c r="C474" s="1370">
        <v>78150.95</v>
      </c>
      <c r="F474" s="1359"/>
      <c r="M474" s="1360"/>
    </row>
    <row r="475" spans="1:13" x14ac:dyDescent="0.25">
      <c r="A475" s="1357">
        <v>95105</v>
      </c>
      <c r="B475" s="1357" t="s">
        <v>3116</v>
      </c>
      <c r="C475" s="1370">
        <v>39688.6</v>
      </c>
      <c r="F475" s="1359"/>
      <c r="M475" s="1360"/>
    </row>
    <row r="476" spans="1:13" x14ac:dyDescent="0.25">
      <c r="A476" s="1357">
        <v>95106</v>
      </c>
      <c r="B476" s="1357" t="s">
        <v>3117</v>
      </c>
      <c r="C476" s="1370">
        <v>8990.35</v>
      </c>
      <c r="F476" s="1359"/>
      <c r="M476" s="1360"/>
    </row>
    <row r="477" spans="1:13" x14ac:dyDescent="0.25">
      <c r="A477" s="1357">
        <v>95110</v>
      </c>
      <c r="B477" s="1357" t="s">
        <v>3118</v>
      </c>
      <c r="C477" s="1370">
        <v>1868496.58</v>
      </c>
      <c r="F477" s="1359"/>
      <c r="M477" s="1360"/>
    </row>
    <row r="478" spans="1:13" x14ac:dyDescent="0.25">
      <c r="A478" s="1357">
        <v>95111</v>
      </c>
      <c r="B478" s="1357" t="s">
        <v>3119</v>
      </c>
      <c r="C478" s="1370">
        <v>529283.68999999994</v>
      </c>
      <c r="F478" s="1359"/>
      <c r="M478" s="1360"/>
    </row>
    <row r="479" spans="1:13" x14ac:dyDescent="0.25">
      <c r="A479" s="1357">
        <v>95113</v>
      </c>
      <c r="B479" s="1357" t="s">
        <v>3120</v>
      </c>
      <c r="C479" s="1370">
        <v>80547.34</v>
      </c>
      <c r="F479" s="1359"/>
      <c r="M479" s="1360"/>
    </row>
    <row r="480" spans="1:13" x14ac:dyDescent="0.25">
      <c r="A480" s="1357">
        <v>95121</v>
      </c>
      <c r="B480" s="1357" t="s">
        <v>3121</v>
      </c>
      <c r="C480" s="1370">
        <v>251846.37</v>
      </c>
      <c r="F480" s="1359"/>
      <c r="M480" s="1360"/>
    </row>
    <row r="481" spans="1:13" x14ac:dyDescent="0.25">
      <c r="A481" s="1357">
        <v>95122</v>
      </c>
      <c r="B481" s="1357" t="s">
        <v>3122</v>
      </c>
      <c r="C481" s="1370">
        <v>9862.3799999999992</v>
      </c>
      <c r="F481" s="1359"/>
      <c r="M481" s="1360"/>
    </row>
    <row r="482" spans="1:13" x14ac:dyDescent="0.25">
      <c r="A482" s="1357">
        <v>95123</v>
      </c>
      <c r="B482" s="1357" t="s">
        <v>3123</v>
      </c>
      <c r="C482" s="1370">
        <v>29249.16</v>
      </c>
      <c r="F482" s="1359"/>
      <c r="M482" s="1360"/>
    </row>
    <row r="483" spans="1:13" x14ac:dyDescent="0.25">
      <c r="A483" s="1357">
        <v>95131</v>
      </c>
      <c r="B483" s="1357" t="s">
        <v>3124</v>
      </c>
      <c r="C483" s="1370">
        <v>924241.19</v>
      </c>
      <c r="F483" s="1359"/>
      <c r="M483" s="1360"/>
    </row>
    <row r="484" spans="1:13" x14ac:dyDescent="0.25">
      <c r="A484" s="1357">
        <v>95141</v>
      </c>
      <c r="B484" s="1357" t="s">
        <v>3125</v>
      </c>
      <c r="C484" s="1370">
        <v>176830.05</v>
      </c>
      <c r="F484" s="1359"/>
      <c r="M484" s="1360"/>
    </row>
    <row r="485" spans="1:13" x14ac:dyDescent="0.25">
      <c r="A485" s="1357">
        <v>95151</v>
      </c>
      <c r="B485" s="1357" t="s">
        <v>3126</v>
      </c>
      <c r="C485" s="1370">
        <v>56199.7</v>
      </c>
      <c r="F485" s="1359"/>
      <c r="M485" s="1360"/>
    </row>
    <row r="486" spans="1:13" x14ac:dyDescent="0.25">
      <c r="A486" s="1357">
        <v>95161</v>
      </c>
      <c r="B486" s="1357" t="s">
        <v>3127</v>
      </c>
      <c r="C486" s="1370">
        <v>41952.11</v>
      </c>
      <c r="F486" s="1359"/>
      <c r="M486" s="1360"/>
    </row>
    <row r="487" spans="1:13" x14ac:dyDescent="0.25">
      <c r="A487" s="1357">
        <v>95171</v>
      </c>
      <c r="B487" s="1357" t="s">
        <v>3128</v>
      </c>
      <c r="C487" s="1370">
        <v>60797.65</v>
      </c>
      <c r="F487" s="1359"/>
      <c r="M487" s="1360"/>
    </row>
    <row r="488" spans="1:13" x14ac:dyDescent="0.25">
      <c r="A488" s="1357">
        <v>95181</v>
      </c>
      <c r="B488" s="1357" t="s">
        <v>3129</v>
      </c>
      <c r="C488" s="1370">
        <v>35456.300000000003</v>
      </c>
      <c r="F488" s="1359"/>
      <c r="M488" s="1360"/>
    </row>
    <row r="489" spans="1:13" x14ac:dyDescent="0.25">
      <c r="A489" s="1357">
        <v>95191</v>
      </c>
      <c r="B489" s="1357" t="s">
        <v>3130</v>
      </c>
      <c r="C489" s="1370">
        <v>46287.75</v>
      </c>
      <c r="F489" s="1359"/>
      <c r="M489" s="1360"/>
    </row>
    <row r="490" spans="1:13" x14ac:dyDescent="0.25">
      <c r="A490" s="1357">
        <v>95201</v>
      </c>
      <c r="B490" s="1357" t="s">
        <v>3131</v>
      </c>
      <c r="C490" s="1370">
        <v>346949.91</v>
      </c>
      <c r="F490" s="1359"/>
      <c r="M490" s="1360"/>
    </row>
    <row r="491" spans="1:13" x14ac:dyDescent="0.25">
      <c r="A491" s="1357">
        <v>95204</v>
      </c>
      <c r="B491" s="1357" t="s">
        <v>3132</v>
      </c>
      <c r="C491" s="1370">
        <v>5885.4</v>
      </c>
      <c r="F491" s="1359"/>
      <c r="M491" s="1360"/>
    </row>
    <row r="492" spans="1:13" x14ac:dyDescent="0.25">
      <c r="A492" s="1357">
        <v>95205</v>
      </c>
      <c r="B492" s="1357" t="s">
        <v>3133</v>
      </c>
      <c r="C492" s="1370">
        <v>2624.79</v>
      </c>
      <c r="F492" s="1359"/>
      <c r="M492" s="1360"/>
    </row>
    <row r="493" spans="1:13" x14ac:dyDescent="0.25">
      <c r="A493" s="1357">
        <v>95211</v>
      </c>
      <c r="B493" s="1357" t="s">
        <v>3134</v>
      </c>
      <c r="C493" s="1370">
        <v>3206.18</v>
      </c>
      <c r="F493" s="1359"/>
      <c r="M493" s="1360"/>
    </row>
    <row r="494" spans="1:13" x14ac:dyDescent="0.25">
      <c r="A494" s="1357">
        <v>95221</v>
      </c>
      <c r="B494" s="1357" t="s">
        <v>3135</v>
      </c>
      <c r="C494" s="1370">
        <v>23396.71</v>
      </c>
      <c r="F494" s="1359"/>
      <c r="M494" s="1360"/>
    </row>
    <row r="495" spans="1:13" x14ac:dyDescent="0.25">
      <c r="A495" s="1357">
        <v>95301</v>
      </c>
      <c r="B495" s="1357" t="s">
        <v>3136</v>
      </c>
      <c r="C495" s="1370">
        <v>1223993.3400000001</v>
      </c>
      <c r="F495" s="1359"/>
      <c r="M495" s="1360"/>
    </row>
    <row r="496" spans="1:13" x14ac:dyDescent="0.25">
      <c r="A496" s="1357">
        <v>95311</v>
      </c>
      <c r="B496" s="1357" t="s">
        <v>3137</v>
      </c>
      <c r="C496" s="1370">
        <v>1417794.66</v>
      </c>
      <c r="F496" s="1359"/>
      <c r="M496" s="1360"/>
    </row>
    <row r="497" spans="1:13" x14ac:dyDescent="0.25">
      <c r="A497" s="1357">
        <v>95317</v>
      </c>
      <c r="B497" s="1357" t="s">
        <v>3138</v>
      </c>
      <c r="C497" s="1370">
        <v>30162.59</v>
      </c>
      <c r="F497" s="1359"/>
      <c r="M497" s="1360"/>
    </row>
    <row r="498" spans="1:13" x14ac:dyDescent="0.25">
      <c r="A498" s="1357">
        <v>95321</v>
      </c>
      <c r="B498" s="1357" t="s">
        <v>3139</v>
      </c>
      <c r="C498" s="1370">
        <v>30408.560000000001</v>
      </c>
      <c r="F498" s="1359"/>
      <c r="M498" s="1360"/>
    </row>
    <row r="499" spans="1:13" x14ac:dyDescent="0.25">
      <c r="A499" s="1357">
        <v>95401</v>
      </c>
      <c r="B499" s="1357" t="s">
        <v>3140</v>
      </c>
      <c r="C499" s="1370">
        <v>1502831.29</v>
      </c>
      <c r="F499" s="1359"/>
      <c r="M499" s="1360"/>
    </row>
    <row r="500" spans="1:13" x14ac:dyDescent="0.25">
      <c r="A500" s="1357">
        <v>95404</v>
      </c>
      <c r="B500" s="1357" t="s">
        <v>3141</v>
      </c>
      <c r="C500" s="1370">
        <v>24185.22</v>
      </c>
      <c r="F500" s="1359"/>
      <c r="M500" s="1360"/>
    </row>
    <row r="501" spans="1:13" x14ac:dyDescent="0.25">
      <c r="A501" s="1357">
        <v>95405</v>
      </c>
      <c r="B501" s="1357" t="s">
        <v>3142</v>
      </c>
      <c r="C501" s="1370">
        <v>19182.87</v>
      </c>
      <c r="F501" s="1359"/>
      <c r="M501" s="1360"/>
    </row>
    <row r="502" spans="1:13" x14ac:dyDescent="0.25">
      <c r="A502" s="1357">
        <v>95411</v>
      </c>
      <c r="B502" s="1357" t="s">
        <v>3143</v>
      </c>
      <c r="C502" s="1370">
        <v>1143335.5900000001</v>
      </c>
      <c r="F502" s="1359"/>
      <c r="M502" s="1360"/>
    </row>
    <row r="503" spans="1:13" x14ac:dyDescent="0.25">
      <c r="A503" s="1357">
        <v>95413</v>
      </c>
      <c r="B503" s="1357" t="s">
        <v>3145</v>
      </c>
      <c r="C503" s="1370">
        <v>137022.91</v>
      </c>
      <c r="F503" s="1359"/>
      <c r="M503" s="1360"/>
    </row>
    <row r="504" spans="1:13" x14ac:dyDescent="0.25">
      <c r="A504" s="1357">
        <v>95415</v>
      </c>
      <c r="B504" s="1357" t="s">
        <v>3146</v>
      </c>
      <c r="C504" s="1370">
        <v>32316.3</v>
      </c>
      <c r="F504" s="1359"/>
      <c r="M504" s="1360"/>
    </row>
    <row r="505" spans="1:13" x14ac:dyDescent="0.25">
      <c r="A505" s="1357">
        <v>95421</v>
      </c>
      <c r="B505" s="1357" t="s">
        <v>3147</v>
      </c>
      <c r="C505" s="1370">
        <v>21571.33</v>
      </c>
      <c r="F505" s="1359"/>
      <c r="M505" s="1360"/>
    </row>
    <row r="506" spans="1:13" x14ac:dyDescent="0.25">
      <c r="A506" s="1357">
        <v>95431</v>
      </c>
      <c r="B506" s="1357" t="s">
        <v>3148</v>
      </c>
      <c r="C506" s="1370">
        <v>69044.070000000007</v>
      </c>
      <c r="F506" s="1359"/>
      <c r="M506" s="1360"/>
    </row>
    <row r="507" spans="1:13" x14ac:dyDescent="0.25">
      <c r="A507" s="1357">
        <v>95501</v>
      </c>
      <c r="B507" s="1357" t="s">
        <v>3149</v>
      </c>
      <c r="C507" s="1370">
        <v>2654863.9300000002</v>
      </c>
      <c r="F507" s="1359"/>
      <c r="M507" s="1360"/>
    </row>
    <row r="508" spans="1:13" x14ac:dyDescent="0.25">
      <c r="A508" s="1357">
        <v>95504</v>
      </c>
      <c r="B508" s="1357" t="s">
        <v>3150</v>
      </c>
      <c r="C508" s="1370">
        <v>15268.96</v>
      </c>
      <c r="F508" s="1359"/>
      <c r="M508" s="1360"/>
    </row>
    <row r="509" spans="1:13" x14ac:dyDescent="0.25">
      <c r="A509" s="1357">
        <v>95511</v>
      </c>
      <c r="B509" s="1357" t="s">
        <v>3151</v>
      </c>
      <c r="C509" s="1370">
        <v>550402.27</v>
      </c>
      <c r="F509" s="1359"/>
      <c r="M509" s="1360"/>
    </row>
    <row r="510" spans="1:13" x14ac:dyDescent="0.25">
      <c r="A510" s="1357">
        <v>95513</v>
      </c>
      <c r="B510" s="1357" t="s">
        <v>3152</v>
      </c>
      <c r="C510" s="1370">
        <v>35024.910000000003</v>
      </c>
      <c r="F510" s="1359"/>
      <c r="M510" s="1360"/>
    </row>
    <row r="511" spans="1:13" x14ac:dyDescent="0.25">
      <c r="A511" s="1357">
        <v>95517</v>
      </c>
      <c r="B511" s="1357" t="s">
        <v>3153</v>
      </c>
      <c r="C511" s="1370">
        <v>10129.99</v>
      </c>
      <c r="F511" s="1359"/>
      <c r="M511" s="1360"/>
    </row>
    <row r="512" spans="1:13" x14ac:dyDescent="0.25">
      <c r="A512" s="1357">
        <v>95601</v>
      </c>
      <c r="B512" s="1357" t="s">
        <v>3154</v>
      </c>
      <c r="C512" s="1370">
        <v>1296850.42</v>
      </c>
      <c r="F512" s="1359"/>
      <c r="M512" s="1360"/>
    </row>
    <row r="513" spans="1:13" x14ac:dyDescent="0.25">
      <c r="A513" s="1357">
        <v>95611</v>
      </c>
      <c r="B513" s="1357" t="s">
        <v>3155</v>
      </c>
      <c r="C513" s="1370">
        <v>210213.02</v>
      </c>
      <c r="F513" s="1359"/>
      <c r="M513" s="1360"/>
    </row>
    <row r="514" spans="1:13" x14ac:dyDescent="0.25">
      <c r="A514" s="1357">
        <v>95617</v>
      </c>
      <c r="B514" s="1357" t="s">
        <v>3156</v>
      </c>
      <c r="C514" s="1370">
        <v>9404.7999999999993</v>
      </c>
      <c r="F514" s="1359"/>
      <c r="M514" s="1360"/>
    </row>
    <row r="515" spans="1:13" x14ac:dyDescent="0.25">
      <c r="A515" s="1357">
        <v>95621</v>
      </c>
      <c r="B515" s="1357" t="s">
        <v>3157</v>
      </c>
      <c r="C515" s="1370">
        <v>249183.18</v>
      </c>
      <c r="F515" s="1359"/>
      <c r="M515" s="1360"/>
    </row>
    <row r="516" spans="1:13" x14ac:dyDescent="0.25">
      <c r="A516" s="1357">
        <v>95701</v>
      </c>
      <c r="B516" s="1357" t="s">
        <v>3158</v>
      </c>
      <c r="C516" s="1370">
        <v>621911.68000000005</v>
      </c>
      <c r="F516" s="1359"/>
      <c r="M516" s="1360"/>
    </row>
    <row r="517" spans="1:13" x14ac:dyDescent="0.25">
      <c r="A517" s="1357">
        <v>95711</v>
      </c>
      <c r="B517" s="1357" t="s">
        <v>3159</v>
      </c>
      <c r="C517" s="1370">
        <v>67222.19</v>
      </c>
      <c r="F517" s="1359"/>
      <c r="M517" s="1360"/>
    </row>
    <row r="518" spans="1:13" x14ac:dyDescent="0.25">
      <c r="A518" s="1357">
        <v>95721</v>
      </c>
      <c r="B518" s="1357" t="s">
        <v>3160</v>
      </c>
      <c r="C518" s="1370">
        <v>32958.31</v>
      </c>
      <c r="F518" s="1359"/>
      <c r="M518" s="1360"/>
    </row>
    <row r="519" spans="1:13" x14ac:dyDescent="0.25">
      <c r="A519" s="1357">
        <v>95733</v>
      </c>
      <c r="B519" s="1357" t="s">
        <v>3161</v>
      </c>
      <c r="C519" s="1370">
        <v>7777.11</v>
      </c>
      <c r="F519" s="1359"/>
      <c r="M519" s="1360"/>
    </row>
    <row r="520" spans="1:13" x14ac:dyDescent="0.25">
      <c r="A520" s="1357">
        <v>95801</v>
      </c>
      <c r="B520" s="1357" t="s">
        <v>3162</v>
      </c>
      <c r="C520" s="1370">
        <v>525070.02</v>
      </c>
      <c r="F520" s="1359"/>
      <c r="M520" s="1360"/>
    </row>
    <row r="521" spans="1:13" x14ac:dyDescent="0.25">
      <c r="A521" s="1357">
        <v>95802</v>
      </c>
      <c r="B521" s="1357" t="s">
        <v>3163</v>
      </c>
      <c r="C521" s="1370">
        <v>6018.25</v>
      </c>
      <c r="F521" s="1359"/>
      <c r="M521" s="1360"/>
    </row>
    <row r="522" spans="1:13" x14ac:dyDescent="0.25">
      <c r="A522" s="1357">
        <v>95804</v>
      </c>
      <c r="B522" s="1357" t="s">
        <v>3164</v>
      </c>
      <c r="C522" s="1370">
        <v>10226.129999999999</v>
      </c>
      <c r="F522" s="1359"/>
      <c r="M522" s="1360"/>
    </row>
    <row r="523" spans="1:13" x14ac:dyDescent="0.25">
      <c r="A523" s="1357">
        <v>95811</v>
      </c>
      <c r="B523" s="1357" t="s">
        <v>3165</v>
      </c>
      <c r="C523" s="1370">
        <v>280162.51</v>
      </c>
      <c r="F523" s="1359"/>
      <c r="M523" s="1360"/>
    </row>
    <row r="524" spans="1:13" x14ac:dyDescent="0.25">
      <c r="A524" s="1357">
        <v>95813</v>
      </c>
      <c r="B524" s="1357" t="s">
        <v>3166</v>
      </c>
      <c r="C524" s="1370">
        <v>62736.36</v>
      </c>
      <c r="F524" s="1359"/>
      <c r="M524" s="1360"/>
    </row>
    <row r="525" spans="1:13" x14ac:dyDescent="0.25">
      <c r="A525" s="1357">
        <v>95821</v>
      </c>
      <c r="B525" s="1357" t="s">
        <v>3167</v>
      </c>
      <c r="C525" s="1370">
        <v>2663.96</v>
      </c>
      <c r="F525" s="1359"/>
      <c r="M525" s="1360"/>
    </row>
    <row r="526" spans="1:13" x14ac:dyDescent="0.25">
      <c r="A526" s="1357">
        <v>95831</v>
      </c>
      <c r="B526" s="1357" t="s">
        <v>3168</v>
      </c>
      <c r="C526" s="1370">
        <v>15426.48</v>
      </c>
      <c r="F526" s="1359"/>
      <c r="M526" s="1360"/>
    </row>
    <row r="527" spans="1:13" x14ac:dyDescent="0.25">
      <c r="A527" s="1357">
        <v>95841</v>
      </c>
      <c r="B527" s="1357" t="s">
        <v>3169</v>
      </c>
      <c r="C527" s="1370">
        <v>12462.81</v>
      </c>
      <c r="F527" s="1359"/>
      <c r="M527" s="1360"/>
    </row>
    <row r="528" spans="1:13" x14ac:dyDescent="0.25">
      <c r="A528" s="1357">
        <v>95851</v>
      </c>
      <c r="B528" s="1357" t="s">
        <v>3170</v>
      </c>
      <c r="C528" s="1370">
        <v>140981.32999999999</v>
      </c>
      <c r="F528" s="1359"/>
      <c r="M528" s="1360"/>
    </row>
    <row r="529" spans="1:13" x14ac:dyDescent="0.25">
      <c r="A529" s="1357">
        <v>95853</v>
      </c>
      <c r="B529" s="1357" t="s">
        <v>3171</v>
      </c>
      <c r="C529" s="1370">
        <v>16338.43</v>
      </c>
      <c r="F529" s="1359"/>
      <c r="M529" s="1360"/>
    </row>
    <row r="530" spans="1:13" x14ac:dyDescent="0.25">
      <c r="A530" s="1357">
        <v>95901</v>
      </c>
      <c r="B530" s="1357" t="s">
        <v>3172</v>
      </c>
      <c r="C530" s="1370">
        <v>967578.94</v>
      </c>
      <c r="F530" s="1359"/>
      <c r="M530" s="1360"/>
    </row>
    <row r="531" spans="1:13" x14ac:dyDescent="0.25">
      <c r="A531" s="1357">
        <v>95908</v>
      </c>
      <c r="B531" s="1357" t="s">
        <v>3173</v>
      </c>
      <c r="C531" s="1370">
        <v>29379.15</v>
      </c>
      <c r="F531" s="1359"/>
      <c r="M531" s="1360"/>
    </row>
    <row r="532" spans="1:13" x14ac:dyDescent="0.25">
      <c r="A532" s="1357">
        <v>95911</v>
      </c>
      <c r="B532" s="1357" t="s">
        <v>3174</v>
      </c>
      <c r="C532" s="1370">
        <v>282029.78000000003</v>
      </c>
      <c r="F532" s="1359"/>
      <c r="M532" s="1360"/>
    </row>
    <row r="533" spans="1:13" x14ac:dyDescent="0.25">
      <c r="A533" s="1357">
        <v>95917</v>
      </c>
      <c r="B533" s="1357" t="s">
        <v>3175</v>
      </c>
      <c r="C533" s="1370">
        <v>12484.48</v>
      </c>
      <c r="F533" s="1359"/>
      <c r="M533" s="1360"/>
    </row>
    <row r="534" spans="1:13" x14ac:dyDescent="0.25">
      <c r="A534" s="1357">
        <v>95921</v>
      </c>
      <c r="B534" s="1357" t="s">
        <v>3176</v>
      </c>
      <c r="C534" s="1370">
        <v>29858.92</v>
      </c>
      <c r="F534" s="1359"/>
      <c r="M534" s="1360"/>
    </row>
    <row r="535" spans="1:13" x14ac:dyDescent="0.25">
      <c r="A535" s="1357">
        <v>96001</v>
      </c>
      <c r="B535" s="1357" t="s">
        <v>3177</v>
      </c>
      <c r="C535" s="1370">
        <v>23157786.77</v>
      </c>
      <c r="F535" s="1359"/>
      <c r="M535" s="1360"/>
    </row>
    <row r="536" spans="1:13" x14ac:dyDescent="0.25">
      <c r="A536" s="1357">
        <v>96003</v>
      </c>
      <c r="B536" s="1357" t="s">
        <v>3178</v>
      </c>
      <c r="C536" s="1370">
        <v>884055.93</v>
      </c>
      <c r="F536" s="1359"/>
      <c r="M536" s="1360"/>
    </row>
    <row r="537" spans="1:13" x14ac:dyDescent="0.25">
      <c r="A537" s="1357">
        <v>96004</v>
      </c>
      <c r="B537" s="1357" t="s">
        <v>3179</v>
      </c>
      <c r="C537" s="1370">
        <v>547641.63</v>
      </c>
      <c r="F537" s="1359"/>
      <c r="M537" s="1360"/>
    </row>
    <row r="538" spans="1:13" x14ac:dyDescent="0.25">
      <c r="A538" s="1357">
        <v>96005</v>
      </c>
      <c r="B538" s="1357" t="s">
        <v>3180</v>
      </c>
      <c r="C538" s="1370">
        <v>1353903.59</v>
      </c>
      <c r="F538" s="1359"/>
      <c r="M538" s="1360"/>
    </row>
    <row r="539" spans="1:13" x14ac:dyDescent="0.25">
      <c r="A539" s="1357">
        <v>96008</v>
      </c>
      <c r="B539" s="1357" t="s">
        <v>3181</v>
      </c>
      <c r="C539" s="1370">
        <v>2498363.63</v>
      </c>
      <c r="F539" s="1359"/>
      <c r="M539" s="1360"/>
    </row>
    <row r="540" spans="1:13" x14ac:dyDescent="0.25">
      <c r="A540" s="1357">
        <v>96009</v>
      </c>
      <c r="B540" s="1357" t="s">
        <v>3182</v>
      </c>
      <c r="C540" s="1370">
        <v>212749.71</v>
      </c>
      <c r="F540" s="1359"/>
      <c r="M540" s="1360"/>
    </row>
    <row r="541" spans="1:13" x14ac:dyDescent="0.25">
      <c r="A541" s="1357">
        <v>96011</v>
      </c>
      <c r="B541" s="1357" t="s">
        <v>3183</v>
      </c>
      <c r="C541" s="1370">
        <v>33715331.130000003</v>
      </c>
      <c r="F541" s="1359"/>
      <c r="M541" s="1360"/>
    </row>
    <row r="542" spans="1:13" x14ac:dyDescent="0.25">
      <c r="A542" s="1357">
        <v>96012</v>
      </c>
      <c r="B542" s="1357" t="s">
        <v>3184</v>
      </c>
      <c r="C542" s="1370">
        <v>1317958.1000000001</v>
      </c>
      <c r="F542" s="1359"/>
      <c r="M542" s="1360"/>
    </row>
    <row r="543" spans="1:13" x14ac:dyDescent="0.25">
      <c r="A543" s="1357">
        <v>96018</v>
      </c>
      <c r="B543" s="1357" t="s">
        <v>3185</v>
      </c>
      <c r="C543" s="1370">
        <v>18528.07</v>
      </c>
      <c r="F543" s="1359"/>
      <c r="M543" s="1360"/>
    </row>
    <row r="544" spans="1:13" x14ac:dyDescent="0.25">
      <c r="A544" s="1357">
        <v>96021</v>
      </c>
      <c r="B544" s="1357" t="s">
        <v>3186</v>
      </c>
      <c r="C544" s="1370">
        <v>379841.01</v>
      </c>
      <c r="F544" s="1359"/>
      <c r="M544" s="1360"/>
    </row>
    <row r="545" spans="1:13" x14ac:dyDescent="0.25">
      <c r="A545" s="1357">
        <v>96031</v>
      </c>
      <c r="B545" s="1357" t="s">
        <v>3187</v>
      </c>
      <c r="C545" s="1370">
        <v>394183.36</v>
      </c>
      <c r="F545" s="1359"/>
      <c r="M545" s="1360"/>
    </row>
    <row r="546" spans="1:13" x14ac:dyDescent="0.25">
      <c r="A546" s="1357">
        <v>96041</v>
      </c>
      <c r="B546" s="1357" t="s">
        <v>3188</v>
      </c>
      <c r="C546" s="1370">
        <v>888201.47</v>
      </c>
      <c r="F546" s="1359"/>
      <c r="M546" s="1360"/>
    </row>
    <row r="547" spans="1:13" x14ac:dyDescent="0.25">
      <c r="A547" s="1357">
        <v>96051</v>
      </c>
      <c r="B547" s="1357" t="s">
        <v>3189</v>
      </c>
      <c r="C547" s="1370">
        <v>472545.74</v>
      </c>
      <c r="F547" s="1359"/>
      <c r="M547" s="1360"/>
    </row>
    <row r="548" spans="1:13" x14ac:dyDescent="0.25">
      <c r="A548" s="1357">
        <v>96061</v>
      </c>
      <c r="B548" s="1357" t="s">
        <v>3190</v>
      </c>
      <c r="C548" s="1370">
        <v>177363.46</v>
      </c>
      <c r="F548" s="1359"/>
      <c r="M548" s="1360"/>
    </row>
    <row r="549" spans="1:13" x14ac:dyDescent="0.25">
      <c r="A549" s="1357">
        <v>96071</v>
      </c>
      <c r="B549" s="1357" t="s">
        <v>3191</v>
      </c>
      <c r="C549" s="1370">
        <v>714369.61</v>
      </c>
      <c r="F549" s="1359"/>
      <c r="M549" s="1360"/>
    </row>
    <row r="550" spans="1:13" x14ac:dyDescent="0.25">
      <c r="A550" s="1357">
        <v>96081</v>
      </c>
      <c r="B550" s="1357" t="s">
        <v>3192</v>
      </c>
      <c r="C550" s="1370">
        <v>270137.93</v>
      </c>
      <c r="F550" s="1359"/>
      <c r="M550" s="1360"/>
    </row>
    <row r="551" spans="1:13" x14ac:dyDescent="0.25">
      <c r="A551" s="1357">
        <v>96101</v>
      </c>
      <c r="B551" s="1357" t="s">
        <v>3193</v>
      </c>
      <c r="C551" s="1370">
        <v>382092.66</v>
      </c>
      <c r="F551" s="1359"/>
      <c r="M551" s="1360"/>
    </row>
    <row r="552" spans="1:13" x14ac:dyDescent="0.25">
      <c r="A552" s="1357">
        <v>96102</v>
      </c>
      <c r="B552" s="1357" t="s">
        <v>3194</v>
      </c>
      <c r="C552" s="1370">
        <v>5415.94</v>
      </c>
      <c r="F552" s="1359"/>
      <c r="M552" s="1360"/>
    </row>
    <row r="553" spans="1:13" x14ac:dyDescent="0.25">
      <c r="A553" s="1357">
        <v>96111</v>
      </c>
      <c r="B553" s="1357" t="s">
        <v>3195</v>
      </c>
      <c r="C553" s="1370">
        <v>94508.97</v>
      </c>
      <c r="F553" s="1359"/>
      <c r="M553" s="1360"/>
    </row>
    <row r="554" spans="1:13" x14ac:dyDescent="0.25">
      <c r="A554" s="1357">
        <v>96121</v>
      </c>
      <c r="B554" s="1357" t="s">
        <v>3196</v>
      </c>
      <c r="C554" s="1370">
        <v>10535.27</v>
      </c>
      <c r="F554" s="1359"/>
      <c r="M554" s="1360"/>
    </row>
    <row r="555" spans="1:13" x14ac:dyDescent="0.25">
      <c r="A555" s="1357">
        <v>96201</v>
      </c>
      <c r="B555" s="1357" t="s">
        <v>3197</v>
      </c>
      <c r="C555" s="1370">
        <v>572083.99</v>
      </c>
      <c r="F555" s="1359"/>
      <c r="M555" s="1360"/>
    </row>
    <row r="556" spans="1:13" x14ac:dyDescent="0.25">
      <c r="A556" s="1357">
        <v>96204</v>
      </c>
      <c r="B556" s="1357" t="s">
        <v>3198</v>
      </c>
      <c r="C556" s="1370">
        <v>10681.13</v>
      </c>
      <c r="F556" s="1359"/>
      <c r="M556" s="1360"/>
    </row>
    <row r="557" spans="1:13" x14ac:dyDescent="0.25">
      <c r="A557" s="1357">
        <v>96211</v>
      </c>
      <c r="B557" s="1357" t="s">
        <v>3199</v>
      </c>
      <c r="C557" s="1370">
        <v>18137.73</v>
      </c>
      <c r="F557" s="1359"/>
      <c r="M557" s="1360"/>
    </row>
    <row r="558" spans="1:13" x14ac:dyDescent="0.25">
      <c r="A558" s="1357">
        <v>96221</v>
      </c>
      <c r="B558" s="1357" t="s">
        <v>3200</v>
      </c>
      <c r="C558" s="1370">
        <v>106685.32</v>
      </c>
      <c r="F558" s="1359"/>
      <c r="M558" s="1360"/>
    </row>
    <row r="559" spans="1:13" x14ac:dyDescent="0.25">
      <c r="A559" s="1357">
        <v>96231</v>
      </c>
      <c r="B559" s="1357" t="s">
        <v>3201</v>
      </c>
      <c r="C559" s="1370">
        <v>52111.32</v>
      </c>
      <c r="F559" s="1359"/>
      <c r="M559" s="1360"/>
    </row>
    <row r="560" spans="1:13" x14ac:dyDescent="0.25">
      <c r="A560" s="1357">
        <v>96241</v>
      </c>
      <c r="B560" s="1357" t="s">
        <v>3202</v>
      </c>
      <c r="C560" s="1370">
        <v>27329.8</v>
      </c>
      <c r="F560" s="1359"/>
      <c r="M560" s="1360"/>
    </row>
    <row r="561" spans="1:13" x14ac:dyDescent="0.25">
      <c r="A561" s="1357">
        <v>96251</v>
      </c>
      <c r="B561" s="1357" t="s">
        <v>3203</v>
      </c>
      <c r="C561" s="1370">
        <v>43730.29</v>
      </c>
      <c r="F561" s="1359"/>
      <c r="M561" s="1360"/>
    </row>
    <row r="562" spans="1:13" x14ac:dyDescent="0.25">
      <c r="A562" s="1357">
        <v>96301</v>
      </c>
      <c r="B562" s="1357" t="s">
        <v>3204</v>
      </c>
      <c r="C562" s="1370">
        <v>2405174.9</v>
      </c>
      <c r="F562" s="1359"/>
      <c r="M562" s="1360"/>
    </row>
    <row r="563" spans="1:13" x14ac:dyDescent="0.25">
      <c r="A563" s="1357">
        <v>96302</v>
      </c>
      <c r="B563" s="1357" t="s">
        <v>3205</v>
      </c>
      <c r="C563" s="1370">
        <v>14739.66</v>
      </c>
      <c r="F563" s="1359"/>
      <c r="M563" s="1360"/>
    </row>
    <row r="564" spans="1:13" x14ac:dyDescent="0.25">
      <c r="A564" s="1357">
        <v>96304</v>
      </c>
      <c r="B564" s="1357" t="s">
        <v>3206</v>
      </c>
      <c r="C564" s="1370">
        <v>31357.46</v>
      </c>
      <c r="F564" s="1359"/>
      <c r="M564" s="1360"/>
    </row>
    <row r="565" spans="1:13" x14ac:dyDescent="0.25">
      <c r="A565" s="1357">
        <v>96305</v>
      </c>
      <c r="B565" s="1357" t="s">
        <v>3207</v>
      </c>
      <c r="C565" s="1370">
        <v>30657.06</v>
      </c>
      <c r="F565" s="1359"/>
      <c r="M565" s="1360"/>
    </row>
    <row r="566" spans="1:13" x14ac:dyDescent="0.25">
      <c r="A566" s="1357">
        <v>96310</v>
      </c>
      <c r="B566" s="1357" t="s">
        <v>3208</v>
      </c>
      <c r="C566" s="1370">
        <v>28567.53</v>
      </c>
      <c r="F566" s="1359"/>
      <c r="M566" s="1360"/>
    </row>
    <row r="567" spans="1:13" x14ac:dyDescent="0.25">
      <c r="A567" s="1357">
        <v>96311</v>
      </c>
      <c r="B567" s="1357" t="s">
        <v>3209</v>
      </c>
      <c r="C567" s="1370">
        <v>663857.11</v>
      </c>
      <c r="F567" s="1359"/>
      <c r="M567" s="1360"/>
    </row>
    <row r="568" spans="1:13" x14ac:dyDescent="0.25">
      <c r="A568" s="1357">
        <v>96312</v>
      </c>
      <c r="B568" s="1357" t="s">
        <v>3210</v>
      </c>
      <c r="C568" s="1370">
        <v>3369.29</v>
      </c>
      <c r="F568" s="1359"/>
      <c r="M568" s="1360"/>
    </row>
    <row r="569" spans="1:13" x14ac:dyDescent="0.25">
      <c r="A569" s="1357">
        <v>96318</v>
      </c>
      <c r="B569" s="1357" t="s">
        <v>3211</v>
      </c>
      <c r="C569" s="1370">
        <v>1322106.74</v>
      </c>
      <c r="F569" s="1359"/>
      <c r="M569" s="1360"/>
    </row>
    <row r="570" spans="1:13" x14ac:dyDescent="0.25">
      <c r="A570" s="1357">
        <v>96321</v>
      </c>
      <c r="B570" s="1357" t="s">
        <v>3212</v>
      </c>
      <c r="C570" s="1370">
        <v>20461.060000000001</v>
      </c>
      <c r="F570" s="1359"/>
      <c r="M570" s="1360"/>
    </row>
    <row r="571" spans="1:13" x14ac:dyDescent="0.25">
      <c r="A571" s="1357">
        <v>96331</v>
      </c>
      <c r="B571" s="1357" t="s">
        <v>3213</v>
      </c>
      <c r="C571" s="1370">
        <v>345366.52</v>
      </c>
      <c r="F571" s="1359"/>
      <c r="M571" s="1360"/>
    </row>
    <row r="572" spans="1:13" x14ac:dyDescent="0.25">
      <c r="A572" s="1357">
        <v>96341</v>
      </c>
      <c r="B572" s="1357" t="s">
        <v>3214</v>
      </c>
      <c r="C572" s="1370">
        <v>39947.449999999997</v>
      </c>
      <c r="F572" s="1359"/>
      <c r="M572" s="1360"/>
    </row>
    <row r="573" spans="1:13" x14ac:dyDescent="0.25">
      <c r="A573" s="1357">
        <v>96351</v>
      </c>
      <c r="B573" s="1357" t="s">
        <v>3215</v>
      </c>
      <c r="C573" s="1370">
        <v>542365.87</v>
      </c>
      <c r="F573" s="1359"/>
      <c r="M573" s="1360"/>
    </row>
    <row r="574" spans="1:13" x14ac:dyDescent="0.25">
      <c r="A574" s="1357">
        <v>96361</v>
      </c>
      <c r="B574" s="1357" t="s">
        <v>3216</v>
      </c>
      <c r="C574" s="1370">
        <v>24978.34</v>
      </c>
      <c r="F574" s="1359"/>
      <c r="M574" s="1360"/>
    </row>
    <row r="575" spans="1:13" x14ac:dyDescent="0.25">
      <c r="A575" s="1357">
        <v>96371</v>
      </c>
      <c r="B575" s="1357" t="s">
        <v>3217</v>
      </c>
      <c r="C575" s="1370">
        <v>79261.78</v>
      </c>
      <c r="F575" s="1359"/>
      <c r="M575" s="1360"/>
    </row>
    <row r="576" spans="1:13" x14ac:dyDescent="0.25">
      <c r="A576" s="1357">
        <v>96381</v>
      </c>
      <c r="B576" s="1357" t="s">
        <v>3218</v>
      </c>
      <c r="C576" s="1370">
        <v>17491.009999999998</v>
      </c>
      <c r="F576" s="1359"/>
      <c r="M576" s="1360"/>
    </row>
    <row r="577" spans="1:13" x14ac:dyDescent="0.25">
      <c r="A577" s="1357">
        <v>96391</v>
      </c>
      <c r="B577" s="1357" t="s">
        <v>3219</v>
      </c>
      <c r="C577" s="1370">
        <v>88368.9</v>
      </c>
      <c r="F577" s="1359"/>
      <c r="M577" s="1360"/>
    </row>
    <row r="578" spans="1:13" x14ac:dyDescent="0.25">
      <c r="A578" s="1357">
        <v>96401</v>
      </c>
      <c r="B578" s="1357" t="s">
        <v>3220</v>
      </c>
      <c r="C578" s="1370">
        <v>2342959.77</v>
      </c>
      <c r="F578" s="1359"/>
      <c r="M578" s="1360"/>
    </row>
    <row r="579" spans="1:13" x14ac:dyDescent="0.25">
      <c r="A579" s="1357">
        <v>96404</v>
      </c>
      <c r="B579" s="1357" t="s">
        <v>3221</v>
      </c>
      <c r="C579" s="1370">
        <v>67522.3</v>
      </c>
      <c r="F579" s="1359"/>
      <c r="M579" s="1360"/>
    </row>
    <row r="580" spans="1:13" x14ac:dyDescent="0.25">
      <c r="A580" s="1357">
        <v>96405</v>
      </c>
      <c r="B580" s="1357" t="s">
        <v>3222</v>
      </c>
      <c r="C580" s="1370">
        <v>94249.49</v>
      </c>
      <c r="F580" s="1359"/>
      <c r="M580" s="1360"/>
    </row>
    <row r="581" spans="1:13" x14ac:dyDescent="0.25">
      <c r="A581" s="1357">
        <v>96411</v>
      </c>
      <c r="B581" s="1357" t="s">
        <v>3223</v>
      </c>
      <c r="C581" s="1370">
        <v>34708.199999999997</v>
      </c>
      <c r="F581" s="1359"/>
      <c r="M581" s="1360"/>
    </row>
    <row r="582" spans="1:13" x14ac:dyDescent="0.25">
      <c r="A582" s="1357">
        <v>96421</v>
      </c>
      <c r="B582" s="1357" t="s">
        <v>3224</v>
      </c>
      <c r="C582" s="1370">
        <v>180831.57</v>
      </c>
      <c r="F582" s="1359"/>
      <c r="M582" s="1360"/>
    </row>
    <row r="583" spans="1:13" x14ac:dyDescent="0.25">
      <c r="A583" s="1357">
        <v>96431</v>
      </c>
      <c r="B583" s="1357" t="s">
        <v>3225</v>
      </c>
      <c r="C583" s="1370">
        <v>24442.02</v>
      </c>
      <c r="F583" s="1359"/>
      <c r="M583" s="1360"/>
    </row>
    <row r="584" spans="1:13" x14ac:dyDescent="0.25">
      <c r="A584" s="1357">
        <v>96441</v>
      </c>
      <c r="B584" s="1357" t="s">
        <v>3226</v>
      </c>
      <c r="C584" s="1370">
        <v>14878.04</v>
      </c>
      <c r="F584" s="1359"/>
      <c r="M584" s="1360"/>
    </row>
    <row r="585" spans="1:13" x14ac:dyDescent="0.25">
      <c r="A585" s="1357">
        <v>96451</v>
      </c>
      <c r="B585" s="1357" t="s">
        <v>3227</v>
      </c>
      <c r="C585" s="1370">
        <v>8090.47</v>
      </c>
      <c r="F585" s="1359"/>
      <c r="M585" s="1360"/>
    </row>
    <row r="586" spans="1:13" x14ac:dyDescent="0.25">
      <c r="A586" s="1357">
        <v>96461</v>
      </c>
      <c r="B586" s="1357" t="s">
        <v>3228</v>
      </c>
      <c r="C586" s="1370">
        <v>64279.5</v>
      </c>
      <c r="F586" s="1359"/>
      <c r="M586" s="1360"/>
    </row>
    <row r="587" spans="1:13" x14ac:dyDescent="0.25">
      <c r="A587" s="1357">
        <v>96501</v>
      </c>
      <c r="B587" s="1357" t="s">
        <v>3229</v>
      </c>
      <c r="C587" s="1370">
        <v>7712694.7999999998</v>
      </c>
      <c r="F587" s="1359"/>
      <c r="M587" s="1360"/>
    </row>
    <row r="588" spans="1:13" x14ac:dyDescent="0.25">
      <c r="A588" s="1357">
        <v>96502</v>
      </c>
      <c r="B588" s="1357" t="s">
        <v>3230</v>
      </c>
      <c r="C588" s="1370">
        <v>230207.83</v>
      </c>
      <c r="F588" s="1359"/>
      <c r="M588" s="1360"/>
    </row>
    <row r="589" spans="1:13" x14ac:dyDescent="0.25">
      <c r="A589" s="1357">
        <v>96503</v>
      </c>
      <c r="B589" s="1357" t="s">
        <v>3692</v>
      </c>
      <c r="C589" s="1370">
        <v>375468.31</v>
      </c>
      <c r="F589" s="1359"/>
      <c r="M589" s="1360"/>
    </row>
    <row r="590" spans="1:13" x14ac:dyDescent="0.25">
      <c r="A590" s="1357">
        <v>96504</v>
      </c>
      <c r="B590" s="1357" t="s">
        <v>3232</v>
      </c>
      <c r="C590" s="1370">
        <v>226955.75</v>
      </c>
      <c r="F590" s="1359"/>
      <c r="M590" s="1360"/>
    </row>
    <row r="591" spans="1:13" x14ac:dyDescent="0.25">
      <c r="A591" s="1357">
        <v>96507</v>
      </c>
      <c r="B591" s="1357" t="s">
        <v>3233</v>
      </c>
      <c r="C591" s="1370">
        <v>1259684.01</v>
      </c>
      <c r="F591" s="1359"/>
      <c r="M591" s="1360"/>
    </row>
    <row r="592" spans="1:13" x14ac:dyDescent="0.25">
      <c r="A592" s="1357">
        <v>96508</v>
      </c>
      <c r="B592" s="1357" t="s">
        <v>3234</v>
      </c>
      <c r="C592" s="1370">
        <v>12428.64</v>
      </c>
      <c r="F592" s="1359"/>
      <c r="M592" s="1360"/>
    </row>
    <row r="593" spans="1:13" x14ac:dyDescent="0.25">
      <c r="A593" s="1357">
        <v>96511</v>
      </c>
      <c r="B593" s="1357" t="s">
        <v>3235</v>
      </c>
      <c r="C593" s="1370">
        <v>309257.59999999998</v>
      </c>
      <c r="F593" s="1359"/>
      <c r="M593" s="1360"/>
    </row>
    <row r="594" spans="1:13" x14ac:dyDescent="0.25">
      <c r="A594" s="1357">
        <v>96512</v>
      </c>
      <c r="B594" s="1357" t="s">
        <v>3236</v>
      </c>
      <c r="C594" s="1370">
        <v>85706.67</v>
      </c>
      <c r="F594" s="1359"/>
      <c r="M594" s="1360"/>
    </row>
    <row r="595" spans="1:13" x14ac:dyDescent="0.25">
      <c r="A595" s="1357">
        <v>96521</v>
      </c>
      <c r="B595" s="1357" t="s">
        <v>3238</v>
      </c>
      <c r="C595" s="1370">
        <v>460571.24</v>
      </c>
      <c r="F595" s="1359"/>
      <c r="M595" s="1360"/>
    </row>
    <row r="596" spans="1:13" x14ac:dyDescent="0.25">
      <c r="A596" s="1357">
        <v>96531</v>
      </c>
      <c r="B596" s="1357" t="s">
        <v>3239</v>
      </c>
      <c r="C596" s="1370">
        <v>4419528.83</v>
      </c>
      <c r="F596" s="1359"/>
      <c r="M596" s="1360"/>
    </row>
    <row r="597" spans="1:13" x14ac:dyDescent="0.25">
      <c r="A597" s="1357">
        <v>96541</v>
      </c>
      <c r="B597" s="1357" t="s">
        <v>3240</v>
      </c>
      <c r="C597" s="1370">
        <v>184827.01</v>
      </c>
      <c r="F597" s="1359"/>
      <c r="M597" s="1360"/>
    </row>
    <row r="598" spans="1:13" x14ac:dyDescent="0.25">
      <c r="A598" s="1357">
        <v>96601</v>
      </c>
      <c r="B598" s="1357" t="s">
        <v>3241</v>
      </c>
      <c r="C598" s="1370">
        <v>934970.18</v>
      </c>
      <c r="F598" s="1359"/>
      <c r="M598" s="1360"/>
    </row>
    <row r="599" spans="1:13" x14ac:dyDescent="0.25">
      <c r="A599" s="1357">
        <v>96604</v>
      </c>
      <c r="B599" s="1357" t="s">
        <v>3242</v>
      </c>
      <c r="C599" s="1370">
        <v>4879.32</v>
      </c>
      <c r="F599" s="1359"/>
      <c r="M599" s="1360"/>
    </row>
    <row r="600" spans="1:13" x14ac:dyDescent="0.25">
      <c r="A600" s="1357">
        <v>96611</v>
      </c>
      <c r="B600" s="1357" t="s">
        <v>3243</v>
      </c>
      <c r="C600" s="1370">
        <v>12933.23</v>
      </c>
      <c r="F600" s="1359"/>
      <c r="M600" s="1360"/>
    </row>
    <row r="601" spans="1:13" x14ac:dyDescent="0.25">
      <c r="A601" s="1357">
        <v>96612</v>
      </c>
      <c r="B601" s="1357" t="s">
        <v>3244</v>
      </c>
      <c r="C601" s="1370">
        <v>37798.519999999997</v>
      </c>
      <c r="F601" s="1359"/>
      <c r="M601" s="1360"/>
    </row>
    <row r="602" spans="1:13" x14ac:dyDescent="0.25">
      <c r="A602" s="1357">
        <v>96621</v>
      </c>
      <c r="B602" s="1357" t="s">
        <v>3245</v>
      </c>
      <c r="C602" s="1370">
        <v>11740.14</v>
      </c>
      <c r="F602" s="1359"/>
      <c r="M602" s="1360"/>
    </row>
    <row r="603" spans="1:13" x14ac:dyDescent="0.25">
      <c r="A603" s="1357">
        <v>96631</v>
      </c>
      <c r="B603" s="1357" t="s">
        <v>3246</v>
      </c>
      <c r="C603" s="1370">
        <v>12770.71</v>
      </c>
      <c r="F603" s="1359"/>
      <c r="M603" s="1360"/>
    </row>
    <row r="604" spans="1:13" x14ac:dyDescent="0.25">
      <c r="A604" s="1357">
        <v>96641</v>
      </c>
      <c r="B604" s="1357" t="s">
        <v>3247</v>
      </c>
      <c r="C604" s="1370">
        <v>24181.47</v>
      </c>
      <c r="F604" s="1359"/>
      <c r="M604" s="1360"/>
    </row>
    <row r="605" spans="1:13" x14ac:dyDescent="0.25">
      <c r="A605" s="1357">
        <v>96651</v>
      </c>
      <c r="B605" s="1357" t="s">
        <v>3248</v>
      </c>
      <c r="C605" s="1370">
        <v>6302.25</v>
      </c>
      <c r="F605" s="1359"/>
      <c r="M605" s="1360"/>
    </row>
    <row r="606" spans="1:13" x14ac:dyDescent="0.25">
      <c r="A606" s="1357">
        <v>96661</v>
      </c>
      <c r="B606" s="1357" t="s">
        <v>3249</v>
      </c>
      <c r="C606" s="1370">
        <v>10314.379999999999</v>
      </c>
      <c r="F606" s="1359"/>
      <c r="M606" s="1360"/>
    </row>
    <row r="607" spans="1:13" x14ac:dyDescent="0.25">
      <c r="A607" s="1357">
        <v>96671</v>
      </c>
      <c r="B607" s="1357" t="s">
        <v>3250</v>
      </c>
      <c r="C607" s="1370">
        <v>9471.07</v>
      </c>
      <c r="F607" s="1359"/>
      <c r="M607" s="1360"/>
    </row>
    <row r="608" spans="1:13" x14ac:dyDescent="0.25">
      <c r="A608" s="1357">
        <v>96681</v>
      </c>
      <c r="B608" s="1357" t="s">
        <v>3251</v>
      </c>
      <c r="C608" s="1370">
        <v>17062.36</v>
      </c>
      <c r="F608" s="1359"/>
      <c r="M608" s="1360"/>
    </row>
    <row r="609" spans="1:13" x14ac:dyDescent="0.25">
      <c r="A609" s="1357">
        <v>96701</v>
      </c>
      <c r="B609" s="1357" t="s">
        <v>3252</v>
      </c>
      <c r="C609" s="1370">
        <v>4124754.67</v>
      </c>
      <c r="F609" s="1359"/>
      <c r="M609" s="1360"/>
    </row>
    <row r="610" spans="1:13" x14ac:dyDescent="0.25">
      <c r="A610" s="1357">
        <v>96704</v>
      </c>
      <c r="B610" s="1357" t="s">
        <v>3253</v>
      </c>
      <c r="C610" s="1370">
        <v>122330.28</v>
      </c>
      <c r="F610" s="1359"/>
      <c r="M610" s="1360"/>
    </row>
    <row r="611" spans="1:13" x14ac:dyDescent="0.25">
      <c r="A611" s="1357">
        <v>96708</v>
      </c>
      <c r="B611" s="1357" t="s">
        <v>3254</v>
      </c>
      <c r="C611" s="1370">
        <v>517121.77</v>
      </c>
      <c r="F611" s="1359"/>
      <c r="M611" s="1360"/>
    </row>
    <row r="612" spans="1:13" x14ac:dyDescent="0.25">
      <c r="A612" s="1357">
        <v>96711</v>
      </c>
      <c r="B612" s="1357" t="s">
        <v>3255</v>
      </c>
      <c r="C612" s="1370">
        <v>2019417.91</v>
      </c>
      <c r="F612" s="1359"/>
      <c r="M612" s="1360"/>
    </row>
    <row r="613" spans="1:13" x14ac:dyDescent="0.25">
      <c r="A613" s="1357">
        <v>96721</v>
      </c>
      <c r="B613" s="1357" t="s">
        <v>3256</v>
      </c>
      <c r="C613" s="1370">
        <v>111056.9</v>
      </c>
      <c r="F613" s="1359"/>
      <c r="M613" s="1360"/>
    </row>
    <row r="614" spans="1:13" x14ac:dyDescent="0.25">
      <c r="A614" s="1357">
        <v>96731</v>
      </c>
      <c r="B614" s="1357" t="s">
        <v>3257</v>
      </c>
      <c r="C614" s="1370">
        <v>87473.279999999999</v>
      </c>
      <c r="F614" s="1359"/>
      <c r="M614" s="1360"/>
    </row>
    <row r="615" spans="1:13" x14ac:dyDescent="0.25">
      <c r="A615" s="1357">
        <v>96733</v>
      </c>
      <c r="B615" s="1357" t="s">
        <v>3258</v>
      </c>
      <c r="C615" s="1370">
        <v>2001.93</v>
      </c>
      <c r="F615" s="1359"/>
      <c r="M615" s="1360"/>
    </row>
    <row r="616" spans="1:13" x14ac:dyDescent="0.25">
      <c r="A616" s="1357">
        <v>96741</v>
      </c>
      <c r="B616" s="1357" t="s">
        <v>3259</v>
      </c>
      <c r="C616" s="1370">
        <v>48053.03</v>
      </c>
      <c r="F616" s="1359"/>
      <c r="M616" s="1360"/>
    </row>
    <row r="617" spans="1:13" x14ac:dyDescent="0.25">
      <c r="A617" s="1357">
        <v>96751</v>
      </c>
      <c r="B617" s="1357" t="s">
        <v>3260</v>
      </c>
      <c r="C617" s="1370">
        <v>161440.89000000001</v>
      </c>
      <c r="F617" s="1359"/>
      <c r="M617" s="1360"/>
    </row>
    <row r="618" spans="1:13" x14ac:dyDescent="0.25">
      <c r="A618" s="1357">
        <v>96801</v>
      </c>
      <c r="B618" s="1357" t="s">
        <v>3261</v>
      </c>
      <c r="C618" s="1370">
        <v>4007411.43</v>
      </c>
      <c r="F618" s="1359"/>
      <c r="M618" s="1360"/>
    </row>
    <row r="619" spans="1:13" x14ac:dyDescent="0.25">
      <c r="A619" s="1357">
        <v>96804</v>
      </c>
      <c r="B619" s="1357" t="s">
        <v>3262</v>
      </c>
      <c r="C619" s="1370">
        <v>118045.31</v>
      </c>
      <c r="F619" s="1359"/>
      <c r="M619" s="1360"/>
    </row>
    <row r="620" spans="1:13" x14ac:dyDescent="0.25">
      <c r="A620" s="1357">
        <v>96808</v>
      </c>
      <c r="B620" s="1357" t="s">
        <v>3263</v>
      </c>
      <c r="C620" s="1370">
        <v>649544.71</v>
      </c>
      <c r="F620" s="1359"/>
      <c r="M620" s="1360"/>
    </row>
    <row r="621" spans="1:13" x14ac:dyDescent="0.25">
      <c r="A621" s="1357">
        <v>96811</v>
      </c>
      <c r="B621" s="1357" t="s">
        <v>3264</v>
      </c>
      <c r="C621" s="1370">
        <v>3174021.73</v>
      </c>
      <c r="F621" s="1359"/>
      <c r="M621" s="1360"/>
    </row>
    <row r="622" spans="1:13" x14ac:dyDescent="0.25">
      <c r="A622" s="1357">
        <v>96821</v>
      </c>
      <c r="B622" s="1357" t="s">
        <v>3265</v>
      </c>
      <c r="C622" s="1370">
        <v>676666.34</v>
      </c>
      <c r="F622" s="1359"/>
      <c r="M622" s="1360"/>
    </row>
    <row r="623" spans="1:13" x14ac:dyDescent="0.25">
      <c r="A623" s="1357">
        <v>96831</v>
      </c>
      <c r="B623" s="1357" t="s">
        <v>3266</v>
      </c>
      <c r="C623" s="1370">
        <v>470734.7</v>
      </c>
      <c r="F623" s="1359"/>
      <c r="M623" s="1360"/>
    </row>
    <row r="624" spans="1:13" x14ac:dyDescent="0.25">
      <c r="A624" s="1357">
        <v>96901</v>
      </c>
      <c r="B624" s="1357" t="s">
        <v>3267</v>
      </c>
      <c r="C624" s="1370">
        <v>493717.89</v>
      </c>
      <c r="F624" s="1359"/>
      <c r="M624" s="1360"/>
    </row>
    <row r="625" spans="1:13" x14ac:dyDescent="0.25">
      <c r="A625" s="1357">
        <v>96911</v>
      </c>
      <c r="B625" s="1357" t="s">
        <v>3268</v>
      </c>
      <c r="C625" s="1370">
        <v>2853.73</v>
      </c>
      <c r="F625" s="1359"/>
      <c r="M625" s="1360"/>
    </row>
    <row r="626" spans="1:13" x14ac:dyDescent="0.25">
      <c r="A626" s="1357">
        <v>96912</v>
      </c>
      <c r="B626" s="1357" t="s">
        <v>3269</v>
      </c>
      <c r="C626" s="1370">
        <v>32648.080000000002</v>
      </c>
      <c r="F626" s="1359"/>
      <c r="M626" s="1360"/>
    </row>
    <row r="627" spans="1:13" x14ac:dyDescent="0.25">
      <c r="A627" s="1357">
        <v>96918</v>
      </c>
      <c r="B627" s="1357" t="s">
        <v>3270</v>
      </c>
      <c r="C627" s="1370">
        <v>17912.900000000001</v>
      </c>
      <c r="F627" s="1359"/>
      <c r="M627" s="1360"/>
    </row>
    <row r="628" spans="1:13" x14ac:dyDescent="0.25">
      <c r="A628" s="1357">
        <v>97001</v>
      </c>
      <c r="B628" s="1357" t="s">
        <v>3271</v>
      </c>
      <c r="C628" s="1370">
        <v>721867.84</v>
      </c>
      <c r="F628" s="1359"/>
      <c r="M628" s="1360"/>
    </row>
    <row r="629" spans="1:13" x14ac:dyDescent="0.25">
      <c r="A629" s="1357">
        <v>97002</v>
      </c>
      <c r="B629" s="1357" t="s">
        <v>3272</v>
      </c>
      <c r="C629" s="1370">
        <v>204106.65</v>
      </c>
      <c r="F629" s="1359"/>
      <c r="M629" s="1360"/>
    </row>
    <row r="630" spans="1:13" x14ac:dyDescent="0.25">
      <c r="A630" s="1357">
        <v>97004</v>
      </c>
      <c r="B630" s="1357" t="s">
        <v>3273</v>
      </c>
      <c r="C630" s="1370">
        <v>10392.31</v>
      </c>
      <c r="F630" s="1359"/>
      <c r="M630" s="1360"/>
    </row>
    <row r="631" spans="1:13" x14ac:dyDescent="0.25">
      <c r="A631" s="1357">
        <v>97005</v>
      </c>
      <c r="B631" s="1357" t="s">
        <v>3274</v>
      </c>
      <c r="C631" s="1370">
        <v>16238.88</v>
      </c>
      <c r="F631" s="1359"/>
      <c r="M631" s="1360"/>
    </row>
    <row r="632" spans="1:13" x14ac:dyDescent="0.25">
      <c r="A632" s="1357">
        <v>97008</v>
      </c>
      <c r="B632" s="1357" t="s">
        <v>3275</v>
      </c>
      <c r="C632" s="1370">
        <v>155145</v>
      </c>
      <c r="F632" s="1359"/>
      <c r="M632" s="1360"/>
    </row>
    <row r="633" spans="1:13" x14ac:dyDescent="0.25">
      <c r="A633" s="1357">
        <v>97011</v>
      </c>
      <c r="B633" s="1357" t="s">
        <v>3277</v>
      </c>
      <c r="C633" s="1370">
        <v>961977.26</v>
      </c>
      <c r="F633" s="1359"/>
      <c r="M633" s="1360"/>
    </row>
    <row r="634" spans="1:13" x14ac:dyDescent="0.25">
      <c r="A634" s="1357">
        <v>97012</v>
      </c>
      <c r="B634" s="1357" t="s">
        <v>3278</v>
      </c>
      <c r="C634" s="1370">
        <v>18782.62</v>
      </c>
      <c r="F634" s="1359"/>
      <c r="M634" s="1360"/>
    </row>
    <row r="635" spans="1:13" x14ac:dyDescent="0.25">
      <c r="A635" s="1357">
        <v>97013</v>
      </c>
      <c r="B635" s="1357" t="s">
        <v>3279</v>
      </c>
      <c r="C635" s="1370">
        <v>7910.12</v>
      </c>
      <c r="F635" s="1359"/>
      <c r="M635" s="1360"/>
    </row>
    <row r="636" spans="1:13" x14ac:dyDescent="0.25">
      <c r="A636" s="1357">
        <v>97015</v>
      </c>
      <c r="B636" s="1357" t="s">
        <v>3280</v>
      </c>
      <c r="C636" s="1370">
        <v>25739.21</v>
      </c>
      <c r="F636" s="1359"/>
      <c r="M636" s="1360"/>
    </row>
    <row r="637" spans="1:13" x14ac:dyDescent="0.25">
      <c r="A637" s="1357">
        <v>97018</v>
      </c>
      <c r="B637" s="1357" t="s">
        <v>3281</v>
      </c>
      <c r="C637" s="1370">
        <v>7272.42</v>
      </c>
      <c r="F637" s="1359"/>
      <c r="M637" s="1360"/>
    </row>
    <row r="638" spans="1:13" x14ac:dyDescent="0.25">
      <c r="A638" s="1357">
        <v>97101</v>
      </c>
      <c r="B638" s="1357" t="s">
        <v>3282</v>
      </c>
      <c r="C638" s="1370">
        <v>1507424.15</v>
      </c>
      <c r="F638" s="1359"/>
      <c r="M638" s="1360"/>
    </row>
    <row r="639" spans="1:13" x14ac:dyDescent="0.25">
      <c r="A639" s="1357">
        <v>97104</v>
      </c>
      <c r="B639" s="1357" t="s">
        <v>3283</v>
      </c>
      <c r="C639" s="1370">
        <v>33330.050000000003</v>
      </c>
      <c r="F639" s="1359"/>
      <c r="M639" s="1360"/>
    </row>
    <row r="640" spans="1:13" x14ac:dyDescent="0.25">
      <c r="A640" s="1357">
        <v>97111</v>
      </c>
      <c r="B640" s="1357" t="s">
        <v>3284</v>
      </c>
      <c r="C640" s="1370">
        <v>123308.58</v>
      </c>
      <c r="F640" s="1359"/>
      <c r="M640" s="1360"/>
    </row>
    <row r="641" spans="1:13" x14ac:dyDescent="0.25">
      <c r="A641" s="1357">
        <v>97121</v>
      </c>
      <c r="B641" s="1357" t="s">
        <v>3285</v>
      </c>
      <c r="C641" s="1370">
        <v>87498.26</v>
      </c>
      <c r="F641" s="1359"/>
      <c r="M641" s="1360"/>
    </row>
    <row r="642" spans="1:13" x14ac:dyDescent="0.25">
      <c r="A642" s="1357">
        <v>97131</v>
      </c>
      <c r="B642" s="1357" t="s">
        <v>3286</v>
      </c>
      <c r="C642" s="1370">
        <v>304806.2</v>
      </c>
      <c r="F642" s="1359"/>
      <c r="M642" s="1360"/>
    </row>
    <row r="643" spans="1:13" x14ac:dyDescent="0.25">
      <c r="A643" s="1357">
        <v>97201</v>
      </c>
      <c r="B643" s="1357" t="s">
        <v>3287</v>
      </c>
      <c r="C643" s="1370">
        <v>304383.49</v>
      </c>
      <c r="F643" s="1359"/>
      <c r="M643" s="1360"/>
    </row>
    <row r="644" spans="1:13" x14ac:dyDescent="0.25">
      <c r="A644" s="1357">
        <v>97211</v>
      </c>
      <c r="B644" s="1357" t="s">
        <v>3288</v>
      </c>
      <c r="C644" s="1370">
        <v>70258.539999999994</v>
      </c>
      <c r="F644" s="1359"/>
      <c r="M644" s="1360"/>
    </row>
    <row r="645" spans="1:13" x14ac:dyDescent="0.25">
      <c r="A645" s="1357">
        <v>97213</v>
      </c>
      <c r="B645" s="1357" t="s">
        <v>3289</v>
      </c>
      <c r="C645" s="1370">
        <v>23304.04</v>
      </c>
      <c r="F645" s="1359"/>
      <c r="M645" s="1360"/>
    </row>
    <row r="646" spans="1:13" x14ac:dyDescent="0.25">
      <c r="A646" s="1357">
        <v>97217</v>
      </c>
      <c r="B646" s="1357" t="s">
        <v>3290</v>
      </c>
      <c r="C646" s="1370">
        <v>6485.94</v>
      </c>
      <c r="F646" s="1359"/>
      <c r="M646" s="1360"/>
    </row>
    <row r="647" spans="1:13" x14ac:dyDescent="0.25">
      <c r="A647" s="1357">
        <v>97221</v>
      </c>
      <c r="B647" s="1357" t="s">
        <v>3291</v>
      </c>
      <c r="C647" s="1370">
        <v>6527.57</v>
      </c>
      <c r="F647" s="1359"/>
      <c r="M647" s="1360"/>
    </row>
    <row r="648" spans="1:13" x14ac:dyDescent="0.25">
      <c r="A648" s="1357">
        <v>97301</v>
      </c>
      <c r="B648" s="1357" t="s">
        <v>3292</v>
      </c>
      <c r="C648" s="1370">
        <v>1310554.6299999999</v>
      </c>
      <c r="F648" s="1359"/>
      <c r="M648" s="1360"/>
    </row>
    <row r="649" spans="1:13" x14ac:dyDescent="0.25">
      <c r="A649" s="1371">
        <v>97302</v>
      </c>
      <c r="B649" s="1371" t="s">
        <v>4201</v>
      </c>
      <c r="C649" s="1372">
        <v>13605.94</v>
      </c>
      <c r="D649" s="1357" t="s">
        <v>4825</v>
      </c>
      <c r="F649" s="1359"/>
      <c r="M649" s="1360"/>
    </row>
    <row r="650" spans="1:13" x14ac:dyDescent="0.25">
      <c r="A650" s="1357">
        <v>97304</v>
      </c>
      <c r="B650" s="1357" t="s">
        <v>3293</v>
      </c>
      <c r="C650" s="1370">
        <v>15484.61</v>
      </c>
      <c r="F650" s="1359"/>
      <c r="M650" s="1360"/>
    </row>
    <row r="651" spans="1:13" x14ac:dyDescent="0.25">
      <c r="A651" s="1357">
        <v>97311</v>
      </c>
      <c r="B651" s="1357" t="s">
        <v>3294</v>
      </c>
      <c r="C651" s="1370">
        <v>457999.83</v>
      </c>
      <c r="F651" s="1359"/>
      <c r="M651" s="1360"/>
    </row>
    <row r="652" spans="1:13" x14ac:dyDescent="0.25">
      <c r="A652" s="1357">
        <v>97401</v>
      </c>
      <c r="B652" s="1357" t="s">
        <v>3295</v>
      </c>
      <c r="C652" s="1370">
        <v>3809503.83</v>
      </c>
      <c r="F652" s="1359"/>
      <c r="M652" s="1360"/>
    </row>
    <row r="653" spans="1:13" x14ac:dyDescent="0.25">
      <c r="A653" s="1357">
        <v>97402</v>
      </c>
      <c r="B653" s="1357" t="s">
        <v>3296</v>
      </c>
      <c r="C653" s="1370">
        <v>28950.639999999999</v>
      </c>
      <c r="F653" s="1359"/>
      <c r="M653" s="1360"/>
    </row>
    <row r="654" spans="1:13" x14ac:dyDescent="0.25">
      <c r="A654" s="1357">
        <v>97404</v>
      </c>
      <c r="B654" s="1357" t="s">
        <v>3297</v>
      </c>
      <c r="C654" s="1370">
        <v>103441.72</v>
      </c>
      <c r="F654" s="1359"/>
      <c r="M654" s="1360"/>
    </row>
    <row r="655" spans="1:13" x14ac:dyDescent="0.25">
      <c r="A655" s="1357">
        <v>97405</v>
      </c>
      <c r="B655" s="1357" t="s">
        <v>3298</v>
      </c>
      <c r="C655" s="1370">
        <v>73694.429999999993</v>
      </c>
      <c r="F655" s="1359"/>
      <c r="M655" s="1360"/>
    </row>
    <row r="656" spans="1:13" x14ac:dyDescent="0.25">
      <c r="A656" s="1357">
        <v>97408</v>
      </c>
      <c r="B656" s="1357" t="s">
        <v>3299</v>
      </c>
      <c r="C656" s="1370">
        <v>28174.240000000002</v>
      </c>
      <c r="F656" s="1359"/>
      <c r="M656" s="1360"/>
    </row>
    <row r="657" spans="1:13" x14ac:dyDescent="0.25">
      <c r="A657" s="1357">
        <v>97411</v>
      </c>
      <c r="B657" s="1357" t="s">
        <v>3300</v>
      </c>
      <c r="C657" s="1370">
        <v>3251982.5</v>
      </c>
      <c r="F657" s="1359"/>
      <c r="M657" s="1360"/>
    </row>
    <row r="658" spans="1:13" x14ac:dyDescent="0.25">
      <c r="A658" s="1357">
        <v>97412</v>
      </c>
      <c r="B658" s="1357" t="s">
        <v>3301</v>
      </c>
      <c r="C658" s="1370">
        <v>2398436.5299999998</v>
      </c>
      <c r="F658" s="1359"/>
      <c r="M658" s="1360"/>
    </row>
    <row r="659" spans="1:13" x14ac:dyDescent="0.25">
      <c r="A659" s="1357">
        <v>97413</v>
      </c>
      <c r="B659" s="1357" t="s">
        <v>3302</v>
      </c>
      <c r="C659" s="1370">
        <v>173180.75</v>
      </c>
      <c r="F659" s="1359"/>
      <c r="M659" s="1360"/>
    </row>
    <row r="660" spans="1:13" x14ac:dyDescent="0.25">
      <c r="A660" s="1357">
        <v>97421</v>
      </c>
      <c r="B660" s="1357" t="s">
        <v>3303</v>
      </c>
      <c r="C660" s="1370">
        <v>215076.26</v>
      </c>
      <c r="F660" s="1359"/>
      <c r="M660" s="1360"/>
    </row>
    <row r="661" spans="1:13" x14ac:dyDescent="0.25">
      <c r="A661" s="1357">
        <v>97423</v>
      </c>
      <c r="B661" s="1357" t="s">
        <v>3304</v>
      </c>
      <c r="C661" s="1370">
        <v>46668.31</v>
      </c>
      <c r="F661" s="1359"/>
      <c r="M661" s="1360"/>
    </row>
    <row r="662" spans="1:13" x14ac:dyDescent="0.25">
      <c r="A662" s="1357">
        <v>97431</v>
      </c>
      <c r="B662" s="1357" t="s">
        <v>3305</v>
      </c>
      <c r="C662" s="1370">
        <v>53454.17</v>
      </c>
      <c r="F662" s="1359"/>
      <c r="M662" s="1360"/>
    </row>
    <row r="663" spans="1:13" x14ac:dyDescent="0.25">
      <c r="A663" s="1357">
        <v>97441</v>
      </c>
      <c r="B663" s="1357" t="s">
        <v>3306</v>
      </c>
      <c r="C663" s="1370">
        <v>22686.94</v>
      </c>
      <c r="F663" s="1359"/>
      <c r="M663" s="1360"/>
    </row>
    <row r="664" spans="1:13" x14ac:dyDescent="0.25">
      <c r="A664" s="1357">
        <v>97451</v>
      </c>
      <c r="B664" s="1357" t="s">
        <v>3307</v>
      </c>
      <c r="C664" s="1370">
        <v>316949.65000000002</v>
      </c>
      <c r="F664" s="1359"/>
      <c r="M664" s="1360"/>
    </row>
    <row r="665" spans="1:13" x14ac:dyDescent="0.25">
      <c r="A665" s="1378" t="s">
        <v>4828</v>
      </c>
      <c r="B665" s="1379" t="s">
        <v>3308</v>
      </c>
      <c r="C665" s="1380">
        <v>271562.37</v>
      </c>
      <c r="F665" s="1359"/>
      <c r="M665" s="1360"/>
    </row>
    <row r="666" spans="1:13" x14ac:dyDescent="0.25">
      <c r="A666" s="1378" t="s">
        <v>4106</v>
      </c>
      <c r="B666" s="1379" t="s">
        <v>3309</v>
      </c>
      <c r="C666" s="1380"/>
      <c r="F666" s="1359"/>
      <c r="M666" s="1360"/>
    </row>
    <row r="667" spans="1:13" ht="15.75" thickBot="1" x14ac:dyDescent="0.3">
      <c r="A667" s="1378">
        <v>97461</v>
      </c>
      <c r="B667" s="1379" t="s">
        <v>3308</v>
      </c>
      <c r="C667" s="1381"/>
      <c r="F667" s="1359"/>
      <c r="M667" s="1360"/>
    </row>
    <row r="668" spans="1:13" ht="15.75" thickTop="1" x14ac:dyDescent="0.25">
      <c r="A668" s="1357">
        <v>97471</v>
      </c>
      <c r="B668" s="1357" t="s">
        <v>3310</v>
      </c>
      <c r="C668" s="1370">
        <v>13513.06</v>
      </c>
      <c r="F668" s="1359"/>
      <c r="M668" s="1360"/>
    </row>
    <row r="669" spans="1:13" x14ac:dyDescent="0.25">
      <c r="A669" s="1357">
        <v>97481</v>
      </c>
      <c r="B669" s="1357" t="s">
        <v>3311</v>
      </c>
      <c r="C669" s="1370">
        <v>2293.6799999999998</v>
      </c>
      <c r="F669" s="1359"/>
      <c r="M669" s="1360"/>
    </row>
    <row r="670" spans="1:13" x14ac:dyDescent="0.25">
      <c r="A670" s="1357">
        <v>97501</v>
      </c>
      <c r="B670" s="1357" t="s">
        <v>3313</v>
      </c>
      <c r="C670" s="1370">
        <v>617897.54</v>
      </c>
      <c r="F670" s="1359"/>
      <c r="M670" s="1360"/>
    </row>
    <row r="671" spans="1:13" x14ac:dyDescent="0.25">
      <c r="A671" s="1357">
        <v>97511</v>
      </c>
      <c r="B671" s="1357" t="s">
        <v>3314</v>
      </c>
      <c r="C671" s="1370">
        <v>113224.63</v>
      </c>
      <c r="F671" s="1359"/>
      <c r="M671" s="1360"/>
    </row>
    <row r="672" spans="1:13" x14ac:dyDescent="0.25">
      <c r="A672" s="1357">
        <v>97521</v>
      </c>
      <c r="B672" s="1357" t="s">
        <v>3315</v>
      </c>
      <c r="C672" s="1370">
        <v>58675.13</v>
      </c>
      <c r="F672" s="1359"/>
      <c r="M672" s="1360"/>
    </row>
    <row r="673" spans="1:13" x14ac:dyDescent="0.25">
      <c r="A673" s="1357">
        <v>97527</v>
      </c>
      <c r="B673" s="1357" t="s">
        <v>4204</v>
      </c>
      <c r="C673" s="1370">
        <v>5220.5600000000004</v>
      </c>
      <c r="F673" s="1359"/>
      <c r="M673" s="1360"/>
    </row>
    <row r="674" spans="1:13" x14ac:dyDescent="0.25">
      <c r="A674" s="1357">
        <v>97531</v>
      </c>
      <c r="B674" s="1357" t="s">
        <v>3316</v>
      </c>
      <c r="C674" s="1370">
        <v>36951.83</v>
      </c>
      <c r="F674" s="1359"/>
      <c r="M674" s="1360"/>
    </row>
    <row r="675" spans="1:13" x14ac:dyDescent="0.25">
      <c r="A675" s="1357">
        <v>97601</v>
      </c>
      <c r="B675" s="1357" t="s">
        <v>3317</v>
      </c>
      <c r="C675" s="1370">
        <v>2666102.96</v>
      </c>
      <c r="F675" s="1359"/>
      <c r="M675" s="1360"/>
    </row>
    <row r="676" spans="1:13" x14ac:dyDescent="0.25">
      <c r="A676" s="1357">
        <v>97607</v>
      </c>
      <c r="B676" s="1357" t="s">
        <v>3318</v>
      </c>
      <c r="C676" s="1370">
        <v>20256.48</v>
      </c>
      <c r="F676" s="1359"/>
      <c r="M676" s="1360"/>
    </row>
    <row r="677" spans="1:13" x14ac:dyDescent="0.25">
      <c r="A677" s="1357">
        <v>97611</v>
      </c>
      <c r="B677" s="1357" t="s">
        <v>3319</v>
      </c>
      <c r="C677" s="1370">
        <v>1258191.96</v>
      </c>
      <c r="F677" s="1359"/>
      <c r="M677" s="1360"/>
    </row>
    <row r="678" spans="1:13" x14ac:dyDescent="0.25">
      <c r="A678" s="1357">
        <v>97613</v>
      </c>
      <c r="B678" s="1357" t="s">
        <v>3320</v>
      </c>
      <c r="C678" s="1370">
        <v>63114.559999999998</v>
      </c>
      <c r="F678" s="1359"/>
      <c r="M678" s="1360"/>
    </row>
    <row r="679" spans="1:13" x14ac:dyDescent="0.25">
      <c r="A679" s="1357">
        <v>97621</v>
      </c>
      <c r="B679" s="1357" t="s">
        <v>3321</v>
      </c>
      <c r="C679" s="1370">
        <v>205284.36</v>
      </c>
      <c r="F679" s="1359"/>
      <c r="M679" s="1360"/>
    </row>
    <row r="680" spans="1:13" x14ac:dyDescent="0.25">
      <c r="A680" s="1357">
        <v>97623</v>
      </c>
      <c r="B680" s="1357" t="s">
        <v>3322</v>
      </c>
      <c r="C680" s="1370">
        <v>12781.93</v>
      </c>
      <c r="F680" s="1359"/>
      <c r="M680" s="1360"/>
    </row>
    <row r="681" spans="1:13" x14ac:dyDescent="0.25">
      <c r="A681" s="1357">
        <v>97627</v>
      </c>
      <c r="B681" s="1357" t="s">
        <v>3323</v>
      </c>
      <c r="C681" s="1370">
        <v>5861.73</v>
      </c>
      <c r="F681" s="1359"/>
      <c r="M681" s="1360"/>
    </row>
    <row r="682" spans="1:13" x14ac:dyDescent="0.25">
      <c r="A682" s="1357">
        <v>97631</v>
      </c>
      <c r="B682" s="1357" t="s">
        <v>3324</v>
      </c>
      <c r="C682" s="1370">
        <v>99621.29</v>
      </c>
      <c r="F682" s="1359"/>
      <c r="M682" s="1360"/>
    </row>
    <row r="683" spans="1:13" x14ac:dyDescent="0.25">
      <c r="A683" s="1357">
        <v>97637</v>
      </c>
      <c r="B683" s="1357" t="s">
        <v>3325</v>
      </c>
      <c r="C683" s="1370">
        <v>3417.96</v>
      </c>
      <c r="F683" s="1359"/>
      <c r="M683" s="1360"/>
    </row>
    <row r="684" spans="1:13" x14ac:dyDescent="0.25">
      <c r="A684" s="1357">
        <v>97641</v>
      </c>
      <c r="B684" s="1357" t="s">
        <v>3326</v>
      </c>
      <c r="C684" s="1370">
        <v>32191.22</v>
      </c>
      <c r="F684" s="1359"/>
      <c r="M684" s="1360"/>
    </row>
    <row r="685" spans="1:13" x14ac:dyDescent="0.25">
      <c r="A685" s="1357">
        <v>97651</v>
      </c>
      <c r="B685" s="1357" t="s">
        <v>3327</v>
      </c>
      <c r="C685" s="1370">
        <v>247761.92000000001</v>
      </c>
      <c r="F685" s="1359"/>
      <c r="M685" s="1360"/>
    </row>
    <row r="686" spans="1:13" x14ac:dyDescent="0.25">
      <c r="A686" s="1357">
        <v>97661</v>
      </c>
      <c r="B686" s="1357" t="s">
        <v>3328</v>
      </c>
      <c r="C686" s="1370">
        <v>27440.38</v>
      </c>
      <c r="F686" s="1359"/>
      <c r="M686" s="1360"/>
    </row>
    <row r="687" spans="1:13" x14ac:dyDescent="0.25">
      <c r="A687" s="1357">
        <v>97701</v>
      </c>
      <c r="B687" s="1357" t="s">
        <v>3329</v>
      </c>
      <c r="C687" s="1370">
        <v>1300566.02</v>
      </c>
      <c r="F687" s="1359"/>
      <c r="M687" s="1360"/>
    </row>
    <row r="688" spans="1:13" x14ac:dyDescent="0.25">
      <c r="A688" s="1357">
        <v>97705</v>
      </c>
      <c r="B688" s="1357" t="s">
        <v>3330</v>
      </c>
      <c r="C688" s="1370">
        <v>23401.599999999999</v>
      </c>
      <c r="F688" s="1359"/>
      <c r="M688" s="1360"/>
    </row>
    <row r="689" spans="1:13" x14ac:dyDescent="0.25">
      <c r="A689" s="1357">
        <v>97711</v>
      </c>
      <c r="B689" s="1357" t="s">
        <v>3331</v>
      </c>
      <c r="C689" s="1370">
        <v>470783.95</v>
      </c>
      <c r="F689" s="1359"/>
      <c r="M689" s="1360"/>
    </row>
    <row r="690" spans="1:13" x14ac:dyDescent="0.25">
      <c r="A690" s="1357">
        <v>97713</v>
      </c>
      <c r="B690" s="1357" t="s">
        <v>3332</v>
      </c>
      <c r="C690" s="1370">
        <v>25874.71</v>
      </c>
      <c r="F690" s="1359"/>
      <c r="M690" s="1360"/>
    </row>
    <row r="691" spans="1:13" x14ac:dyDescent="0.25">
      <c r="A691" s="1357">
        <v>97717</v>
      </c>
      <c r="B691" s="1357" t="s">
        <v>3333</v>
      </c>
      <c r="C691" s="1370">
        <v>2655.27</v>
      </c>
      <c r="F691" s="1359"/>
      <c r="M691" s="1360"/>
    </row>
    <row r="692" spans="1:13" x14ac:dyDescent="0.25">
      <c r="A692" s="1357">
        <v>97721</v>
      </c>
      <c r="B692" s="1357" t="s">
        <v>3334</v>
      </c>
      <c r="C692" s="1370">
        <v>275367.78000000003</v>
      </c>
      <c r="F692" s="1359"/>
      <c r="M692" s="1360"/>
    </row>
    <row r="693" spans="1:13" x14ac:dyDescent="0.25">
      <c r="A693" s="1357">
        <v>97727</v>
      </c>
      <c r="B693" s="1357" t="s">
        <v>3335</v>
      </c>
      <c r="C693" s="1370">
        <v>11895.84</v>
      </c>
      <c r="F693" s="1359"/>
      <c r="M693" s="1360"/>
    </row>
    <row r="694" spans="1:13" x14ac:dyDescent="0.25">
      <c r="A694" s="1357">
        <v>97731</v>
      </c>
      <c r="B694" s="1357" t="s">
        <v>3336</v>
      </c>
      <c r="C694" s="1370">
        <v>22140.38</v>
      </c>
      <c r="F694" s="1359"/>
      <c r="M694" s="1360"/>
    </row>
    <row r="695" spans="1:13" x14ac:dyDescent="0.25">
      <c r="A695" s="1357">
        <v>97801</v>
      </c>
      <c r="B695" s="1357" t="s">
        <v>3693</v>
      </c>
      <c r="C695" s="1370">
        <v>3361962.07</v>
      </c>
      <c r="F695" s="1359"/>
      <c r="M695" s="1360"/>
    </row>
    <row r="696" spans="1:13" x14ac:dyDescent="0.25">
      <c r="A696" s="1357">
        <v>97802</v>
      </c>
      <c r="B696" s="1357" t="s">
        <v>3338</v>
      </c>
      <c r="C696" s="1370">
        <v>93376</v>
      </c>
      <c r="F696" s="1359"/>
      <c r="M696" s="1360"/>
    </row>
    <row r="697" spans="1:13" x14ac:dyDescent="0.25">
      <c r="A697" s="1357">
        <v>97803</v>
      </c>
      <c r="B697" s="1357" t="s">
        <v>3339</v>
      </c>
      <c r="C697" s="1370">
        <v>41006.910000000003</v>
      </c>
      <c r="F697" s="1359"/>
      <c r="M697" s="1360"/>
    </row>
    <row r="698" spans="1:13" x14ac:dyDescent="0.25">
      <c r="A698" s="1357">
        <v>97805</v>
      </c>
      <c r="B698" s="1357" t="s">
        <v>3340</v>
      </c>
      <c r="C698" s="1370">
        <v>45752.480000000003</v>
      </c>
      <c r="F698" s="1359"/>
      <c r="M698" s="1360"/>
    </row>
    <row r="699" spans="1:13" x14ac:dyDescent="0.25">
      <c r="A699" s="1357">
        <v>97811</v>
      </c>
      <c r="B699" s="1357" t="s">
        <v>3341</v>
      </c>
      <c r="C699" s="1370">
        <v>1273527.0900000001</v>
      </c>
      <c r="F699" s="1359"/>
      <c r="M699" s="1360"/>
    </row>
    <row r="700" spans="1:13" x14ac:dyDescent="0.25">
      <c r="A700" s="1357">
        <v>97817</v>
      </c>
      <c r="B700" s="1357" t="s">
        <v>3342</v>
      </c>
      <c r="C700" s="1370">
        <v>14797.59</v>
      </c>
      <c r="F700" s="1359"/>
      <c r="M700" s="1360"/>
    </row>
    <row r="701" spans="1:13" x14ac:dyDescent="0.25">
      <c r="A701" s="1357">
        <v>97818</v>
      </c>
      <c r="B701" s="1357" t="s">
        <v>3343</v>
      </c>
      <c r="C701" s="1370">
        <v>12986.46</v>
      </c>
      <c r="F701" s="1359"/>
      <c r="M701" s="1360"/>
    </row>
    <row r="702" spans="1:13" x14ac:dyDescent="0.25">
      <c r="A702" s="1357">
        <v>97821</v>
      </c>
      <c r="B702" s="1357" t="s">
        <v>3344</v>
      </c>
      <c r="C702" s="1370">
        <v>72126.17</v>
      </c>
      <c r="F702" s="1359"/>
      <c r="M702" s="1360"/>
    </row>
    <row r="703" spans="1:13" x14ac:dyDescent="0.25">
      <c r="A703" s="1357">
        <v>97823</v>
      </c>
      <c r="B703" s="1357" t="s">
        <v>3345</v>
      </c>
      <c r="C703" s="1370">
        <v>12923.82</v>
      </c>
      <c r="F703" s="1359"/>
      <c r="M703" s="1360"/>
    </row>
    <row r="704" spans="1:13" x14ac:dyDescent="0.25">
      <c r="A704" s="1357">
        <v>97831</v>
      </c>
      <c r="B704" s="1357" t="s">
        <v>3346</v>
      </c>
      <c r="C704" s="1370">
        <v>95356.43</v>
      </c>
      <c r="F704" s="1359"/>
      <c r="M704" s="1360"/>
    </row>
    <row r="705" spans="1:13" x14ac:dyDescent="0.25">
      <c r="A705" s="1357">
        <v>97837</v>
      </c>
      <c r="B705" s="1357" t="s">
        <v>3347</v>
      </c>
      <c r="C705" s="1370">
        <v>5278.85</v>
      </c>
      <c r="F705" s="1359"/>
      <c r="M705" s="1360"/>
    </row>
    <row r="706" spans="1:13" x14ac:dyDescent="0.25">
      <c r="A706" s="1357">
        <v>97840</v>
      </c>
      <c r="B706" s="1357" t="s">
        <v>3348</v>
      </c>
      <c r="C706" s="1370">
        <v>113061.3</v>
      </c>
      <c r="F706" s="1359"/>
      <c r="M706" s="1360"/>
    </row>
    <row r="707" spans="1:13" x14ac:dyDescent="0.25">
      <c r="A707" s="1357">
        <v>97841</v>
      </c>
      <c r="B707" s="1357" t="s">
        <v>3349</v>
      </c>
      <c r="C707" s="1370">
        <v>6519.48</v>
      </c>
      <c r="F707" s="1359"/>
      <c r="M707" s="1360"/>
    </row>
    <row r="708" spans="1:13" x14ac:dyDescent="0.25">
      <c r="A708" s="1357">
        <v>97847</v>
      </c>
      <c r="B708" s="1357" t="s">
        <v>3350</v>
      </c>
      <c r="C708" s="1370">
        <v>2620.02</v>
      </c>
      <c r="F708" s="1359"/>
      <c r="M708" s="1360"/>
    </row>
    <row r="709" spans="1:13" x14ac:dyDescent="0.25">
      <c r="A709" s="1357">
        <v>97851</v>
      </c>
      <c r="B709" s="1357" t="s">
        <v>3351</v>
      </c>
      <c r="C709" s="1370">
        <v>129599.1</v>
      </c>
      <c r="F709" s="1359"/>
      <c r="M709" s="1360"/>
    </row>
    <row r="710" spans="1:13" x14ac:dyDescent="0.25">
      <c r="A710" s="1357">
        <v>97853</v>
      </c>
      <c r="B710" s="1357" t="s">
        <v>3352</v>
      </c>
      <c r="C710" s="1370">
        <v>40368.82</v>
      </c>
      <c r="F710" s="1359"/>
      <c r="M710" s="1360"/>
    </row>
    <row r="711" spans="1:13" x14ac:dyDescent="0.25">
      <c r="A711" s="1357">
        <v>97861</v>
      </c>
      <c r="B711" s="1357" t="s">
        <v>3353</v>
      </c>
      <c r="C711" s="1370">
        <v>29878.78</v>
      </c>
      <c r="F711" s="1359"/>
      <c r="M711" s="1360"/>
    </row>
    <row r="712" spans="1:13" x14ac:dyDescent="0.25">
      <c r="A712" s="1357">
        <v>97871</v>
      </c>
      <c r="B712" s="1357" t="s">
        <v>3354</v>
      </c>
      <c r="C712" s="1370">
        <v>304564.14</v>
      </c>
      <c r="F712" s="1359"/>
      <c r="M712" s="1360"/>
    </row>
    <row r="713" spans="1:13" x14ac:dyDescent="0.25">
      <c r="A713" s="1357">
        <v>97877</v>
      </c>
      <c r="B713" s="1357" t="s">
        <v>3355</v>
      </c>
      <c r="C713" s="1370">
        <v>4873.97</v>
      </c>
      <c r="F713" s="1359"/>
      <c r="M713" s="1360"/>
    </row>
    <row r="714" spans="1:13" x14ac:dyDescent="0.25">
      <c r="A714" s="1357">
        <v>97901</v>
      </c>
      <c r="B714" s="1357" t="s">
        <v>3356</v>
      </c>
      <c r="C714" s="1370">
        <v>1996848.04</v>
      </c>
      <c r="F714" s="1359"/>
      <c r="M714" s="1360"/>
    </row>
    <row r="715" spans="1:13" x14ac:dyDescent="0.25">
      <c r="A715" s="1357">
        <v>97911</v>
      </c>
      <c r="B715" s="1357" t="s">
        <v>3357</v>
      </c>
      <c r="C715" s="1370">
        <v>686465.14</v>
      </c>
      <c r="F715" s="1359"/>
      <c r="M715" s="1360"/>
    </row>
    <row r="716" spans="1:13" x14ac:dyDescent="0.25">
      <c r="A716" s="1357">
        <v>97913</v>
      </c>
      <c r="B716" s="1357" t="s">
        <v>3358</v>
      </c>
      <c r="C716" s="1370">
        <v>25126.95</v>
      </c>
      <c r="F716" s="1359"/>
      <c r="M716" s="1360"/>
    </row>
    <row r="717" spans="1:13" x14ac:dyDescent="0.25">
      <c r="A717" s="1357">
        <v>97917</v>
      </c>
      <c r="B717" s="1357" t="s">
        <v>3359</v>
      </c>
      <c r="C717" s="1370">
        <v>14916.62</v>
      </c>
      <c r="F717" s="1359"/>
      <c r="M717" s="1360"/>
    </row>
    <row r="718" spans="1:13" x14ac:dyDescent="0.25">
      <c r="A718" s="1357">
        <v>97921</v>
      </c>
      <c r="B718" s="1357" t="s">
        <v>3360</v>
      </c>
      <c r="C718" s="1370">
        <v>114053.61</v>
      </c>
      <c r="F718" s="1359"/>
      <c r="M718" s="1360"/>
    </row>
    <row r="719" spans="1:13" x14ac:dyDescent="0.25">
      <c r="A719" s="1357">
        <v>97931</v>
      </c>
      <c r="B719" s="1357" t="s">
        <v>3361</v>
      </c>
      <c r="C719" s="1370">
        <v>37356.129999999997</v>
      </c>
      <c r="F719" s="1359"/>
      <c r="M719" s="1360"/>
    </row>
    <row r="720" spans="1:13" x14ac:dyDescent="0.25">
      <c r="A720" s="1357">
        <v>97941</v>
      </c>
      <c r="B720" s="1357" t="s">
        <v>3362</v>
      </c>
      <c r="C720" s="1370">
        <v>125305.7</v>
      </c>
      <c r="F720" s="1359"/>
      <c r="M720" s="1360"/>
    </row>
    <row r="721" spans="1:13" x14ac:dyDescent="0.25">
      <c r="A721" s="1357">
        <v>97947</v>
      </c>
      <c r="B721" s="1357" t="s">
        <v>3363</v>
      </c>
      <c r="C721" s="1370">
        <v>13950.1</v>
      </c>
      <c r="F721" s="1359"/>
      <c r="M721" s="1360"/>
    </row>
    <row r="722" spans="1:13" x14ac:dyDescent="0.25">
      <c r="A722" s="1357">
        <v>97948</v>
      </c>
      <c r="B722" s="1357" t="s">
        <v>3364</v>
      </c>
      <c r="C722" s="1370">
        <v>13531.02</v>
      </c>
      <c r="F722" s="1359"/>
      <c r="M722" s="1360"/>
    </row>
    <row r="723" spans="1:13" x14ac:dyDescent="0.25">
      <c r="A723" s="1357">
        <v>97951</v>
      </c>
      <c r="B723" s="1357" t="s">
        <v>3365</v>
      </c>
      <c r="C723" s="1370">
        <v>672611.52</v>
      </c>
      <c r="F723" s="1359"/>
      <c r="M723" s="1360"/>
    </row>
    <row r="724" spans="1:13" x14ac:dyDescent="0.25">
      <c r="A724" s="1357">
        <v>97957</v>
      </c>
      <c r="B724" s="1357" t="s">
        <v>3366</v>
      </c>
      <c r="C724" s="1370">
        <v>13718.14</v>
      </c>
      <c r="F724" s="1359"/>
      <c r="M724" s="1360"/>
    </row>
    <row r="725" spans="1:13" x14ac:dyDescent="0.25">
      <c r="A725" s="1357">
        <v>98001</v>
      </c>
      <c r="B725" s="1357" t="s">
        <v>3367</v>
      </c>
      <c r="C725" s="1370">
        <v>2800132.56</v>
      </c>
      <c r="F725" s="1359"/>
      <c r="M725" s="1360"/>
    </row>
    <row r="726" spans="1:13" x14ac:dyDescent="0.25">
      <c r="A726" s="1357">
        <v>98002</v>
      </c>
      <c r="B726" s="1357" t="s">
        <v>3368</v>
      </c>
      <c r="C726" s="1370">
        <v>5480.94</v>
      </c>
      <c r="F726" s="1359"/>
      <c r="M726" s="1360"/>
    </row>
    <row r="727" spans="1:13" x14ac:dyDescent="0.25">
      <c r="A727" s="1357">
        <v>98003</v>
      </c>
      <c r="B727" s="1357" t="s">
        <v>3369</v>
      </c>
      <c r="C727" s="1370">
        <v>74811.8</v>
      </c>
      <c r="F727" s="1359"/>
      <c r="M727" s="1360"/>
    </row>
    <row r="728" spans="1:13" x14ac:dyDescent="0.25">
      <c r="A728" s="1357">
        <v>98004</v>
      </c>
      <c r="B728" s="1357" t="s">
        <v>3370</v>
      </c>
      <c r="C728" s="1370">
        <v>93356.85</v>
      </c>
      <c r="F728" s="1359"/>
      <c r="M728" s="1360"/>
    </row>
    <row r="729" spans="1:13" x14ac:dyDescent="0.25">
      <c r="A729" s="1357">
        <v>98008</v>
      </c>
      <c r="B729" s="1357" t="s">
        <v>3371</v>
      </c>
      <c r="C729" s="1370">
        <v>3936.33</v>
      </c>
      <c r="F729" s="1359"/>
      <c r="M729" s="1360"/>
    </row>
    <row r="730" spans="1:13" x14ac:dyDescent="0.25">
      <c r="A730" s="1357">
        <v>98011</v>
      </c>
      <c r="B730" s="1357" t="s">
        <v>3372</v>
      </c>
      <c r="C730" s="1370">
        <v>1700205.21</v>
      </c>
      <c r="F730" s="1359"/>
      <c r="M730" s="1360"/>
    </row>
    <row r="731" spans="1:13" x14ac:dyDescent="0.25">
      <c r="A731" s="1357">
        <v>98013</v>
      </c>
      <c r="B731" s="1357" t="s">
        <v>3373</v>
      </c>
      <c r="C731" s="1370">
        <v>146569.63</v>
      </c>
      <c r="F731" s="1359"/>
      <c r="M731" s="1360"/>
    </row>
    <row r="732" spans="1:13" x14ac:dyDescent="0.25">
      <c r="A732" s="1357">
        <v>98021</v>
      </c>
      <c r="B732" s="1357" t="s">
        <v>3374</v>
      </c>
      <c r="C732" s="1370">
        <v>28375.53</v>
      </c>
      <c r="F732" s="1359"/>
      <c r="M732" s="1360"/>
    </row>
    <row r="733" spans="1:13" x14ac:dyDescent="0.25">
      <c r="A733" s="1357">
        <v>98023</v>
      </c>
      <c r="B733" s="1357" t="s">
        <v>3375</v>
      </c>
      <c r="C733" s="1370">
        <v>4560.75</v>
      </c>
      <c r="F733" s="1359"/>
      <c r="M733" s="1360"/>
    </row>
    <row r="734" spans="1:13" x14ac:dyDescent="0.25">
      <c r="A734" s="1357">
        <v>98031</v>
      </c>
      <c r="B734" s="1357" t="s">
        <v>3376</v>
      </c>
      <c r="C734" s="1370">
        <v>75174.78</v>
      </c>
      <c r="F734" s="1359"/>
      <c r="M734" s="1360"/>
    </row>
    <row r="735" spans="1:13" x14ac:dyDescent="0.25">
      <c r="A735" s="1357">
        <v>98041</v>
      </c>
      <c r="B735" s="1357" t="s">
        <v>3377</v>
      </c>
      <c r="C735" s="1370">
        <v>109208.83</v>
      </c>
      <c r="F735" s="1359"/>
      <c r="M735" s="1360"/>
    </row>
    <row r="736" spans="1:13" x14ac:dyDescent="0.25">
      <c r="A736" s="1357">
        <v>98051</v>
      </c>
      <c r="B736" s="1357" t="s">
        <v>3378</v>
      </c>
      <c r="C736" s="1370">
        <v>149784.16</v>
      </c>
      <c r="F736" s="1359"/>
      <c r="M736" s="1360"/>
    </row>
    <row r="737" spans="1:13" x14ac:dyDescent="0.25">
      <c r="A737" s="1357">
        <v>98061</v>
      </c>
      <c r="B737" s="1357" t="s">
        <v>3379</v>
      </c>
      <c r="C737" s="1370">
        <v>57980.75</v>
      </c>
      <c r="F737" s="1359"/>
      <c r="M737" s="1360"/>
    </row>
    <row r="738" spans="1:13" x14ac:dyDescent="0.25">
      <c r="A738" s="1357">
        <v>98071</v>
      </c>
      <c r="B738" s="1357" t="s">
        <v>3380</v>
      </c>
      <c r="C738" s="1370">
        <v>35560.61</v>
      </c>
      <c r="F738" s="1359"/>
      <c r="M738" s="1360"/>
    </row>
    <row r="739" spans="1:13" x14ac:dyDescent="0.25">
      <c r="A739" s="1357">
        <v>98081</v>
      </c>
      <c r="B739" s="1357" t="s">
        <v>3381</v>
      </c>
      <c r="C739" s="1370">
        <v>8432.65</v>
      </c>
      <c r="F739" s="1359"/>
      <c r="M739" s="1360"/>
    </row>
    <row r="740" spans="1:13" x14ac:dyDescent="0.25">
      <c r="A740" s="1357">
        <v>98091</v>
      </c>
      <c r="B740" s="1357" t="s">
        <v>3382</v>
      </c>
      <c r="C740" s="1370">
        <v>28107.68</v>
      </c>
      <c r="F740" s="1359"/>
      <c r="M740" s="1360"/>
    </row>
    <row r="741" spans="1:13" x14ac:dyDescent="0.25">
      <c r="A741" s="1357">
        <v>98101</v>
      </c>
      <c r="B741" s="1357" t="s">
        <v>3383</v>
      </c>
      <c r="C741" s="1370">
        <v>1512524.2</v>
      </c>
      <c r="F741" s="1359"/>
      <c r="M741" s="1360"/>
    </row>
    <row r="742" spans="1:13" x14ac:dyDescent="0.25">
      <c r="A742" s="1357">
        <v>98102</v>
      </c>
      <c r="B742" s="1357" t="s">
        <v>3384</v>
      </c>
      <c r="C742" s="1370">
        <v>85915.81</v>
      </c>
      <c r="F742" s="1359"/>
      <c r="M742" s="1360"/>
    </row>
    <row r="743" spans="1:13" x14ac:dyDescent="0.25">
      <c r="A743" s="1357">
        <v>98103</v>
      </c>
      <c r="B743" s="1357" t="s">
        <v>3385</v>
      </c>
      <c r="C743" s="1370">
        <v>278130.09000000003</v>
      </c>
      <c r="F743" s="1359"/>
      <c r="M743" s="1360"/>
    </row>
    <row r="744" spans="1:13" x14ac:dyDescent="0.25">
      <c r="A744" s="1357">
        <v>98107</v>
      </c>
      <c r="B744" s="1357" t="s">
        <v>3386</v>
      </c>
      <c r="C744" s="1370">
        <v>10953.72</v>
      </c>
      <c r="F744" s="1359"/>
      <c r="M744" s="1360"/>
    </row>
    <row r="745" spans="1:13" x14ac:dyDescent="0.25">
      <c r="A745" s="1357">
        <v>98109</v>
      </c>
      <c r="B745" s="1357" t="s">
        <v>3387</v>
      </c>
      <c r="C745" s="1370">
        <v>96341.54</v>
      </c>
      <c r="F745" s="1359"/>
      <c r="M745" s="1360"/>
    </row>
    <row r="746" spans="1:13" x14ac:dyDescent="0.25">
      <c r="A746" s="1357">
        <v>98111</v>
      </c>
      <c r="B746" s="1357" t="s">
        <v>3388</v>
      </c>
      <c r="C746" s="1370">
        <v>497398.92</v>
      </c>
      <c r="F746" s="1359"/>
      <c r="M746" s="1360"/>
    </row>
    <row r="747" spans="1:13" x14ac:dyDescent="0.25">
      <c r="A747" s="1357">
        <v>98113</v>
      </c>
      <c r="B747" s="1357" t="s">
        <v>3389</v>
      </c>
      <c r="C747" s="1370">
        <v>26297.14</v>
      </c>
      <c r="F747" s="1359"/>
      <c r="M747" s="1360"/>
    </row>
    <row r="748" spans="1:13" x14ac:dyDescent="0.25">
      <c r="A748" s="1357">
        <v>98121</v>
      </c>
      <c r="B748" s="1357" t="s">
        <v>3390</v>
      </c>
      <c r="C748" s="1370">
        <v>107607.24</v>
      </c>
      <c r="F748" s="1359"/>
      <c r="M748" s="1360"/>
    </row>
    <row r="749" spans="1:13" x14ac:dyDescent="0.25">
      <c r="A749" s="1357">
        <v>98131</v>
      </c>
      <c r="B749" s="1357" t="s">
        <v>3391</v>
      </c>
      <c r="C749" s="1370">
        <v>139198.78</v>
      </c>
      <c r="F749" s="1359"/>
      <c r="M749" s="1360"/>
    </row>
    <row r="750" spans="1:13" x14ac:dyDescent="0.25">
      <c r="A750" s="1357">
        <v>98141</v>
      </c>
      <c r="B750" s="1357" t="s">
        <v>3392</v>
      </c>
      <c r="C750" s="1370">
        <v>147750.82</v>
      </c>
      <c r="F750" s="1359"/>
      <c r="M750" s="1360"/>
    </row>
    <row r="751" spans="1:13" x14ac:dyDescent="0.25">
      <c r="A751" s="1357">
        <v>98147</v>
      </c>
      <c r="B751" s="1357" t="s">
        <v>3393</v>
      </c>
      <c r="C751" s="1370">
        <v>11095.36</v>
      </c>
      <c r="F751" s="1359"/>
      <c r="M751" s="1360"/>
    </row>
    <row r="752" spans="1:13" x14ac:dyDescent="0.25">
      <c r="A752" s="1357">
        <v>98161</v>
      </c>
      <c r="B752" s="1357" t="s">
        <v>3394</v>
      </c>
      <c r="C752" s="1370">
        <v>5704.32</v>
      </c>
      <c r="F752" s="1359"/>
      <c r="M752" s="1360"/>
    </row>
    <row r="753" spans="1:13" x14ac:dyDescent="0.25">
      <c r="A753" s="1357">
        <v>98201</v>
      </c>
      <c r="B753" s="1357" t="s">
        <v>3395</v>
      </c>
      <c r="C753" s="1370">
        <v>1704895.71</v>
      </c>
      <c r="F753" s="1359"/>
      <c r="M753" s="1360"/>
    </row>
    <row r="754" spans="1:13" x14ac:dyDescent="0.25">
      <c r="A754" s="1357">
        <v>98205</v>
      </c>
      <c r="B754" s="1357" t="s">
        <v>3396</v>
      </c>
      <c r="C754" s="1370">
        <v>21029.88</v>
      </c>
      <c r="F754" s="1359"/>
      <c r="M754" s="1360"/>
    </row>
    <row r="755" spans="1:13" x14ac:dyDescent="0.25">
      <c r="A755" s="1357">
        <v>98211</v>
      </c>
      <c r="B755" s="1357" t="s">
        <v>3397</v>
      </c>
      <c r="C755" s="1370">
        <v>456722.87</v>
      </c>
      <c r="F755" s="1359"/>
      <c r="M755" s="1360"/>
    </row>
    <row r="756" spans="1:13" x14ac:dyDescent="0.25">
      <c r="A756" s="1357">
        <v>98218</v>
      </c>
      <c r="B756" s="1357" t="s">
        <v>3398</v>
      </c>
      <c r="C756" s="1370">
        <v>9498.94</v>
      </c>
      <c r="F756" s="1359"/>
      <c r="M756" s="1360"/>
    </row>
    <row r="757" spans="1:13" x14ac:dyDescent="0.25">
      <c r="A757" s="1357">
        <v>98221</v>
      </c>
      <c r="B757" s="1357" t="s">
        <v>3399</v>
      </c>
      <c r="C757" s="1370">
        <v>12495.62</v>
      </c>
      <c r="F757" s="1359"/>
      <c r="M757" s="1360"/>
    </row>
    <row r="758" spans="1:13" x14ac:dyDescent="0.25">
      <c r="A758" s="1357">
        <v>98231</v>
      </c>
      <c r="B758" s="1357" t="s">
        <v>3400</v>
      </c>
      <c r="C758" s="1370">
        <v>17043.650000000001</v>
      </c>
      <c r="F758" s="1359"/>
      <c r="M758" s="1360"/>
    </row>
    <row r="759" spans="1:13" x14ac:dyDescent="0.25">
      <c r="A759" s="1357">
        <v>98237</v>
      </c>
      <c r="B759" s="1357" t="s">
        <v>3401</v>
      </c>
      <c r="C759" s="1370">
        <v>3889.8</v>
      </c>
      <c r="F759" s="1359"/>
      <c r="M759" s="1360"/>
    </row>
    <row r="760" spans="1:13" x14ac:dyDescent="0.25">
      <c r="A760" s="1357">
        <v>98241</v>
      </c>
      <c r="B760" s="1357" t="s">
        <v>3402</v>
      </c>
      <c r="C760" s="1370">
        <v>11328.54</v>
      </c>
      <c r="F760" s="1359"/>
      <c r="M760" s="1360"/>
    </row>
    <row r="761" spans="1:13" x14ac:dyDescent="0.25">
      <c r="A761" s="1357">
        <v>98251</v>
      </c>
      <c r="B761" s="1357" t="s">
        <v>3403</v>
      </c>
      <c r="C761" s="1370">
        <v>2656.4</v>
      </c>
      <c r="F761" s="1359"/>
      <c r="M761" s="1360"/>
    </row>
    <row r="762" spans="1:13" x14ac:dyDescent="0.25">
      <c r="A762" s="1357">
        <v>98261</v>
      </c>
      <c r="B762" s="1357" t="s">
        <v>3404</v>
      </c>
      <c r="C762" s="1370">
        <v>19562.740000000002</v>
      </c>
      <c r="F762" s="1359"/>
      <c r="M762" s="1360"/>
    </row>
    <row r="763" spans="1:13" x14ac:dyDescent="0.25">
      <c r="A763" s="1357">
        <v>98271</v>
      </c>
      <c r="B763" s="1357" t="s">
        <v>3405</v>
      </c>
      <c r="C763" s="1370">
        <v>4490.5</v>
      </c>
      <c r="F763" s="1359"/>
      <c r="M763" s="1360"/>
    </row>
    <row r="764" spans="1:13" x14ac:dyDescent="0.25">
      <c r="A764" s="1357">
        <v>98301</v>
      </c>
      <c r="B764" s="1357" t="s">
        <v>3406</v>
      </c>
      <c r="C764" s="1370">
        <v>980026.13</v>
      </c>
      <c r="F764" s="1359"/>
      <c r="M764" s="1360"/>
    </row>
    <row r="765" spans="1:13" x14ac:dyDescent="0.25">
      <c r="A765" s="1357">
        <v>98304</v>
      </c>
      <c r="B765" s="1357" t="s">
        <v>3407</v>
      </c>
      <c r="C765" s="1370">
        <v>15846.58</v>
      </c>
      <c r="F765" s="1359"/>
      <c r="M765" s="1360"/>
    </row>
    <row r="766" spans="1:13" x14ac:dyDescent="0.25">
      <c r="A766" s="1357">
        <v>98308</v>
      </c>
      <c r="B766" s="1357" t="s">
        <v>3408</v>
      </c>
      <c r="C766" s="1370">
        <v>16140.44</v>
      </c>
      <c r="F766" s="1359"/>
      <c r="M766" s="1360"/>
    </row>
    <row r="767" spans="1:13" x14ac:dyDescent="0.25">
      <c r="A767" s="1357">
        <v>98311</v>
      </c>
      <c r="B767" s="1357" t="s">
        <v>3409</v>
      </c>
      <c r="C767" s="1370">
        <v>564048.79</v>
      </c>
      <c r="F767" s="1359"/>
      <c r="M767" s="1360"/>
    </row>
    <row r="768" spans="1:13" x14ac:dyDescent="0.25">
      <c r="A768" s="1357">
        <v>98313</v>
      </c>
      <c r="B768" s="1357" t="s">
        <v>3410</v>
      </c>
      <c r="C768" s="1370">
        <v>263782.99</v>
      </c>
      <c r="F768" s="1359"/>
      <c r="M768" s="1360"/>
    </row>
    <row r="769" spans="1:13" x14ac:dyDescent="0.25">
      <c r="A769" s="1357">
        <v>98321</v>
      </c>
      <c r="B769" s="1357" t="s">
        <v>3411</v>
      </c>
      <c r="C769" s="1370">
        <v>10467.51</v>
      </c>
      <c r="F769" s="1359"/>
      <c r="M769" s="1360"/>
    </row>
    <row r="770" spans="1:13" x14ac:dyDescent="0.25">
      <c r="A770" s="1357">
        <v>98331</v>
      </c>
      <c r="B770" s="1357" t="s">
        <v>3412</v>
      </c>
      <c r="C770" s="1370">
        <v>6904.82</v>
      </c>
      <c r="F770" s="1359"/>
      <c r="M770" s="1360"/>
    </row>
    <row r="771" spans="1:13" x14ac:dyDescent="0.25">
      <c r="A771" s="1357">
        <v>98401</v>
      </c>
      <c r="B771" s="1357" t="s">
        <v>3413</v>
      </c>
      <c r="C771" s="1370">
        <v>1612340.34</v>
      </c>
      <c r="F771" s="1359"/>
      <c r="M771" s="1360"/>
    </row>
    <row r="772" spans="1:13" x14ac:dyDescent="0.25">
      <c r="A772" s="1357">
        <v>98404</v>
      </c>
      <c r="B772" s="1357" t="s">
        <v>3694</v>
      </c>
      <c r="C772" s="1370">
        <v>7986.34</v>
      </c>
      <c r="F772" s="1359"/>
      <c r="M772" s="1360"/>
    </row>
    <row r="773" spans="1:13" x14ac:dyDescent="0.25">
      <c r="A773" s="1357">
        <v>98411</v>
      </c>
      <c r="B773" s="1357" t="s">
        <v>3414</v>
      </c>
      <c r="C773" s="1370">
        <v>936688.33</v>
      </c>
      <c r="F773" s="1359"/>
      <c r="M773" s="1360"/>
    </row>
    <row r="774" spans="1:13" x14ac:dyDescent="0.25">
      <c r="A774" s="1357">
        <v>98414</v>
      </c>
      <c r="B774" s="1357" t="s">
        <v>2654</v>
      </c>
      <c r="C774" s="1370">
        <v>18009.400000000001</v>
      </c>
      <c r="F774" s="1359"/>
      <c r="M774" s="1360"/>
    </row>
    <row r="775" spans="1:13" x14ac:dyDescent="0.25">
      <c r="A775" s="1357">
        <v>98417</v>
      </c>
      <c r="B775" s="1357" t="s">
        <v>3415</v>
      </c>
      <c r="C775" s="1370">
        <v>17461.32</v>
      </c>
      <c r="F775" s="1359"/>
      <c r="M775" s="1360"/>
    </row>
    <row r="776" spans="1:13" x14ac:dyDescent="0.25">
      <c r="A776" s="1357">
        <v>98421</v>
      </c>
      <c r="B776" s="1357" t="s">
        <v>3416</v>
      </c>
      <c r="C776" s="1370">
        <v>54836.86</v>
      </c>
      <c r="F776" s="1359"/>
      <c r="M776" s="1360"/>
    </row>
    <row r="777" spans="1:13" x14ac:dyDescent="0.25">
      <c r="A777" s="1357">
        <v>98427</v>
      </c>
      <c r="B777" s="1357" t="s">
        <v>3417</v>
      </c>
      <c r="C777" s="1370">
        <v>3708.55</v>
      </c>
      <c r="F777" s="1359"/>
      <c r="M777" s="1360"/>
    </row>
    <row r="778" spans="1:13" x14ac:dyDescent="0.25">
      <c r="A778" s="1357">
        <v>98431</v>
      </c>
      <c r="B778" s="1357" t="s">
        <v>3418</v>
      </c>
      <c r="C778" s="1370">
        <v>94730.92</v>
      </c>
      <c r="F778" s="1359"/>
      <c r="M778" s="1360"/>
    </row>
    <row r="779" spans="1:13" x14ac:dyDescent="0.25">
      <c r="A779" s="1357">
        <v>98441</v>
      </c>
      <c r="B779" s="1357" t="s">
        <v>3419</v>
      </c>
      <c r="C779" s="1370">
        <v>49115.65</v>
      </c>
      <c r="F779" s="1359"/>
      <c r="M779" s="1360"/>
    </row>
    <row r="780" spans="1:13" x14ac:dyDescent="0.25">
      <c r="A780" s="1357">
        <v>98451</v>
      </c>
      <c r="B780" s="1357" t="s">
        <v>3420</v>
      </c>
      <c r="C780" s="1370">
        <v>27429.14</v>
      </c>
      <c r="F780" s="1359"/>
      <c r="M780" s="1360"/>
    </row>
    <row r="781" spans="1:13" x14ac:dyDescent="0.25">
      <c r="A781" s="1357">
        <v>98471</v>
      </c>
      <c r="B781" s="1357" t="s">
        <v>4217</v>
      </c>
      <c r="C781" s="1370">
        <v>4469.6499999999996</v>
      </c>
      <c r="F781" s="1359"/>
      <c r="M781" s="1360"/>
    </row>
    <row r="782" spans="1:13" x14ac:dyDescent="0.25">
      <c r="A782" s="1357">
        <v>98481</v>
      </c>
      <c r="B782" s="1357" t="s">
        <v>3421</v>
      </c>
      <c r="C782" s="1370">
        <v>32906.79</v>
      </c>
      <c r="F782" s="1359"/>
      <c r="M782" s="1360"/>
    </row>
    <row r="783" spans="1:13" x14ac:dyDescent="0.25">
      <c r="A783" s="1357">
        <v>98501</v>
      </c>
      <c r="B783" s="1357" t="s">
        <v>3422</v>
      </c>
      <c r="C783" s="1370">
        <v>932850.12</v>
      </c>
      <c r="F783" s="1359"/>
      <c r="M783" s="1360"/>
    </row>
    <row r="784" spans="1:13" x14ac:dyDescent="0.25">
      <c r="A784" s="1357">
        <v>98511</v>
      </c>
      <c r="B784" s="1357" t="s">
        <v>3423</v>
      </c>
      <c r="C784" s="1370">
        <v>23896.09</v>
      </c>
      <c r="F784" s="1359"/>
      <c r="M784" s="1360"/>
    </row>
    <row r="785" spans="1:13" x14ac:dyDescent="0.25">
      <c r="A785" s="1357">
        <v>98517</v>
      </c>
      <c r="B785" s="1357" t="s">
        <v>3424</v>
      </c>
      <c r="C785" s="1370">
        <v>3479.82</v>
      </c>
      <c r="F785" s="1359"/>
      <c r="M785" s="1360"/>
    </row>
    <row r="786" spans="1:13" x14ac:dyDescent="0.25">
      <c r="A786" s="1357">
        <v>98521</v>
      </c>
      <c r="B786" s="1357" t="s">
        <v>3425</v>
      </c>
      <c r="C786" s="1370">
        <v>326721.3</v>
      </c>
      <c r="F786" s="1359"/>
      <c r="M786" s="1360"/>
    </row>
    <row r="787" spans="1:13" x14ac:dyDescent="0.25">
      <c r="A787" s="1357">
        <v>98601</v>
      </c>
      <c r="B787" s="1357" t="s">
        <v>3426</v>
      </c>
      <c r="C787" s="1370">
        <v>1798525.15</v>
      </c>
      <c r="F787" s="1359"/>
      <c r="M787" s="1360"/>
    </row>
    <row r="788" spans="1:13" x14ac:dyDescent="0.25">
      <c r="A788" s="1357">
        <v>98604</v>
      </c>
      <c r="B788" s="1357" t="s">
        <v>3427</v>
      </c>
      <c r="C788" s="1370">
        <v>8906.5499999999993</v>
      </c>
      <c r="F788" s="1359"/>
      <c r="M788" s="1360"/>
    </row>
    <row r="789" spans="1:13" x14ac:dyDescent="0.25">
      <c r="A789" s="1357">
        <v>98607</v>
      </c>
      <c r="B789" s="1357" t="s">
        <v>3428</v>
      </c>
      <c r="C789" s="1370">
        <v>3495.24</v>
      </c>
      <c r="F789" s="1359"/>
      <c r="M789" s="1360"/>
    </row>
    <row r="790" spans="1:13" x14ac:dyDescent="0.25">
      <c r="A790" s="1357">
        <v>98608</v>
      </c>
      <c r="B790" s="1357" t="s">
        <v>3429</v>
      </c>
      <c r="C790" s="1370">
        <v>29312.71</v>
      </c>
      <c r="F790" s="1359"/>
      <c r="M790" s="1360"/>
    </row>
    <row r="791" spans="1:13" x14ac:dyDescent="0.25">
      <c r="A791" s="1357">
        <v>98611</v>
      </c>
      <c r="B791" s="1357" t="s">
        <v>3430</v>
      </c>
      <c r="C791" s="1370">
        <v>65307.22</v>
      </c>
      <c r="F791" s="1359"/>
      <c r="M791" s="1360"/>
    </row>
    <row r="792" spans="1:13" x14ac:dyDescent="0.25">
      <c r="A792" s="1357">
        <v>98621</v>
      </c>
      <c r="B792" s="1357" t="s">
        <v>3431</v>
      </c>
      <c r="C792" s="1370">
        <v>68981</v>
      </c>
      <c r="F792" s="1359"/>
      <c r="M792" s="1360"/>
    </row>
    <row r="793" spans="1:13" x14ac:dyDescent="0.25">
      <c r="A793" s="1357">
        <v>98627</v>
      </c>
      <c r="B793" s="1357" t="s">
        <v>3432</v>
      </c>
      <c r="C793" s="1370">
        <v>3807.08</v>
      </c>
      <c r="F793" s="1359"/>
      <c r="M793" s="1360"/>
    </row>
    <row r="794" spans="1:13" x14ac:dyDescent="0.25">
      <c r="A794" s="1357">
        <v>98631</v>
      </c>
      <c r="B794" s="1357" t="s">
        <v>3433</v>
      </c>
      <c r="C794" s="1370">
        <v>536120.5</v>
      </c>
      <c r="F794" s="1359"/>
      <c r="M794" s="1360"/>
    </row>
    <row r="795" spans="1:13" x14ac:dyDescent="0.25">
      <c r="A795" s="1357">
        <v>98637</v>
      </c>
      <c r="B795" s="1357" t="s">
        <v>3434</v>
      </c>
      <c r="C795" s="1370">
        <v>16562.830000000002</v>
      </c>
      <c r="F795" s="1359"/>
      <c r="M795" s="1360"/>
    </row>
    <row r="796" spans="1:13" x14ac:dyDescent="0.25">
      <c r="A796" s="1357">
        <v>98641</v>
      </c>
      <c r="B796" s="1357" t="s">
        <v>3435</v>
      </c>
      <c r="C796" s="1370">
        <v>155993.72</v>
      </c>
      <c r="F796" s="1359"/>
      <c r="M796" s="1360"/>
    </row>
    <row r="797" spans="1:13" x14ac:dyDescent="0.25">
      <c r="A797" s="1357">
        <v>98701</v>
      </c>
      <c r="B797" s="1357" t="s">
        <v>3437</v>
      </c>
      <c r="C797" s="1370">
        <v>535789.9</v>
      </c>
      <c r="F797" s="1359"/>
      <c r="M797" s="1360"/>
    </row>
    <row r="798" spans="1:13" x14ac:dyDescent="0.25">
      <c r="A798" s="1357">
        <v>98711</v>
      </c>
      <c r="B798" s="1357" t="s">
        <v>3438</v>
      </c>
      <c r="C798" s="1370">
        <v>77037.11</v>
      </c>
      <c r="F798" s="1359"/>
      <c r="M798" s="1360"/>
    </row>
    <row r="799" spans="1:13" x14ac:dyDescent="0.25">
      <c r="A799" s="1357">
        <v>98717</v>
      </c>
      <c r="B799" s="1357" t="s">
        <v>3439</v>
      </c>
      <c r="C799" s="1370">
        <v>10712.88</v>
      </c>
      <c r="F799" s="1359"/>
      <c r="M799" s="1360"/>
    </row>
    <row r="800" spans="1:13" x14ac:dyDescent="0.25">
      <c r="A800" s="1357">
        <v>98801</v>
      </c>
      <c r="B800" s="1357" t="s">
        <v>3440</v>
      </c>
      <c r="C800" s="1370">
        <v>1184009.6499999999</v>
      </c>
      <c r="F800" s="1359"/>
      <c r="M800" s="1360"/>
    </row>
    <row r="801" spans="1:13" x14ac:dyDescent="0.25">
      <c r="A801" s="1357">
        <v>98811</v>
      </c>
      <c r="B801" s="1357" t="s">
        <v>3441</v>
      </c>
      <c r="C801" s="1370">
        <v>373677.59</v>
      </c>
      <c r="F801" s="1359"/>
      <c r="M801" s="1360"/>
    </row>
    <row r="802" spans="1:13" x14ac:dyDescent="0.25">
      <c r="A802" s="1357">
        <v>98817</v>
      </c>
      <c r="B802" s="1357" t="s">
        <v>3442</v>
      </c>
      <c r="C802" s="1370">
        <v>11653.13</v>
      </c>
      <c r="F802" s="1359"/>
      <c r="M802" s="1360"/>
    </row>
    <row r="803" spans="1:13" x14ac:dyDescent="0.25">
      <c r="A803" s="1357">
        <v>98901</v>
      </c>
      <c r="B803" s="1357" t="s">
        <v>3443</v>
      </c>
      <c r="C803" s="1370">
        <v>173046.25</v>
      </c>
      <c r="F803" s="1359"/>
      <c r="M803" s="1360"/>
    </row>
    <row r="804" spans="1:13" x14ac:dyDescent="0.25">
      <c r="A804" s="1357">
        <v>98904</v>
      </c>
      <c r="B804" s="1357" t="s">
        <v>3444</v>
      </c>
      <c r="C804" s="1370">
        <v>1808.88</v>
      </c>
      <c r="F804" s="1359"/>
      <c r="M804" s="1360"/>
    </row>
    <row r="805" spans="1:13" x14ac:dyDescent="0.25">
      <c r="A805" s="1357">
        <v>98911</v>
      </c>
      <c r="B805" s="1357" t="s">
        <v>3445</v>
      </c>
      <c r="C805" s="1370">
        <v>20777.02</v>
      </c>
      <c r="F805" s="1359"/>
      <c r="M805" s="1360"/>
    </row>
    <row r="806" spans="1:13" x14ac:dyDescent="0.25">
      <c r="A806" s="1357">
        <v>99001</v>
      </c>
      <c r="B806" s="1357" t="s">
        <v>3446</v>
      </c>
      <c r="C806" s="1370">
        <v>4571287.33</v>
      </c>
      <c r="F806" s="1359"/>
      <c r="M806" s="1360"/>
    </row>
    <row r="807" spans="1:13" x14ac:dyDescent="0.25">
      <c r="A807" s="1357">
        <v>99011</v>
      </c>
      <c r="B807" s="1357" t="s">
        <v>3447</v>
      </c>
      <c r="C807" s="1370">
        <v>2077782.41</v>
      </c>
      <c r="F807" s="1359"/>
      <c r="M807" s="1360"/>
    </row>
    <row r="808" spans="1:13" x14ac:dyDescent="0.25">
      <c r="A808" s="1357">
        <v>99013</v>
      </c>
      <c r="B808" s="1357" t="s">
        <v>3448</v>
      </c>
      <c r="C808" s="1370">
        <v>30943.9</v>
      </c>
      <c r="F808" s="1359"/>
      <c r="M808" s="1360"/>
    </row>
    <row r="809" spans="1:13" x14ac:dyDescent="0.25">
      <c r="A809" s="1357">
        <v>99014</v>
      </c>
      <c r="B809" s="1357" t="s">
        <v>3449</v>
      </c>
      <c r="C809" s="1370">
        <v>17401.82</v>
      </c>
      <c r="F809" s="1359"/>
      <c r="M809" s="1360"/>
    </row>
    <row r="810" spans="1:13" x14ac:dyDescent="0.25">
      <c r="A810" s="1357">
        <v>99017</v>
      </c>
      <c r="B810" s="1357" t="s">
        <v>3450</v>
      </c>
      <c r="C810" s="1370">
        <v>24319.88</v>
      </c>
      <c r="F810" s="1359"/>
      <c r="M810" s="1360"/>
    </row>
    <row r="811" spans="1:13" x14ac:dyDescent="0.25">
      <c r="A811" s="1357">
        <v>99021</v>
      </c>
      <c r="B811" s="1357" t="s">
        <v>3451</v>
      </c>
      <c r="C811" s="1370">
        <v>69808.649999999994</v>
      </c>
      <c r="F811" s="1359"/>
      <c r="M811" s="1360"/>
    </row>
    <row r="812" spans="1:13" x14ac:dyDescent="0.25">
      <c r="A812" s="1357">
        <v>99022</v>
      </c>
      <c r="B812" s="1357" t="s">
        <v>1962</v>
      </c>
      <c r="C812" s="1370">
        <v>12585.84</v>
      </c>
      <c r="F812" s="1359"/>
      <c r="M812" s="1360"/>
    </row>
    <row r="813" spans="1:13" x14ac:dyDescent="0.25">
      <c r="A813" s="1357">
        <v>99031</v>
      </c>
      <c r="B813" s="1357" t="s">
        <v>3452</v>
      </c>
      <c r="C813" s="1370">
        <v>63641.97</v>
      </c>
      <c r="F813" s="1359"/>
      <c r="M813" s="1360"/>
    </row>
    <row r="814" spans="1:13" x14ac:dyDescent="0.25">
      <c r="A814" s="1357">
        <v>99041</v>
      </c>
      <c r="B814" s="1357" t="s">
        <v>3453</v>
      </c>
      <c r="C814" s="1370">
        <v>318260.34000000003</v>
      </c>
      <c r="F814" s="1359"/>
      <c r="M814" s="1360"/>
    </row>
    <row r="815" spans="1:13" x14ac:dyDescent="0.25">
      <c r="A815" s="1357">
        <v>99047</v>
      </c>
      <c r="B815" s="1357" t="s">
        <v>3454</v>
      </c>
      <c r="C815" s="1370">
        <v>12566.55</v>
      </c>
      <c r="F815" s="1359"/>
      <c r="M815" s="1360"/>
    </row>
    <row r="816" spans="1:13" x14ac:dyDescent="0.25">
      <c r="A816" s="1357">
        <v>99051</v>
      </c>
      <c r="B816" s="1357" t="s">
        <v>3455</v>
      </c>
      <c r="C816" s="1370">
        <v>172602.91</v>
      </c>
      <c r="F816" s="1359"/>
      <c r="M816" s="1360"/>
    </row>
    <row r="817" spans="1:13" x14ac:dyDescent="0.25">
      <c r="A817" s="1357">
        <v>99061</v>
      </c>
      <c r="B817" s="1357" t="s">
        <v>3456</v>
      </c>
      <c r="C817" s="1370">
        <v>4790.1400000000003</v>
      </c>
      <c r="F817" s="1359"/>
      <c r="M817" s="1360"/>
    </row>
    <row r="818" spans="1:13" x14ac:dyDescent="0.25">
      <c r="A818" s="1357">
        <v>99071</v>
      </c>
      <c r="B818" s="1357" t="s">
        <v>3457</v>
      </c>
      <c r="C818" s="1370">
        <v>16812.310000000001</v>
      </c>
      <c r="F818" s="1359"/>
      <c r="M818" s="1360"/>
    </row>
    <row r="819" spans="1:13" x14ac:dyDescent="0.25">
      <c r="A819" s="1357">
        <v>99081</v>
      </c>
      <c r="B819" s="1357" t="s">
        <v>3458</v>
      </c>
      <c r="C819" s="1370">
        <v>15553.27</v>
      </c>
      <c r="F819" s="1359"/>
      <c r="M819" s="1360"/>
    </row>
    <row r="820" spans="1:13" x14ac:dyDescent="0.25">
      <c r="A820" s="1357">
        <v>99091</v>
      </c>
      <c r="B820" s="1357" t="s">
        <v>3459</v>
      </c>
      <c r="C820" s="1370">
        <v>8538.89</v>
      </c>
      <c r="F820" s="1359"/>
      <c r="M820" s="1360"/>
    </row>
    <row r="821" spans="1:13" x14ac:dyDescent="0.25">
      <c r="A821" s="1357">
        <v>99101</v>
      </c>
      <c r="B821" s="1357" t="s">
        <v>3460</v>
      </c>
      <c r="C821" s="1370">
        <v>1063529.71</v>
      </c>
      <c r="F821" s="1359"/>
      <c r="M821" s="1360"/>
    </row>
    <row r="822" spans="1:13" x14ac:dyDescent="0.25">
      <c r="A822" s="1357">
        <v>99104</v>
      </c>
      <c r="B822" s="1357" t="s">
        <v>3461</v>
      </c>
      <c r="C822" s="1370">
        <v>27904.52</v>
      </c>
      <c r="F822" s="1359"/>
      <c r="M822" s="1360"/>
    </row>
    <row r="823" spans="1:13" x14ac:dyDescent="0.25">
      <c r="A823" s="1357">
        <v>99109</v>
      </c>
      <c r="B823" s="1357" t="s">
        <v>3462</v>
      </c>
      <c r="C823" s="1370">
        <v>61735.47</v>
      </c>
      <c r="F823" s="1359"/>
      <c r="M823" s="1360"/>
    </row>
    <row r="824" spans="1:13" x14ac:dyDescent="0.25">
      <c r="A824" s="1357">
        <v>99110</v>
      </c>
      <c r="B824" s="1357" t="s">
        <v>3463</v>
      </c>
      <c r="C824" s="1370">
        <v>128752.07</v>
      </c>
      <c r="F824" s="1359"/>
      <c r="M824" s="1360"/>
    </row>
    <row r="825" spans="1:13" x14ac:dyDescent="0.25">
      <c r="A825" s="1357">
        <v>99111</v>
      </c>
      <c r="B825" s="1357" t="s">
        <v>3464</v>
      </c>
      <c r="C825" s="1370">
        <v>658079.44999999995</v>
      </c>
      <c r="F825" s="1359"/>
      <c r="M825" s="1360"/>
    </row>
    <row r="826" spans="1:13" x14ac:dyDescent="0.25">
      <c r="A826" s="1357">
        <v>99201</v>
      </c>
      <c r="B826" s="1382" t="s">
        <v>3465</v>
      </c>
      <c r="C826" s="1383">
        <v>18310367.219999999</v>
      </c>
      <c r="D826" s="1357" t="s">
        <v>4829</v>
      </c>
      <c r="F826" s="1359"/>
      <c r="M826" s="1360"/>
    </row>
    <row r="827" spans="1:13" x14ac:dyDescent="0.25">
      <c r="A827" s="1357">
        <v>99202</v>
      </c>
      <c r="B827" s="1357" t="s">
        <v>3466</v>
      </c>
      <c r="C827" s="1370">
        <v>1352067.7</v>
      </c>
      <c r="F827" s="1359"/>
      <c r="M827" s="1360"/>
    </row>
    <row r="828" spans="1:13" x14ac:dyDescent="0.25">
      <c r="A828" s="1357">
        <v>99203</v>
      </c>
      <c r="B828" s="1357" t="s">
        <v>3467</v>
      </c>
      <c r="C828" s="1370">
        <v>171885.6</v>
      </c>
      <c r="F828" s="1359"/>
      <c r="M828" s="1360"/>
    </row>
    <row r="829" spans="1:13" x14ac:dyDescent="0.25">
      <c r="A829" s="1357">
        <v>99204</v>
      </c>
      <c r="B829" s="1357" t="s">
        <v>3468</v>
      </c>
      <c r="C829" s="1370">
        <v>483858.37</v>
      </c>
      <c r="F829" s="1359"/>
      <c r="M829" s="1360"/>
    </row>
    <row r="830" spans="1:13" x14ac:dyDescent="0.25">
      <c r="A830" s="1357">
        <v>99206</v>
      </c>
      <c r="B830" s="1357" t="s">
        <v>3469</v>
      </c>
      <c r="C830" s="1370">
        <v>845536.17</v>
      </c>
      <c r="F830" s="1359"/>
      <c r="M830" s="1360"/>
    </row>
    <row r="831" spans="1:13" x14ac:dyDescent="0.25">
      <c r="A831" s="1357">
        <v>99207</v>
      </c>
      <c r="B831" s="1357" t="s">
        <v>3695</v>
      </c>
      <c r="C831" s="1370">
        <v>201292.79999999999</v>
      </c>
      <c r="F831" s="1359"/>
      <c r="M831" s="1360"/>
    </row>
    <row r="832" spans="1:13" x14ac:dyDescent="0.25">
      <c r="A832" s="1357">
        <v>99208</v>
      </c>
      <c r="B832" s="1357" t="s">
        <v>3471</v>
      </c>
      <c r="C832" s="1370">
        <v>122693.87</v>
      </c>
      <c r="F832" s="1359"/>
      <c r="M832" s="1360"/>
    </row>
    <row r="833" spans="1:13" x14ac:dyDescent="0.25">
      <c r="A833" s="1357">
        <v>99210</v>
      </c>
      <c r="B833" s="1357" t="s">
        <v>3472</v>
      </c>
      <c r="C833" s="1370">
        <v>1026852.15</v>
      </c>
      <c r="F833" s="1359"/>
      <c r="M833" s="1360"/>
    </row>
    <row r="834" spans="1:13" x14ac:dyDescent="0.25">
      <c r="A834" s="1357">
        <v>99211</v>
      </c>
      <c r="B834" s="1357" t="s">
        <v>3473</v>
      </c>
      <c r="C834" s="1370">
        <v>19516825.870000001</v>
      </c>
      <c r="F834" s="1359"/>
      <c r="M834" s="1360"/>
    </row>
    <row r="835" spans="1:13" x14ac:dyDescent="0.25">
      <c r="A835" s="1357">
        <v>99212</v>
      </c>
      <c r="B835" s="1357" t="s">
        <v>3474</v>
      </c>
      <c r="C835" s="1370">
        <v>34625.85</v>
      </c>
      <c r="F835" s="1359"/>
      <c r="M835" s="1360"/>
    </row>
    <row r="836" spans="1:13" x14ac:dyDescent="0.25">
      <c r="A836" s="1357">
        <v>99213</v>
      </c>
      <c r="B836" s="1357" t="s">
        <v>3475</v>
      </c>
      <c r="C836" s="1370">
        <v>369196.19</v>
      </c>
      <c r="F836" s="1359"/>
      <c r="M836" s="1360"/>
    </row>
    <row r="837" spans="1:13" x14ac:dyDescent="0.25">
      <c r="A837" s="1357">
        <v>99218</v>
      </c>
      <c r="B837" s="1357" t="s">
        <v>3476</v>
      </c>
      <c r="C837" s="1370">
        <v>1864163.43</v>
      </c>
      <c r="F837" s="1359"/>
      <c r="M837" s="1360"/>
    </row>
    <row r="838" spans="1:13" x14ac:dyDescent="0.25">
      <c r="A838" s="1357">
        <v>99221</v>
      </c>
      <c r="B838" s="1357" t="s">
        <v>3477</v>
      </c>
      <c r="C838" s="1370">
        <v>6590863.1299999999</v>
      </c>
      <c r="F838" s="1359"/>
      <c r="M838" s="1360"/>
    </row>
    <row r="839" spans="1:13" x14ac:dyDescent="0.25">
      <c r="A839" s="1357">
        <v>99222</v>
      </c>
      <c r="B839" s="1357" t="s">
        <v>3478</v>
      </c>
      <c r="C839" s="1370">
        <v>17595.79</v>
      </c>
      <c r="F839" s="1359"/>
      <c r="M839" s="1360"/>
    </row>
    <row r="840" spans="1:13" x14ac:dyDescent="0.25">
      <c r="A840" s="1357">
        <v>99231</v>
      </c>
      <c r="B840" s="1357" t="s">
        <v>3479</v>
      </c>
      <c r="C840" s="1370">
        <v>187716.83</v>
      </c>
      <c r="F840" s="1359"/>
      <c r="M840" s="1360"/>
    </row>
    <row r="841" spans="1:13" x14ac:dyDescent="0.25">
      <c r="A841" s="1357">
        <v>99241</v>
      </c>
      <c r="B841" s="1357" t="s">
        <v>3480</v>
      </c>
      <c r="C841" s="1370">
        <v>277114.7</v>
      </c>
      <c r="F841" s="1359"/>
      <c r="M841" s="1360"/>
    </row>
    <row r="842" spans="1:13" x14ac:dyDescent="0.25">
      <c r="A842" s="1357">
        <v>99251</v>
      </c>
      <c r="B842" s="1357" t="s">
        <v>3481</v>
      </c>
      <c r="C842" s="1370">
        <v>831131.54</v>
      </c>
      <c r="F842" s="1359"/>
      <c r="M842" s="1360"/>
    </row>
    <row r="843" spans="1:13" x14ac:dyDescent="0.25">
      <c r="A843" s="1357">
        <v>99252</v>
      </c>
      <c r="B843" s="1357" t="s">
        <v>3482</v>
      </c>
      <c r="C843" s="1370">
        <v>253791.84</v>
      </c>
      <c r="F843" s="1359"/>
      <c r="M843" s="1360"/>
    </row>
    <row r="844" spans="1:13" x14ac:dyDescent="0.25">
      <c r="A844" s="1357">
        <v>99261</v>
      </c>
      <c r="B844" s="1357" t="s">
        <v>3483</v>
      </c>
      <c r="C844" s="1370">
        <v>1034040.67</v>
      </c>
      <c r="F844" s="1359"/>
      <c r="M844" s="1360"/>
    </row>
    <row r="845" spans="1:13" x14ac:dyDescent="0.25">
      <c r="A845" s="1357">
        <v>99271</v>
      </c>
      <c r="B845" s="1357" t="s">
        <v>3484</v>
      </c>
      <c r="C845" s="1370">
        <v>2116047.13</v>
      </c>
      <c r="F845" s="1359"/>
      <c r="M845" s="1360"/>
    </row>
    <row r="846" spans="1:13" x14ac:dyDescent="0.25">
      <c r="A846" s="1357">
        <v>99281</v>
      </c>
      <c r="B846" s="1357" t="s">
        <v>3485</v>
      </c>
      <c r="C846" s="1370">
        <v>1230835.01</v>
      </c>
      <c r="F846" s="1359"/>
      <c r="M846" s="1360"/>
    </row>
    <row r="847" spans="1:13" x14ac:dyDescent="0.25">
      <c r="A847" s="1357">
        <v>99291</v>
      </c>
      <c r="B847" s="1357" t="s">
        <v>3486</v>
      </c>
      <c r="C847" s="1370">
        <v>378307.26</v>
      </c>
      <c r="F847" s="1359"/>
      <c r="M847" s="1360"/>
    </row>
    <row r="848" spans="1:13" x14ac:dyDescent="0.25">
      <c r="A848" s="1357">
        <v>99301</v>
      </c>
      <c r="B848" s="1357" t="s">
        <v>3487</v>
      </c>
      <c r="C848" s="1370">
        <v>845563.06</v>
      </c>
      <c r="F848" s="1359"/>
      <c r="M848" s="1360"/>
    </row>
    <row r="849" spans="1:13" x14ac:dyDescent="0.25">
      <c r="A849" s="1357">
        <v>99304</v>
      </c>
      <c r="B849" s="1357" t="s">
        <v>3488</v>
      </c>
      <c r="C849" s="1370">
        <v>8536.4</v>
      </c>
      <c r="F849" s="1359"/>
      <c r="M849" s="1360"/>
    </row>
    <row r="850" spans="1:13" x14ac:dyDescent="0.25">
      <c r="A850" s="1357">
        <v>99311</v>
      </c>
      <c r="B850" s="1357" t="s">
        <v>3489</v>
      </c>
      <c r="C850" s="1370">
        <v>27314.45</v>
      </c>
      <c r="F850" s="1359"/>
      <c r="M850" s="1360"/>
    </row>
    <row r="851" spans="1:13" x14ac:dyDescent="0.25">
      <c r="A851" s="1357">
        <v>99321</v>
      </c>
      <c r="B851" s="1357" t="s">
        <v>3490</v>
      </c>
      <c r="C851" s="1370">
        <v>102142.15</v>
      </c>
      <c r="F851" s="1359"/>
      <c r="M851" s="1360"/>
    </row>
    <row r="852" spans="1:13" x14ac:dyDescent="0.25">
      <c r="A852" s="1357">
        <v>99401</v>
      </c>
      <c r="B852" s="1357" t="s">
        <v>3491</v>
      </c>
      <c r="C852" s="1370">
        <v>441768.67</v>
      </c>
      <c r="F852" s="1359"/>
      <c r="M852" s="1360"/>
    </row>
    <row r="853" spans="1:13" x14ac:dyDescent="0.25">
      <c r="A853" s="1357">
        <v>99404</v>
      </c>
      <c r="B853" s="1357" t="s">
        <v>3492</v>
      </c>
      <c r="C853" s="1370">
        <v>6125.76</v>
      </c>
      <c r="F853" s="1359"/>
      <c r="M853" s="1360"/>
    </row>
    <row r="854" spans="1:13" x14ac:dyDescent="0.25">
      <c r="A854" s="1357">
        <v>99405</v>
      </c>
      <c r="B854" s="1357" t="s">
        <v>3493</v>
      </c>
      <c r="C854" s="1370">
        <v>41002.129999999997</v>
      </c>
      <c r="F854" s="1359"/>
      <c r="M854" s="1360"/>
    </row>
    <row r="855" spans="1:13" x14ac:dyDescent="0.25">
      <c r="A855" s="1357">
        <v>99411</v>
      </c>
      <c r="B855" s="1357" t="s">
        <v>3494</v>
      </c>
      <c r="C855" s="1370">
        <v>95849.9</v>
      </c>
      <c r="F855" s="1359"/>
      <c r="M855" s="1360"/>
    </row>
    <row r="856" spans="1:13" x14ac:dyDescent="0.25">
      <c r="A856" s="1357">
        <v>99413</v>
      </c>
      <c r="B856" s="1357" t="s">
        <v>3495</v>
      </c>
      <c r="C856" s="1370">
        <v>17376.88</v>
      </c>
      <c r="F856" s="1359"/>
      <c r="M856" s="1360"/>
    </row>
    <row r="857" spans="1:13" x14ac:dyDescent="0.25">
      <c r="A857" s="1357">
        <v>99421</v>
      </c>
      <c r="B857" s="1357" t="s">
        <v>3496</v>
      </c>
      <c r="C857" s="1370">
        <v>6327.37</v>
      </c>
      <c r="F857" s="1359"/>
      <c r="M857" s="1360"/>
    </row>
    <row r="858" spans="1:13" x14ac:dyDescent="0.25">
      <c r="A858" s="1357">
        <v>99431</v>
      </c>
      <c r="B858" s="1357" t="s">
        <v>3497</v>
      </c>
      <c r="C858" s="1370">
        <v>8179.74</v>
      </c>
      <c r="F858" s="1359"/>
      <c r="M858" s="1360"/>
    </row>
    <row r="859" spans="1:13" x14ac:dyDescent="0.25">
      <c r="A859" s="1357">
        <v>99501</v>
      </c>
      <c r="B859" s="1357" t="s">
        <v>3498</v>
      </c>
      <c r="C859" s="1370">
        <v>929542.23</v>
      </c>
      <c r="F859" s="1359"/>
      <c r="M859" s="1360"/>
    </row>
    <row r="860" spans="1:13" x14ac:dyDescent="0.25">
      <c r="A860" s="1357">
        <v>99502</v>
      </c>
      <c r="B860" s="1357" t="s">
        <v>3499</v>
      </c>
      <c r="C860" s="1370">
        <v>73367.100000000006</v>
      </c>
      <c r="F860" s="1359"/>
      <c r="M860" s="1360"/>
    </row>
    <row r="861" spans="1:13" x14ac:dyDescent="0.25">
      <c r="A861" s="1357">
        <v>99508</v>
      </c>
      <c r="B861" s="1357" t="s">
        <v>3500</v>
      </c>
      <c r="C861" s="1370">
        <v>11474.81</v>
      </c>
      <c r="F861" s="1359"/>
      <c r="M861" s="1360"/>
    </row>
    <row r="862" spans="1:13" x14ac:dyDescent="0.25">
      <c r="A862" s="1357">
        <v>99509</v>
      </c>
      <c r="B862" s="1357" t="s">
        <v>3501</v>
      </c>
      <c r="C862" s="1370">
        <v>13482.37</v>
      </c>
      <c r="F862" s="1359"/>
      <c r="M862" s="1360"/>
    </row>
    <row r="863" spans="1:13" x14ac:dyDescent="0.25">
      <c r="A863" s="1357">
        <v>99511</v>
      </c>
      <c r="B863" s="1357" t="s">
        <v>3502</v>
      </c>
      <c r="C863" s="1370">
        <v>648161.24</v>
      </c>
      <c r="F863" s="1359"/>
      <c r="M863" s="1360"/>
    </row>
    <row r="864" spans="1:13" x14ac:dyDescent="0.25">
      <c r="A864" s="1357">
        <v>99521</v>
      </c>
      <c r="B864" s="1357" t="s">
        <v>3503</v>
      </c>
      <c r="C864" s="1370">
        <v>221063.9</v>
      </c>
      <c r="F864" s="1359"/>
      <c r="M864" s="1360"/>
    </row>
    <row r="865" spans="1:13" x14ac:dyDescent="0.25">
      <c r="A865" s="1357">
        <v>99527</v>
      </c>
      <c r="B865" s="1357" t="s">
        <v>3504</v>
      </c>
      <c r="C865" s="1370">
        <v>7218.65</v>
      </c>
      <c r="F865" s="1359"/>
      <c r="M865" s="1360"/>
    </row>
    <row r="866" spans="1:13" x14ac:dyDescent="0.25">
      <c r="A866" s="1357">
        <v>99531</v>
      </c>
      <c r="B866" s="1357" t="s">
        <v>3505</v>
      </c>
      <c r="C866" s="1370">
        <v>80439.8</v>
      </c>
      <c r="F866" s="1359"/>
      <c r="M866" s="1360"/>
    </row>
    <row r="867" spans="1:13" x14ac:dyDescent="0.25">
      <c r="A867" s="1357">
        <v>99601</v>
      </c>
      <c r="B867" s="1357" t="s">
        <v>3506</v>
      </c>
      <c r="C867" s="1370">
        <v>2929349</v>
      </c>
      <c r="F867" s="1359"/>
      <c r="M867" s="1360"/>
    </row>
    <row r="868" spans="1:13" x14ac:dyDescent="0.25">
      <c r="A868" s="1357">
        <v>99602</v>
      </c>
      <c r="B868" s="1357" t="s">
        <v>3507</v>
      </c>
      <c r="C868" s="1370">
        <v>27048.400000000001</v>
      </c>
      <c r="F868" s="1359"/>
      <c r="M868" s="1360"/>
    </row>
    <row r="869" spans="1:13" x14ac:dyDescent="0.25">
      <c r="A869" s="1357">
        <v>99603</v>
      </c>
      <c r="B869" s="1357" t="s">
        <v>3508</v>
      </c>
      <c r="C869" s="1370">
        <v>93955.91</v>
      </c>
      <c r="F869" s="1359"/>
      <c r="M869" s="1360"/>
    </row>
    <row r="870" spans="1:13" x14ac:dyDescent="0.25">
      <c r="A870" s="1357">
        <v>99604</v>
      </c>
      <c r="B870" s="1357" t="s">
        <v>3509</v>
      </c>
      <c r="C870" s="1370">
        <v>60756.54</v>
      </c>
      <c r="F870" s="1359"/>
      <c r="M870" s="1360"/>
    </row>
    <row r="871" spans="1:13" x14ac:dyDescent="0.25">
      <c r="A871" s="1357">
        <v>99609</v>
      </c>
      <c r="B871" s="1357" t="s">
        <v>3510</v>
      </c>
      <c r="C871" s="1370">
        <v>12222.47</v>
      </c>
      <c r="F871" s="1359"/>
      <c r="M871" s="1360"/>
    </row>
    <row r="872" spans="1:13" x14ac:dyDescent="0.25">
      <c r="A872" s="1357">
        <v>99610</v>
      </c>
      <c r="B872" s="1357" t="s">
        <v>3511</v>
      </c>
      <c r="C872" s="1370">
        <v>96910.04</v>
      </c>
      <c r="F872" s="1359"/>
      <c r="M872" s="1360"/>
    </row>
    <row r="873" spans="1:13" x14ac:dyDescent="0.25">
      <c r="A873" s="1357">
        <v>99611</v>
      </c>
      <c r="B873" s="1357" t="s">
        <v>3512</v>
      </c>
      <c r="C873" s="1370">
        <v>1650256.71</v>
      </c>
      <c r="F873" s="1359"/>
      <c r="M873" s="1360"/>
    </row>
    <row r="874" spans="1:13" x14ac:dyDescent="0.25">
      <c r="A874" s="1357">
        <v>99613</v>
      </c>
      <c r="B874" s="1357" t="s">
        <v>3513</v>
      </c>
      <c r="C874" s="1370">
        <v>181222.44</v>
      </c>
      <c r="F874" s="1359"/>
      <c r="M874" s="1360"/>
    </row>
    <row r="875" spans="1:13" x14ac:dyDescent="0.25">
      <c r="A875" s="1357">
        <v>99621</v>
      </c>
      <c r="B875" s="1357" t="s">
        <v>3514</v>
      </c>
      <c r="C875" s="1370">
        <v>179701.52</v>
      </c>
      <c r="F875" s="1359"/>
      <c r="M875" s="1360"/>
    </row>
    <row r="876" spans="1:13" x14ac:dyDescent="0.25">
      <c r="A876" s="1357">
        <v>99623</v>
      </c>
      <c r="B876" s="1357" t="s">
        <v>3515</v>
      </c>
      <c r="C876" s="1370">
        <v>7056.34</v>
      </c>
      <c r="F876" s="1359"/>
      <c r="M876" s="1360"/>
    </row>
    <row r="877" spans="1:13" x14ac:dyDescent="0.25">
      <c r="A877" s="1357">
        <v>99631</v>
      </c>
      <c r="B877" s="1357" t="s">
        <v>3516</v>
      </c>
      <c r="C877" s="1370">
        <v>48309.46</v>
      </c>
      <c r="F877" s="1359"/>
      <c r="M877" s="1360"/>
    </row>
    <row r="878" spans="1:13" x14ac:dyDescent="0.25">
      <c r="A878" s="1357">
        <v>99651</v>
      </c>
      <c r="B878" s="1357" t="s">
        <v>3517</v>
      </c>
      <c r="C878" s="1370">
        <v>35232.94</v>
      </c>
      <c r="F878" s="1359"/>
      <c r="M878" s="1360"/>
    </row>
    <row r="879" spans="1:13" x14ac:dyDescent="0.25">
      <c r="A879" s="1357">
        <v>99661</v>
      </c>
      <c r="B879" s="1357" t="s">
        <v>3518</v>
      </c>
      <c r="C879" s="1370">
        <v>50110.45</v>
      </c>
      <c r="F879" s="1359"/>
      <c r="M879" s="1360"/>
    </row>
    <row r="880" spans="1:13" x14ac:dyDescent="0.25">
      <c r="A880" s="1357">
        <v>99701</v>
      </c>
      <c r="B880" s="1357" t="s">
        <v>3519</v>
      </c>
      <c r="C880" s="1370">
        <v>1535406.56</v>
      </c>
      <c r="F880" s="1359"/>
      <c r="M880" s="1360"/>
    </row>
    <row r="881" spans="1:15" x14ac:dyDescent="0.25">
      <c r="A881" s="1357">
        <v>99705</v>
      </c>
      <c r="B881" s="1357" t="s">
        <v>3520</v>
      </c>
      <c r="C881" s="1370">
        <v>103448.72</v>
      </c>
      <c r="F881" s="1359"/>
      <c r="M881" s="1360"/>
    </row>
    <row r="882" spans="1:15" x14ac:dyDescent="0.25">
      <c r="A882" s="1357">
        <v>99711</v>
      </c>
      <c r="B882" s="1357" t="s">
        <v>3521</v>
      </c>
      <c r="C882" s="1370">
        <v>236603.96</v>
      </c>
      <c r="F882" s="1359"/>
      <c r="M882" s="1360"/>
    </row>
    <row r="883" spans="1:15" x14ac:dyDescent="0.25">
      <c r="A883" s="1357">
        <v>99717</v>
      </c>
      <c r="B883" s="1357" t="s">
        <v>3522</v>
      </c>
      <c r="C883" s="1370">
        <v>10021.69</v>
      </c>
      <c r="F883" s="1359"/>
      <c r="M883" s="1360"/>
    </row>
    <row r="884" spans="1:15" x14ac:dyDescent="0.25">
      <c r="A884" s="1357">
        <v>99721</v>
      </c>
      <c r="B884" s="1357" t="s">
        <v>3523</v>
      </c>
      <c r="C884" s="1370">
        <v>301573.78999999998</v>
      </c>
      <c r="F884" s="1359"/>
      <c r="M884" s="1360"/>
    </row>
    <row r="885" spans="1:15" x14ac:dyDescent="0.25">
      <c r="A885" s="1357">
        <v>99727</v>
      </c>
      <c r="B885" s="1357" t="s">
        <v>3524</v>
      </c>
      <c r="C885" s="1370">
        <v>47853.68</v>
      </c>
      <c r="F885" s="1359"/>
      <c r="M885" s="1360"/>
    </row>
    <row r="886" spans="1:15" x14ac:dyDescent="0.25">
      <c r="A886" s="1357">
        <v>99801</v>
      </c>
      <c r="B886" s="1357" t="s">
        <v>3525</v>
      </c>
      <c r="C886" s="1370">
        <v>2413658.79</v>
      </c>
      <c r="F886" s="1359"/>
      <c r="M886" s="1360"/>
    </row>
    <row r="887" spans="1:15" x14ac:dyDescent="0.25">
      <c r="A887" s="1357">
        <v>99802</v>
      </c>
      <c r="B887" s="1357" t="s">
        <v>3526</v>
      </c>
      <c r="C887" s="1370">
        <v>7863.72</v>
      </c>
      <c r="F887" s="1359"/>
      <c r="M887" s="1360"/>
    </row>
    <row r="888" spans="1:15" x14ac:dyDescent="0.25">
      <c r="A888" s="1357">
        <v>99804</v>
      </c>
      <c r="B888" s="1357" t="s">
        <v>3527</v>
      </c>
      <c r="C888" s="1370">
        <v>49647.28</v>
      </c>
      <c r="F888" s="1359"/>
      <c r="M888" s="1360"/>
    </row>
    <row r="889" spans="1:15" x14ac:dyDescent="0.25">
      <c r="A889" s="1357">
        <v>99811</v>
      </c>
      <c r="B889" s="1357" t="s">
        <v>3528</v>
      </c>
      <c r="C889" s="1370">
        <v>3255140.88</v>
      </c>
      <c r="F889" s="1359"/>
      <c r="M889" s="1360"/>
    </row>
    <row r="890" spans="1:15" x14ac:dyDescent="0.25">
      <c r="A890" s="1357">
        <v>99812</v>
      </c>
      <c r="B890" s="1357" t="s">
        <v>3529</v>
      </c>
      <c r="C890" s="1370">
        <v>22565.64</v>
      </c>
      <c r="F890" s="1359"/>
      <c r="M890" s="1360"/>
    </row>
    <row r="891" spans="1:15" x14ac:dyDescent="0.25">
      <c r="A891" s="1357">
        <v>99818</v>
      </c>
      <c r="B891" s="1357" t="s">
        <v>3530</v>
      </c>
      <c r="C891" s="1370">
        <v>15169.44</v>
      </c>
      <c r="F891" s="1359"/>
      <c r="M891" s="1360"/>
    </row>
    <row r="892" spans="1:15" x14ac:dyDescent="0.25">
      <c r="A892" s="1357">
        <v>99821</v>
      </c>
      <c r="B892" s="1357" t="s">
        <v>3531</v>
      </c>
      <c r="C892" s="1370">
        <v>54378.720000000001</v>
      </c>
      <c r="F892" s="1359"/>
      <c r="M892" s="1360"/>
    </row>
    <row r="893" spans="1:15" x14ac:dyDescent="0.25">
      <c r="A893" s="1357">
        <v>99831</v>
      </c>
      <c r="B893" s="1357" t="s">
        <v>3532</v>
      </c>
      <c r="C893" s="1370">
        <v>32536.22</v>
      </c>
      <c r="F893" s="1359"/>
      <c r="M893" s="1360"/>
    </row>
    <row r="894" spans="1:15" x14ac:dyDescent="0.25">
      <c r="A894" s="1357">
        <v>99841</v>
      </c>
      <c r="B894" s="1357" t="s">
        <v>3533</v>
      </c>
      <c r="C894" s="1370">
        <v>14928.34</v>
      </c>
      <c r="H894" s="1359"/>
      <c r="M894" s="1360"/>
      <c r="O894" s="1360"/>
    </row>
    <row r="895" spans="1:15" x14ac:dyDescent="0.25">
      <c r="A895" s="1357">
        <v>99851</v>
      </c>
      <c r="B895" s="1357" t="s">
        <v>3534</v>
      </c>
      <c r="C895" s="1370">
        <v>5845.95</v>
      </c>
      <c r="F895" s="1359"/>
      <c r="M895" s="1360"/>
    </row>
    <row r="896" spans="1:15" x14ac:dyDescent="0.25">
      <c r="A896" s="1357">
        <v>99901</v>
      </c>
      <c r="B896" s="1357" t="s">
        <v>3535</v>
      </c>
      <c r="C896" s="1370">
        <v>808549.55</v>
      </c>
      <c r="F896" s="1359"/>
      <c r="M896" s="1360"/>
    </row>
    <row r="897" spans="1:13" x14ac:dyDescent="0.25">
      <c r="A897" s="1357">
        <v>99911</v>
      </c>
      <c r="B897" s="1357" t="s">
        <v>3536</v>
      </c>
      <c r="C897" s="1370">
        <v>140611.01</v>
      </c>
      <c r="F897" s="1359"/>
      <c r="M897" s="1360"/>
    </row>
    <row r="898" spans="1:13" x14ac:dyDescent="0.25">
      <c r="A898" s="1357">
        <v>99921</v>
      </c>
      <c r="B898" s="1357" t="s">
        <v>3537</v>
      </c>
      <c r="C898" s="1370">
        <v>71036.100000000006</v>
      </c>
      <c r="F898" s="1359"/>
      <c r="M898" s="1360"/>
    </row>
    <row r="899" spans="1:13" x14ac:dyDescent="0.25">
      <c r="A899" s="1357">
        <v>99931</v>
      </c>
      <c r="B899" s="1357" t="s">
        <v>3538</v>
      </c>
      <c r="C899" s="1370">
        <v>10998.46</v>
      </c>
      <c r="F899" s="1359"/>
      <c r="M899" s="1384"/>
    </row>
    <row r="900" spans="1:13" x14ac:dyDescent="0.25">
      <c r="A900" s="1357">
        <v>99941</v>
      </c>
      <c r="B900" s="1357" t="s">
        <v>3539</v>
      </c>
      <c r="C900" s="1370">
        <v>32467.22</v>
      </c>
      <c r="F900" s="1359"/>
      <c r="M900" s="1360"/>
    </row>
    <row r="901" spans="1:13" x14ac:dyDescent="0.25">
      <c r="A901" s="1357">
        <v>99991</v>
      </c>
      <c r="B901" s="1357" t="s">
        <v>3540</v>
      </c>
      <c r="C901" s="1370">
        <v>269354.76</v>
      </c>
      <c r="F901" s="1359"/>
      <c r="M901" s="1360"/>
    </row>
    <row r="902" spans="1:13" x14ac:dyDescent="0.25">
      <c r="A902" s="1357">
        <v>99999</v>
      </c>
      <c r="B902" s="1357" t="s">
        <v>3541</v>
      </c>
      <c r="C902" s="1370">
        <v>598364.74</v>
      </c>
      <c r="F902" s="1359"/>
      <c r="M902" s="1384"/>
    </row>
    <row r="903" spans="1:13" x14ac:dyDescent="0.25">
      <c r="F903" s="1359"/>
      <c r="M903" s="1360"/>
    </row>
    <row r="928" spans="1:1" x14ac:dyDescent="0.25">
      <c r="A928" s="1357" t="s">
        <v>4818</v>
      </c>
    </row>
    <row r="929" spans="1:3" x14ac:dyDescent="0.25">
      <c r="A929" s="1357">
        <v>91119</v>
      </c>
      <c r="B929" s="1357" t="s">
        <v>1289</v>
      </c>
      <c r="C929" s="1370">
        <v>0</v>
      </c>
    </row>
    <row r="930" spans="1:3" x14ac:dyDescent="0.25">
      <c r="A930" s="1357">
        <v>92414</v>
      </c>
      <c r="B930" s="1357" t="s">
        <v>4278</v>
      </c>
      <c r="C930" s="1370">
        <v>0</v>
      </c>
    </row>
    <row r="931" spans="1:3" x14ac:dyDescent="0.25">
      <c r="A931" s="1357">
        <v>92608</v>
      </c>
      <c r="B931" s="1357" t="s">
        <v>2899</v>
      </c>
      <c r="C931" s="1370">
        <v>0</v>
      </c>
    </row>
    <row r="932" spans="1:3" x14ac:dyDescent="0.25">
      <c r="A932" s="1357">
        <v>93408</v>
      </c>
      <c r="B932" s="1357" t="s">
        <v>2969</v>
      </c>
      <c r="C932" s="1370">
        <v>0</v>
      </c>
    </row>
    <row r="933" spans="1:3" x14ac:dyDescent="0.25">
      <c r="A933" s="1357">
        <v>94402</v>
      </c>
      <c r="B933" s="1357" t="s">
        <v>3064</v>
      </c>
      <c r="C933" s="1370">
        <v>0</v>
      </c>
    </row>
    <row r="934" spans="1:3" x14ac:dyDescent="0.25">
      <c r="A934" s="1357">
        <v>95412</v>
      </c>
      <c r="B934" s="1357" t="s">
        <v>3144</v>
      </c>
      <c r="C934" s="1370">
        <v>0</v>
      </c>
    </row>
    <row r="935" spans="1:3" x14ac:dyDescent="0.25">
      <c r="A935" s="1357">
        <v>93202</v>
      </c>
      <c r="B935" s="1357" t="s">
        <v>2948</v>
      </c>
      <c r="C935" s="1370">
        <v>0</v>
      </c>
    </row>
    <row r="936" spans="1:3" x14ac:dyDescent="0.25">
      <c r="A936" s="1357">
        <v>93677</v>
      </c>
      <c r="B936" s="1357" t="s">
        <v>1522</v>
      </c>
      <c r="C936" s="1370">
        <v>0</v>
      </c>
    </row>
    <row r="937" spans="1:3" x14ac:dyDescent="0.25">
      <c r="A937" s="1357">
        <v>94512</v>
      </c>
      <c r="B937" s="1357" t="s">
        <v>3075</v>
      </c>
      <c r="C937" s="1370">
        <v>0</v>
      </c>
    </row>
    <row r="938" spans="1:3" x14ac:dyDescent="0.25">
      <c r="A938" s="1357">
        <v>97010</v>
      </c>
      <c r="B938" s="1357" t="s">
        <v>3276</v>
      </c>
      <c r="C938" s="1370">
        <v>0</v>
      </c>
    </row>
    <row r="939" spans="1:3" x14ac:dyDescent="0.25">
      <c r="A939" s="1357">
        <v>97491</v>
      </c>
      <c r="B939" s="1357" t="s">
        <v>4374</v>
      </c>
    </row>
    <row r="2366" spans="1:1" x14ac:dyDescent="0.25">
      <c r="A2366" s="1385"/>
    </row>
  </sheetData>
  <sheetProtection algorithmName="SHA-512" hashValue="8cYlT9yHoNmXPneqpdd2tCpGYYrrXozgKbV7XdQlpC0NP6mlLopuns9xdPFswMp/3G3a2gw6j0Z9J9m9UWZEFw==" saltValue="6bo7P+nPqCsaJPy3k0cmlA==" spinCount="100000" sheet="1" objects="1" scenarios="1"/>
  <pageMargins left="0.7" right="0.7" top="0.75" bottom="0.75" header="0.3" footer="0.3"/>
  <pageSetup orientation="portrait" r:id="rId1"/>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2:AA129"/>
  <sheetViews>
    <sheetView topLeftCell="A11" zoomScale="90" zoomScaleNormal="90" workbookViewId="0">
      <selection activeCell="C14" sqref="C14"/>
    </sheetView>
  </sheetViews>
  <sheetFormatPr defaultRowHeight="12.75" x14ac:dyDescent="0.2"/>
  <cols>
    <col min="1" max="1" width="15.28515625" customWidth="1"/>
    <col min="2" max="2" width="55.5703125" bestFit="1" customWidth="1"/>
    <col min="3" max="3" width="22.5703125" customWidth="1"/>
    <col min="4" max="4" width="21.42578125" customWidth="1"/>
    <col min="5" max="5" width="18.28515625" customWidth="1"/>
    <col min="6" max="6" width="31.140625" customWidth="1"/>
    <col min="7" max="7" width="18.28515625" customWidth="1"/>
    <col min="8" max="8" width="20" customWidth="1"/>
    <col min="9" max="9" width="2.7109375" customWidth="1"/>
    <col min="10" max="10" width="19.42578125" customWidth="1"/>
    <col min="11" max="11" width="17.28515625" customWidth="1"/>
    <col min="12" max="12" width="18.28515625" customWidth="1"/>
    <col min="13" max="13" width="20" customWidth="1"/>
    <col min="14" max="14" width="2.7109375" customWidth="1"/>
    <col min="15" max="15" width="19.42578125" customWidth="1"/>
    <col min="16" max="16" width="17.42578125" customWidth="1"/>
    <col min="17" max="17" width="13.85546875" customWidth="1"/>
    <col min="18" max="18" width="16.7109375" customWidth="1"/>
    <col min="19" max="19" width="2.7109375" customWidth="1"/>
    <col min="20" max="20" width="11.7109375" customWidth="1"/>
    <col min="21" max="21" width="25.7109375" customWidth="1"/>
    <col min="22" max="22" width="15" bestFit="1" customWidth="1"/>
  </cols>
  <sheetData>
    <row r="2" spans="1:27" ht="15.75" x14ac:dyDescent="0.25">
      <c r="A2" s="1621" t="s">
        <v>2062</v>
      </c>
      <c r="B2" s="1622"/>
      <c r="C2" s="1623"/>
    </row>
    <row r="5" spans="1:27" ht="104.25" customHeight="1" x14ac:dyDescent="0.2">
      <c r="A5" s="1634" t="s">
        <v>3640</v>
      </c>
      <c r="B5" s="1634"/>
      <c r="C5" s="1634"/>
    </row>
    <row r="11" spans="1:27" ht="15" x14ac:dyDescent="0.2">
      <c r="A11" s="679" t="s">
        <v>547</v>
      </c>
      <c r="B11" s="680" t="s">
        <v>2063</v>
      </c>
      <c r="C11" s="681"/>
    </row>
    <row r="14" spans="1:27" x14ac:dyDescent="0.2">
      <c r="B14" s="19" t="s">
        <v>2061</v>
      </c>
      <c r="C14" s="753" t="s">
        <v>4114</v>
      </c>
    </row>
    <row r="16" spans="1:27" ht="38.25" x14ac:dyDescent="0.2">
      <c r="A16" s="687" t="s">
        <v>548</v>
      </c>
      <c r="B16" s="759" t="s">
        <v>4805</v>
      </c>
      <c r="C16" s="789"/>
      <c r="D16" s="758"/>
      <c r="E16" s="864" t="s">
        <v>4802</v>
      </c>
      <c r="F16" s="758"/>
      <c r="G16" s="758"/>
      <c r="H16" s="758"/>
      <c r="I16" s="758"/>
      <c r="J16" s="758"/>
      <c r="K16" s="758"/>
      <c r="L16" s="758"/>
      <c r="M16" s="758"/>
      <c r="N16" s="758"/>
      <c r="O16" s="758"/>
      <c r="P16" s="758"/>
      <c r="Q16" s="758"/>
      <c r="R16" s="758"/>
      <c r="S16" s="758"/>
      <c r="T16" s="758"/>
      <c r="U16" s="758"/>
      <c r="V16" s="758"/>
      <c r="W16" s="758"/>
      <c r="X16" s="758"/>
      <c r="Y16" s="758"/>
      <c r="Z16" s="758"/>
      <c r="AA16" s="758"/>
    </row>
    <row r="17" spans="1:27" s="756" customFormat="1" x14ac:dyDescent="0.2">
      <c r="A17" s="758"/>
      <c r="B17" s="758"/>
      <c r="C17" s="758"/>
      <c r="D17" s="758"/>
      <c r="E17" s="758"/>
      <c r="F17" s="758"/>
      <c r="G17" s="758"/>
      <c r="H17" s="758"/>
      <c r="I17" s="758"/>
      <c r="J17" s="758"/>
      <c r="K17" s="758"/>
      <c r="L17" s="758"/>
      <c r="M17" s="758"/>
      <c r="N17" s="758"/>
      <c r="O17" s="758"/>
      <c r="P17" s="758"/>
      <c r="Q17" s="758"/>
      <c r="R17" s="758"/>
      <c r="S17" s="758"/>
      <c r="T17" s="758"/>
      <c r="U17" s="758"/>
      <c r="V17" s="758"/>
      <c r="W17" s="758"/>
      <c r="X17" s="758"/>
      <c r="Y17" s="758"/>
      <c r="Z17" s="758"/>
      <c r="AA17" s="758"/>
    </row>
    <row r="18" spans="1:27" s="756" customFormat="1" hidden="1" x14ac:dyDescent="0.2">
      <c r="C18" s="756">
        <v>2</v>
      </c>
      <c r="D18" s="756">
        <v>3</v>
      </c>
      <c r="F18" s="756">
        <v>4</v>
      </c>
      <c r="G18" s="756">
        <v>5</v>
      </c>
      <c r="H18" s="756">
        <v>6</v>
      </c>
      <c r="I18" s="756">
        <v>7</v>
      </c>
      <c r="J18" s="756">
        <v>8</v>
      </c>
      <c r="K18" s="756">
        <v>9</v>
      </c>
      <c r="L18" s="756">
        <v>10</v>
      </c>
      <c r="M18" s="756">
        <v>11</v>
      </c>
      <c r="N18" s="756">
        <v>12</v>
      </c>
      <c r="O18" s="756">
        <v>13</v>
      </c>
      <c r="P18" s="756">
        <v>14</v>
      </c>
      <c r="Q18" s="756">
        <v>15</v>
      </c>
      <c r="R18" s="756">
        <v>16</v>
      </c>
      <c r="S18" s="756">
        <v>17</v>
      </c>
      <c r="T18" s="756">
        <v>18</v>
      </c>
      <c r="U18" s="756">
        <v>19</v>
      </c>
      <c r="V18" s="756">
        <v>20</v>
      </c>
      <c r="W18" s="758"/>
      <c r="X18" s="758"/>
      <c r="Y18" s="758"/>
      <c r="Z18" s="758"/>
      <c r="AA18" s="758"/>
    </row>
    <row r="19" spans="1:27" s="756" customFormat="1" ht="15" x14ac:dyDescent="0.25">
      <c r="F19" s="60"/>
      <c r="G19" s="60"/>
      <c r="J19" s="677" t="s">
        <v>1171</v>
      </c>
      <c r="K19" s="677"/>
      <c r="L19" s="677"/>
      <c r="M19" s="677"/>
      <c r="O19" s="677" t="s">
        <v>1172</v>
      </c>
      <c r="P19" s="677"/>
      <c r="Q19" s="677"/>
      <c r="R19" s="677"/>
      <c r="T19" s="677" t="s">
        <v>1173</v>
      </c>
      <c r="U19" s="677"/>
      <c r="V19" s="677"/>
      <c r="W19" s="758"/>
      <c r="X19" s="758"/>
      <c r="Y19" s="758"/>
      <c r="Z19" s="758"/>
      <c r="AA19" s="758"/>
    </row>
    <row r="20" spans="1:27" s="756" customFormat="1" ht="135" x14ac:dyDescent="0.25">
      <c r="A20" s="678"/>
      <c r="B20" s="678" t="s">
        <v>1175</v>
      </c>
      <c r="C20" s="678" t="s">
        <v>2113</v>
      </c>
      <c r="D20" s="678" t="s">
        <v>2114</v>
      </c>
      <c r="E20" s="678" t="s">
        <v>2115</v>
      </c>
      <c r="F20" s="678" t="s">
        <v>2116</v>
      </c>
      <c r="G20" s="678" t="s">
        <v>3606</v>
      </c>
      <c r="H20" s="678" t="s">
        <v>3607</v>
      </c>
      <c r="I20" s="678"/>
      <c r="J20" s="678" t="s">
        <v>1177</v>
      </c>
      <c r="K20" s="678" t="s">
        <v>1178</v>
      </c>
      <c r="L20" s="678" t="s">
        <v>1179</v>
      </c>
      <c r="M20" s="678" t="s">
        <v>1180</v>
      </c>
      <c r="N20" s="678"/>
      <c r="O20" s="678" t="s">
        <v>1177</v>
      </c>
      <c r="P20" s="678" t="s">
        <v>1178</v>
      </c>
      <c r="Q20" s="678" t="s">
        <v>1179</v>
      </c>
      <c r="R20" s="678" t="s">
        <v>1180</v>
      </c>
      <c r="S20" s="678"/>
      <c r="T20" s="678" t="s">
        <v>1181</v>
      </c>
      <c r="U20" s="678" t="s">
        <v>1182</v>
      </c>
      <c r="V20" s="678" t="s">
        <v>2119</v>
      </c>
      <c r="W20" s="758"/>
      <c r="X20" s="758"/>
      <c r="Y20" s="758"/>
      <c r="Z20" s="758"/>
      <c r="AA20" s="758"/>
    </row>
    <row r="21" spans="1:27" s="756" customFormat="1" ht="15" x14ac:dyDescent="0.25">
      <c r="A21" s="678"/>
      <c r="B21" s="678"/>
      <c r="C21" s="678"/>
      <c r="D21" s="678"/>
      <c r="E21" s="678"/>
      <c r="F21" s="678"/>
      <c r="G21" s="678"/>
      <c r="H21" s="678"/>
      <c r="I21" s="678"/>
      <c r="J21" s="678"/>
      <c r="K21" s="678"/>
      <c r="L21" s="678"/>
      <c r="M21" s="678"/>
      <c r="N21" s="678"/>
      <c r="O21" s="678"/>
      <c r="P21" s="678"/>
      <c r="Q21" s="678"/>
      <c r="R21" s="678"/>
      <c r="S21" s="678"/>
      <c r="T21" s="678"/>
      <c r="U21" s="678"/>
      <c r="V21" s="678"/>
      <c r="W21" s="758"/>
      <c r="X21" s="758"/>
      <c r="Y21" s="758"/>
      <c r="Z21" s="758"/>
      <c r="AA21" s="758"/>
    </row>
    <row r="22" spans="1:27" s="1196" customFormat="1" ht="15" x14ac:dyDescent="0.25">
      <c r="A22" s="1201" t="s">
        <v>2120</v>
      </c>
      <c r="B22" s="1197" t="s">
        <v>4806</v>
      </c>
      <c r="C22" s="1201"/>
      <c r="D22" s="1201"/>
      <c r="E22" s="1201"/>
      <c r="F22" s="1201"/>
      <c r="G22" s="1201"/>
      <c r="H22" s="1201"/>
      <c r="I22" s="1201"/>
      <c r="J22" s="1201"/>
      <c r="K22" s="1201"/>
      <c r="L22" s="1201"/>
      <c r="M22" s="1201"/>
      <c r="N22" s="1201"/>
      <c r="O22" s="1201"/>
      <c r="P22" s="1201"/>
      <c r="Q22" s="1201"/>
      <c r="R22" s="1201"/>
      <c r="S22" s="1201"/>
      <c r="T22" s="1201"/>
      <c r="U22" s="1201"/>
      <c r="V22" s="1201"/>
    </row>
    <row r="23" spans="1:27" s="1196" customFormat="1" x14ac:dyDescent="0.2">
      <c r="B23" s="777" t="str">
        <f>C14</f>
        <v>NO AGENCY CHOSEN</v>
      </c>
      <c r="C23" s="778">
        <f>VLOOKUP($B$23,'2021 Summary ROD'!$A$6:$R$107,2,FALSE)</f>
        <v>0</v>
      </c>
      <c r="D23" s="778">
        <f>VLOOKUP($B$23,'2021 Summary ROD'!$A$6:$R$107,3,FALSE)</f>
        <v>0</v>
      </c>
      <c r="E23" s="778">
        <f>C23-D23</f>
        <v>0</v>
      </c>
      <c r="F23" s="36">
        <f>VLOOKUP($B$23,'2020 Contributions ROD'!$A$2:$BT$103,2,FALSE)</f>
        <v>0</v>
      </c>
      <c r="G23" s="36">
        <f>H28</f>
        <v>0</v>
      </c>
      <c r="H23" s="36">
        <f>VLOOKUP($B$23,'2021 Summary ROD'!$A$6:$R$107,4,FALSE)</f>
        <v>0</v>
      </c>
      <c r="I23" s="36"/>
      <c r="J23" s="36">
        <f>VLOOKUP($B$23,'2021 Summary ROD'!$A$6:$R$107,6,FALSE)</f>
        <v>0</v>
      </c>
      <c r="K23" s="36">
        <f>VLOOKUP($B$23,'2021 Summary ROD'!$A$6:$R$107,7,FALSE)</f>
        <v>0</v>
      </c>
      <c r="L23" s="36">
        <f>VLOOKUP($B$23,'2021 Summary ROD'!$A$6:$R$107,8,FALSE)</f>
        <v>0</v>
      </c>
      <c r="M23" s="36">
        <f>VLOOKUP($B$23,'2021 Summary ROD'!$A$6:$R$107,9,FALSE)</f>
        <v>0</v>
      </c>
      <c r="N23" s="36"/>
      <c r="O23" s="36">
        <f>VLOOKUP($B$23,'2021 Summary ROD'!$A$6:$R$107,11,FALSE)</f>
        <v>0</v>
      </c>
      <c r="P23" s="36">
        <f>VLOOKUP($B$23,'2021 Summary ROD'!$A$6:$R$107,12,FALSE)</f>
        <v>0</v>
      </c>
      <c r="Q23" s="36">
        <f>VLOOKUP($B$23,'2021 Summary ROD'!$A$6:$R$107,13,FALSE)</f>
        <v>0</v>
      </c>
      <c r="R23" s="36">
        <f>VLOOKUP($B$23,'2021 Summary ROD'!$A$6:$R$107,14,FALSE)</f>
        <v>0</v>
      </c>
      <c r="S23" s="36"/>
      <c r="T23" s="36">
        <f>VLOOKUP($B$23,'2021 Summary ROD'!$A$6:$R$107,16,FALSE)</f>
        <v>0</v>
      </c>
      <c r="U23" s="36">
        <f>VLOOKUP($B$23,'2021 Summary ROD'!$A$6:$R$107,17,FALSE)</f>
        <v>0</v>
      </c>
      <c r="V23" s="36">
        <f>VLOOKUP($B$23,'2021 Summary ROD'!$A$6:$R$107,18,FALSE)</f>
        <v>0</v>
      </c>
    </row>
    <row r="24" spans="1:27" s="1196" customFormat="1" x14ac:dyDescent="0.2"/>
    <row r="25" spans="1:27" s="1196" customFormat="1" x14ac:dyDescent="0.2">
      <c r="A25" s="19"/>
      <c r="B25" s="699" t="s">
        <v>4807</v>
      </c>
      <c r="F25" s="776">
        <f>'2020 Contributions ROD'!B103</f>
        <v>957512</v>
      </c>
      <c r="G25" s="776">
        <f>'2020 Summary ROD'!D108</f>
        <v>-19741995</v>
      </c>
      <c r="H25" s="776">
        <f>'2021 Summary ROD'!D108</f>
        <v>-22918001</v>
      </c>
      <c r="I25" s="776"/>
      <c r="J25" s="776">
        <f>'2021 Summary ROD'!F108</f>
        <v>0</v>
      </c>
      <c r="K25" s="776">
        <f>'2021 Summary ROD'!G108</f>
        <v>0</v>
      </c>
      <c r="L25" s="776">
        <f>'2021 Summary ROD'!H108</f>
        <v>0</v>
      </c>
      <c r="M25" s="776">
        <f>'2021 Summary ROD'!I108</f>
        <v>2473085</v>
      </c>
      <c r="N25" s="776"/>
      <c r="O25" s="776">
        <f>'2021 Summary ROD'!K108</f>
        <v>467000</v>
      </c>
      <c r="P25" s="776">
        <f>'2021 Summary ROD'!L108</f>
        <v>1961001</v>
      </c>
      <c r="Q25" s="776">
        <f>'2021 Summary ROD'!M108</f>
        <v>0</v>
      </c>
      <c r="R25" s="776">
        <f>'2021 Summary ROD'!N108</f>
        <v>2473115</v>
      </c>
      <c r="S25" s="776"/>
      <c r="T25" s="776">
        <f>'2021 Summary ROD'!P108</f>
        <v>-539997</v>
      </c>
      <c r="U25" s="776">
        <f>'2021 Summary ROD'!Q108</f>
        <v>7</v>
      </c>
      <c r="V25" s="776">
        <f>'2021 Summary ROD'!R108</f>
        <v>-539990</v>
      </c>
    </row>
    <row r="26" spans="1:27" s="1196" customFormat="1" x14ac:dyDescent="0.2">
      <c r="A26" s="19"/>
      <c r="F26" s="776"/>
      <c r="G26" s="776"/>
      <c r="H26" s="776"/>
      <c r="J26" s="776"/>
      <c r="K26" s="776"/>
      <c r="L26" s="776"/>
      <c r="M26" s="776"/>
      <c r="O26" s="776"/>
      <c r="P26" s="776"/>
      <c r="Q26" s="776"/>
      <c r="R26" s="776"/>
      <c r="T26" s="776"/>
      <c r="U26" s="776"/>
      <c r="V26" s="776"/>
    </row>
    <row r="27" spans="1:27" s="1196" customFormat="1" ht="15" x14ac:dyDescent="0.25">
      <c r="A27" s="763" t="s">
        <v>2122</v>
      </c>
      <c r="B27" s="1197" t="s">
        <v>4782</v>
      </c>
      <c r="F27" s="776"/>
      <c r="G27" s="776"/>
      <c r="H27" s="776"/>
      <c r="J27" s="776"/>
      <c r="K27" s="776"/>
      <c r="L27" s="776"/>
      <c r="M27" s="776"/>
      <c r="O27" s="776"/>
      <c r="P27" s="776"/>
      <c r="Q27" s="776"/>
      <c r="R27" s="776"/>
      <c r="T27" s="776"/>
      <c r="U27" s="776"/>
      <c r="V27" s="776"/>
    </row>
    <row r="28" spans="1:27" s="1196" customFormat="1" x14ac:dyDescent="0.2">
      <c r="A28" s="19"/>
      <c r="B28" s="777" t="str">
        <f>B23</f>
        <v>NO AGENCY CHOSEN</v>
      </c>
      <c r="C28" s="778">
        <f>VLOOKUP(B28,'2020 Summary ROD'!$A$6:$V$108,2,FALSE)</f>
        <v>0</v>
      </c>
      <c r="D28" s="778">
        <f>VLOOKUP(B28,'2020 Summary ROD'!$A$6:$V$108,3,FALSE)</f>
        <v>0</v>
      </c>
      <c r="E28" s="778">
        <f>C28-D28</f>
        <v>0</v>
      </c>
      <c r="F28" s="36">
        <f>VLOOKUP($B$23,'2019 Contributions ROD'!$A$2:$BT$103,2,FALSE)</f>
        <v>0</v>
      </c>
      <c r="G28" s="36">
        <f>VLOOKUP(B28,'N.2a ROD 2018 Data PY'!A1:F107,6,FALSE)</f>
        <v>0</v>
      </c>
      <c r="H28" s="36">
        <f>VLOOKUP(B28,'2020 Summary ROD'!A1:D107,4,FALSE)</f>
        <v>0</v>
      </c>
      <c r="I28" s="36"/>
      <c r="J28" s="36">
        <f>VLOOKUP(B28,'2020 Summary ROD'!$A$6:$V$108,6,FALSE)</f>
        <v>0</v>
      </c>
      <c r="K28" s="36">
        <f>VLOOKUP(B28,'2020 Summary ROD'!$A$6:$V$108,7,FALSE)</f>
        <v>0</v>
      </c>
      <c r="L28" s="36">
        <f>VLOOKUP(B28,'2020 Summary ROD'!$A$6:$V$108,8,FALSE)</f>
        <v>0</v>
      </c>
      <c r="M28" s="36">
        <f>VLOOKUP(B28,'2020 Summary ROD'!$A$6:$V$108,9,FALSE)</f>
        <v>0</v>
      </c>
      <c r="N28" s="36"/>
      <c r="O28" s="36">
        <f>VLOOKUP(B28,'2020 Summary ROD'!$A$6:$V$108,11,FALSE)</f>
        <v>0</v>
      </c>
      <c r="P28" s="36">
        <f>VLOOKUP(B28,'2020 Summary ROD'!$A$6:$V$108,12,FALSE)</f>
        <v>0</v>
      </c>
      <c r="Q28" s="36">
        <f>VLOOKUP(B28,'2020 Summary ROD'!$A$6:$V$108,13,FALSE)</f>
        <v>0</v>
      </c>
      <c r="R28" s="36">
        <f>VLOOKUP(B28,'2020 Summary ROD'!$A$6:$V$108,14,FALSE)</f>
        <v>0</v>
      </c>
      <c r="S28" s="36"/>
      <c r="T28" s="36">
        <f>VLOOKUP(B28,'2020 Summary ROD'!$A$6:$V$108,16,FALSE)</f>
        <v>0</v>
      </c>
      <c r="U28" s="36">
        <f>VLOOKUP(B28,'2020 Summary ROD'!$A$6:$V$108,17,FALSE)</f>
        <v>0</v>
      </c>
      <c r="V28" s="36">
        <f>VLOOKUP(B28,'2020 Summary ROD'!$A$6:$V$108,18,FALSE)</f>
        <v>0</v>
      </c>
    </row>
    <row r="29" spans="1:27" s="1196" customFormat="1" x14ac:dyDescent="0.2">
      <c r="A29" s="19"/>
      <c r="F29" s="776"/>
      <c r="G29" s="776"/>
      <c r="H29" s="776"/>
      <c r="J29" s="776"/>
      <c r="K29" s="776"/>
      <c r="L29" s="776"/>
      <c r="M29" s="776"/>
      <c r="O29" s="776"/>
      <c r="P29" s="776"/>
      <c r="Q29" s="776"/>
      <c r="R29" s="776"/>
      <c r="T29" s="776"/>
      <c r="U29" s="776"/>
      <c r="V29" s="776"/>
    </row>
    <row r="30" spans="1:27" s="1196" customFormat="1" x14ac:dyDescent="0.2">
      <c r="A30" s="19"/>
      <c r="B30" s="699" t="s">
        <v>4783</v>
      </c>
      <c r="F30" s="776">
        <f>'2019 Contributions ROD'!B103</f>
        <v>950473</v>
      </c>
      <c r="G30" s="776">
        <f>'2019 Summary ROD'!D108</f>
        <v>-16563001</v>
      </c>
      <c r="H30" s="776">
        <f>'2019 Summary ROD'!D108</f>
        <v>-16563001</v>
      </c>
      <c r="I30" s="776"/>
      <c r="J30" s="776">
        <f>'2020 Summary ROD'!F108</f>
        <v>0</v>
      </c>
      <c r="K30" s="776">
        <f>'2020 Summary ROD'!G108</f>
        <v>202005</v>
      </c>
      <c r="L30" s="776">
        <f>'2020 Summary ROD'!H108</f>
        <v>0</v>
      </c>
      <c r="M30" s="776">
        <f>'2020 Summary ROD'!I108</f>
        <v>1969176</v>
      </c>
      <c r="N30" s="776">
        <f>'2019 Summary ROD'!J108</f>
        <v>0</v>
      </c>
      <c r="O30" s="776">
        <f>'2020 Summary ROD'!K108</f>
        <v>952002</v>
      </c>
      <c r="P30" s="776">
        <f>'2020 Summary ROD'!L108</f>
        <v>0</v>
      </c>
      <c r="Q30" s="776">
        <f>'2020 Summary ROD'!M108</f>
        <v>0</v>
      </c>
      <c r="R30" s="776">
        <f>'2020 Summary ROD'!N108</f>
        <v>1969185</v>
      </c>
      <c r="S30" s="776">
        <f>'2019 Summary ROD'!O108</f>
        <v>0</v>
      </c>
      <c r="T30" s="776">
        <f>'2020 Summary ROD'!P108</f>
        <v>1330001</v>
      </c>
      <c r="U30" s="776">
        <f>'2020 Summary ROD'!Q108</f>
        <v>-1</v>
      </c>
      <c r="V30" s="776">
        <f>'2020 Summary ROD'!R108</f>
        <v>1330000</v>
      </c>
    </row>
    <row r="31" spans="1:27" s="1196" customFormat="1" x14ac:dyDescent="0.2">
      <c r="A31" s="19"/>
      <c r="F31" s="776"/>
      <c r="G31" s="776"/>
      <c r="H31" s="776"/>
      <c r="J31" s="776"/>
      <c r="K31" s="776"/>
      <c r="L31" s="776"/>
      <c r="M31" s="776"/>
      <c r="O31" s="776"/>
      <c r="P31" s="776"/>
      <c r="Q31" s="776"/>
      <c r="R31" s="776"/>
      <c r="T31" s="776"/>
      <c r="U31" s="776"/>
      <c r="V31" s="776"/>
    </row>
    <row r="32" spans="1:27" s="1196" customFormat="1" ht="25.5" x14ac:dyDescent="0.2">
      <c r="A32" s="19"/>
      <c r="F32" s="776"/>
      <c r="G32" s="776"/>
      <c r="H32" s="776"/>
      <c r="J32" s="1195" t="s">
        <v>3573</v>
      </c>
      <c r="K32" s="5">
        <f>K28-P28</f>
        <v>0</v>
      </c>
      <c r="L32" s="776"/>
      <c r="M32" s="776"/>
      <c r="O32" s="776"/>
      <c r="P32" s="776"/>
      <c r="Q32" s="776"/>
      <c r="R32" s="776"/>
      <c r="T32" s="776"/>
      <c r="U32" s="776"/>
      <c r="V32" s="776"/>
    </row>
    <row r="33" spans="1:22" s="791" customFormat="1" ht="15" x14ac:dyDescent="0.25">
      <c r="A33" s="830"/>
      <c r="B33" s="826"/>
      <c r="F33" s="849"/>
      <c r="G33" s="849"/>
      <c r="H33" s="849"/>
      <c r="J33" s="849"/>
      <c r="K33" s="849"/>
      <c r="L33" s="849"/>
      <c r="M33" s="849"/>
      <c r="O33" s="849"/>
      <c r="P33" s="849"/>
      <c r="Q33" s="849"/>
      <c r="R33" s="849"/>
      <c r="T33" s="849"/>
      <c r="U33" s="849"/>
      <c r="V33" s="849"/>
    </row>
    <row r="34" spans="1:22" s="791" customFormat="1" hidden="1" x14ac:dyDescent="0.2">
      <c r="A34" s="830"/>
      <c r="B34" s="791" t="s">
        <v>3608</v>
      </c>
      <c r="D34" s="10"/>
      <c r="E34" s="827">
        <f>-G23</f>
        <v>0</v>
      </c>
      <c r="F34" s="849"/>
      <c r="G34" s="849"/>
      <c r="H34" s="849"/>
      <c r="J34" s="849"/>
      <c r="K34" s="849"/>
      <c r="L34" s="849"/>
      <c r="M34" s="849"/>
      <c r="O34" s="849"/>
      <c r="P34" s="849"/>
      <c r="Q34" s="849"/>
      <c r="R34" s="849"/>
      <c r="T34" s="849"/>
      <c r="U34" s="849"/>
      <c r="V34" s="849"/>
    </row>
    <row r="35" spans="1:22" s="791" customFormat="1" ht="15" hidden="1" x14ac:dyDescent="0.25">
      <c r="A35" s="830"/>
      <c r="B35" s="791" t="s">
        <v>3609</v>
      </c>
      <c r="D35" s="10">
        <f>-H23</f>
        <v>0</v>
      </c>
      <c r="E35" s="827"/>
      <c r="F35" s="678"/>
      <c r="G35" s="849"/>
      <c r="I35" s="849"/>
      <c r="J35" s="849"/>
      <c r="K35" s="849"/>
      <c r="L35" s="849"/>
      <c r="N35" s="849"/>
      <c r="P35" s="849"/>
      <c r="Q35" s="849"/>
      <c r="R35" s="849"/>
      <c r="T35" s="849"/>
      <c r="U35" s="849"/>
      <c r="V35" s="849"/>
    </row>
    <row r="36" spans="1:22" s="791" customFormat="1" hidden="1" x14ac:dyDescent="0.2">
      <c r="A36" s="830"/>
      <c r="B36" s="791" t="s">
        <v>3576</v>
      </c>
      <c r="D36" s="10">
        <f>V23</f>
        <v>0</v>
      </c>
      <c r="E36" s="827"/>
      <c r="F36" s="849"/>
      <c r="G36" s="849"/>
      <c r="I36" s="849"/>
      <c r="J36" s="849"/>
      <c r="K36" s="849"/>
      <c r="L36" s="849"/>
      <c r="N36" s="849"/>
      <c r="P36" s="849"/>
      <c r="Q36" s="849"/>
      <c r="R36" s="849"/>
      <c r="T36" s="849"/>
      <c r="U36" s="849"/>
      <c r="V36" s="849"/>
    </row>
    <row r="37" spans="1:22" s="791" customFormat="1" hidden="1" x14ac:dyDescent="0.2">
      <c r="A37" s="830"/>
      <c r="B37" s="791" t="s">
        <v>3577</v>
      </c>
      <c r="D37" s="10"/>
      <c r="E37" s="827">
        <f>J28</f>
        <v>0</v>
      </c>
      <c r="F37" s="849"/>
      <c r="G37" s="849"/>
      <c r="I37" s="849"/>
      <c r="J37" s="849"/>
      <c r="K37" s="849"/>
      <c r="L37" s="849"/>
      <c r="N37" s="849"/>
      <c r="P37" s="849"/>
      <c r="Q37" s="849"/>
      <c r="R37" s="849"/>
      <c r="T37" s="849"/>
      <c r="U37" s="849"/>
      <c r="V37" s="849"/>
    </row>
    <row r="38" spans="1:22" s="791" customFormat="1" hidden="1" x14ac:dyDescent="0.2">
      <c r="A38" s="830"/>
      <c r="B38" s="791" t="s">
        <v>3578</v>
      </c>
      <c r="D38" s="10"/>
      <c r="E38" s="827">
        <f>IF(K28-P28&gt;0,K28-P28,0)</f>
        <v>0</v>
      </c>
      <c r="F38" s="849"/>
      <c r="G38" s="849"/>
      <c r="I38" s="849"/>
      <c r="J38" s="849"/>
      <c r="K38" s="849"/>
      <c r="L38" s="849"/>
      <c r="N38" s="849"/>
      <c r="P38" s="849"/>
      <c r="Q38" s="849"/>
      <c r="R38" s="849"/>
      <c r="T38" s="849"/>
      <c r="U38" s="849"/>
      <c r="V38" s="849"/>
    </row>
    <row r="39" spans="1:22" s="791" customFormat="1" hidden="1" x14ac:dyDescent="0.2">
      <c r="A39" s="830"/>
      <c r="B39" s="791" t="s">
        <v>3579</v>
      </c>
      <c r="D39" s="10"/>
      <c r="E39" s="827">
        <f>L28</f>
        <v>0</v>
      </c>
      <c r="F39" s="133"/>
      <c r="G39" s="133"/>
      <c r="H39" s="133"/>
      <c r="I39" s="133"/>
      <c r="J39" s="133"/>
      <c r="K39" s="133"/>
      <c r="L39" s="133"/>
      <c r="M39" s="133"/>
      <c r="N39" s="133"/>
      <c r="P39" s="849"/>
      <c r="Q39" s="849"/>
      <c r="R39" s="849"/>
      <c r="T39" s="849"/>
      <c r="U39" s="849"/>
      <c r="V39" s="849"/>
    </row>
    <row r="40" spans="1:22" s="791" customFormat="1" hidden="1" x14ac:dyDescent="0.2">
      <c r="A40" s="830"/>
      <c r="B40" s="794" t="s">
        <v>3580</v>
      </c>
      <c r="D40" s="10"/>
      <c r="E40" s="827">
        <f>M28</f>
        <v>0</v>
      </c>
      <c r="F40" s="133"/>
      <c r="G40" s="133"/>
      <c r="H40" s="133"/>
      <c r="I40" s="133"/>
      <c r="J40" s="133"/>
      <c r="K40" s="133"/>
      <c r="L40" s="133"/>
      <c r="M40" s="133"/>
      <c r="N40" s="133"/>
      <c r="P40" s="849"/>
      <c r="Q40" s="849"/>
      <c r="R40" s="849"/>
      <c r="T40" s="849"/>
      <c r="U40" s="849"/>
      <c r="V40" s="849"/>
    </row>
    <row r="41" spans="1:22" s="791" customFormat="1" hidden="1" x14ac:dyDescent="0.2">
      <c r="A41" s="830"/>
      <c r="B41" s="794" t="s">
        <v>3581</v>
      </c>
      <c r="D41" s="10">
        <f>O28</f>
        <v>0</v>
      </c>
      <c r="E41" s="145"/>
      <c r="F41" s="751"/>
      <c r="G41" s="751"/>
      <c r="H41" s="751"/>
      <c r="J41" s="765"/>
      <c r="P41" s="849"/>
      <c r="Q41" s="849"/>
      <c r="R41" s="849"/>
      <c r="T41" s="849"/>
      <c r="U41" s="849"/>
      <c r="V41" s="849"/>
    </row>
    <row r="42" spans="1:22" s="791" customFormat="1" hidden="1" x14ac:dyDescent="0.2">
      <c r="A42" s="830"/>
      <c r="B42" s="791" t="s">
        <v>3582</v>
      </c>
      <c r="D42" s="10">
        <f>IF(P28-K28&gt;0,P28-K28,0)</f>
        <v>0</v>
      </c>
      <c r="E42" s="827"/>
      <c r="F42" s="751"/>
      <c r="G42" s="751"/>
      <c r="H42" s="751"/>
      <c r="J42" s="765"/>
      <c r="P42" s="849"/>
      <c r="Q42" s="849"/>
      <c r="R42" s="849"/>
      <c r="T42" s="849"/>
      <c r="U42" s="849"/>
      <c r="V42" s="849"/>
    </row>
    <row r="43" spans="1:22" s="791" customFormat="1" ht="15" hidden="1" x14ac:dyDescent="0.25">
      <c r="A43" s="830"/>
      <c r="B43" s="829" t="s">
        <v>3583</v>
      </c>
      <c r="C43" s="828"/>
      <c r="D43" s="834">
        <f>Q28</f>
        <v>0</v>
      </c>
      <c r="E43" s="834"/>
      <c r="F43" s="831"/>
      <c r="G43" s="831"/>
      <c r="H43" s="831"/>
      <c r="I43" s="831"/>
      <c r="J43" s="831"/>
      <c r="K43" s="831"/>
      <c r="L43" s="831"/>
      <c r="M43" s="831"/>
      <c r="N43" s="831"/>
      <c r="P43" s="849"/>
      <c r="Q43" s="849"/>
      <c r="R43" s="849"/>
      <c r="T43" s="849"/>
      <c r="U43" s="849"/>
      <c r="V43" s="849"/>
    </row>
    <row r="44" spans="1:22" s="791" customFormat="1" hidden="1" x14ac:dyDescent="0.2">
      <c r="A44" s="830"/>
      <c r="B44" s="829" t="s">
        <v>3584</v>
      </c>
      <c r="C44" s="828"/>
      <c r="D44" s="834">
        <f>R28</f>
        <v>0</v>
      </c>
      <c r="E44" s="834"/>
      <c r="F44" s="850"/>
      <c r="G44" s="850"/>
      <c r="H44" s="850"/>
      <c r="P44" s="849"/>
      <c r="Q44" s="849"/>
      <c r="R44" s="849"/>
      <c r="T44" s="849"/>
      <c r="U44" s="849"/>
      <c r="V44" s="849"/>
    </row>
    <row r="45" spans="1:22" s="791" customFormat="1" hidden="1" x14ac:dyDescent="0.2">
      <c r="A45" s="830"/>
      <c r="B45" s="791" t="s">
        <v>3585</v>
      </c>
      <c r="C45" s="828"/>
      <c r="D45" s="834">
        <f>J23</f>
        <v>0</v>
      </c>
      <c r="E45" s="834"/>
      <c r="P45" s="849"/>
      <c r="Q45" s="849"/>
      <c r="R45" s="849"/>
      <c r="T45" s="849"/>
      <c r="U45" s="849"/>
      <c r="V45" s="849"/>
    </row>
    <row r="46" spans="1:22" s="791" customFormat="1" hidden="1" x14ac:dyDescent="0.2">
      <c r="A46" s="830"/>
      <c r="B46" s="791" t="s">
        <v>3586</v>
      </c>
      <c r="C46" s="828"/>
      <c r="D46" s="834">
        <f>IF(K23-P23&gt;0,K23-P23,0)</f>
        <v>0</v>
      </c>
      <c r="E46" s="834"/>
      <c r="F46" s="824"/>
      <c r="G46" s="824"/>
      <c r="H46" s="824"/>
      <c r="P46" s="849"/>
      <c r="Q46" s="849"/>
      <c r="R46" s="849"/>
      <c r="T46" s="849"/>
      <c r="U46" s="849"/>
      <c r="V46" s="849"/>
    </row>
    <row r="47" spans="1:22" s="791" customFormat="1" hidden="1" x14ac:dyDescent="0.2">
      <c r="A47" s="830"/>
      <c r="B47" s="791" t="s">
        <v>3587</v>
      </c>
      <c r="C47" s="828"/>
      <c r="D47" s="834">
        <f>L23</f>
        <v>0</v>
      </c>
      <c r="E47" s="145"/>
      <c r="P47" s="849"/>
      <c r="Q47" s="849"/>
      <c r="R47" s="849"/>
      <c r="T47" s="849"/>
      <c r="U47" s="849"/>
      <c r="V47" s="849"/>
    </row>
    <row r="48" spans="1:22" s="791" customFormat="1" ht="15" hidden="1" x14ac:dyDescent="0.25">
      <c r="A48" s="830"/>
      <c r="B48" s="794" t="s">
        <v>3588</v>
      </c>
      <c r="C48" s="828"/>
      <c r="D48" s="834">
        <f>M23</f>
        <v>0</v>
      </c>
      <c r="E48" s="145"/>
      <c r="F48" s="825"/>
      <c r="G48" s="825"/>
      <c r="H48" s="825"/>
      <c r="I48" s="826"/>
      <c r="J48" s="826"/>
      <c r="K48" s="826"/>
      <c r="L48" s="826"/>
      <c r="M48" s="826"/>
      <c r="N48" s="826"/>
      <c r="P48" s="849"/>
      <c r="Q48" s="849"/>
      <c r="R48" s="849"/>
      <c r="T48" s="849"/>
      <c r="U48" s="849"/>
      <c r="V48" s="849"/>
    </row>
    <row r="49" spans="1:22" s="791" customFormat="1" hidden="1" x14ac:dyDescent="0.2">
      <c r="A49" s="830"/>
      <c r="B49" s="794" t="s">
        <v>3589</v>
      </c>
      <c r="C49" s="828"/>
      <c r="D49" s="834"/>
      <c r="E49" s="145">
        <f>O23</f>
        <v>0</v>
      </c>
      <c r="P49" s="849"/>
      <c r="Q49" s="849"/>
      <c r="R49" s="849"/>
      <c r="T49" s="849"/>
      <c r="U49" s="849"/>
      <c r="V49" s="849"/>
    </row>
    <row r="50" spans="1:22" s="791" customFormat="1" hidden="1" x14ac:dyDescent="0.2">
      <c r="A50" s="830"/>
      <c r="B50" s="791" t="s">
        <v>3590</v>
      </c>
      <c r="D50" s="10"/>
      <c r="E50" s="827">
        <f>IF(P23-K23&gt;0,P23-K23,0)</f>
        <v>0</v>
      </c>
      <c r="L50" s="824"/>
      <c r="P50" s="849"/>
      <c r="Q50" s="849"/>
      <c r="R50" s="849"/>
      <c r="T50" s="849"/>
      <c r="U50" s="849"/>
      <c r="V50" s="849"/>
    </row>
    <row r="51" spans="1:22" s="791" customFormat="1" hidden="1" x14ac:dyDescent="0.2">
      <c r="A51" s="830"/>
      <c r="B51" s="829" t="s">
        <v>3591</v>
      </c>
      <c r="D51" s="10"/>
      <c r="E51" s="827">
        <f>Q23</f>
        <v>0</v>
      </c>
      <c r="L51" s="824"/>
      <c r="P51" s="849"/>
      <c r="Q51" s="849"/>
      <c r="R51" s="849"/>
      <c r="T51" s="849"/>
      <c r="U51" s="849"/>
      <c r="V51" s="849"/>
    </row>
    <row r="52" spans="1:22" s="791" customFormat="1" hidden="1" x14ac:dyDescent="0.2">
      <c r="A52" s="830"/>
      <c r="B52" s="829" t="s">
        <v>3592</v>
      </c>
      <c r="D52" s="10"/>
      <c r="E52" s="827">
        <f>R23</f>
        <v>0</v>
      </c>
      <c r="L52" s="850"/>
      <c r="P52" s="849"/>
      <c r="Q52" s="849"/>
      <c r="R52" s="849"/>
      <c r="T52" s="849"/>
      <c r="U52" s="849"/>
      <c r="V52" s="849"/>
    </row>
    <row r="53" spans="1:22" s="791" customFormat="1" hidden="1" x14ac:dyDescent="0.2">
      <c r="A53" s="830"/>
      <c r="B53" s="791" t="s">
        <v>3593</v>
      </c>
      <c r="D53" s="10"/>
      <c r="E53" s="827">
        <f>C16</f>
        <v>0</v>
      </c>
      <c r="L53" s="824"/>
      <c r="P53" s="849"/>
      <c r="Q53" s="849"/>
      <c r="R53" s="849"/>
      <c r="T53" s="849"/>
      <c r="U53" s="849"/>
      <c r="V53" s="849"/>
    </row>
    <row r="54" spans="1:22" s="791" customFormat="1" hidden="1" x14ac:dyDescent="0.2">
      <c r="A54" s="830"/>
      <c r="B54" s="791" t="s">
        <v>3594</v>
      </c>
      <c r="D54" s="10">
        <f>IF(C16&gt;F23,C16-F23,0)</f>
        <v>0</v>
      </c>
      <c r="E54" s="827">
        <f>IF(F23&gt;C16,F23-C16,0)</f>
        <v>0</v>
      </c>
      <c r="F54" s="824"/>
      <c r="G54" s="824"/>
      <c r="H54" s="824"/>
      <c r="I54" s="824"/>
      <c r="J54" s="824"/>
      <c r="K54" s="824"/>
      <c r="L54" s="824"/>
      <c r="M54" s="850"/>
      <c r="N54" s="824"/>
      <c r="P54" s="849"/>
      <c r="Q54" s="849"/>
      <c r="R54" s="849"/>
      <c r="T54" s="849"/>
      <c r="U54" s="849"/>
      <c r="V54" s="849"/>
    </row>
    <row r="55" spans="1:22" s="791" customFormat="1" hidden="1" x14ac:dyDescent="0.2">
      <c r="A55" s="830"/>
      <c r="B55" s="791" t="s">
        <v>3595</v>
      </c>
      <c r="D55" s="10">
        <f>IF(SUM(E34:E54)&gt;SUM(D34:D54),SUM(E34:E54)-SUM(D34:D54),0)</f>
        <v>0</v>
      </c>
      <c r="E55" s="827">
        <f>IF(SUM(D34:D54)&gt;SUM(E34:E54),SUM(D34:D54)-SUM(E34:E54),0)</f>
        <v>0</v>
      </c>
      <c r="P55" s="849"/>
      <c r="Q55" s="849"/>
      <c r="R55" s="849"/>
      <c r="T55" s="849"/>
      <c r="U55" s="849"/>
      <c r="V55" s="849"/>
    </row>
    <row r="56" spans="1:22" s="791" customFormat="1" hidden="1" x14ac:dyDescent="0.2">
      <c r="A56" s="830"/>
      <c r="D56" s="10">
        <f>SUM(D34:D55)</f>
        <v>0</v>
      </c>
      <c r="E56" s="10">
        <f>SUM(E34:E55)</f>
        <v>0</v>
      </c>
      <c r="F56" s="850"/>
      <c r="G56" s="850"/>
      <c r="H56" s="850"/>
      <c r="I56" s="850"/>
      <c r="J56" s="850"/>
      <c r="K56" s="850"/>
      <c r="L56" s="850"/>
      <c r="M56" s="850"/>
      <c r="N56" s="850"/>
      <c r="P56" s="849"/>
      <c r="Q56" s="849"/>
      <c r="R56" s="849"/>
      <c r="T56" s="849"/>
      <c r="U56" s="849"/>
      <c r="V56" s="849"/>
    </row>
    <row r="57" spans="1:22" s="791" customFormat="1" x14ac:dyDescent="0.2">
      <c r="A57" s="684"/>
      <c r="B57" s="794"/>
      <c r="C57" s="794"/>
      <c r="D57" s="794"/>
      <c r="E57" s="794"/>
      <c r="F57" s="850"/>
      <c r="G57" s="850"/>
    </row>
    <row r="58" spans="1:22" s="791" customFormat="1" x14ac:dyDescent="0.2">
      <c r="A58" s="684"/>
      <c r="B58" s="794"/>
      <c r="C58" s="683"/>
      <c r="D58" s="683"/>
    </row>
    <row r="59" spans="1:22" s="791" customFormat="1" x14ac:dyDescent="0.2">
      <c r="A59" s="684"/>
      <c r="B59" s="794"/>
      <c r="C59" s="683"/>
      <c r="D59" s="683"/>
    </row>
    <row r="60" spans="1:22" x14ac:dyDescent="0.2">
      <c r="A60" s="685"/>
      <c r="B60" s="34"/>
      <c r="C60" s="686"/>
      <c r="D60" s="686"/>
    </row>
    <row r="61" spans="1:22" x14ac:dyDescent="0.2">
      <c r="A61" s="687" t="s">
        <v>816</v>
      </c>
      <c r="B61" s="1635" t="s">
        <v>2064</v>
      </c>
      <c r="C61" s="1636"/>
      <c r="D61" s="1636"/>
      <c r="E61" s="1636"/>
      <c r="F61" s="1636"/>
      <c r="G61" s="1636"/>
      <c r="H61" s="1636"/>
      <c r="I61" s="1637"/>
    </row>
    <row r="62" spans="1:22" x14ac:dyDescent="0.2">
      <c r="A62" s="687"/>
      <c r="B62" s="688"/>
      <c r="C62" s="688"/>
      <c r="D62" s="688"/>
      <c r="E62" s="688"/>
      <c r="F62" s="688"/>
      <c r="G62" s="688"/>
      <c r="H62" s="688"/>
      <c r="I62" s="688"/>
    </row>
    <row r="63" spans="1:22" hidden="1" x14ac:dyDescent="0.2">
      <c r="A63" s="687"/>
      <c r="B63" s="688" t="s">
        <v>2060</v>
      </c>
      <c r="C63" s="752">
        <v>1</v>
      </c>
      <c r="D63" s="688"/>
      <c r="E63" s="688"/>
      <c r="F63" s="688"/>
      <c r="G63" s="688"/>
      <c r="H63" s="688"/>
      <c r="I63" s="688"/>
    </row>
    <row r="64" spans="1:22" x14ac:dyDescent="0.2">
      <c r="A64" s="685"/>
      <c r="B64" s="44"/>
      <c r="C64" s="31"/>
      <c r="D64" s="31"/>
      <c r="E64" s="31"/>
      <c r="F64" s="31"/>
      <c r="G64" s="31"/>
      <c r="H64" s="31"/>
      <c r="I64" s="31"/>
    </row>
    <row r="65" spans="1:5" x14ac:dyDescent="0.2">
      <c r="A65" s="685"/>
      <c r="B65" s="34"/>
      <c r="C65" s="689" t="s">
        <v>2056</v>
      </c>
      <c r="D65" s="689" t="s">
        <v>2057</v>
      </c>
    </row>
    <row r="66" spans="1:5" x14ac:dyDescent="0.2">
      <c r="A66" s="685"/>
      <c r="B66" s="793" t="s">
        <v>1117</v>
      </c>
      <c r="C66" s="285">
        <f t="shared" ref="C66:C86" si="0">G97</f>
        <v>0</v>
      </c>
      <c r="D66" s="285">
        <f t="shared" ref="D66:D86" si="1">H97</f>
        <v>0</v>
      </c>
    </row>
    <row r="67" spans="1:5" x14ac:dyDescent="0.2">
      <c r="A67" s="685"/>
      <c r="B67" s="793" t="s">
        <v>2123</v>
      </c>
      <c r="C67" s="285">
        <f t="shared" si="0"/>
        <v>0</v>
      </c>
      <c r="D67" s="285">
        <f t="shared" si="1"/>
        <v>0</v>
      </c>
      <c r="E67" s="690"/>
    </row>
    <row r="68" spans="1:5" x14ac:dyDescent="0.2">
      <c r="A68" s="685"/>
      <c r="B68" s="793" t="s">
        <v>2055</v>
      </c>
      <c r="C68" s="285">
        <f t="shared" si="0"/>
        <v>0</v>
      </c>
      <c r="D68" s="285">
        <f t="shared" si="1"/>
        <v>0</v>
      </c>
      <c r="E68" s="690"/>
    </row>
    <row r="69" spans="1:5" x14ac:dyDescent="0.2">
      <c r="A69" s="685"/>
      <c r="B69" s="793" t="s">
        <v>2090</v>
      </c>
      <c r="C69" s="285">
        <f t="shared" si="0"/>
        <v>0</v>
      </c>
      <c r="D69" s="285">
        <f t="shared" si="1"/>
        <v>0</v>
      </c>
      <c r="E69" s="896"/>
    </row>
    <row r="70" spans="1:5" s="756" customFormat="1" x14ac:dyDescent="0.2">
      <c r="A70" s="685"/>
      <c r="B70" s="793" t="s">
        <v>2091</v>
      </c>
      <c r="C70" s="285">
        <f t="shared" si="0"/>
        <v>0</v>
      </c>
      <c r="D70" s="285">
        <f t="shared" si="1"/>
        <v>0</v>
      </c>
    </row>
    <row r="71" spans="1:5" x14ac:dyDescent="0.2">
      <c r="A71" s="685"/>
      <c r="B71" s="793" t="s">
        <v>2092</v>
      </c>
      <c r="C71" s="285">
        <f t="shared" si="0"/>
        <v>0</v>
      </c>
      <c r="D71" s="285">
        <f t="shared" si="1"/>
        <v>0</v>
      </c>
    </row>
    <row r="72" spans="1:5" s="756" customFormat="1" x14ac:dyDescent="0.2">
      <c r="A72" s="685"/>
      <c r="B72" s="793" t="s">
        <v>2093</v>
      </c>
      <c r="C72" s="285">
        <f t="shared" si="0"/>
        <v>0</v>
      </c>
      <c r="D72" s="285">
        <f t="shared" si="1"/>
        <v>0</v>
      </c>
    </row>
    <row r="73" spans="1:5" x14ac:dyDescent="0.2">
      <c r="A73" s="685"/>
      <c r="B73" s="793" t="s">
        <v>2094</v>
      </c>
      <c r="C73" s="285">
        <f t="shared" si="0"/>
        <v>0</v>
      </c>
      <c r="D73" s="285">
        <f t="shared" si="1"/>
        <v>0</v>
      </c>
    </row>
    <row r="74" spans="1:5" s="756" customFormat="1" x14ac:dyDescent="0.2">
      <c r="A74" s="685"/>
      <c r="B74" s="793" t="s">
        <v>3610</v>
      </c>
      <c r="C74" s="285">
        <f t="shared" si="0"/>
        <v>0</v>
      </c>
      <c r="D74" s="285">
        <f t="shared" si="1"/>
        <v>0</v>
      </c>
    </row>
    <row r="75" spans="1:5" x14ac:dyDescent="0.2">
      <c r="A75" s="685"/>
      <c r="B75" s="793" t="s">
        <v>2095</v>
      </c>
      <c r="C75" s="285">
        <f t="shared" si="0"/>
        <v>0</v>
      </c>
      <c r="D75" s="285">
        <f t="shared" si="1"/>
        <v>0</v>
      </c>
    </row>
    <row r="76" spans="1:5" s="756" customFormat="1" x14ac:dyDescent="0.2">
      <c r="A76" s="685"/>
      <c r="B76" s="793" t="s">
        <v>3611</v>
      </c>
      <c r="C76" s="285">
        <f t="shared" si="0"/>
        <v>0</v>
      </c>
      <c r="D76" s="285">
        <f t="shared" si="1"/>
        <v>0</v>
      </c>
    </row>
    <row r="77" spans="1:5" s="790" customFormat="1" x14ac:dyDescent="0.2">
      <c r="A77" s="685"/>
      <c r="B77" s="793" t="s">
        <v>2096</v>
      </c>
      <c r="C77" s="285">
        <f t="shared" si="0"/>
        <v>0</v>
      </c>
      <c r="D77" s="285">
        <f t="shared" si="1"/>
        <v>0</v>
      </c>
    </row>
    <row r="78" spans="1:5" s="790" customFormat="1" ht="25.5" x14ac:dyDescent="0.2">
      <c r="A78" s="685"/>
      <c r="B78" s="793" t="s">
        <v>3596</v>
      </c>
      <c r="C78" s="285">
        <f t="shared" si="0"/>
        <v>0</v>
      </c>
      <c r="D78" s="285">
        <f t="shared" si="1"/>
        <v>0</v>
      </c>
    </row>
    <row r="79" spans="1:5" s="790" customFormat="1" ht="25.5" x14ac:dyDescent="0.2">
      <c r="A79" s="685"/>
      <c r="B79" s="793" t="s">
        <v>2124</v>
      </c>
      <c r="C79" s="285">
        <f t="shared" si="0"/>
        <v>0</v>
      </c>
      <c r="D79" s="285">
        <f t="shared" si="1"/>
        <v>0</v>
      </c>
    </row>
    <row r="80" spans="1:5" s="756" customFormat="1" x14ac:dyDescent="0.2">
      <c r="A80" s="685"/>
      <c r="B80" s="793" t="s">
        <v>3597</v>
      </c>
      <c r="C80" s="285">
        <f t="shared" si="0"/>
        <v>0</v>
      </c>
      <c r="D80" s="285">
        <f t="shared" si="1"/>
        <v>0</v>
      </c>
    </row>
    <row r="81" spans="1:9" s="756" customFormat="1" ht="38.25" x14ac:dyDescent="0.2">
      <c r="A81" s="685"/>
      <c r="B81" s="793" t="s">
        <v>3598</v>
      </c>
      <c r="C81" s="285">
        <f t="shared" si="0"/>
        <v>0</v>
      </c>
      <c r="D81" s="285">
        <f t="shared" si="1"/>
        <v>0</v>
      </c>
    </row>
    <row r="82" spans="1:9" s="756" customFormat="1" ht="25.5" x14ac:dyDescent="0.2">
      <c r="A82" s="685"/>
      <c r="B82" s="793" t="s">
        <v>3599</v>
      </c>
      <c r="C82" s="285">
        <f t="shared" si="0"/>
        <v>0</v>
      </c>
      <c r="D82" s="285">
        <f t="shared" si="1"/>
        <v>0</v>
      </c>
    </row>
    <row r="83" spans="1:9" s="756" customFormat="1" ht="25.5" x14ac:dyDescent="0.2">
      <c r="A83" s="685"/>
      <c r="B83" s="793" t="s">
        <v>3600</v>
      </c>
      <c r="C83" s="285">
        <f t="shared" si="0"/>
        <v>0</v>
      </c>
      <c r="D83" s="285">
        <f t="shared" si="1"/>
        <v>0</v>
      </c>
    </row>
    <row r="84" spans="1:9" s="756" customFormat="1" x14ac:dyDescent="0.2">
      <c r="A84" s="685"/>
      <c r="B84" s="793" t="s">
        <v>3601</v>
      </c>
      <c r="C84" s="285">
        <f t="shared" si="0"/>
        <v>0</v>
      </c>
      <c r="D84" s="285">
        <f t="shared" si="1"/>
        <v>0</v>
      </c>
    </row>
    <row r="85" spans="1:9" s="756" customFormat="1" ht="38.25" x14ac:dyDescent="0.2">
      <c r="A85" s="685"/>
      <c r="B85" s="793" t="s">
        <v>3602</v>
      </c>
      <c r="C85" s="285">
        <f t="shared" si="0"/>
        <v>0</v>
      </c>
      <c r="D85" s="285">
        <f t="shared" si="1"/>
        <v>0</v>
      </c>
    </row>
    <row r="86" spans="1:9" x14ac:dyDescent="0.2">
      <c r="A86" s="685"/>
      <c r="B86" s="793" t="s">
        <v>2058</v>
      </c>
      <c r="C86" s="285">
        <f t="shared" si="0"/>
        <v>0</v>
      </c>
      <c r="D86" s="285">
        <f t="shared" si="1"/>
        <v>0</v>
      </c>
      <c r="E86" s="896"/>
    </row>
    <row r="87" spans="1:9" x14ac:dyDescent="0.2">
      <c r="A87" s="685"/>
      <c r="B87" s="34"/>
      <c r="C87" s="686"/>
      <c r="D87" s="686"/>
      <c r="G87" s="197"/>
      <c r="H87" s="197"/>
      <c r="I87" s="197"/>
    </row>
    <row r="88" spans="1:9" ht="13.5" thickBot="1" x14ac:dyDescent="0.25">
      <c r="A88" s="685"/>
      <c r="B88" s="34"/>
      <c r="C88" s="691">
        <f>SUM(C66:C87)</f>
        <v>0</v>
      </c>
      <c r="D88" s="691">
        <f>SUM(D66:D87)</f>
        <v>0</v>
      </c>
      <c r="G88" s="197"/>
      <c r="H88" s="197"/>
      <c r="I88" s="197"/>
    </row>
    <row r="89" spans="1:9" ht="13.5" thickTop="1" x14ac:dyDescent="0.2">
      <c r="A89" s="685"/>
      <c r="B89" s="34"/>
      <c r="C89" s="686"/>
      <c r="D89" s="686"/>
    </row>
    <row r="90" spans="1:9" x14ac:dyDescent="0.2">
      <c r="A90" s="685"/>
      <c r="B90" s="34"/>
      <c r="C90" s="686"/>
      <c r="D90" s="686"/>
    </row>
    <row r="91" spans="1:9" x14ac:dyDescent="0.2">
      <c r="A91" s="685"/>
      <c r="B91" s="1641" t="s">
        <v>2099</v>
      </c>
      <c r="C91" s="1641"/>
      <c r="D91" s="1641"/>
      <c r="E91" s="1641"/>
      <c r="F91" s="1641"/>
      <c r="G91" s="1641"/>
      <c r="H91" s="1641"/>
    </row>
    <row r="92" spans="1:9" x14ac:dyDescent="0.2">
      <c r="A92" s="685"/>
      <c r="B92" s="1641"/>
      <c r="C92" s="1641"/>
      <c r="D92" s="1641"/>
      <c r="E92" s="1641"/>
      <c r="F92" s="1641"/>
      <c r="G92" s="1641"/>
      <c r="H92" s="1641"/>
    </row>
    <row r="93" spans="1:9" ht="18" x14ac:dyDescent="0.25">
      <c r="B93" s="713"/>
      <c r="C93" s="713"/>
      <c r="D93" s="713"/>
      <c r="E93" s="713"/>
      <c r="F93" s="713"/>
      <c r="G93" s="713"/>
      <c r="H93" s="712"/>
    </row>
    <row r="94" spans="1:9" ht="18" x14ac:dyDescent="0.2">
      <c r="B94" s="713"/>
      <c r="C94" s="714"/>
      <c r="D94" s="716"/>
      <c r="E94" s="717"/>
      <c r="F94" s="713"/>
      <c r="G94" s="1484" t="s">
        <v>923</v>
      </c>
      <c r="H94" s="1485"/>
    </row>
    <row r="95" spans="1:9" x14ac:dyDescent="0.2">
      <c r="B95" s="794"/>
      <c r="C95" s="767"/>
      <c r="D95" s="768"/>
      <c r="E95" s="258"/>
      <c r="F95" s="791"/>
      <c r="G95" s="210"/>
      <c r="H95" s="211"/>
    </row>
    <row r="96" spans="1:9" x14ac:dyDescent="0.2">
      <c r="B96" s="794"/>
      <c r="C96" s="715" t="s">
        <v>517</v>
      </c>
      <c r="D96" s="154" t="s">
        <v>518</v>
      </c>
      <c r="E96" s="259" t="s">
        <v>2097</v>
      </c>
      <c r="F96" s="791"/>
      <c r="G96" s="71" t="s">
        <v>517</v>
      </c>
      <c r="H96" s="72" t="s">
        <v>518</v>
      </c>
    </row>
    <row r="97" spans="2:8" x14ac:dyDescent="0.2">
      <c r="B97" s="793" t="s">
        <v>1117</v>
      </c>
      <c r="C97" s="832">
        <v>0</v>
      </c>
      <c r="D97" s="769">
        <v>0</v>
      </c>
      <c r="E97" s="718">
        <f>C97-D97</f>
        <v>0</v>
      </c>
      <c r="F97" s="790"/>
      <c r="G97" s="114">
        <f t="shared" ref="G97:G117" si="2">IF(E97&lt;0,0,E97)</f>
        <v>0</v>
      </c>
      <c r="H97" s="720">
        <f t="shared" ref="H97:H117" si="3">IF(E97&gt;0,0,E97*-1)</f>
        <v>0</v>
      </c>
    </row>
    <row r="98" spans="2:8" x14ac:dyDescent="0.2">
      <c r="B98" s="793" t="s">
        <v>2123</v>
      </c>
      <c r="C98" s="771">
        <f>1*(D34+D35)</f>
        <v>0</v>
      </c>
      <c r="D98" s="770">
        <f>1*(E34+E35)</f>
        <v>0</v>
      </c>
      <c r="E98" s="718">
        <f t="shared" ref="E98:E117" si="4">C98-D98</f>
        <v>0</v>
      </c>
      <c r="F98" s="790"/>
      <c r="G98" s="114">
        <f t="shared" si="2"/>
        <v>0</v>
      </c>
      <c r="H98" s="720">
        <f>IF(E98&gt;0,0,E98*-1)</f>
        <v>0</v>
      </c>
    </row>
    <row r="99" spans="2:8" x14ac:dyDescent="0.2">
      <c r="B99" s="793" t="s">
        <v>2055</v>
      </c>
      <c r="C99" s="771">
        <v>0</v>
      </c>
      <c r="D99" s="770">
        <v>0</v>
      </c>
      <c r="E99" s="718">
        <f t="shared" si="4"/>
        <v>0</v>
      </c>
      <c r="F99" s="790"/>
      <c r="G99" s="114">
        <f t="shared" si="2"/>
        <v>0</v>
      </c>
      <c r="H99" s="720">
        <f>IF(E99&gt;0,0,E99*-1)</f>
        <v>0</v>
      </c>
    </row>
    <row r="100" spans="2:8" x14ac:dyDescent="0.2">
      <c r="B100" s="793" t="s">
        <v>2090</v>
      </c>
      <c r="C100" s="771">
        <f>1*(D36+D54+D55)</f>
        <v>0</v>
      </c>
      <c r="D100" s="770">
        <f>1*(E36+E54+E55)</f>
        <v>0</v>
      </c>
      <c r="E100" s="718">
        <f t="shared" si="4"/>
        <v>0</v>
      </c>
      <c r="F100" s="790"/>
      <c r="G100" s="114">
        <f>IF(E100&lt;0,0,E100)-E118</f>
        <v>0</v>
      </c>
      <c r="H100" s="720">
        <f t="shared" si="3"/>
        <v>0</v>
      </c>
    </row>
    <row r="101" spans="2:8" s="756" customFormat="1" x14ac:dyDescent="0.2">
      <c r="B101" s="793" t="s">
        <v>2091</v>
      </c>
      <c r="C101" s="771">
        <v>0</v>
      </c>
      <c r="D101" s="770">
        <v>0</v>
      </c>
      <c r="E101" s="718">
        <f t="shared" si="4"/>
        <v>0</v>
      </c>
      <c r="F101" s="790"/>
      <c r="G101" s="114">
        <f t="shared" si="2"/>
        <v>0</v>
      </c>
      <c r="H101" s="720">
        <f t="shared" si="3"/>
        <v>0</v>
      </c>
    </row>
    <row r="102" spans="2:8" x14ac:dyDescent="0.2">
      <c r="B102" s="793" t="s">
        <v>2092</v>
      </c>
      <c r="C102" s="771">
        <v>0</v>
      </c>
      <c r="D102" s="770">
        <v>0</v>
      </c>
      <c r="E102" s="718">
        <f t="shared" si="4"/>
        <v>0</v>
      </c>
      <c r="F102" s="790"/>
      <c r="G102" s="114">
        <f t="shared" si="2"/>
        <v>0</v>
      </c>
      <c r="H102" s="720">
        <f t="shared" si="3"/>
        <v>0</v>
      </c>
    </row>
    <row r="103" spans="2:8" s="756" customFormat="1" x14ac:dyDescent="0.2">
      <c r="B103" s="793" t="s">
        <v>2093</v>
      </c>
      <c r="C103" s="771">
        <v>0</v>
      </c>
      <c r="D103" s="770">
        <v>0</v>
      </c>
      <c r="E103" s="718">
        <f t="shared" si="4"/>
        <v>0</v>
      </c>
      <c r="F103" s="790"/>
      <c r="G103" s="114">
        <f t="shared" si="2"/>
        <v>0</v>
      </c>
      <c r="H103" s="720">
        <f t="shared" si="3"/>
        <v>0</v>
      </c>
    </row>
    <row r="104" spans="2:8" x14ac:dyDescent="0.2">
      <c r="B104" s="793" t="s">
        <v>2094</v>
      </c>
      <c r="C104" s="771">
        <v>0</v>
      </c>
      <c r="D104" s="770">
        <v>0</v>
      </c>
      <c r="E104" s="718">
        <f t="shared" si="4"/>
        <v>0</v>
      </c>
      <c r="F104" s="790"/>
      <c r="G104" s="114">
        <f t="shared" si="2"/>
        <v>0</v>
      </c>
      <c r="H104" s="720">
        <f t="shared" si="3"/>
        <v>0</v>
      </c>
    </row>
    <row r="105" spans="2:8" s="756" customFormat="1" x14ac:dyDescent="0.2">
      <c r="B105" s="793" t="s">
        <v>3610</v>
      </c>
      <c r="C105" s="771">
        <v>0</v>
      </c>
      <c r="D105" s="770">
        <v>0</v>
      </c>
      <c r="E105" s="718">
        <f t="shared" si="4"/>
        <v>0</v>
      </c>
      <c r="F105" s="790"/>
      <c r="G105" s="114">
        <f t="shared" si="2"/>
        <v>0</v>
      </c>
      <c r="H105" s="720">
        <f t="shared" si="3"/>
        <v>0</v>
      </c>
    </row>
    <row r="106" spans="2:8" x14ac:dyDescent="0.2">
      <c r="B106" s="793" t="s">
        <v>2095</v>
      </c>
      <c r="C106" s="771">
        <v>0</v>
      </c>
      <c r="D106" s="770">
        <v>0</v>
      </c>
      <c r="E106" s="718">
        <f t="shared" si="4"/>
        <v>0</v>
      </c>
      <c r="F106" s="790"/>
      <c r="G106" s="114">
        <f t="shared" si="2"/>
        <v>0</v>
      </c>
      <c r="H106" s="720">
        <f t="shared" si="3"/>
        <v>0</v>
      </c>
    </row>
    <row r="107" spans="2:8" s="756" customFormat="1" x14ac:dyDescent="0.2">
      <c r="B107" s="793" t="s">
        <v>3611</v>
      </c>
      <c r="C107" s="771">
        <v>0</v>
      </c>
      <c r="D107" s="770">
        <v>0</v>
      </c>
      <c r="E107" s="718">
        <f t="shared" si="4"/>
        <v>0</v>
      </c>
      <c r="F107" s="790"/>
      <c r="G107" s="114">
        <f t="shared" si="2"/>
        <v>0</v>
      </c>
      <c r="H107" s="720">
        <f t="shared" si="3"/>
        <v>0</v>
      </c>
    </row>
    <row r="108" spans="2:8" s="756" customFormat="1" x14ac:dyDescent="0.2">
      <c r="B108" s="793" t="s">
        <v>2096</v>
      </c>
      <c r="C108" s="771">
        <v>0</v>
      </c>
      <c r="D108" s="770">
        <v>0</v>
      </c>
      <c r="E108" s="718">
        <f t="shared" si="4"/>
        <v>0</v>
      </c>
      <c r="F108" s="790"/>
      <c r="G108" s="114">
        <f t="shared" si="2"/>
        <v>0</v>
      </c>
      <c r="H108" s="720">
        <f t="shared" si="3"/>
        <v>0</v>
      </c>
    </row>
    <row r="109" spans="2:8" s="756" customFormat="1" ht="25.5" x14ac:dyDescent="0.2">
      <c r="B109" s="793" t="s">
        <v>3596</v>
      </c>
      <c r="C109" s="771">
        <f t="shared" ref="C109:D116" si="5">1*(D37+D45)</f>
        <v>0</v>
      </c>
      <c r="D109" s="853">
        <f t="shared" si="5"/>
        <v>0</v>
      </c>
      <c r="E109" s="852">
        <f t="shared" si="4"/>
        <v>0</v>
      </c>
      <c r="F109" s="791"/>
      <c r="G109" s="114">
        <f t="shared" si="2"/>
        <v>0</v>
      </c>
      <c r="H109" s="720">
        <f t="shared" si="3"/>
        <v>0</v>
      </c>
    </row>
    <row r="110" spans="2:8" s="756" customFormat="1" ht="25.5" x14ac:dyDescent="0.2">
      <c r="B110" s="793" t="s">
        <v>2124</v>
      </c>
      <c r="C110" s="771">
        <f t="shared" si="5"/>
        <v>0</v>
      </c>
      <c r="D110" s="853">
        <f t="shared" si="5"/>
        <v>0</v>
      </c>
      <c r="E110" s="852">
        <f t="shared" si="4"/>
        <v>0</v>
      </c>
      <c r="F110" s="791"/>
      <c r="G110" s="114">
        <f t="shared" si="2"/>
        <v>0</v>
      </c>
      <c r="H110" s="720">
        <f t="shared" si="3"/>
        <v>0</v>
      </c>
    </row>
    <row r="111" spans="2:8" s="756" customFormat="1" x14ac:dyDescent="0.2">
      <c r="B111" s="793" t="s">
        <v>3597</v>
      </c>
      <c r="C111" s="771">
        <f t="shared" si="5"/>
        <v>0</v>
      </c>
      <c r="D111" s="853">
        <f t="shared" si="5"/>
        <v>0</v>
      </c>
      <c r="E111" s="852">
        <f t="shared" si="4"/>
        <v>0</v>
      </c>
      <c r="F111" s="791"/>
      <c r="G111" s="114">
        <f t="shared" si="2"/>
        <v>0</v>
      </c>
      <c r="H111" s="720">
        <f t="shared" si="3"/>
        <v>0</v>
      </c>
    </row>
    <row r="112" spans="2:8" s="756" customFormat="1" ht="38.25" x14ac:dyDescent="0.2">
      <c r="B112" s="793" t="s">
        <v>3598</v>
      </c>
      <c r="C112" s="771">
        <f t="shared" si="5"/>
        <v>0</v>
      </c>
      <c r="D112" s="853">
        <f t="shared" si="5"/>
        <v>0</v>
      </c>
      <c r="E112" s="852">
        <f t="shared" si="4"/>
        <v>0</v>
      </c>
      <c r="F112" s="791"/>
      <c r="G112" s="114">
        <f t="shared" si="2"/>
        <v>0</v>
      </c>
      <c r="H112" s="720">
        <f t="shared" si="3"/>
        <v>0</v>
      </c>
    </row>
    <row r="113" spans="2:8" s="756" customFormat="1" ht="25.5" x14ac:dyDescent="0.2">
      <c r="B113" s="793" t="s">
        <v>3599</v>
      </c>
      <c r="C113" s="771">
        <f t="shared" si="5"/>
        <v>0</v>
      </c>
      <c r="D113" s="853">
        <f t="shared" si="5"/>
        <v>0</v>
      </c>
      <c r="E113" s="852">
        <f t="shared" si="4"/>
        <v>0</v>
      </c>
      <c r="F113" s="791"/>
      <c r="G113" s="114">
        <f t="shared" si="2"/>
        <v>0</v>
      </c>
      <c r="H113" s="720">
        <f t="shared" si="3"/>
        <v>0</v>
      </c>
    </row>
    <row r="114" spans="2:8" ht="25.5" x14ac:dyDescent="0.2">
      <c r="B114" s="793" t="s">
        <v>3600</v>
      </c>
      <c r="C114" s="771">
        <f t="shared" si="5"/>
        <v>0</v>
      </c>
      <c r="D114" s="853">
        <f t="shared" si="5"/>
        <v>0</v>
      </c>
      <c r="E114" s="852">
        <f t="shared" si="4"/>
        <v>0</v>
      </c>
      <c r="F114" s="791"/>
      <c r="G114" s="114">
        <f t="shared" si="2"/>
        <v>0</v>
      </c>
      <c r="H114" s="720">
        <f t="shared" si="3"/>
        <v>0</v>
      </c>
    </row>
    <row r="115" spans="2:8" x14ac:dyDescent="0.2">
      <c r="B115" s="793" t="s">
        <v>3601</v>
      </c>
      <c r="C115" s="771">
        <f t="shared" si="5"/>
        <v>0</v>
      </c>
      <c r="D115" s="853">
        <f t="shared" si="5"/>
        <v>0</v>
      </c>
      <c r="E115" s="852">
        <f t="shared" si="4"/>
        <v>0</v>
      </c>
      <c r="F115" s="791"/>
      <c r="G115" s="114">
        <f t="shared" si="2"/>
        <v>0</v>
      </c>
      <c r="H115" s="720">
        <f t="shared" si="3"/>
        <v>0</v>
      </c>
    </row>
    <row r="116" spans="2:8" ht="38.25" x14ac:dyDescent="0.2">
      <c r="B116" s="793" t="s">
        <v>3602</v>
      </c>
      <c r="C116" s="771">
        <f t="shared" si="5"/>
        <v>0</v>
      </c>
      <c r="D116" s="853">
        <f t="shared" si="5"/>
        <v>0</v>
      </c>
      <c r="E116" s="852">
        <f t="shared" si="4"/>
        <v>0</v>
      </c>
      <c r="F116" s="791"/>
      <c r="G116" s="114">
        <f t="shared" si="2"/>
        <v>0</v>
      </c>
      <c r="H116" s="720">
        <f t="shared" si="3"/>
        <v>0</v>
      </c>
    </row>
    <row r="117" spans="2:8" x14ac:dyDescent="0.2">
      <c r="B117" s="793" t="s">
        <v>2058</v>
      </c>
      <c r="C117" s="771">
        <f>1*D53</f>
        <v>0</v>
      </c>
      <c r="D117" s="770">
        <f>1*E53</f>
        <v>0</v>
      </c>
      <c r="E117" s="718">
        <f t="shared" si="4"/>
        <v>0</v>
      </c>
      <c r="F117" s="791"/>
      <c r="G117" s="114">
        <f t="shared" si="2"/>
        <v>0</v>
      </c>
      <c r="H117" s="720">
        <f t="shared" si="3"/>
        <v>0</v>
      </c>
    </row>
    <row r="118" spans="2:8" x14ac:dyDescent="0.2">
      <c r="B118" s="790"/>
      <c r="C118" s="721">
        <f>SUM(C96:C117)</f>
        <v>0</v>
      </c>
      <c r="D118" s="722">
        <f>SUM(D96:D117)</f>
        <v>0</v>
      </c>
      <c r="E118" s="719">
        <f>SUM(E96:E117)</f>
        <v>0</v>
      </c>
      <c r="F118" s="214"/>
      <c r="G118" s="721">
        <f>SUM(G96:G117)</f>
        <v>0</v>
      </c>
      <c r="H118" s="722">
        <f>SUM(H96:H117)</f>
        <v>0</v>
      </c>
    </row>
    <row r="129" spans="21:21" x14ac:dyDescent="0.2">
      <c r="U129" t="s">
        <v>4117</v>
      </c>
    </row>
  </sheetData>
  <sheetProtection algorithmName="SHA-512" hashValue="cprZDPF/Fl1XIdnpOjQsGStEIYTmkVy79XnbAdO4aOhN8pi5FemD0wCHACYsNK/eqzgovQyxZKYLlGEFd0nGuA==" saltValue="/J/cQE5iKihbc4071ZyAQA==" spinCount="100000" sheet="1" objects="1" scenarios="1"/>
  <mergeCells count="5">
    <mergeCell ref="B91:H92"/>
    <mergeCell ref="G94:H94"/>
    <mergeCell ref="A2:C2"/>
    <mergeCell ref="A5:C5"/>
    <mergeCell ref="B61:I61"/>
  </mergeCells>
  <conditionalFormatting sqref="B35:E42 C50:E52 B53:E56">
    <cfRule type="expression" dxfId="32" priority="11">
      <formula>#REF!=2</formula>
    </cfRule>
  </conditionalFormatting>
  <conditionalFormatting sqref="B43">
    <cfRule type="expression" dxfId="31" priority="10">
      <formula>#REF!=2</formula>
    </cfRule>
  </conditionalFormatting>
  <conditionalFormatting sqref="E47:E49">
    <cfRule type="expression" dxfId="30" priority="9">
      <formula>#REF!=2</formula>
    </cfRule>
  </conditionalFormatting>
  <conditionalFormatting sqref="C43:E43">
    <cfRule type="expression" dxfId="29" priority="8">
      <formula>#REF!=2</formula>
    </cfRule>
  </conditionalFormatting>
  <conditionalFormatting sqref="B44">
    <cfRule type="expression" dxfId="28" priority="7">
      <formula>#REF!=2</formula>
    </cfRule>
  </conditionalFormatting>
  <conditionalFormatting sqref="C44:C49">
    <cfRule type="expression" dxfId="27" priority="6">
      <formula>#REF!=2</formula>
    </cfRule>
  </conditionalFormatting>
  <conditionalFormatting sqref="D44:D49">
    <cfRule type="expression" dxfId="26" priority="5">
      <formula>#REF!=2</formula>
    </cfRule>
  </conditionalFormatting>
  <conditionalFormatting sqref="E44:E46">
    <cfRule type="expression" dxfId="25" priority="4">
      <formula>#REF!=2</formula>
    </cfRule>
  </conditionalFormatting>
  <conditionalFormatting sqref="B45:B50">
    <cfRule type="expression" dxfId="24" priority="3">
      <formula>#REF!=2</formula>
    </cfRule>
  </conditionalFormatting>
  <conditionalFormatting sqref="B51">
    <cfRule type="expression" dxfId="23" priority="2">
      <formula>#REF!=2</formula>
    </cfRule>
  </conditionalFormatting>
  <conditionalFormatting sqref="B52">
    <cfRule type="expression" dxfId="22" priority="1">
      <formula>#REF!=2</formula>
    </cfRule>
  </conditionalFormatting>
  <pageMargins left="0.7" right="0.7" top="0.75" bottom="0.75" header="0.3" footer="0.3"/>
  <pageSetup scale="47" fitToWidth="2"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500-000000000000}">
          <x14:formula1>
            <xm:f>'2019 Summary ROD'!$A$6:$A$107</xm:f>
          </x14:formula1>
          <xm:sqref>C14</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102CA-0247-40B2-8949-024A0A00A6EA}">
  <dimension ref="A1:Y121"/>
  <sheetViews>
    <sheetView workbookViewId="0">
      <selection activeCell="G21" sqref="G21"/>
    </sheetView>
  </sheetViews>
  <sheetFormatPr defaultRowHeight="12.75" x14ac:dyDescent="0.2"/>
  <cols>
    <col min="1" max="1" width="32" style="1247" customWidth="1"/>
    <col min="2" max="3" width="12.7109375" style="1247" customWidth="1"/>
    <col min="4" max="4" width="15.85546875" style="1247" customWidth="1"/>
    <col min="5" max="5" width="2.7109375" style="1247" customWidth="1"/>
    <col min="6" max="9" width="15.7109375" style="1247" customWidth="1"/>
    <col min="10" max="10" width="2.7109375" style="1247" customWidth="1"/>
    <col min="11" max="14" width="15.7109375" style="1247" customWidth="1"/>
    <col min="15" max="15" width="2.7109375" style="1247" customWidth="1"/>
    <col min="16" max="18" width="15.7109375" style="1247" customWidth="1"/>
    <col min="19" max="19" width="2.7109375" style="1247" customWidth="1"/>
    <col min="20" max="20" width="15.7109375" style="1247" customWidth="1"/>
    <col min="21" max="21" width="19.7109375" style="1247" customWidth="1"/>
    <col min="22" max="16384" width="9.140625" style="1247"/>
  </cols>
  <sheetData>
    <row r="1" spans="1:25" ht="15" x14ac:dyDescent="0.25">
      <c r="A1" s="1212" t="s">
        <v>4800</v>
      </c>
      <c r="B1" s="1213"/>
      <c r="C1" s="1213"/>
      <c r="D1" s="1214"/>
      <c r="E1" s="1212"/>
      <c r="F1" s="1214"/>
      <c r="G1" s="1214"/>
      <c r="H1" s="1214"/>
      <c r="I1" s="1214"/>
      <c r="J1" s="1212"/>
      <c r="K1" s="1214"/>
      <c r="L1" s="1214"/>
      <c r="M1" s="1214"/>
      <c r="N1" s="1214"/>
      <c r="O1" s="1212"/>
      <c r="P1" s="1214"/>
      <c r="Q1" s="1214"/>
      <c r="R1" s="1214"/>
      <c r="S1" s="1214"/>
      <c r="T1" s="1214"/>
      <c r="U1" s="1214"/>
    </row>
    <row r="2" spans="1:25" ht="15" x14ac:dyDescent="0.25">
      <c r="A2" s="1212" t="s">
        <v>3981</v>
      </c>
      <c r="B2" s="1215"/>
      <c r="C2" s="1215"/>
      <c r="D2" s="1214"/>
      <c r="E2" s="1212"/>
      <c r="F2" s="1214"/>
      <c r="G2" s="1214"/>
      <c r="H2" s="1214"/>
      <c r="I2" s="1214"/>
      <c r="J2" s="1212"/>
      <c r="K2" s="1214"/>
      <c r="L2" s="1214"/>
      <c r="M2" s="1214"/>
      <c r="N2" s="1214"/>
      <c r="O2" s="1212"/>
      <c r="P2" s="1214"/>
      <c r="Q2" s="1214"/>
      <c r="R2" s="1214"/>
      <c r="S2" s="1214"/>
      <c r="T2" s="1214"/>
      <c r="U2" s="1214"/>
    </row>
    <row r="3" spans="1:25" ht="15" x14ac:dyDescent="0.25">
      <c r="A3" s="1216"/>
      <c r="B3" s="1215"/>
      <c r="C3" s="1215"/>
      <c r="D3" s="1214"/>
      <c r="E3" s="1212"/>
      <c r="F3" s="1214"/>
      <c r="G3" s="1214"/>
      <c r="H3" s="1214"/>
      <c r="I3" s="1214"/>
      <c r="J3" s="1212"/>
      <c r="K3" s="1214"/>
      <c r="L3" s="1214"/>
      <c r="M3" s="1214"/>
      <c r="N3" s="1214"/>
      <c r="O3" s="1212"/>
      <c r="P3" s="1214"/>
      <c r="Q3" s="1214"/>
      <c r="R3" s="1214"/>
      <c r="S3" s="1212"/>
      <c r="T3" s="1214"/>
      <c r="U3" s="1214"/>
    </row>
    <row r="4" spans="1:25" ht="15" x14ac:dyDescent="0.25">
      <c r="A4" s="1212">
        <v>1</v>
      </c>
      <c r="B4" s="1237">
        <v>2</v>
      </c>
      <c r="C4" s="1237">
        <v>3</v>
      </c>
      <c r="D4" s="1238">
        <v>4</v>
      </c>
      <c r="E4" s="1212">
        <v>5</v>
      </c>
      <c r="F4" s="1212">
        <v>6</v>
      </c>
      <c r="G4" s="1212">
        <v>7</v>
      </c>
      <c r="H4" s="1212">
        <v>8</v>
      </c>
      <c r="I4" s="1212">
        <v>9</v>
      </c>
      <c r="J4" s="1212">
        <v>10</v>
      </c>
      <c r="K4" s="1212">
        <v>11</v>
      </c>
      <c r="L4" s="1212">
        <v>12</v>
      </c>
      <c r="M4" s="1212">
        <v>13</v>
      </c>
      <c r="N4" s="1212">
        <v>14</v>
      </c>
      <c r="O4" s="1212"/>
      <c r="P4" s="1212">
        <v>16</v>
      </c>
      <c r="Q4" s="1212">
        <v>17</v>
      </c>
      <c r="R4" s="1212">
        <v>18</v>
      </c>
      <c r="S4" s="1212">
        <v>19</v>
      </c>
      <c r="T4" s="1207">
        <v>21</v>
      </c>
      <c r="U4" s="1207">
        <v>21</v>
      </c>
    </row>
    <row r="5" spans="1:25" ht="15" x14ac:dyDescent="0.25">
      <c r="A5" s="1207"/>
      <c r="B5" s="1207"/>
      <c r="C5" s="1207"/>
      <c r="D5" s="1207"/>
      <c r="E5" s="1207"/>
      <c r="F5" s="1217" t="s">
        <v>1171</v>
      </c>
      <c r="G5" s="1217"/>
      <c r="H5" s="1217"/>
      <c r="I5" s="1217"/>
      <c r="J5" s="1207"/>
      <c r="K5" s="1217" t="s">
        <v>1172</v>
      </c>
      <c r="L5" s="1217"/>
      <c r="M5" s="1217"/>
      <c r="N5" s="1217"/>
      <c r="O5" s="1207"/>
      <c r="P5" s="1217" t="s">
        <v>1173</v>
      </c>
      <c r="Q5" s="1217"/>
      <c r="R5" s="1217"/>
      <c r="S5" s="1218" t="s">
        <v>4108</v>
      </c>
      <c r="T5" s="1207"/>
      <c r="U5" s="1207"/>
    </row>
    <row r="6" spans="1:25" ht="164.25" customHeight="1" x14ac:dyDescent="0.25">
      <c r="A6" s="1219" t="s">
        <v>4109</v>
      </c>
      <c r="B6" s="1219" t="s">
        <v>2113</v>
      </c>
      <c r="C6" s="1219" t="s">
        <v>2114</v>
      </c>
      <c r="D6" s="1219" t="s">
        <v>4110</v>
      </c>
      <c r="E6" s="1219"/>
      <c r="F6" s="1219" t="s">
        <v>1177</v>
      </c>
      <c r="G6" s="1219" t="s">
        <v>1178</v>
      </c>
      <c r="H6" s="1219" t="s">
        <v>1179</v>
      </c>
      <c r="I6" s="1219" t="s">
        <v>1180</v>
      </c>
      <c r="J6" s="1219"/>
      <c r="K6" s="1219" t="s">
        <v>1177</v>
      </c>
      <c r="L6" s="1219" t="s">
        <v>4111</v>
      </c>
      <c r="M6" s="1219" t="s">
        <v>1179</v>
      </c>
      <c r="N6" s="1219" t="s">
        <v>1180</v>
      </c>
      <c r="O6" s="1219"/>
      <c r="P6" s="1219" t="s">
        <v>1181</v>
      </c>
      <c r="Q6" s="1219" t="s">
        <v>1182</v>
      </c>
      <c r="R6" s="1219" t="s">
        <v>1183</v>
      </c>
      <c r="S6" s="1219"/>
      <c r="T6" s="1219" t="s">
        <v>4112</v>
      </c>
      <c r="U6" s="1219" t="s">
        <v>4113</v>
      </c>
    </row>
    <row r="7" spans="1:25" ht="15" x14ac:dyDescent="0.25">
      <c r="A7" s="1220" t="s">
        <v>4114</v>
      </c>
      <c r="B7" s="1221">
        <v>0</v>
      </c>
      <c r="C7" s="1221">
        <v>0</v>
      </c>
      <c r="D7" s="1221">
        <v>0</v>
      </c>
      <c r="E7" s="1221"/>
      <c r="F7" s="1221">
        <v>0</v>
      </c>
      <c r="G7" s="1221">
        <v>0</v>
      </c>
      <c r="H7" s="1221">
        <v>0</v>
      </c>
      <c r="I7" s="1221">
        <v>0</v>
      </c>
      <c r="J7" s="1221"/>
      <c r="K7" s="1221">
        <v>0</v>
      </c>
      <c r="L7" s="1221">
        <v>0</v>
      </c>
      <c r="M7" s="1221">
        <v>0</v>
      </c>
      <c r="N7" s="1221">
        <v>0</v>
      </c>
      <c r="O7" s="1221"/>
      <c r="P7" s="1221">
        <v>0</v>
      </c>
      <c r="Q7" s="1221">
        <v>0</v>
      </c>
      <c r="R7" s="1221">
        <v>0</v>
      </c>
      <c r="S7" s="1221"/>
      <c r="T7" s="1207"/>
      <c r="U7" s="1207"/>
    </row>
    <row r="8" spans="1:25" ht="15" x14ac:dyDescent="0.25">
      <c r="A8" s="1204" t="s">
        <v>2539</v>
      </c>
      <c r="B8" s="1178">
        <v>1.5211300000000001E-2</v>
      </c>
      <c r="C8" s="1178">
        <v>1.4237E-2</v>
      </c>
      <c r="D8" s="1179">
        <v>-348613</v>
      </c>
      <c r="E8" s="1224"/>
      <c r="F8" s="1179">
        <v>0</v>
      </c>
      <c r="G8" s="1179">
        <v>0</v>
      </c>
      <c r="H8" s="1179">
        <v>0</v>
      </c>
      <c r="I8" s="1179">
        <v>14702</v>
      </c>
      <c r="J8" s="1007"/>
      <c r="K8" s="1179">
        <v>7104</v>
      </c>
      <c r="L8" s="1179">
        <v>29829</v>
      </c>
      <c r="M8" s="1179">
        <v>0</v>
      </c>
      <c r="N8" s="1179">
        <v>12336</v>
      </c>
      <c r="O8" s="1179"/>
      <c r="P8" s="1179">
        <v>-8214</v>
      </c>
      <c r="Q8" s="1179">
        <v>-543</v>
      </c>
      <c r="R8" s="1179">
        <v>-8757</v>
      </c>
      <c r="S8" s="1179"/>
      <c r="T8" s="1179">
        <v>-296103</v>
      </c>
      <c r="U8" s="1179">
        <v>-393045</v>
      </c>
      <c r="V8" s="1179"/>
      <c r="X8" s="1179"/>
      <c r="Y8" s="1179"/>
    </row>
    <row r="9" spans="1:25" ht="15" x14ac:dyDescent="0.25">
      <c r="A9" s="1204" t="s">
        <v>2540</v>
      </c>
      <c r="B9" s="1178">
        <v>2.6903999999999999E-3</v>
      </c>
      <c r="C9" s="1178">
        <v>2.5801999999999999E-3</v>
      </c>
      <c r="D9" s="36">
        <v>-61659</v>
      </c>
      <c r="E9" s="1224"/>
      <c r="F9" s="36">
        <v>0</v>
      </c>
      <c r="G9" s="36">
        <v>0</v>
      </c>
      <c r="H9" s="36">
        <v>0</v>
      </c>
      <c r="I9" s="36">
        <v>2625</v>
      </c>
      <c r="J9" s="1007"/>
      <c r="K9" s="36">
        <v>1256</v>
      </c>
      <c r="L9" s="36">
        <v>5276</v>
      </c>
      <c r="M9" s="36">
        <v>0</v>
      </c>
      <c r="N9" s="36">
        <v>1395</v>
      </c>
      <c r="O9" s="36"/>
      <c r="P9" s="36">
        <v>-1453</v>
      </c>
      <c r="Q9" s="36">
        <v>29</v>
      </c>
      <c r="R9" s="36">
        <v>-1424</v>
      </c>
      <c r="S9" s="36"/>
      <c r="T9" s="36">
        <v>-52371</v>
      </c>
      <c r="U9" s="36">
        <v>-69517</v>
      </c>
      <c r="V9" s="36"/>
      <c r="X9" s="36"/>
      <c r="Y9" s="36"/>
    </row>
    <row r="10" spans="1:25" ht="15" x14ac:dyDescent="0.25">
      <c r="A10" s="1204" t="s">
        <v>2541</v>
      </c>
      <c r="B10" s="1178">
        <v>1.5268E-3</v>
      </c>
      <c r="C10" s="1178">
        <v>1.4319999999999999E-3</v>
      </c>
      <c r="D10" s="36">
        <v>-34991</v>
      </c>
      <c r="E10" s="1224"/>
      <c r="F10" s="36">
        <v>0</v>
      </c>
      <c r="G10" s="36">
        <v>0</v>
      </c>
      <c r="H10" s="36">
        <v>0</v>
      </c>
      <c r="I10" s="36">
        <v>662</v>
      </c>
      <c r="J10" s="1007"/>
      <c r="K10" s="36">
        <v>713</v>
      </c>
      <c r="L10" s="36">
        <v>2994</v>
      </c>
      <c r="M10" s="36">
        <v>0</v>
      </c>
      <c r="N10" s="36">
        <v>1199</v>
      </c>
      <c r="O10" s="36"/>
      <c r="P10" s="36">
        <v>-824</v>
      </c>
      <c r="Q10" s="36">
        <v>-503</v>
      </c>
      <c r="R10" s="36">
        <v>-1327</v>
      </c>
      <c r="S10" s="36"/>
      <c r="T10" s="36">
        <v>-29721</v>
      </c>
      <c r="U10" s="36">
        <v>-39451</v>
      </c>
      <c r="V10" s="36"/>
      <c r="X10" s="36"/>
      <c r="Y10" s="36"/>
    </row>
    <row r="11" spans="1:25" ht="15" x14ac:dyDescent="0.25">
      <c r="A11" s="1204" t="s">
        <v>2542</v>
      </c>
      <c r="B11" s="1178">
        <v>1.5845E-3</v>
      </c>
      <c r="C11" s="1178">
        <v>1.5166999999999999E-3</v>
      </c>
      <c r="D11" s="36">
        <v>-36314</v>
      </c>
      <c r="E11" s="1224"/>
      <c r="F11" s="36">
        <v>0</v>
      </c>
      <c r="G11" s="36">
        <v>0</v>
      </c>
      <c r="H11" s="36">
        <v>0</v>
      </c>
      <c r="I11" s="36">
        <v>2073</v>
      </c>
      <c r="J11" s="1007"/>
      <c r="K11" s="36">
        <v>740</v>
      </c>
      <c r="L11" s="36">
        <v>3107</v>
      </c>
      <c r="M11" s="36">
        <v>0</v>
      </c>
      <c r="N11" s="36">
        <v>859</v>
      </c>
      <c r="O11" s="36"/>
      <c r="P11" s="36">
        <v>-856</v>
      </c>
      <c r="Q11" s="36">
        <v>248</v>
      </c>
      <c r="R11" s="36">
        <v>-608</v>
      </c>
      <c r="S11" s="36"/>
      <c r="T11" s="36">
        <v>-30844</v>
      </c>
      <c r="U11" s="36">
        <v>-40942</v>
      </c>
      <c r="V11" s="36"/>
      <c r="X11" s="36"/>
      <c r="Y11" s="36"/>
    </row>
    <row r="12" spans="1:25" ht="15" x14ac:dyDescent="0.25">
      <c r="A12" s="1204" t="s">
        <v>2543</v>
      </c>
      <c r="B12" s="1178">
        <v>3.3084E-3</v>
      </c>
      <c r="C12" s="1178">
        <v>2.9805999999999999E-3</v>
      </c>
      <c r="D12" s="36">
        <v>-75822</v>
      </c>
      <c r="E12" s="1224"/>
      <c r="F12" s="36">
        <v>0</v>
      </c>
      <c r="G12" s="36">
        <v>0</v>
      </c>
      <c r="H12" s="36">
        <v>0</v>
      </c>
      <c r="I12" s="36">
        <v>4754</v>
      </c>
      <c r="J12" s="1007"/>
      <c r="K12" s="36">
        <v>1545</v>
      </c>
      <c r="L12" s="36">
        <v>6488</v>
      </c>
      <c r="M12" s="36">
        <v>0</v>
      </c>
      <c r="N12" s="36">
        <v>4150</v>
      </c>
      <c r="O12" s="36"/>
      <c r="P12" s="36">
        <v>-1787</v>
      </c>
      <c r="Q12" s="36">
        <v>33</v>
      </c>
      <c r="R12" s="36">
        <v>-1754</v>
      </c>
      <c r="S12" s="36"/>
      <c r="T12" s="36">
        <v>-64401</v>
      </c>
      <c r="U12" s="36">
        <v>-85486</v>
      </c>
      <c r="V12" s="36"/>
      <c r="X12" s="36"/>
      <c r="Y12" s="36"/>
    </row>
    <row r="13" spans="1:25" ht="15" x14ac:dyDescent="0.25">
      <c r="A13" s="1204" t="s">
        <v>2544</v>
      </c>
      <c r="B13" s="1178">
        <v>3.4983000000000002E-3</v>
      </c>
      <c r="C13" s="1178">
        <v>2.875E-3</v>
      </c>
      <c r="D13" s="36">
        <v>-80174</v>
      </c>
      <c r="E13" s="1224"/>
      <c r="F13" s="36">
        <v>0</v>
      </c>
      <c r="G13" s="36">
        <v>0</v>
      </c>
      <c r="H13" s="36">
        <v>0</v>
      </c>
      <c r="I13" s="36">
        <v>12291</v>
      </c>
      <c r="J13" s="1007"/>
      <c r="K13" s="36">
        <v>1634</v>
      </c>
      <c r="L13" s="36">
        <v>6860</v>
      </c>
      <c r="M13" s="36">
        <v>0</v>
      </c>
      <c r="N13" s="36">
        <v>7892</v>
      </c>
      <c r="O13" s="36"/>
      <c r="P13" s="36">
        <v>-1889</v>
      </c>
      <c r="Q13" s="36">
        <v>-6571</v>
      </c>
      <c r="R13" s="36">
        <v>-8460</v>
      </c>
      <c r="S13" s="36"/>
      <c r="T13" s="36">
        <v>-68098</v>
      </c>
      <c r="U13" s="36">
        <v>-90393</v>
      </c>
      <c r="V13" s="36"/>
      <c r="X13" s="36"/>
      <c r="Y13" s="36"/>
    </row>
    <row r="14" spans="1:25" ht="15" x14ac:dyDescent="0.25">
      <c r="A14" s="1204" t="s">
        <v>2545</v>
      </c>
      <c r="B14" s="1178">
        <v>4.0425000000000001E-3</v>
      </c>
      <c r="C14" s="1178">
        <v>4.0492999999999996E-3</v>
      </c>
      <c r="D14" s="36">
        <v>-92646</v>
      </c>
      <c r="E14" s="1224"/>
      <c r="F14" s="36">
        <v>0</v>
      </c>
      <c r="G14" s="36">
        <v>0</v>
      </c>
      <c r="H14" s="36">
        <v>0</v>
      </c>
      <c r="I14" s="36">
        <v>5321</v>
      </c>
      <c r="J14" s="1007"/>
      <c r="K14" s="36">
        <v>1888</v>
      </c>
      <c r="L14" s="36">
        <v>7927</v>
      </c>
      <c r="M14" s="36">
        <v>0</v>
      </c>
      <c r="N14" s="36">
        <v>0</v>
      </c>
      <c r="O14" s="36"/>
      <c r="P14" s="36">
        <v>-2183</v>
      </c>
      <c r="Q14" s="36">
        <v>2389</v>
      </c>
      <c r="R14" s="36">
        <v>206</v>
      </c>
      <c r="S14" s="36"/>
      <c r="T14" s="36">
        <v>-78691</v>
      </c>
      <c r="U14" s="36">
        <v>-104454</v>
      </c>
      <c r="V14" s="36"/>
      <c r="X14" s="36"/>
      <c r="Y14" s="36"/>
    </row>
    <row r="15" spans="1:25" ht="15" x14ac:dyDescent="0.25">
      <c r="A15" s="1204" t="s">
        <v>2546</v>
      </c>
      <c r="B15" s="1178">
        <v>8.7920000000000001E-4</v>
      </c>
      <c r="C15" s="1178">
        <v>9.634E-4</v>
      </c>
      <c r="D15" s="36">
        <v>-20150</v>
      </c>
      <c r="E15" s="1224"/>
      <c r="F15" s="36">
        <v>0</v>
      </c>
      <c r="G15" s="36">
        <v>0</v>
      </c>
      <c r="H15" s="36">
        <v>0</v>
      </c>
      <c r="I15" s="36">
        <v>3080</v>
      </c>
      <c r="J15" s="1007"/>
      <c r="K15" s="36">
        <v>411</v>
      </c>
      <c r="L15" s="36">
        <v>1724</v>
      </c>
      <c r="M15" s="36">
        <v>0</v>
      </c>
      <c r="N15" s="36">
        <v>0</v>
      </c>
      <c r="O15" s="36"/>
      <c r="P15" s="36">
        <v>-475</v>
      </c>
      <c r="Q15" s="36">
        <v>1954</v>
      </c>
      <c r="R15" s="36">
        <v>1479</v>
      </c>
      <c r="S15" s="36"/>
      <c r="T15" s="36">
        <v>-17115</v>
      </c>
      <c r="U15" s="36">
        <v>-22718</v>
      </c>
      <c r="V15" s="36"/>
      <c r="X15" s="36"/>
      <c r="Y15" s="36"/>
    </row>
    <row r="16" spans="1:25" ht="15" x14ac:dyDescent="0.25">
      <c r="A16" s="1204" t="s">
        <v>2547</v>
      </c>
      <c r="B16" s="1178">
        <v>2.1450000000000002E-3</v>
      </c>
      <c r="C16" s="1178">
        <v>1.9661000000000001E-3</v>
      </c>
      <c r="D16" s="36">
        <v>-49159</v>
      </c>
      <c r="E16" s="1224"/>
      <c r="F16" s="36">
        <v>0</v>
      </c>
      <c r="G16" s="36">
        <v>0</v>
      </c>
      <c r="H16" s="36">
        <v>0</v>
      </c>
      <c r="I16" s="36">
        <v>4814</v>
      </c>
      <c r="J16" s="1007"/>
      <c r="K16" s="36">
        <v>1002</v>
      </c>
      <c r="L16" s="36">
        <v>4206</v>
      </c>
      <c r="M16" s="36">
        <v>0</v>
      </c>
      <c r="N16" s="36">
        <v>2265</v>
      </c>
      <c r="O16" s="36"/>
      <c r="P16" s="36">
        <v>-1158</v>
      </c>
      <c r="Q16" s="36">
        <v>1716</v>
      </c>
      <c r="R16" s="36">
        <v>558</v>
      </c>
      <c r="S16" s="36"/>
      <c r="T16" s="36">
        <v>-41755</v>
      </c>
      <c r="U16" s="36">
        <v>-55425</v>
      </c>
      <c r="V16" s="36"/>
      <c r="X16" s="36"/>
      <c r="Y16" s="36"/>
    </row>
    <row r="17" spans="1:25" ht="15" x14ac:dyDescent="0.25">
      <c r="A17" s="1204" t="s">
        <v>2548</v>
      </c>
      <c r="B17" s="1178">
        <v>2.2805300000000001E-2</v>
      </c>
      <c r="C17" s="1178">
        <v>1.9396699999999999E-2</v>
      </c>
      <c r="D17" s="36">
        <v>-522652</v>
      </c>
      <c r="E17" s="1224"/>
      <c r="F17" s="36">
        <v>0</v>
      </c>
      <c r="G17" s="36">
        <v>0</v>
      </c>
      <c r="H17" s="36">
        <v>0</v>
      </c>
      <c r="I17" s="36">
        <v>55442</v>
      </c>
      <c r="J17" s="1007"/>
      <c r="K17" s="36">
        <v>10650</v>
      </c>
      <c r="L17" s="36">
        <v>44721</v>
      </c>
      <c r="M17" s="36">
        <v>0</v>
      </c>
      <c r="N17" s="36">
        <v>43157</v>
      </c>
      <c r="O17" s="36"/>
      <c r="P17" s="36">
        <v>-12315</v>
      </c>
      <c r="Q17" s="36">
        <v>-17116</v>
      </c>
      <c r="R17" s="36">
        <v>-29431</v>
      </c>
      <c r="S17" s="36"/>
      <c r="T17" s="36">
        <v>-443928</v>
      </c>
      <c r="U17" s="36">
        <v>-589266</v>
      </c>
      <c r="V17" s="36"/>
      <c r="X17" s="36"/>
      <c r="Y17" s="36"/>
    </row>
    <row r="18" spans="1:25" ht="15" x14ac:dyDescent="0.25">
      <c r="A18" s="1204" t="s">
        <v>2549</v>
      </c>
      <c r="B18" s="1178">
        <v>3.09187E-2</v>
      </c>
      <c r="C18" s="1178">
        <v>2.89296E-2</v>
      </c>
      <c r="D18" s="36">
        <v>-708595</v>
      </c>
      <c r="E18" s="1224"/>
      <c r="F18" s="36">
        <v>0</v>
      </c>
      <c r="G18" s="36">
        <v>0</v>
      </c>
      <c r="H18" s="36">
        <v>0</v>
      </c>
      <c r="I18" s="36">
        <v>27694</v>
      </c>
      <c r="J18" s="1007"/>
      <c r="K18" s="36">
        <v>14439</v>
      </c>
      <c r="L18" s="36">
        <v>60632</v>
      </c>
      <c r="M18" s="36">
        <v>0</v>
      </c>
      <c r="N18" s="36">
        <v>25185</v>
      </c>
      <c r="O18" s="36"/>
      <c r="P18" s="36">
        <v>-16696</v>
      </c>
      <c r="Q18" s="36">
        <v>25483</v>
      </c>
      <c r="R18" s="36">
        <v>8787</v>
      </c>
      <c r="S18" s="36"/>
      <c r="T18" s="36">
        <v>-601863</v>
      </c>
      <c r="U18" s="36">
        <v>-798908</v>
      </c>
      <c r="V18" s="36"/>
      <c r="X18" s="36"/>
      <c r="Y18" s="36"/>
    </row>
    <row r="19" spans="1:25" ht="15" x14ac:dyDescent="0.25">
      <c r="A19" s="1204" t="s">
        <v>2550</v>
      </c>
      <c r="B19" s="1178">
        <v>6.3645999999999998E-3</v>
      </c>
      <c r="C19" s="1178">
        <v>8.5412000000000005E-3</v>
      </c>
      <c r="D19" s="36">
        <v>-145864</v>
      </c>
      <c r="E19" s="1224"/>
      <c r="F19" s="36">
        <v>0</v>
      </c>
      <c r="G19" s="36">
        <v>0</v>
      </c>
      <c r="H19" s="36">
        <v>0</v>
      </c>
      <c r="I19" s="36">
        <v>70924</v>
      </c>
      <c r="J19" s="1007"/>
      <c r="K19" s="36">
        <v>2972</v>
      </c>
      <c r="L19" s="36">
        <v>12481</v>
      </c>
      <c r="M19" s="36">
        <v>0</v>
      </c>
      <c r="N19" s="36">
        <v>0</v>
      </c>
      <c r="O19" s="36"/>
      <c r="P19" s="36">
        <v>-3437</v>
      </c>
      <c r="Q19" s="36">
        <v>21241</v>
      </c>
      <c r="R19" s="36">
        <v>17804</v>
      </c>
      <c r="S19" s="36"/>
      <c r="T19" s="36">
        <v>-123893</v>
      </c>
      <c r="U19" s="36">
        <v>-164455</v>
      </c>
      <c r="V19" s="36"/>
      <c r="X19" s="36"/>
      <c r="Y19" s="36"/>
    </row>
    <row r="20" spans="1:25" ht="15" x14ac:dyDescent="0.25">
      <c r="A20" s="1204" t="s">
        <v>2551</v>
      </c>
      <c r="B20" s="1178">
        <v>2.2529899999999999E-2</v>
      </c>
      <c r="C20" s="1178">
        <v>2.0715899999999999E-2</v>
      </c>
      <c r="D20" s="36">
        <v>-516340</v>
      </c>
      <c r="E20" s="1224"/>
      <c r="F20" s="36">
        <v>0</v>
      </c>
      <c r="G20" s="36">
        <v>0</v>
      </c>
      <c r="H20" s="36">
        <v>0</v>
      </c>
      <c r="I20" s="36">
        <v>20231</v>
      </c>
      <c r="J20" s="1007"/>
      <c r="K20" s="36">
        <v>10521</v>
      </c>
      <c r="L20" s="36">
        <v>44181</v>
      </c>
      <c r="M20" s="36">
        <v>0</v>
      </c>
      <c r="N20" s="36">
        <v>22968</v>
      </c>
      <c r="O20" s="36"/>
      <c r="P20" s="36">
        <v>-12166</v>
      </c>
      <c r="Q20" s="36">
        <v>6342</v>
      </c>
      <c r="R20" s="36">
        <v>-5824</v>
      </c>
      <c r="S20" s="36"/>
      <c r="T20" s="36">
        <v>-438567</v>
      </c>
      <c r="U20" s="36">
        <v>-582150</v>
      </c>
      <c r="V20" s="36"/>
      <c r="X20" s="36"/>
      <c r="Y20" s="36"/>
    </row>
    <row r="21" spans="1:25" ht="15" x14ac:dyDescent="0.25">
      <c r="A21" s="1204" t="s">
        <v>2552</v>
      </c>
      <c r="B21" s="1178">
        <v>6.6167999999999999E-3</v>
      </c>
      <c r="C21" s="1178">
        <v>6.1246E-3</v>
      </c>
      <c r="D21" s="36">
        <v>-151644</v>
      </c>
      <c r="E21" s="1224"/>
      <c r="F21" s="36">
        <v>0</v>
      </c>
      <c r="G21" s="36">
        <v>0</v>
      </c>
      <c r="H21" s="36">
        <v>0</v>
      </c>
      <c r="I21" s="36">
        <v>7204</v>
      </c>
      <c r="J21" s="1007"/>
      <c r="K21" s="36">
        <v>3090</v>
      </c>
      <c r="L21" s="36">
        <v>12976</v>
      </c>
      <c r="M21" s="36">
        <v>0</v>
      </c>
      <c r="N21" s="36">
        <v>6233</v>
      </c>
      <c r="O21" s="36"/>
      <c r="P21" s="36">
        <v>-3573</v>
      </c>
      <c r="Q21" s="36">
        <v>-686</v>
      </c>
      <c r="R21" s="36">
        <v>-4259</v>
      </c>
      <c r="S21" s="36"/>
      <c r="T21" s="36">
        <v>-128803</v>
      </c>
      <c r="U21" s="36">
        <v>-170971</v>
      </c>
      <c r="V21" s="36"/>
      <c r="X21" s="36"/>
      <c r="Y21" s="36"/>
    </row>
    <row r="22" spans="1:25" ht="15" x14ac:dyDescent="0.25">
      <c r="A22" s="1204" t="s">
        <v>2553</v>
      </c>
      <c r="B22" s="1178">
        <v>1.2333999999999999E-3</v>
      </c>
      <c r="C22" s="1178">
        <v>1.0122E-3</v>
      </c>
      <c r="D22" s="36">
        <v>-28267</v>
      </c>
      <c r="E22" s="1224"/>
      <c r="F22" s="36">
        <v>0</v>
      </c>
      <c r="G22" s="36">
        <v>0</v>
      </c>
      <c r="H22" s="36">
        <v>0</v>
      </c>
      <c r="I22" s="36">
        <v>1057</v>
      </c>
      <c r="J22" s="1007"/>
      <c r="K22" s="36">
        <v>576</v>
      </c>
      <c r="L22" s="36">
        <v>2419</v>
      </c>
      <c r="M22" s="36">
        <v>0</v>
      </c>
      <c r="N22" s="36">
        <v>2801</v>
      </c>
      <c r="O22" s="36"/>
      <c r="P22" s="36">
        <v>-666</v>
      </c>
      <c r="Q22" s="36">
        <v>-1275</v>
      </c>
      <c r="R22" s="36">
        <v>-1941</v>
      </c>
      <c r="S22" s="36"/>
      <c r="T22" s="36">
        <v>-24009</v>
      </c>
      <c r="U22" s="36">
        <v>-31870</v>
      </c>
      <c r="V22" s="36"/>
      <c r="X22" s="36"/>
      <c r="Y22" s="36"/>
    </row>
    <row r="23" spans="1:25" ht="15" x14ac:dyDescent="0.25">
      <c r="A23" s="1204" t="s">
        <v>2554</v>
      </c>
      <c r="B23" s="1178">
        <v>1.0451200000000001E-2</v>
      </c>
      <c r="C23" s="1178">
        <v>9.0764000000000001E-3</v>
      </c>
      <c r="D23" s="36">
        <v>-239521</v>
      </c>
      <c r="E23" s="1224"/>
      <c r="F23" s="36">
        <v>0</v>
      </c>
      <c r="G23" s="36">
        <v>0</v>
      </c>
      <c r="H23" s="36">
        <v>0</v>
      </c>
      <c r="I23" s="36">
        <v>15368</v>
      </c>
      <c r="J23" s="1007"/>
      <c r="K23" s="36">
        <v>4881</v>
      </c>
      <c r="L23" s="36">
        <v>20495</v>
      </c>
      <c r="M23" s="36">
        <v>0</v>
      </c>
      <c r="N23" s="36">
        <v>17407</v>
      </c>
      <c r="O23" s="36"/>
      <c r="P23" s="36">
        <v>-5644</v>
      </c>
      <c r="Q23" s="36">
        <v>-10175</v>
      </c>
      <c r="R23" s="36">
        <v>-15819</v>
      </c>
      <c r="S23" s="36"/>
      <c r="T23" s="36">
        <v>-203443</v>
      </c>
      <c r="U23" s="36">
        <v>-270049</v>
      </c>
      <c r="V23" s="36"/>
      <c r="X23" s="36"/>
      <c r="Y23" s="36"/>
    </row>
    <row r="24" spans="1:25" ht="15" x14ac:dyDescent="0.25">
      <c r="A24" s="1204" t="s">
        <v>2555</v>
      </c>
      <c r="B24" s="1178">
        <v>1.7256999999999999E-3</v>
      </c>
      <c r="C24" s="1178">
        <v>1.4601E-3</v>
      </c>
      <c r="D24" s="36">
        <v>-39550</v>
      </c>
      <c r="E24" s="1224"/>
      <c r="F24" s="36">
        <v>0</v>
      </c>
      <c r="G24" s="36">
        <v>0</v>
      </c>
      <c r="H24" s="36">
        <v>0</v>
      </c>
      <c r="I24" s="36">
        <v>0</v>
      </c>
      <c r="J24" s="1007"/>
      <c r="K24" s="36">
        <v>806</v>
      </c>
      <c r="L24" s="36">
        <v>3384</v>
      </c>
      <c r="M24" s="36">
        <v>0</v>
      </c>
      <c r="N24" s="36">
        <v>5842</v>
      </c>
      <c r="O24" s="36"/>
      <c r="P24" s="36">
        <v>-932</v>
      </c>
      <c r="Q24" s="36">
        <v>426</v>
      </c>
      <c r="R24" s="36">
        <v>-506</v>
      </c>
      <c r="S24" s="36"/>
      <c r="T24" s="36">
        <v>-33592</v>
      </c>
      <c r="U24" s="36">
        <v>-44590</v>
      </c>
      <c r="V24" s="36"/>
      <c r="X24" s="36"/>
      <c r="Y24" s="36"/>
    </row>
    <row r="25" spans="1:25" ht="15" x14ac:dyDescent="0.25">
      <c r="A25" s="1204" t="s">
        <v>2556</v>
      </c>
      <c r="B25" s="1178">
        <v>1.57266E-2</v>
      </c>
      <c r="C25" s="1178">
        <v>1.4257199999999999E-2</v>
      </c>
      <c r="D25" s="36">
        <v>-360422</v>
      </c>
      <c r="E25" s="1224"/>
      <c r="F25" s="36">
        <v>0</v>
      </c>
      <c r="G25" s="36">
        <v>0</v>
      </c>
      <c r="H25" s="36">
        <v>0</v>
      </c>
      <c r="I25" s="36">
        <v>18655</v>
      </c>
      <c r="J25" s="1007"/>
      <c r="K25" s="36">
        <v>7344</v>
      </c>
      <c r="L25" s="36">
        <v>30840</v>
      </c>
      <c r="M25" s="36">
        <v>0</v>
      </c>
      <c r="N25" s="36">
        <v>18605</v>
      </c>
      <c r="O25" s="36"/>
      <c r="P25" s="36">
        <v>-8492</v>
      </c>
      <c r="Q25" s="36">
        <v>1923</v>
      </c>
      <c r="R25" s="36">
        <v>-6569</v>
      </c>
      <c r="S25" s="36"/>
      <c r="T25" s="36">
        <v>-306134</v>
      </c>
      <c r="U25" s="36">
        <v>-406360</v>
      </c>
      <c r="V25" s="36"/>
      <c r="X25" s="36"/>
      <c r="Y25" s="36"/>
    </row>
    <row r="26" spans="1:25" ht="15" x14ac:dyDescent="0.25">
      <c r="A26" s="1204" t="s">
        <v>2557</v>
      </c>
      <c r="B26" s="1178">
        <v>8.4078999999999994E-3</v>
      </c>
      <c r="C26" s="1178">
        <v>7.2585000000000002E-3</v>
      </c>
      <c r="D26" s="36">
        <v>-192692</v>
      </c>
      <c r="E26" s="1224"/>
      <c r="F26" s="36">
        <v>0</v>
      </c>
      <c r="G26" s="36">
        <v>0</v>
      </c>
      <c r="H26" s="36">
        <v>0</v>
      </c>
      <c r="I26" s="36">
        <v>14741</v>
      </c>
      <c r="J26" s="1007"/>
      <c r="K26" s="36">
        <v>3926</v>
      </c>
      <c r="L26" s="36">
        <v>16488</v>
      </c>
      <c r="M26" s="36">
        <v>0</v>
      </c>
      <c r="N26" s="36">
        <v>14553</v>
      </c>
      <c r="O26" s="36"/>
      <c r="P26" s="36">
        <v>-4540</v>
      </c>
      <c r="Q26" s="36">
        <v>-46</v>
      </c>
      <c r="R26" s="36">
        <v>-4586</v>
      </c>
      <c r="S26" s="36"/>
      <c r="T26" s="36">
        <v>-163668</v>
      </c>
      <c r="U26" s="36">
        <v>-217252</v>
      </c>
      <c r="V26" s="36"/>
      <c r="X26" s="36"/>
      <c r="Y26" s="36"/>
    </row>
    <row r="27" spans="1:25" ht="15" x14ac:dyDescent="0.25">
      <c r="A27" s="1204" t="s">
        <v>2558</v>
      </c>
      <c r="B27" s="1178">
        <v>3.6865000000000001E-3</v>
      </c>
      <c r="C27" s="1178">
        <v>3.4056999999999998E-3</v>
      </c>
      <c r="D27" s="36">
        <v>-84487</v>
      </c>
      <c r="E27" s="1224"/>
      <c r="F27" s="36">
        <v>0</v>
      </c>
      <c r="G27" s="36">
        <v>0</v>
      </c>
      <c r="H27" s="36">
        <v>0</v>
      </c>
      <c r="I27" s="36">
        <v>5770</v>
      </c>
      <c r="J27" s="1007"/>
      <c r="K27" s="36">
        <v>1722</v>
      </c>
      <c r="L27" s="36">
        <v>7229</v>
      </c>
      <c r="M27" s="36">
        <v>0</v>
      </c>
      <c r="N27" s="36">
        <v>3555</v>
      </c>
      <c r="O27" s="36"/>
      <c r="P27" s="36">
        <v>-1991</v>
      </c>
      <c r="Q27" s="36">
        <v>-1582</v>
      </c>
      <c r="R27" s="36">
        <v>-3573</v>
      </c>
      <c r="S27" s="36"/>
      <c r="T27" s="36">
        <v>-71761</v>
      </c>
      <c r="U27" s="36">
        <v>-95255</v>
      </c>
      <c r="V27" s="36"/>
      <c r="X27" s="36"/>
      <c r="Y27" s="36"/>
    </row>
    <row r="28" spans="1:25" ht="15" x14ac:dyDescent="0.25">
      <c r="A28" s="1204" t="s">
        <v>2559</v>
      </c>
      <c r="B28" s="1178">
        <v>1.33E-3</v>
      </c>
      <c r="C28" s="1178">
        <v>1.4211E-3</v>
      </c>
      <c r="D28" s="36">
        <v>-30481</v>
      </c>
      <c r="E28" s="1224"/>
      <c r="F28" s="36">
        <v>0</v>
      </c>
      <c r="G28" s="36">
        <v>0</v>
      </c>
      <c r="H28" s="36">
        <v>0</v>
      </c>
      <c r="I28" s="36">
        <v>2789</v>
      </c>
      <c r="J28" s="1007"/>
      <c r="K28" s="36">
        <v>621</v>
      </c>
      <c r="L28" s="36">
        <v>2608</v>
      </c>
      <c r="M28" s="36">
        <v>0</v>
      </c>
      <c r="N28" s="36">
        <v>0</v>
      </c>
      <c r="O28" s="36"/>
      <c r="P28" s="36">
        <v>-718</v>
      </c>
      <c r="Q28" s="36">
        <v>920</v>
      </c>
      <c r="R28" s="36">
        <v>202</v>
      </c>
      <c r="S28" s="36"/>
      <c r="T28" s="36">
        <v>-25890</v>
      </c>
      <c r="U28" s="36">
        <v>-34366</v>
      </c>
      <c r="V28" s="36"/>
      <c r="X28" s="36"/>
      <c r="Y28" s="36"/>
    </row>
    <row r="29" spans="1:25" ht="15" x14ac:dyDescent="0.25">
      <c r="A29" s="1204" t="s">
        <v>2560</v>
      </c>
      <c r="B29" s="1178">
        <v>1.5724999999999999E-3</v>
      </c>
      <c r="C29" s="1178">
        <v>1.4793E-3</v>
      </c>
      <c r="D29" s="36">
        <v>-36039</v>
      </c>
      <c r="E29" s="1224"/>
      <c r="F29" s="36">
        <v>0</v>
      </c>
      <c r="G29" s="36">
        <v>0</v>
      </c>
      <c r="H29" s="36">
        <v>0</v>
      </c>
      <c r="I29" s="36">
        <v>1765</v>
      </c>
      <c r="J29" s="1007"/>
      <c r="K29" s="36">
        <v>734</v>
      </c>
      <c r="L29" s="36">
        <v>3084</v>
      </c>
      <c r="M29" s="36">
        <v>0</v>
      </c>
      <c r="N29" s="36">
        <v>1180</v>
      </c>
      <c r="O29" s="36"/>
      <c r="P29" s="36">
        <v>-849</v>
      </c>
      <c r="Q29" s="36">
        <v>-839</v>
      </c>
      <c r="R29" s="36">
        <v>-1688</v>
      </c>
      <c r="S29" s="36"/>
      <c r="T29" s="36">
        <v>-30610</v>
      </c>
      <c r="U29" s="36">
        <v>-40632</v>
      </c>
      <c r="V29" s="36"/>
      <c r="X29" s="36"/>
      <c r="Y29" s="36"/>
    </row>
    <row r="30" spans="1:25" ht="15" x14ac:dyDescent="0.25">
      <c r="A30" s="1204" t="s">
        <v>2561</v>
      </c>
      <c r="B30" s="1178">
        <v>8.0503999999999992E-3</v>
      </c>
      <c r="C30" s="1178">
        <v>8.1638000000000006E-3</v>
      </c>
      <c r="D30" s="36">
        <v>-184499</v>
      </c>
      <c r="E30" s="1224"/>
      <c r="F30" s="36">
        <v>0</v>
      </c>
      <c r="G30" s="36">
        <v>0</v>
      </c>
      <c r="H30" s="36">
        <v>0</v>
      </c>
      <c r="I30" s="36">
        <v>1436</v>
      </c>
      <c r="J30" s="1007"/>
      <c r="K30" s="36">
        <v>3760</v>
      </c>
      <c r="L30" s="36">
        <v>15787</v>
      </c>
      <c r="M30" s="36">
        <v>0</v>
      </c>
      <c r="N30" s="36">
        <v>1006</v>
      </c>
      <c r="O30" s="36"/>
      <c r="P30" s="36">
        <v>-4347</v>
      </c>
      <c r="Q30" s="36">
        <v>-7133</v>
      </c>
      <c r="R30" s="36">
        <v>-11480</v>
      </c>
      <c r="S30" s="36"/>
      <c r="T30" s="36">
        <v>-156709</v>
      </c>
      <c r="U30" s="36">
        <v>-208014</v>
      </c>
      <c r="V30" s="36"/>
      <c r="X30" s="36"/>
      <c r="Y30" s="36"/>
    </row>
    <row r="31" spans="1:25" ht="15" x14ac:dyDescent="0.25">
      <c r="A31" s="1204" t="s">
        <v>2562</v>
      </c>
      <c r="B31" s="1178">
        <v>3.9889000000000001E-3</v>
      </c>
      <c r="C31" s="1178">
        <v>3.9287999999999997E-3</v>
      </c>
      <c r="D31" s="36">
        <v>-91418</v>
      </c>
      <c r="E31" s="1224"/>
      <c r="F31" s="36">
        <v>0</v>
      </c>
      <c r="G31" s="36">
        <v>0</v>
      </c>
      <c r="H31" s="36">
        <v>0</v>
      </c>
      <c r="I31" s="36">
        <v>5183</v>
      </c>
      <c r="J31" s="1007"/>
      <c r="K31" s="36">
        <v>1863</v>
      </c>
      <c r="L31" s="36">
        <v>7822</v>
      </c>
      <c r="M31" s="36">
        <v>0</v>
      </c>
      <c r="N31" s="36">
        <v>761</v>
      </c>
      <c r="O31" s="36"/>
      <c r="P31" s="36">
        <v>-2154</v>
      </c>
      <c r="Q31" s="36">
        <v>498</v>
      </c>
      <c r="R31" s="36">
        <v>-1656</v>
      </c>
      <c r="S31" s="36"/>
      <c r="T31" s="36">
        <v>-77648</v>
      </c>
      <c r="U31" s="36">
        <v>-103069</v>
      </c>
      <c r="V31" s="36"/>
      <c r="X31" s="36"/>
      <c r="Y31" s="36"/>
    </row>
    <row r="32" spans="1:25" ht="15" x14ac:dyDescent="0.25">
      <c r="A32" s="1204" t="s">
        <v>2563</v>
      </c>
      <c r="B32" s="1178">
        <v>1.05161E-2</v>
      </c>
      <c r="C32" s="1178">
        <v>9.7710999999999996E-3</v>
      </c>
      <c r="D32" s="36">
        <v>-241008</v>
      </c>
      <c r="E32" s="1224"/>
      <c r="F32" s="36">
        <v>0</v>
      </c>
      <c r="G32" s="36">
        <v>0</v>
      </c>
      <c r="H32" s="36">
        <v>0</v>
      </c>
      <c r="I32" s="36">
        <v>0</v>
      </c>
      <c r="J32" s="1007"/>
      <c r="K32" s="36">
        <v>4911</v>
      </c>
      <c r="L32" s="36">
        <v>20622</v>
      </c>
      <c r="M32" s="36">
        <v>0</v>
      </c>
      <c r="N32" s="36">
        <v>19662</v>
      </c>
      <c r="O32" s="36"/>
      <c r="P32" s="36">
        <v>-5679</v>
      </c>
      <c r="Q32" s="36">
        <v>12304</v>
      </c>
      <c r="R32" s="36">
        <v>6625</v>
      </c>
      <c r="S32" s="36"/>
      <c r="T32" s="36">
        <v>-204706</v>
      </c>
      <c r="U32" s="36">
        <v>-271726</v>
      </c>
      <c r="V32" s="36"/>
      <c r="X32" s="36"/>
      <c r="Y32" s="36"/>
    </row>
    <row r="33" spans="1:25" ht="15" x14ac:dyDescent="0.25">
      <c r="A33" s="1204" t="s">
        <v>2564</v>
      </c>
      <c r="B33" s="1178">
        <v>3.1295900000000001E-2</v>
      </c>
      <c r="C33" s="1178">
        <v>2.8275000000000002E-2</v>
      </c>
      <c r="D33" s="36">
        <v>-717239</v>
      </c>
      <c r="E33" s="1224"/>
      <c r="F33" s="36">
        <v>0</v>
      </c>
      <c r="G33" s="36">
        <v>0</v>
      </c>
      <c r="H33" s="36">
        <v>0</v>
      </c>
      <c r="I33" s="36">
        <v>12448</v>
      </c>
      <c r="J33" s="1007"/>
      <c r="K33" s="36">
        <v>14615</v>
      </c>
      <c r="L33" s="36">
        <v>61371</v>
      </c>
      <c r="M33" s="36">
        <v>0</v>
      </c>
      <c r="N33" s="36">
        <v>38249</v>
      </c>
      <c r="O33" s="36"/>
      <c r="P33" s="36">
        <v>-16900</v>
      </c>
      <c r="Q33" s="36">
        <v>9818</v>
      </c>
      <c r="R33" s="36">
        <v>-7082</v>
      </c>
      <c r="S33" s="36"/>
      <c r="T33" s="36">
        <v>-609206</v>
      </c>
      <c r="U33" s="36">
        <v>-808655</v>
      </c>
      <c r="V33" s="36"/>
      <c r="X33" s="36"/>
      <c r="Y33" s="36"/>
    </row>
    <row r="34" spans="1:25" ht="15" x14ac:dyDescent="0.25">
      <c r="A34" s="1204" t="s">
        <v>2565</v>
      </c>
      <c r="B34" s="1178">
        <v>4.2106000000000001E-3</v>
      </c>
      <c r="C34" s="1178">
        <v>3.6297E-3</v>
      </c>
      <c r="D34" s="36">
        <v>-96499</v>
      </c>
      <c r="E34" s="1224"/>
      <c r="F34" s="36">
        <v>0</v>
      </c>
      <c r="G34" s="36">
        <v>0</v>
      </c>
      <c r="H34" s="36">
        <v>0</v>
      </c>
      <c r="I34" s="36">
        <v>3815</v>
      </c>
      <c r="J34" s="1007"/>
      <c r="K34" s="36">
        <v>1966</v>
      </c>
      <c r="L34" s="36">
        <v>8257</v>
      </c>
      <c r="M34" s="36">
        <v>0</v>
      </c>
      <c r="N34" s="36">
        <v>7355</v>
      </c>
      <c r="O34" s="36"/>
      <c r="P34" s="36">
        <v>-2274</v>
      </c>
      <c r="Q34" s="36">
        <v>-2412</v>
      </c>
      <c r="R34" s="36">
        <v>-4686</v>
      </c>
      <c r="S34" s="36"/>
      <c r="T34" s="36">
        <v>-81964</v>
      </c>
      <c r="U34" s="36">
        <v>-108798</v>
      </c>
      <c r="V34" s="36"/>
      <c r="X34" s="36"/>
      <c r="Y34" s="36"/>
    </row>
    <row r="35" spans="1:25" ht="15" x14ac:dyDescent="0.25">
      <c r="A35" s="1204" t="s">
        <v>2566</v>
      </c>
      <c r="B35" s="1178">
        <v>7.6943999999999997E-3</v>
      </c>
      <c r="C35" s="1178">
        <v>7.1491999999999997E-3</v>
      </c>
      <c r="D35" s="36">
        <v>-176340</v>
      </c>
      <c r="E35" s="1224"/>
      <c r="F35" s="36">
        <v>0</v>
      </c>
      <c r="G35" s="36">
        <v>0</v>
      </c>
      <c r="H35" s="36">
        <v>0</v>
      </c>
      <c r="I35" s="36">
        <v>13175</v>
      </c>
      <c r="J35" s="1007"/>
      <c r="K35" s="36">
        <v>3593</v>
      </c>
      <c r="L35" s="36">
        <v>15089</v>
      </c>
      <c r="M35" s="36">
        <v>0</v>
      </c>
      <c r="N35" s="36">
        <v>6903</v>
      </c>
      <c r="O35" s="36"/>
      <c r="P35" s="36">
        <v>-4155</v>
      </c>
      <c r="Q35" s="36">
        <v>6317</v>
      </c>
      <c r="R35" s="36">
        <v>2162</v>
      </c>
      <c r="S35" s="36"/>
      <c r="T35" s="36">
        <v>-149779</v>
      </c>
      <c r="U35" s="36">
        <v>-198816</v>
      </c>
      <c r="V35" s="36"/>
      <c r="X35" s="36"/>
      <c r="Y35" s="36"/>
    </row>
    <row r="36" spans="1:25" ht="15" x14ac:dyDescent="0.25">
      <c r="A36" s="1204" t="s">
        <v>2567</v>
      </c>
      <c r="B36" s="1178">
        <v>1.3214E-2</v>
      </c>
      <c r="C36" s="1178">
        <v>1.1984099999999999E-2</v>
      </c>
      <c r="D36" s="36">
        <v>-302838</v>
      </c>
      <c r="E36" s="1224"/>
      <c r="F36" s="36">
        <v>0</v>
      </c>
      <c r="G36" s="36">
        <v>0</v>
      </c>
      <c r="H36" s="36">
        <v>0</v>
      </c>
      <c r="I36" s="36">
        <v>12082</v>
      </c>
      <c r="J36" s="1007"/>
      <c r="K36" s="36">
        <v>6171</v>
      </c>
      <c r="L36" s="36">
        <v>25913</v>
      </c>
      <c r="M36" s="36">
        <v>0</v>
      </c>
      <c r="N36" s="36">
        <v>15572</v>
      </c>
      <c r="O36" s="36"/>
      <c r="P36" s="36">
        <v>-7136</v>
      </c>
      <c r="Q36" s="36">
        <v>15296</v>
      </c>
      <c r="R36" s="36">
        <v>8160</v>
      </c>
      <c r="S36" s="36"/>
      <c r="T36" s="36">
        <v>-257224</v>
      </c>
      <c r="U36" s="36">
        <v>-341437</v>
      </c>
      <c r="V36" s="36"/>
      <c r="X36" s="36"/>
      <c r="Y36" s="36"/>
    </row>
    <row r="37" spans="1:25" ht="15" x14ac:dyDescent="0.25">
      <c r="A37" s="1204" t="s">
        <v>2568</v>
      </c>
      <c r="B37" s="1178">
        <v>3.9573000000000004E-3</v>
      </c>
      <c r="C37" s="1178">
        <v>3.6492999999999999E-3</v>
      </c>
      <c r="D37" s="36">
        <v>-90693</v>
      </c>
      <c r="E37" s="1224"/>
      <c r="F37" s="36">
        <v>0</v>
      </c>
      <c r="G37" s="36">
        <v>0</v>
      </c>
      <c r="H37" s="36">
        <v>0</v>
      </c>
      <c r="I37" s="36">
        <v>1313</v>
      </c>
      <c r="J37" s="1007"/>
      <c r="K37" s="36">
        <v>1848</v>
      </c>
      <c r="L37" s="36">
        <v>7760</v>
      </c>
      <c r="M37" s="36">
        <v>0</v>
      </c>
      <c r="N37" s="36">
        <v>3900</v>
      </c>
      <c r="O37" s="36"/>
      <c r="P37" s="36">
        <v>-2137</v>
      </c>
      <c r="Q37" s="36">
        <v>2073</v>
      </c>
      <c r="R37" s="36">
        <v>-64</v>
      </c>
      <c r="S37" s="36"/>
      <c r="T37" s="36">
        <v>-77033</v>
      </c>
      <c r="U37" s="36">
        <v>-102253</v>
      </c>
      <c r="V37" s="36"/>
      <c r="X37" s="36"/>
      <c r="Y37" s="36"/>
    </row>
    <row r="38" spans="1:25" ht="15" x14ac:dyDescent="0.25">
      <c r="A38" s="1204" t="s">
        <v>2569</v>
      </c>
      <c r="B38" s="1178">
        <v>3.5580999999999998E-3</v>
      </c>
      <c r="C38" s="1178">
        <v>3.4133000000000002E-3</v>
      </c>
      <c r="D38" s="36">
        <v>-81545</v>
      </c>
      <c r="E38" s="1224"/>
      <c r="F38" s="36">
        <v>0</v>
      </c>
      <c r="G38" s="36">
        <v>0</v>
      </c>
      <c r="H38" s="36">
        <v>0</v>
      </c>
      <c r="I38" s="36">
        <v>3889</v>
      </c>
      <c r="J38" s="1007"/>
      <c r="K38" s="36">
        <v>1662</v>
      </c>
      <c r="L38" s="36">
        <v>6977</v>
      </c>
      <c r="M38" s="36">
        <v>0</v>
      </c>
      <c r="N38" s="36">
        <v>1834</v>
      </c>
      <c r="O38" s="36"/>
      <c r="P38" s="36">
        <v>-1921</v>
      </c>
      <c r="Q38" s="36">
        <v>1768</v>
      </c>
      <c r="R38" s="36">
        <v>-153</v>
      </c>
      <c r="S38" s="36"/>
      <c r="T38" s="36">
        <v>-69262</v>
      </c>
      <c r="U38" s="36">
        <v>-91938</v>
      </c>
      <c r="V38" s="36"/>
      <c r="X38" s="36"/>
      <c r="Y38" s="36"/>
    </row>
    <row r="39" spans="1:25" ht="15" x14ac:dyDescent="0.25">
      <c r="A39" s="1204" t="s">
        <v>2570</v>
      </c>
      <c r="B39" s="1178">
        <v>4.5047700000000003E-2</v>
      </c>
      <c r="C39" s="1178">
        <v>3.7785899999999997E-2</v>
      </c>
      <c r="D39" s="36">
        <v>-1032403</v>
      </c>
      <c r="E39" s="1224"/>
      <c r="F39" s="36">
        <v>0</v>
      </c>
      <c r="G39" s="36">
        <v>0</v>
      </c>
      <c r="H39" s="36">
        <v>0</v>
      </c>
      <c r="I39" s="36">
        <v>0</v>
      </c>
      <c r="J39" s="1007"/>
      <c r="K39" s="36">
        <v>21037</v>
      </c>
      <c r="L39" s="36">
        <v>88339</v>
      </c>
      <c r="M39" s="36">
        <v>0</v>
      </c>
      <c r="N39" s="36">
        <v>159440</v>
      </c>
      <c r="O39" s="36"/>
      <c r="P39" s="36">
        <v>-24326</v>
      </c>
      <c r="Q39" s="36">
        <v>-75920</v>
      </c>
      <c r="R39" s="36">
        <v>-100246</v>
      </c>
      <c r="S39" s="36"/>
      <c r="T39" s="36">
        <v>-876899</v>
      </c>
      <c r="U39" s="36">
        <v>-1163988</v>
      </c>
      <c r="V39" s="36"/>
      <c r="X39" s="36"/>
      <c r="Y39" s="36"/>
    </row>
    <row r="40" spans="1:25" ht="15" x14ac:dyDescent="0.25">
      <c r="A40" s="1204" t="s">
        <v>2571</v>
      </c>
      <c r="B40" s="1178">
        <v>3.0623999999999998E-3</v>
      </c>
      <c r="C40" s="1178">
        <v>3.2490000000000002E-3</v>
      </c>
      <c r="D40" s="36">
        <v>-70184</v>
      </c>
      <c r="E40" s="1224"/>
      <c r="F40" s="36">
        <v>0</v>
      </c>
      <c r="G40" s="36">
        <v>0</v>
      </c>
      <c r="H40" s="36">
        <v>0</v>
      </c>
      <c r="I40" s="36">
        <v>6144</v>
      </c>
      <c r="J40" s="1007"/>
      <c r="K40" s="36">
        <v>1430</v>
      </c>
      <c r="L40" s="36">
        <v>6005</v>
      </c>
      <c r="M40" s="36">
        <v>0</v>
      </c>
      <c r="N40" s="36">
        <v>0</v>
      </c>
      <c r="O40" s="36"/>
      <c r="P40" s="36">
        <v>-1654</v>
      </c>
      <c r="Q40" s="36">
        <v>-198</v>
      </c>
      <c r="R40" s="36">
        <v>-1852</v>
      </c>
      <c r="S40" s="36"/>
      <c r="T40" s="36">
        <v>-59613</v>
      </c>
      <c r="U40" s="36">
        <v>-79129</v>
      </c>
      <c r="V40" s="36"/>
      <c r="X40" s="36"/>
      <c r="Y40" s="36"/>
    </row>
    <row r="41" spans="1:25" ht="15" x14ac:dyDescent="0.25">
      <c r="A41" s="1204" t="s">
        <v>2572</v>
      </c>
      <c r="B41" s="1178">
        <v>3.56379E-2</v>
      </c>
      <c r="C41" s="1178">
        <v>3.4403200000000002E-2</v>
      </c>
      <c r="D41" s="36">
        <v>-816749</v>
      </c>
      <c r="E41" s="1224"/>
      <c r="F41" s="36">
        <v>0</v>
      </c>
      <c r="G41" s="36">
        <v>0</v>
      </c>
      <c r="H41" s="36">
        <v>0</v>
      </c>
      <c r="I41" s="36">
        <v>32916</v>
      </c>
      <c r="J41" s="1007"/>
      <c r="K41" s="36">
        <v>16643</v>
      </c>
      <c r="L41" s="36">
        <v>69886</v>
      </c>
      <c r="M41" s="36">
        <v>0</v>
      </c>
      <c r="N41" s="36">
        <v>15633</v>
      </c>
      <c r="O41" s="36"/>
      <c r="P41" s="36">
        <v>-19244</v>
      </c>
      <c r="Q41" s="36">
        <v>21771</v>
      </c>
      <c r="R41" s="36">
        <v>2527</v>
      </c>
      <c r="S41" s="36"/>
      <c r="T41" s="36">
        <v>-693727</v>
      </c>
      <c r="U41" s="36">
        <v>-920848</v>
      </c>
      <c r="V41" s="36"/>
      <c r="X41" s="36"/>
      <c r="Y41" s="36"/>
    </row>
    <row r="42" spans="1:25" ht="15" x14ac:dyDescent="0.25">
      <c r="A42" s="1204" t="s">
        <v>2573</v>
      </c>
      <c r="B42" s="1178">
        <v>6.3013000000000001E-3</v>
      </c>
      <c r="C42" s="1178">
        <v>5.6563000000000004E-3</v>
      </c>
      <c r="D42" s="36">
        <v>-144413</v>
      </c>
      <c r="E42" s="1224"/>
      <c r="F42" s="36">
        <v>0</v>
      </c>
      <c r="G42" s="36">
        <v>0</v>
      </c>
      <c r="H42" s="36">
        <v>0</v>
      </c>
      <c r="I42" s="36">
        <v>5668</v>
      </c>
      <c r="J42" s="1007"/>
      <c r="K42" s="36">
        <v>2943</v>
      </c>
      <c r="L42" s="36">
        <v>12357</v>
      </c>
      <c r="M42" s="36">
        <v>0</v>
      </c>
      <c r="N42" s="36">
        <v>8166</v>
      </c>
      <c r="O42" s="36"/>
      <c r="P42" s="36">
        <v>-3403</v>
      </c>
      <c r="Q42" s="36">
        <v>-882</v>
      </c>
      <c r="R42" s="36">
        <v>-4285</v>
      </c>
      <c r="S42" s="36"/>
      <c r="T42" s="36">
        <v>-122661</v>
      </c>
      <c r="U42" s="36">
        <v>-162819</v>
      </c>
      <c r="V42" s="36"/>
      <c r="X42" s="36"/>
      <c r="Y42" s="36"/>
    </row>
    <row r="43" spans="1:25" ht="15" x14ac:dyDescent="0.25">
      <c r="A43" s="1204" t="s">
        <v>2574</v>
      </c>
      <c r="B43" s="1178">
        <v>2.3600699999999999E-2</v>
      </c>
      <c r="C43" s="1178">
        <v>0.1181697</v>
      </c>
      <c r="D43" s="36">
        <v>-540881</v>
      </c>
      <c r="E43" s="1224"/>
      <c r="F43" s="36">
        <v>0</v>
      </c>
      <c r="G43" s="36">
        <v>0</v>
      </c>
      <c r="H43" s="36">
        <v>0</v>
      </c>
      <c r="I43" s="36">
        <v>1197369</v>
      </c>
      <c r="J43" s="1007"/>
      <c r="K43" s="36">
        <v>11022</v>
      </c>
      <c r="L43" s="36">
        <v>46281</v>
      </c>
      <c r="M43" s="36">
        <v>0</v>
      </c>
      <c r="N43" s="36">
        <v>1068540</v>
      </c>
      <c r="O43" s="36"/>
      <c r="P43" s="36">
        <v>-12744</v>
      </c>
      <c r="Q43" s="36">
        <v>69255</v>
      </c>
      <c r="R43" s="36">
        <v>56511</v>
      </c>
      <c r="S43" s="36"/>
      <c r="T43" s="36">
        <v>-459411</v>
      </c>
      <c r="U43" s="36">
        <v>-609818</v>
      </c>
      <c r="V43" s="36"/>
      <c r="X43" s="36"/>
      <c r="Y43" s="36"/>
    </row>
    <row r="44" spans="1:25" ht="15" x14ac:dyDescent="0.25">
      <c r="A44" s="1204" t="s">
        <v>2575</v>
      </c>
      <c r="B44" s="1178">
        <v>7.7689999999999996E-4</v>
      </c>
      <c r="C44" s="1178">
        <v>7.4640000000000004E-4</v>
      </c>
      <c r="D44" s="36">
        <v>-17805</v>
      </c>
      <c r="E44" s="1224"/>
      <c r="F44" s="36">
        <v>0</v>
      </c>
      <c r="G44" s="36">
        <v>0</v>
      </c>
      <c r="H44" s="36">
        <v>0</v>
      </c>
      <c r="I44" s="36">
        <v>1463</v>
      </c>
      <c r="J44" s="1007"/>
      <c r="K44" s="36">
        <v>363</v>
      </c>
      <c r="L44" s="36">
        <v>1524</v>
      </c>
      <c r="M44" s="36">
        <v>0</v>
      </c>
      <c r="N44" s="36">
        <v>387</v>
      </c>
      <c r="O44" s="36"/>
      <c r="P44" s="36">
        <v>-420</v>
      </c>
      <c r="Q44" s="36">
        <v>347</v>
      </c>
      <c r="R44" s="36">
        <v>-73</v>
      </c>
      <c r="S44" s="36"/>
      <c r="T44" s="36">
        <v>-15123</v>
      </c>
      <c r="U44" s="36">
        <v>-20074</v>
      </c>
      <c r="V44" s="36"/>
      <c r="X44" s="36"/>
      <c r="Y44" s="36"/>
    </row>
    <row r="45" spans="1:25" ht="15" x14ac:dyDescent="0.25">
      <c r="A45" s="1204" t="s">
        <v>2576</v>
      </c>
      <c r="B45" s="1178">
        <v>1.97E-3</v>
      </c>
      <c r="C45" s="1178">
        <v>9.6000000000000002E-4</v>
      </c>
      <c r="D45" s="36">
        <v>-45148</v>
      </c>
      <c r="E45" s="1224"/>
      <c r="F45" s="36">
        <v>0</v>
      </c>
      <c r="G45" s="36">
        <v>0</v>
      </c>
      <c r="H45" s="36">
        <v>0</v>
      </c>
      <c r="I45" s="36">
        <v>0</v>
      </c>
      <c r="J45" s="1007"/>
      <c r="K45" s="36">
        <v>920</v>
      </c>
      <c r="L45" s="36">
        <v>3863</v>
      </c>
      <c r="M45" s="36">
        <v>0</v>
      </c>
      <c r="N45" s="36">
        <v>14705</v>
      </c>
      <c r="O45" s="36"/>
      <c r="P45" s="36">
        <v>-1064</v>
      </c>
      <c r="Q45" s="36">
        <v>-7845</v>
      </c>
      <c r="R45" s="36">
        <v>-8909</v>
      </c>
      <c r="S45" s="36"/>
      <c r="T45" s="36">
        <v>-38348</v>
      </c>
      <c r="U45" s="36">
        <v>-50903</v>
      </c>
      <c r="V45" s="36"/>
      <c r="X45" s="36"/>
      <c r="Y45" s="36"/>
    </row>
    <row r="46" spans="1:25" ht="15" x14ac:dyDescent="0.25">
      <c r="A46" s="1204" t="s">
        <v>2577</v>
      </c>
      <c r="B46" s="1178">
        <v>4.6351999999999999E-3</v>
      </c>
      <c r="C46" s="1178">
        <v>4.0223999999999998E-3</v>
      </c>
      <c r="D46" s="36">
        <v>-106230</v>
      </c>
      <c r="E46" s="1224"/>
      <c r="F46" s="36">
        <v>0</v>
      </c>
      <c r="G46" s="36">
        <v>0</v>
      </c>
      <c r="H46" s="36">
        <v>0</v>
      </c>
      <c r="I46" s="36">
        <v>6742</v>
      </c>
      <c r="J46" s="1007"/>
      <c r="K46" s="36">
        <v>2165</v>
      </c>
      <c r="L46" s="36">
        <v>9090</v>
      </c>
      <c r="M46" s="36">
        <v>0</v>
      </c>
      <c r="N46" s="36">
        <v>7758</v>
      </c>
      <c r="O46" s="36"/>
      <c r="P46" s="36">
        <v>-2503</v>
      </c>
      <c r="Q46" s="36">
        <v>125</v>
      </c>
      <c r="R46" s="36">
        <v>-2378</v>
      </c>
      <c r="S46" s="36"/>
      <c r="T46" s="36">
        <v>-90229</v>
      </c>
      <c r="U46" s="36">
        <v>-119769</v>
      </c>
      <c r="V46" s="36"/>
      <c r="X46" s="36"/>
      <c r="Y46" s="36"/>
    </row>
    <row r="47" spans="1:25" ht="15" x14ac:dyDescent="0.25">
      <c r="A47" s="1204" t="s">
        <v>2578</v>
      </c>
      <c r="B47" s="1178">
        <v>1.0042E-3</v>
      </c>
      <c r="C47" s="1178">
        <v>1.0975E-3</v>
      </c>
      <c r="D47" s="36">
        <v>-23014</v>
      </c>
      <c r="E47" s="1224"/>
      <c r="F47" s="36">
        <v>0</v>
      </c>
      <c r="G47" s="36">
        <v>0</v>
      </c>
      <c r="H47" s="36">
        <v>0</v>
      </c>
      <c r="I47" s="36">
        <v>1181</v>
      </c>
      <c r="J47" s="1007"/>
      <c r="K47" s="36">
        <v>469</v>
      </c>
      <c r="L47" s="36">
        <v>1969</v>
      </c>
      <c r="M47" s="36">
        <v>0</v>
      </c>
      <c r="N47" s="36">
        <v>467</v>
      </c>
      <c r="O47" s="36"/>
      <c r="P47" s="36">
        <v>-542</v>
      </c>
      <c r="Q47" s="36">
        <v>1006</v>
      </c>
      <c r="R47" s="36">
        <v>464</v>
      </c>
      <c r="S47" s="36"/>
      <c r="T47" s="36">
        <v>-19548</v>
      </c>
      <c r="U47" s="36">
        <v>-25948</v>
      </c>
      <c r="V47" s="36"/>
      <c r="X47" s="36"/>
      <c r="Y47" s="36"/>
    </row>
    <row r="48" spans="1:25" ht="15" x14ac:dyDescent="0.25">
      <c r="A48" s="1204" t="s">
        <v>2579</v>
      </c>
      <c r="B48" s="1178">
        <v>4.0496400000000002E-2</v>
      </c>
      <c r="C48" s="1178">
        <v>4.1201099999999997E-2</v>
      </c>
      <c r="D48" s="36">
        <v>-928096</v>
      </c>
      <c r="E48" s="1224"/>
      <c r="F48" s="36">
        <v>0</v>
      </c>
      <c r="G48" s="36">
        <v>0</v>
      </c>
      <c r="H48" s="36">
        <v>0</v>
      </c>
      <c r="I48" s="36">
        <v>21304</v>
      </c>
      <c r="J48" s="1007"/>
      <c r="K48" s="36">
        <v>18912</v>
      </c>
      <c r="L48" s="36">
        <v>79413</v>
      </c>
      <c r="M48" s="36">
        <v>0</v>
      </c>
      <c r="N48" s="36">
        <v>0</v>
      </c>
      <c r="O48" s="36"/>
      <c r="P48" s="36">
        <v>-21868</v>
      </c>
      <c r="Q48" s="36">
        <v>20956</v>
      </c>
      <c r="R48" s="36">
        <v>-912</v>
      </c>
      <c r="S48" s="36"/>
      <c r="T48" s="36">
        <v>-788303</v>
      </c>
      <c r="U48" s="36">
        <v>-1046386</v>
      </c>
      <c r="V48" s="36"/>
      <c r="X48" s="36"/>
      <c r="Y48" s="36"/>
    </row>
    <row r="49" spans="1:25" ht="15" x14ac:dyDescent="0.25">
      <c r="A49" s="1204" t="s">
        <v>2580</v>
      </c>
      <c r="B49" s="1178">
        <v>3.4142999999999999E-3</v>
      </c>
      <c r="C49" s="1178">
        <v>3.4440999999999999E-3</v>
      </c>
      <c r="D49" s="36">
        <v>-78249</v>
      </c>
      <c r="E49" s="1224"/>
      <c r="F49" s="36">
        <v>0</v>
      </c>
      <c r="G49" s="36">
        <v>0</v>
      </c>
      <c r="H49" s="36">
        <v>0</v>
      </c>
      <c r="I49" s="36">
        <v>7267</v>
      </c>
      <c r="J49" s="1007"/>
      <c r="K49" s="36">
        <v>1594</v>
      </c>
      <c r="L49" s="36">
        <v>6695</v>
      </c>
      <c r="M49" s="36">
        <v>0</v>
      </c>
      <c r="N49" s="36">
        <v>0</v>
      </c>
      <c r="O49" s="36"/>
      <c r="P49" s="36">
        <v>-1844</v>
      </c>
      <c r="Q49" s="36">
        <v>4521</v>
      </c>
      <c r="R49" s="36">
        <v>2677</v>
      </c>
      <c r="S49" s="36"/>
      <c r="T49" s="36">
        <v>-66463</v>
      </c>
      <c r="U49" s="36">
        <v>-88222</v>
      </c>
      <c r="V49" s="36"/>
      <c r="X49" s="36"/>
      <c r="Y49" s="36"/>
    </row>
    <row r="50" spans="1:25" ht="15" x14ac:dyDescent="0.25">
      <c r="A50" s="1204" t="s">
        <v>2581</v>
      </c>
      <c r="B50" s="1178">
        <v>1.2205300000000001E-2</v>
      </c>
      <c r="C50" s="1178">
        <v>1.05699E-2</v>
      </c>
      <c r="D50" s="36">
        <v>-279721</v>
      </c>
      <c r="E50" s="1224"/>
      <c r="F50" s="36">
        <v>0</v>
      </c>
      <c r="G50" s="36">
        <v>0</v>
      </c>
      <c r="H50" s="36">
        <v>0</v>
      </c>
      <c r="I50" s="36">
        <v>13847</v>
      </c>
      <c r="J50" s="1007"/>
      <c r="K50" s="36">
        <v>5700</v>
      </c>
      <c r="L50" s="36">
        <v>23935</v>
      </c>
      <c r="M50" s="36">
        <v>0</v>
      </c>
      <c r="N50" s="36">
        <v>20707</v>
      </c>
      <c r="O50" s="36"/>
      <c r="P50" s="36">
        <v>-6591</v>
      </c>
      <c r="Q50" s="36">
        <v>153</v>
      </c>
      <c r="R50" s="36">
        <v>-6438</v>
      </c>
      <c r="S50" s="36"/>
      <c r="T50" s="36">
        <v>-237588</v>
      </c>
      <c r="U50" s="36">
        <v>-315373</v>
      </c>
      <c r="V50" s="36"/>
      <c r="X50" s="36"/>
      <c r="Y50" s="36"/>
    </row>
    <row r="51" spans="1:25" ht="15" x14ac:dyDescent="0.25">
      <c r="A51" s="1204" t="s">
        <v>2582</v>
      </c>
      <c r="B51" s="1178">
        <v>7.2123999999999999E-3</v>
      </c>
      <c r="C51" s="1178">
        <v>6.8830999999999996E-3</v>
      </c>
      <c r="D51" s="36">
        <v>-165294</v>
      </c>
      <c r="E51" s="1224"/>
      <c r="F51" s="36">
        <v>0</v>
      </c>
      <c r="G51" s="36">
        <v>0</v>
      </c>
      <c r="H51" s="36">
        <v>0</v>
      </c>
      <c r="I51" s="36">
        <v>8427</v>
      </c>
      <c r="J51" s="1007"/>
      <c r="K51" s="36">
        <v>3368</v>
      </c>
      <c r="L51" s="36">
        <v>14144</v>
      </c>
      <c r="M51" s="36">
        <v>0</v>
      </c>
      <c r="N51" s="36">
        <v>4170</v>
      </c>
      <c r="O51" s="36"/>
      <c r="P51" s="36">
        <v>-3895</v>
      </c>
      <c r="Q51" s="36">
        <v>1669</v>
      </c>
      <c r="R51" s="36">
        <v>-2226</v>
      </c>
      <c r="S51" s="36"/>
      <c r="T51" s="36">
        <v>-140397</v>
      </c>
      <c r="U51" s="36">
        <v>-186361</v>
      </c>
      <c r="V51" s="36"/>
      <c r="X51" s="36"/>
      <c r="Y51" s="36"/>
    </row>
    <row r="52" spans="1:25" ht="15" x14ac:dyDescent="0.25">
      <c r="A52" s="1204" t="s">
        <v>2583</v>
      </c>
      <c r="B52" s="1178">
        <v>1.3117200000000001E-2</v>
      </c>
      <c r="C52" s="1178">
        <v>1.2132499999999999E-2</v>
      </c>
      <c r="D52" s="36">
        <v>-300620</v>
      </c>
      <c r="E52" s="1224"/>
      <c r="F52" s="36">
        <v>0</v>
      </c>
      <c r="G52" s="36">
        <v>0</v>
      </c>
      <c r="H52" s="36">
        <v>0</v>
      </c>
      <c r="I52" s="36">
        <v>16849</v>
      </c>
      <c r="J52" s="1007"/>
      <c r="K52" s="36">
        <v>6126</v>
      </c>
      <c r="L52" s="36">
        <v>25723</v>
      </c>
      <c r="M52" s="36">
        <v>0</v>
      </c>
      <c r="N52" s="36">
        <v>12467</v>
      </c>
      <c r="O52" s="36"/>
      <c r="P52" s="36">
        <v>-7083</v>
      </c>
      <c r="Q52" s="36">
        <v>4615</v>
      </c>
      <c r="R52" s="36">
        <v>-2468</v>
      </c>
      <c r="S52" s="36"/>
      <c r="T52" s="36">
        <v>-255339</v>
      </c>
      <c r="U52" s="36">
        <v>-338935</v>
      </c>
      <c r="V52" s="36"/>
      <c r="X52" s="36"/>
      <c r="Y52" s="36"/>
    </row>
    <row r="53" spans="1:25" ht="15" x14ac:dyDescent="0.25">
      <c r="A53" s="1204" t="s">
        <v>2584</v>
      </c>
      <c r="B53" s="1178">
        <v>1.5169999999999999E-3</v>
      </c>
      <c r="C53" s="1178">
        <v>1.5357000000000001E-3</v>
      </c>
      <c r="D53" s="36">
        <v>-34767</v>
      </c>
      <c r="E53" s="1224"/>
      <c r="F53" s="36">
        <v>0</v>
      </c>
      <c r="G53" s="36">
        <v>0</v>
      </c>
      <c r="H53" s="36">
        <v>0</v>
      </c>
      <c r="I53" s="36">
        <v>2036</v>
      </c>
      <c r="J53" s="1007"/>
      <c r="K53" s="36">
        <v>708</v>
      </c>
      <c r="L53" s="36">
        <v>2975</v>
      </c>
      <c r="M53" s="36">
        <v>0</v>
      </c>
      <c r="N53" s="36">
        <v>0</v>
      </c>
      <c r="O53" s="36"/>
      <c r="P53" s="36">
        <v>-819</v>
      </c>
      <c r="Q53" s="36">
        <v>1477</v>
      </c>
      <c r="R53" s="36">
        <v>658</v>
      </c>
      <c r="S53" s="36"/>
      <c r="T53" s="36">
        <v>-29530</v>
      </c>
      <c r="U53" s="36">
        <v>-39198</v>
      </c>
      <c r="V53" s="36"/>
      <c r="X53" s="36"/>
      <c r="Y53" s="36"/>
    </row>
    <row r="54" spans="1:25" ht="15" x14ac:dyDescent="0.25">
      <c r="A54" s="1204" t="s">
        <v>2585</v>
      </c>
      <c r="B54" s="1178">
        <v>5.1358999999999997E-3</v>
      </c>
      <c r="C54" s="1178">
        <v>4.1085000000000002E-3</v>
      </c>
      <c r="D54" s="36">
        <v>-117705</v>
      </c>
      <c r="E54" s="1224"/>
      <c r="F54" s="36">
        <v>0</v>
      </c>
      <c r="G54" s="36">
        <v>0</v>
      </c>
      <c r="H54" s="36">
        <v>0</v>
      </c>
      <c r="I54" s="36">
        <v>10551</v>
      </c>
      <c r="J54" s="1007"/>
      <c r="K54" s="36">
        <v>2398</v>
      </c>
      <c r="L54" s="36">
        <v>10071</v>
      </c>
      <c r="M54" s="36">
        <v>0</v>
      </c>
      <c r="N54" s="36">
        <v>13008</v>
      </c>
      <c r="O54" s="36"/>
      <c r="P54" s="36">
        <v>-2773</v>
      </c>
      <c r="Q54" s="36">
        <v>-6602</v>
      </c>
      <c r="R54" s="36">
        <v>-9375</v>
      </c>
      <c r="S54" s="36"/>
      <c r="T54" s="36">
        <v>-99975</v>
      </c>
      <c r="U54" s="36">
        <v>-132707</v>
      </c>
      <c r="V54" s="36"/>
      <c r="X54" s="36"/>
      <c r="Y54" s="36"/>
    </row>
    <row r="55" spans="1:25" ht="15" x14ac:dyDescent="0.25">
      <c r="A55" s="1204" t="s">
        <v>2586</v>
      </c>
      <c r="B55" s="1178">
        <v>3.3119999999999997E-4</v>
      </c>
      <c r="C55" s="1178">
        <v>3.8479999999999997E-4</v>
      </c>
      <c r="D55" s="36">
        <v>-7590</v>
      </c>
      <c r="E55" s="1224"/>
      <c r="F55" s="36">
        <v>0</v>
      </c>
      <c r="G55" s="36">
        <v>0</v>
      </c>
      <c r="H55" s="36">
        <v>0</v>
      </c>
      <c r="I55" s="36">
        <v>1296</v>
      </c>
      <c r="J55" s="1007"/>
      <c r="K55" s="36">
        <v>155</v>
      </c>
      <c r="L55" s="36">
        <v>649</v>
      </c>
      <c r="M55" s="36">
        <v>0</v>
      </c>
      <c r="N55" s="36">
        <v>0</v>
      </c>
      <c r="O55" s="36"/>
      <c r="P55" s="36">
        <v>-179</v>
      </c>
      <c r="Q55" s="36">
        <v>907</v>
      </c>
      <c r="R55" s="36">
        <v>728</v>
      </c>
      <c r="S55" s="36"/>
      <c r="T55" s="36">
        <v>-6447</v>
      </c>
      <c r="U55" s="36">
        <v>-8558</v>
      </c>
      <c r="V55" s="36"/>
      <c r="X55" s="36"/>
      <c r="Y55" s="36"/>
    </row>
    <row r="56" spans="1:25" ht="15" x14ac:dyDescent="0.25">
      <c r="A56" s="1204" t="s">
        <v>2587</v>
      </c>
      <c r="B56" s="1178">
        <v>2.0764899999999999E-2</v>
      </c>
      <c r="C56" s="1178">
        <v>1.8171799999999998E-2</v>
      </c>
      <c r="D56" s="36">
        <v>-475890</v>
      </c>
      <c r="E56" s="1224"/>
      <c r="F56" s="36">
        <v>0</v>
      </c>
      <c r="G56" s="36">
        <v>0</v>
      </c>
      <c r="H56" s="36">
        <v>0</v>
      </c>
      <c r="I56" s="36">
        <v>20654</v>
      </c>
      <c r="J56" s="1007"/>
      <c r="K56" s="36">
        <v>9697</v>
      </c>
      <c r="L56" s="36">
        <v>40720</v>
      </c>
      <c r="M56" s="36">
        <v>0</v>
      </c>
      <c r="N56" s="36">
        <v>32833</v>
      </c>
      <c r="O56" s="36"/>
      <c r="P56" s="36">
        <v>-11213</v>
      </c>
      <c r="Q56" s="36">
        <v>-5816</v>
      </c>
      <c r="R56" s="36">
        <v>-17029</v>
      </c>
      <c r="S56" s="36"/>
      <c r="T56" s="36">
        <v>-404210</v>
      </c>
      <c r="U56" s="36">
        <v>-536544</v>
      </c>
      <c r="V56" s="36"/>
      <c r="X56" s="36"/>
      <c r="Y56" s="36"/>
    </row>
    <row r="57" spans="1:25" ht="15" x14ac:dyDescent="0.25">
      <c r="A57" s="1204" t="s">
        <v>2588</v>
      </c>
      <c r="B57" s="1178">
        <v>6.0439999999999999E-3</v>
      </c>
      <c r="C57" s="1178">
        <v>5.6487999999999998E-3</v>
      </c>
      <c r="D57" s="36">
        <v>-138516</v>
      </c>
      <c r="E57" s="1224"/>
      <c r="F57" s="36">
        <v>0</v>
      </c>
      <c r="G57" s="36">
        <v>0</v>
      </c>
      <c r="H57" s="36">
        <v>0</v>
      </c>
      <c r="I57" s="36">
        <v>4847</v>
      </c>
      <c r="J57" s="1007"/>
      <c r="K57" s="36">
        <v>2823</v>
      </c>
      <c r="L57" s="36">
        <v>11852</v>
      </c>
      <c r="M57" s="36">
        <v>0</v>
      </c>
      <c r="N57" s="36">
        <v>5004</v>
      </c>
      <c r="O57" s="36"/>
      <c r="P57" s="36">
        <v>-3264</v>
      </c>
      <c r="Q57" s="36">
        <v>4361</v>
      </c>
      <c r="R57" s="36">
        <v>1097</v>
      </c>
      <c r="S57" s="36"/>
      <c r="T57" s="36">
        <v>-117653</v>
      </c>
      <c r="U57" s="36">
        <v>-156171</v>
      </c>
      <c r="V57" s="36"/>
      <c r="X57" s="36"/>
      <c r="Y57" s="36"/>
    </row>
    <row r="58" spans="1:25" ht="15" x14ac:dyDescent="0.25">
      <c r="A58" s="1204" t="s">
        <v>2589</v>
      </c>
      <c r="B58" s="1178">
        <v>2.4082099999999999E-2</v>
      </c>
      <c r="C58" s="1178">
        <v>2.0667399999999999E-2</v>
      </c>
      <c r="D58" s="36">
        <v>-551914</v>
      </c>
      <c r="E58" s="1224"/>
      <c r="F58" s="36">
        <v>0</v>
      </c>
      <c r="G58" s="36">
        <v>0</v>
      </c>
      <c r="H58" s="36">
        <v>0</v>
      </c>
      <c r="I58" s="36">
        <v>11813</v>
      </c>
      <c r="J58" s="1007"/>
      <c r="K58" s="36">
        <v>11246</v>
      </c>
      <c r="L58" s="36">
        <v>47225</v>
      </c>
      <c r="M58" s="36">
        <v>0</v>
      </c>
      <c r="N58" s="36">
        <v>43235</v>
      </c>
      <c r="O58" s="36"/>
      <c r="P58" s="36">
        <v>-13004</v>
      </c>
      <c r="Q58" s="36">
        <v>-18040</v>
      </c>
      <c r="R58" s="36">
        <v>-31044</v>
      </c>
      <c r="S58" s="36"/>
      <c r="T58" s="36">
        <v>-468782</v>
      </c>
      <c r="U58" s="36">
        <v>-622257</v>
      </c>
      <c r="V58" s="36"/>
      <c r="X58" s="36"/>
      <c r="Y58" s="36"/>
    </row>
    <row r="59" spans="1:25" ht="15" x14ac:dyDescent="0.25">
      <c r="A59" s="1204" t="s">
        <v>2590</v>
      </c>
      <c r="B59" s="1178">
        <v>7.8370000000000002E-4</v>
      </c>
      <c r="C59" s="1178">
        <v>7.0759999999999996E-4</v>
      </c>
      <c r="D59" s="36">
        <v>-17961</v>
      </c>
      <c r="E59" s="1224"/>
      <c r="F59" s="36">
        <v>0</v>
      </c>
      <c r="G59" s="36">
        <v>0</v>
      </c>
      <c r="H59" s="36">
        <v>0</v>
      </c>
      <c r="I59" s="36">
        <v>1029</v>
      </c>
      <c r="J59" s="1007"/>
      <c r="K59" s="36">
        <v>366</v>
      </c>
      <c r="L59" s="36">
        <v>1537</v>
      </c>
      <c r="M59" s="36">
        <v>0</v>
      </c>
      <c r="N59" s="36">
        <v>964</v>
      </c>
      <c r="O59" s="36"/>
      <c r="P59" s="36">
        <v>-423</v>
      </c>
      <c r="Q59" s="36">
        <v>133</v>
      </c>
      <c r="R59" s="36">
        <v>-290</v>
      </c>
      <c r="S59" s="36"/>
      <c r="T59" s="36">
        <v>-15256</v>
      </c>
      <c r="U59" s="36">
        <v>-20250</v>
      </c>
      <c r="V59" s="36"/>
      <c r="X59" s="36"/>
      <c r="Y59" s="36"/>
    </row>
    <row r="60" spans="1:25" ht="15" x14ac:dyDescent="0.25">
      <c r="A60" s="1204" t="s">
        <v>2591</v>
      </c>
      <c r="B60" s="1178">
        <v>5.3333E-3</v>
      </c>
      <c r="C60" s="1178">
        <v>5.0292999999999996E-3</v>
      </c>
      <c r="D60" s="36">
        <v>-122229</v>
      </c>
      <c r="E60" s="1224"/>
      <c r="F60" s="36">
        <v>0</v>
      </c>
      <c r="G60" s="36">
        <v>0</v>
      </c>
      <c r="H60" s="36">
        <v>0</v>
      </c>
      <c r="I60" s="36">
        <v>5532</v>
      </c>
      <c r="J60" s="1007"/>
      <c r="K60" s="36">
        <v>2491</v>
      </c>
      <c r="L60" s="36">
        <v>10459</v>
      </c>
      <c r="M60" s="36">
        <v>0</v>
      </c>
      <c r="N60" s="36">
        <v>3849</v>
      </c>
      <c r="O60" s="36"/>
      <c r="P60" s="36">
        <v>-2880</v>
      </c>
      <c r="Q60" s="36">
        <v>1069</v>
      </c>
      <c r="R60" s="36">
        <v>-1811</v>
      </c>
      <c r="S60" s="36"/>
      <c r="T60" s="36">
        <v>-103818</v>
      </c>
      <c r="U60" s="36">
        <v>-137807</v>
      </c>
      <c r="V60" s="36"/>
      <c r="X60" s="36"/>
      <c r="Y60" s="36"/>
    </row>
    <row r="61" spans="1:25" ht="15" x14ac:dyDescent="0.25">
      <c r="A61" s="1204" t="s">
        <v>2592</v>
      </c>
      <c r="B61" s="1178">
        <v>2.8454999999999999E-3</v>
      </c>
      <c r="C61" s="1178">
        <v>3.0812999999999999E-3</v>
      </c>
      <c r="D61" s="36">
        <v>-65213</v>
      </c>
      <c r="E61" s="1224"/>
      <c r="F61" s="36">
        <v>0</v>
      </c>
      <c r="G61" s="36">
        <v>0</v>
      </c>
      <c r="H61" s="36">
        <v>0</v>
      </c>
      <c r="I61" s="36">
        <v>7260</v>
      </c>
      <c r="J61" s="1007"/>
      <c r="K61" s="36">
        <v>1329</v>
      </c>
      <c r="L61" s="36">
        <v>5580</v>
      </c>
      <c r="M61" s="36">
        <v>0</v>
      </c>
      <c r="N61" s="36">
        <v>0</v>
      </c>
      <c r="O61" s="36"/>
      <c r="P61" s="36">
        <v>-1537</v>
      </c>
      <c r="Q61" s="36">
        <v>2868</v>
      </c>
      <c r="R61" s="36">
        <v>1331</v>
      </c>
      <c r="S61" s="36"/>
      <c r="T61" s="36">
        <v>-55391</v>
      </c>
      <c r="U61" s="36">
        <v>-73525</v>
      </c>
      <c r="V61" s="36"/>
      <c r="X61" s="36"/>
      <c r="Y61" s="36"/>
    </row>
    <row r="62" spans="1:25" ht="15" x14ac:dyDescent="0.25">
      <c r="A62" s="1204" t="s">
        <v>2593</v>
      </c>
      <c r="B62" s="1178">
        <v>9.5984999999999994E-3</v>
      </c>
      <c r="C62" s="1178">
        <v>8.1840000000000003E-3</v>
      </c>
      <c r="D62" s="36">
        <v>-219978</v>
      </c>
      <c r="E62" s="1224"/>
      <c r="F62" s="36">
        <v>0</v>
      </c>
      <c r="G62" s="36">
        <v>0</v>
      </c>
      <c r="H62" s="36">
        <v>0</v>
      </c>
      <c r="I62" s="36">
        <v>13136</v>
      </c>
      <c r="J62" s="1007"/>
      <c r="K62" s="36">
        <v>4482</v>
      </c>
      <c r="L62" s="36">
        <v>18823</v>
      </c>
      <c r="M62" s="36">
        <v>0</v>
      </c>
      <c r="N62" s="36">
        <v>17909</v>
      </c>
      <c r="O62" s="36"/>
      <c r="P62" s="36">
        <v>-5183</v>
      </c>
      <c r="Q62" s="36">
        <v>-4191</v>
      </c>
      <c r="R62" s="36">
        <v>-9374</v>
      </c>
      <c r="S62" s="36"/>
      <c r="T62" s="36">
        <v>-186844</v>
      </c>
      <c r="U62" s="36">
        <v>-248016</v>
      </c>
      <c r="V62" s="36"/>
      <c r="X62" s="36"/>
      <c r="Y62" s="36"/>
    </row>
    <row r="63" spans="1:25" ht="15" x14ac:dyDescent="0.25">
      <c r="A63" s="1204" t="s">
        <v>2594</v>
      </c>
      <c r="B63" s="1178">
        <v>3.9058999999999999E-3</v>
      </c>
      <c r="C63" s="1178">
        <v>3.3693E-3</v>
      </c>
      <c r="D63" s="36">
        <v>-89515</v>
      </c>
      <c r="E63" s="1224"/>
      <c r="F63" s="36">
        <v>0</v>
      </c>
      <c r="G63" s="36">
        <v>0</v>
      </c>
      <c r="H63" s="36">
        <v>0</v>
      </c>
      <c r="I63" s="36">
        <v>9551</v>
      </c>
      <c r="J63" s="1007"/>
      <c r="K63" s="36">
        <v>1824</v>
      </c>
      <c r="L63" s="36">
        <v>7659</v>
      </c>
      <c r="M63" s="36">
        <v>0</v>
      </c>
      <c r="N63" s="36">
        <v>6794</v>
      </c>
      <c r="O63" s="36"/>
      <c r="P63" s="36">
        <v>-2109</v>
      </c>
      <c r="Q63" s="36">
        <v>689</v>
      </c>
      <c r="R63" s="36">
        <v>-1420</v>
      </c>
      <c r="S63" s="36"/>
      <c r="T63" s="36">
        <v>-76032</v>
      </c>
      <c r="U63" s="36">
        <v>-100925</v>
      </c>
      <c r="V63" s="36"/>
      <c r="X63" s="36"/>
      <c r="Y63" s="36"/>
    </row>
    <row r="64" spans="1:25" ht="15" x14ac:dyDescent="0.25">
      <c r="A64" s="1204" t="s">
        <v>2595</v>
      </c>
      <c r="B64" s="1178">
        <v>2.8306999999999998E-3</v>
      </c>
      <c r="C64" s="1178">
        <v>5.0229999999999997E-3</v>
      </c>
      <c r="D64" s="36">
        <v>-64874</v>
      </c>
      <c r="E64" s="1224"/>
      <c r="F64" s="36">
        <v>0</v>
      </c>
      <c r="G64" s="36">
        <v>0</v>
      </c>
      <c r="H64" s="36">
        <v>0</v>
      </c>
      <c r="I64" s="36">
        <v>32514</v>
      </c>
      <c r="J64" s="1007"/>
      <c r="K64" s="36">
        <v>1322</v>
      </c>
      <c r="L64" s="36">
        <v>5551</v>
      </c>
      <c r="M64" s="36">
        <v>0</v>
      </c>
      <c r="N64" s="36">
        <v>0</v>
      </c>
      <c r="O64" s="36"/>
      <c r="P64" s="36">
        <v>-1529</v>
      </c>
      <c r="Q64" s="36">
        <v>15330</v>
      </c>
      <c r="R64" s="36">
        <v>13801</v>
      </c>
      <c r="S64" s="36"/>
      <c r="T64" s="36">
        <v>-55102</v>
      </c>
      <c r="U64" s="36">
        <v>-73142</v>
      </c>
      <c r="V64" s="36"/>
      <c r="X64" s="36"/>
      <c r="Y64" s="36"/>
    </row>
    <row r="65" spans="1:25" ht="15" x14ac:dyDescent="0.25">
      <c r="A65" s="1204" t="s">
        <v>2596</v>
      </c>
      <c r="B65" s="1178">
        <v>1.4840999999999999E-3</v>
      </c>
      <c r="C65" s="1178">
        <v>1.5535E-3</v>
      </c>
      <c r="D65" s="36">
        <v>-34013</v>
      </c>
      <c r="E65" s="1224"/>
      <c r="F65" s="36">
        <v>0</v>
      </c>
      <c r="G65" s="36">
        <v>0</v>
      </c>
      <c r="H65" s="36">
        <v>0</v>
      </c>
      <c r="I65" s="36">
        <v>2164</v>
      </c>
      <c r="J65" s="1007"/>
      <c r="K65" s="36">
        <v>693</v>
      </c>
      <c r="L65" s="36">
        <v>2910</v>
      </c>
      <c r="M65" s="36">
        <v>0</v>
      </c>
      <c r="N65" s="36">
        <v>0</v>
      </c>
      <c r="O65" s="36"/>
      <c r="P65" s="36">
        <v>-801</v>
      </c>
      <c r="Q65" s="36">
        <v>1650</v>
      </c>
      <c r="R65" s="36">
        <v>849</v>
      </c>
      <c r="S65" s="36"/>
      <c r="T65" s="36">
        <v>-28889</v>
      </c>
      <c r="U65" s="36">
        <v>-38348</v>
      </c>
      <c r="V65" s="36"/>
      <c r="X65" s="36"/>
      <c r="Y65" s="36"/>
    </row>
    <row r="66" spans="1:25" ht="15" x14ac:dyDescent="0.25">
      <c r="A66" s="1204" t="s">
        <v>2597</v>
      </c>
      <c r="B66" s="1178">
        <v>3.6995000000000001E-3</v>
      </c>
      <c r="C66" s="1178">
        <v>3.4951000000000001E-3</v>
      </c>
      <c r="D66" s="36">
        <v>-84785</v>
      </c>
      <c r="E66" s="1224"/>
      <c r="F66" s="36">
        <v>0</v>
      </c>
      <c r="G66" s="36">
        <v>0</v>
      </c>
      <c r="H66" s="36">
        <v>0</v>
      </c>
      <c r="I66" s="36">
        <v>1638</v>
      </c>
      <c r="J66" s="1007"/>
      <c r="K66" s="36">
        <v>1728</v>
      </c>
      <c r="L66" s="36">
        <v>7255</v>
      </c>
      <c r="M66" s="36">
        <v>0</v>
      </c>
      <c r="N66" s="36">
        <v>2588</v>
      </c>
      <c r="O66" s="36"/>
      <c r="P66" s="36">
        <v>-1998</v>
      </c>
      <c r="Q66" s="36">
        <v>2415</v>
      </c>
      <c r="R66" s="36">
        <v>417</v>
      </c>
      <c r="S66" s="36"/>
      <c r="T66" s="36">
        <v>-72014</v>
      </c>
      <c r="U66" s="36">
        <v>-95591</v>
      </c>
      <c r="V66" s="36"/>
      <c r="X66" s="36"/>
      <c r="Y66" s="36"/>
    </row>
    <row r="67" spans="1:25" ht="15" x14ac:dyDescent="0.25">
      <c r="A67" s="1204" t="s">
        <v>2598</v>
      </c>
      <c r="B67" s="1178">
        <v>7.9408300000000001E-2</v>
      </c>
      <c r="C67" s="1178">
        <v>6.6900200000000007E-2</v>
      </c>
      <c r="D67" s="36">
        <v>-1819879</v>
      </c>
      <c r="E67" s="1224"/>
      <c r="F67" s="36">
        <v>0</v>
      </c>
      <c r="G67" s="36">
        <v>0</v>
      </c>
      <c r="H67" s="36">
        <v>0</v>
      </c>
      <c r="I67" s="36">
        <v>97284</v>
      </c>
      <c r="J67" s="1007"/>
      <c r="K67" s="36">
        <v>37084</v>
      </c>
      <c r="L67" s="36">
        <v>155720</v>
      </c>
      <c r="M67" s="36">
        <v>0</v>
      </c>
      <c r="N67" s="36">
        <v>158369</v>
      </c>
      <c r="O67" s="36"/>
      <c r="P67" s="36">
        <v>-42880</v>
      </c>
      <c r="Q67" s="36">
        <v>7678</v>
      </c>
      <c r="R67" s="36">
        <v>-35202</v>
      </c>
      <c r="S67" s="36"/>
      <c r="T67" s="36">
        <v>-1545762</v>
      </c>
      <c r="U67" s="36">
        <v>-2051831</v>
      </c>
      <c r="V67" s="36"/>
      <c r="X67" s="36"/>
      <c r="Y67" s="36"/>
    </row>
    <row r="68" spans="1:25" ht="15" x14ac:dyDescent="0.25">
      <c r="A68" s="1204" t="s">
        <v>2599</v>
      </c>
      <c r="B68" s="1178">
        <v>1.3259000000000001E-3</v>
      </c>
      <c r="C68" s="1178">
        <v>1.3596999999999999E-3</v>
      </c>
      <c r="D68" s="36">
        <v>-30387</v>
      </c>
      <c r="E68" s="1224"/>
      <c r="F68" s="36">
        <v>0</v>
      </c>
      <c r="G68" s="36">
        <v>0</v>
      </c>
      <c r="H68" s="36">
        <v>0</v>
      </c>
      <c r="I68" s="36">
        <v>2231</v>
      </c>
      <c r="J68" s="1007"/>
      <c r="K68" s="36">
        <v>619</v>
      </c>
      <c r="L68" s="36">
        <v>2600</v>
      </c>
      <c r="M68" s="36">
        <v>0</v>
      </c>
      <c r="N68" s="36">
        <v>0</v>
      </c>
      <c r="O68" s="36"/>
      <c r="P68" s="36">
        <v>-716</v>
      </c>
      <c r="Q68" s="36">
        <v>604</v>
      </c>
      <c r="R68" s="36">
        <v>-112</v>
      </c>
      <c r="S68" s="36"/>
      <c r="T68" s="36">
        <v>-25810</v>
      </c>
      <c r="U68" s="36">
        <v>-34260</v>
      </c>
      <c r="V68" s="36"/>
      <c r="X68" s="36"/>
      <c r="Y68" s="36"/>
    </row>
    <row r="69" spans="1:25" ht="15" x14ac:dyDescent="0.25">
      <c r="A69" s="1204" t="s">
        <v>2600</v>
      </c>
      <c r="B69" s="1178">
        <v>2.4226E-3</v>
      </c>
      <c r="C69" s="1178">
        <v>2.137E-3</v>
      </c>
      <c r="D69" s="36">
        <v>-55521</v>
      </c>
      <c r="E69" s="1224"/>
      <c r="F69" s="36">
        <v>0</v>
      </c>
      <c r="G69" s="36">
        <v>0</v>
      </c>
      <c r="H69" s="36">
        <v>0</v>
      </c>
      <c r="I69" s="36">
        <v>3800</v>
      </c>
      <c r="J69" s="1007"/>
      <c r="K69" s="36">
        <v>1131</v>
      </c>
      <c r="L69" s="36">
        <v>4751</v>
      </c>
      <c r="M69" s="36">
        <v>0</v>
      </c>
      <c r="N69" s="36">
        <v>3615</v>
      </c>
      <c r="O69" s="36"/>
      <c r="P69" s="36">
        <v>-1308</v>
      </c>
      <c r="Q69" s="36">
        <v>-665</v>
      </c>
      <c r="R69" s="36">
        <v>-1973</v>
      </c>
      <c r="S69" s="36"/>
      <c r="T69" s="36">
        <v>-47158</v>
      </c>
      <c r="U69" s="36">
        <v>-62598</v>
      </c>
      <c r="V69" s="36"/>
      <c r="X69" s="36"/>
      <c r="Y69" s="36"/>
    </row>
    <row r="70" spans="1:25" ht="15" x14ac:dyDescent="0.25">
      <c r="A70" s="1204" t="s">
        <v>2601</v>
      </c>
      <c r="B70" s="1178">
        <v>1.2992399999999999E-2</v>
      </c>
      <c r="C70" s="1178">
        <v>1.1358E-2</v>
      </c>
      <c r="D70" s="36">
        <v>-297760</v>
      </c>
      <c r="E70" s="1224"/>
      <c r="F70" s="36">
        <v>0</v>
      </c>
      <c r="G70" s="36">
        <v>0</v>
      </c>
      <c r="H70" s="36">
        <v>0</v>
      </c>
      <c r="I70" s="36">
        <v>15667</v>
      </c>
      <c r="J70" s="1007"/>
      <c r="K70" s="36">
        <v>6067</v>
      </c>
      <c r="L70" s="36">
        <v>25478</v>
      </c>
      <c r="M70" s="36">
        <v>0</v>
      </c>
      <c r="N70" s="36">
        <v>20693</v>
      </c>
      <c r="O70" s="36"/>
      <c r="P70" s="36">
        <v>-7016</v>
      </c>
      <c r="Q70" s="36">
        <v>-46016</v>
      </c>
      <c r="R70" s="36">
        <v>-53032</v>
      </c>
      <c r="S70" s="36"/>
      <c r="T70" s="36">
        <v>-252910</v>
      </c>
      <c r="U70" s="36">
        <v>-335711</v>
      </c>
      <c r="V70" s="36"/>
      <c r="X70" s="36"/>
      <c r="Y70" s="36"/>
    </row>
    <row r="71" spans="1:25" ht="15" x14ac:dyDescent="0.25">
      <c r="A71" s="1204" t="s">
        <v>2602</v>
      </c>
      <c r="B71" s="1178">
        <v>8.0814000000000007E-3</v>
      </c>
      <c r="C71" s="1178">
        <v>7.6851999999999997E-3</v>
      </c>
      <c r="D71" s="36">
        <v>-185210</v>
      </c>
      <c r="E71" s="1224"/>
      <c r="F71" s="36">
        <v>0</v>
      </c>
      <c r="G71" s="36">
        <v>0</v>
      </c>
      <c r="H71" s="36">
        <v>0</v>
      </c>
      <c r="I71" s="36">
        <v>8083</v>
      </c>
      <c r="J71" s="1007"/>
      <c r="K71" s="36">
        <v>3774</v>
      </c>
      <c r="L71" s="36">
        <v>15848</v>
      </c>
      <c r="M71" s="36">
        <v>0</v>
      </c>
      <c r="N71" s="36">
        <v>5017</v>
      </c>
      <c r="O71" s="36"/>
      <c r="P71" s="36">
        <v>-4364</v>
      </c>
      <c r="Q71" s="36">
        <v>187</v>
      </c>
      <c r="R71" s="36">
        <v>-4177</v>
      </c>
      <c r="S71" s="36"/>
      <c r="T71" s="36">
        <v>-157313</v>
      </c>
      <c r="U71" s="36">
        <v>-208815</v>
      </c>
      <c r="V71" s="36"/>
      <c r="X71" s="36"/>
      <c r="Y71" s="36"/>
    </row>
    <row r="72" spans="1:25" ht="15" x14ac:dyDescent="0.25">
      <c r="A72" s="1204" t="s">
        <v>2603</v>
      </c>
      <c r="B72" s="1178">
        <v>2.77506E-2</v>
      </c>
      <c r="C72" s="1178">
        <v>2.3000300000000001E-2</v>
      </c>
      <c r="D72" s="36">
        <v>-635988</v>
      </c>
      <c r="E72" s="1224"/>
      <c r="F72" s="36">
        <v>0</v>
      </c>
      <c r="G72" s="36">
        <v>0</v>
      </c>
      <c r="H72" s="36">
        <v>0</v>
      </c>
      <c r="I72" s="36">
        <v>31919</v>
      </c>
      <c r="J72" s="1007"/>
      <c r="K72" s="36">
        <v>12960</v>
      </c>
      <c r="L72" s="36">
        <v>54419</v>
      </c>
      <c r="M72" s="36">
        <v>0</v>
      </c>
      <c r="N72" s="36">
        <v>60145</v>
      </c>
      <c r="O72" s="36"/>
      <c r="P72" s="36">
        <v>-14985</v>
      </c>
      <c r="Q72" s="36">
        <v>-5735</v>
      </c>
      <c r="R72" s="36">
        <v>-20720</v>
      </c>
      <c r="S72" s="36"/>
      <c r="T72" s="36">
        <v>-540193</v>
      </c>
      <c r="U72" s="36">
        <v>-717048</v>
      </c>
      <c r="V72" s="36"/>
      <c r="X72" s="36"/>
      <c r="Y72" s="36"/>
    </row>
    <row r="73" spans="1:25" ht="15" x14ac:dyDescent="0.25">
      <c r="A73" s="1204" t="s">
        <v>2604</v>
      </c>
      <c r="B73" s="1178">
        <v>1.2795E-3</v>
      </c>
      <c r="C73" s="1178">
        <v>1.3519000000000001E-3</v>
      </c>
      <c r="D73" s="36">
        <v>-29324</v>
      </c>
      <c r="E73" s="1224"/>
      <c r="F73" s="36">
        <v>0</v>
      </c>
      <c r="G73" s="36">
        <v>0</v>
      </c>
      <c r="H73" s="36">
        <v>0</v>
      </c>
      <c r="I73" s="36">
        <v>1593</v>
      </c>
      <c r="J73" s="1007"/>
      <c r="K73" s="36">
        <v>598</v>
      </c>
      <c r="L73" s="36">
        <v>2509</v>
      </c>
      <c r="M73" s="36">
        <v>0</v>
      </c>
      <c r="N73" s="36">
        <v>0</v>
      </c>
      <c r="O73" s="36"/>
      <c r="P73" s="36">
        <v>-691</v>
      </c>
      <c r="Q73" s="36">
        <v>2019</v>
      </c>
      <c r="R73" s="36">
        <v>1328</v>
      </c>
      <c r="S73" s="36"/>
      <c r="T73" s="36">
        <v>-24907</v>
      </c>
      <c r="U73" s="36">
        <v>-33061</v>
      </c>
      <c r="V73" s="36"/>
      <c r="X73" s="36"/>
      <c r="Y73" s="36"/>
    </row>
    <row r="74" spans="1:25" ht="15" x14ac:dyDescent="0.25">
      <c r="A74" s="1204" t="s">
        <v>2605</v>
      </c>
      <c r="B74" s="1178">
        <v>2.26435E-2</v>
      </c>
      <c r="C74" s="1178">
        <v>2.0350799999999999E-2</v>
      </c>
      <c r="D74" s="36">
        <v>-518944</v>
      </c>
      <c r="E74" s="1224"/>
      <c r="F74" s="36">
        <v>0</v>
      </c>
      <c r="G74" s="36">
        <v>0</v>
      </c>
      <c r="H74" s="36">
        <v>0</v>
      </c>
      <c r="I74" s="36">
        <v>21554</v>
      </c>
      <c r="J74" s="1007"/>
      <c r="K74" s="36">
        <v>10575</v>
      </c>
      <c r="L74" s="36">
        <v>44404</v>
      </c>
      <c r="M74" s="36">
        <v>0</v>
      </c>
      <c r="N74" s="36">
        <v>29029</v>
      </c>
      <c r="O74" s="36"/>
      <c r="P74" s="36">
        <v>-12227</v>
      </c>
      <c r="Q74" s="36">
        <v>-7185</v>
      </c>
      <c r="R74" s="36">
        <v>-19412</v>
      </c>
      <c r="S74" s="36"/>
      <c r="T74" s="36">
        <v>-440778</v>
      </c>
      <c r="U74" s="36">
        <v>-585085</v>
      </c>
      <c r="V74" s="36"/>
      <c r="X74" s="36"/>
      <c r="Y74" s="36"/>
    </row>
    <row r="75" spans="1:25" ht="15" x14ac:dyDescent="0.25">
      <c r="A75" s="1204" t="s">
        <v>2606</v>
      </c>
      <c r="B75" s="1178">
        <v>1.0825700000000001E-2</v>
      </c>
      <c r="C75" s="1178">
        <v>1.01215E-2</v>
      </c>
      <c r="D75" s="36">
        <v>-248103</v>
      </c>
      <c r="E75" s="1224"/>
      <c r="F75" s="36">
        <v>0</v>
      </c>
      <c r="G75" s="36">
        <v>0</v>
      </c>
      <c r="H75" s="36">
        <v>0</v>
      </c>
      <c r="I75" s="36">
        <v>11135</v>
      </c>
      <c r="J75" s="1007"/>
      <c r="K75" s="36">
        <v>5056</v>
      </c>
      <c r="L75" s="36">
        <v>21229</v>
      </c>
      <c r="M75" s="36">
        <v>0</v>
      </c>
      <c r="N75" s="36">
        <v>8916</v>
      </c>
      <c r="O75" s="36"/>
      <c r="P75" s="36">
        <v>-5846</v>
      </c>
      <c r="Q75" s="36">
        <v>1017</v>
      </c>
      <c r="R75" s="36">
        <v>-4829</v>
      </c>
      <c r="S75" s="36"/>
      <c r="T75" s="36">
        <v>-210733</v>
      </c>
      <c r="U75" s="36">
        <v>-279725</v>
      </c>
      <c r="V75" s="36"/>
      <c r="X75" s="36"/>
      <c r="Y75" s="36"/>
    </row>
    <row r="76" spans="1:25" ht="15" x14ac:dyDescent="0.25">
      <c r="A76" s="1204" t="s">
        <v>2607</v>
      </c>
      <c r="B76" s="1178">
        <v>1.3393000000000001E-3</v>
      </c>
      <c r="C76" s="1178">
        <v>1.2507E-3</v>
      </c>
      <c r="D76" s="36">
        <v>-30694</v>
      </c>
      <c r="E76" s="1224"/>
      <c r="F76" s="36">
        <v>0</v>
      </c>
      <c r="G76" s="36">
        <v>0</v>
      </c>
      <c r="H76" s="36">
        <v>0</v>
      </c>
      <c r="I76" s="36">
        <v>967</v>
      </c>
      <c r="J76" s="1007"/>
      <c r="K76" s="36">
        <v>625</v>
      </c>
      <c r="L76" s="36">
        <v>2626</v>
      </c>
      <c r="M76" s="36">
        <v>0</v>
      </c>
      <c r="N76" s="36">
        <v>1122</v>
      </c>
      <c r="O76" s="36"/>
      <c r="P76" s="36">
        <v>-723</v>
      </c>
      <c r="Q76" s="36">
        <v>364</v>
      </c>
      <c r="R76" s="36">
        <v>-359</v>
      </c>
      <c r="S76" s="36"/>
      <c r="T76" s="36">
        <v>-26071</v>
      </c>
      <c r="U76" s="36">
        <v>-34606</v>
      </c>
      <c r="V76" s="36"/>
      <c r="X76" s="36"/>
      <c r="Y76" s="36"/>
    </row>
    <row r="77" spans="1:25" ht="15" x14ac:dyDescent="0.25">
      <c r="A77" s="1204" t="s">
        <v>2608</v>
      </c>
      <c r="B77" s="1178">
        <v>3.7664999999999999E-3</v>
      </c>
      <c r="C77" s="1178">
        <v>3.4764000000000001E-3</v>
      </c>
      <c r="D77" s="36">
        <v>-86321</v>
      </c>
      <c r="E77" s="1224"/>
      <c r="F77" s="36">
        <v>0</v>
      </c>
      <c r="G77" s="36">
        <v>0</v>
      </c>
      <c r="H77" s="36">
        <v>0</v>
      </c>
      <c r="I77" s="36">
        <v>5295</v>
      </c>
      <c r="J77" s="1007"/>
      <c r="K77" s="36">
        <v>1759</v>
      </c>
      <c r="L77" s="36">
        <v>7386</v>
      </c>
      <c r="M77" s="36">
        <v>0</v>
      </c>
      <c r="N77" s="36">
        <v>3673</v>
      </c>
      <c r="O77" s="36"/>
      <c r="P77" s="36">
        <v>-2034</v>
      </c>
      <c r="Q77" s="36">
        <v>817</v>
      </c>
      <c r="R77" s="36">
        <v>-1217</v>
      </c>
      <c r="S77" s="36"/>
      <c r="T77" s="36">
        <v>-73319</v>
      </c>
      <c r="U77" s="36">
        <v>-97323</v>
      </c>
      <c r="V77" s="36"/>
      <c r="X77" s="36"/>
      <c r="Y77" s="36"/>
    </row>
    <row r="78" spans="1:25" ht="15" x14ac:dyDescent="0.25">
      <c r="A78" s="1204" t="s">
        <v>2609</v>
      </c>
      <c r="B78" s="1178">
        <v>7.8551000000000003E-3</v>
      </c>
      <c r="C78" s="1178">
        <v>6.2163000000000001E-3</v>
      </c>
      <c r="D78" s="36">
        <v>-180023</v>
      </c>
      <c r="E78" s="1224"/>
      <c r="F78" s="36">
        <v>0</v>
      </c>
      <c r="G78" s="36">
        <v>0</v>
      </c>
      <c r="H78" s="36">
        <v>0</v>
      </c>
      <c r="I78" s="36">
        <v>9605</v>
      </c>
      <c r="J78" s="1007"/>
      <c r="K78" s="36">
        <v>3668</v>
      </c>
      <c r="L78" s="36">
        <v>15404</v>
      </c>
      <c r="M78" s="36">
        <v>0</v>
      </c>
      <c r="N78" s="36">
        <v>20749</v>
      </c>
      <c r="O78" s="36"/>
      <c r="P78" s="36">
        <v>-4242</v>
      </c>
      <c r="Q78" s="36">
        <v>-3848</v>
      </c>
      <c r="R78" s="36">
        <v>-8090</v>
      </c>
      <c r="S78" s="36"/>
      <c r="T78" s="36">
        <v>-152907</v>
      </c>
      <c r="U78" s="36">
        <v>-202968</v>
      </c>
      <c r="V78" s="36"/>
      <c r="X78" s="36"/>
      <c r="Y78" s="36"/>
    </row>
    <row r="79" spans="1:25" ht="15" x14ac:dyDescent="0.25">
      <c r="A79" s="1204" t="s">
        <v>2610</v>
      </c>
      <c r="B79" s="1178">
        <v>1.2987999999999999E-3</v>
      </c>
      <c r="C79" s="1178">
        <v>1.1808000000000001E-3</v>
      </c>
      <c r="D79" s="36">
        <v>-29766</v>
      </c>
      <c r="E79" s="1224"/>
      <c r="F79" s="36">
        <v>0</v>
      </c>
      <c r="G79" s="36">
        <v>0</v>
      </c>
      <c r="H79" s="36">
        <v>0</v>
      </c>
      <c r="I79" s="36">
        <v>1872</v>
      </c>
      <c r="J79" s="1007"/>
      <c r="K79" s="36">
        <v>607</v>
      </c>
      <c r="L79" s="36">
        <v>2547</v>
      </c>
      <c r="M79" s="36">
        <v>0</v>
      </c>
      <c r="N79" s="36">
        <v>1494</v>
      </c>
      <c r="O79" s="36"/>
      <c r="P79" s="36">
        <v>-701</v>
      </c>
      <c r="Q79" s="36">
        <v>-476</v>
      </c>
      <c r="R79" s="36">
        <v>-1177</v>
      </c>
      <c r="S79" s="36"/>
      <c r="T79" s="36">
        <v>-25282</v>
      </c>
      <c r="U79" s="36">
        <v>-33560</v>
      </c>
      <c r="V79" s="36"/>
      <c r="X79" s="36"/>
      <c r="Y79" s="36"/>
    </row>
    <row r="80" spans="1:25" ht="15" x14ac:dyDescent="0.25">
      <c r="A80" s="1204" t="s">
        <v>2611</v>
      </c>
      <c r="B80" s="1178">
        <v>3.1557E-3</v>
      </c>
      <c r="C80" s="1178">
        <v>3.0278000000000002E-3</v>
      </c>
      <c r="D80" s="36">
        <v>-72322</v>
      </c>
      <c r="E80" s="1224"/>
      <c r="F80" s="36">
        <v>0</v>
      </c>
      <c r="G80" s="36">
        <v>0</v>
      </c>
      <c r="H80" s="36">
        <v>0</v>
      </c>
      <c r="I80" s="36">
        <v>4546</v>
      </c>
      <c r="J80" s="1007"/>
      <c r="K80" s="36">
        <v>1474</v>
      </c>
      <c r="L80" s="36">
        <v>6188</v>
      </c>
      <c r="M80" s="36">
        <v>0</v>
      </c>
      <c r="N80" s="36">
        <v>1619</v>
      </c>
      <c r="O80" s="36"/>
      <c r="P80" s="36">
        <v>-1704</v>
      </c>
      <c r="Q80" s="36">
        <v>1101</v>
      </c>
      <c r="R80" s="36">
        <v>-603</v>
      </c>
      <c r="S80" s="36"/>
      <c r="T80" s="36">
        <v>-61429</v>
      </c>
      <c r="U80" s="36">
        <v>-81540</v>
      </c>
      <c r="V80" s="36"/>
      <c r="X80" s="36"/>
      <c r="Y80" s="36"/>
    </row>
    <row r="81" spans="1:25" ht="15" x14ac:dyDescent="0.25">
      <c r="A81" s="1204" t="s">
        <v>2612</v>
      </c>
      <c r="B81" s="1178">
        <v>1.4161099999999999E-2</v>
      </c>
      <c r="C81" s="1178">
        <v>1.30533E-2</v>
      </c>
      <c r="D81" s="36">
        <v>-324544</v>
      </c>
      <c r="E81" s="1224"/>
      <c r="F81" s="36">
        <v>0</v>
      </c>
      <c r="G81" s="36">
        <v>0</v>
      </c>
      <c r="H81" s="36">
        <v>0</v>
      </c>
      <c r="I81" s="36">
        <v>13032</v>
      </c>
      <c r="J81" s="1007"/>
      <c r="K81" s="36">
        <v>6613</v>
      </c>
      <c r="L81" s="36">
        <v>27770</v>
      </c>
      <c r="M81" s="36">
        <v>0</v>
      </c>
      <c r="N81" s="36">
        <v>14027</v>
      </c>
      <c r="O81" s="36"/>
      <c r="P81" s="36">
        <v>-7647</v>
      </c>
      <c r="Q81" s="36">
        <v>419</v>
      </c>
      <c r="R81" s="36">
        <v>-7228</v>
      </c>
      <c r="S81" s="36"/>
      <c r="T81" s="36">
        <v>-275660</v>
      </c>
      <c r="U81" s="36">
        <v>-365909</v>
      </c>
      <c r="V81" s="36"/>
      <c r="X81" s="36"/>
      <c r="Y81" s="36"/>
    </row>
    <row r="82" spans="1:25" ht="15" x14ac:dyDescent="0.25">
      <c r="A82" s="1204" t="s">
        <v>2613</v>
      </c>
      <c r="B82" s="1178">
        <v>2.2509000000000001E-3</v>
      </c>
      <c r="C82" s="1178">
        <v>2.1887E-3</v>
      </c>
      <c r="D82" s="36">
        <v>-51586</v>
      </c>
      <c r="E82" s="1224"/>
      <c r="F82" s="36">
        <v>0</v>
      </c>
      <c r="G82" s="36">
        <v>0</v>
      </c>
      <c r="H82" s="36">
        <v>0</v>
      </c>
      <c r="I82" s="36">
        <v>5180</v>
      </c>
      <c r="J82" s="1007"/>
      <c r="K82" s="36">
        <v>1051</v>
      </c>
      <c r="L82" s="36">
        <v>4414</v>
      </c>
      <c r="M82" s="36">
        <v>0</v>
      </c>
      <c r="N82" s="36">
        <v>788</v>
      </c>
      <c r="O82" s="36"/>
      <c r="P82" s="36">
        <v>-1215</v>
      </c>
      <c r="Q82" s="36">
        <v>-572</v>
      </c>
      <c r="R82" s="36">
        <v>-1787</v>
      </c>
      <c r="S82" s="36"/>
      <c r="T82" s="36">
        <v>-43816</v>
      </c>
      <c r="U82" s="36">
        <v>-58161</v>
      </c>
      <c r="V82" s="36"/>
      <c r="X82" s="36"/>
      <c r="Y82" s="36"/>
    </row>
    <row r="83" spans="1:25" ht="15" x14ac:dyDescent="0.25">
      <c r="A83" s="1204" t="s">
        <v>2614</v>
      </c>
      <c r="B83" s="1178">
        <v>1.1178499999999999E-2</v>
      </c>
      <c r="C83" s="1178">
        <v>1.03541E-2</v>
      </c>
      <c r="D83" s="36">
        <v>-256189</v>
      </c>
      <c r="E83" s="1224"/>
      <c r="F83" s="36">
        <v>0</v>
      </c>
      <c r="G83" s="36">
        <v>0</v>
      </c>
      <c r="H83" s="36">
        <v>0</v>
      </c>
      <c r="I83" s="36">
        <v>13615</v>
      </c>
      <c r="J83" s="1007"/>
      <c r="K83" s="36">
        <v>5220</v>
      </c>
      <c r="L83" s="36">
        <v>21921</v>
      </c>
      <c r="M83" s="36">
        <v>0</v>
      </c>
      <c r="N83" s="36">
        <v>10437</v>
      </c>
      <c r="O83" s="36"/>
      <c r="P83" s="36">
        <v>-6036</v>
      </c>
      <c r="Q83" s="36">
        <v>3522</v>
      </c>
      <c r="R83" s="36">
        <v>-2514</v>
      </c>
      <c r="S83" s="36"/>
      <c r="T83" s="36">
        <v>-217601</v>
      </c>
      <c r="U83" s="36">
        <v>-288841</v>
      </c>
      <c r="V83" s="36"/>
      <c r="X83" s="36"/>
      <c r="Y83" s="36"/>
    </row>
    <row r="84" spans="1:25" ht="15" x14ac:dyDescent="0.25">
      <c r="A84" s="1204" t="s">
        <v>2615</v>
      </c>
      <c r="B84" s="1178">
        <v>2.5414000000000001E-3</v>
      </c>
      <c r="C84" s="1178">
        <v>2.4407000000000001E-3</v>
      </c>
      <c r="D84" s="36">
        <v>-58244</v>
      </c>
      <c r="E84" s="1224"/>
      <c r="F84" s="36">
        <v>0</v>
      </c>
      <c r="G84" s="36">
        <v>0</v>
      </c>
      <c r="H84" s="36">
        <v>0</v>
      </c>
      <c r="I84" s="36">
        <v>5939</v>
      </c>
      <c r="J84" s="1007"/>
      <c r="K84" s="36">
        <v>1187</v>
      </c>
      <c r="L84" s="36">
        <v>4984</v>
      </c>
      <c r="M84" s="36">
        <v>0</v>
      </c>
      <c r="N84" s="36">
        <v>1275</v>
      </c>
      <c r="O84" s="36"/>
      <c r="P84" s="36">
        <v>-1372</v>
      </c>
      <c r="Q84" s="36">
        <v>395</v>
      </c>
      <c r="R84" s="36">
        <v>-977</v>
      </c>
      <c r="S84" s="36"/>
      <c r="T84" s="36">
        <v>-49471</v>
      </c>
      <c r="U84" s="36">
        <v>-65667</v>
      </c>
      <c r="V84" s="36"/>
      <c r="X84" s="36"/>
      <c r="Y84" s="36"/>
    </row>
    <row r="85" spans="1:25" ht="15" x14ac:dyDescent="0.25">
      <c r="A85" s="1204" t="s">
        <v>2616</v>
      </c>
      <c r="B85" s="1178">
        <v>6.1092999999999998E-3</v>
      </c>
      <c r="C85" s="1178">
        <v>7.1928000000000001E-3</v>
      </c>
      <c r="D85" s="36">
        <v>-140013</v>
      </c>
      <c r="E85" s="1224"/>
      <c r="F85" s="36">
        <v>0</v>
      </c>
      <c r="G85" s="36">
        <v>0</v>
      </c>
      <c r="H85" s="36">
        <v>0</v>
      </c>
      <c r="I85" s="36">
        <v>21843</v>
      </c>
      <c r="J85" s="1007"/>
      <c r="K85" s="36">
        <v>2853</v>
      </c>
      <c r="L85" s="36">
        <v>11980</v>
      </c>
      <c r="M85" s="36">
        <v>0</v>
      </c>
      <c r="N85" s="36">
        <v>0</v>
      </c>
      <c r="O85" s="36"/>
      <c r="P85" s="36">
        <v>-3299</v>
      </c>
      <c r="Q85" s="36">
        <v>9786</v>
      </c>
      <c r="R85" s="36">
        <v>6487</v>
      </c>
      <c r="S85" s="36"/>
      <c r="T85" s="36">
        <v>-118924</v>
      </c>
      <c r="U85" s="36">
        <v>-157858</v>
      </c>
      <c r="V85" s="36"/>
      <c r="X85" s="36"/>
      <c r="Y85" s="36"/>
    </row>
    <row r="86" spans="1:25" ht="15" x14ac:dyDescent="0.25">
      <c r="A86" s="1204" t="s">
        <v>2617</v>
      </c>
      <c r="B86" s="1178">
        <v>7.8457000000000006E-3</v>
      </c>
      <c r="C86" s="1178">
        <v>7.6769999999999998E-3</v>
      </c>
      <c r="D86" s="36">
        <v>-179808</v>
      </c>
      <c r="E86" s="1224"/>
      <c r="F86" s="36">
        <v>0</v>
      </c>
      <c r="G86" s="36">
        <v>0</v>
      </c>
      <c r="H86" s="36">
        <v>0</v>
      </c>
      <c r="I86" s="36">
        <v>7369</v>
      </c>
      <c r="J86" s="1007"/>
      <c r="K86" s="36">
        <v>3664</v>
      </c>
      <c r="L86" s="36">
        <v>15385</v>
      </c>
      <c r="M86" s="36">
        <v>0</v>
      </c>
      <c r="N86" s="36">
        <v>2137</v>
      </c>
      <c r="O86" s="36"/>
      <c r="P86" s="36">
        <v>-4237</v>
      </c>
      <c r="Q86" s="36">
        <v>5</v>
      </c>
      <c r="R86" s="36">
        <v>-4232</v>
      </c>
      <c r="S86" s="36"/>
      <c r="T86" s="36">
        <v>-152724</v>
      </c>
      <c r="U86" s="36">
        <v>-202725</v>
      </c>
      <c r="V86" s="36"/>
      <c r="X86" s="36"/>
      <c r="Y86" s="36"/>
    </row>
    <row r="87" spans="1:25" ht="15" x14ac:dyDescent="0.25">
      <c r="A87" s="1204" t="s">
        <v>2618</v>
      </c>
      <c r="B87" s="1178">
        <v>1.30156E-2</v>
      </c>
      <c r="C87" s="1178">
        <v>1.24107E-2</v>
      </c>
      <c r="D87" s="36">
        <v>-298292</v>
      </c>
      <c r="E87" s="1224"/>
      <c r="F87" s="36">
        <v>0</v>
      </c>
      <c r="G87" s="36">
        <v>0</v>
      </c>
      <c r="H87" s="36">
        <v>0</v>
      </c>
      <c r="I87" s="36">
        <v>12088</v>
      </c>
      <c r="J87" s="1007"/>
      <c r="K87" s="36">
        <v>6078</v>
      </c>
      <c r="L87" s="36">
        <v>25524</v>
      </c>
      <c r="M87" s="36">
        <v>0</v>
      </c>
      <c r="N87" s="36">
        <v>7659</v>
      </c>
      <c r="O87" s="36"/>
      <c r="P87" s="36">
        <v>-7028</v>
      </c>
      <c r="Q87" s="36">
        <v>-749</v>
      </c>
      <c r="R87" s="36">
        <v>-7777</v>
      </c>
      <c r="S87" s="36"/>
      <c r="T87" s="36">
        <v>-253362</v>
      </c>
      <c r="U87" s="36">
        <v>-336310</v>
      </c>
      <c r="V87" s="36"/>
      <c r="X87" s="36"/>
      <c r="Y87" s="36"/>
    </row>
    <row r="88" spans="1:25" ht="15" x14ac:dyDescent="0.25">
      <c r="A88" s="1204" t="s">
        <v>2619</v>
      </c>
      <c r="B88" s="1178">
        <v>6.3701000000000001E-3</v>
      </c>
      <c r="C88" s="1178">
        <v>6.0493999999999999E-3</v>
      </c>
      <c r="D88" s="36">
        <v>-145990</v>
      </c>
      <c r="E88" s="1224"/>
      <c r="F88" s="36">
        <v>0</v>
      </c>
      <c r="G88" s="36">
        <v>0</v>
      </c>
      <c r="H88" s="36">
        <v>0</v>
      </c>
      <c r="I88" s="36">
        <v>6943</v>
      </c>
      <c r="J88" s="1007"/>
      <c r="K88" s="36">
        <v>2975</v>
      </c>
      <c r="L88" s="36">
        <v>12492</v>
      </c>
      <c r="M88" s="36">
        <v>0</v>
      </c>
      <c r="N88" s="36">
        <v>4061</v>
      </c>
      <c r="O88" s="36"/>
      <c r="P88" s="36">
        <v>-3440</v>
      </c>
      <c r="Q88" s="36">
        <v>2028</v>
      </c>
      <c r="R88" s="36">
        <v>-1412</v>
      </c>
      <c r="S88" s="36"/>
      <c r="T88" s="36">
        <v>-124000</v>
      </c>
      <c r="U88" s="36">
        <v>-164597</v>
      </c>
      <c r="V88" s="36"/>
      <c r="X88" s="36"/>
      <c r="Y88" s="36"/>
    </row>
    <row r="89" spans="1:25" ht="15" x14ac:dyDescent="0.25">
      <c r="A89" s="1204" t="s">
        <v>2620</v>
      </c>
      <c r="B89" s="1178">
        <v>3.8674E-3</v>
      </c>
      <c r="C89" s="1178">
        <v>4.1282000000000003E-3</v>
      </c>
      <c r="D89" s="36">
        <v>-88633</v>
      </c>
      <c r="E89" s="1224"/>
      <c r="F89" s="36">
        <v>0</v>
      </c>
      <c r="G89" s="36">
        <v>0</v>
      </c>
      <c r="H89" s="36">
        <v>0</v>
      </c>
      <c r="I89" s="36">
        <v>9160</v>
      </c>
      <c r="J89" s="1007"/>
      <c r="K89" s="36">
        <v>1806</v>
      </c>
      <c r="L89" s="36">
        <v>7584</v>
      </c>
      <c r="M89" s="36">
        <v>0</v>
      </c>
      <c r="N89" s="36">
        <v>0</v>
      </c>
      <c r="O89" s="36"/>
      <c r="P89" s="36">
        <v>-2088</v>
      </c>
      <c r="Q89" s="36">
        <v>5366</v>
      </c>
      <c r="R89" s="36">
        <v>3278</v>
      </c>
      <c r="S89" s="36"/>
      <c r="T89" s="36">
        <v>-75283</v>
      </c>
      <c r="U89" s="36">
        <v>-99930</v>
      </c>
      <c r="V89" s="36"/>
      <c r="X89" s="36"/>
      <c r="Y89" s="36"/>
    </row>
    <row r="90" spans="1:25" ht="15" x14ac:dyDescent="0.25">
      <c r="A90" s="1204" t="s">
        <v>2621</v>
      </c>
      <c r="B90" s="1178">
        <v>2.6979999999999999E-3</v>
      </c>
      <c r="C90" s="1178">
        <v>2.6971E-3</v>
      </c>
      <c r="D90" s="36">
        <v>-61833</v>
      </c>
      <c r="E90" s="1224"/>
      <c r="F90" s="36">
        <v>0</v>
      </c>
      <c r="G90" s="36">
        <v>0</v>
      </c>
      <c r="H90" s="36">
        <v>0</v>
      </c>
      <c r="I90" s="36">
        <v>861</v>
      </c>
      <c r="J90" s="1007"/>
      <c r="K90" s="36">
        <v>1260</v>
      </c>
      <c r="L90" s="36">
        <v>5291</v>
      </c>
      <c r="M90" s="36">
        <v>0</v>
      </c>
      <c r="N90" s="36">
        <v>12</v>
      </c>
      <c r="O90" s="36"/>
      <c r="P90" s="36">
        <v>-1457</v>
      </c>
      <c r="Q90" s="36">
        <v>1495</v>
      </c>
      <c r="R90" s="36">
        <v>38</v>
      </c>
      <c r="S90" s="36"/>
      <c r="T90" s="36">
        <v>-52519</v>
      </c>
      <c r="U90" s="36">
        <v>-69714</v>
      </c>
      <c r="V90" s="36"/>
      <c r="X90" s="36"/>
      <c r="Y90" s="36"/>
    </row>
    <row r="91" spans="1:25" ht="15" x14ac:dyDescent="0.25">
      <c r="A91" s="1204" t="s">
        <v>2622</v>
      </c>
      <c r="B91" s="1178">
        <v>6.2995000000000004E-3</v>
      </c>
      <c r="C91" s="1178">
        <v>5.7082000000000001E-3</v>
      </c>
      <c r="D91" s="36">
        <v>-144372</v>
      </c>
      <c r="E91" s="1224"/>
      <c r="F91" s="36">
        <v>0</v>
      </c>
      <c r="G91" s="36">
        <v>0</v>
      </c>
      <c r="H91" s="36">
        <v>0</v>
      </c>
      <c r="I91" s="36">
        <v>5254</v>
      </c>
      <c r="J91" s="1007"/>
      <c r="K91" s="36">
        <v>2942</v>
      </c>
      <c r="L91" s="36">
        <v>12353</v>
      </c>
      <c r="M91" s="36">
        <v>0</v>
      </c>
      <c r="N91" s="36">
        <v>7487</v>
      </c>
      <c r="O91" s="36"/>
      <c r="P91" s="36">
        <v>-3402</v>
      </c>
      <c r="Q91" s="36">
        <v>-398</v>
      </c>
      <c r="R91" s="36">
        <v>-3800</v>
      </c>
      <c r="S91" s="36"/>
      <c r="T91" s="36">
        <v>-122626</v>
      </c>
      <c r="U91" s="36">
        <v>-162773</v>
      </c>
      <c r="V91" s="36"/>
      <c r="X91" s="36"/>
      <c r="Y91" s="36"/>
    </row>
    <row r="92" spans="1:25" ht="15" x14ac:dyDescent="0.25">
      <c r="A92" s="1204" t="s">
        <v>2623</v>
      </c>
      <c r="B92" s="1178">
        <v>3.4803E-3</v>
      </c>
      <c r="C92" s="1178">
        <v>3.1526000000000002E-3</v>
      </c>
      <c r="D92" s="36">
        <v>-79762</v>
      </c>
      <c r="E92" s="1224"/>
      <c r="F92" s="36">
        <v>0</v>
      </c>
      <c r="G92" s="36">
        <v>0</v>
      </c>
      <c r="H92" s="36">
        <v>0</v>
      </c>
      <c r="I92" s="36">
        <v>4612</v>
      </c>
      <c r="J92" s="1007"/>
      <c r="K92" s="36">
        <v>1625</v>
      </c>
      <c r="L92" s="36">
        <v>6825</v>
      </c>
      <c r="M92" s="36">
        <v>0</v>
      </c>
      <c r="N92" s="36">
        <v>4149</v>
      </c>
      <c r="O92" s="36"/>
      <c r="P92" s="36">
        <v>-1879</v>
      </c>
      <c r="Q92" s="36">
        <v>1584</v>
      </c>
      <c r="R92" s="36">
        <v>-295</v>
      </c>
      <c r="S92" s="36"/>
      <c r="T92" s="36">
        <v>-67748</v>
      </c>
      <c r="U92" s="36">
        <v>-89927</v>
      </c>
      <c r="V92" s="36"/>
      <c r="X92" s="36"/>
      <c r="Y92" s="36"/>
    </row>
    <row r="93" spans="1:25" ht="15" x14ac:dyDescent="0.25">
      <c r="A93" s="1204" t="s">
        <v>2624</v>
      </c>
      <c r="B93" s="1178">
        <v>6.5468999999999996E-3</v>
      </c>
      <c r="C93" s="1178">
        <v>6.3070000000000001E-3</v>
      </c>
      <c r="D93" s="36">
        <v>-150042</v>
      </c>
      <c r="E93" s="1224"/>
      <c r="F93" s="36">
        <v>0</v>
      </c>
      <c r="G93" s="36">
        <v>0</v>
      </c>
      <c r="H93" s="36">
        <v>0</v>
      </c>
      <c r="I93" s="36">
        <v>12889</v>
      </c>
      <c r="J93" s="1007"/>
      <c r="K93" s="36">
        <v>3057</v>
      </c>
      <c r="L93" s="36">
        <v>12838</v>
      </c>
      <c r="M93" s="36">
        <v>0</v>
      </c>
      <c r="N93" s="36">
        <v>3037</v>
      </c>
      <c r="O93" s="36"/>
      <c r="P93" s="36">
        <v>-3535</v>
      </c>
      <c r="Q93" s="36">
        <v>-4280</v>
      </c>
      <c r="R93" s="36">
        <v>-7815</v>
      </c>
      <c r="S93" s="36"/>
      <c r="T93" s="36">
        <v>-127442</v>
      </c>
      <c r="U93" s="36">
        <v>-169165</v>
      </c>
      <c r="V93" s="36"/>
      <c r="X93" s="36"/>
      <c r="Y93" s="36"/>
    </row>
    <row r="94" spans="1:25" ht="15" x14ac:dyDescent="0.25">
      <c r="A94" s="1204" t="s">
        <v>2625</v>
      </c>
      <c r="B94" s="1178">
        <v>1.2212E-3</v>
      </c>
      <c r="C94" s="1178">
        <v>2.9602999999999999E-3</v>
      </c>
      <c r="D94" s="36">
        <v>-27987</v>
      </c>
      <c r="E94" s="1224"/>
      <c r="F94" s="36">
        <v>0</v>
      </c>
      <c r="G94" s="36">
        <v>0</v>
      </c>
      <c r="H94" s="36">
        <v>0</v>
      </c>
      <c r="I94" s="36">
        <v>23299</v>
      </c>
      <c r="J94" s="1007"/>
      <c r="K94" s="36">
        <v>570</v>
      </c>
      <c r="L94" s="36">
        <v>2395</v>
      </c>
      <c r="M94" s="36">
        <v>0</v>
      </c>
      <c r="N94" s="36">
        <v>0</v>
      </c>
      <c r="O94" s="36"/>
      <c r="P94" s="36">
        <v>-659</v>
      </c>
      <c r="Q94" s="36">
        <v>11660</v>
      </c>
      <c r="R94" s="36">
        <v>11001</v>
      </c>
      <c r="S94" s="36"/>
      <c r="T94" s="36">
        <v>-23772</v>
      </c>
      <c r="U94" s="36">
        <v>-31555</v>
      </c>
      <c r="V94" s="36"/>
      <c r="X94" s="36"/>
      <c r="Y94" s="36"/>
    </row>
    <row r="95" spans="1:25" ht="15" x14ac:dyDescent="0.25">
      <c r="A95" s="1204" t="s">
        <v>2626</v>
      </c>
      <c r="B95" s="1178">
        <v>3.8666999999999998E-3</v>
      </c>
      <c r="C95" s="1178">
        <v>3.9773999999999999E-3</v>
      </c>
      <c r="D95" s="36">
        <v>-88617</v>
      </c>
      <c r="E95" s="1224"/>
      <c r="F95" s="36">
        <v>0</v>
      </c>
      <c r="G95" s="36">
        <v>0</v>
      </c>
      <c r="H95" s="36">
        <v>0</v>
      </c>
      <c r="I95" s="36">
        <v>1402</v>
      </c>
      <c r="J95" s="1007"/>
      <c r="K95" s="36">
        <v>1806</v>
      </c>
      <c r="L95" s="36">
        <v>7583</v>
      </c>
      <c r="M95" s="36">
        <v>0</v>
      </c>
      <c r="N95" s="36">
        <v>3037</v>
      </c>
      <c r="O95" s="36"/>
      <c r="P95" s="36">
        <v>-2088</v>
      </c>
      <c r="Q95" s="36">
        <v>3531</v>
      </c>
      <c r="R95" s="36">
        <v>1443</v>
      </c>
      <c r="S95" s="36"/>
      <c r="T95" s="36">
        <v>-75269</v>
      </c>
      <c r="U95" s="36">
        <v>-99912</v>
      </c>
      <c r="V95" s="36"/>
      <c r="X95" s="36"/>
      <c r="Y95" s="36"/>
    </row>
    <row r="96" spans="1:25" ht="15" x14ac:dyDescent="0.25">
      <c r="A96" s="1204" t="s">
        <v>2627</v>
      </c>
      <c r="B96" s="1178">
        <v>3.0610000000000001E-4</v>
      </c>
      <c r="C96" s="1178">
        <v>3.0079999999999999E-4</v>
      </c>
      <c r="D96" s="36">
        <v>-7015</v>
      </c>
      <c r="E96" s="1224"/>
      <c r="F96" s="36">
        <v>0</v>
      </c>
      <c r="G96" s="36">
        <v>0</v>
      </c>
      <c r="H96" s="36">
        <v>0</v>
      </c>
      <c r="I96" s="36">
        <v>175</v>
      </c>
      <c r="J96" s="1007"/>
      <c r="K96" s="36">
        <v>143</v>
      </c>
      <c r="L96" s="36">
        <v>600</v>
      </c>
      <c r="M96" s="36">
        <v>0</v>
      </c>
      <c r="N96" s="36">
        <v>67</v>
      </c>
      <c r="O96" s="36"/>
      <c r="P96" s="36">
        <v>-165</v>
      </c>
      <c r="Q96" s="36">
        <v>-32</v>
      </c>
      <c r="R96" s="36">
        <v>-197</v>
      </c>
      <c r="S96" s="36"/>
      <c r="T96" s="36">
        <v>-5959</v>
      </c>
      <c r="U96" s="36">
        <v>-7909</v>
      </c>
      <c r="V96" s="36"/>
      <c r="X96" s="36"/>
      <c r="Y96" s="36"/>
    </row>
    <row r="97" spans="1:25" ht="15" x14ac:dyDescent="0.25">
      <c r="A97" s="1204" t="s">
        <v>2628</v>
      </c>
      <c r="B97" s="1178">
        <v>2.8127200000000002E-2</v>
      </c>
      <c r="C97" s="1178">
        <v>2.3270099999999998E-2</v>
      </c>
      <c r="D97" s="36">
        <v>-644619</v>
      </c>
      <c r="E97" s="1224"/>
      <c r="F97" s="36">
        <v>0</v>
      </c>
      <c r="G97" s="36">
        <v>0</v>
      </c>
      <c r="H97" s="36">
        <v>0</v>
      </c>
      <c r="I97" s="36">
        <v>16917</v>
      </c>
      <c r="J97" s="1007"/>
      <c r="K97" s="36">
        <v>13135</v>
      </c>
      <c r="L97" s="36">
        <v>55157</v>
      </c>
      <c r="M97" s="36">
        <v>0</v>
      </c>
      <c r="N97" s="36">
        <v>61497</v>
      </c>
      <c r="O97" s="36"/>
      <c r="P97" s="36">
        <v>-15189</v>
      </c>
      <c r="Q97" s="36">
        <v>-14235</v>
      </c>
      <c r="R97" s="36">
        <v>-29424</v>
      </c>
      <c r="S97" s="36"/>
      <c r="T97" s="36">
        <v>-547524</v>
      </c>
      <c r="U97" s="36">
        <v>-726779</v>
      </c>
      <c r="V97" s="36"/>
      <c r="X97" s="36"/>
      <c r="Y97" s="36"/>
    </row>
    <row r="98" spans="1:25" ht="15" x14ac:dyDescent="0.25">
      <c r="A98" s="1204" t="s">
        <v>2629</v>
      </c>
      <c r="B98" s="1178">
        <v>3.3375000000000002E-3</v>
      </c>
      <c r="C98" s="1178">
        <v>2.7642000000000001E-3</v>
      </c>
      <c r="D98" s="36">
        <v>-76489</v>
      </c>
      <c r="E98" s="1224"/>
      <c r="F98" s="36">
        <v>0</v>
      </c>
      <c r="G98" s="36">
        <v>0</v>
      </c>
      <c r="H98" s="36">
        <v>0</v>
      </c>
      <c r="I98" s="36">
        <v>8637</v>
      </c>
      <c r="J98" s="1007"/>
      <c r="K98" s="36">
        <v>1559</v>
      </c>
      <c r="L98" s="36">
        <v>6545</v>
      </c>
      <c r="M98" s="36">
        <v>0</v>
      </c>
      <c r="N98" s="36">
        <v>7259</v>
      </c>
      <c r="O98" s="36"/>
      <c r="P98" s="36">
        <v>-1802</v>
      </c>
      <c r="Q98" s="36">
        <v>54</v>
      </c>
      <c r="R98" s="36">
        <v>-1748</v>
      </c>
      <c r="S98" s="36"/>
      <c r="T98" s="36">
        <v>-64968</v>
      </c>
      <c r="U98" s="36">
        <v>-86238</v>
      </c>
      <c r="V98" s="36"/>
      <c r="X98" s="36"/>
      <c r="Y98" s="36"/>
    </row>
    <row r="99" spans="1:25" ht="15" x14ac:dyDescent="0.25">
      <c r="A99" s="1204" t="s">
        <v>2630</v>
      </c>
      <c r="B99" s="1178">
        <v>0.11755110000000001</v>
      </c>
      <c r="C99" s="1178">
        <v>9.7142199999999998E-2</v>
      </c>
      <c r="D99" s="36">
        <v>-2694036</v>
      </c>
      <c r="E99" s="1224"/>
      <c r="F99" s="36">
        <v>0</v>
      </c>
      <c r="G99" s="36">
        <v>0</v>
      </c>
      <c r="H99" s="36">
        <v>0</v>
      </c>
      <c r="I99" s="36">
        <v>264351</v>
      </c>
      <c r="J99" s="1007"/>
      <c r="K99" s="36">
        <v>54896</v>
      </c>
      <c r="L99" s="36">
        <v>230518</v>
      </c>
      <c r="M99" s="36">
        <v>0</v>
      </c>
      <c r="N99" s="36">
        <v>258403</v>
      </c>
      <c r="O99" s="36"/>
      <c r="P99" s="36">
        <v>-63478</v>
      </c>
      <c r="Q99" s="36">
        <v>-68378</v>
      </c>
      <c r="R99" s="36">
        <v>-131856</v>
      </c>
      <c r="S99" s="36"/>
      <c r="T99" s="36">
        <v>-2288250</v>
      </c>
      <c r="U99" s="36">
        <v>-3037403</v>
      </c>
      <c r="V99" s="36"/>
      <c r="X99" s="36"/>
      <c r="Y99" s="36"/>
    </row>
    <row r="100" spans="1:25" ht="15" x14ac:dyDescent="0.25">
      <c r="A100" s="1204" t="s">
        <v>2631</v>
      </c>
      <c r="B100" s="1178">
        <v>1.4002999999999999E-3</v>
      </c>
      <c r="C100" s="1178">
        <v>1.405E-3</v>
      </c>
      <c r="D100" s="36">
        <v>-32092</v>
      </c>
      <c r="E100" s="1224"/>
      <c r="F100" s="36">
        <v>0</v>
      </c>
      <c r="G100" s="36">
        <v>0</v>
      </c>
      <c r="H100" s="36">
        <v>0</v>
      </c>
      <c r="I100" s="36">
        <v>470</v>
      </c>
      <c r="J100" s="1007"/>
      <c r="K100" s="36">
        <v>654</v>
      </c>
      <c r="L100" s="36">
        <v>2746</v>
      </c>
      <c r="M100" s="36">
        <v>0</v>
      </c>
      <c r="N100" s="36">
        <v>0</v>
      </c>
      <c r="O100" s="36"/>
      <c r="P100" s="36">
        <v>-756</v>
      </c>
      <c r="Q100" s="36">
        <v>603</v>
      </c>
      <c r="R100" s="36">
        <v>-153</v>
      </c>
      <c r="S100" s="36"/>
      <c r="T100" s="36">
        <v>-27258</v>
      </c>
      <c r="U100" s="36">
        <v>-36182</v>
      </c>
      <c r="V100" s="36"/>
      <c r="X100" s="36"/>
      <c r="Y100" s="36"/>
    </row>
    <row r="101" spans="1:25" ht="15" x14ac:dyDescent="0.25">
      <c r="A101" s="1204" t="s">
        <v>2632</v>
      </c>
      <c r="B101" s="1178">
        <v>7.8390000000000003E-4</v>
      </c>
      <c r="C101" s="1178">
        <v>7.3539999999999999E-4</v>
      </c>
      <c r="D101" s="36">
        <v>-17965</v>
      </c>
      <c r="E101" s="1224"/>
      <c r="F101" s="36">
        <v>0</v>
      </c>
      <c r="G101" s="36">
        <v>0</v>
      </c>
      <c r="H101" s="36">
        <v>0</v>
      </c>
      <c r="I101" s="36">
        <v>1163</v>
      </c>
      <c r="J101" s="1007"/>
      <c r="K101" s="36">
        <v>366</v>
      </c>
      <c r="L101" s="36">
        <v>1537</v>
      </c>
      <c r="M101" s="36">
        <v>0</v>
      </c>
      <c r="N101" s="36">
        <v>614</v>
      </c>
      <c r="O101" s="36"/>
      <c r="P101" s="36">
        <v>-423</v>
      </c>
      <c r="Q101" s="36">
        <v>3616</v>
      </c>
      <c r="R101" s="36">
        <v>3193</v>
      </c>
      <c r="S101" s="36"/>
      <c r="T101" s="36">
        <v>-15259</v>
      </c>
      <c r="U101" s="36">
        <v>-20255</v>
      </c>
      <c r="V101" s="36"/>
      <c r="X101" s="36"/>
      <c r="Y101" s="36"/>
    </row>
    <row r="102" spans="1:25" ht="15" x14ac:dyDescent="0.25">
      <c r="A102" s="1204" t="s">
        <v>2633</v>
      </c>
      <c r="B102" s="1178">
        <v>6.2201000000000001E-3</v>
      </c>
      <c r="C102" s="1178">
        <v>5.6359000000000001E-3</v>
      </c>
      <c r="D102" s="36">
        <v>-142552</v>
      </c>
      <c r="E102" s="1224"/>
      <c r="F102" s="36">
        <v>0</v>
      </c>
      <c r="G102" s="36">
        <v>0</v>
      </c>
      <c r="H102" s="36">
        <v>0</v>
      </c>
      <c r="I102" s="36">
        <v>5090</v>
      </c>
      <c r="J102" s="1007"/>
      <c r="K102" s="36">
        <v>2905</v>
      </c>
      <c r="L102" s="36">
        <v>12198</v>
      </c>
      <c r="M102" s="36">
        <v>0</v>
      </c>
      <c r="N102" s="36">
        <v>7396</v>
      </c>
      <c r="O102" s="36"/>
      <c r="P102" s="36">
        <v>-3359</v>
      </c>
      <c r="Q102" s="36">
        <v>1335</v>
      </c>
      <c r="R102" s="36">
        <v>-2024</v>
      </c>
      <c r="S102" s="36"/>
      <c r="T102" s="36">
        <v>-121080</v>
      </c>
      <c r="U102" s="36">
        <v>-160721</v>
      </c>
      <c r="V102" s="36"/>
      <c r="X102" s="36"/>
      <c r="Y102" s="36"/>
    </row>
    <row r="103" spans="1:25" ht="15" x14ac:dyDescent="0.25">
      <c r="A103" s="1204" t="s">
        <v>2634</v>
      </c>
      <c r="B103" s="1178">
        <v>9.0223000000000005E-3</v>
      </c>
      <c r="C103" s="1178">
        <v>8.2743999999999995E-3</v>
      </c>
      <c r="D103" s="36">
        <v>-206773</v>
      </c>
      <c r="E103" s="1224"/>
      <c r="F103" s="36">
        <v>0</v>
      </c>
      <c r="G103" s="36">
        <v>0</v>
      </c>
      <c r="H103" s="36">
        <v>0</v>
      </c>
      <c r="I103" s="36">
        <v>12221</v>
      </c>
      <c r="J103" s="1007"/>
      <c r="K103" s="36">
        <v>4213</v>
      </c>
      <c r="L103" s="36">
        <v>17693</v>
      </c>
      <c r="M103" s="36">
        <v>0</v>
      </c>
      <c r="N103" s="36">
        <v>9470</v>
      </c>
      <c r="O103" s="36"/>
      <c r="P103" s="36">
        <v>-4872</v>
      </c>
      <c r="Q103" s="36">
        <v>3036</v>
      </c>
      <c r="R103" s="36">
        <v>-1836</v>
      </c>
      <c r="S103" s="36"/>
      <c r="T103" s="36">
        <v>-175628</v>
      </c>
      <c r="U103" s="36">
        <v>-233127</v>
      </c>
      <c r="V103" s="36"/>
      <c r="X103" s="36"/>
      <c r="Y103" s="36"/>
    </row>
    <row r="104" spans="1:25" ht="15" x14ac:dyDescent="0.25">
      <c r="A104" s="1204" t="s">
        <v>2635</v>
      </c>
      <c r="B104" s="1178">
        <v>5.0927000000000004E-3</v>
      </c>
      <c r="C104" s="1178">
        <v>5.2541999999999997E-3</v>
      </c>
      <c r="D104" s="36">
        <v>-116714</v>
      </c>
      <c r="E104" s="1224"/>
      <c r="F104" s="36">
        <v>0</v>
      </c>
      <c r="G104" s="36">
        <v>0</v>
      </c>
      <c r="H104" s="36">
        <v>0</v>
      </c>
      <c r="I104" s="36">
        <v>8931</v>
      </c>
      <c r="J104" s="1007"/>
      <c r="K104" s="36">
        <v>2378</v>
      </c>
      <c r="L104" s="36">
        <v>9987</v>
      </c>
      <c r="M104" s="36">
        <v>0</v>
      </c>
      <c r="N104" s="36">
        <v>0</v>
      </c>
      <c r="O104" s="36"/>
      <c r="P104" s="36">
        <v>-2750</v>
      </c>
      <c r="Q104" s="36">
        <v>3545</v>
      </c>
      <c r="R104" s="36">
        <v>795</v>
      </c>
      <c r="S104" s="36"/>
      <c r="T104" s="36">
        <v>-99134</v>
      </c>
      <c r="U104" s="36">
        <v>-131590</v>
      </c>
      <c r="V104" s="36"/>
      <c r="X104" s="36"/>
      <c r="Y104" s="36"/>
    </row>
    <row r="105" spans="1:25" ht="15" x14ac:dyDescent="0.25">
      <c r="A105" s="1204" t="s">
        <v>2636</v>
      </c>
      <c r="B105" s="1178">
        <v>6.2757999999999998E-3</v>
      </c>
      <c r="C105" s="1178">
        <v>4.2065999999999996E-3</v>
      </c>
      <c r="D105" s="36">
        <v>-143829</v>
      </c>
      <c r="E105" s="1224"/>
      <c r="F105" s="36">
        <v>0</v>
      </c>
      <c r="G105" s="36">
        <v>0</v>
      </c>
      <c r="H105" s="36">
        <v>0</v>
      </c>
      <c r="I105" s="36">
        <v>2339</v>
      </c>
      <c r="J105" s="1007"/>
      <c r="K105" s="36">
        <v>2931</v>
      </c>
      <c r="L105" s="36">
        <v>12307</v>
      </c>
      <c r="M105" s="36">
        <v>0</v>
      </c>
      <c r="N105" s="36">
        <v>26199</v>
      </c>
      <c r="O105" s="36"/>
      <c r="P105" s="36">
        <v>-3389</v>
      </c>
      <c r="Q105" s="36">
        <v>-10991</v>
      </c>
      <c r="R105" s="36">
        <v>-14380</v>
      </c>
      <c r="S105" s="36"/>
      <c r="T105" s="36">
        <v>-122165</v>
      </c>
      <c r="U105" s="36">
        <v>-162160</v>
      </c>
      <c r="V105" s="36"/>
      <c r="X105" s="36"/>
      <c r="Y105" s="36"/>
    </row>
    <row r="106" spans="1:25" ht="15" x14ac:dyDescent="0.25">
      <c r="A106" s="1204" t="s">
        <v>2536</v>
      </c>
      <c r="B106" s="1178">
        <v>2.9585000000000002E-3</v>
      </c>
      <c r="C106" s="1178">
        <v>2.7458000000000001E-3</v>
      </c>
      <c r="D106" s="36">
        <v>-67803</v>
      </c>
      <c r="E106" s="1224"/>
      <c r="F106" s="36">
        <v>0</v>
      </c>
      <c r="G106" s="36">
        <v>0</v>
      </c>
      <c r="H106" s="36">
        <v>0</v>
      </c>
      <c r="I106" s="36">
        <v>2471</v>
      </c>
      <c r="J106" s="1007"/>
      <c r="K106" s="36">
        <v>1382</v>
      </c>
      <c r="L106" s="36">
        <v>5802</v>
      </c>
      <c r="M106" s="36">
        <v>0</v>
      </c>
      <c r="N106" s="36">
        <v>2693</v>
      </c>
      <c r="O106" s="36"/>
      <c r="P106" s="36">
        <v>-1598</v>
      </c>
      <c r="Q106" s="36">
        <v>709</v>
      </c>
      <c r="R106" s="36">
        <v>-889</v>
      </c>
      <c r="S106" s="36"/>
      <c r="T106" s="36">
        <v>-57590</v>
      </c>
      <c r="U106" s="36">
        <v>-76445</v>
      </c>
      <c r="V106" s="36"/>
      <c r="X106" s="36"/>
      <c r="Y106" s="36"/>
    </row>
    <row r="107" spans="1:25" ht="15" x14ac:dyDescent="0.25">
      <c r="A107" s="1204" t="s">
        <v>2637</v>
      </c>
      <c r="B107" s="1178">
        <v>1.7472E-3</v>
      </c>
      <c r="C107" s="1178">
        <v>1.627E-3</v>
      </c>
      <c r="D107" s="36">
        <v>-40042</v>
      </c>
      <c r="E107" s="1224"/>
      <c r="F107" s="36">
        <v>0</v>
      </c>
      <c r="G107" s="36">
        <v>0</v>
      </c>
      <c r="H107" s="36">
        <v>0</v>
      </c>
      <c r="I107" s="36">
        <v>2782</v>
      </c>
      <c r="J107" s="1007"/>
      <c r="K107" s="36">
        <v>816</v>
      </c>
      <c r="L107" s="36">
        <v>3426</v>
      </c>
      <c r="M107" s="36">
        <v>0</v>
      </c>
      <c r="N107" s="36">
        <v>1522</v>
      </c>
      <c r="O107" s="36"/>
      <c r="P107" s="36">
        <v>-943</v>
      </c>
      <c r="Q107" s="36">
        <v>-629</v>
      </c>
      <c r="R107" s="36">
        <v>-1572</v>
      </c>
      <c r="S107" s="36"/>
      <c r="T107" s="36">
        <v>-34011</v>
      </c>
      <c r="U107" s="36">
        <v>-45146</v>
      </c>
      <c r="V107" s="36"/>
      <c r="X107" s="36"/>
      <c r="Y107" s="36"/>
    </row>
    <row r="108" spans="1:25" s="1228" customFormat="1" ht="15" x14ac:dyDescent="0.25">
      <c r="A108" s="1226" t="s">
        <v>4780</v>
      </c>
      <c r="B108" s="1227">
        <f>SUM(B6:B107)</f>
        <v>1</v>
      </c>
      <c r="C108" s="1227">
        <f t="shared" ref="C108:U108" si="0">SUM(C6:C107)</f>
        <v>1</v>
      </c>
      <c r="D108" s="1199">
        <f t="shared" si="0"/>
        <v>-22918001</v>
      </c>
      <c r="E108" s="1227"/>
      <c r="F108" s="1227">
        <f t="shared" si="0"/>
        <v>0</v>
      </c>
      <c r="G108" s="1199">
        <f t="shared" si="0"/>
        <v>0</v>
      </c>
      <c r="H108" s="1199">
        <f t="shared" ref="H108" si="1">SUM(H6:H107)</f>
        <v>0</v>
      </c>
      <c r="I108" s="1199">
        <f t="shared" si="0"/>
        <v>2473085</v>
      </c>
      <c r="J108" s="1199"/>
      <c r="K108" s="1199">
        <f t="shared" si="0"/>
        <v>467000</v>
      </c>
      <c r="L108" s="1199">
        <f t="shared" si="0"/>
        <v>1961001</v>
      </c>
      <c r="M108" s="1199">
        <f t="shared" si="0"/>
        <v>0</v>
      </c>
      <c r="N108" s="1199">
        <f t="shared" si="0"/>
        <v>2473115</v>
      </c>
      <c r="O108" s="1199"/>
      <c r="P108" s="1199">
        <f t="shared" ref="P108:R108" si="2">SUM(P6:P107)</f>
        <v>-539997</v>
      </c>
      <c r="Q108" s="1199">
        <f t="shared" si="2"/>
        <v>7</v>
      </c>
      <c r="R108" s="1199">
        <f t="shared" si="2"/>
        <v>-539990</v>
      </c>
      <c r="S108" s="1199"/>
      <c r="T108" s="1199">
        <f t="shared" si="0"/>
        <v>-19465998</v>
      </c>
      <c r="U108" s="1199">
        <f t="shared" si="0"/>
        <v>-25839003</v>
      </c>
    </row>
    <row r="109" spans="1:25" ht="15" x14ac:dyDescent="0.25">
      <c r="A109" s="1207"/>
      <c r="B109" s="1229"/>
      <c r="C109" s="1230"/>
      <c r="D109" s="1231"/>
      <c r="E109" s="1207"/>
      <c r="F109" s="1232"/>
      <c r="G109" s="1232"/>
      <c r="H109" s="1232"/>
      <c r="I109" s="1232"/>
      <c r="J109" s="1207"/>
      <c r="K109" s="1232"/>
      <c r="L109" s="1232"/>
      <c r="M109" s="1232"/>
      <c r="N109" s="1232"/>
      <c r="O109" s="1207"/>
      <c r="P109" s="1232"/>
      <c r="Q109" s="1232"/>
      <c r="R109" s="1232"/>
      <c r="S109" s="1207"/>
      <c r="T109" s="1207"/>
      <c r="U109" s="1207"/>
    </row>
    <row r="110" spans="1:25" ht="15" x14ac:dyDescent="0.25">
      <c r="A110" s="1233"/>
      <c r="B110" s="1207"/>
      <c r="C110" s="1207"/>
      <c r="D110" s="1234"/>
      <c r="E110" s="1235"/>
      <c r="F110" s="1231"/>
      <c r="G110" s="1231"/>
      <c r="H110" s="1231"/>
      <c r="I110" s="1231"/>
      <c r="J110" s="1235"/>
      <c r="K110" s="1231"/>
      <c r="L110" s="1231"/>
      <c r="M110" s="1231"/>
      <c r="N110" s="1231"/>
      <c r="O110" s="1235"/>
      <c r="P110" s="1231"/>
      <c r="Q110" s="1231"/>
      <c r="R110" s="1231"/>
      <c r="S110" s="1231"/>
      <c r="T110" s="1207"/>
      <c r="U110" s="1207"/>
    </row>
    <row r="111" spans="1:25" ht="15" x14ac:dyDescent="0.25">
      <c r="A111" s="1207"/>
      <c r="B111" s="1207"/>
      <c r="C111" s="1207"/>
      <c r="D111" s="1234"/>
      <c r="E111" s="1207"/>
      <c r="F111" s="1234"/>
      <c r="G111" s="1234"/>
      <c r="H111" s="1234"/>
      <c r="I111" s="1234"/>
      <c r="J111" s="1234"/>
      <c r="K111" s="1234"/>
      <c r="L111" s="1234"/>
      <c r="M111" s="1234"/>
      <c r="N111" s="1234"/>
      <c r="O111" s="1207"/>
      <c r="P111" s="1234"/>
      <c r="Q111" s="1207"/>
      <c r="R111" s="1234"/>
      <c r="S111" s="1234"/>
      <c r="T111" s="1207"/>
      <c r="U111" s="1207"/>
    </row>
    <row r="112" spans="1:25" ht="15" x14ac:dyDescent="0.25">
      <c r="A112" s="1207"/>
      <c r="B112" s="1207"/>
      <c r="C112" s="1207"/>
      <c r="D112" s="1207"/>
      <c r="E112" s="1207"/>
      <c r="F112" s="1207"/>
      <c r="G112" s="1207"/>
      <c r="H112" s="1207"/>
      <c r="I112" s="1207"/>
      <c r="J112" s="1207"/>
      <c r="K112" s="1207"/>
      <c r="L112" s="1207"/>
      <c r="M112" s="1207"/>
      <c r="N112" s="1207"/>
      <c r="O112" s="1207"/>
      <c r="P112" s="1207"/>
      <c r="Q112" s="1207"/>
      <c r="R112" s="1207"/>
      <c r="S112" s="1207"/>
      <c r="T112" s="1207"/>
      <c r="U112" s="1207"/>
    </row>
    <row r="118" spans="1:4" ht="15" x14ac:dyDescent="0.25">
      <c r="A118" s="1207"/>
      <c r="B118" s="1207"/>
      <c r="C118" s="1207"/>
      <c r="D118" s="1207"/>
    </row>
    <row r="119" spans="1:4" ht="15" x14ac:dyDescent="0.25">
      <c r="A119" s="1207"/>
      <c r="B119" s="1207"/>
      <c r="C119" s="1207"/>
      <c r="D119" s="1207"/>
    </row>
    <row r="121" spans="1:4" ht="15" x14ac:dyDescent="0.25">
      <c r="A121" s="1236" t="s">
        <v>4781</v>
      </c>
      <c r="B121" s="1236"/>
      <c r="C121" s="1236"/>
      <c r="D121" s="1236"/>
    </row>
  </sheetData>
  <sheetProtection algorithmName="SHA-512" hashValue="0VqU8ORjDwlvAovASIv9ilx3epBQKOMIoq7iinDs5nhjyysGQ3bdcPJsqjAn9ytMzBeWq9xgMCIdbYu7e1EdJQ==" saltValue="/zy/E6Q11bPGHiYNeAFnTg==" spinCount="100000" sheet="1" objects="1" scenarios="1"/>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6A636-AC9C-4B6C-9972-EA8A0BA796F9}">
  <dimension ref="A1:V109"/>
  <sheetViews>
    <sheetView workbookViewId="0">
      <pane ySplit="5" topLeftCell="A6" activePane="bottomLeft" state="frozen"/>
      <selection activeCell="A6" sqref="A6:XFD6"/>
      <selection pane="bottomLeft" activeCell="G108" sqref="G108"/>
    </sheetView>
  </sheetViews>
  <sheetFormatPr defaultRowHeight="12.75" x14ac:dyDescent="0.2"/>
  <cols>
    <col min="1" max="1" width="28.7109375" style="1171" bestFit="1" customWidth="1"/>
    <col min="2" max="2" width="12.42578125" style="1171" customWidth="1"/>
    <col min="3" max="3" width="13.42578125" style="1171" customWidth="1"/>
    <col min="4" max="4" width="11.85546875" style="1171" bestFit="1" customWidth="1"/>
    <col min="5" max="5" width="2.7109375" style="1171" customWidth="1"/>
    <col min="6" max="6" width="20.5703125" style="1171" customWidth="1"/>
    <col min="7" max="7" width="13" style="1171" customWidth="1"/>
    <col min="8" max="8" width="12.140625" style="1171" customWidth="1"/>
    <col min="9" max="9" width="21" style="1171" customWidth="1"/>
    <col min="10" max="10" width="2.7109375" style="1171" customWidth="1"/>
    <col min="11" max="11" width="22" style="1171" customWidth="1"/>
    <col min="12" max="12" width="13" style="1171" customWidth="1"/>
    <col min="13" max="13" width="13.42578125" style="1171" customWidth="1"/>
    <col min="14" max="14" width="19.5703125" style="1171" customWidth="1"/>
    <col min="15" max="15" width="2.7109375" style="1171" customWidth="1"/>
    <col min="16" max="16" width="16.140625" style="1171" bestFit="1" customWidth="1"/>
    <col min="17" max="17" width="20.7109375" style="1171" customWidth="1"/>
    <col min="18" max="18" width="10.28515625" style="1171" bestFit="1" customWidth="1"/>
    <col min="19" max="19" width="2.7109375" style="1171" customWidth="1"/>
    <col min="20" max="21" width="11.85546875" style="1171" bestFit="1" customWidth="1"/>
    <col min="22" max="16384" width="9.140625" style="1171"/>
  </cols>
  <sheetData>
    <row r="1" spans="1:22" ht="15" x14ac:dyDescent="0.25">
      <c r="A1" s="1174" t="s">
        <v>4105</v>
      </c>
      <c r="B1" s="1174"/>
      <c r="C1" s="1012"/>
      <c r="D1" s="1012"/>
      <c r="E1" s="1012"/>
      <c r="F1" s="1012"/>
      <c r="G1" s="1012"/>
      <c r="H1" s="1012"/>
      <c r="I1" s="1012"/>
      <c r="J1" s="1012"/>
      <c r="K1" s="1012"/>
      <c r="L1" s="1012"/>
      <c r="M1" s="1012"/>
      <c r="N1" s="1012"/>
      <c r="O1" s="1012"/>
      <c r="P1" s="1012"/>
      <c r="Q1" s="1012"/>
      <c r="R1" s="1012"/>
      <c r="S1" s="1012"/>
      <c r="T1" s="1012"/>
      <c r="U1" s="1012"/>
    </row>
    <row r="2" spans="1:22" ht="15" x14ac:dyDescent="0.25">
      <c r="A2" s="1174" t="s">
        <v>3981</v>
      </c>
      <c r="B2" s="1174"/>
      <c r="C2" s="1012"/>
      <c r="D2" s="1012"/>
      <c r="E2" s="1012"/>
      <c r="F2" s="1012"/>
      <c r="G2" s="1012"/>
      <c r="H2" s="1012"/>
      <c r="I2" s="1012"/>
      <c r="J2" s="1012"/>
      <c r="K2" s="1012"/>
      <c r="L2" s="1012"/>
      <c r="M2" s="1012"/>
      <c r="N2" s="1012"/>
      <c r="O2" s="1012"/>
      <c r="P2" s="1012"/>
      <c r="Q2" s="1012"/>
      <c r="R2" s="1012"/>
      <c r="S2" s="1012"/>
      <c r="T2" s="1012"/>
      <c r="U2" s="1012"/>
    </row>
    <row r="3" spans="1:22" ht="15" x14ac:dyDescent="0.25">
      <c r="A3" s="1012"/>
      <c r="B3" s="1012"/>
      <c r="C3" s="1012"/>
      <c r="D3" s="1012"/>
      <c r="E3" s="1012"/>
      <c r="F3" s="1012"/>
      <c r="G3" s="1012"/>
      <c r="H3" s="1012"/>
      <c r="I3" s="1012"/>
      <c r="J3" s="1012"/>
      <c r="K3" s="1012"/>
      <c r="L3" s="1012"/>
      <c r="M3" s="1012"/>
      <c r="N3" s="1012"/>
      <c r="O3" s="1012"/>
      <c r="P3" s="1012"/>
      <c r="Q3" s="1012"/>
      <c r="R3" s="1012"/>
      <c r="S3" s="1012"/>
      <c r="T3" s="1012"/>
      <c r="U3" s="1012"/>
    </row>
    <row r="4" spans="1:22" ht="15" x14ac:dyDescent="0.25">
      <c r="F4" s="1642" t="s">
        <v>1171</v>
      </c>
      <c r="G4" s="1642"/>
      <c r="H4" s="1642"/>
      <c r="I4" s="1642"/>
      <c r="K4" s="1642" t="s">
        <v>1172</v>
      </c>
      <c r="L4" s="1642"/>
      <c r="M4" s="1642"/>
      <c r="N4" s="1642"/>
      <c r="P4" s="1642" t="s">
        <v>1173</v>
      </c>
      <c r="Q4" s="1642"/>
      <c r="R4" s="1642"/>
      <c r="S4" s="1175" t="s">
        <v>4108</v>
      </c>
      <c r="T4" s="1176"/>
      <c r="U4" s="1176"/>
    </row>
    <row r="5" spans="1:22" ht="119.25" customHeight="1" x14ac:dyDescent="0.25">
      <c r="A5" s="1015" t="s">
        <v>4109</v>
      </c>
      <c r="B5" s="1015" t="s">
        <v>2113</v>
      </c>
      <c r="C5" s="1015" t="s">
        <v>2114</v>
      </c>
      <c r="D5" s="1015" t="s">
        <v>4110</v>
      </c>
      <c r="E5" s="1015"/>
      <c r="F5" s="1015" t="s">
        <v>1177</v>
      </c>
      <c r="G5" s="1015" t="s">
        <v>1178</v>
      </c>
      <c r="H5" s="1015" t="s">
        <v>1179</v>
      </c>
      <c r="I5" s="1015" t="s">
        <v>1180</v>
      </c>
      <c r="J5" s="1015"/>
      <c r="K5" s="1015" t="s">
        <v>1177</v>
      </c>
      <c r="L5" s="1015" t="s">
        <v>4111</v>
      </c>
      <c r="M5" s="1015" t="s">
        <v>1179</v>
      </c>
      <c r="N5" s="1015" t="s">
        <v>1180</v>
      </c>
      <c r="O5" s="1015"/>
      <c r="P5" s="1015" t="s">
        <v>1181</v>
      </c>
      <c r="Q5" s="1015" t="s">
        <v>1182</v>
      </c>
      <c r="R5" s="1015" t="s">
        <v>1183</v>
      </c>
      <c r="S5" s="1015"/>
      <c r="T5" s="1015" t="s">
        <v>4112</v>
      </c>
      <c r="U5" s="1015" t="s">
        <v>4113</v>
      </c>
      <c r="V5" s="1172"/>
    </row>
    <row r="6" spans="1:22" ht="15" x14ac:dyDescent="0.25">
      <c r="A6" s="1019" t="s">
        <v>4114</v>
      </c>
      <c r="B6" s="1189">
        <v>0</v>
      </c>
      <c r="C6" s="1189">
        <v>0</v>
      </c>
      <c r="D6" s="1177">
        <v>0</v>
      </c>
      <c r="E6" s="1177"/>
      <c r="F6" s="1177">
        <v>0</v>
      </c>
      <c r="G6" s="1177">
        <v>0</v>
      </c>
      <c r="H6" s="1177">
        <v>0</v>
      </c>
      <c r="I6" s="1177">
        <v>0</v>
      </c>
      <c r="J6" s="1177"/>
      <c r="K6" s="1177">
        <v>0</v>
      </c>
      <c r="L6" s="1177">
        <v>0</v>
      </c>
      <c r="M6" s="1177">
        <v>0</v>
      </c>
      <c r="N6" s="1177">
        <v>0</v>
      </c>
      <c r="O6" s="1177"/>
      <c r="P6" s="1177">
        <v>0</v>
      </c>
      <c r="Q6" s="1177">
        <v>0</v>
      </c>
      <c r="R6" s="1177">
        <v>0</v>
      </c>
      <c r="S6" s="1177"/>
      <c r="T6" s="1177">
        <v>0</v>
      </c>
      <c r="U6" s="1177">
        <v>0</v>
      </c>
    </row>
    <row r="7" spans="1:22" ht="15" x14ac:dyDescent="0.25">
      <c r="A7" s="1019" t="s">
        <v>2539</v>
      </c>
      <c r="B7" s="1178">
        <v>1.5755000000000002E-2</v>
      </c>
      <c r="C7" s="1178">
        <v>1.55155E-2</v>
      </c>
      <c r="D7" s="1179">
        <v>-260950</v>
      </c>
      <c r="E7" s="1007"/>
      <c r="F7" s="1179">
        <v>2300</v>
      </c>
      <c r="G7" s="1179">
        <v>41593</v>
      </c>
      <c r="H7" s="1179">
        <v>12273</v>
      </c>
      <c r="I7" s="1179">
        <v>2856</v>
      </c>
      <c r="J7" s="1007"/>
      <c r="K7" s="1179">
        <v>11911</v>
      </c>
      <c r="L7" s="1179"/>
      <c r="M7" s="1179">
        <v>0</v>
      </c>
      <c r="N7" s="1179">
        <v>3862</v>
      </c>
      <c r="O7" s="1007"/>
      <c r="P7" s="1179">
        <v>49187</v>
      </c>
      <c r="Q7" s="1179">
        <v>28909</v>
      </c>
      <c r="R7" s="1179">
        <v>78096</v>
      </c>
      <c r="S7" s="1179"/>
      <c r="T7" s="1179">
        <v>-205745</v>
      </c>
      <c r="U7" s="1179">
        <v>-307506</v>
      </c>
    </row>
    <row r="8" spans="1:22" ht="15" x14ac:dyDescent="0.25">
      <c r="A8" s="1019" t="s">
        <v>2540</v>
      </c>
      <c r="B8" s="1178">
        <v>2.8513000000000002E-3</v>
      </c>
      <c r="C8" s="1178">
        <v>2.7699999999999999E-3</v>
      </c>
      <c r="D8" s="36">
        <v>-47226</v>
      </c>
      <c r="E8" s="1007"/>
      <c r="F8" s="36">
        <v>416</v>
      </c>
      <c r="G8" s="36">
        <v>7527</v>
      </c>
      <c r="H8" s="36">
        <v>2221</v>
      </c>
      <c r="I8" s="36">
        <v>607</v>
      </c>
      <c r="J8" s="1007"/>
      <c r="K8" s="36">
        <v>2156</v>
      </c>
      <c r="L8" s="36"/>
      <c r="M8" s="36">
        <v>0</v>
      </c>
      <c r="N8" s="36">
        <v>1172</v>
      </c>
      <c r="O8" s="1007"/>
      <c r="P8" s="36">
        <v>8902</v>
      </c>
      <c r="Q8" s="36">
        <v>123</v>
      </c>
      <c r="R8" s="36">
        <v>9025</v>
      </c>
      <c r="S8" s="36"/>
      <c r="T8" s="36">
        <v>-37235</v>
      </c>
      <c r="U8" s="36">
        <v>-55652</v>
      </c>
    </row>
    <row r="9" spans="1:22" ht="15" x14ac:dyDescent="0.25">
      <c r="A9" s="1019" t="s">
        <v>2541</v>
      </c>
      <c r="B9" s="1178">
        <v>1.5004E-3</v>
      </c>
      <c r="C9" s="1178">
        <v>1.4677E-3</v>
      </c>
      <c r="D9" s="36">
        <v>-24851</v>
      </c>
      <c r="E9" s="1007"/>
      <c r="F9" s="36">
        <v>219</v>
      </c>
      <c r="G9" s="36">
        <v>3961</v>
      </c>
      <c r="H9" s="36">
        <v>1169</v>
      </c>
      <c r="I9" s="36">
        <v>216</v>
      </c>
      <c r="J9" s="1007"/>
      <c r="K9" s="36">
        <v>1134</v>
      </c>
      <c r="L9" s="36"/>
      <c r="M9" s="36">
        <v>0</v>
      </c>
      <c r="N9" s="36">
        <v>471</v>
      </c>
      <c r="O9" s="1007"/>
      <c r="P9" s="36">
        <v>4684</v>
      </c>
      <c r="Q9" s="36">
        <v>158</v>
      </c>
      <c r="R9" s="36">
        <v>4842</v>
      </c>
      <c r="S9" s="36"/>
      <c r="T9" s="36">
        <v>-19594</v>
      </c>
      <c r="U9" s="36">
        <v>-29285</v>
      </c>
    </row>
    <row r="10" spans="1:22" ht="15" x14ac:dyDescent="0.25">
      <c r="A10" s="1019" t="s">
        <v>2542</v>
      </c>
      <c r="B10" s="1178">
        <v>1.7306000000000001E-3</v>
      </c>
      <c r="C10" s="1178">
        <v>1.6808999999999999E-3</v>
      </c>
      <c r="D10" s="36">
        <v>-28664</v>
      </c>
      <c r="E10" s="1007"/>
      <c r="F10" s="36">
        <v>253</v>
      </c>
      <c r="G10" s="36">
        <v>4569</v>
      </c>
      <c r="H10" s="36">
        <v>1348</v>
      </c>
      <c r="I10" s="36">
        <v>377</v>
      </c>
      <c r="J10" s="1007"/>
      <c r="K10" s="36">
        <v>1308</v>
      </c>
      <c r="L10" s="36"/>
      <c r="M10" s="36">
        <v>0</v>
      </c>
      <c r="N10" s="36">
        <v>717</v>
      </c>
      <c r="O10" s="1007"/>
      <c r="P10" s="36">
        <v>5403</v>
      </c>
      <c r="Q10" s="36">
        <v>238</v>
      </c>
      <c r="R10" s="36">
        <v>5641</v>
      </c>
      <c r="S10" s="36"/>
      <c r="T10" s="36">
        <v>-22600</v>
      </c>
      <c r="U10" s="36">
        <v>-33778</v>
      </c>
    </row>
    <row r="11" spans="1:22" ht="15" x14ac:dyDescent="0.25">
      <c r="A11" s="1019" t="s">
        <v>2543</v>
      </c>
      <c r="B11" s="1178">
        <v>3.4716E-3</v>
      </c>
      <c r="C11" s="1178">
        <v>3.4340999999999998E-3</v>
      </c>
      <c r="D11" s="36">
        <v>-57500</v>
      </c>
      <c r="E11" s="1007"/>
      <c r="F11" s="36">
        <v>507</v>
      </c>
      <c r="G11" s="36">
        <v>9165</v>
      </c>
      <c r="H11" s="36">
        <v>2704</v>
      </c>
      <c r="I11" s="36">
        <v>963</v>
      </c>
      <c r="J11" s="1007"/>
      <c r="K11" s="36">
        <v>2625</v>
      </c>
      <c r="L11" s="36"/>
      <c r="M11" s="36">
        <v>0</v>
      </c>
      <c r="N11" s="36">
        <v>666</v>
      </c>
      <c r="O11" s="1007"/>
      <c r="P11" s="36">
        <v>10838</v>
      </c>
      <c r="Q11" s="36">
        <v>135</v>
      </c>
      <c r="R11" s="36">
        <v>10973</v>
      </c>
      <c r="S11" s="36"/>
      <c r="T11" s="36">
        <v>-45336</v>
      </c>
      <c r="U11" s="36">
        <v>-67759</v>
      </c>
    </row>
    <row r="12" spans="1:22" ht="15" x14ac:dyDescent="0.25">
      <c r="A12" s="1019" t="s">
        <v>2544</v>
      </c>
      <c r="B12" s="1178">
        <v>4.1438999999999998E-3</v>
      </c>
      <c r="C12" s="1178">
        <v>2.928E-3</v>
      </c>
      <c r="D12" s="36">
        <v>-68635</v>
      </c>
      <c r="E12" s="1007"/>
      <c r="F12" s="36">
        <v>605</v>
      </c>
      <c r="G12" s="36">
        <v>10940</v>
      </c>
      <c r="H12" s="36">
        <v>3228</v>
      </c>
      <c r="I12" s="36">
        <v>0</v>
      </c>
      <c r="J12" s="1007"/>
      <c r="K12" s="36">
        <v>3133</v>
      </c>
      <c r="L12" s="36"/>
      <c r="M12" s="36">
        <v>0</v>
      </c>
      <c r="N12" s="36">
        <v>18835</v>
      </c>
      <c r="O12" s="1007"/>
      <c r="P12" s="36">
        <v>12937</v>
      </c>
      <c r="Q12" s="36">
        <v>-10625</v>
      </c>
      <c r="R12" s="36">
        <v>2312</v>
      </c>
      <c r="S12" s="36"/>
      <c r="T12" s="36">
        <v>-54115</v>
      </c>
      <c r="U12" s="36">
        <v>-80881</v>
      </c>
    </row>
    <row r="13" spans="1:22" ht="15" x14ac:dyDescent="0.25">
      <c r="A13" s="1019" t="s">
        <v>2545</v>
      </c>
      <c r="B13" s="1178">
        <v>4.5899000000000001E-3</v>
      </c>
      <c r="C13" s="1178">
        <v>4.5522000000000002E-3</v>
      </c>
      <c r="D13" s="36">
        <v>-76023</v>
      </c>
      <c r="E13" s="1007"/>
      <c r="F13" s="36">
        <v>670</v>
      </c>
      <c r="G13" s="36">
        <v>12117</v>
      </c>
      <c r="H13" s="36">
        <v>3576</v>
      </c>
      <c r="I13" s="36">
        <v>0</v>
      </c>
      <c r="J13" s="1007"/>
      <c r="K13" s="36">
        <v>3470</v>
      </c>
      <c r="L13" s="36"/>
      <c r="M13" s="36">
        <v>0</v>
      </c>
      <c r="N13" s="36">
        <v>1642</v>
      </c>
      <c r="O13" s="1007"/>
      <c r="P13" s="36">
        <v>14330</v>
      </c>
      <c r="Q13" s="36">
        <v>-2144</v>
      </c>
      <c r="R13" s="36">
        <v>12186</v>
      </c>
      <c r="S13" s="36"/>
      <c r="T13" s="36">
        <v>-59940</v>
      </c>
      <c r="U13" s="36">
        <v>-89586</v>
      </c>
    </row>
    <row r="14" spans="1:22" ht="15" x14ac:dyDescent="0.25">
      <c r="A14" s="1019" t="s">
        <v>2546</v>
      </c>
      <c r="B14" s="1178">
        <v>1.1714E-3</v>
      </c>
      <c r="C14" s="1178">
        <v>1.2287999999999999E-3</v>
      </c>
      <c r="D14" s="36">
        <v>-19402</v>
      </c>
      <c r="E14" s="1007"/>
      <c r="F14" s="36">
        <v>171</v>
      </c>
      <c r="G14" s="36">
        <v>3092</v>
      </c>
      <c r="H14" s="36">
        <v>913</v>
      </c>
      <c r="I14" s="36">
        <v>848</v>
      </c>
      <c r="J14" s="1007"/>
      <c r="K14" s="36">
        <v>886</v>
      </c>
      <c r="L14" s="36"/>
      <c r="M14" s="36">
        <v>0</v>
      </c>
      <c r="N14" s="36">
        <v>293</v>
      </c>
      <c r="O14" s="1007"/>
      <c r="P14" s="36">
        <v>3657</v>
      </c>
      <c r="Q14" s="36">
        <v>221</v>
      </c>
      <c r="R14" s="36">
        <v>3878</v>
      </c>
      <c r="S14" s="36"/>
      <c r="T14" s="36">
        <v>-15297</v>
      </c>
      <c r="U14" s="36">
        <v>-22863</v>
      </c>
    </row>
    <row r="15" spans="1:22" ht="15" x14ac:dyDescent="0.25">
      <c r="A15" s="1019" t="s">
        <v>2547</v>
      </c>
      <c r="B15" s="1178">
        <v>2.4632E-3</v>
      </c>
      <c r="C15" s="1178">
        <v>2.5241999999999999E-3</v>
      </c>
      <c r="D15" s="36">
        <v>-40798</v>
      </c>
      <c r="E15" s="1007"/>
      <c r="F15" s="36">
        <v>360</v>
      </c>
      <c r="G15" s="36">
        <v>6503</v>
      </c>
      <c r="H15" s="36">
        <v>1919</v>
      </c>
      <c r="I15" s="36">
        <v>1067</v>
      </c>
      <c r="J15" s="1007"/>
      <c r="K15" s="36">
        <v>1862</v>
      </c>
      <c r="L15" s="36"/>
      <c r="M15" s="36">
        <v>0</v>
      </c>
      <c r="N15" s="36">
        <v>51</v>
      </c>
      <c r="O15" s="1007"/>
      <c r="P15" s="36">
        <v>7690</v>
      </c>
      <c r="Q15" s="36">
        <v>889</v>
      </c>
      <c r="R15" s="36">
        <v>8579</v>
      </c>
      <c r="S15" s="36"/>
      <c r="T15" s="36">
        <v>-32167</v>
      </c>
      <c r="U15" s="36">
        <v>-48077</v>
      </c>
    </row>
    <row r="16" spans="1:22" ht="15" x14ac:dyDescent="0.25">
      <c r="A16" s="1019" t="s">
        <v>2548</v>
      </c>
      <c r="B16" s="1178">
        <v>2.5120699999999999E-2</v>
      </c>
      <c r="C16" s="1178">
        <v>2.1895999999999999E-2</v>
      </c>
      <c r="D16" s="36">
        <v>-416074</v>
      </c>
      <c r="E16" s="1007"/>
      <c r="F16" s="36">
        <v>3668</v>
      </c>
      <c r="G16" s="36">
        <v>66319</v>
      </c>
      <c r="H16" s="36">
        <v>19569</v>
      </c>
      <c r="I16" s="36">
        <v>4273</v>
      </c>
      <c r="J16" s="1007"/>
      <c r="K16" s="36">
        <v>18991</v>
      </c>
      <c r="L16" s="36"/>
      <c r="M16" s="36">
        <v>0</v>
      </c>
      <c r="N16" s="36">
        <v>66167</v>
      </c>
      <c r="O16" s="1007"/>
      <c r="P16" s="36">
        <v>78427</v>
      </c>
      <c r="Q16" s="36">
        <v>-31370</v>
      </c>
      <c r="R16" s="36">
        <v>47057</v>
      </c>
      <c r="S16" s="36"/>
      <c r="T16" s="36">
        <v>-328051</v>
      </c>
      <c r="U16" s="36">
        <v>-490306</v>
      </c>
    </row>
    <row r="17" spans="1:21" ht="15" x14ac:dyDescent="0.25">
      <c r="A17" s="1019" t="s">
        <v>2549</v>
      </c>
      <c r="B17" s="1178">
        <v>3.1788799999999999E-2</v>
      </c>
      <c r="C17" s="1178">
        <v>3.51478E-2</v>
      </c>
      <c r="D17" s="36">
        <v>-526518</v>
      </c>
      <c r="E17" s="1007"/>
      <c r="F17" s="36">
        <v>4641</v>
      </c>
      <c r="G17" s="36">
        <v>83922</v>
      </c>
      <c r="H17" s="36">
        <v>24763</v>
      </c>
      <c r="I17" s="36">
        <v>48455</v>
      </c>
      <c r="J17" s="1007"/>
      <c r="K17" s="36">
        <v>24032</v>
      </c>
      <c r="L17" s="36"/>
      <c r="M17" s="36">
        <v>0</v>
      </c>
      <c r="N17" s="36">
        <v>3942</v>
      </c>
      <c r="O17" s="1007"/>
      <c r="P17" s="36">
        <v>99245</v>
      </c>
      <c r="Q17" s="36">
        <v>15604</v>
      </c>
      <c r="R17" s="36">
        <v>114849</v>
      </c>
      <c r="S17" s="36"/>
      <c r="T17" s="36">
        <v>-415130</v>
      </c>
      <c r="U17" s="36">
        <v>-620454</v>
      </c>
    </row>
    <row r="18" spans="1:21" ht="15" x14ac:dyDescent="0.25">
      <c r="A18" s="1019" t="s">
        <v>2550</v>
      </c>
      <c r="B18" s="1178">
        <v>1.3018500000000001E-2</v>
      </c>
      <c r="C18" s="1178">
        <v>1.1046800000000001E-2</v>
      </c>
      <c r="D18" s="36">
        <v>-215625</v>
      </c>
      <c r="E18" s="1007"/>
      <c r="F18" s="36">
        <v>1901</v>
      </c>
      <c r="G18" s="36">
        <v>34369</v>
      </c>
      <c r="H18" s="36">
        <v>10141</v>
      </c>
      <c r="I18" s="36">
        <v>0</v>
      </c>
      <c r="J18" s="1007"/>
      <c r="K18" s="36">
        <v>9842</v>
      </c>
      <c r="L18" s="36"/>
      <c r="M18" s="36">
        <v>0</v>
      </c>
      <c r="N18" s="36">
        <v>37367</v>
      </c>
      <c r="O18" s="1007"/>
      <c r="P18" s="36">
        <v>40644</v>
      </c>
      <c r="Q18" s="36">
        <v>-34637</v>
      </c>
      <c r="R18" s="36">
        <v>6007</v>
      </c>
      <c r="S18" s="36"/>
      <c r="T18" s="36">
        <v>-170009</v>
      </c>
      <c r="U18" s="36">
        <v>-254095</v>
      </c>
    </row>
    <row r="19" spans="1:21" ht="15" x14ac:dyDescent="0.25">
      <c r="A19" s="1019" t="s">
        <v>2551</v>
      </c>
      <c r="B19" s="1178">
        <v>2.2804499999999998E-2</v>
      </c>
      <c r="C19" s="1178">
        <v>2.3873700000000001E-2</v>
      </c>
      <c r="D19" s="36">
        <v>-377711</v>
      </c>
      <c r="E19" s="1007"/>
      <c r="F19" s="36">
        <v>3329</v>
      </c>
      <c r="G19" s="36">
        <v>60204</v>
      </c>
      <c r="H19" s="36">
        <v>17765</v>
      </c>
      <c r="I19" s="36">
        <v>16321</v>
      </c>
      <c r="J19" s="1007"/>
      <c r="K19" s="36">
        <v>17240</v>
      </c>
      <c r="L19" s="36"/>
      <c r="M19" s="36">
        <v>0</v>
      </c>
      <c r="N19" s="36">
        <v>3500</v>
      </c>
      <c r="O19" s="1007"/>
      <c r="P19" s="36">
        <v>71196</v>
      </c>
      <c r="Q19" s="36">
        <v>-2609</v>
      </c>
      <c r="R19" s="36">
        <v>68587</v>
      </c>
      <c r="S19" s="36"/>
      <c r="T19" s="36">
        <v>-297804</v>
      </c>
      <c r="U19" s="36">
        <v>-445098</v>
      </c>
    </row>
    <row r="20" spans="1:21" ht="15" x14ac:dyDescent="0.25">
      <c r="A20" s="1019" t="s">
        <v>2552</v>
      </c>
      <c r="B20" s="1178">
        <v>6.8684000000000002E-3</v>
      </c>
      <c r="C20" s="1178">
        <v>6.7060000000000002E-3</v>
      </c>
      <c r="D20" s="36">
        <v>-113761</v>
      </c>
      <c r="E20" s="1007"/>
      <c r="F20" s="36">
        <v>1003</v>
      </c>
      <c r="G20" s="36">
        <v>18133</v>
      </c>
      <c r="H20" s="36">
        <v>5350</v>
      </c>
      <c r="I20" s="36">
        <v>6826</v>
      </c>
      <c r="J20" s="1007"/>
      <c r="K20" s="36">
        <v>5193</v>
      </c>
      <c r="L20" s="36"/>
      <c r="M20" s="36">
        <v>0</v>
      </c>
      <c r="N20" s="36">
        <v>3310</v>
      </c>
      <c r="O20" s="1007"/>
      <c r="P20" s="36">
        <v>21443</v>
      </c>
      <c r="Q20" s="36">
        <v>3676</v>
      </c>
      <c r="R20" s="36">
        <v>25119</v>
      </c>
      <c r="S20" s="36"/>
      <c r="T20" s="36">
        <v>-89694</v>
      </c>
      <c r="U20" s="36">
        <v>-134057</v>
      </c>
    </row>
    <row r="21" spans="1:21" ht="15" x14ac:dyDescent="0.25">
      <c r="A21" s="1019" t="s">
        <v>2553</v>
      </c>
      <c r="B21" s="1178">
        <v>1.1213E-3</v>
      </c>
      <c r="C21" s="1178">
        <v>1.0656999999999999E-3</v>
      </c>
      <c r="D21" s="36">
        <v>-18572</v>
      </c>
      <c r="E21" s="1007"/>
      <c r="F21" s="36">
        <v>164</v>
      </c>
      <c r="G21" s="36">
        <v>2960</v>
      </c>
      <c r="H21" s="36">
        <v>873</v>
      </c>
      <c r="I21" s="36">
        <v>292</v>
      </c>
      <c r="J21" s="1007"/>
      <c r="K21" s="36">
        <v>848</v>
      </c>
      <c r="L21" s="36"/>
      <c r="M21" s="36">
        <v>0</v>
      </c>
      <c r="N21" s="36">
        <v>1202</v>
      </c>
      <c r="O21" s="1007"/>
      <c r="P21" s="36">
        <v>3501</v>
      </c>
      <c r="Q21" s="36">
        <v>-1103</v>
      </c>
      <c r="R21" s="36">
        <v>2398</v>
      </c>
      <c r="S21" s="36"/>
      <c r="T21" s="36">
        <v>-14643</v>
      </c>
      <c r="U21" s="36">
        <v>-21886</v>
      </c>
    </row>
    <row r="22" spans="1:21" ht="15" x14ac:dyDescent="0.25">
      <c r="A22" s="1019" t="s">
        <v>2554</v>
      </c>
      <c r="B22" s="1178">
        <v>1.0663000000000001E-2</v>
      </c>
      <c r="C22" s="1178">
        <v>9.3938000000000008E-3</v>
      </c>
      <c r="D22" s="36">
        <v>-176611</v>
      </c>
      <c r="E22" s="1007"/>
      <c r="F22" s="36">
        <v>1557</v>
      </c>
      <c r="G22" s="36">
        <v>28150</v>
      </c>
      <c r="H22" s="36">
        <v>8306</v>
      </c>
      <c r="I22" s="36">
        <v>31108</v>
      </c>
      <c r="J22" s="1007"/>
      <c r="K22" s="36">
        <v>8061</v>
      </c>
      <c r="L22" s="36"/>
      <c r="M22" s="36">
        <v>0</v>
      </c>
      <c r="N22" s="36">
        <v>24791</v>
      </c>
      <c r="O22" s="1007"/>
      <c r="P22" s="36">
        <v>33290</v>
      </c>
      <c r="Q22" s="36">
        <v>4570</v>
      </c>
      <c r="R22" s="36">
        <v>37860</v>
      </c>
      <c r="S22" s="36"/>
      <c r="T22" s="36">
        <v>-139248</v>
      </c>
      <c r="U22" s="36">
        <v>-208120</v>
      </c>
    </row>
    <row r="23" spans="1:21" ht="15" x14ac:dyDescent="0.25">
      <c r="A23" s="1019" t="s">
        <v>2555</v>
      </c>
      <c r="B23" s="1178">
        <v>1.2042000000000001E-3</v>
      </c>
      <c r="C23" s="1178">
        <v>1.6682999999999999E-3</v>
      </c>
      <c r="D23" s="36">
        <v>-19945</v>
      </c>
      <c r="E23" s="1007"/>
      <c r="F23" s="36">
        <v>176</v>
      </c>
      <c r="G23" s="36">
        <v>3179</v>
      </c>
      <c r="H23" s="36">
        <v>938</v>
      </c>
      <c r="I23" s="36">
        <v>7218</v>
      </c>
      <c r="J23" s="1007"/>
      <c r="K23" s="36">
        <v>910</v>
      </c>
      <c r="L23" s="36"/>
      <c r="M23" s="36">
        <v>0</v>
      </c>
      <c r="N23" s="36">
        <v>125</v>
      </c>
      <c r="O23" s="1007"/>
      <c r="P23" s="36">
        <v>3760</v>
      </c>
      <c r="Q23" s="36">
        <v>3547</v>
      </c>
      <c r="R23" s="36">
        <v>7307</v>
      </c>
      <c r="S23" s="36"/>
      <c r="T23" s="36">
        <v>-15726</v>
      </c>
      <c r="U23" s="36">
        <v>-23504</v>
      </c>
    </row>
    <row r="24" spans="1:21" ht="15" x14ac:dyDescent="0.25">
      <c r="A24" s="1019" t="s">
        <v>2556</v>
      </c>
      <c r="B24" s="1178">
        <v>1.6183199999999998E-2</v>
      </c>
      <c r="C24" s="1178">
        <v>1.6446300000000001E-2</v>
      </c>
      <c r="D24" s="36">
        <v>-268042</v>
      </c>
      <c r="E24" s="1007"/>
      <c r="F24" s="36">
        <v>2363</v>
      </c>
      <c r="G24" s="36">
        <v>42724</v>
      </c>
      <c r="H24" s="36">
        <v>12607</v>
      </c>
      <c r="I24" s="36">
        <v>7091</v>
      </c>
      <c r="J24" s="1007"/>
      <c r="K24" s="36">
        <v>12234</v>
      </c>
      <c r="L24" s="36"/>
      <c r="M24" s="36">
        <v>0</v>
      </c>
      <c r="N24" s="36">
        <v>754</v>
      </c>
      <c r="O24" s="1007"/>
      <c r="P24" s="36">
        <v>50524</v>
      </c>
      <c r="Q24" s="36">
        <v>2530</v>
      </c>
      <c r="R24" s="36">
        <v>53054</v>
      </c>
      <c r="S24" s="36"/>
      <c r="T24" s="36">
        <v>-211336</v>
      </c>
      <c r="U24" s="36">
        <v>-315864</v>
      </c>
    </row>
    <row r="25" spans="1:21" ht="15" x14ac:dyDescent="0.25">
      <c r="A25" s="1019" t="s">
        <v>2557</v>
      </c>
      <c r="B25" s="1178">
        <v>8.7805000000000001E-3</v>
      </c>
      <c r="C25" s="1178">
        <v>8.7611000000000008E-3</v>
      </c>
      <c r="D25" s="36">
        <v>-145431</v>
      </c>
      <c r="E25" s="1007"/>
      <c r="F25" s="36">
        <v>1282</v>
      </c>
      <c r="G25" s="36">
        <v>23181</v>
      </c>
      <c r="H25" s="36">
        <v>6840</v>
      </c>
      <c r="I25" s="36">
        <v>561</v>
      </c>
      <c r="J25" s="1007"/>
      <c r="K25" s="36">
        <v>6638</v>
      </c>
      <c r="L25" s="36"/>
      <c r="M25" s="36">
        <v>0</v>
      </c>
      <c r="N25" s="36">
        <v>4747</v>
      </c>
      <c r="O25" s="1007"/>
      <c r="P25" s="36">
        <v>27413</v>
      </c>
      <c r="Q25" s="36">
        <v>-3269</v>
      </c>
      <c r="R25" s="36">
        <v>24144</v>
      </c>
      <c r="S25" s="36"/>
      <c r="T25" s="36">
        <v>-114665</v>
      </c>
      <c r="U25" s="36">
        <v>-171378</v>
      </c>
    </row>
    <row r="26" spans="1:21" ht="15" x14ac:dyDescent="0.25">
      <c r="A26" s="1019" t="s">
        <v>2558</v>
      </c>
      <c r="B26" s="1178">
        <v>4.0013999999999996E-3</v>
      </c>
      <c r="C26" s="1178">
        <v>3.6286999999999999E-3</v>
      </c>
      <c r="D26" s="36">
        <v>-66275</v>
      </c>
      <c r="E26" s="1007"/>
      <c r="F26" s="36">
        <v>584</v>
      </c>
      <c r="G26" s="36">
        <v>10564</v>
      </c>
      <c r="H26" s="36">
        <v>3117</v>
      </c>
      <c r="I26" s="36">
        <v>1525</v>
      </c>
      <c r="J26" s="1007"/>
      <c r="K26" s="36">
        <v>3025</v>
      </c>
      <c r="L26" s="36"/>
      <c r="M26" s="36">
        <v>0</v>
      </c>
      <c r="N26" s="36">
        <v>5449</v>
      </c>
      <c r="O26" s="1007"/>
      <c r="P26" s="36">
        <v>12492</v>
      </c>
      <c r="Q26" s="36">
        <v>-1684</v>
      </c>
      <c r="R26" s="36">
        <v>10808</v>
      </c>
      <c r="S26" s="36"/>
      <c r="T26" s="36">
        <v>-52254</v>
      </c>
      <c r="U26" s="36">
        <v>-78099</v>
      </c>
    </row>
    <row r="27" spans="1:21" ht="15" x14ac:dyDescent="0.25">
      <c r="A27" s="1019" t="s">
        <v>2559</v>
      </c>
      <c r="B27" s="1178">
        <v>1.5900000000000001E-3</v>
      </c>
      <c r="C27" s="1178">
        <v>1.5244E-3</v>
      </c>
      <c r="D27" s="36">
        <v>-26335</v>
      </c>
      <c r="E27" s="1007"/>
      <c r="F27" s="36">
        <v>232</v>
      </c>
      <c r="G27" s="36">
        <v>4198</v>
      </c>
      <c r="H27" s="36">
        <v>1239</v>
      </c>
      <c r="I27" s="36">
        <v>466</v>
      </c>
      <c r="J27" s="1007"/>
      <c r="K27" s="36">
        <v>1202</v>
      </c>
      <c r="L27" s="36"/>
      <c r="M27" s="36">
        <v>0</v>
      </c>
      <c r="N27" s="36">
        <v>947</v>
      </c>
      <c r="O27" s="1007"/>
      <c r="P27" s="36">
        <v>4964</v>
      </c>
      <c r="Q27" s="36">
        <v>223</v>
      </c>
      <c r="R27" s="36">
        <v>5187</v>
      </c>
      <c r="S27" s="36"/>
      <c r="T27" s="36">
        <v>-20764</v>
      </c>
      <c r="U27" s="36">
        <v>-31034</v>
      </c>
    </row>
    <row r="28" spans="1:21" ht="15" x14ac:dyDescent="0.25">
      <c r="A28" s="1019" t="s">
        <v>2560</v>
      </c>
      <c r="B28" s="1178">
        <v>1.6616000000000001E-3</v>
      </c>
      <c r="C28" s="1178">
        <v>1.5047999999999999E-3</v>
      </c>
      <c r="D28" s="36">
        <v>-27521</v>
      </c>
      <c r="E28" s="1007"/>
      <c r="F28" s="36">
        <v>243</v>
      </c>
      <c r="G28" s="36">
        <v>4387</v>
      </c>
      <c r="H28" s="36">
        <v>1294</v>
      </c>
      <c r="I28" s="36">
        <v>264</v>
      </c>
      <c r="J28" s="1007"/>
      <c r="K28" s="36">
        <v>1256</v>
      </c>
      <c r="L28" s="36"/>
      <c r="M28" s="36">
        <v>0</v>
      </c>
      <c r="N28" s="36">
        <v>2263</v>
      </c>
      <c r="O28" s="1007"/>
      <c r="P28" s="36">
        <v>5188</v>
      </c>
      <c r="Q28" s="36">
        <v>-312</v>
      </c>
      <c r="R28" s="36">
        <v>4876</v>
      </c>
      <c r="S28" s="36"/>
      <c r="T28" s="36">
        <v>-21699</v>
      </c>
      <c r="U28" s="36">
        <v>-32431</v>
      </c>
    </row>
    <row r="29" spans="1:21" ht="15" x14ac:dyDescent="0.25">
      <c r="A29" s="1019" t="s">
        <v>2561</v>
      </c>
      <c r="B29" s="1178">
        <v>8.0599000000000001E-3</v>
      </c>
      <c r="C29" s="1178">
        <v>7.0412000000000001E-3</v>
      </c>
      <c r="D29" s="36">
        <v>-133496</v>
      </c>
      <c r="E29" s="1007"/>
      <c r="F29" s="36">
        <v>1177</v>
      </c>
      <c r="G29" s="36">
        <v>21278</v>
      </c>
      <c r="H29" s="36">
        <v>6279</v>
      </c>
      <c r="I29" s="36">
        <v>309</v>
      </c>
      <c r="J29" s="1007"/>
      <c r="K29" s="36">
        <v>6093</v>
      </c>
      <c r="L29" s="36"/>
      <c r="M29" s="36">
        <v>0</v>
      </c>
      <c r="N29" s="36">
        <v>18258</v>
      </c>
      <c r="O29" s="1007"/>
      <c r="P29" s="36">
        <v>25163</v>
      </c>
      <c r="Q29" s="36">
        <v>-10508</v>
      </c>
      <c r="R29" s="36">
        <v>14655</v>
      </c>
      <c r="S29" s="36"/>
      <c r="T29" s="36">
        <v>-105254</v>
      </c>
      <c r="U29" s="36">
        <v>-157313</v>
      </c>
    </row>
    <row r="30" spans="1:21" ht="15" x14ac:dyDescent="0.25">
      <c r="A30" s="1019" t="s">
        <v>2562</v>
      </c>
      <c r="B30" s="1178">
        <v>4.4640000000000001E-3</v>
      </c>
      <c r="C30" s="1178">
        <v>4.2263999999999999E-3</v>
      </c>
      <c r="D30" s="36">
        <v>-73937</v>
      </c>
      <c r="E30" s="1007"/>
      <c r="F30" s="36">
        <v>652</v>
      </c>
      <c r="G30" s="36">
        <v>11785</v>
      </c>
      <c r="H30" s="36">
        <v>3477</v>
      </c>
      <c r="I30" s="36">
        <v>932</v>
      </c>
      <c r="J30" s="1007"/>
      <c r="K30" s="36">
        <v>3375</v>
      </c>
      <c r="L30" s="36"/>
      <c r="M30" s="36">
        <v>0</v>
      </c>
      <c r="N30" s="36">
        <v>3918</v>
      </c>
      <c r="O30" s="1007"/>
      <c r="P30" s="36">
        <v>13937</v>
      </c>
      <c r="Q30" s="36">
        <v>409</v>
      </c>
      <c r="R30" s="36">
        <v>14346</v>
      </c>
      <c r="S30" s="36"/>
      <c r="T30" s="36">
        <v>-58295</v>
      </c>
      <c r="U30" s="36">
        <v>-87128</v>
      </c>
    </row>
    <row r="31" spans="1:21" ht="15" x14ac:dyDescent="0.25">
      <c r="A31" s="1019" t="s">
        <v>2563</v>
      </c>
      <c r="B31" s="1178">
        <v>8.7150000000000005E-3</v>
      </c>
      <c r="C31" s="1178">
        <v>1.1783800000000001E-2</v>
      </c>
      <c r="D31" s="36">
        <v>-144347</v>
      </c>
      <c r="E31" s="1007"/>
      <c r="F31" s="36">
        <v>1272</v>
      </c>
      <c r="G31" s="36">
        <v>23008</v>
      </c>
      <c r="H31" s="36">
        <v>6789</v>
      </c>
      <c r="I31" s="36">
        <v>47280</v>
      </c>
      <c r="J31" s="1007"/>
      <c r="K31" s="36">
        <v>6589</v>
      </c>
      <c r="L31" s="36"/>
      <c r="M31" s="36">
        <v>0</v>
      </c>
      <c r="N31" s="36">
        <v>2772</v>
      </c>
      <c r="O31" s="1007"/>
      <c r="P31" s="36">
        <v>27208</v>
      </c>
      <c r="Q31" s="36">
        <v>17599</v>
      </c>
      <c r="R31" s="36">
        <v>44807</v>
      </c>
      <c r="S31" s="36"/>
      <c r="T31" s="36">
        <v>-113809</v>
      </c>
      <c r="U31" s="36">
        <v>-170099</v>
      </c>
    </row>
    <row r="32" spans="1:21" ht="15" x14ac:dyDescent="0.25">
      <c r="A32" s="1019" t="s">
        <v>2564</v>
      </c>
      <c r="B32" s="1178">
        <v>2.9560099999999999E-2</v>
      </c>
      <c r="C32" s="1178">
        <v>3.2709700000000001E-2</v>
      </c>
      <c r="D32" s="36">
        <v>-489604</v>
      </c>
      <c r="E32" s="1007"/>
      <c r="F32" s="36">
        <v>4316</v>
      </c>
      <c r="G32" s="36">
        <v>78039</v>
      </c>
      <c r="H32" s="36">
        <v>23027</v>
      </c>
      <c r="I32" s="36">
        <v>52838</v>
      </c>
      <c r="J32" s="1007"/>
      <c r="K32" s="36">
        <v>22347</v>
      </c>
      <c r="L32" s="36"/>
      <c r="M32" s="36">
        <v>0</v>
      </c>
      <c r="N32" s="36">
        <v>0</v>
      </c>
      <c r="O32" s="1007"/>
      <c r="P32" s="36">
        <v>92287</v>
      </c>
      <c r="Q32" s="36">
        <v>37063</v>
      </c>
      <c r="R32" s="36">
        <v>129350</v>
      </c>
      <c r="S32" s="36"/>
      <c r="T32" s="36">
        <v>-386025</v>
      </c>
      <c r="U32" s="36">
        <v>-576954</v>
      </c>
    </row>
    <row r="33" spans="1:21" ht="15" x14ac:dyDescent="0.25">
      <c r="A33" s="1019" t="s">
        <v>2565</v>
      </c>
      <c r="B33" s="1178">
        <v>4.0235999999999996E-3</v>
      </c>
      <c r="C33" s="1178">
        <v>3.9345999999999999E-3</v>
      </c>
      <c r="D33" s="36">
        <v>-66643</v>
      </c>
      <c r="E33" s="1007"/>
      <c r="F33" s="36">
        <v>587</v>
      </c>
      <c r="G33" s="36">
        <v>10622</v>
      </c>
      <c r="H33" s="36">
        <v>3134</v>
      </c>
      <c r="I33" s="36">
        <v>1652</v>
      </c>
      <c r="J33" s="1007"/>
      <c r="K33" s="36">
        <v>3042</v>
      </c>
      <c r="L33" s="36"/>
      <c r="M33" s="36">
        <v>0</v>
      </c>
      <c r="N33" s="36">
        <v>1283</v>
      </c>
      <c r="O33" s="1007"/>
      <c r="P33" s="36">
        <v>12562</v>
      </c>
      <c r="Q33" s="36">
        <v>1646</v>
      </c>
      <c r="R33" s="36">
        <v>14208</v>
      </c>
      <c r="S33" s="36"/>
      <c r="T33" s="36">
        <v>-52544</v>
      </c>
      <c r="U33" s="36">
        <v>-78533</v>
      </c>
    </row>
    <row r="34" spans="1:21" ht="15" x14ac:dyDescent="0.25">
      <c r="A34" s="1019" t="s">
        <v>2566</v>
      </c>
      <c r="B34" s="1178">
        <v>8.5092999999999992E-3</v>
      </c>
      <c r="C34" s="1178">
        <v>8.9502999999999996E-3</v>
      </c>
      <c r="D34" s="36">
        <v>-140940</v>
      </c>
      <c r="E34" s="1007"/>
      <c r="F34" s="36">
        <v>1242</v>
      </c>
      <c r="G34" s="36">
        <v>22465</v>
      </c>
      <c r="H34" s="36">
        <v>6629</v>
      </c>
      <c r="I34" s="36">
        <v>10793</v>
      </c>
      <c r="J34" s="1007"/>
      <c r="K34" s="36">
        <v>6433</v>
      </c>
      <c r="L34" s="36"/>
      <c r="M34" s="36">
        <v>0</v>
      </c>
      <c r="N34" s="36">
        <v>1054</v>
      </c>
      <c r="O34" s="1007"/>
      <c r="P34" s="36">
        <v>26566</v>
      </c>
      <c r="Q34" s="36">
        <v>5160</v>
      </c>
      <c r="R34" s="36">
        <v>31726</v>
      </c>
      <c r="S34" s="36"/>
      <c r="T34" s="36">
        <v>-111123</v>
      </c>
      <c r="U34" s="36">
        <v>-166085</v>
      </c>
    </row>
    <row r="35" spans="1:21" ht="15" x14ac:dyDescent="0.25">
      <c r="A35" s="1019" t="s">
        <v>2567</v>
      </c>
      <c r="B35" s="1178">
        <v>1.32316E-2</v>
      </c>
      <c r="C35" s="1178">
        <v>1.55941E-2</v>
      </c>
      <c r="D35" s="36">
        <v>-219155</v>
      </c>
      <c r="E35" s="1007"/>
      <c r="F35" s="36">
        <v>1932</v>
      </c>
      <c r="G35" s="36">
        <v>34931</v>
      </c>
      <c r="H35" s="36">
        <v>10307</v>
      </c>
      <c r="I35" s="36">
        <v>39458</v>
      </c>
      <c r="J35" s="1007"/>
      <c r="K35" s="36">
        <v>10003</v>
      </c>
      <c r="L35" s="36"/>
      <c r="M35" s="36">
        <v>0</v>
      </c>
      <c r="N35" s="36">
        <v>36970</v>
      </c>
      <c r="O35" s="1007"/>
      <c r="P35" s="36">
        <v>41309</v>
      </c>
      <c r="Q35" s="36">
        <v>-5182</v>
      </c>
      <c r="R35" s="36">
        <v>36127</v>
      </c>
      <c r="S35" s="36"/>
      <c r="T35" s="36">
        <v>-172791</v>
      </c>
      <c r="U35" s="36">
        <v>-258254</v>
      </c>
    </row>
    <row r="36" spans="1:21" ht="15" x14ac:dyDescent="0.25">
      <c r="A36" s="1019" t="s">
        <v>2568</v>
      </c>
      <c r="B36" s="1178">
        <v>3.7848999999999999E-3</v>
      </c>
      <c r="C36" s="1178">
        <v>4.2516000000000003E-3</v>
      </c>
      <c r="D36" s="36">
        <v>-62689</v>
      </c>
      <c r="E36" s="1007"/>
      <c r="F36" s="36">
        <v>553</v>
      </c>
      <c r="G36" s="36">
        <v>9992</v>
      </c>
      <c r="H36" s="36">
        <v>2948</v>
      </c>
      <c r="I36" s="36">
        <v>7023</v>
      </c>
      <c r="J36" s="1007"/>
      <c r="K36" s="36">
        <v>2861</v>
      </c>
      <c r="L36" s="36"/>
      <c r="M36" s="36">
        <v>0</v>
      </c>
      <c r="N36" s="36">
        <v>1251</v>
      </c>
      <c r="O36" s="1007"/>
      <c r="P36" s="36">
        <v>11816</v>
      </c>
      <c r="Q36" s="36">
        <v>2616</v>
      </c>
      <c r="R36" s="36">
        <v>14432</v>
      </c>
      <c r="S36" s="36"/>
      <c r="T36" s="36">
        <v>-49427</v>
      </c>
      <c r="U36" s="36">
        <v>-73874</v>
      </c>
    </row>
    <row r="37" spans="1:21" ht="15" x14ac:dyDescent="0.25">
      <c r="A37" s="1019" t="s">
        <v>2569</v>
      </c>
      <c r="B37" s="1178">
        <v>3.8148000000000001E-3</v>
      </c>
      <c r="C37" s="1178">
        <v>3.9173999999999997E-3</v>
      </c>
      <c r="D37" s="36">
        <v>-63185</v>
      </c>
      <c r="E37" s="1007"/>
      <c r="F37" s="36">
        <v>557</v>
      </c>
      <c r="G37" s="36">
        <v>10071</v>
      </c>
      <c r="H37" s="36">
        <v>2972</v>
      </c>
      <c r="I37" s="36">
        <v>4094</v>
      </c>
      <c r="J37" s="1007"/>
      <c r="K37" s="36">
        <v>2884</v>
      </c>
      <c r="L37" s="36"/>
      <c r="M37" s="36">
        <v>0</v>
      </c>
      <c r="N37" s="36">
        <v>246</v>
      </c>
      <c r="O37" s="1007"/>
      <c r="P37" s="36">
        <v>11910</v>
      </c>
      <c r="Q37" s="36">
        <v>2674</v>
      </c>
      <c r="R37" s="36">
        <v>14584</v>
      </c>
      <c r="S37" s="36"/>
      <c r="T37" s="36">
        <v>-49817</v>
      </c>
      <c r="U37" s="36">
        <v>-74457</v>
      </c>
    </row>
    <row r="38" spans="1:21" ht="15" x14ac:dyDescent="0.25">
      <c r="A38" s="1019" t="s">
        <v>2570</v>
      </c>
      <c r="B38" s="1178">
        <v>3.0817600000000001E-2</v>
      </c>
      <c r="C38" s="1178">
        <v>3.13446E-2</v>
      </c>
      <c r="D38" s="36">
        <v>-510432</v>
      </c>
      <c r="E38" s="1007"/>
      <c r="F38" s="36">
        <v>4499</v>
      </c>
      <c r="G38" s="36">
        <v>81358</v>
      </c>
      <c r="H38" s="36">
        <v>24007</v>
      </c>
      <c r="I38" s="36">
        <v>7601</v>
      </c>
      <c r="J38" s="1007"/>
      <c r="K38" s="36">
        <v>23298</v>
      </c>
      <c r="L38" s="36"/>
      <c r="M38" s="36">
        <v>0</v>
      </c>
      <c r="N38" s="36">
        <v>4323</v>
      </c>
      <c r="O38" s="1007"/>
      <c r="P38" s="36">
        <v>96213</v>
      </c>
      <c r="Q38" s="36">
        <v>-6613</v>
      </c>
      <c r="R38" s="36">
        <v>89600</v>
      </c>
      <c r="S38" s="36"/>
      <c r="T38" s="36">
        <v>-402447</v>
      </c>
      <c r="U38" s="36">
        <v>-601498</v>
      </c>
    </row>
    <row r="39" spans="1:21" ht="15" x14ac:dyDescent="0.25">
      <c r="A39" s="1019" t="s">
        <v>2571</v>
      </c>
      <c r="B39" s="1178">
        <v>3.6396000000000002E-3</v>
      </c>
      <c r="C39" s="1178">
        <v>3.1862000000000001E-3</v>
      </c>
      <c r="D39" s="36">
        <v>-60283</v>
      </c>
      <c r="E39" s="1007"/>
      <c r="F39" s="36">
        <v>531</v>
      </c>
      <c r="G39" s="36">
        <v>9609</v>
      </c>
      <c r="H39" s="36">
        <v>2835</v>
      </c>
      <c r="I39" s="36">
        <v>2207</v>
      </c>
      <c r="J39" s="1007"/>
      <c r="K39" s="36">
        <v>2752</v>
      </c>
      <c r="L39" s="36"/>
      <c r="M39" s="36">
        <v>0</v>
      </c>
      <c r="N39" s="36">
        <v>6541</v>
      </c>
      <c r="O39" s="1007"/>
      <c r="P39" s="36">
        <v>11363</v>
      </c>
      <c r="Q39" s="36">
        <v>-582</v>
      </c>
      <c r="R39" s="36">
        <v>10781</v>
      </c>
      <c r="S39" s="36"/>
      <c r="T39" s="36">
        <v>-47530</v>
      </c>
      <c r="U39" s="36">
        <v>-71038</v>
      </c>
    </row>
    <row r="40" spans="1:21" ht="15" x14ac:dyDescent="0.25">
      <c r="A40" s="1019" t="s">
        <v>2572</v>
      </c>
      <c r="B40" s="1178">
        <v>3.7801500000000002E-2</v>
      </c>
      <c r="C40" s="1178">
        <v>3.9621999999999997E-2</v>
      </c>
      <c r="D40" s="36">
        <v>-626106</v>
      </c>
      <c r="E40" s="1007"/>
      <c r="F40" s="36">
        <v>5519</v>
      </c>
      <c r="G40" s="36">
        <v>99796</v>
      </c>
      <c r="H40" s="36">
        <v>29447</v>
      </c>
      <c r="I40" s="36">
        <v>26261</v>
      </c>
      <c r="J40" s="1007"/>
      <c r="K40" s="36">
        <v>28578</v>
      </c>
      <c r="L40" s="36"/>
      <c r="M40" s="36">
        <v>0</v>
      </c>
      <c r="N40" s="36">
        <v>972</v>
      </c>
      <c r="O40" s="1007"/>
      <c r="P40" s="36">
        <v>118016</v>
      </c>
      <c r="Q40" s="36">
        <v>9876</v>
      </c>
      <c r="R40" s="36">
        <v>127892</v>
      </c>
      <c r="S40" s="36"/>
      <c r="T40" s="36">
        <v>-493650</v>
      </c>
      <c r="U40" s="36">
        <v>-737810</v>
      </c>
    </row>
    <row r="41" spans="1:21" ht="15" x14ac:dyDescent="0.25">
      <c r="A41" s="1019" t="s">
        <v>2573</v>
      </c>
      <c r="B41" s="1178">
        <v>6.2415999999999999E-3</v>
      </c>
      <c r="C41" s="1178">
        <v>6.2922000000000004E-3</v>
      </c>
      <c r="D41" s="36">
        <v>-103380</v>
      </c>
      <c r="E41" s="1007"/>
      <c r="F41" s="36">
        <v>911</v>
      </c>
      <c r="G41" s="36">
        <v>16478</v>
      </c>
      <c r="H41" s="36">
        <v>4862</v>
      </c>
      <c r="I41" s="36">
        <v>731</v>
      </c>
      <c r="J41" s="1007"/>
      <c r="K41" s="36">
        <v>4719</v>
      </c>
      <c r="L41" s="36"/>
      <c r="M41" s="36">
        <v>0</v>
      </c>
      <c r="N41" s="36">
        <v>5784</v>
      </c>
      <c r="O41" s="1007"/>
      <c r="P41" s="36">
        <v>19486</v>
      </c>
      <c r="Q41" s="36">
        <v>-7423</v>
      </c>
      <c r="R41" s="36">
        <v>12063</v>
      </c>
      <c r="S41" s="36"/>
      <c r="T41" s="36">
        <v>-81509</v>
      </c>
      <c r="U41" s="36">
        <v>-121824</v>
      </c>
    </row>
    <row r="42" spans="1:21" ht="15" x14ac:dyDescent="0.25">
      <c r="A42" s="1019" t="s">
        <v>2574</v>
      </c>
      <c r="B42" s="1178">
        <v>7.8516999999999997E-3</v>
      </c>
      <c r="C42" s="1178">
        <v>8.5229999999999993E-3</v>
      </c>
      <c r="D42" s="36">
        <v>-130048</v>
      </c>
      <c r="E42" s="1007"/>
      <c r="F42" s="36">
        <v>1146</v>
      </c>
      <c r="G42" s="36">
        <v>20728</v>
      </c>
      <c r="H42" s="36">
        <v>6116</v>
      </c>
      <c r="I42" s="36">
        <v>37166</v>
      </c>
      <c r="J42" s="1007"/>
      <c r="K42" s="36">
        <v>5936</v>
      </c>
      <c r="L42" s="36"/>
      <c r="M42" s="36">
        <v>0</v>
      </c>
      <c r="N42" s="36">
        <v>0</v>
      </c>
      <c r="O42" s="1007"/>
      <c r="P42" s="36">
        <v>24513</v>
      </c>
      <c r="Q42" s="36">
        <v>42837</v>
      </c>
      <c r="R42" s="36">
        <v>67350</v>
      </c>
      <c r="S42" s="36"/>
      <c r="T42" s="36">
        <v>-102535</v>
      </c>
      <c r="U42" s="36">
        <v>-153249</v>
      </c>
    </row>
    <row r="43" spans="1:21" ht="15" x14ac:dyDescent="0.25">
      <c r="A43" s="1019" t="s">
        <v>2575</v>
      </c>
      <c r="B43" s="1178">
        <v>8.9740000000000002E-4</v>
      </c>
      <c r="C43" s="1178">
        <v>8.7089999999999997E-4</v>
      </c>
      <c r="D43" s="36">
        <v>-14864</v>
      </c>
      <c r="E43" s="1007"/>
      <c r="F43" s="36">
        <v>131</v>
      </c>
      <c r="G43" s="36">
        <v>2369</v>
      </c>
      <c r="H43" s="36">
        <v>699</v>
      </c>
      <c r="I43" s="36">
        <v>677</v>
      </c>
      <c r="J43" s="1007"/>
      <c r="K43" s="36">
        <v>678</v>
      </c>
      <c r="L43" s="36"/>
      <c r="M43" s="36">
        <v>0</v>
      </c>
      <c r="N43" s="36">
        <v>420</v>
      </c>
      <c r="O43" s="1007"/>
      <c r="P43" s="36">
        <v>2802</v>
      </c>
      <c r="Q43" s="36">
        <v>460</v>
      </c>
      <c r="R43" s="36">
        <v>3262</v>
      </c>
      <c r="S43" s="36"/>
      <c r="T43" s="36">
        <v>-11719</v>
      </c>
      <c r="U43" s="36">
        <v>-17515</v>
      </c>
    </row>
    <row r="44" spans="1:21" ht="15" x14ac:dyDescent="0.25">
      <c r="A44" s="1019" t="s">
        <v>2576</v>
      </c>
      <c r="B44" s="1178">
        <v>7.6199999999999998E-4</v>
      </c>
      <c r="C44" s="1178">
        <v>6.9390000000000001E-4</v>
      </c>
      <c r="D44" s="36">
        <v>-12621</v>
      </c>
      <c r="E44" s="1007"/>
      <c r="F44" s="36">
        <v>111</v>
      </c>
      <c r="G44" s="36">
        <v>2012</v>
      </c>
      <c r="H44" s="36">
        <v>594</v>
      </c>
      <c r="I44" s="36">
        <v>0</v>
      </c>
      <c r="J44" s="1007"/>
      <c r="K44" s="36">
        <v>576</v>
      </c>
      <c r="L44" s="36"/>
      <c r="M44" s="36">
        <v>0</v>
      </c>
      <c r="N44" s="36">
        <v>1206</v>
      </c>
      <c r="O44" s="1007"/>
      <c r="P44" s="36">
        <v>2379</v>
      </c>
      <c r="Q44" s="36">
        <v>-889</v>
      </c>
      <c r="R44" s="36">
        <v>1490</v>
      </c>
      <c r="S44" s="36"/>
      <c r="T44" s="36">
        <v>-9951</v>
      </c>
      <c r="U44" s="36">
        <v>-14873</v>
      </c>
    </row>
    <row r="45" spans="1:21" ht="15" x14ac:dyDescent="0.25">
      <c r="A45" s="1019" t="s">
        <v>2577</v>
      </c>
      <c r="B45" s="1178">
        <v>4.7184000000000002E-3</v>
      </c>
      <c r="C45" s="1178">
        <v>4.8060000000000004E-3</v>
      </c>
      <c r="D45" s="36">
        <v>-78151</v>
      </c>
      <c r="E45" s="1007"/>
      <c r="F45" s="36">
        <v>689</v>
      </c>
      <c r="G45" s="36">
        <v>12457</v>
      </c>
      <c r="H45" s="36">
        <v>3676</v>
      </c>
      <c r="I45" s="36">
        <v>1778</v>
      </c>
      <c r="J45" s="1007"/>
      <c r="K45" s="36">
        <v>3567</v>
      </c>
      <c r="L45" s="36"/>
      <c r="M45" s="36">
        <v>0</v>
      </c>
      <c r="N45" s="36">
        <v>3248</v>
      </c>
      <c r="O45" s="1007"/>
      <c r="P45" s="36">
        <v>14731</v>
      </c>
      <c r="Q45" s="36">
        <v>-1242</v>
      </c>
      <c r="R45" s="36">
        <v>13489</v>
      </c>
      <c r="S45" s="36"/>
      <c r="T45" s="36">
        <v>-61618</v>
      </c>
      <c r="U45" s="36">
        <v>-92094</v>
      </c>
    </row>
    <row r="46" spans="1:21" ht="15" x14ac:dyDescent="0.25">
      <c r="A46" s="1019" t="s">
        <v>2578</v>
      </c>
      <c r="B46" s="1178">
        <v>1.0494E-3</v>
      </c>
      <c r="C46" s="1178">
        <v>1.1391999999999999E-3</v>
      </c>
      <c r="D46" s="36">
        <v>-17381</v>
      </c>
      <c r="E46" s="1007"/>
      <c r="F46" s="36">
        <v>153</v>
      </c>
      <c r="G46" s="36">
        <v>2770</v>
      </c>
      <c r="H46" s="36">
        <v>817</v>
      </c>
      <c r="I46" s="36">
        <v>2029</v>
      </c>
      <c r="J46" s="1007"/>
      <c r="K46" s="36">
        <v>793</v>
      </c>
      <c r="L46" s="36"/>
      <c r="M46" s="36">
        <v>0</v>
      </c>
      <c r="N46" s="36">
        <v>243</v>
      </c>
      <c r="O46" s="1007"/>
      <c r="P46" s="36">
        <v>3276</v>
      </c>
      <c r="Q46" s="36">
        <v>803</v>
      </c>
      <c r="R46" s="36">
        <v>4079</v>
      </c>
      <c r="S46" s="36"/>
      <c r="T46" s="36">
        <v>-13704</v>
      </c>
      <c r="U46" s="36">
        <v>-20482</v>
      </c>
    </row>
    <row r="47" spans="1:21" ht="15" x14ac:dyDescent="0.25">
      <c r="A47" s="1019" t="s">
        <v>2579</v>
      </c>
      <c r="B47" s="1178">
        <v>4.2479299999999998E-2</v>
      </c>
      <c r="C47" s="1178">
        <v>4.39079E-2</v>
      </c>
      <c r="D47" s="36">
        <v>-703585</v>
      </c>
      <c r="E47" s="1007"/>
      <c r="F47" s="36">
        <v>6202</v>
      </c>
      <c r="G47" s="36">
        <v>112145</v>
      </c>
      <c r="H47" s="36">
        <v>33091</v>
      </c>
      <c r="I47" s="36">
        <v>21120</v>
      </c>
      <c r="J47" s="1007"/>
      <c r="K47" s="36">
        <v>32114</v>
      </c>
      <c r="L47" s="36"/>
      <c r="M47" s="36">
        <v>0</v>
      </c>
      <c r="N47" s="36">
        <v>828</v>
      </c>
      <c r="O47" s="1007"/>
      <c r="P47" s="36">
        <v>132620</v>
      </c>
      <c r="Q47" s="36">
        <v>7704</v>
      </c>
      <c r="R47" s="36">
        <v>140324</v>
      </c>
      <c r="S47" s="36"/>
      <c r="T47" s="36">
        <v>-554737</v>
      </c>
      <c r="U47" s="36">
        <v>-829111</v>
      </c>
    </row>
    <row r="48" spans="1:21" ht="15" x14ac:dyDescent="0.25">
      <c r="A48" s="1019" t="s">
        <v>2580</v>
      </c>
      <c r="B48" s="1178">
        <v>4.1554000000000001E-3</v>
      </c>
      <c r="C48" s="1178">
        <v>4.2783999999999999E-3</v>
      </c>
      <c r="D48" s="36">
        <v>-68826</v>
      </c>
      <c r="E48" s="1007"/>
      <c r="F48" s="36">
        <v>607</v>
      </c>
      <c r="G48" s="36">
        <v>10970</v>
      </c>
      <c r="H48" s="36">
        <v>3237</v>
      </c>
      <c r="I48" s="36">
        <v>2224</v>
      </c>
      <c r="J48" s="1007"/>
      <c r="K48" s="36">
        <v>3141</v>
      </c>
      <c r="L48" s="36"/>
      <c r="M48" s="36">
        <v>0</v>
      </c>
      <c r="N48" s="36">
        <v>446</v>
      </c>
      <c r="O48" s="1007"/>
      <c r="P48" s="36">
        <v>12973</v>
      </c>
      <c r="Q48" s="36">
        <v>1507</v>
      </c>
      <c r="R48" s="36">
        <v>14480</v>
      </c>
      <c r="S48" s="36"/>
      <c r="T48" s="36">
        <v>-54265</v>
      </c>
      <c r="U48" s="36">
        <v>-81105</v>
      </c>
    </row>
    <row r="49" spans="1:21" ht="15" x14ac:dyDescent="0.25">
      <c r="A49" s="1019" t="s">
        <v>2581</v>
      </c>
      <c r="B49" s="1178">
        <v>1.19995E-2</v>
      </c>
      <c r="C49" s="1178">
        <v>1.24961E-2</v>
      </c>
      <c r="D49" s="36">
        <v>-198748</v>
      </c>
      <c r="E49" s="1007"/>
      <c r="F49" s="36">
        <v>1752</v>
      </c>
      <c r="G49" s="36">
        <v>31679</v>
      </c>
      <c r="H49" s="36">
        <v>9348</v>
      </c>
      <c r="I49" s="36">
        <v>8012</v>
      </c>
      <c r="J49" s="1007"/>
      <c r="K49" s="36">
        <v>9072</v>
      </c>
      <c r="L49" s="36"/>
      <c r="M49" s="36">
        <v>0</v>
      </c>
      <c r="N49" s="36">
        <v>2759</v>
      </c>
      <c r="O49" s="1007"/>
      <c r="P49" s="36">
        <v>37462</v>
      </c>
      <c r="Q49" s="36">
        <v>2709</v>
      </c>
      <c r="R49" s="36">
        <v>40171</v>
      </c>
      <c r="S49" s="36"/>
      <c r="T49" s="36">
        <v>-156701</v>
      </c>
      <c r="U49" s="36">
        <v>-234206</v>
      </c>
    </row>
    <row r="50" spans="1:21" ht="15" x14ac:dyDescent="0.25">
      <c r="A50" s="1019" t="s">
        <v>2582</v>
      </c>
      <c r="B50" s="1178">
        <v>7.7530999999999997E-3</v>
      </c>
      <c r="C50" s="1178">
        <v>7.6893999999999999E-3</v>
      </c>
      <c r="D50" s="36">
        <v>-128415</v>
      </c>
      <c r="E50" s="1007"/>
      <c r="F50" s="36">
        <v>1132</v>
      </c>
      <c r="G50" s="36">
        <v>20468</v>
      </c>
      <c r="H50" s="36">
        <v>6040</v>
      </c>
      <c r="I50" s="36">
        <v>334</v>
      </c>
      <c r="J50" s="1007"/>
      <c r="K50" s="36">
        <v>5861</v>
      </c>
      <c r="L50" s="36"/>
      <c r="M50" s="36">
        <v>0</v>
      </c>
      <c r="N50" s="36">
        <v>2879</v>
      </c>
      <c r="O50" s="1007"/>
      <c r="P50" s="36">
        <v>24205</v>
      </c>
      <c r="Q50" s="36">
        <v>-2226</v>
      </c>
      <c r="R50" s="36">
        <v>21979</v>
      </c>
      <c r="S50" s="36"/>
      <c r="T50" s="36">
        <v>-101248</v>
      </c>
      <c r="U50" s="36">
        <v>-151325</v>
      </c>
    </row>
    <row r="51" spans="1:21" ht="15" x14ac:dyDescent="0.25">
      <c r="A51" s="1019" t="s">
        <v>2583</v>
      </c>
      <c r="B51" s="1178">
        <v>1.38721E-2</v>
      </c>
      <c r="C51" s="1178">
        <v>1.42083E-2</v>
      </c>
      <c r="D51" s="36">
        <v>-229764</v>
      </c>
      <c r="E51" s="1007"/>
      <c r="F51" s="36">
        <v>2025</v>
      </c>
      <c r="G51" s="36">
        <v>36622</v>
      </c>
      <c r="H51" s="36">
        <v>10806</v>
      </c>
      <c r="I51" s="36">
        <v>4906</v>
      </c>
      <c r="J51" s="1007"/>
      <c r="K51" s="36">
        <v>10487</v>
      </c>
      <c r="L51" s="36"/>
      <c r="M51" s="36">
        <v>0</v>
      </c>
      <c r="N51" s="36">
        <v>1495</v>
      </c>
      <c r="O51" s="1007"/>
      <c r="P51" s="36">
        <v>43309</v>
      </c>
      <c r="Q51" s="36">
        <v>-2218</v>
      </c>
      <c r="R51" s="36">
        <v>41091</v>
      </c>
      <c r="S51" s="36"/>
      <c r="T51" s="36">
        <v>-181156</v>
      </c>
      <c r="U51" s="36">
        <v>-270756</v>
      </c>
    </row>
    <row r="52" spans="1:21" ht="15" x14ac:dyDescent="0.25">
      <c r="A52" s="1019" t="s">
        <v>2584</v>
      </c>
      <c r="B52" s="1178">
        <v>1.7214999999999999E-3</v>
      </c>
      <c r="C52" s="1178">
        <v>1.7851E-3</v>
      </c>
      <c r="D52" s="36">
        <v>-28513</v>
      </c>
      <c r="E52" s="1007"/>
      <c r="F52" s="36">
        <v>251</v>
      </c>
      <c r="G52" s="36">
        <v>4545</v>
      </c>
      <c r="H52" s="36">
        <v>1341</v>
      </c>
      <c r="I52" s="36">
        <v>1492</v>
      </c>
      <c r="J52" s="1007"/>
      <c r="K52" s="36">
        <v>1301</v>
      </c>
      <c r="L52" s="36"/>
      <c r="M52" s="36">
        <v>0</v>
      </c>
      <c r="N52" s="36">
        <v>0</v>
      </c>
      <c r="O52" s="1007"/>
      <c r="P52" s="36">
        <v>5375</v>
      </c>
      <c r="Q52" s="36">
        <v>1138</v>
      </c>
      <c r="R52" s="36">
        <v>6513</v>
      </c>
      <c r="S52" s="36"/>
      <c r="T52" s="36">
        <v>-22481</v>
      </c>
      <c r="U52" s="36">
        <v>-33600</v>
      </c>
    </row>
    <row r="53" spans="1:21" ht="15" x14ac:dyDescent="0.25">
      <c r="A53" s="1019" t="s">
        <v>2585</v>
      </c>
      <c r="B53" s="1178">
        <v>5.1979000000000001E-3</v>
      </c>
      <c r="C53" s="1178">
        <v>4.4527000000000004E-3</v>
      </c>
      <c r="D53" s="36">
        <v>-86093</v>
      </c>
      <c r="E53" s="1007"/>
      <c r="F53" s="36">
        <v>759</v>
      </c>
      <c r="G53" s="36">
        <v>13722</v>
      </c>
      <c r="H53" s="36">
        <v>4049</v>
      </c>
      <c r="I53" s="36">
        <v>4350</v>
      </c>
      <c r="J53" s="1007"/>
      <c r="K53" s="36">
        <v>3930</v>
      </c>
      <c r="L53" s="36"/>
      <c r="M53" s="36">
        <v>0</v>
      </c>
      <c r="N53" s="36">
        <v>11419</v>
      </c>
      <c r="O53" s="1007"/>
      <c r="P53" s="36">
        <v>16228</v>
      </c>
      <c r="Q53" s="36">
        <v>-2437</v>
      </c>
      <c r="R53" s="36">
        <v>13791</v>
      </c>
      <c r="S53" s="36"/>
      <c r="T53" s="36">
        <v>-67879</v>
      </c>
      <c r="U53" s="36">
        <v>-101453</v>
      </c>
    </row>
    <row r="54" spans="1:21" ht="15" x14ac:dyDescent="0.25">
      <c r="A54" s="1019" t="s">
        <v>2586</v>
      </c>
      <c r="B54" s="1178">
        <v>4.4860000000000001E-4</v>
      </c>
      <c r="C54" s="1178">
        <v>4.8450000000000001E-4</v>
      </c>
      <c r="D54" s="36">
        <v>-7430</v>
      </c>
      <c r="E54" s="1007"/>
      <c r="F54" s="36">
        <v>65</v>
      </c>
      <c r="G54" s="36">
        <v>1184</v>
      </c>
      <c r="H54" s="36">
        <v>349</v>
      </c>
      <c r="I54" s="36">
        <v>518</v>
      </c>
      <c r="J54" s="1007"/>
      <c r="K54" s="36">
        <v>339</v>
      </c>
      <c r="L54" s="36"/>
      <c r="M54" s="36">
        <v>0</v>
      </c>
      <c r="N54" s="36">
        <v>147</v>
      </c>
      <c r="O54" s="1007"/>
      <c r="P54" s="36">
        <v>1401</v>
      </c>
      <c r="Q54" s="36">
        <v>9</v>
      </c>
      <c r="R54" s="36">
        <v>1410</v>
      </c>
      <c r="S54" s="36"/>
      <c r="T54" s="36">
        <v>-5858</v>
      </c>
      <c r="U54" s="36">
        <v>-8756</v>
      </c>
    </row>
    <row r="55" spans="1:21" ht="15" x14ac:dyDescent="0.25">
      <c r="A55" s="1019" t="s">
        <v>2587</v>
      </c>
      <c r="B55" s="1178">
        <v>2.0304300000000001E-2</v>
      </c>
      <c r="C55" s="1178">
        <v>2.0341999999999999E-2</v>
      </c>
      <c r="D55" s="36">
        <v>-336300</v>
      </c>
      <c r="E55" s="1007"/>
      <c r="F55" s="36">
        <v>2964</v>
      </c>
      <c r="G55" s="36">
        <v>53603</v>
      </c>
      <c r="H55" s="36">
        <v>15817</v>
      </c>
      <c r="I55" s="36">
        <v>2384</v>
      </c>
      <c r="J55" s="1007"/>
      <c r="K55" s="36">
        <v>15350</v>
      </c>
      <c r="L55" s="36"/>
      <c r="M55" s="36">
        <v>0</v>
      </c>
      <c r="N55" s="36">
        <v>2920</v>
      </c>
      <c r="O55" s="1007"/>
      <c r="P55" s="36">
        <v>63390</v>
      </c>
      <c r="Q55" s="36">
        <v>-6857</v>
      </c>
      <c r="R55" s="36">
        <v>56533</v>
      </c>
      <c r="S55" s="36"/>
      <c r="T55" s="36">
        <v>-265154</v>
      </c>
      <c r="U55" s="36">
        <v>-396299</v>
      </c>
    </row>
    <row r="56" spans="1:21" ht="15" x14ac:dyDescent="0.25">
      <c r="A56" s="1019" t="s">
        <v>2588</v>
      </c>
      <c r="B56" s="1178">
        <v>6.1491999999999996E-3</v>
      </c>
      <c r="C56" s="1178">
        <v>6.7647999999999996E-3</v>
      </c>
      <c r="D56" s="36">
        <v>-101849</v>
      </c>
      <c r="E56" s="1007"/>
      <c r="F56" s="36">
        <v>898</v>
      </c>
      <c r="G56" s="36">
        <v>16234</v>
      </c>
      <c r="H56" s="36">
        <v>4790</v>
      </c>
      <c r="I56" s="36">
        <v>8880</v>
      </c>
      <c r="J56" s="1007"/>
      <c r="K56" s="36">
        <v>4649</v>
      </c>
      <c r="L56" s="36"/>
      <c r="M56" s="36">
        <v>0</v>
      </c>
      <c r="N56" s="36">
        <v>6107</v>
      </c>
      <c r="O56" s="1007"/>
      <c r="P56" s="36">
        <v>19198</v>
      </c>
      <c r="Q56" s="36">
        <v>-10161</v>
      </c>
      <c r="R56" s="36">
        <v>9037</v>
      </c>
      <c r="S56" s="36"/>
      <c r="T56" s="36">
        <v>-80302</v>
      </c>
      <c r="U56" s="36">
        <v>-120020</v>
      </c>
    </row>
    <row r="57" spans="1:21" ht="15" x14ac:dyDescent="0.25">
      <c r="A57" s="1019" t="s">
        <v>2589</v>
      </c>
      <c r="B57" s="1178">
        <v>2.1887E-2</v>
      </c>
      <c r="C57" s="1178">
        <v>2.1563800000000001E-2</v>
      </c>
      <c r="D57" s="36">
        <v>-362514</v>
      </c>
      <c r="E57" s="1007"/>
      <c r="F57" s="36">
        <v>3196</v>
      </c>
      <c r="G57" s="36">
        <v>57782</v>
      </c>
      <c r="H57" s="36">
        <v>17050</v>
      </c>
      <c r="I57" s="36">
        <v>0</v>
      </c>
      <c r="J57" s="1007"/>
      <c r="K57" s="36">
        <v>16547</v>
      </c>
      <c r="L57" s="36"/>
      <c r="M57" s="36">
        <v>0</v>
      </c>
      <c r="N57" s="36">
        <v>20386</v>
      </c>
      <c r="O57" s="1007"/>
      <c r="P57" s="36">
        <v>68331</v>
      </c>
      <c r="Q57" s="36">
        <v>-21529</v>
      </c>
      <c r="R57" s="36">
        <v>46802</v>
      </c>
      <c r="S57" s="36"/>
      <c r="T57" s="36">
        <v>-285822</v>
      </c>
      <c r="U57" s="36">
        <v>-427190</v>
      </c>
    </row>
    <row r="58" spans="1:21" ht="15" x14ac:dyDescent="0.25">
      <c r="A58" s="1019" t="s">
        <v>2590</v>
      </c>
      <c r="B58" s="1178">
        <v>8.1380000000000005E-4</v>
      </c>
      <c r="C58" s="1178">
        <v>8.2770000000000001E-4</v>
      </c>
      <c r="D58" s="36">
        <v>-13479</v>
      </c>
      <c r="E58" s="1007"/>
      <c r="F58" s="36">
        <v>119</v>
      </c>
      <c r="G58" s="36">
        <v>2148</v>
      </c>
      <c r="H58" s="36">
        <v>634</v>
      </c>
      <c r="I58" s="36">
        <v>876</v>
      </c>
      <c r="J58" s="1007"/>
      <c r="K58" s="36">
        <v>615</v>
      </c>
      <c r="L58" s="36"/>
      <c r="M58" s="36">
        <v>0</v>
      </c>
      <c r="N58" s="36">
        <v>0</v>
      </c>
      <c r="O58" s="1007"/>
      <c r="P58" s="36">
        <v>2541</v>
      </c>
      <c r="Q58" s="36">
        <v>1710</v>
      </c>
      <c r="R58" s="36">
        <v>4251</v>
      </c>
      <c r="S58" s="36"/>
      <c r="T58" s="36">
        <v>-10627</v>
      </c>
      <c r="U58" s="36">
        <v>-15884</v>
      </c>
    </row>
    <row r="59" spans="1:21" ht="15" x14ac:dyDescent="0.25">
      <c r="A59" s="1019" t="s">
        <v>2591</v>
      </c>
      <c r="B59" s="1178">
        <v>5.6004000000000002E-3</v>
      </c>
      <c r="C59" s="1178">
        <v>5.6318999999999996E-3</v>
      </c>
      <c r="D59" s="36">
        <v>-92759</v>
      </c>
      <c r="E59" s="1007"/>
      <c r="F59" s="36">
        <v>818</v>
      </c>
      <c r="G59" s="36">
        <v>14785</v>
      </c>
      <c r="H59" s="36">
        <v>4363</v>
      </c>
      <c r="I59" s="36">
        <v>1343</v>
      </c>
      <c r="J59" s="1007"/>
      <c r="K59" s="36">
        <v>4234</v>
      </c>
      <c r="L59" s="36"/>
      <c r="M59" s="36">
        <v>0</v>
      </c>
      <c r="N59" s="36">
        <v>380</v>
      </c>
      <c r="O59" s="1007"/>
      <c r="P59" s="36">
        <v>17484</v>
      </c>
      <c r="Q59" s="36">
        <v>50</v>
      </c>
      <c r="R59" s="36">
        <v>17534</v>
      </c>
      <c r="S59" s="36"/>
      <c r="T59" s="36">
        <v>-73136</v>
      </c>
      <c r="U59" s="36">
        <v>-109309</v>
      </c>
    </row>
    <row r="60" spans="1:21" ht="15" x14ac:dyDescent="0.25">
      <c r="A60" s="1019" t="s">
        <v>2592</v>
      </c>
      <c r="B60" s="1178">
        <v>3.5228E-3</v>
      </c>
      <c r="C60" s="1178">
        <v>3.4169000000000001E-3</v>
      </c>
      <c r="D60" s="36">
        <v>-58348</v>
      </c>
      <c r="E60" s="1007"/>
      <c r="F60" s="36">
        <v>514</v>
      </c>
      <c r="G60" s="36">
        <v>9300</v>
      </c>
      <c r="H60" s="36">
        <v>2744</v>
      </c>
      <c r="I60" s="36">
        <v>1237</v>
      </c>
      <c r="J60" s="1007"/>
      <c r="K60" s="36">
        <v>2663</v>
      </c>
      <c r="L60" s="36"/>
      <c r="M60" s="36">
        <v>0</v>
      </c>
      <c r="N60" s="36">
        <v>1864</v>
      </c>
      <c r="O60" s="1007"/>
      <c r="P60" s="36">
        <v>10998</v>
      </c>
      <c r="Q60" s="36">
        <v>-33</v>
      </c>
      <c r="R60" s="36">
        <v>10965</v>
      </c>
      <c r="S60" s="36"/>
      <c r="T60" s="36">
        <v>-46004</v>
      </c>
      <c r="U60" s="36">
        <v>-68758</v>
      </c>
    </row>
    <row r="61" spans="1:21" ht="15" x14ac:dyDescent="0.25">
      <c r="A61" s="1019" t="s">
        <v>2593</v>
      </c>
      <c r="B61" s="1178">
        <v>9.5402000000000004E-3</v>
      </c>
      <c r="C61" s="1178">
        <v>9.2902000000000002E-3</v>
      </c>
      <c r="D61" s="36">
        <v>-158014</v>
      </c>
      <c r="E61" s="1007"/>
      <c r="F61" s="36">
        <v>1393</v>
      </c>
      <c r="G61" s="36">
        <v>25186</v>
      </c>
      <c r="H61" s="36">
        <v>7432</v>
      </c>
      <c r="I61" s="36">
        <v>0</v>
      </c>
      <c r="J61" s="1007"/>
      <c r="K61" s="36">
        <v>7212</v>
      </c>
      <c r="L61" s="36"/>
      <c r="M61" s="36">
        <v>0</v>
      </c>
      <c r="N61" s="36">
        <v>7628</v>
      </c>
      <c r="O61" s="1007"/>
      <c r="P61" s="36">
        <v>29785</v>
      </c>
      <c r="Q61" s="36">
        <v>-8730</v>
      </c>
      <c r="R61" s="36">
        <v>21055</v>
      </c>
      <c r="S61" s="36"/>
      <c r="T61" s="36">
        <v>-124585</v>
      </c>
      <c r="U61" s="36">
        <v>-186206</v>
      </c>
    </row>
    <row r="62" spans="1:21" ht="15" x14ac:dyDescent="0.25">
      <c r="A62" s="1019" t="s">
        <v>2594</v>
      </c>
      <c r="B62" s="1178">
        <v>4.3553999999999997E-3</v>
      </c>
      <c r="C62" s="1178">
        <v>4.2596999999999999E-3</v>
      </c>
      <c r="D62" s="36">
        <v>-72138</v>
      </c>
      <c r="E62" s="1007"/>
      <c r="F62" s="36">
        <v>636</v>
      </c>
      <c r="G62" s="36">
        <v>11498</v>
      </c>
      <c r="H62" s="36">
        <v>3393</v>
      </c>
      <c r="I62" s="36">
        <v>295</v>
      </c>
      <c r="J62" s="1007"/>
      <c r="K62" s="36">
        <v>3293</v>
      </c>
      <c r="L62" s="36"/>
      <c r="M62" s="36">
        <v>0</v>
      </c>
      <c r="N62" s="36">
        <v>1530</v>
      </c>
      <c r="O62" s="1007"/>
      <c r="P62" s="36">
        <v>13598</v>
      </c>
      <c r="Q62" s="36">
        <v>-1325</v>
      </c>
      <c r="R62" s="36">
        <v>12273</v>
      </c>
      <c r="S62" s="36"/>
      <c r="T62" s="36">
        <v>-56877</v>
      </c>
      <c r="U62" s="36">
        <v>-85009</v>
      </c>
    </row>
    <row r="63" spans="1:21" ht="15" x14ac:dyDescent="0.25">
      <c r="A63" s="1019" t="s">
        <v>2595</v>
      </c>
      <c r="B63" s="1178">
        <v>5.5142000000000004E-3</v>
      </c>
      <c r="C63" s="1178">
        <v>5.3855999999999999E-3</v>
      </c>
      <c r="D63" s="36">
        <v>-91332</v>
      </c>
      <c r="E63" s="1007"/>
      <c r="F63" s="36">
        <v>805</v>
      </c>
      <c r="G63" s="36">
        <v>14557</v>
      </c>
      <c r="H63" s="36">
        <v>4296</v>
      </c>
      <c r="I63" s="36">
        <v>0</v>
      </c>
      <c r="J63" s="1007"/>
      <c r="K63" s="36">
        <v>4169</v>
      </c>
      <c r="L63" s="36"/>
      <c r="M63" s="36">
        <v>0</v>
      </c>
      <c r="N63" s="36">
        <v>4285</v>
      </c>
      <c r="O63" s="1007"/>
      <c r="P63" s="36">
        <v>17215</v>
      </c>
      <c r="Q63" s="36">
        <v>-4856</v>
      </c>
      <c r="R63" s="36">
        <v>12359</v>
      </c>
      <c r="S63" s="36"/>
      <c r="T63" s="36">
        <v>-72010</v>
      </c>
      <c r="U63" s="36">
        <v>-107626</v>
      </c>
    </row>
    <row r="64" spans="1:21" ht="15" x14ac:dyDescent="0.25">
      <c r="A64" s="1019" t="s">
        <v>2596</v>
      </c>
      <c r="B64" s="1178">
        <v>1.6861999999999999E-3</v>
      </c>
      <c r="C64" s="1178">
        <v>1.7650999999999999E-3</v>
      </c>
      <c r="D64" s="36">
        <v>-27929</v>
      </c>
      <c r="E64" s="1007"/>
      <c r="F64" s="36">
        <v>246</v>
      </c>
      <c r="G64" s="36">
        <v>4452</v>
      </c>
      <c r="H64" s="36">
        <v>1314</v>
      </c>
      <c r="I64" s="36">
        <v>1815</v>
      </c>
      <c r="J64" s="1007"/>
      <c r="K64" s="36">
        <v>1275</v>
      </c>
      <c r="L64" s="36"/>
      <c r="M64" s="36">
        <v>0</v>
      </c>
      <c r="N64" s="36">
        <v>16</v>
      </c>
      <c r="O64" s="1007"/>
      <c r="P64" s="36">
        <v>5264</v>
      </c>
      <c r="Q64" s="36">
        <v>1251</v>
      </c>
      <c r="R64" s="36">
        <v>6515</v>
      </c>
      <c r="S64" s="36"/>
      <c r="T64" s="36">
        <v>-22020</v>
      </c>
      <c r="U64" s="36">
        <v>-32911</v>
      </c>
    </row>
    <row r="65" spans="1:21" ht="15" x14ac:dyDescent="0.25">
      <c r="A65" s="1019" t="s">
        <v>2597</v>
      </c>
      <c r="B65" s="1178">
        <v>3.6643000000000001E-3</v>
      </c>
      <c r="C65" s="1178">
        <v>4.065E-3</v>
      </c>
      <c r="D65" s="36">
        <v>-60692</v>
      </c>
      <c r="E65" s="1007"/>
      <c r="F65" s="36">
        <v>535</v>
      </c>
      <c r="G65" s="36">
        <v>9674</v>
      </c>
      <c r="H65" s="36">
        <v>2854</v>
      </c>
      <c r="I65" s="36">
        <v>5779</v>
      </c>
      <c r="J65" s="1007"/>
      <c r="K65" s="36">
        <v>2770</v>
      </c>
      <c r="L65" s="36"/>
      <c r="M65" s="36">
        <v>0</v>
      </c>
      <c r="N65" s="36">
        <v>1005</v>
      </c>
      <c r="O65" s="1007"/>
      <c r="P65" s="36">
        <v>11440</v>
      </c>
      <c r="Q65" s="36">
        <v>1012</v>
      </c>
      <c r="R65" s="36">
        <v>12452</v>
      </c>
      <c r="S65" s="36"/>
      <c r="T65" s="36">
        <v>-47852</v>
      </c>
      <c r="U65" s="36">
        <v>-71520</v>
      </c>
    </row>
    <row r="66" spans="1:21" ht="15" x14ac:dyDescent="0.25">
      <c r="A66" s="1019" t="s">
        <v>2598</v>
      </c>
      <c r="B66" s="1178">
        <v>7.6944100000000001E-2</v>
      </c>
      <c r="C66" s="1178">
        <v>8.22431E-2</v>
      </c>
      <c r="D66" s="36">
        <v>-1274425</v>
      </c>
      <c r="E66" s="1007"/>
      <c r="F66" s="36">
        <v>11234</v>
      </c>
      <c r="G66" s="36">
        <v>203132</v>
      </c>
      <c r="H66" s="36">
        <v>59939</v>
      </c>
      <c r="I66" s="36">
        <v>99039</v>
      </c>
      <c r="J66" s="1007"/>
      <c r="K66" s="36">
        <v>58170</v>
      </c>
      <c r="L66" s="36"/>
      <c r="M66" s="36">
        <v>0</v>
      </c>
      <c r="N66" s="36">
        <v>18876</v>
      </c>
      <c r="O66" s="1007"/>
      <c r="P66" s="36">
        <v>240219</v>
      </c>
      <c r="Q66" s="36">
        <v>78753</v>
      </c>
      <c r="R66" s="36">
        <v>318972</v>
      </c>
      <c r="S66" s="36"/>
      <c r="T66" s="36">
        <v>-1004813</v>
      </c>
      <c r="U66" s="36">
        <v>-1501795</v>
      </c>
    </row>
    <row r="67" spans="1:21" ht="15" x14ac:dyDescent="0.25">
      <c r="A67" s="1019" t="s">
        <v>2599</v>
      </c>
      <c r="B67" s="1178">
        <v>1.5459E-3</v>
      </c>
      <c r="C67" s="1178">
        <v>1.4748999999999999E-3</v>
      </c>
      <c r="D67" s="36">
        <v>-25605</v>
      </c>
      <c r="E67" s="1007"/>
      <c r="F67" s="36">
        <v>226</v>
      </c>
      <c r="G67" s="36">
        <v>4081</v>
      </c>
      <c r="H67" s="36">
        <v>1204</v>
      </c>
      <c r="I67" s="36">
        <v>809</v>
      </c>
      <c r="J67" s="1007"/>
      <c r="K67" s="36">
        <v>1169</v>
      </c>
      <c r="L67" s="36"/>
      <c r="M67" s="36">
        <v>0</v>
      </c>
      <c r="N67" s="36">
        <v>1031</v>
      </c>
      <c r="O67" s="1007"/>
      <c r="P67" s="36">
        <v>4826</v>
      </c>
      <c r="Q67" s="36">
        <v>380</v>
      </c>
      <c r="R67" s="36">
        <v>5206</v>
      </c>
      <c r="S67" s="36"/>
      <c r="T67" s="36">
        <v>-20188</v>
      </c>
      <c r="U67" s="36">
        <v>-30173</v>
      </c>
    </row>
    <row r="68" spans="1:21" ht="15" x14ac:dyDescent="0.25">
      <c r="A68" s="1019" t="s">
        <v>2600</v>
      </c>
      <c r="B68" s="1178">
        <v>2.5293999999999998E-3</v>
      </c>
      <c r="C68" s="1178">
        <v>2.4242999999999999E-3</v>
      </c>
      <c r="D68" s="36">
        <v>-41894</v>
      </c>
      <c r="E68" s="1007"/>
      <c r="F68" s="36">
        <v>369</v>
      </c>
      <c r="G68" s="36">
        <v>6678</v>
      </c>
      <c r="H68" s="36">
        <v>1970</v>
      </c>
      <c r="I68" s="36">
        <v>482</v>
      </c>
      <c r="J68" s="1007"/>
      <c r="K68" s="36">
        <v>1912</v>
      </c>
      <c r="L68" s="36"/>
      <c r="M68" s="36">
        <v>0</v>
      </c>
      <c r="N68" s="36">
        <v>1516</v>
      </c>
      <c r="O68" s="1007"/>
      <c r="P68" s="36">
        <v>7897</v>
      </c>
      <c r="Q68" s="36">
        <v>-312</v>
      </c>
      <c r="R68" s="36">
        <v>7585</v>
      </c>
      <c r="S68" s="36"/>
      <c r="T68" s="36">
        <v>-33031</v>
      </c>
      <c r="U68" s="36">
        <v>-49369</v>
      </c>
    </row>
    <row r="69" spans="1:21" ht="15" x14ac:dyDescent="0.25">
      <c r="A69" s="1019" t="s">
        <v>2601</v>
      </c>
      <c r="B69" s="1178">
        <v>1.29754E-2</v>
      </c>
      <c r="C69" s="1178">
        <v>6.9439999999999997E-3</v>
      </c>
      <c r="D69" s="36">
        <v>-214912</v>
      </c>
      <c r="E69" s="1007"/>
      <c r="F69" s="36">
        <v>1894</v>
      </c>
      <c r="G69" s="36">
        <v>34255</v>
      </c>
      <c r="H69" s="36">
        <v>10108</v>
      </c>
      <c r="I69" s="36">
        <v>125506</v>
      </c>
      <c r="J69" s="1007"/>
      <c r="K69" s="36">
        <v>9809</v>
      </c>
      <c r="L69" s="36"/>
      <c r="M69" s="36">
        <v>0</v>
      </c>
      <c r="N69" s="36">
        <v>113369</v>
      </c>
      <c r="O69" s="1007"/>
      <c r="P69" s="36">
        <v>40509</v>
      </c>
      <c r="Q69" s="36">
        <v>10269</v>
      </c>
      <c r="R69" s="36">
        <v>50778</v>
      </c>
      <c r="S69" s="36"/>
      <c r="T69" s="36">
        <v>-169446</v>
      </c>
      <c r="U69" s="36">
        <v>-253254</v>
      </c>
    </row>
    <row r="70" spans="1:21" ht="15" x14ac:dyDescent="0.25">
      <c r="A70" s="1019" t="s">
        <v>2602</v>
      </c>
      <c r="B70" s="1178">
        <v>8.5197999999999992E-3</v>
      </c>
      <c r="C70" s="1178">
        <v>8.3329000000000007E-3</v>
      </c>
      <c r="D70" s="36">
        <v>-141113</v>
      </c>
      <c r="E70" s="1007"/>
      <c r="F70" s="36">
        <v>1244</v>
      </c>
      <c r="G70" s="36">
        <v>22492</v>
      </c>
      <c r="H70" s="36">
        <v>6637</v>
      </c>
      <c r="I70" s="36">
        <v>70</v>
      </c>
      <c r="J70" s="1007"/>
      <c r="K70" s="36">
        <v>6441</v>
      </c>
      <c r="L70" s="36"/>
      <c r="M70" s="36">
        <v>0</v>
      </c>
      <c r="N70" s="36">
        <v>2771</v>
      </c>
      <c r="O70" s="1007"/>
      <c r="P70" s="36">
        <v>26599</v>
      </c>
      <c r="Q70" s="36">
        <v>-1146</v>
      </c>
      <c r="R70" s="36">
        <v>25453</v>
      </c>
      <c r="S70" s="36"/>
      <c r="T70" s="36">
        <v>-111260</v>
      </c>
      <c r="U70" s="36">
        <v>-166289</v>
      </c>
    </row>
    <row r="71" spans="1:21" ht="15" x14ac:dyDescent="0.25">
      <c r="A71" s="1019" t="s">
        <v>2603</v>
      </c>
      <c r="B71" s="1178">
        <v>2.6295800000000001E-2</v>
      </c>
      <c r="C71" s="1178">
        <v>2.74573E-2</v>
      </c>
      <c r="D71" s="36">
        <v>-435537</v>
      </c>
      <c r="E71" s="1007"/>
      <c r="F71" s="36">
        <v>3839</v>
      </c>
      <c r="G71" s="36">
        <v>69421</v>
      </c>
      <c r="H71" s="36">
        <v>20484</v>
      </c>
      <c r="I71" s="36">
        <v>16882</v>
      </c>
      <c r="J71" s="1007"/>
      <c r="K71" s="36">
        <v>19880</v>
      </c>
      <c r="L71" s="36"/>
      <c r="M71" s="36">
        <v>0</v>
      </c>
      <c r="N71" s="36">
        <v>3897</v>
      </c>
      <c r="O71" s="1007"/>
      <c r="P71" s="36">
        <v>82095</v>
      </c>
      <c r="Q71" s="36">
        <v>-3491</v>
      </c>
      <c r="R71" s="36">
        <v>78604</v>
      </c>
      <c r="S71" s="36"/>
      <c r="T71" s="36">
        <v>-343397</v>
      </c>
      <c r="U71" s="36">
        <v>-513241</v>
      </c>
    </row>
    <row r="72" spans="1:21" ht="15" x14ac:dyDescent="0.25">
      <c r="A72" s="1019" t="s">
        <v>2604</v>
      </c>
      <c r="B72" s="1178">
        <v>1.4216999999999999E-3</v>
      </c>
      <c r="C72" s="1178">
        <v>1.5912999999999999E-3</v>
      </c>
      <c r="D72" s="36">
        <v>-23548</v>
      </c>
      <c r="E72" s="1007"/>
      <c r="F72" s="36">
        <v>208</v>
      </c>
      <c r="G72" s="36">
        <v>3753</v>
      </c>
      <c r="H72" s="36">
        <v>1108</v>
      </c>
      <c r="I72" s="36">
        <v>3939</v>
      </c>
      <c r="J72" s="1007"/>
      <c r="K72" s="36">
        <v>1075</v>
      </c>
      <c r="L72" s="36"/>
      <c r="M72" s="36">
        <v>0</v>
      </c>
      <c r="N72" s="36">
        <v>205</v>
      </c>
      <c r="O72" s="1007"/>
      <c r="P72" s="36">
        <v>4439</v>
      </c>
      <c r="Q72" s="36">
        <v>2096</v>
      </c>
      <c r="R72" s="36">
        <v>6535</v>
      </c>
      <c r="S72" s="36"/>
      <c r="T72" s="36">
        <v>-18566</v>
      </c>
      <c r="U72" s="36">
        <v>-27749</v>
      </c>
    </row>
    <row r="73" spans="1:21" ht="15" x14ac:dyDescent="0.25">
      <c r="A73" s="1019" t="s">
        <v>2605</v>
      </c>
      <c r="B73" s="1178">
        <v>2.2576100000000002E-2</v>
      </c>
      <c r="C73" s="1178">
        <v>2.2098099999999999E-2</v>
      </c>
      <c r="D73" s="36">
        <v>-373928</v>
      </c>
      <c r="E73" s="1007"/>
      <c r="F73" s="36">
        <v>3296</v>
      </c>
      <c r="G73" s="36">
        <v>59601</v>
      </c>
      <c r="H73" s="36">
        <v>17587</v>
      </c>
      <c r="I73" s="36">
        <v>2569</v>
      </c>
      <c r="J73" s="1007"/>
      <c r="K73" s="36">
        <v>17068</v>
      </c>
      <c r="L73" s="36"/>
      <c r="M73" s="36">
        <v>0</v>
      </c>
      <c r="N73" s="36">
        <v>6895</v>
      </c>
      <c r="O73" s="1007"/>
      <c r="P73" s="36">
        <v>70483</v>
      </c>
      <c r="Q73" s="36">
        <v>1816</v>
      </c>
      <c r="R73" s="36">
        <v>72299</v>
      </c>
      <c r="S73" s="36"/>
      <c r="T73" s="36">
        <v>-294821</v>
      </c>
      <c r="U73" s="36">
        <v>-440640</v>
      </c>
    </row>
    <row r="74" spans="1:21" ht="15" x14ac:dyDescent="0.25">
      <c r="A74" s="1019" t="s">
        <v>2606</v>
      </c>
      <c r="B74" s="1178">
        <v>1.1271E-2</v>
      </c>
      <c r="C74" s="1178">
        <v>1.12581E-2</v>
      </c>
      <c r="D74" s="36">
        <v>-186682</v>
      </c>
      <c r="E74" s="1007"/>
      <c r="F74" s="36">
        <v>1646</v>
      </c>
      <c r="G74" s="36">
        <v>29755</v>
      </c>
      <c r="H74" s="36">
        <v>8780</v>
      </c>
      <c r="I74" s="36">
        <v>2135</v>
      </c>
      <c r="J74" s="1007"/>
      <c r="K74" s="36">
        <v>8521</v>
      </c>
      <c r="L74" s="36"/>
      <c r="M74" s="36">
        <v>0</v>
      </c>
      <c r="N74" s="36">
        <v>1770</v>
      </c>
      <c r="O74" s="1007"/>
      <c r="P74" s="36">
        <v>35188</v>
      </c>
      <c r="Q74" s="36">
        <v>-2766</v>
      </c>
      <c r="R74" s="36">
        <v>32422</v>
      </c>
      <c r="S74" s="36"/>
      <c r="T74" s="36">
        <v>-147188</v>
      </c>
      <c r="U74" s="36">
        <v>-219987</v>
      </c>
    </row>
    <row r="75" spans="1:21" ht="15" x14ac:dyDescent="0.25">
      <c r="A75" s="1019" t="s">
        <v>2607</v>
      </c>
      <c r="B75" s="1178">
        <v>1.3504999999999999E-3</v>
      </c>
      <c r="C75" s="1178">
        <v>1.4119E-3</v>
      </c>
      <c r="D75" s="36">
        <v>-22368</v>
      </c>
      <c r="E75" s="1007"/>
      <c r="F75" s="36">
        <v>197</v>
      </c>
      <c r="G75" s="36">
        <v>3565</v>
      </c>
      <c r="H75" s="36">
        <v>1052</v>
      </c>
      <c r="I75" s="36">
        <v>2094</v>
      </c>
      <c r="J75" s="1007"/>
      <c r="K75" s="36">
        <v>1021</v>
      </c>
      <c r="L75" s="36"/>
      <c r="M75" s="36">
        <v>0</v>
      </c>
      <c r="N75" s="36">
        <v>454</v>
      </c>
      <c r="O75" s="1007"/>
      <c r="P75" s="36">
        <v>4216</v>
      </c>
      <c r="Q75" s="36">
        <v>546</v>
      </c>
      <c r="R75" s="36">
        <v>4762</v>
      </c>
      <c r="S75" s="36"/>
      <c r="T75" s="36">
        <v>-17636</v>
      </c>
      <c r="U75" s="36">
        <v>-26359</v>
      </c>
    </row>
    <row r="76" spans="1:21" ht="15" x14ac:dyDescent="0.25">
      <c r="A76" s="1019" t="s">
        <v>2608</v>
      </c>
      <c r="B76" s="1178">
        <v>4.0229999999999997E-3</v>
      </c>
      <c r="C76" s="1178">
        <v>4.0241000000000001E-3</v>
      </c>
      <c r="D76" s="36">
        <v>-66633</v>
      </c>
      <c r="E76" s="1007"/>
      <c r="F76" s="36">
        <v>587</v>
      </c>
      <c r="G76" s="36">
        <v>10621</v>
      </c>
      <c r="H76" s="36">
        <v>3134</v>
      </c>
      <c r="I76" s="36">
        <v>1688</v>
      </c>
      <c r="J76" s="1007"/>
      <c r="K76" s="36">
        <v>3041</v>
      </c>
      <c r="L76" s="36"/>
      <c r="M76" s="36">
        <v>0</v>
      </c>
      <c r="N76" s="36">
        <v>312</v>
      </c>
      <c r="O76" s="1007"/>
      <c r="P76" s="36">
        <v>12560</v>
      </c>
      <c r="Q76" s="36">
        <v>994</v>
      </c>
      <c r="R76" s="36">
        <v>13554</v>
      </c>
      <c r="S76" s="36"/>
      <c r="T76" s="36">
        <v>-52536</v>
      </c>
      <c r="U76" s="36">
        <v>-78521</v>
      </c>
    </row>
    <row r="77" spans="1:21" ht="15" x14ac:dyDescent="0.25">
      <c r="A77" s="1019" t="s">
        <v>2609</v>
      </c>
      <c r="B77" s="1178">
        <v>7.2078999999999997E-3</v>
      </c>
      <c r="C77" s="1178">
        <v>7.4469999999999996E-3</v>
      </c>
      <c r="D77" s="36">
        <v>-119384</v>
      </c>
      <c r="E77" s="1007"/>
      <c r="F77" s="36">
        <v>1052</v>
      </c>
      <c r="G77" s="36">
        <v>19029</v>
      </c>
      <c r="H77" s="36">
        <v>5615</v>
      </c>
      <c r="I77" s="36">
        <v>3449</v>
      </c>
      <c r="J77" s="1007"/>
      <c r="K77" s="36">
        <v>5449</v>
      </c>
      <c r="L77" s="36"/>
      <c r="M77" s="36">
        <v>0</v>
      </c>
      <c r="N77" s="36">
        <v>2018</v>
      </c>
      <c r="O77" s="1007"/>
      <c r="P77" s="36">
        <v>22503</v>
      </c>
      <c r="Q77" s="36">
        <v>-1672</v>
      </c>
      <c r="R77" s="36">
        <v>20831</v>
      </c>
      <c r="S77" s="36"/>
      <c r="T77" s="36">
        <v>-94128</v>
      </c>
      <c r="U77" s="36">
        <v>-140684</v>
      </c>
    </row>
    <row r="78" spans="1:21" ht="15" x14ac:dyDescent="0.25">
      <c r="A78" s="1019" t="s">
        <v>2610</v>
      </c>
      <c r="B78" s="1178">
        <v>1.3741000000000001E-3</v>
      </c>
      <c r="C78" s="1178">
        <v>1.2819000000000001E-3</v>
      </c>
      <c r="D78" s="36">
        <v>-22759</v>
      </c>
      <c r="E78" s="1007"/>
      <c r="F78" s="36">
        <v>201</v>
      </c>
      <c r="G78" s="36">
        <v>3628</v>
      </c>
      <c r="H78" s="36">
        <v>1070</v>
      </c>
      <c r="I78" s="36">
        <v>1115</v>
      </c>
      <c r="J78" s="1007"/>
      <c r="K78" s="36">
        <v>1039</v>
      </c>
      <c r="L78" s="36"/>
      <c r="M78" s="36">
        <v>0</v>
      </c>
      <c r="N78" s="36">
        <v>1547</v>
      </c>
      <c r="O78" s="1007"/>
      <c r="P78" s="36">
        <v>4290</v>
      </c>
      <c r="Q78" s="36">
        <v>-74</v>
      </c>
      <c r="R78" s="36">
        <v>4216</v>
      </c>
      <c r="S78" s="36"/>
      <c r="T78" s="36">
        <v>-17944</v>
      </c>
      <c r="U78" s="36">
        <v>-26820</v>
      </c>
    </row>
    <row r="79" spans="1:21" ht="15" x14ac:dyDescent="0.25">
      <c r="A79" s="1019" t="s">
        <v>2611</v>
      </c>
      <c r="B79" s="1178">
        <v>3.4971999999999998E-3</v>
      </c>
      <c r="C79" s="1178">
        <v>3.4467E-3</v>
      </c>
      <c r="D79" s="36">
        <v>-57924</v>
      </c>
      <c r="E79" s="1007"/>
      <c r="F79" s="36">
        <v>511</v>
      </c>
      <c r="G79" s="36">
        <v>9233</v>
      </c>
      <c r="H79" s="36">
        <v>2724</v>
      </c>
      <c r="I79" s="36">
        <v>601</v>
      </c>
      <c r="J79" s="1007"/>
      <c r="K79" s="36">
        <v>2644</v>
      </c>
      <c r="L79" s="36"/>
      <c r="M79" s="36">
        <v>0</v>
      </c>
      <c r="N79" s="36">
        <v>729</v>
      </c>
      <c r="O79" s="1007"/>
      <c r="P79" s="36">
        <v>10918</v>
      </c>
      <c r="Q79" s="36">
        <v>650</v>
      </c>
      <c r="R79" s="36">
        <v>11568</v>
      </c>
      <c r="S79" s="36"/>
      <c r="T79" s="36">
        <v>-45670</v>
      </c>
      <c r="U79" s="36">
        <v>-68258</v>
      </c>
    </row>
    <row r="80" spans="1:21" ht="15" x14ac:dyDescent="0.25">
      <c r="A80" s="1019" t="s">
        <v>2612</v>
      </c>
      <c r="B80" s="1178">
        <v>1.43987E-2</v>
      </c>
      <c r="C80" s="1178">
        <v>1.4525700000000001E-2</v>
      </c>
      <c r="D80" s="36">
        <v>-238486</v>
      </c>
      <c r="E80" s="1007"/>
      <c r="F80" s="36">
        <v>2102</v>
      </c>
      <c r="G80" s="36">
        <v>38013</v>
      </c>
      <c r="H80" s="36">
        <v>11217</v>
      </c>
      <c r="I80" s="36">
        <v>2805</v>
      </c>
      <c r="J80" s="1007"/>
      <c r="K80" s="36">
        <v>10885</v>
      </c>
      <c r="L80" s="36"/>
      <c r="M80" s="36">
        <v>0</v>
      </c>
      <c r="N80" s="36">
        <v>2402</v>
      </c>
      <c r="O80" s="1007"/>
      <c r="P80" s="36">
        <v>44953</v>
      </c>
      <c r="Q80" s="36">
        <v>1419</v>
      </c>
      <c r="R80" s="36">
        <v>46372</v>
      </c>
      <c r="S80" s="36"/>
      <c r="T80" s="36">
        <v>-188033</v>
      </c>
      <c r="U80" s="36">
        <v>-281034</v>
      </c>
    </row>
    <row r="81" spans="1:21" ht="15" x14ac:dyDescent="0.25">
      <c r="A81" s="1019" t="s">
        <v>2613</v>
      </c>
      <c r="B81" s="1178">
        <v>2.7234E-3</v>
      </c>
      <c r="C81" s="1178">
        <v>2.3395999999999998E-3</v>
      </c>
      <c r="D81" s="36">
        <v>-45108</v>
      </c>
      <c r="E81" s="1007"/>
      <c r="F81" s="36">
        <v>398</v>
      </c>
      <c r="G81" s="36">
        <v>7190</v>
      </c>
      <c r="H81" s="36">
        <v>2122</v>
      </c>
      <c r="I81" s="36">
        <v>370</v>
      </c>
      <c r="J81" s="1007"/>
      <c r="K81" s="36">
        <v>2059</v>
      </c>
      <c r="L81" s="36"/>
      <c r="M81" s="36">
        <v>0</v>
      </c>
      <c r="N81" s="36">
        <v>6117</v>
      </c>
      <c r="O81" s="1007"/>
      <c r="P81" s="36">
        <v>8502</v>
      </c>
      <c r="Q81" s="36">
        <v>-2628</v>
      </c>
      <c r="R81" s="36">
        <v>5874</v>
      </c>
      <c r="S81" s="36"/>
      <c r="T81" s="36">
        <v>-35565</v>
      </c>
      <c r="U81" s="36">
        <v>-53155</v>
      </c>
    </row>
    <row r="82" spans="1:21" ht="15" x14ac:dyDescent="0.25">
      <c r="A82" s="1019" t="s">
        <v>2614</v>
      </c>
      <c r="B82" s="1178">
        <v>1.17597E-2</v>
      </c>
      <c r="C82" s="1178">
        <v>1.20278E-2</v>
      </c>
      <c r="D82" s="36">
        <v>-194776</v>
      </c>
      <c r="E82" s="1007"/>
      <c r="F82" s="36">
        <v>1717</v>
      </c>
      <c r="G82" s="36">
        <v>31046</v>
      </c>
      <c r="H82" s="36">
        <v>9161</v>
      </c>
      <c r="I82" s="36">
        <v>7439</v>
      </c>
      <c r="J82" s="1007"/>
      <c r="K82" s="36">
        <v>8890</v>
      </c>
      <c r="L82" s="36"/>
      <c r="M82" s="36">
        <v>0</v>
      </c>
      <c r="N82" s="36">
        <v>1308</v>
      </c>
      <c r="O82" s="1007"/>
      <c r="P82" s="36">
        <v>36714</v>
      </c>
      <c r="Q82" s="36">
        <v>8249</v>
      </c>
      <c r="R82" s="36">
        <v>44963</v>
      </c>
      <c r="S82" s="36"/>
      <c r="T82" s="36">
        <v>-153570</v>
      </c>
      <c r="U82" s="36">
        <v>-229526</v>
      </c>
    </row>
    <row r="83" spans="1:21" ht="15" x14ac:dyDescent="0.25">
      <c r="A83" s="1019" t="s">
        <v>2615</v>
      </c>
      <c r="B83" s="1178">
        <v>3.0539E-3</v>
      </c>
      <c r="C83" s="1178">
        <v>2.7853999999999999E-3</v>
      </c>
      <c r="D83" s="36">
        <v>-50582</v>
      </c>
      <c r="E83" s="1007"/>
      <c r="F83" s="36">
        <v>446</v>
      </c>
      <c r="G83" s="36">
        <v>8062</v>
      </c>
      <c r="H83" s="36">
        <v>2379</v>
      </c>
      <c r="I83" s="36">
        <v>1328</v>
      </c>
      <c r="J83" s="1007"/>
      <c r="K83" s="36">
        <v>2309</v>
      </c>
      <c r="L83" s="36"/>
      <c r="M83" s="36">
        <v>0</v>
      </c>
      <c r="N83" s="36">
        <v>4039</v>
      </c>
      <c r="O83" s="1007"/>
      <c r="P83" s="36">
        <v>9534</v>
      </c>
      <c r="Q83" s="36">
        <v>-1186</v>
      </c>
      <c r="R83" s="36">
        <v>8348</v>
      </c>
      <c r="S83" s="36"/>
      <c r="T83" s="36">
        <v>-39881</v>
      </c>
      <c r="U83" s="36">
        <v>-59606</v>
      </c>
    </row>
    <row r="84" spans="1:21" ht="15" x14ac:dyDescent="0.25">
      <c r="A84" s="1019" t="s">
        <v>2616</v>
      </c>
      <c r="B84" s="1178">
        <v>8.0315000000000004E-3</v>
      </c>
      <c r="C84" s="1178">
        <v>7.8741000000000002E-3</v>
      </c>
      <c r="D84" s="36">
        <v>-133026</v>
      </c>
      <c r="E84" s="1007"/>
      <c r="F84" s="36">
        <v>1173</v>
      </c>
      <c r="G84" s="36">
        <v>21203</v>
      </c>
      <c r="H84" s="36">
        <v>6257</v>
      </c>
      <c r="I84" s="36">
        <v>4622</v>
      </c>
      <c r="J84" s="1007"/>
      <c r="K84" s="36">
        <v>6072</v>
      </c>
      <c r="L84" s="36"/>
      <c r="M84" s="36">
        <v>0</v>
      </c>
      <c r="N84" s="36">
        <v>4037</v>
      </c>
      <c r="O84" s="1007"/>
      <c r="P84" s="36">
        <v>25074</v>
      </c>
      <c r="Q84" s="36">
        <v>-1061</v>
      </c>
      <c r="R84" s="36">
        <v>24013</v>
      </c>
      <c r="S84" s="36"/>
      <c r="T84" s="36">
        <v>-104883</v>
      </c>
      <c r="U84" s="36">
        <v>-156759</v>
      </c>
    </row>
    <row r="85" spans="1:21" ht="15" x14ac:dyDescent="0.25">
      <c r="A85" s="1019" t="s">
        <v>2617</v>
      </c>
      <c r="B85" s="1178">
        <v>8.4376999999999994E-3</v>
      </c>
      <c r="C85" s="1178">
        <v>8.0756999999999999E-3</v>
      </c>
      <c r="D85" s="36">
        <v>-139754</v>
      </c>
      <c r="E85" s="1007"/>
      <c r="F85" s="36">
        <v>1232</v>
      </c>
      <c r="G85" s="36">
        <v>22276</v>
      </c>
      <c r="H85" s="36">
        <v>6573</v>
      </c>
      <c r="I85" s="36">
        <v>455</v>
      </c>
      <c r="J85" s="1007"/>
      <c r="K85" s="36">
        <v>6379</v>
      </c>
      <c r="L85" s="36"/>
      <c r="M85" s="36">
        <v>0</v>
      </c>
      <c r="N85" s="36">
        <v>5922</v>
      </c>
      <c r="O85" s="1007"/>
      <c r="P85" s="36">
        <v>26342</v>
      </c>
      <c r="Q85" s="36">
        <v>-2211</v>
      </c>
      <c r="R85" s="36">
        <v>24131</v>
      </c>
      <c r="S85" s="36"/>
      <c r="T85" s="36">
        <v>-110188</v>
      </c>
      <c r="U85" s="36">
        <v>-164687</v>
      </c>
    </row>
    <row r="86" spans="1:21" ht="15" x14ac:dyDescent="0.25">
      <c r="A86" s="1019" t="s">
        <v>2618</v>
      </c>
      <c r="B86" s="1178">
        <v>1.3658699999999999E-2</v>
      </c>
      <c r="C86" s="1178">
        <v>1.3247699999999999E-2</v>
      </c>
      <c r="D86" s="36">
        <v>-226229</v>
      </c>
      <c r="E86" s="1007"/>
      <c r="F86" s="36">
        <v>1994</v>
      </c>
      <c r="G86" s="36">
        <v>36059</v>
      </c>
      <c r="H86" s="36">
        <v>10640</v>
      </c>
      <c r="I86" s="36">
        <v>0</v>
      </c>
      <c r="J86" s="1007"/>
      <c r="K86" s="36">
        <v>10326</v>
      </c>
      <c r="L86" s="36"/>
      <c r="M86" s="36">
        <v>0</v>
      </c>
      <c r="N86" s="36">
        <v>9253</v>
      </c>
      <c r="O86" s="1007"/>
      <c r="P86" s="36">
        <v>42642</v>
      </c>
      <c r="Q86" s="36">
        <v>-7706</v>
      </c>
      <c r="R86" s="36">
        <v>34936</v>
      </c>
      <c r="S86" s="36"/>
      <c r="T86" s="36">
        <v>-178369</v>
      </c>
      <c r="U86" s="36">
        <v>-266591</v>
      </c>
    </row>
    <row r="87" spans="1:21" ht="15" x14ac:dyDescent="0.25">
      <c r="A87" s="1019" t="s">
        <v>2619</v>
      </c>
      <c r="B87" s="1178">
        <v>6.7662E-3</v>
      </c>
      <c r="C87" s="1178">
        <v>6.8475000000000003E-3</v>
      </c>
      <c r="D87" s="36">
        <v>-112069</v>
      </c>
      <c r="E87" s="1007"/>
      <c r="F87" s="36">
        <v>988</v>
      </c>
      <c r="G87" s="36">
        <v>17863</v>
      </c>
      <c r="H87" s="36">
        <v>5271</v>
      </c>
      <c r="I87" s="36">
        <v>1173</v>
      </c>
      <c r="J87" s="1007"/>
      <c r="K87" s="36">
        <v>5115</v>
      </c>
      <c r="L87" s="36"/>
      <c r="M87" s="36">
        <v>0</v>
      </c>
      <c r="N87" s="36">
        <v>2112</v>
      </c>
      <c r="O87" s="1007"/>
      <c r="P87" s="36">
        <v>21124</v>
      </c>
      <c r="Q87" s="36">
        <v>-1980</v>
      </c>
      <c r="R87" s="36">
        <v>19144</v>
      </c>
      <c r="S87" s="36"/>
      <c r="T87" s="36">
        <v>-88360</v>
      </c>
      <c r="U87" s="36">
        <v>-132063</v>
      </c>
    </row>
    <row r="88" spans="1:21" ht="15" x14ac:dyDescent="0.25">
      <c r="A88" s="1019" t="s">
        <v>2620</v>
      </c>
      <c r="B88" s="1178">
        <v>4.7327999999999997E-3</v>
      </c>
      <c r="C88" s="1178">
        <v>4.8418000000000003E-3</v>
      </c>
      <c r="D88" s="36">
        <v>-78389</v>
      </c>
      <c r="E88" s="1007"/>
      <c r="F88" s="36">
        <v>691</v>
      </c>
      <c r="G88" s="36">
        <v>12495</v>
      </c>
      <c r="H88" s="36">
        <v>3687</v>
      </c>
      <c r="I88" s="36">
        <v>2872</v>
      </c>
      <c r="J88" s="1007"/>
      <c r="K88" s="36">
        <v>3578</v>
      </c>
      <c r="L88" s="36"/>
      <c r="M88" s="36">
        <v>0</v>
      </c>
      <c r="N88" s="36">
        <v>399</v>
      </c>
      <c r="O88" s="1007"/>
      <c r="P88" s="36">
        <v>14776</v>
      </c>
      <c r="Q88" s="36">
        <v>1049</v>
      </c>
      <c r="R88" s="36">
        <v>15825</v>
      </c>
      <c r="S88" s="36"/>
      <c r="T88" s="36">
        <v>-61806</v>
      </c>
      <c r="U88" s="36">
        <v>-92375</v>
      </c>
    </row>
    <row r="89" spans="1:21" ht="15" x14ac:dyDescent="0.25">
      <c r="A89" s="1019" t="s">
        <v>2621</v>
      </c>
      <c r="B89" s="1178">
        <v>2.7859999999999998E-3</v>
      </c>
      <c r="C89" s="1178">
        <v>2.9344000000000002E-3</v>
      </c>
      <c r="D89" s="36">
        <v>-46145</v>
      </c>
      <c r="E89" s="1007"/>
      <c r="F89" s="36">
        <v>407</v>
      </c>
      <c r="G89" s="36">
        <v>7355</v>
      </c>
      <c r="H89" s="36">
        <v>2170</v>
      </c>
      <c r="I89" s="36">
        <v>3325</v>
      </c>
      <c r="J89" s="1007"/>
      <c r="K89" s="36">
        <v>2106</v>
      </c>
      <c r="L89" s="36"/>
      <c r="M89" s="36">
        <v>0</v>
      </c>
      <c r="N89" s="36">
        <v>637</v>
      </c>
      <c r="O89" s="1007"/>
      <c r="P89" s="36">
        <v>8698</v>
      </c>
      <c r="Q89" s="36">
        <v>510</v>
      </c>
      <c r="R89" s="36">
        <v>9208</v>
      </c>
      <c r="S89" s="36"/>
      <c r="T89" s="36">
        <v>-36382</v>
      </c>
      <c r="U89" s="36">
        <v>-54377</v>
      </c>
    </row>
    <row r="90" spans="1:21" ht="15" x14ac:dyDescent="0.25">
      <c r="A90" s="1019" t="s">
        <v>2622</v>
      </c>
      <c r="B90" s="1178">
        <v>6.2506999999999997E-3</v>
      </c>
      <c r="C90" s="1178">
        <v>6.3501E-3</v>
      </c>
      <c r="D90" s="36">
        <v>-103530</v>
      </c>
      <c r="E90" s="1007"/>
      <c r="F90" s="36">
        <v>913</v>
      </c>
      <c r="G90" s="36">
        <v>16502</v>
      </c>
      <c r="H90" s="36">
        <v>4869</v>
      </c>
      <c r="I90" s="36">
        <v>1435</v>
      </c>
      <c r="J90" s="1007"/>
      <c r="K90" s="36">
        <v>4726</v>
      </c>
      <c r="L90" s="36"/>
      <c r="M90" s="36">
        <v>0</v>
      </c>
      <c r="N90" s="36">
        <v>1988</v>
      </c>
      <c r="O90" s="1007"/>
      <c r="P90" s="36">
        <v>19515</v>
      </c>
      <c r="Q90" s="36">
        <v>-3419</v>
      </c>
      <c r="R90" s="36">
        <v>16096</v>
      </c>
      <c r="S90" s="36"/>
      <c r="T90" s="36">
        <v>-81628</v>
      </c>
      <c r="U90" s="36">
        <v>-122001</v>
      </c>
    </row>
    <row r="91" spans="1:21" ht="15" x14ac:dyDescent="0.25">
      <c r="A91" s="1019" t="s">
        <v>2623</v>
      </c>
      <c r="B91" s="1178">
        <v>3.6289E-3</v>
      </c>
      <c r="C91" s="1178">
        <v>3.8162000000000001E-3</v>
      </c>
      <c r="D91" s="36">
        <v>-60105</v>
      </c>
      <c r="E91" s="1007"/>
      <c r="F91" s="36">
        <v>530</v>
      </c>
      <c r="G91" s="36">
        <v>9580</v>
      </c>
      <c r="H91" s="36">
        <v>2827</v>
      </c>
      <c r="I91" s="36">
        <v>3176</v>
      </c>
      <c r="J91" s="1007"/>
      <c r="K91" s="36">
        <v>2743</v>
      </c>
      <c r="L91" s="36"/>
      <c r="M91" s="36">
        <v>0</v>
      </c>
      <c r="N91" s="36">
        <v>1052</v>
      </c>
      <c r="O91" s="1007"/>
      <c r="P91" s="36">
        <v>11329</v>
      </c>
      <c r="Q91" s="36">
        <v>1261</v>
      </c>
      <c r="R91" s="36">
        <v>12590</v>
      </c>
      <c r="S91" s="36"/>
      <c r="T91" s="36">
        <v>-47390</v>
      </c>
      <c r="U91" s="36">
        <v>-70829</v>
      </c>
    </row>
    <row r="92" spans="1:21" ht="15" x14ac:dyDescent="0.25">
      <c r="A92" s="1019" t="s">
        <v>2624</v>
      </c>
      <c r="B92" s="1178">
        <v>7.6375999999999996E-3</v>
      </c>
      <c r="C92" s="1178">
        <v>6.3610999999999997E-3</v>
      </c>
      <c r="D92" s="36">
        <v>-126502</v>
      </c>
      <c r="E92" s="1007"/>
      <c r="F92" s="36">
        <v>1115</v>
      </c>
      <c r="G92" s="36">
        <v>20163</v>
      </c>
      <c r="H92" s="36">
        <v>5950</v>
      </c>
      <c r="I92" s="36">
        <v>6322</v>
      </c>
      <c r="J92" s="1007"/>
      <c r="K92" s="36">
        <v>5774</v>
      </c>
      <c r="L92" s="36"/>
      <c r="M92" s="36">
        <v>0</v>
      </c>
      <c r="N92" s="36">
        <v>18673</v>
      </c>
      <c r="O92" s="1007"/>
      <c r="P92" s="36">
        <v>23845</v>
      </c>
      <c r="Q92" s="36">
        <v>-3596</v>
      </c>
      <c r="R92" s="36">
        <v>20249</v>
      </c>
      <c r="S92" s="36"/>
      <c r="T92" s="36">
        <v>-99739</v>
      </c>
      <c r="U92" s="36">
        <v>-149071</v>
      </c>
    </row>
    <row r="93" spans="1:21" ht="15" x14ac:dyDescent="0.25">
      <c r="A93" s="1019" t="s">
        <v>2625</v>
      </c>
      <c r="B93" s="1178">
        <v>3.0925000000000002E-3</v>
      </c>
      <c r="C93" s="1178">
        <v>3.0937999999999998E-3</v>
      </c>
      <c r="D93" s="36">
        <v>-51221</v>
      </c>
      <c r="E93" s="1007"/>
      <c r="F93" s="36">
        <v>452</v>
      </c>
      <c r="G93" s="36">
        <v>8164</v>
      </c>
      <c r="H93" s="36">
        <v>2409</v>
      </c>
      <c r="I93" s="36">
        <v>18</v>
      </c>
      <c r="J93" s="1007"/>
      <c r="K93" s="36">
        <v>2338</v>
      </c>
      <c r="L93" s="36"/>
      <c r="M93" s="36">
        <v>0</v>
      </c>
      <c r="N93" s="36">
        <v>988</v>
      </c>
      <c r="O93" s="1007"/>
      <c r="P93" s="36">
        <v>9655</v>
      </c>
      <c r="Q93" s="36">
        <v>-1956</v>
      </c>
      <c r="R93" s="36">
        <v>7699</v>
      </c>
      <c r="S93" s="36"/>
      <c r="T93" s="36">
        <v>-40385</v>
      </c>
      <c r="U93" s="36">
        <v>-60359</v>
      </c>
    </row>
    <row r="94" spans="1:21" ht="15" x14ac:dyDescent="0.25">
      <c r="A94" s="1019" t="s">
        <v>2626</v>
      </c>
      <c r="B94" s="1178">
        <v>3.6638999999999999E-3</v>
      </c>
      <c r="C94" s="1178">
        <v>4.2665999999999997E-3</v>
      </c>
      <c r="D94" s="36">
        <v>-60685</v>
      </c>
      <c r="E94" s="1007"/>
      <c r="F94" s="36">
        <v>535</v>
      </c>
      <c r="G94" s="36">
        <v>9673</v>
      </c>
      <c r="H94" s="36">
        <v>2854</v>
      </c>
      <c r="I94" s="36">
        <v>8695</v>
      </c>
      <c r="J94" s="1007"/>
      <c r="K94" s="36">
        <v>2770</v>
      </c>
      <c r="L94" s="36"/>
      <c r="M94" s="36">
        <v>0</v>
      </c>
      <c r="N94" s="36">
        <v>641</v>
      </c>
      <c r="O94" s="1007"/>
      <c r="P94" s="36">
        <v>11439</v>
      </c>
      <c r="Q94" s="36">
        <v>3303</v>
      </c>
      <c r="R94" s="36">
        <v>14742</v>
      </c>
      <c r="S94" s="36"/>
      <c r="T94" s="36">
        <v>-47847</v>
      </c>
      <c r="U94" s="36">
        <v>-71512</v>
      </c>
    </row>
    <row r="95" spans="1:21" ht="15" x14ac:dyDescent="0.25">
      <c r="A95" s="1019" t="s">
        <v>2627</v>
      </c>
      <c r="B95" s="1178">
        <v>3.189E-4</v>
      </c>
      <c r="C95" s="1178">
        <v>3.0699999999999998E-4</v>
      </c>
      <c r="D95" s="36">
        <v>-5282</v>
      </c>
      <c r="E95" s="1007"/>
      <c r="F95" s="36">
        <v>47</v>
      </c>
      <c r="G95" s="36">
        <v>842</v>
      </c>
      <c r="H95" s="36">
        <v>248</v>
      </c>
      <c r="I95" s="36">
        <v>512</v>
      </c>
      <c r="J95" s="1007"/>
      <c r="K95" s="36">
        <v>241</v>
      </c>
      <c r="L95" s="36"/>
      <c r="M95" s="36">
        <v>0</v>
      </c>
      <c r="N95" s="36">
        <v>263</v>
      </c>
      <c r="O95" s="1007"/>
      <c r="P95" s="36">
        <v>996</v>
      </c>
      <c r="Q95" s="36">
        <v>302</v>
      </c>
      <c r="R95" s="36">
        <v>1298</v>
      </c>
      <c r="S95" s="36"/>
      <c r="T95" s="36">
        <v>-4165</v>
      </c>
      <c r="U95" s="36">
        <v>-6224</v>
      </c>
    </row>
    <row r="96" spans="1:21" ht="15" x14ac:dyDescent="0.25">
      <c r="A96" s="1019" t="s">
        <v>2628</v>
      </c>
      <c r="B96" s="1178">
        <v>2.5016799999999999E-2</v>
      </c>
      <c r="C96" s="1178">
        <v>2.61335E-2</v>
      </c>
      <c r="D96" s="36">
        <v>-414353</v>
      </c>
      <c r="E96" s="1007"/>
      <c r="F96" s="36">
        <v>3652</v>
      </c>
      <c r="G96" s="36">
        <v>66044</v>
      </c>
      <c r="H96" s="36">
        <v>19488</v>
      </c>
      <c r="I96" s="36">
        <v>16385</v>
      </c>
      <c r="J96" s="1007"/>
      <c r="K96" s="36">
        <v>18913</v>
      </c>
      <c r="L96" s="36"/>
      <c r="M96" s="36">
        <v>0</v>
      </c>
      <c r="N96" s="36">
        <v>469</v>
      </c>
      <c r="O96" s="1007"/>
      <c r="P96" s="36">
        <v>78102</v>
      </c>
      <c r="Q96" s="36">
        <v>6762</v>
      </c>
      <c r="R96" s="36">
        <v>84864</v>
      </c>
      <c r="S96" s="36"/>
      <c r="T96" s="36">
        <v>-326694</v>
      </c>
      <c r="U96" s="36">
        <v>-488278</v>
      </c>
    </row>
    <row r="97" spans="1:21" ht="15" x14ac:dyDescent="0.25">
      <c r="A97" s="1019" t="s">
        <v>2629</v>
      </c>
      <c r="B97" s="1178">
        <v>3.6557999999999998E-3</v>
      </c>
      <c r="C97" s="1178">
        <v>3.5677999999999999E-3</v>
      </c>
      <c r="D97" s="36">
        <v>-60551</v>
      </c>
      <c r="E97" s="1007"/>
      <c r="F97" s="36">
        <v>534</v>
      </c>
      <c r="G97" s="36">
        <v>9651</v>
      </c>
      <c r="H97" s="36">
        <v>2848</v>
      </c>
      <c r="I97" s="36">
        <v>588</v>
      </c>
      <c r="J97" s="1007"/>
      <c r="K97" s="36">
        <v>2764</v>
      </c>
      <c r="L97" s="36"/>
      <c r="M97" s="36">
        <v>0</v>
      </c>
      <c r="N97" s="36">
        <v>1269</v>
      </c>
      <c r="O97" s="1007"/>
      <c r="P97" s="36">
        <v>11413</v>
      </c>
      <c r="Q97" s="36">
        <v>523</v>
      </c>
      <c r="R97" s="36">
        <v>11936</v>
      </c>
      <c r="S97" s="36"/>
      <c r="T97" s="36">
        <v>-47741</v>
      </c>
      <c r="U97" s="36">
        <v>-71354</v>
      </c>
    </row>
    <row r="98" spans="1:21" ht="15" x14ac:dyDescent="0.25">
      <c r="A98" s="1019" t="s">
        <v>2630</v>
      </c>
      <c r="B98" s="1178">
        <v>0.1244343</v>
      </c>
      <c r="C98" s="1178">
        <v>0.1145418</v>
      </c>
      <c r="D98" s="36">
        <v>-2061005</v>
      </c>
      <c r="E98" s="1007"/>
      <c r="F98" s="36">
        <v>18167</v>
      </c>
      <c r="G98" s="36">
        <v>328507</v>
      </c>
      <c r="H98" s="36">
        <v>96934</v>
      </c>
      <c r="I98" s="36">
        <v>31028</v>
      </c>
      <c r="J98" s="1007"/>
      <c r="K98" s="36">
        <v>94072</v>
      </c>
      <c r="L98" s="36"/>
      <c r="M98" s="36">
        <v>0</v>
      </c>
      <c r="N98" s="36">
        <v>258822</v>
      </c>
      <c r="O98" s="1007"/>
      <c r="P98" s="36">
        <v>388484</v>
      </c>
      <c r="Q98" s="36">
        <v>-112608</v>
      </c>
      <c r="R98" s="36">
        <v>275876</v>
      </c>
      <c r="S98" s="36"/>
      <c r="T98" s="36">
        <v>-1624988</v>
      </c>
      <c r="U98" s="36">
        <v>-2428709</v>
      </c>
    </row>
    <row r="99" spans="1:21" ht="15" x14ac:dyDescent="0.25">
      <c r="A99" s="1019" t="s">
        <v>2631</v>
      </c>
      <c r="B99" s="1178">
        <v>1.4475E-3</v>
      </c>
      <c r="C99" s="1178">
        <v>1.4982000000000001E-3</v>
      </c>
      <c r="D99" s="36">
        <v>-23975</v>
      </c>
      <c r="E99" s="1007"/>
      <c r="F99" s="36">
        <v>211</v>
      </c>
      <c r="G99" s="36">
        <v>3821</v>
      </c>
      <c r="H99" s="36">
        <v>1128</v>
      </c>
      <c r="I99" s="36">
        <v>1595</v>
      </c>
      <c r="J99" s="1007"/>
      <c r="K99" s="36">
        <v>1094</v>
      </c>
      <c r="L99" s="36"/>
      <c r="M99" s="36">
        <v>0</v>
      </c>
      <c r="N99" s="36">
        <v>528</v>
      </c>
      <c r="O99" s="1007"/>
      <c r="P99" s="36">
        <v>4519</v>
      </c>
      <c r="Q99" s="36">
        <v>-9</v>
      </c>
      <c r="R99" s="36">
        <v>4510</v>
      </c>
      <c r="S99" s="36"/>
      <c r="T99" s="36">
        <v>-18903</v>
      </c>
      <c r="U99" s="36">
        <v>-28252</v>
      </c>
    </row>
    <row r="100" spans="1:21" ht="15" x14ac:dyDescent="0.25">
      <c r="A100" s="1019" t="s">
        <v>2632</v>
      </c>
      <c r="B100" s="1178">
        <v>8.5550000000000003E-4</v>
      </c>
      <c r="C100" s="1178">
        <v>1.3189E-3</v>
      </c>
      <c r="D100" s="36">
        <v>-14170</v>
      </c>
      <c r="E100" s="1007"/>
      <c r="F100" s="36">
        <v>125</v>
      </c>
      <c r="G100" s="36">
        <v>2259</v>
      </c>
      <c r="H100" s="36">
        <v>666</v>
      </c>
      <c r="I100" s="36">
        <v>6765</v>
      </c>
      <c r="J100" s="1007"/>
      <c r="K100" s="36">
        <v>647</v>
      </c>
      <c r="L100" s="36"/>
      <c r="M100" s="36">
        <v>0</v>
      </c>
      <c r="N100" s="36">
        <v>923</v>
      </c>
      <c r="O100" s="1007"/>
      <c r="P100" s="36">
        <v>2671</v>
      </c>
      <c r="Q100" s="36">
        <v>2282</v>
      </c>
      <c r="R100" s="36">
        <v>4953</v>
      </c>
      <c r="S100" s="36"/>
      <c r="T100" s="36">
        <v>-11172</v>
      </c>
      <c r="U100" s="36">
        <v>-16698</v>
      </c>
    </row>
    <row r="101" spans="1:21" ht="15" x14ac:dyDescent="0.25">
      <c r="A101" s="1019" t="s">
        <v>2633</v>
      </c>
      <c r="B101" s="1178">
        <v>6.1612999999999998E-3</v>
      </c>
      <c r="C101" s="1178">
        <v>6.5062000000000002E-3</v>
      </c>
      <c r="D101" s="36">
        <v>-102050</v>
      </c>
      <c r="E101" s="1007"/>
      <c r="F101" s="36">
        <v>900</v>
      </c>
      <c r="G101" s="36">
        <v>16266</v>
      </c>
      <c r="H101" s="36">
        <v>4800</v>
      </c>
      <c r="I101" s="36">
        <v>6284</v>
      </c>
      <c r="J101" s="1007"/>
      <c r="K101" s="36">
        <v>4658</v>
      </c>
      <c r="L101" s="36"/>
      <c r="M101" s="36">
        <v>0</v>
      </c>
      <c r="N101" s="36">
        <v>214</v>
      </c>
      <c r="O101" s="1007"/>
      <c r="P101" s="36">
        <v>19236</v>
      </c>
      <c r="Q101" s="36">
        <v>2802</v>
      </c>
      <c r="R101" s="36">
        <v>22038</v>
      </c>
      <c r="S101" s="36"/>
      <c r="T101" s="36">
        <v>-80460</v>
      </c>
      <c r="U101" s="36">
        <v>-120256</v>
      </c>
    </row>
    <row r="102" spans="1:21" ht="15" x14ac:dyDescent="0.25">
      <c r="A102" s="1019" t="s">
        <v>2634</v>
      </c>
      <c r="B102" s="1178">
        <v>9.5361000000000005E-3</v>
      </c>
      <c r="C102" s="1178">
        <v>9.7663000000000003E-3</v>
      </c>
      <c r="D102" s="36">
        <v>-157946</v>
      </c>
      <c r="E102" s="1007"/>
      <c r="F102" s="36">
        <v>1392</v>
      </c>
      <c r="G102" s="36">
        <v>25175</v>
      </c>
      <c r="H102" s="36">
        <v>7429</v>
      </c>
      <c r="I102" s="36">
        <v>3617</v>
      </c>
      <c r="J102" s="1007"/>
      <c r="K102" s="36">
        <v>7209</v>
      </c>
      <c r="L102" s="36"/>
      <c r="M102" s="36">
        <v>0</v>
      </c>
      <c r="N102" s="36">
        <v>644</v>
      </c>
      <c r="O102" s="1007"/>
      <c r="P102" s="36">
        <v>29772</v>
      </c>
      <c r="Q102" s="36">
        <v>302</v>
      </c>
      <c r="R102" s="36">
        <v>30074</v>
      </c>
      <c r="S102" s="36"/>
      <c r="T102" s="36">
        <v>-124532</v>
      </c>
      <c r="U102" s="36">
        <v>-186126</v>
      </c>
    </row>
    <row r="103" spans="1:21" ht="15" x14ac:dyDescent="0.25">
      <c r="A103" s="1019" t="s">
        <v>2635</v>
      </c>
      <c r="B103" s="1178">
        <v>5.9652999999999998E-3</v>
      </c>
      <c r="C103" s="1178">
        <v>5.8377000000000004E-3</v>
      </c>
      <c r="D103" s="36">
        <v>-98803</v>
      </c>
      <c r="E103" s="1007"/>
      <c r="F103" s="36">
        <v>871</v>
      </c>
      <c r="G103" s="36">
        <v>15748</v>
      </c>
      <c r="H103" s="36">
        <v>4647</v>
      </c>
      <c r="I103" s="36">
        <v>3210</v>
      </c>
      <c r="J103" s="1007"/>
      <c r="K103" s="36">
        <v>4510</v>
      </c>
      <c r="L103" s="36"/>
      <c r="M103" s="36">
        <v>0</v>
      </c>
      <c r="N103" s="36">
        <v>1841</v>
      </c>
      <c r="O103" s="1007"/>
      <c r="P103" s="36">
        <v>18624</v>
      </c>
      <c r="Q103" s="36">
        <v>2892</v>
      </c>
      <c r="R103" s="36">
        <v>21516</v>
      </c>
      <c r="S103" s="36"/>
      <c r="T103" s="36">
        <v>-77901</v>
      </c>
      <c r="U103" s="36">
        <v>-116431</v>
      </c>
    </row>
    <row r="104" spans="1:21" ht="15" x14ac:dyDescent="0.25">
      <c r="A104" s="1019" t="s">
        <v>2636</v>
      </c>
      <c r="B104" s="1178">
        <v>4.4482000000000002E-3</v>
      </c>
      <c r="C104" s="1178">
        <v>4.5783000000000004E-3</v>
      </c>
      <c r="D104" s="36">
        <v>-73676</v>
      </c>
      <c r="E104" s="1007"/>
      <c r="F104" s="36">
        <v>649</v>
      </c>
      <c r="G104" s="36">
        <v>11743</v>
      </c>
      <c r="H104" s="36">
        <v>3465</v>
      </c>
      <c r="I104" s="36">
        <v>3352</v>
      </c>
      <c r="J104" s="1007"/>
      <c r="K104" s="36">
        <v>3363</v>
      </c>
      <c r="L104" s="36"/>
      <c r="M104" s="36">
        <v>0</v>
      </c>
      <c r="N104" s="36">
        <v>0</v>
      </c>
      <c r="O104" s="1007"/>
      <c r="P104" s="36">
        <v>13887</v>
      </c>
      <c r="Q104" s="36">
        <v>2626</v>
      </c>
      <c r="R104" s="36">
        <v>16513</v>
      </c>
      <c r="S104" s="36"/>
      <c r="T104" s="36">
        <v>-58089</v>
      </c>
      <c r="U104" s="36">
        <v>-86820</v>
      </c>
    </row>
    <row r="105" spans="1:21" ht="15" x14ac:dyDescent="0.25">
      <c r="A105" s="1019" t="s">
        <v>2536</v>
      </c>
      <c r="B105" s="1178">
        <v>3.0008999999999999E-3</v>
      </c>
      <c r="C105" s="1178">
        <v>3.1147000000000002E-3</v>
      </c>
      <c r="D105" s="36">
        <v>-49704</v>
      </c>
      <c r="E105" s="1007"/>
      <c r="F105" s="36">
        <v>438</v>
      </c>
      <c r="G105" s="36">
        <v>7922</v>
      </c>
      <c r="H105" s="36">
        <v>2338</v>
      </c>
      <c r="I105" s="36">
        <v>2323</v>
      </c>
      <c r="J105" s="1007"/>
      <c r="K105" s="36">
        <v>2269</v>
      </c>
      <c r="L105" s="36"/>
      <c r="M105" s="36">
        <v>0</v>
      </c>
      <c r="N105" s="36">
        <v>283</v>
      </c>
      <c r="O105" s="1007"/>
      <c r="P105" s="36">
        <v>9369</v>
      </c>
      <c r="Q105" s="36">
        <v>820</v>
      </c>
      <c r="R105" s="36">
        <v>10189</v>
      </c>
      <c r="S105" s="36"/>
      <c r="T105" s="36">
        <v>-39189</v>
      </c>
      <c r="U105" s="36">
        <v>-58572</v>
      </c>
    </row>
    <row r="106" spans="1:21" ht="15" x14ac:dyDescent="0.25">
      <c r="A106" s="1019" t="s">
        <v>2637</v>
      </c>
      <c r="B106" s="1178">
        <v>1.9143000000000001E-3</v>
      </c>
      <c r="C106" s="1178">
        <v>1.7394999999999999E-3</v>
      </c>
      <c r="D106" s="36">
        <v>-31707</v>
      </c>
      <c r="E106" s="1007"/>
      <c r="F106" s="36">
        <v>279</v>
      </c>
      <c r="G106" s="36">
        <v>5054</v>
      </c>
      <c r="H106" s="36">
        <v>1491</v>
      </c>
      <c r="I106" s="36">
        <v>52</v>
      </c>
      <c r="J106" s="1007"/>
      <c r="K106" s="36">
        <v>1447</v>
      </c>
      <c r="L106" s="36"/>
      <c r="M106" s="36">
        <v>0</v>
      </c>
      <c r="N106" s="36">
        <v>2789</v>
      </c>
      <c r="O106" s="1007"/>
      <c r="P106" s="36">
        <v>5976</v>
      </c>
      <c r="Q106" s="36">
        <v>-1257</v>
      </c>
      <c r="R106" s="36">
        <v>4719</v>
      </c>
      <c r="S106" s="36"/>
      <c r="T106" s="36">
        <v>-24999</v>
      </c>
      <c r="U106" s="36">
        <v>-37363</v>
      </c>
    </row>
    <row r="107" spans="1:21" ht="15" x14ac:dyDescent="0.25">
      <c r="A107" s="1012" t="s">
        <v>2648</v>
      </c>
      <c r="B107" s="1178">
        <v>4.5899000000000001E-3</v>
      </c>
      <c r="C107" s="1178">
        <v>4.5522000000000002E-3</v>
      </c>
      <c r="D107" s="36">
        <v>-76023</v>
      </c>
      <c r="E107" s="1007"/>
      <c r="F107" s="36">
        <v>670</v>
      </c>
      <c r="G107" s="36">
        <v>12117</v>
      </c>
      <c r="H107" s="36">
        <v>3576</v>
      </c>
      <c r="I107" s="36">
        <v>0</v>
      </c>
      <c r="J107" s="1007"/>
      <c r="K107" s="36">
        <v>3470</v>
      </c>
      <c r="L107" s="36"/>
      <c r="M107" s="36">
        <v>0</v>
      </c>
      <c r="N107" s="36">
        <v>1642</v>
      </c>
      <c r="O107" s="1007"/>
      <c r="P107" s="36">
        <v>14330</v>
      </c>
      <c r="Q107" s="36">
        <v>-2144</v>
      </c>
      <c r="R107" s="36">
        <v>12186</v>
      </c>
      <c r="S107" s="36"/>
      <c r="T107" s="36">
        <v>-59940</v>
      </c>
      <c r="U107" s="36">
        <v>-89586</v>
      </c>
    </row>
    <row r="108" spans="1:21" ht="15" x14ac:dyDescent="0.25">
      <c r="A108" s="1019" t="s">
        <v>712</v>
      </c>
      <c r="B108" s="1180">
        <f>SUM(B6:B106)</f>
        <v>1</v>
      </c>
      <c r="C108" s="1180">
        <f>SUM(C6:C106)</f>
        <v>1</v>
      </c>
      <c r="D108" s="5">
        <f>SUM(D6:D106)</f>
        <v>-16563001</v>
      </c>
      <c r="F108" s="5">
        <f>SUM(F6:F106)</f>
        <v>146001</v>
      </c>
      <c r="G108" s="5">
        <f>SUM(G6:G106)</f>
        <v>2639999</v>
      </c>
      <c r="H108" s="5">
        <f>SUM(H6:H106)</f>
        <v>778996</v>
      </c>
      <c r="I108" s="5">
        <f>SUM(I6:I106)</f>
        <v>819852</v>
      </c>
      <c r="K108" s="5">
        <f>SUM(K6:K106)</f>
        <v>755999</v>
      </c>
      <c r="L108" s="5">
        <f>SUM(L6:L106)</f>
        <v>0</v>
      </c>
      <c r="M108" s="5">
        <f>SUM(M6:M106)</f>
        <v>0</v>
      </c>
      <c r="N108" s="5">
        <f>SUM(N6:N106)</f>
        <v>819859</v>
      </c>
      <c r="P108" s="5">
        <f>SUM(P6:P106)</f>
        <v>3122002</v>
      </c>
      <c r="Q108" s="5">
        <f>SUM(Q6:Q106)</f>
        <v>20</v>
      </c>
      <c r="R108" s="5">
        <f>SUM(R6:R106)</f>
        <v>3122022</v>
      </c>
      <c r="T108" s="5">
        <f>SUM(T6:T106)</f>
        <v>-13058997</v>
      </c>
      <c r="U108" s="5">
        <f>SUM(U6:U106)</f>
        <v>-19518004</v>
      </c>
    </row>
    <row r="109" spans="1:21" ht="15" x14ac:dyDescent="0.25">
      <c r="A109" s="1020"/>
      <c r="B109" s="1181"/>
      <c r="C109" s="1182"/>
      <c r="D109" s="1183"/>
      <c r="E109" s="1184"/>
      <c r="F109" s="1183"/>
      <c r="G109" s="1183"/>
      <c r="H109" s="1183"/>
      <c r="I109" s="1183"/>
      <c r="J109" s="1184"/>
      <c r="K109" s="1183"/>
      <c r="L109" s="1183"/>
      <c r="M109" s="1183"/>
      <c r="N109" s="1183"/>
      <c r="O109" s="1184"/>
      <c r="P109" s="1183"/>
      <c r="Q109" s="1183"/>
      <c r="R109" s="1183"/>
      <c r="S109" s="1183"/>
      <c r="T109" s="1183"/>
      <c r="U109" s="1183"/>
    </row>
  </sheetData>
  <mergeCells count="3">
    <mergeCell ref="F4:I4"/>
    <mergeCell ref="K4:N4"/>
    <mergeCell ref="P4:R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48"/>
  <sheetViews>
    <sheetView topLeftCell="A6" zoomScaleNormal="100" workbookViewId="0">
      <selection activeCell="F29" sqref="F29"/>
    </sheetView>
  </sheetViews>
  <sheetFormatPr defaultRowHeight="12.75" x14ac:dyDescent="0.2"/>
  <cols>
    <col min="1" max="1" width="4.42578125" customWidth="1"/>
    <col min="2" max="2" width="3.42578125" customWidth="1"/>
    <col min="3" max="3" width="3.7109375" customWidth="1"/>
    <col min="6" max="6" width="11.28515625" customWidth="1"/>
    <col min="7" max="7" width="2.85546875" customWidth="1"/>
    <col min="8" max="8" width="13.5703125" customWidth="1"/>
    <col min="9" max="9" width="1.5703125" customWidth="1"/>
    <col min="10" max="10" width="15.28515625" customWidth="1"/>
    <col min="11" max="11" width="1.140625" customWidth="1"/>
    <col min="12" max="12" width="15.28515625" customWidth="1"/>
    <col min="13" max="13" width="1.28515625" customWidth="1"/>
    <col min="14" max="14" width="15.28515625" customWidth="1"/>
    <col min="15" max="15" width="13.42578125" customWidth="1"/>
    <col min="16" max="16" width="1.140625" customWidth="1"/>
  </cols>
  <sheetData>
    <row r="1" spans="1:16" x14ac:dyDescent="0.2">
      <c r="A1" s="2"/>
    </row>
    <row r="2" spans="1:16" ht="33.75" customHeight="1" x14ac:dyDescent="0.25">
      <c r="A2" s="1465" t="s">
        <v>96</v>
      </c>
      <c r="B2" s="1466"/>
      <c r="C2" s="1466"/>
      <c r="D2" s="1466"/>
      <c r="E2" s="1466"/>
      <c r="F2" s="1466"/>
      <c r="G2" s="1466"/>
      <c r="H2" s="1466"/>
      <c r="I2" s="1466"/>
      <c r="J2" s="1466"/>
      <c r="K2" s="1466"/>
      <c r="L2" s="1466"/>
      <c r="M2" s="1466"/>
      <c r="N2" s="1466"/>
      <c r="O2" s="1467"/>
    </row>
    <row r="4" spans="1:16" ht="65.25" customHeight="1" x14ac:dyDescent="0.2">
      <c r="B4" s="1468" t="s">
        <v>1119</v>
      </c>
      <c r="C4" s="1469"/>
      <c r="D4" s="1469"/>
      <c r="E4" s="1469"/>
      <c r="F4" s="1469"/>
      <c r="G4" s="1469"/>
      <c r="H4" s="1469"/>
      <c r="I4" s="1469"/>
      <c r="J4" s="1469"/>
      <c r="K4" s="1469"/>
      <c r="L4" s="1469"/>
      <c r="M4" s="1469"/>
      <c r="N4" s="1469"/>
      <c r="O4" s="1469"/>
      <c r="P4" s="1469"/>
    </row>
    <row r="5" spans="1:16" ht="7.5" customHeight="1" x14ac:dyDescent="0.2">
      <c r="B5" s="34"/>
      <c r="C5" s="35"/>
      <c r="D5" s="35"/>
      <c r="E5" s="35"/>
      <c r="F5" s="35"/>
      <c r="G5" s="35"/>
      <c r="H5" s="35"/>
      <c r="I5" s="35"/>
      <c r="J5" s="35"/>
      <c r="K5" s="35"/>
      <c r="L5" s="35"/>
      <c r="M5" s="35"/>
      <c r="N5" s="35"/>
      <c r="O5" s="35"/>
      <c r="P5" s="35"/>
    </row>
    <row r="6" spans="1:16" ht="12" customHeight="1" x14ac:dyDescent="0.2">
      <c r="B6" s="41" t="s">
        <v>521</v>
      </c>
      <c r="C6" s="1469" t="s">
        <v>152</v>
      </c>
      <c r="D6" s="1469"/>
      <c r="E6" s="1469"/>
      <c r="F6" s="1469"/>
      <c r="G6" s="1469"/>
      <c r="H6" s="1469"/>
      <c r="I6" s="1469"/>
      <c r="J6" s="1469"/>
      <c r="K6" s="1469"/>
      <c r="L6" s="1469"/>
      <c r="M6" s="1469"/>
      <c r="N6" s="1469"/>
      <c r="O6" s="1469"/>
      <c r="P6" s="35"/>
    </row>
    <row r="7" spans="1:16" ht="4.5" customHeight="1" x14ac:dyDescent="0.2">
      <c r="B7" s="41"/>
      <c r="C7" s="34"/>
      <c r="D7" s="34"/>
      <c r="E7" s="34"/>
      <c r="F7" s="34"/>
      <c r="G7" s="34"/>
      <c r="H7" s="34"/>
      <c r="I7" s="34"/>
      <c r="J7" s="34"/>
      <c r="K7" s="34"/>
      <c r="L7" s="34"/>
      <c r="M7" s="34"/>
      <c r="N7" s="34"/>
      <c r="O7" s="34"/>
      <c r="P7" s="35"/>
    </row>
    <row r="8" spans="1:16" ht="12.75" customHeight="1" x14ac:dyDescent="0.2">
      <c r="B8" s="41" t="s">
        <v>522</v>
      </c>
      <c r="C8" s="1387" t="s">
        <v>651</v>
      </c>
      <c r="D8" s="1387"/>
      <c r="E8" s="1387"/>
      <c r="F8" s="1387"/>
      <c r="G8" s="1387"/>
      <c r="H8" s="1387"/>
      <c r="I8" s="1387"/>
      <c r="J8" s="1387"/>
      <c r="K8" s="1387"/>
      <c r="L8" s="1387"/>
      <c r="M8" s="1387"/>
      <c r="N8" s="1387"/>
      <c r="O8" s="1387"/>
      <c r="P8" s="35"/>
    </row>
    <row r="9" spans="1:16" ht="25.5" customHeight="1" x14ac:dyDescent="0.2">
      <c r="B9" s="41"/>
      <c r="C9" s="1387"/>
      <c r="D9" s="1387"/>
      <c r="E9" s="1387"/>
      <c r="F9" s="1387"/>
      <c r="G9" s="1387"/>
      <c r="H9" s="1387"/>
      <c r="I9" s="1387"/>
      <c r="J9" s="1387"/>
      <c r="K9" s="1387"/>
      <c r="L9" s="1387"/>
      <c r="M9" s="1387"/>
      <c r="N9" s="1387"/>
      <c r="O9" s="1387"/>
      <c r="P9" s="35"/>
    </row>
    <row r="10" spans="1:16" ht="4.5" customHeight="1" x14ac:dyDescent="0.2">
      <c r="B10" s="41"/>
      <c r="C10" s="35"/>
      <c r="D10" s="35"/>
      <c r="E10" s="35"/>
      <c r="F10" s="35"/>
      <c r="G10" s="35"/>
      <c r="H10" s="35"/>
      <c r="I10" s="35"/>
      <c r="J10" s="35"/>
      <c r="K10" s="35"/>
      <c r="L10" s="35"/>
      <c r="M10" s="35"/>
      <c r="N10" s="35"/>
      <c r="O10" s="35"/>
      <c r="P10" s="35"/>
    </row>
    <row r="11" spans="1:16" ht="12.75" customHeight="1" x14ac:dyDescent="0.2">
      <c r="B11" s="41" t="s">
        <v>523</v>
      </c>
      <c r="C11" s="1387" t="s">
        <v>460</v>
      </c>
      <c r="D11" s="1387"/>
      <c r="E11" s="1387"/>
      <c r="F11" s="1387"/>
      <c r="G11" s="1387"/>
      <c r="H11" s="1387"/>
      <c r="I11" s="1387"/>
      <c r="J11" s="1387"/>
      <c r="K11" s="1387"/>
      <c r="L11" s="1387"/>
      <c r="M11" s="1387"/>
      <c r="N11" s="1387"/>
      <c r="O11" s="1387"/>
      <c r="P11" s="35"/>
    </row>
    <row r="12" spans="1:16" ht="38.25" customHeight="1" x14ac:dyDescent="0.2">
      <c r="B12" s="41"/>
      <c r="C12" s="1387"/>
      <c r="D12" s="1387"/>
      <c r="E12" s="1387"/>
      <c r="F12" s="1387"/>
      <c r="G12" s="1387"/>
      <c r="H12" s="1387"/>
      <c r="I12" s="1387"/>
      <c r="J12" s="1387"/>
      <c r="K12" s="1387"/>
      <c r="L12" s="1387"/>
      <c r="M12" s="1387"/>
      <c r="N12" s="1387"/>
      <c r="O12" s="1387"/>
      <c r="P12" s="35"/>
    </row>
    <row r="13" spans="1:16" ht="4.5" customHeight="1" x14ac:dyDescent="0.2">
      <c r="B13" s="41"/>
      <c r="C13" s="34"/>
      <c r="D13" s="35"/>
      <c r="E13" s="35"/>
      <c r="F13" s="35"/>
      <c r="G13" s="35"/>
      <c r="H13" s="35"/>
      <c r="I13" s="35"/>
      <c r="J13" s="35"/>
      <c r="K13" s="35"/>
      <c r="L13" s="35"/>
      <c r="M13" s="35"/>
      <c r="N13" s="35"/>
      <c r="O13" s="35"/>
      <c r="P13" s="35"/>
    </row>
    <row r="14" spans="1:16" ht="12.75" customHeight="1" x14ac:dyDescent="0.2">
      <c r="B14" s="41" t="s">
        <v>549</v>
      </c>
      <c r="C14" s="1387" t="s">
        <v>255</v>
      </c>
      <c r="D14" s="1387"/>
      <c r="E14" s="1387"/>
      <c r="F14" s="1387"/>
      <c r="G14" s="1387"/>
      <c r="H14" s="1387"/>
      <c r="I14" s="1387"/>
      <c r="J14" s="1387"/>
      <c r="K14" s="1387"/>
      <c r="L14" s="1387"/>
      <c r="M14" s="1387"/>
      <c r="N14" s="1387"/>
      <c r="O14" s="1387"/>
      <c r="P14" s="35"/>
    </row>
    <row r="15" spans="1:16" ht="37.5" customHeight="1" x14ac:dyDescent="0.2">
      <c r="B15" s="41"/>
      <c r="C15" s="1387"/>
      <c r="D15" s="1387"/>
      <c r="E15" s="1387"/>
      <c r="F15" s="1387"/>
      <c r="G15" s="1387"/>
      <c r="H15" s="1387"/>
      <c r="I15" s="1387"/>
      <c r="J15" s="1387"/>
      <c r="K15" s="1387"/>
      <c r="L15" s="1387"/>
      <c r="M15" s="1387"/>
      <c r="N15" s="1387"/>
      <c r="O15" s="1387"/>
      <c r="P15" s="35"/>
    </row>
    <row r="16" spans="1:16" ht="5.25" customHeight="1" x14ac:dyDescent="0.2">
      <c r="B16" s="41"/>
      <c r="C16" s="34"/>
      <c r="D16" s="35"/>
      <c r="E16" s="35"/>
      <c r="F16" s="35"/>
      <c r="G16" s="35"/>
      <c r="H16" s="35"/>
      <c r="I16" s="35"/>
      <c r="J16" s="35"/>
      <c r="K16" s="35"/>
      <c r="L16" s="35"/>
      <c r="M16" s="35"/>
      <c r="N16" s="35"/>
      <c r="O16" s="35"/>
      <c r="P16" s="35"/>
    </row>
    <row r="17" spans="1:16" ht="12.75" customHeight="1" x14ac:dyDescent="0.2">
      <c r="B17" s="41" t="s">
        <v>550</v>
      </c>
      <c r="C17" s="1387" t="s">
        <v>1027</v>
      </c>
      <c r="D17" s="1387"/>
      <c r="E17" s="1387"/>
      <c r="F17" s="1387"/>
      <c r="G17" s="1387"/>
      <c r="H17" s="1387"/>
      <c r="I17" s="1387"/>
      <c r="J17" s="1387"/>
      <c r="K17" s="1387"/>
      <c r="L17" s="1387"/>
      <c r="M17" s="1387"/>
      <c r="N17" s="1387"/>
      <c r="O17" s="1387"/>
      <c r="P17" s="35"/>
    </row>
    <row r="18" spans="1:16" ht="12.75" customHeight="1" x14ac:dyDescent="0.2">
      <c r="B18" s="41"/>
      <c r="C18" s="1387"/>
      <c r="D18" s="1387"/>
      <c r="E18" s="1387"/>
      <c r="F18" s="1387"/>
      <c r="G18" s="1387"/>
      <c r="H18" s="1387"/>
      <c r="I18" s="1387"/>
      <c r="J18" s="1387"/>
      <c r="K18" s="1387"/>
      <c r="L18" s="1387"/>
      <c r="M18" s="1387"/>
      <c r="N18" s="1387"/>
      <c r="O18" s="1387"/>
      <c r="P18" s="35"/>
    </row>
    <row r="19" spans="1:16" ht="4.5" customHeight="1" x14ac:dyDescent="0.2">
      <c r="B19" s="40"/>
      <c r="C19" s="35"/>
      <c r="D19" s="35"/>
      <c r="E19" s="35"/>
      <c r="F19" s="35"/>
      <c r="G19" s="35"/>
      <c r="H19" s="35"/>
      <c r="I19" s="35"/>
      <c r="J19" s="35"/>
      <c r="K19" s="35"/>
      <c r="L19" s="35"/>
      <c r="M19" s="35"/>
      <c r="N19" s="35"/>
      <c r="O19" s="35"/>
      <c r="P19" s="35"/>
    </row>
    <row r="20" spans="1:16" ht="12.75" customHeight="1" x14ac:dyDescent="0.2">
      <c r="B20" s="41" t="s">
        <v>872</v>
      </c>
      <c r="C20" s="1387" t="s">
        <v>843</v>
      </c>
      <c r="D20" s="1387"/>
      <c r="E20" s="1387"/>
      <c r="F20" s="1387"/>
      <c r="G20" s="1387"/>
      <c r="H20" s="1387"/>
      <c r="I20" s="1387"/>
      <c r="J20" s="1387"/>
      <c r="K20" s="1387"/>
      <c r="L20" s="1387"/>
      <c r="M20" s="1387"/>
      <c r="N20" s="1387"/>
      <c r="O20" s="1387"/>
      <c r="P20" s="35"/>
    </row>
    <row r="21" spans="1:16" ht="12.75" customHeight="1" x14ac:dyDescent="0.2">
      <c r="B21" s="41"/>
      <c r="C21" s="1387"/>
      <c r="D21" s="1387"/>
      <c r="E21" s="1387"/>
      <c r="F21" s="1387"/>
      <c r="G21" s="1387"/>
      <c r="H21" s="1387"/>
      <c r="I21" s="1387"/>
      <c r="J21" s="1387"/>
      <c r="K21" s="1387"/>
      <c r="L21" s="1387"/>
      <c r="M21" s="1387"/>
      <c r="N21" s="1387"/>
      <c r="O21" s="1387"/>
      <c r="P21" s="35"/>
    </row>
    <row r="22" spans="1:16" ht="12" customHeight="1" x14ac:dyDescent="0.2">
      <c r="B22" s="34"/>
      <c r="C22" s="35"/>
      <c r="D22" s="35"/>
      <c r="E22" s="35"/>
      <c r="F22" s="35"/>
      <c r="G22" s="35"/>
      <c r="H22" s="35"/>
      <c r="I22" s="35"/>
      <c r="J22" s="35"/>
      <c r="K22" s="35"/>
      <c r="L22" s="35"/>
      <c r="M22" s="35"/>
      <c r="N22" s="35"/>
      <c r="O22" s="35"/>
      <c r="P22" s="35"/>
    </row>
    <row r="23" spans="1:16" ht="45.75" customHeight="1" x14ac:dyDescent="0.2">
      <c r="A23" s="4" t="s">
        <v>547</v>
      </c>
      <c r="B23" s="1470" t="s">
        <v>935</v>
      </c>
      <c r="C23" s="1471"/>
      <c r="D23" s="1471"/>
      <c r="E23" s="1471"/>
      <c r="F23" s="1471"/>
      <c r="G23" s="1471"/>
      <c r="H23" s="1471"/>
      <c r="I23" s="1471"/>
      <c r="J23" s="1471"/>
      <c r="K23" s="1471"/>
      <c r="L23" s="1471"/>
      <c r="M23" s="1471"/>
      <c r="N23" s="1471"/>
      <c r="O23" s="1472"/>
      <c r="P23" s="35"/>
    </row>
    <row r="25" spans="1:16" x14ac:dyDescent="0.2">
      <c r="C25" s="1464" t="s">
        <v>1037</v>
      </c>
      <c r="D25" s="1464"/>
      <c r="E25" s="1464"/>
      <c r="F25" s="1464"/>
      <c r="H25" s="3" t="s">
        <v>514</v>
      </c>
    </row>
    <row r="26" spans="1:16" ht="4.5" customHeight="1" x14ac:dyDescent="0.2"/>
    <row r="27" spans="1:16" ht="12.75" customHeight="1" x14ac:dyDescent="0.2">
      <c r="C27" t="s">
        <v>731</v>
      </c>
      <c r="H27" s="344">
        <v>0</v>
      </c>
    </row>
    <row r="28" spans="1:16" ht="12.75" customHeight="1" x14ac:dyDescent="0.2">
      <c r="C28" t="s">
        <v>91</v>
      </c>
      <c r="H28" s="344">
        <v>0</v>
      </c>
    </row>
    <row r="29" spans="1:16" x14ac:dyDescent="0.2">
      <c r="C29" t="s">
        <v>515</v>
      </c>
      <c r="H29" s="345">
        <v>0</v>
      </c>
    </row>
    <row r="30" spans="1:16" x14ac:dyDescent="0.2">
      <c r="C30" t="s">
        <v>926</v>
      </c>
      <c r="H30" s="344">
        <v>0</v>
      </c>
    </row>
    <row r="31" spans="1:16" x14ac:dyDescent="0.2">
      <c r="C31" t="s">
        <v>728</v>
      </c>
      <c r="H31" s="344">
        <v>0</v>
      </c>
    </row>
    <row r="32" spans="1:16" x14ac:dyDescent="0.2">
      <c r="C32" t="s">
        <v>927</v>
      </c>
      <c r="H32" s="344">
        <v>0</v>
      </c>
    </row>
    <row r="33" spans="1:15" ht="12.75" customHeight="1" x14ac:dyDescent="0.2">
      <c r="C33" t="s">
        <v>928</v>
      </c>
      <c r="H33" s="344">
        <v>0</v>
      </c>
      <c r="J33" s="1388"/>
      <c r="K33" s="1388"/>
      <c r="L33" s="1388"/>
      <c r="M33" s="1388"/>
      <c r="N33" s="1388"/>
      <c r="O33" s="1388"/>
    </row>
    <row r="34" spans="1:15" x14ac:dyDescent="0.2">
      <c r="C34" s="354" t="s">
        <v>734</v>
      </c>
      <c r="H34" s="344">
        <v>0</v>
      </c>
    </row>
    <row r="35" spans="1:15" x14ac:dyDescent="0.2">
      <c r="C35" s="354" t="s">
        <v>735</v>
      </c>
      <c r="H35" s="344">
        <v>0</v>
      </c>
    </row>
    <row r="36" spans="1:15" x14ac:dyDescent="0.2">
      <c r="C36" s="1392" t="s">
        <v>969</v>
      </c>
      <c r="D36" s="1392"/>
      <c r="E36" s="1392"/>
      <c r="F36" s="1392"/>
      <c r="H36" s="344">
        <v>0</v>
      </c>
    </row>
    <row r="37" spans="1:15" x14ac:dyDescent="0.2">
      <c r="C37" s="1392" t="s">
        <v>970</v>
      </c>
      <c r="D37" s="1392"/>
      <c r="E37" s="1392"/>
      <c r="F37" s="1392"/>
      <c r="H37" s="344">
        <v>0</v>
      </c>
    </row>
    <row r="38" spans="1:15" ht="12.75" customHeight="1" x14ac:dyDescent="0.2">
      <c r="H38" s="36"/>
    </row>
    <row r="39" spans="1:15" ht="13.5" thickBot="1" x14ac:dyDescent="0.25">
      <c r="D39" t="s">
        <v>519</v>
      </c>
      <c r="H39" s="81">
        <f>SUM(H27:H38)</f>
        <v>0</v>
      </c>
    </row>
    <row r="40" spans="1:15" ht="13.5" thickTop="1" x14ac:dyDescent="0.2">
      <c r="H40" s="55"/>
    </row>
    <row r="41" spans="1:15" ht="36.75" customHeight="1" x14ac:dyDescent="0.2">
      <c r="A41" s="4" t="s">
        <v>548</v>
      </c>
      <c r="B41" s="1476" t="s">
        <v>652</v>
      </c>
      <c r="C41" s="1474"/>
      <c r="D41" s="1474"/>
      <c r="E41" s="1474"/>
      <c r="F41" s="1474"/>
      <c r="G41" s="1474"/>
      <c r="H41" s="1474"/>
      <c r="I41" s="1474"/>
      <c r="J41" s="1474"/>
      <c r="K41" s="1474"/>
      <c r="L41" s="1474"/>
      <c r="M41" s="1474"/>
      <c r="N41" s="1474"/>
      <c r="O41" s="1475"/>
    </row>
    <row r="42" spans="1:15" x14ac:dyDescent="0.2">
      <c r="H42" s="55"/>
    </row>
    <row r="43" spans="1:15" x14ac:dyDescent="0.2">
      <c r="H43" s="59" t="s">
        <v>514</v>
      </c>
    </row>
    <row r="44" spans="1:15" ht="4.5" customHeight="1" x14ac:dyDescent="0.2">
      <c r="H44" s="55"/>
    </row>
    <row r="45" spans="1:15" x14ac:dyDescent="0.2">
      <c r="C45" t="s">
        <v>191</v>
      </c>
      <c r="H45" s="82"/>
    </row>
    <row r="46" spans="1:15" x14ac:dyDescent="0.2">
      <c r="D46" t="s">
        <v>513</v>
      </c>
      <c r="H46" s="344">
        <v>0</v>
      </c>
    </row>
    <row r="47" spans="1:15" x14ac:dyDescent="0.2">
      <c r="D47" t="s">
        <v>306</v>
      </c>
      <c r="H47" s="342">
        <v>0</v>
      </c>
    </row>
    <row r="48" spans="1:15" x14ac:dyDescent="0.2">
      <c r="D48" t="s">
        <v>307</v>
      </c>
      <c r="H48" s="342"/>
    </row>
    <row r="49" spans="3:8" ht="4.5" customHeight="1" x14ac:dyDescent="0.2">
      <c r="H49" s="337"/>
    </row>
    <row r="50" spans="3:8" x14ac:dyDescent="0.2">
      <c r="C50" t="s">
        <v>1038</v>
      </c>
      <c r="H50" s="346"/>
    </row>
    <row r="51" spans="3:8" x14ac:dyDescent="0.2">
      <c r="D51" t="s">
        <v>513</v>
      </c>
      <c r="H51" s="342">
        <v>0</v>
      </c>
    </row>
    <row r="52" spans="3:8" x14ac:dyDescent="0.2">
      <c r="D52" t="s">
        <v>306</v>
      </c>
      <c r="H52" s="344">
        <v>0</v>
      </c>
    </row>
    <row r="53" spans="3:8" x14ac:dyDescent="0.2">
      <c r="D53" t="s">
        <v>307</v>
      </c>
      <c r="H53" s="342">
        <v>0</v>
      </c>
    </row>
    <row r="54" spans="3:8" ht="4.5" customHeight="1" x14ac:dyDescent="0.2">
      <c r="H54" s="337"/>
    </row>
    <row r="55" spans="3:8" x14ac:dyDescent="0.2">
      <c r="C55" t="s">
        <v>1010</v>
      </c>
      <c r="H55" s="346"/>
    </row>
    <row r="56" spans="3:8" x14ac:dyDescent="0.2">
      <c r="D56" t="s">
        <v>513</v>
      </c>
      <c r="H56" s="342"/>
    </row>
    <row r="57" spans="3:8" x14ac:dyDescent="0.2">
      <c r="D57" t="s">
        <v>306</v>
      </c>
      <c r="H57" s="342">
        <v>0</v>
      </c>
    </row>
    <row r="58" spans="3:8" x14ac:dyDescent="0.2">
      <c r="D58" t="s">
        <v>307</v>
      </c>
      <c r="H58" s="342">
        <v>0</v>
      </c>
    </row>
    <row r="59" spans="3:8" ht="4.5" customHeight="1" x14ac:dyDescent="0.2">
      <c r="H59" s="337"/>
    </row>
    <row r="60" spans="3:8" x14ac:dyDescent="0.2">
      <c r="C60" t="s">
        <v>830</v>
      </c>
      <c r="H60" s="346"/>
    </row>
    <row r="61" spans="3:8" x14ac:dyDescent="0.2">
      <c r="D61" t="s">
        <v>513</v>
      </c>
      <c r="H61" s="342">
        <v>0</v>
      </c>
    </row>
    <row r="62" spans="3:8" x14ac:dyDescent="0.2">
      <c r="D62" t="s">
        <v>306</v>
      </c>
      <c r="H62" s="342">
        <v>0</v>
      </c>
    </row>
    <row r="63" spans="3:8" x14ac:dyDescent="0.2">
      <c r="D63" t="s">
        <v>307</v>
      </c>
      <c r="H63" s="342">
        <v>0</v>
      </c>
    </row>
    <row r="64" spans="3:8" ht="5.25" customHeight="1" x14ac:dyDescent="0.2">
      <c r="H64" s="337"/>
    </row>
    <row r="65" spans="3:8" x14ac:dyDescent="0.2">
      <c r="C65" t="s">
        <v>185</v>
      </c>
      <c r="H65" s="346"/>
    </row>
    <row r="66" spans="3:8" x14ac:dyDescent="0.2">
      <c r="D66" t="s">
        <v>513</v>
      </c>
      <c r="H66" s="342">
        <v>0</v>
      </c>
    </row>
    <row r="67" spans="3:8" x14ac:dyDescent="0.2">
      <c r="D67" t="s">
        <v>306</v>
      </c>
      <c r="H67" s="342">
        <v>0</v>
      </c>
    </row>
    <row r="68" spans="3:8" x14ac:dyDescent="0.2">
      <c r="D68" t="s">
        <v>307</v>
      </c>
      <c r="H68" s="342">
        <v>0</v>
      </c>
    </row>
    <row r="69" spans="3:8" ht="3" customHeight="1" x14ac:dyDescent="0.2">
      <c r="H69" s="337"/>
    </row>
    <row r="70" spans="3:8" x14ac:dyDescent="0.2">
      <c r="C70" t="s">
        <v>309</v>
      </c>
      <c r="H70" s="346"/>
    </row>
    <row r="71" spans="3:8" x14ac:dyDescent="0.2">
      <c r="D71" t="s">
        <v>513</v>
      </c>
      <c r="H71" s="342">
        <v>0</v>
      </c>
    </row>
    <row r="72" spans="3:8" x14ac:dyDescent="0.2">
      <c r="D72" t="s">
        <v>306</v>
      </c>
      <c r="H72" s="342">
        <v>0</v>
      </c>
    </row>
    <row r="73" spans="3:8" x14ac:dyDescent="0.2">
      <c r="D73" t="s">
        <v>307</v>
      </c>
      <c r="H73" s="342">
        <v>0</v>
      </c>
    </row>
    <row r="74" spans="3:8" ht="4.5" customHeight="1" x14ac:dyDescent="0.2">
      <c r="H74" s="337"/>
    </row>
    <row r="75" spans="3:8" x14ac:dyDescent="0.2">
      <c r="C75" t="s">
        <v>308</v>
      </c>
      <c r="H75" s="346"/>
    </row>
    <row r="76" spans="3:8" x14ac:dyDescent="0.2">
      <c r="D76" t="s">
        <v>513</v>
      </c>
      <c r="H76" s="342">
        <v>0</v>
      </c>
    </row>
    <row r="77" spans="3:8" x14ac:dyDescent="0.2">
      <c r="D77" t="s">
        <v>306</v>
      </c>
      <c r="H77" s="342">
        <v>0</v>
      </c>
    </row>
    <row r="78" spans="3:8" x14ac:dyDescent="0.2">
      <c r="D78" t="s">
        <v>307</v>
      </c>
      <c r="H78" s="342">
        <v>0</v>
      </c>
    </row>
    <row r="79" spans="3:8" ht="4.5" customHeight="1" x14ac:dyDescent="0.2">
      <c r="H79" s="337"/>
    </row>
    <row r="80" spans="3:8" ht="12.75" customHeight="1" x14ac:dyDescent="0.2">
      <c r="C80" t="s">
        <v>174</v>
      </c>
      <c r="H80" s="337"/>
    </row>
    <row r="81" spans="1:15" ht="12.75" customHeight="1" x14ac:dyDescent="0.2">
      <c r="D81" t="s">
        <v>513</v>
      </c>
      <c r="H81" s="342">
        <v>0</v>
      </c>
    </row>
    <row r="82" spans="1:15" ht="12.75" customHeight="1" x14ac:dyDescent="0.2">
      <c r="D82" t="s">
        <v>306</v>
      </c>
      <c r="H82" s="342">
        <v>0</v>
      </c>
    </row>
    <row r="83" spans="1:15" ht="12.75" customHeight="1" x14ac:dyDescent="0.2">
      <c r="D83" t="s">
        <v>307</v>
      </c>
      <c r="H83" s="342"/>
    </row>
    <row r="84" spans="1:15" ht="4.5" customHeight="1" x14ac:dyDescent="0.2">
      <c r="H84" s="337"/>
    </row>
    <row r="85" spans="1:15" ht="12.75" customHeight="1" x14ac:dyDescent="0.2">
      <c r="C85" s="354" t="s">
        <v>740</v>
      </c>
      <c r="H85" s="337"/>
    </row>
    <row r="86" spans="1:15" ht="12.75" customHeight="1" x14ac:dyDescent="0.2">
      <c r="D86" t="s">
        <v>513</v>
      </c>
      <c r="H86" s="342">
        <v>0</v>
      </c>
    </row>
    <row r="87" spans="1:15" ht="12.75" customHeight="1" x14ac:dyDescent="0.2">
      <c r="D87" t="s">
        <v>306</v>
      </c>
      <c r="H87" s="342">
        <v>0</v>
      </c>
    </row>
    <row r="88" spans="1:15" ht="12.75" customHeight="1" x14ac:dyDescent="0.2">
      <c r="D88" t="s">
        <v>307</v>
      </c>
      <c r="H88" s="342">
        <v>0</v>
      </c>
    </row>
    <row r="89" spans="1:15" ht="4.5" customHeight="1" x14ac:dyDescent="0.2">
      <c r="H89" s="337"/>
    </row>
    <row r="90" spans="1:15" ht="12.75" customHeight="1" x14ac:dyDescent="0.2">
      <c r="B90" s="2"/>
      <c r="C90" s="1392" t="s">
        <v>967</v>
      </c>
      <c r="D90" s="1392"/>
      <c r="E90" s="1392"/>
      <c r="F90" s="1392"/>
      <c r="H90" s="342">
        <v>0</v>
      </c>
    </row>
    <row r="91" spans="1:15" ht="12.75" customHeight="1" x14ac:dyDescent="0.2">
      <c r="B91" s="2"/>
      <c r="C91" s="1392" t="s">
        <v>968</v>
      </c>
      <c r="D91" s="1392"/>
      <c r="E91" s="1392"/>
      <c r="F91" s="1392"/>
      <c r="H91" s="342">
        <v>0</v>
      </c>
      <c r="J91" s="1477" t="str">
        <f>IF(H39=H93," ","Recheck numbers in Sections A or B. Entry out of balance.")</f>
        <v xml:space="preserve"> </v>
      </c>
    </row>
    <row r="92" spans="1:15" ht="12.75" customHeight="1" x14ac:dyDescent="0.2">
      <c r="H92" s="47"/>
      <c r="J92" s="1477"/>
    </row>
    <row r="93" spans="1:15" ht="22.5" customHeight="1" thickBot="1" x14ac:dyDescent="0.25">
      <c r="D93" t="s">
        <v>310</v>
      </c>
      <c r="H93" s="81">
        <f>SUM(H45:H92)</f>
        <v>0</v>
      </c>
      <c r="J93" s="1477"/>
    </row>
    <row r="94" spans="1:15" ht="12.75" customHeight="1" thickTop="1" x14ac:dyDescent="0.2"/>
    <row r="96" spans="1:15" ht="26.25" customHeight="1" x14ac:dyDescent="0.2">
      <c r="A96" s="4" t="s">
        <v>816</v>
      </c>
      <c r="B96" s="1473" t="s">
        <v>92</v>
      </c>
      <c r="C96" s="1474"/>
      <c r="D96" s="1474"/>
      <c r="E96" s="1474"/>
      <c r="F96" s="1474"/>
      <c r="G96" s="1474"/>
      <c r="H96" s="1474"/>
      <c r="I96" s="1474"/>
      <c r="J96" s="1474"/>
      <c r="K96" s="1474"/>
      <c r="L96" s="1474"/>
      <c r="M96" s="1474"/>
      <c r="N96" s="1474"/>
      <c r="O96" s="1475"/>
    </row>
    <row r="97" spans="1:15" ht="12.75" customHeight="1" x14ac:dyDescent="0.2">
      <c r="A97" s="4"/>
      <c r="B97" s="44"/>
      <c r="C97" s="44"/>
      <c r="D97" s="44"/>
      <c r="E97" s="44"/>
      <c r="F97" s="44"/>
      <c r="G97" s="44"/>
      <c r="H97" s="44"/>
      <c r="I97" s="44"/>
      <c r="J97" s="44"/>
      <c r="K97" s="44"/>
      <c r="L97" s="44"/>
      <c r="M97" s="44"/>
      <c r="N97" s="44"/>
      <c r="O97" s="44"/>
    </row>
    <row r="98" spans="1:15" x14ac:dyDescent="0.2">
      <c r="K98" s="38"/>
      <c r="L98" s="49" t="s">
        <v>517</v>
      </c>
      <c r="N98" s="49" t="s">
        <v>518</v>
      </c>
    </row>
    <row r="99" spans="1:15" ht="6" customHeight="1" x14ac:dyDescent="0.2">
      <c r="K99" s="38"/>
      <c r="L99" s="38"/>
      <c r="N99" s="38"/>
    </row>
    <row r="100" spans="1:15" ht="12.75" customHeight="1" x14ac:dyDescent="0.2">
      <c r="B100" t="s">
        <v>731</v>
      </c>
      <c r="K100" s="38"/>
      <c r="L100" s="282">
        <f>H27</f>
        <v>0</v>
      </c>
      <c r="N100" s="117"/>
    </row>
    <row r="101" spans="1:15" ht="12.75" customHeight="1" x14ac:dyDescent="0.2">
      <c r="B101" t="s">
        <v>91</v>
      </c>
      <c r="K101" s="38"/>
      <c r="L101" s="118">
        <f>H28</f>
        <v>0</v>
      </c>
      <c r="N101" s="117"/>
    </row>
    <row r="102" spans="1:15" x14ac:dyDescent="0.2">
      <c r="B102" t="s">
        <v>515</v>
      </c>
      <c r="I102" s="13"/>
      <c r="K102" s="94"/>
      <c r="L102" s="83">
        <f t="shared" ref="L102:L110" si="0">H29</f>
        <v>0</v>
      </c>
      <c r="N102" s="83"/>
    </row>
    <row r="103" spans="1:15" x14ac:dyDescent="0.2">
      <c r="B103" t="s">
        <v>926</v>
      </c>
      <c r="K103" s="94"/>
      <c r="L103" s="83">
        <f t="shared" si="0"/>
        <v>0</v>
      </c>
      <c r="N103" s="83"/>
    </row>
    <row r="104" spans="1:15" x14ac:dyDescent="0.2">
      <c r="B104" t="s">
        <v>516</v>
      </c>
      <c r="K104" s="94"/>
      <c r="L104" s="83">
        <f t="shared" si="0"/>
        <v>0</v>
      </c>
      <c r="N104" s="83"/>
    </row>
    <row r="105" spans="1:15" x14ac:dyDescent="0.2">
      <c r="B105" t="s">
        <v>936</v>
      </c>
      <c r="K105" s="94"/>
      <c r="L105" s="83">
        <f t="shared" si="0"/>
        <v>0</v>
      </c>
      <c r="N105" s="83"/>
    </row>
    <row r="106" spans="1:15" x14ac:dyDescent="0.2">
      <c r="B106" t="s">
        <v>928</v>
      </c>
      <c r="K106" s="94"/>
      <c r="L106" s="83">
        <f t="shared" si="0"/>
        <v>0</v>
      </c>
      <c r="N106" s="83"/>
    </row>
    <row r="107" spans="1:15" x14ac:dyDescent="0.2">
      <c r="B107" s="354" t="s">
        <v>734</v>
      </c>
      <c r="K107" s="94"/>
      <c r="L107" s="83">
        <f t="shared" si="0"/>
        <v>0</v>
      </c>
      <c r="N107" s="83"/>
    </row>
    <row r="108" spans="1:15" x14ac:dyDescent="0.2">
      <c r="B108" s="354" t="s">
        <v>735</v>
      </c>
      <c r="K108" s="94"/>
      <c r="L108" s="83">
        <f t="shared" si="0"/>
        <v>0</v>
      </c>
      <c r="N108" s="83"/>
    </row>
    <row r="109" spans="1:15" x14ac:dyDescent="0.2">
      <c r="B109" t="s">
        <v>738</v>
      </c>
      <c r="K109" s="94"/>
      <c r="L109" s="83">
        <f t="shared" si="0"/>
        <v>0</v>
      </c>
      <c r="N109" s="83"/>
    </row>
    <row r="110" spans="1:15" x14ac:dyDescent="0.2">
      <c r="B110" t="s">
        <v>739</v>
      </c>
      <c r="K110" s="94"/>
      <c r="L110" s="83">
        <f t="shared" si="0"/>
        <v>0</v>
      </c>
      <c r="N110" s="83"/>
    </row>
    <row r="111" spans="1:15" x14ac:dyDescent="0.2">
      <c r="C111" t="s">
        <v>311</v>
      </c>
      <c r="K111" s="13"/>
      <c r="L111" s="83"/>
      <c r="N111" s="83">
        <f>H46</f>
        <v>0</v>
      </c>
    </row>
    <row r="112" spans="1:15" x14ac:dyDescent="0.2">
      <c r="C112" t="s">
        <v>312</v>
      </c>
      <c r="K112" s="13"/>
      <c r="L112" s="83"/>
      <c r="N112" s="83">
        <f>H47</f>
        <v>0</v>
      </c>
    </row>
    <row r="113" spans="3:14" ht="12.75" customHeight="1" x14ac:dyDescent="0.2">
      <c r="C113" t="s">
        <v>949</v>
      </c>
      <c r="K113" s="13"/>
      <c r="L113" s="83"/>
      <c r="N113" s="83">
        <f>H48</f>
        <v>0</v>
      </c>
    </row>
    <row r="114" spans="3:14" x14ac:dyDescent="0.2">
      <c r="C114" t="s">
        <v>950</v>
      </c>
      <c r="K114" s="13"/>
      <c r="L114" s="83"/>
      <c r="N114" s="83">
        <f>H51</f>
        <v>0</v>
      </c>
    </row>
    <row r="115" spans="3:14" ht="14.25" x14ac:dyDescent="0.2">
      <c r="C115" t="s">
        <v>951</v>
      </c>
      <c r="K115" s="13"/>
      <c r="L115" s="83"/>
      <c r="M115" s="54"/>
      <c r="N115" s="83">
        <f>H52</f>
        <v>0</v>
      </c>
    </row>
    <row r="116" spans="3:14" ht="12.75" customHeight="1" x14ac:dyDescent="0.2">
      <c r="C116" t="s">
        <v>98</v>
      </c>
      <c r="K116" s="13"/>
      <c r="L116" s="83"/>
      <c r="N116" s="83">
        <f>H53</f>
        <v>0</v>
      </c>
    </row>
    <row r="117" spans="3:14" x14ac:dyDescent="0.2">
      <c r="C117" t="s">
        <v>99</v>
      </c>
      <c r="K117" s="13"/>
      <c r="L117" s="83"/>
      <c r="N117" s="83">
        <f>H56</f>
        <v>0</v>
      </c>
    </row>
    <row r="118" spans="3:14" x14ac:dyDescent="0.2">
      <c r="C118" t="s">
        <v>100</v>
      </c>
      <c r="K118" s="13"/>
      <c r="L118" s="83"/>
      <c r="N118" s="83">
        <f>H57</f>
        <v>0</v>
      </c>
    </row>
    <row r="119" spans="3:14" x14ac:dyDescent="0.2">
      <c r="C119" t="s">
        <v>101</v>
      </c>
      <c r="K119" s="13"/>
      <c r="L119" s="83"/>
      <c r="N119" s="83">
        <f>H58</f>
        <v>0</v>
      </c>
    </row>
    <row r="120" spans="3:14" x14ac:dyDescent="0.2">
      <c r="C120" t="s">
        <v>447</v>
      </c>
      <c r="K120" s="13"/>
      <c r="L120" s="83"/>
      <c r="N120" s="83">
        <f>H61</f>
        <v>0</v>
      </c>
    </row>
    <row r="121" spans="3:14" x14ac:dyDescent="0.2">
      <c r="C121" t="s">
        <v>449</v>
      </c>
      <c r="K121" s="13"/>
      <c r="L121" s="83"/>
      <c r="N121" s="83">
        <f>H62</f>
        <v>0</v>
      </c>
    </row>
    <row r="122" spans="3:14" x14ac:dyDescent="0.2">
      <c r="C122" t="s">
        <v>450</v>
      </c>
      <c r="K122" s="13"/>
      <c r="L122" s="83"/>
      <c r="N122" s="83">
        <f>H63</f>
        <v>0</v>
      </c>
    </row>
    <row r="123" spans="3:14" x14ac:dyDescent="0.2">
      <c r="C123" t="s">
        <v>102</v>
      </c>
      <c r="K123" s="13"/>
      <c r="L123" s="83"/>
      <c r="N123" s="83">
        <f>H66</f>
        <v>0</v>
      </c>
    </row>
    <row r="124" spans="3:14" x14ac:dyDescent="0.2">
      <c r="C124" t="s">
        <v>103</v>
      </c>
      <c r="K124" s="13"/>
      <c r="L124" s="83"/>
      <c r="N124" s="83">
        <f>H67</f>
        <v>0</v>
      </c>
    </row>
    <row r="125" spans="3:14" x14ac:dyDescent="0.2">
      <c r="C125" t="s">
        <v>446</v>
      </c>
      <c r="K125" s="13"/>
      <c r="L125" s="83"/>
      <c r="N125" s="83">
        <f>H68</f>
        <v>0</v>
      </c>
    </row>
    <row r="126" spans="3:14" x14ac:dyDescent="0.2">
      <c r="C126" t="s">
        <v>451</v>
      </c>
      <c r="K126" s="13"/>
      <c r="L126" s="83"/>
      <c r="N126" s="83">
        <f>H71</f>
        <v>0</v>
      </c>
    </row>
    <row r="127" spans="3:14" x14ac:dyDescent="0.2">
      <c r="C127" t="s">
        <v>452</v>
      </c>
      <c r="K127" s="13"/>
      <c r="L127" s="83"/>
      <c r="N127" s="83">
        <f>H72</f>
        <v>0</v>
      </c>
    </row>
    <row r="128" spans="3:14" x14ac:dyDescent="0.2">
      <c r="C128" t="s">
        <v>453</v>
      </c>
      <c r="K128" s="13"/>
      <c r="L128" s="83"/>
      <c r="N128" s="83">
        <f>H73</f>
        <v>0</v>
      </c>
    </row>
    <row r="129" spans="3:14" x14ac:dyDescent="0.2">
      <c r="C129" t="s">
        <v>454</v>
      </c>
      <c r="K129" s="13"/>
      <c r="L129" s="83"/>
      <c r="N129" s="83">
        <f>H76</f>
        <v>0</v>
      </c>
    </row>
    <row r="130" spans="3:14" x14ac:dyDescent="0.2">
      <c r="C130" t="s">
        <v>455</v>
      </c>
      <c r="K130" s="13"/>
      <c r="L130" s="83"/>
      <c r="N130" s="83">
        <f>H77</f>
        <v>0</v>
      </c>
    </row>
    <row r="131" spans="3:14" x14ac:dyDescent="0.2">
      <c r="C131" t="s">
        <v>456</v>
      </c>
      <c r="K131" s="13"/>
      <c r="L131" s="83"/>
      <c r="N131" s="83">
        <f>H78</f>
        <v>0</v>
      </c>
    </row>
    <row r="132" spans="3:14" x14ac:dyDescent="0.2">
      <c r="C132" s="377" t="s">
        <v>553</v>
      </c>
      <c r="K132" s="13"/>
      <c r="L132" s="83"/>
      <c r="N132" s="83">
        <f>H81</f>
        <v>0</v>
      </c>
    </row>
    <row r="133" spans="3:14" x14ac:dyDescent="0.2">
      <c r="C133" s="377" t="s">
        <v>554</v>
      </c>
      <c r="K133" s="13"/>
      <c r="L133" s="83"/>
      <c r="N133" s="83">
        <f>H82</f>
        <v>0</v>
      </c>
    </row>
    <row r="134" spans="3:14" x14ac:dyDescent="0.2">
      <c r="C134" s="377" t="s">
        <v>555</v>
      </c>
      <c r="K134" s="13"/>
      <c r="L134" s="83"/>
      <c r="N134" s="83">
        <f>H83</f>
        <v>0</v>
      </c>
    </row>
    <row r="135" spans="3:14" x14ac:dyDescent="0.2">
      <c r="C135" s="354" t="s">
        <v>574</v>
      </c>
      <c r="K135" s="13"/>
      <c r="L135" s="83"/>
      <c r="N135" s="83">
        <f>H86</f>
        <v>0</v>
      </c>
    </row>
    <row r="136" spans="3:14" x14ac:dyDescent="0.2">
      <c r="C136" s="354" t="s">
        <v>575</v>
      </c>
      <c r="K136" s="13"/>
      <c r="L136" s="83"/>
      <c r="N136" s="83">
        <f>H87</f>
        <v>0</v>
      </c>
    </row>
    <row r="137" spans="3:14" x14ac:dyDescent="0.2">
      <c r="C137" s="354" t="s">
        <v>576</v>
      </c>
      <c r="K137" s="13"/>
      <c r="L137" s="83"/>
      <c r="N137" s="83">
        <f>H88</f>
        <v>0</v>
      </c>
    </row>
    <row r="138" spans="3:14" x14ac:dyDescent="0.2">
      <c r="C138" t="s">
        <v>168</v>
      </c>
      <c r="K138" s="13"/>
      <c r="L138" s="83"/>
      <c r="N138" s="83">
        <f>H90</f>
        <v>0</v>
      </c>
    </row>
    <row r="139" spans="3:14" x14ac:dyDescent="0.2">
      <c r="C139" t="s">
        <v>844</v>
      </c>
      <c r="K139" s="13"/>
      <c r="L139" s="83"/>
      <c r="N139" s="83">
        <f>H91</f>
        <v>0</v>
      </c>
    </row>
    <row r="140" spans="3:14" x14ac:dyDescent="0.2">
      <c r="K140" s="13"/>
      <c r="L140" s="79"/>
      <c r="N140" s="79"/>
    </row>
    <row r="141" spans="3:14" ht="13.5" thickBot="1" x14ac:dyDescent="0.25">
      <c r="K141" s="10">
        <f>SUM(K102:K140)</f>
        <v>0</v>
      </c>
      <c r="L141" s="80">
        <f>SUM(L100:L140)</f>
        <v>0</v>
      </c>
      <c r="N141" s="80">
        <f>SUM(N100:N140)</f>
        <v>0</v>
      </c>
    </row>
    <row r="142" spans="3:14" ht="13.5" thickTop="1" x14ac:dyDescent="0.2"/>
    <row r="145" spans="2:15" ht="24" customHeight="1" x14ac:dyDescent="0.2">
      <c r="B145" s="19"/>
      <c r="C145" s="1387" t="s">
        <v>577</v>
      </c>
      <c r="D145" s="1387"/>
      <c r="E145" s="1387"/>
      <c r="F145" s="1387"/>
      <c r="G145" s="1387"/>
      <c r="H145" s="1387"/>
      <c r="I145" s="1387"/>
      <c r="J145" s="1387"/>
      <c r="K145" s="1387"/>
      <c r="L145" s="1387"/>
      <c r="M145" s="1387"/>
      <c r="N145" s="1387"/>
      <c r="O145" s="1387"/>
    </row>
    <row r="147" spans="2:15" x14ac:dyDescent="0.2">
      <c r="C147" t="s">
        <v>167</v>
      </c>
    </row>
    <row r="148" spans="2:15" x14ac:dyDescent="0.2">
      <c r="C148" t="s">
        <v>95</v>
      </c>
    </row>
  </sheetData>
  <sheetProtection algorithmName="SHA-512" hashValue="fcZSZf5/02ejPPCDGdjN0ZoC8EmaF726Qt7OskabAy0UTFp5gsyilHVWADaG3ncQ8R99k7xzbZgEjE3fO/qTjw==" saltValue="fSd2H16D6Ii5UcuCsuusZA==" spinCount="100000" sheet="1" objects="1" scenarios="1"/>
  <mergeCells count="19">
    <mergeCell ref="C145:O145"/>
    <mergeCell ref="B96:O96"/>
    <mergeCell ref="B41:O41"/>
    <mergeCell ref="J91:J93"/>
    <mergeCell ref="J33:O33"/>
    <mergeCell ref="C36:F36"/>
    <mergeCell ref="C37:F37"/>
    <mergeCell ref="C90:F90"/>
    <mergeCell ref="C91:F91"/>
    <mergeCell ref="C25:F25"/>
    <mergeCell ref="A2:O2"/>
    <mergeCell ref="B4:P4"/>
    <mergeCell ref="C6:O6"/>
    <mergeCell ref="C8:O9"/>
    <mergeCell ref="C11:O12"/>
    <mergeCell ref="C14:O15"/>
    <mergeCell ref="C17:O18"/>
    <mergeCell ref="B23:O23"/>
    <mergeCell ref="C20:O21"/>
  </mergeCells>
  <phoneticPr fontId="17" type="noConversion"/>
  <printOptions horizontalCentered="1"/>
  <pageMargins left="0.5" right="0.45" top="0.66" bottom="0.76" header="0.5" footer="0.5"/>
  <pageSetup scale="66" orientation="portrait" r:id="rId1"/>
  <headerFooter alignWithMargins="0">
    <oddHeader>&amp;R&amp;"Arial,Bold"&amp;12Entry A</oddHeader>
    <oddFooter>&amp;L&amp;8&amp;D - County model&amp;R&amp;P</oddFooter>
  </headerFooter>
  <rowBreaks count="1" manualBreakCount="1">
    <brk id="74" max="15" man="1"/>
  </rowBreaks>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V108"/>
  <sheetViews>
    <sheetView workbookViewId="0">
      <pane ySplit="5" topLeftCell="A85" activePane="bottomLeft" state="frozen"/>
      <selection activeCell="A6" sqref="A6:XFD6"/>
      <selection pane="bottomLeft" activeCell="A7" sqref="A7"/>
    </sheetView>
  </sheetViews>
  <sheetFormatPr defaultColWidth="9.140625" defaultRowHeight="15" x14ac:dyDescent="0.25"/>
  <cols>
    <col min="1" max="1" width="20.5703125" style="1012" customWidth="1"/>
    <col min="2" max="5" width="13.85546875" style="1012" customWidth="1"/>
    <col min="6" max="6" width="18.28515625" style="1012" customWidth="1"/>
    <col min="7" max="7" width="5.28515625" style="1012" customWidth="1"/>
    <col min="8" max="8" width="18.28515625" style="1012" customWidth="1"/>
    <col min="9" max="9" width="20" style="1012" customWidth="1"/>
    <col min="10" max="10" width="14.42578125" style="1012" customWidth="1"/>
    <col min="11" max="11" width="19.42578125" style="1012" customWidth="1"/>
    <col min="12" max="12" width="3.85546875" style="1012" customWidth="1"/>
    <col min="13" max="13" width="18.28515625" style="1012" customWidth="1"/>
    <col min="14" max="14" width="20" style="1012" customWidth="1"/>
    <col min="15" max="15" width="14.42578125" style="1012" customWidth="1"/>
    <col min="16" max="16" width="19.42578125" style="1012" customWidth="1"/>
    <col min="17" max="17" width="3.85546875" style="1012" customWidth="1"/>
    <col min="18" max="18" width="13.85546875" style="1012" customWidth="1"/>
    <col min="19" max="19" width="22.42578125" style="1012" customWidth="1"/>
    <col min="20" max="20" width="12.42578125" style="1012" customWidth="1"/>
    <col min="21" max="21" width="9.140625" style="1012" customWidth="1"/>
    <col min="22" max="22" width="9.140625" style="1012"/>
    <col min="23" max="23" width="9.140625" style="1012" customWidth="1"/>
    <col min="24" max="16384" width="9.140625" style="1012"/>
  </cols>
  <sheetData>
    <row r="1" spans="1:22" x14ac:dyDescent="0.25">
      <c r="A1" s="1012" t="s">
        <v>3677</v>
      </c>
      <c r="B1" s="1013"/>
    </row>
    <row r="2" spans="1:22" x14ac:dyDescent="0.25">
      <c r="A2" s="1012" t="s">
        <v>3981</v>
      </c>
      <c r="B2" s="1013"/>
    </row>
    <row r="3" spans="1:22" x14ac:dyDescent="0.25">
      <c r="B3" s="1013"/>
    </row>
    <row r="4" spans="1:22" x14ac:dyDescent="0.25">
      <c r="B4" s="1013"/>
      <c r="H4" s="1014" t="s">
        <v>1171</v>
      </c>
      <c r="I4" s="1014"/>
      <c r="J4" s="1014"/>
      <c r="K4" s="1014"/>
      <c r="M4" s="1014" t="s">
        <v>1172</v>
      </c>
      <c r="N4" s="1014"/>
      <c r="O4" s="1014"/>
      <c r="P4" s="1014"/>
      <c r="R4" s="1014" t="s">
        <v>1173</v>
      </c>
      <c r="S4" s="1014"/>
      <c r="T4" s="1014"/>
    </row>
    <row r="5" spans="1:22" ht="120" x14ac:dyDescent="0.25">
      <c r="A5" s="1015" t="s">
        <v>2537</v>
      </c>
      <c r="B5" s="1015" t="s">
        <v>2113</v>
      </c>
      <c r="C5" s="1015" t="s">
        <v>2114</v>
      </c>
      <c r="D5" s="837" t="s">
        <v>2538</v>
      </c>
      <c r="E5" s="837" t="s">
        <v>3604</v>
      </c>
      <c r="F5" s="837" t="s">
        <v>3605</v>
      </c>
      <c r="G5" s="1015"/>
      <c r="H5" s="1015" t="s">
        <v>1177</v>
      </c>
      <c r="I5" s="1015" t="s">
        <v>1178</v>
      </c>
      <c r="J5" s="1015" t="s">
        <v>1179</v>
      </c>
      <c r="K5" s="1015" t="s">
        <v>1180</v>
      </c>
      <c r="L5" s="1015"/>
      <c r="M5" s="1015" t="s">
        <v>1177</v>
      </c>
      <c r="N5" s="1015" t="s">
        <v>1178</v>
      </c>
      <c r="O5" s="1015" t="s">
        <v>1179</v>
      </c>
      <c r="P5" s="1015" t="s">
        <v>1180</v>
      </c>
      <c r="Q5" s="1015"/>
      <c r="R5" s="1015" t="s">
        <v>1181</v>
      </c>
      <c r="S5" s="1015" t="s">
        <v>1182</v>
      </c>
      <c r="T5" s="1015" t="s">
        <v>1183</v>
      </c>
    </row>
    <row r="6" spans="1:22" x14ac:dyDescent="0.25">
      <c r="A6" s="1019" t="s">
        <v>4114</v>
      </c>
      <c r="B6" s="1190">
        <v>0</v>
      </c>
      <c r="C6" s="1190">
        <v>0</v>
      </c>
      <c r="D6" s="1191">
        <v>0</v>
      </c>
      <c r="E6" s="1192">
        <v>0</v>
      </c>
      <c r="F6" s="1193">
        <v>0</v>
      </c>
      <c r="G6" s="1193"/>
      <c r="H6" s="1194">
        <v>0</v>
      </c>
      <c r="I6" s="1194">
        <v>0</v>
      </c>
      <c r="J6" s="1194">
        <v>0</v>
      </c>
      <c r="K6" s="1193">
        <v>0</v>
      </c>
      <c r="L6" s="1193"/>
      <c r="M6" s="1194">
        <v>0</v>
      </c>
      <c r="N6" s="1194">
        <v>0</v>
      </c>
      <c r="O6" s="1194">
        <v>0</v>
      </c>
      <c r="P6" s="1193">
        <v>0</v>
      </c>
      <c r="Q6" s="1193"/>
      <c r="R6" s="1194">
        <v>0</v>
      </c>
      <c r="S6" s="1194">
        <v>0</v>
      </c>
      <c r="T6" s="1194">
        <v>0</v>
      </c>
      <c r="U6" s="1018"/>
      <c r="V6" s="1018"/>
    </row>
    <row r="7" spans="1:22" x14ac:dyDescent="0.25">
      <c r="A7" s="1019" t="s">
        <v>2539</v>
      </c>
      <c r="B7" s="1016">
        <v>1.55155E-2</v>
      </c>
      <c r="C7" s="1016">
        <v>1.5880399999999999E-2</v>
      </c>
      <c r="D7" s="686">
        <v>13480.74</v>
      </c>
      <c r="E7" s="808">
        <v>-296900</v>
      </c>
      <c r="F7" s="1007">
        <v>-264834</v>
      </c>
      <c r="G7" s="1007"/>
      <c r="H7" s="1017">
        <v>4546</v>
      </c>
      <c r="I7" s="1017">
        <v>32691</v>
      </c>
      <c r="J7" s="1017">
        <v>44685</v>
      </c>
      <c r="K7" s="1007">
        <v>34599</v>
      </c>
      <c r="L7" s="1007"/>
      <c r="M7" s="1017">
        <v>853</v>
      </c>
      <c r="N7" s="1017">
        <v>10178</v>
      </c>
      <c r="O7" s="1017">
        <v>0</v>
      </c>
      <c r="P7" s="1007">
        <v>1515</v>
      </c>
      <c r="Q7" s="1007"/>
      <c r="R7" s="1017">
        <v>42171</v>
      </c>
      <c r="S7" s="1018">
        <v>137513</v>
      </c>
      <c r="T7" s="1018">
        <v>179684</v>
      </c>
      <c r="U7" s="1018"/>
      <c r="V7" s="1018"/>
    </row>
    <row r="8" spans="1:22" x14ac:dyDescent="0.25">
      <c r="A8" s="1019" t="s">
        <v>2540</v>
      </c>
      <c r="B8" s="1016">
        <v>2.7699999999999999E-3</v>
      </c>
      <c r="C8" s="1016">
        <v>2.8471999999999998E-3</v>
      </c>
      <c r="D8" s="686">
        <v>2406.7199999999998</v>
      </c>
      <c r="E8" s="808">
        <v>-53231</v>
      </c>
      <c r="F8" s="1007">
        <v>-47281</v>
      </c>
      <c r="G8" s="1007"/>
      <c r="H8" s="1017">
        <v>812</v>
      </c>
      <c r="I8" s="1017">
        <v>5836</v>
      </c>
      <c r="J8" s="1017">
        <v>7978</v>
      </c>
      <c r="K8" s="1007">
        <v>1313</v>
      </c>
      <c r="L8" s="1007"/>
      <c r="M8" s="1017">
        <v>152</v>
      </c>
      <c r="N8" s="1017">
        <v>1817</v>
      </c>
      <c r="O8" s="1017">
        <v>0</v>
      </c>
      <c r="P8" s="1007">
        <v>0</v>
      </c>
      <c r="Q8" s="1007"/>
      <c r="R8" s="1017">
        <v>7529</v>
      </c>
      <c r="S8" s="1018">
        <v>706</v>
      </c>
      <c r="T8" s="1018">
        <v>8235</v>
      </c>
      <c r="U8" s="1018"/>
      <c r="V8" s="1018"/>
    </row>
    <row r="9" spans="1:22" x14ac:dyDescent="0.25">
      <c r="A9" s="1019" t="s">
        <v>2541</v>
      </c>
      <c r="B9" s="1016">
        <v>1.4677E-3</v>
      </c>
      <c r="C9" s="1016">
        <v>1.4815E-3</v>
      </c>
      <c r="D9" s="686">
        <v>1275.22</v>
      </c>
      <c r="E9" s="808">
        <v>-27698</v>
      </c>
      <c r="F9" s="1007">
        <v>-25052</v>
      </c>
      <c r="G9" s="1007"/>
      <c r="H9" s="1017">
        <v>430</v>
      </c>
      <c r="I9" s="1017">
        <v>3092</v>
      </c>
      <c r="J9" s="1017">
        <v>4227</v>
      </c>
      <c r="K9" s="1007">
        <v>616</v>
      </c>
      <c r="L9" s="1007"/>
      <c r="M9" s="1017">
        <v>81</v>
      </c>
      <c r="N9" s="1017">
        <v>963</v>
      </c>
      <c r="O9" s="1017">
        <v>0</v>
      </c>
      <c r="P9" s="1007">
        <v>5</v>
      </c>
      <c r="Q9" s="1007"/>
      <c r="R9" s="1017">
        <v>3989</v>
      </c>
      <c r="S9" s="1018">
        <v>302</v>
      </c>
      <c r="T9" s="1018">
        <v>4291</v>
      </c>
      <c r="U9" s="1018"/>
      <c r="V9" s="1018"/>
    </row>
    <row r="10" spans="1:22" x14ac:dyDescent="0.25">
      <c r="A10" s="1019" t="s">
        <v>2542</v>
      </c>
      <c r="B10" s="1016">
        <v>1.6808999999999999E-3</v>
      </c>
      <c r="C10" s="1016">
        <v>1.7148E-3</v>
      </c>
      <c r="D10" s="686">
        <v>1460.48</v>
      </c>
      <c r="E10" s="808">
        <v>-32060</v>
      </c>
      <c r="F10" s="1007">
        <v>-28691</v>
      </c>
      <c r="G10" s="1007"/>
      <c r="H10" s="1017">
        <v>493</v>
      </c>
      <c r="I10" s="1017">
        <v>3542</v>
      </c>
      <c r="J10" s="1017">
        <v>4841</v>
      </c>
      <c r="K10" s="1007">
        <v>973</v>
      </c>
      <c r="L10" s="1007"/>
      <c r="M10" s="1017">
        <v>92</v>
      </c>
      <c r="N10" s="1017">
        <v>1103</v>
      </c>
      <c r="O10" s="1017">
        <v>0</v>
      </c>
      <c r="P10" s="1007">
        <v>0</v>
      </c>
      <c r="Q10" s="1007"/>
      <c r="R10" s="1017">
        <v>4569</v>
      </c>
      <c r="S10" s="1018">
        <v>611</v>
      </c>
      <c r="T10" s="1018">
        <v>5180</v>
      </c>
      <c r="U10" s="1018"/>
      <c r="V10" s="1018"/>
    </row>
    <row r="11" spans="1:22" x14ac:dyDescent="0.25">
      <c r="A11" s="1019" t="s">
        <v>2543</v>
      </c>
      <c r="B11" s="1016">
        <v>3.4340999999999998E-3</v>
      </c>
      <c r="C11" s="1016">
        <v>3.5569999999999998E-3</v>
      </c>
      <c r="D11" s="686">
        <v>2983.73</v>
      </c>
      <c r="E11" s="808">
        <v>-66502</v>
      </c>
      <c r="F11" s="1007">
        <v>-58617</v>
      </c>
      <c r="G11" s="1007"/>
      <c r="H11" s="1017">
        <v>1006</v>
      </c>
      <c r="I11" s="1017">
        <v>7236</v>
      </c>
      <c r="J11" s="1017">
        <v>9890</v>
      </c>
      <c r="K11" s="1007">
        <v>1924</v>
      </c>
      <c r="L11" s="1007"/>
      <c r="M11" s="1017">
        <v>189</v>
      </c>
      <c r="N11" s="1017">
        <v>2253</v>
      </c>
      <c r="O11" s="1017">
        <v>0</v>
      </c>
      <c r="P11" s="1007">
        <v>681</v>
      </c>
      <c r="Q11" s="1007"/>
      <c r="R11" s="1017">
        <v>9334</v>
      </c>
      <c r="S11" s="1018">
        <v>-516</v>
      </c>
      <c r="T11" s="1018">
        <v>8818</v>
      </c>
      <c r="U11" s="1018"/>
      <c r="V11" s="1018"/>
    </row>
    <row r="12" spans="1:22" x14ac:dyDescent="0.25">
      <c r="A12" s="1019" t="s">
        <v>2544</v>
      </c>
      <c r="B12" s="1016">
        <v>2.928E-3</v>
      </c>
      <c r="C12" s="1016">
        <v>2.8322E-3</v>
      </c>
      <c r="D12" s="686">
        <v>2543.98</v>
      </c>
      <c r="E12" s="808">
        <v>-52951</v>
      </c>
      <c r="F12" s="1007">
        <v>-49978</v>
      </c>
      <c r="G12" s="1007"/>
      <c r="H12" s="1017">
        <v>858</v>
      </c>
      <c r="I12" s="1017">
        <v>6169</v>
      </c>
      <c r="J12" s="1017">
        <v>8433</v>
      </c>
      <c r="K12" s="1007">
        <v>370</v>
      </c>
      <c r="L12" s="1007"/>
      <c r="M12" s="1017">
        <v>161</v>
      </c>
      <c r="N12" s="1017">
        <v>1921</v>
      </c>
      <c r="O12" s="1017">
        <v>0</v>
      </c>
      <c r="P12" s="1007">
        <v>3522</v>
      </c>
      <c r="Q12" s="1007"/>
      <c r="R12" s="1017">
        <v>7958</v>
      </c>
      <c r="S12" s="1018">
        <v>-442</v>
      </c>
      <c r="T12" s="1018">
        <v>7517</v>
      </c>
      <c r="U12" s="1018"/>
      <c r="V12" s="1018"/>
    </row>
    <row r="13" spans="1:22" x14ac:dyDescent="0.25">
      <c r="A13" s="1019" t="s">
        <v>2545</v>
      </c>
      <c r="B13" s="1016">
        <v>4.5522000000000002E-3</v>
      </c>
      <c r="C13" s="1016">
        <v>4.4989000000000001E-3</v>
      </c>
      <c r="D13" s="686">
        <v>3955.24</v>
      </c>
      <c r="E13" s="808">
        <v>-84111</v>
      </c>
      <c r="F13" s="1007">
        <v>-77702</v>
      </c>
      <c r="G13" s="1007"/>
      <c r="H13" s="1017">
        <v>1334</v>
      </c>
      <c r="I13" s="1017">
        <v>9591</v>
      </c>
      <c r="J13" s="1017">
        <v>13110</v>
      </c>
      <c r="K13" s="1007">
        <v>387</v>
      </c>
      <c r="L13" s="1007"/>
      <c r="M13" s="1017">
        <v>250</v>
      </c>
      <c r="N13" s="1017">
        <v>2986</v>
      </c>
      <c r="O13" s="1017">
        <v>0</v>
      </c>
      <c r="P13" s="1007">
        <v>3357</v>
      </c>
      <c r="Q13" s="1007"/>
      <c r="R13" s="1017">
        <v>12373</v>
      </c>
      <c r="S13" s="1018">
        <v>-221</v>
      </c>
      <c r="T13" s="1018">
        <v>12152</v>
      </c>
      <c r="U13" s="1018"/>
      <c r="V13" s="1018"/>
    </row>
    <row r="14" spans="1:22" x14ac:dyDescent="0.25">
      <c r="A14" s="1019" t="s">
        <v>2546</v>
      </c>
      <c r="B14" s="1016">
        <v>1.2287999999999999E-3</v>
      </c>
      <c r="C14" s="1016">
        <v>1.1913E-3</v>
      </c>
      <c r="D14" s="686">
        <v>1067.6400000000001</v>
      </c>
      <c r="E14" s="808">
        <v>-22273</v>
      </c>
      <c r="F14" s="1007">
        <v>-20974</v>
      </c>
      <c r="G14" s="1007"/>
      <c r="H14" s="1017">
        <v>360</v>
      </c>
      <c r="I14" s="1017">
        <v>2589</v>
      </c>
      <c r="J14" s="1017">
        <v>3539</v>
      </c>
      <c r="K14" s="1007">
        <v>124</v>
      </c>
      <c r="L14" s="1007"/>
      <c r="M14" s="1017">
        <v>68</v>
      </c>
      <c r="N14" s="1017">
        <v>806</v>
      </c>
      <c r="O14" s="1017">
        <v>0</v>
      </c>
      <c r="P14" s="1007">
        <v>587</v>
      </c>
      <c r="Q14" s="1007"/>
      <c r="R14" s="1017">
        <v>3340</v>
      </c>
      <c r="S14" s="1018">
        <v>-84</v>
      </c>
      <c r="T14" s="1018">
        <v>3256</v>
      </c>
      <c r="U14" s="1018"/>
      <c r="V14" s="1018"/>
    </row>
    <row r="15" spans="1:22" x14ac:dyDescent="0.25">
      <c r="A15" s="1019" t="s">
        <v>2547</v>
      </c>
      <c r="B15" s="1016">
        <v>2.5241999999999999E-3</v>
      </c>
      <c r="C15" s="1016">
        <v>2.5176999999999999E-3</v>
      </c>
      <c r="D15" s="686">
        <v>2193.16</v>
      </c>
      <c r="E15" s="808">
        <v>-47071</v>
      </c>
      <c r="F15" s="1007">
        <v>-43086</v>
      </c>
      <c r="G15" s="1007"/>
      <c r="H15" s="1017">
        <v>740</v>
      </c>
      <c r="I15" s="1017">
        <v>5318</v>
      </c>
      <c r="J15" s="1017">
        <v>7270</v>
      </c>
      <c r="K15" s="1007">
        <v>686</v>
      </c>
      <c r="L15" s="1007"/>
      <c r="M15" s="1017">
        <v>139</v>
      </c>
      <c r="N15" s="1017">
        <v>1656</v>
      </c>
      <c r="O15" s="1017">
        <v>0</v>
      </c>
      <c r="P15" s="1007">
        <v>103</v>
      </c>
      <c r="Q15" s="1007"/>
      <c r="R15" s="1017">
        <v>6861</v>
      </c>
      <c r="S15" s="1018">
        <v>12</v>
      </c>
      <c r="T15" s="1018">
        <v>6873</v>
      </c>
      <c r="U15" s="1018"/>
      <c r="V15" s="1018"/>
    </row>
    <row r="16" spans="1:22" x14ac:dyDescent="0.25">
      <c r="A16" s="1019" t="s">
        <v>2548</v>
      </c>
      <c r="B16" s="1016">
        <v>2.1895999999999999E-2</v>
      </c>
      <c r="C16" s="1016">
        <v>1.9386E-2</v>
      </c>
      <c r="D16" s="686">
        <v>19024.5</v>
      </c>
      <c r="E16" s="808">
        <v>-362441</v>
      </c>
      <c r="F16" s="1007">
        <v>-373743</v>
      </c>
      <c r="G16" s="1007"/>
      <c r="H16" s="1017">
        <v>6416</v>
      </c>
      <c r="I16" s="1017">
        <v>46135</v>
      </c>
      <c r="J16" s="1017">
        <v>63060</v>
      </c>
      <c r="K16" s="1007">
        <v>15822</v>
      </c>
      <c r="L16" s="1007"/>
      <c r="M16" s="1017">
        <v>1204</v>
      </c>
      <c r="N16" s="1017">
        <v>14364</v>
      </c>
      <c r="O16" s="1017">
        <v>0</v>
      </c>
      <c r="P16" s="1007">
        <v>39311</v>
      </c>
      <c r="Q16" s="1007"/>
      <c r="R16" s="1017">
        <v>59513</v>
      </c>
      <c r="S16" s="1018">
        <v>-9506</v>
      </c>
      <c r="T16" s="1018">
        <v>50007</v>
      </c>
      <c r="U16" s="1018"/>
      <c r="V16" s="1018"/>
    </row>
    <row r="17" spans="1:22" x14ac:dyDescent="0.25">
      <c r="A17" s="1019" t="s">
        <v>2549</v>
      </c>
      <c r="B17" s="1016">
        <v>3.51478E-2</v>
      </c>
      <c r="C17" s="1016">
        <v>3.46618E-2</v>
      </c>
      <c r="D17" s="686">
        <v>30538.41</v>
      </c>
      <c r="E17" s="808">
        <v>-648037</v>
      </c>
      <c r="F17" s="1007">
        <v>-599938</v>
      </c>
      <c r="G17" s="1007"/>
      <c r="H17" s="1017">
        <v>10298</v>
      </c>
      <c r="I17" s="1017">
        <v>74056</v>
      </c>
      <c r="J17" s="1017">
        <v>101226</v>
      </c>
      <c r="K17" s="1007">
        <v>0</v>
      </c>
      <c r="L17" s="1007"/>
      <c r="M17" s="1017">
        <v>1933</v>
      </c>
      <c r="N17" s="1017">
        <v>23057</v>
      </c>
      <c r="O17" s="1017">
        <v>0</v>
      </c>
      <c r="P17" s="1007">
        <v>12566</v>
      </c>
      <c r="Q17" s="1007"/>
      <c r="R17" s="1017">
        <v>95532</v>
      </c>
      <c r="S17" s="1018">
        <v>-27587</v>
      </c>
      <c r="T17" s="1018">
        <v>67945</v>
      </c>
      <c r="U17" s="1018"/>
      <c r="V17" s="1018"/>
    </row>
    <row r="18" spans="1:22" x14ac:dyDescent="0.25">
      <c r="A18" s="1019" t="s">
        <v>2550</v>
      </c>
      <c r="B18" s="1016">
        <v>1.1046800000000001E-2</v>
      </c>
      <c r="C18" s="1016">
        <v>1.0696499999999999E-2</v>
      </c>
      <c r="D18" s="686">
        <v>9598.07</v>
      </c>
      <c r="E18" s="808">
        <v>-199982</v>
      </c>
      <c r="F18" s="1007">
        <v>-188558</v>
      </c>
      <c r="G18" s="1007"/>
      <c r="H18" s="1017">
        <v>3237</v>
      </c>
      <c r="I18" s="1017">
        <v>23276</v>
      </c>
      <c r="J18" s="1017">
        <v>31815</v>
      </c>
      <c r="K18" s="1007">
        <v>0</v>
      </c>
      <c r="L18" s="1007"/>
      <c r="M18" s="1017">
        <v>608</v>
      </c>
      <c r="N18" s="1017">
        <v>7247</v>
      </c>
      <c r="O18" s="1017">
        <v>0</v>
      </c>
      <c r="P18" s="1007">
        <v>29340</v>
      </c>
      <c r="Q18" s="1007"/>
      <c r="R18" s="1017">
        <v>30025</v>
      </c>
      <c r="S18" s="1018">
        <v>-25231</v>
      </c>
      <c r="T18" s="1018">
        <v>4794</v>
      </c>
      <c r="U18" s="1018"/>
      <c r="V18" s="1018"/>
    </row>
    <row r="19" spans="1:22" x14ac:dyDescent="0.25">
      <c r="A19" s="1019" t="s">
        <v>2551</v>
      </c>
      <c r="B19" s="1016">
        <v>2.3873700000000001E-2</v>
      </c>
      <c r="C19" s="1016">
        <v>2.39884E-2</v>
      </c>
      <c r="D19" s="686">
        <v>20742.78</v>
      </c>
      <c r="E19" s="808">
        <v>-448487</v>
      </c>
      <c r="F19" s="1007">
        <v>-407500</v>
      </c>
      <c r="G19" s="1007"/>
      <c r="H19" s="1017">
        <v>6995</v>
      </c>
      <c r="I19" s="1017">
        <v>50302</v>
      </c>
      <c r="J19" s="1017">
        <v>68756</v>
      </c>
      <c r="K19" s="1007">
        <v>1796</v>
      </c>
      <c r="L19" s="1007"/>
      <c r="M19" s="1017">
        <v>1313</v>
      </c>
      <c r="N19" s="1017">
        <v>15661</v>
      </c>
      <c r="O19" s="1017">
        <v>0</v>
      </c>
      <c r="P19" s="1007">
        <v>14720</v>
      </c>
      <c r="Q19" s="1007"/>
      <c r="R19" s="1017">
        <v>64889</v>
      </c>
      <c r="S19" s="1018">
        <v>-17071</v>
      </c>
      <c r="T19" s="1018">
        <v>47818</v>
      </c>
      <c r="U19" s="1018"/>
      <c r="V19" s="1018"/>
    </row>
    <row r="20" spans="1:22" x14ac:dyDescent="0.25">
      <c r="A20" s="1019" t="s">
        <v>2552</v>
      </c>
      <c r="B20" s="1016">
        <v>6.7060000000000002E-3</v>
      </c>
      <c r="C20" s="1016">
        <v>7.5778E-3</v>
      </c>
      <c r="D20" s="686">
        <v>5826.51</v>
      </c>
      <c r="E20" s="808">
        <v>-141675</v>
      </c>
      <c r="F20" s="1007">
        <v>-114465</v>
      </c>
      <c r="G20" s="1007"/>
      <c r="H20" s="1017">
        <v>1965</v>
      </c>
      <c r="I20" s="1017">
        <v>14130</v>
      </c>
      <c r="J20" s="1017">
        <v>19313</v>
      </c>
      <c r="K20" s="1007">
        <v>14284</v>
      </c>
      <c r="L20" s="1007"/>
      <c r="M20" s="1017">
        <v>369</v>
      </c>
      <c r="N20" s="1017">
        <v>4399</v>
      </c>
      <c r="O20" s="1017">
        <v>0</v>
      </c>
      <c r="P20" s="1007">
        <v>3579</v>
      </c>
      <c r="Q20" s="1007"/>
      <c r="R20" s="1017">
        <v>18227</v>
      </c>
      <c r="S20" s="1018">
        <v>6251</v>
      </c>
      <c r="T20" s="1018">
        <v>24478</v>
      </c>
      <c r="U20" s="1018"/>
      <c r="V20" s="1018"/>
    </row>
    <row r="21" spans="1:22" x14ac:dyDescent="0.25">
      <c r="A21" s="1019" t="s">
        <v>2553</v>
      </c>
      <c r="B21" s="1016">
        <v>1.0656999999999999E-3</v>
      </c>
      <c r="C21" s="1016">
        <v>1.103E-3</v>
      </c>
      <c r="D21" s="686">
        <v>925.96</v>
      </c>
      <c r="E21" s="808">
        <v>-20622</v>
      </c>
      <c r="F21" s="1007">
        <v>-18190</v>
      </c>
      <c r="G21" s="1007"/>
      <c r="H21" s="1017">
        <v>312</v>
      </c>
      <c r="I21" s="1017">
        <v>2245</v>
      </c>
      <c r="J21" s="1017">
        <v>3069</v>
      </c>
      <c r="K21" s="1007">
        <v>667</v>
      </c>
      <c r="L21" s="1007"/>
      <c r="M21" s="1017">
        <v>59</v>
      </c>
      <c r="N21" s="1017">
        <v>699</v>
      </c>
      <c r="O21" s="1017">
        <v>0</v>
      </c>
      <c r="P21" s="1007">
        <v>1475</v>
      </c>
      <c r="Q21" s="1007"/>
      <c r="R21" s="1017">
        <v>2897</v>
      </c>
      <c r="S21" s="1018">
        <v>-208</v>
      </c>
      <c r="T21" s="1018">
        <v>2689</v>
      </c>
      <c r="U21" s="1018"/>
      <c r="V21" s="1018"/>
    </row>
    <row r="22" spans="1:22" x14ac:dyDescent="0.25">
      <c r="A22" s="1019" t="s">
        <v>2554</v>
      </c>
      <c r="B22" s="1016">
        <v>9.3938000000000008E-3</v>
      </c>
      <c r="C22" s="1016">
        <v>1.33673E-2</v>
      </c>
      <c r="D22" s="686">
        <v>8161.85</v>
      </c>
      <c r="E22" s="808">
        <v>-249915</v>
      </c>
      <c r="F22" s="1007">
        <v>-160343</v>
      </c>
      <c r="G22" s="1007"/>
      <c r="H22" s="1017">
        <v>2752</v>
      </c>
      <c r="I22" s="1017">
        <v>19793</v>
      </c>
      <c r="J22" s="1017">
        <v>27054</v>
      </c>
      <c r="K22" s="1007">
        <v>62351</v>
      </c>
      <c r="L22" s="1007"/>
      <c r="M22" s="1017">
        <v>517</v>
      </c>
      <c r="N22" s="1017">
        <v>6162</v>
      </c>
      <c r="O22" s="1017">
        <v>0</v>
      </c>
      <c r="P22" s="1007">
        <v>24001</v>
      </c>
      <c r="Q22" s="1007"/>
      <c r="R22" s="1017">
        <v>25532</v>
      </c>
      <c r="S22" s="1018">
        <v>14633</v>
      </c>
      <c r="T22" s="1018">
        <v>40165</v>
      </c>
      <c r="U22" s="1018"/>
      <c r="V22" s="1018"/>
    </row>
    <row r="23" spans="1:22" x14ac:dyDescent="0.25">
      <c r="A23" s="1019" t="s">
        <v>2555</v>
      </c>
      <c r="B23" s="1016">
        <v>1.6682999999999999E-3</v>
      </c>
      <c r="C23" s="1016">
        <v>1.7351999999999999E-3</v>
      </c>
      <c r="D23" s="686">
        <v>1449.49</v>
      </c>
      <c r="E23" s="808">
        <v>-32441</v>
      </c>
      <c r="F23" s="1007">
        <v>-28476</v>
      </c>
      <c r="G23" s="1007"/>
      <c r="H23" s="1017">
        <v>489</v>
      </c>
      <c r="I23" s="1017">
        <v>3515</v>
      </c>
      <c r="J23" s="1017">
        <v>4805</v>
      </c>
      <c r="K23" s="1007">
        <v>1062</v>
      </c>
      <c r="L23" s="1007"/>
      <c r="M23" s="1017">
        <v>92</v>
      </c>
      <c r="N23" s="1017">
        <v>1094</v>
      </c>
      <c r="O23" s="1017">
        <v>0</v>
      </c>
      <c r="P23" s="1007">
        <v>465</v>
      </c>
      <c r="Q23" s="1007"/>
      <c r="R23" s="1017">
        <v>4534</v>
      </c>
      <c r="S23" s="1018">
        <v>-8</v>
      </c>
      <c r="T23" s="1018">
        <v>4527</v>
      </c>
      <c r="U23" s="1018"/>
      <c r="V23" s="1018"/>
    </row>
    <row r="24" spans="1:22" x14ac:dyDescent="0.25">
      <c r="A24" s="1019" t="s">
        <v>2556</v>
      </c>
      <c r="B24" s="1016">
        <v>1.6446300000000001E-2</v>
      </c>
      <c r="C24" s="1016">
        <v>1.6867199999999999E-2</v>
      </c>
      <c r="D24" s="686">
        <v>14289.44</v>
      </c>
      <c r="E24" s="808">
        <v>-315349</v>
      </c>
      <c r="F24" s="1007">
        <v>-280722</v>
      </c>
      <c r="G24" s="1007"/>
      <c r="H24" s="1017">
        <v>4819</v>
      </c>
      <c r="I24" s="1017">
        <v>34652</v>
      </c>
      <c r="J24" s="1017">
        <v>47365</v>
      </c>
      <c r="K24" s="1007">
        <v>6590</v>
      </c>
      <c r="L24" s="1007"/>
      <c r="M24" s="1017">
        <v>905</v>
      </c>
      <c r="N24" s="1017">
        <v>10789</v>
      </c>
      <c r="O24" s="1017">
        <v>0</v>
      </c>
      <c r="P24" s="1007">
        <v>3417</v>
      </c>
      <c r="Q24" s="1007"/>
      <c r="R24" s="1017">
        <v>44701</v>
      </c>
      <c r="S24" s="1018">
        <v>-2176</v>
      </c>
      <c r="T24" s="1018">
        <v>42525</v>
      </c>
      <c r="U24" s="1018"/>
      <c r="V24" s="1018"/>
    </row>
    <row r="25" spans="1:22" x14ac:dyDescent="0.25">
      <c r="A25" s="1019" t="s">
        <v>2557</v>
      </c>
      <c r="B25" s="1016">
        <v>8.7611000000000008E-3</v>
      </c>
      <c r="C25" s="1016">
        <v>8.1905999999999993E-3</v>
      </c>
      <c r="D25" s="686">
        <v>7612.16</v>
      </c>
      <c r="E25" s="808">
        <v>-153131</v>
      </c>
      <c r="F25" s="1007">
        <v>-149543</v>
      </c>
      <c r="G25" s="1007"/>
      <c r="H25" s="1017">
        <v>2567</v>
      </c>
      <c r="I25" s="1017">
        <v>18460</v>
      </c>
      <c r="J25" s="1017">
        <v>25232</v>
      </c>
      <c r="K25" s="1007">
        <v>2077</v>
      </c>
      <c r="L25" s="1007"/>
      <c r="M25" s="1017">
        <v>482</v>
      </c>
      <c r="N25" s="1017">
        <v>5747</v>
      </c>
      <c r="O25" s="1017">
        <v>0</v>
      </c>
      <c r="P25" s="1007">
        <v>9111</v>
      </c>
      <c r="Q25" s="1007"/>
      <c r="R25" s="1017">
        <v>23813</v>
      </c>
      <c r="S25" s="1018">
        <v>-4210</v>
      </c>
      <c r="T25" s="1018">
        <v>19603</v>
      </c>
      <c r="U25" s="1018"/>
      <c r="V25" s="1018"/>
    </row>
    <row r="26" spans="1:22" x14ac:dyDescent="0.25">
      <c r="A26" s="1019" t="s">
        <v>2558</v>
      </c>
      <c r="B26" s="1016">
        <v>3.6286999999999999E-3</v>
      </c>
      <c r="C26" s="1016">
        <v>3.8235000000000001E-3</v>
      </c>
      <c r="D26" s="686">
        <v>3152.86</v>
      </c>
      <c r="E26" s="808">
        <v>-71484</v>
      </c>
      <c r="F26" s="1007">
        <v>-61938</v>
      </c>
      <c r="G26" s="1007"/>
      <c r="H26" s="1017">
        <v>1063</v>
      </c>
      <c r="I26" s="1017">
        <v>7646</v>
      </c>
      <c r="J26" s="1017">
        <v>10451</v>
      </c>
      <c r="K26" s="1007">
        <v>3050</v>
      </c>
      <c r="L26" s="1007"/>
      <c r="M26" s="1017">
        <v>200</v>
      </c>
      <c r="N26" s="1017">
        <v>2380</v>
      </c>
      <c r="O26" s="1017">
        <v>0</v>
      </c>
      <c r="P26" s="1007">
        <v>592</v>
      </c>
      <c r="Q26" s="1007"/>
      <c r="R26" s="1017">
        <v>9863</v>
      </c>
      <c r="S26" s="1018">
        <v>-255</v>
      </c>
      <c r="T26" s="1018">
        <v>9608</v>
      </c>
      <c r="U26" s="1018"/>
      <c r="V26" s="1018"/>
    </row>
    <row r="27" spans="1:22" x14ac:dyDescent="0.25">
      <c r="A27" s="1019" t="s">
        <v>2559</v>
      </c>
      <c r="B27" s="1016">
        <v>1.5244E-3</v>
      </c>
      <c r="C27" s="1016">
        <v>1.5716E-3</v>
      </c>
      <c r="D27" s="686">
        <v>1324.45</v>
      </c>
      <c r="E27" s="808">
        <v>-29383</v>
      </c>
      <c r="F27" s="1007">
        <v>-26020</v>
      </c>
      <c r="G27" s="1007"/>
      <c r="H27" s="1017">
        <v>447</v>
      </c>
      <c r="I27" s="1017">
        <v>3212</v>
      </c>
      <c r="J27" s="1017">
        <v>4390</v>
      </c>
      <c r="K27" s="1007">
        <v>1162</v>
      </c>
      <c r="L27" s="1007"/>
      <c r="M27" s="1017">
        <v>84</v>
      </c>
      <c r="N27" s="1017">
        <v>1000</v>
      </c>
      <c r="O27" s="1017">
        <v>0</v>
      </c>
      <c r="P27" s="1007">
        <v>0</v>
      </c>
      <c r="Q27" s="1007"/>
      <c r="R27" s="1017">
        <v>4143</v>
      </c>
      <c r="S27" s="1018">
        <v>806</v>
      </c>
      <c r="T27" s="1018">
        <v>4949</v>
      </c>
      <c r="U27" s="1018"/>
      <c r="V27" s="1018"/>
    </row>
    <row r="28" spans="1:22" x14ac:dyDescent="0.25">
      <c r="A28" s="1019" t="s">
        <v>2560</v>
      </c>
      <c r="B28" s="1016">
        <v>1.5047999999999999E-3</v>
      </c>
      <c r="C28" s="1016">
        <v>1.5135000000000001E-3</v>
      </c>
      <c r="D28" s="686">
        <v>1307.46</v>
      </c>
      <c r="E28" s="808">
        <v>-28296</v>
      </c>
      <c r="F28" s="1007">
        <v>-25685</v>
      </c>
      <c r="G28" s="1007"/>
      <c r="H28" s="1017">
        <v>441</v>
      </c>
      <c r="I28" s="1017">
        <v>3171</v>
      </c>
      <c r="J28" s="1017">
        <v>4334</v>
      </c>
      <c r="K28" s="1007">
        <v>1082</v>
      </c>
      <c r="L28" s="1007"/>
      <c r="M28" s="1017">
        <v>83</v>
      </c>
      <c r="N28" s="1017">
        <v>987</v>
      </c>
      <c r="O28" s="1017">
        <v>0</v>
      </c>
      <c r="P28" s="1007">
        <v>0</v>
      </c>
      <c r="Q28" s="1007"/>
      <c r="R28" s="1017">
        <v>4090</v>
      </c>
      <c r="S28" s="1018">
        <v>1607</v>
      </c>
      <c r="T28" s="1018">
        <v>5697</v>
      </c>
      <c r="U28" s="1018"/>
      <c r="V28" s="1018"/>
    </row>
    <row r="29" spans="1:22" x14ac:dyDescent="0.25">
      <c r="A29" s="1019" t="s">
        <v>2561</v>
      </c>
      <c r="B29" s="1016">
        <v>7.0412000000000001E-3</v>
      </c>
      <c r="C29" s="1016">
        <v>6.5862000000000004E-3</v>
      </c>
      <c r="D29" s="686">
        <v>6117.8</v>
      </c>
      <c r="E29" s="808">
        <v>-123136</v>
      </c>
      <c r="F29" s="1007">
        <v>-120186</v>
      </c>
      <c r="G29" s="1007"/>
      <c r="H29" s="1017">
        <v>2063</v>
      </c>
      <c r="I29" s="1017">
        <v>14836</v>
      </c>
      <c r="J29" s="1017">
        <v>20279</v>
      </c>
      <c r="K29" s="1007">
        <v>1148</v>
      </c>
      <c r="L29" s="1007"/>
      <c r="M29" s="1017">
        <v>387</v>
      </c>
      <c r="N29" s="1017">
        <v>4619</v>
      </c>
      <c r="O29" s="1017">
        <v>0</v>
      </c>
      <c r="P29" s="1007">
        <v>7562</v>
      </c>
      <c r="Q29" s="1007"/>
      <c r="R29" s="1017">
        <v>19138</v>
      </c>
      <c r="S29" s="1018">
        <v>-5309</v>
      </c>
      <c r="T29" s="1018">
        <v>13829</v>
      </c>
      <c r="U29" s="1018"/>
      <c r="V29" s="1018"/>
    </row>
    <row r="30" spans="1:22" x14ac:dyDescent="0.25">
      <c r="A30" s="1019" t="s">
        <v>2562</v>
      </c>
      <c r="B30" s="1016">
        <v>4.2263999999999999E-3</v>
      </c>
      <c r="C30" s="1016">
        <v>4.1635999999999999E-3</v>
      </c>
      <c r="D30" s="686">
        <v>3672.15</v>
      </c>
      <c r="E30" s="808">
        <v>-77843</v>
      </c>
      <c r="F30" s="1007">
        <v>-72140</v>
      </c>
      <c r="G30" s="1007"/>
      <c r="H30" s="1017">
        <v>1238</v>
      </c>
      <c r="I30" s="1017">
        <v>8905</v>
      </c>
      <c r="J30" s="1017">
        <v>12172</v>
      </c>
      <c r="K30" s="1007">
        <v>3548</v>
      </c>
      <c r="L30" s="1007"/>
      <c r="M30" s="1017">
        <v>232</v>
      </c>
      <c r="N30" s="1017">
        <v>2773</v>
      </c>
      <c r="O30" s="1017">
        <v>0</v>
      </c>
      <c r="P30" s="1007">
        <v>983</v>
      </c>
      <c r="Q30" s="1007"/>
      <c r="R30" s="1017">
        <v>11487</v>
      </c>
      <c r="S30" s="1018">
        <v>787</v>
      </c>
      <c r="T30" s="1018">
        <v>12274</v>
      </c>
      <c r="U30" s="1018"/>
      <c r="V30" s="1018"/>
    </row>
    <row r="31" spans="1:22" x14ac:dyDescent="0.25">
      <c r="A31" s="1019" t="s">
        <v>2563</v>
      </c>
      <c r="B31" s="1016">
        <v>1.1783800000000001E-2</v>
      </c>
      <c r="C31" s="1016">
        <v>1.21683E-2</v>
      </c>
      <c r="D31" s="686">
        <v>10238.43</v>
      </c>
      <c r="E31" s="808">
        <v>-227499</v>
      </c>
      <c r="F31" s="1007">
        <v>-201138</v>
      </c>
      <c r="G31" s="1007"/>
      <c r="H31" s="1017">
        <v>3453</v>
      </c>
      <c r="I31" s="1017">
        <v>24828</v>
      </c>
      <c r="J31" s="1017">
        <v>33937</v>
      </c>
      <c r="K31" s="1007">
        <v>6021</v>
      </c>
      <c r="L31" s="1007"/>
      <c r="M31" s="1017">
        <v>648</v>
      </c>
      <c r="N31" s="1017">
        <v>7730</v>
      </c>
      <c r="O31" s="1017">
        <v>0</v>
      </c>
      <c r="P31" s="1007">
        <v>10319</v>
      </c>
      <c r="Q31" s="1007"/>
      <c r="R31" s="1017">
        <v>32028</v>
      </c>
      <c r="S31" s="1018">
        <v>-4544</v>
      </c>
      <c r="T31" s="1018">
        <v>27485</v>
      </c>
      <c r="U31" s="1018"/>
      <c r="V31" s="1018"/>
    </row>
    <row r="32" spans="1:22" x14ac:dyDescent="0.25">
      <c r="A32" s="1019" t="s">
        <v>2564</v>
      </c>
      <c r="B32" s="1016">
        <v>3.2709700000000001E-2</v>
      </c>
      <c r="C32" s="1016">
        <v>3.3197299999999999E-2</v>
      </c>
      <c r="D32" s="686">
        <v>28420.07</v>
      </c>
      <c r="E32" s="808">
        <v>-620657</v>
      </c>
      <c r="F32" s="1007">
        <v>-558322</v>
      </c>
      <c r="G32" s="1007"/>
      <c r="H32" s="1017">
        <v>9584</v>
      </c>
      <c r="I32" s="1017">
        <v>68919</v>
      </c>
      <c r="J32" s="1017">
        <v>94204</v>
      </c>
      <c r="K32" s="1007">
        <v>21750</v>
      </c>
      <c r="L32" s="1007"/>
      <c r="M32" s="1017">
        <v>1799</v>
      </c>
      <c r="N32" s="1017">
        <v>21458</v>
      </c>
      <c r="O32" s="1017">
        <v>0</v>
      </c>
      <c r="P32" s="1007">
        <v>0</v>
      </c>
      <c r="Q32" s="1007"/>
      <c r="R32" s="1017">
        <v>88905</v>
      </c>
      <c r="S32" s="1018">
        <v>17502</v>
      </c>
      <c r="T32" s="1018">
        <v>106407</v>
      </c>
      <c r="U32" s="1018"/>
      <c r="V32" s="1018"/>
    </row>
    <row r="33" spans="1:22" x14ac:dyDescent="0.25">
      <c r="A33" s="1019" t="s">
        <v>2565</v>
      </c>
      <c r="B33" s="1016">
        <v>3.9345999999999999E-3</v>
      </c>
      <c r="C33" s="1016">
        <v>4.1034000000000001E-3</v>
      </c>
      <c r="D33" s="686">
        <v>3418.59</v>
      </c>
      <c r="E33" s="808">
        <v>-76717</v>
      </c>
      <c r="F33" s="1007">
        <v>-67160</v>
      </c>
      <c r="G33" s="1007"/>
      <c r="H33" s="1017">
        <v>1153</v>
      </c>
      <c r="I33" s="1017">
        <v>8290</v>
      </c>
      <c r="J33" s="1017">
        <v>11332</v>
      </c>
      <c r="K33" s="1007">
        <v>3941</v>
      </c>
      <c r="L33" s="1007"/>
      <c r="M33" s="1017">
        <v>216</v>
      </c>
      <c r="N33" s="1017">
        <v>2581</v>
      </c>
      <c r="O33" s="1017">
        <v>0</v>
      </c>
      <c r="P33" s="1007">
        <v>0</v>
      </c>
      <c r="Q33" s="1007"/>
      <c r="R33" s="1017">
        <v>10694</v>
      </c>
      <c r="S33" s="1018">
        <v>2925</v>
      </c>
      <c r="T33" s="1018">
        <v>13619</v>
      </c>
      <c r="U33" s="1018"/>
      <c r="V33" s="1018"/>
    </row>
    <row r="34" spans="1:22" x14ac:dyDescent="0.25">
      <c r="A34" s="1019" t="s">
        <v>2566</v>
      </c>
      <c r="B34" s="1016">
        <v>8.9502999999999996E-3</v>
      </c>
      <c r="C34" s="1016">
        <v>9.5162000000000007E-3</v>
      </c>
      <c r="D34" s="686">
        <v>7776.55</v>
      </c>
      <c r="E34" s="808">
        <v>-177915</v>
      </c>
      <c r="F34" s="1007">
        <v>-152773</v>
      </c>
      <c r="G34" s="1007"/>
      <c r="H34" s="1017">
        <v>2622</v>
      </c>
      <c r="I34" s="1017">
        <v>18858</v>
      </c>
      <c r="J34" s="1017">
        <v>25777</v>
      </c>
      <c r="K34" s="1007">
        <v>9256</v>
      </c>
      <c r="L34" s="1007"/>
      <c r="M34" s="1017">
        <v>492</v>
      </c>
      <c r="N34" s="1017">
        <v>5871</v>
      </c>
      <c r="O34" s="1017">
        <v>0</v>
      </c>
      <c r="P34" s="1007">
        <v>3901</v>
      </c>
      <c r="Q34" s="1007"/>
      <c r="R34" s="1017">
        <v>24327</v>
      </c>
      <c r="S34" s="1018">
        <v>3833</v>
      </c>
      <c r="T34" s="1018">
        <v>28160</v>
      </c>
      <c r="U34" s="1018"/>
      <c r="V34" s="1018"/>
    </row>
    <row r="35" spans="1:22" x14ac:dyDescent="0.25">
      <c r="A35" s="1019" t="s">
        <v>2567</v>
      </c>
      <c r="B35" s="1016">
        <v>1.55941E-2</v>
      </c>
      <c r="C35" s="1016">
        <v>1.08719E-2</v>
      </c>
      <c r="D35" s="686">
        <v>13549.01</v>
      </c>
      <c r="E35" s="808">
        <v>-203261</v>
      </c>
      <c r="F35" s="1007">
        <v>-266176</v>
      </c>
      <c r="G35" s="1007"/>
      <c r="H35" s="1017">
        <v>4569</v>
      </c>
      <c r="I35" s="1017">
        <v>32857</v>
      </c>
      <c r="J35" s="1017">
        <v>44911</v>
      </c>
      <c r="K35" s="1007">
        <v>20126</v>
      </c>
      <c r="L35" s="1007"/>
      <c r="M35" s="1017">
        <v>858</v>
      </c>
      <c r="N35" s="1017">
        <v>10230</v>
      </c>
      <c r="O35" s="1017">
        <v>0</v>
      </c>
      <c r="P35" s="1007">
        <v>73940</v>
      </c>
      <c r="Q35" s="1007"/>
      <c r="R35" s="1017">
        <v>42385</v>
      </c>
      <c r="S35" s="1018">
        <v>-16020</v>
      </c>
      <c r="T35" s="1018">
        <v>26365</v>
      </c>
      <c r="U35" s="1018"/>
      <c r="V35" s="1018"/>
    </row>
    <row r="36" spans="1:22" x14ac:dyDescent="0.25">
      <c r="A36" s="1019" t="s">
        <v>2568</v>
      </c>
      <c r="B36" s="1016">
        <v>4.2516000000000003E-3</v>
      </c>
      <c r="C36" s="1016">
        <v>4.0918999999999999E-3</v>
      </c>
      <c r="D36" s="686">
        <v>3694</v>
      </c>
      <c r="E36" s="808">
        <v>-76502</v>
      </c>
      <c r="F36" s="1007">
        <v>-72571</v>
      </c>
      <c r="G36" s="1007"/>
      <c r="H36" s="1017">
        <v>1246</v>
      </c>
      <c r="I36" s="1017">
        <v>8958</v>
      </c>
      <c r="J36" s="1017">
        <v>12245</v>
      </c>
      <c r="K36" s="1007">
        <v>1078</v>
      </c>
      <c r="L36" s="1007"/>
      <c r="M36" s="1017">
        <v>234</v>
      </c>
      <c r="N36" s="1017">
        <v>2789</v>
      </c>
      <c r="O36" s="1017">
        <v>0</v>
      </c>
      <c r="P36" s="1007">
        <v>2789</v>
      </c>
      <c r="Q36" s="1007"/>
      <c r="R36" s="1017">
        <v>11556</v>
      </c>
      <c r="S36" s="1018">
        <v>-2039</v>
      </c>
      <c r="T36" s="1018">
        <v>9517</v>
      </c>
      <c r="U36" s="1018"/>
      <c r="V36" s="1018"/>
    </row>
    <row r="37" spans="1:22" x14ac:dyDescent="0.25">
      <c r="A37" s="1019" t="s">
        <v>2569</v>
      </c>
      <c r="B37" s="1016">
        <v>3.9173999999999997E-3</v>
      </c>
      <c r="C37" s="1016">
        <v>4.2513000000000004E-3</v>
      </c>
      <c r="D37" s="686">
        <v>3403.7</v>
      </c>
      <c r="E37" s="808">
        <v>-79482</v>
      </c>
      <c r="F37" s="1007">
        <v>-66866</v>
      </c>
      <c r="G37" s="1007"/>
      <c r="H37" s="1017">
        <v>1148</v>
      </c>
      <c r="I37" s="1017">
        <v>8254</v>
      </c>
      <c r="J37" s="1017">
        <v>11282</v>
      </c>
      <c r="K37" s="1007">
        <v>5228</v>
      </c>
      <c r="L37" s="1007"/>
      <c r="M37" s="1017">
        <v>215</v>
      </c>
      <c r="N37" s="1017">
        <v>2570</v>
      </c>
      <c r="O37" s="1017">
        <v>0</v>
      </c>
      <c r="P37" s="1007">
        <v>925</v>
      </c>
      <c r="Q37" s="1007"/>
      <c r="R37" s="1017">
        <v>10647</v>
      </c>
      <c r="S37" s="1018">
        <v>1502</v>
      </c>
      <c r="T37" s="1018">
        <v>12149</v>
      </c>
      <c r="U37" s="1018"/>
      <c r="V37" s="1018"/>
    </row>
    <row r="38" spans="1:22" x14ac:dyDescent="0.25">
      <c r="A38" s="1019" t="s">
        <v>2570</v>
      </c>
      <c r="B38" s="1016">
        <v>3.13446E-2</v>
      </c>
      <c r="C38" s="1016">
        <v>3.1125E-2</v>
      </c>
      <c r="D38" s="686">
        <v>27233.96</v>
      </c>
      <c r="E38" s="808">
        <v>-581913</v>
      </c>
      <c r="F38" s="1007">
        <v>-535021</v>
      </c>
      <c r="G38" s="1007"/>
      <c r="H38" s="1017">
        <v>9184</v>
      </c>
      <c r="I38" s="1017">
        <v>66043</v>
      </c>
      <c r="J38" s="1017">
        <v>90272</v>
      </c>
      <c r="K38" s="1007">
        <v>0</v>
      </c>
      <c r="L38" s="1007"/>
      <c r="M38" s="1017">
        <v>1724</v>
      </c>
      <c r="N38" s="1017">
        <v>20562</v>
      </c>
      <c r="O38" s="1017">
        <v>0</v>
      </c>
      <c r="P38" s="1007">
        <v>14736</v>
      </c>
      <c r="Q38" s="1007"/>
      <c r="R38" s="1017">
        <v>85195</v>
      </c>
      <c r="S38" s="1018">
        <v>-18707</v>
      </c>
      <c r="T38" s="1018">
        <v>66488</v>
      </c>
      <c r="U38" s="1018"/>
      <c r="V38" s="1018"/>
    </row>
    <row r="39" spans="1:22" x14ac:dyDescent="0.25">
      <c r="A39" s="1019" t="s">
        <v>2571</v>
      </c>
      <c r="B39" s="1016">
        <v>3.1862000000000001E-3</v>
      </c>
      <c r="C39" s="1016">
        <v>3.4244000000000002E-3</v>
      </c>
      <c r="D39" s="686">
        <v>2768.35</v>
      </c>
      <c r="E39" s="808">
        <v>-64023</v>
      </c>
      <c r="F39" s="1007">
        <v>-54385</v>
      </c>
      <c r="G39" s="1007"/>
      <c r="H39" s="1017">
        <v>934</v>
      </c>
      <c r="I39" s="1017">
        <v>6713</v>
      </c>
      <c r="J39" s="1017">
        <v>9176</v>
      </c>
      <c r="K39" s="1007">
        <v>4993</v>
      </c>
      <c r="L39" s="1007"/>
      <c r="M39" s="1017">
        <v>175</v>
      </c>
      <c r="N39" s="1017">
        <v>2090</v>
      </c>
      <c r="O39" s="1017">
        <v>0</v>
      </c>
      <c r="P39" s="1007">
        <v>100</v>
      </c>
      <c r="Q39" s="1007"/>
      <c r="R39" s="1017">
        <v>8660</v>
      </c>
      <c r="S39" s="1018">
        <v>2101</v>
      </c>
      <c r="T39" s="1018">
        <v>10761</v>
      </c>
      <c r="U39" s="1018"/>
      <c r="V39" s="1018"/>
    </row>
    <row r="40" spans="1:22" x14ac:dyDescent="0.25">
      <c r="A40" s="1019" t="s">
        <v>2572</v>
      </c>
      <c r="B40" s="1016">
        <v>3.9621999999999997E-2</v>
      </c>
      <c r="C40" s="1016">
        <v>3.9605899999999999E-2</v>
      </c>
      <c r="D40" s="686">
        <v>34425.870000000003</v>
      </c>
      <c r="E40" s="808">
        <v>-740472</v>
      </c>
      <c r="F40" s="1007">
        <v>-676308</v>
      </c>
      <c r="G40" s="1007"/>
      <c r="H40" s="1017">
        <v>11609</v>
      </c>
      <c r="I40" s="1017">
        <v>83484</v>
      </c>
      <c r="J40" s="1017">
        <v>114111</v>
      </c>
      <c r="K40" s="1007">
        <v>0</v>
      </c>
      <c r="L40" s="1007"/>
      <c r="M40" s="1017">
        <v>2179</v>
      </c>
      <c r="N40" s="1017">
        <v>25992</v>
      </c>
      <c r="O40" s="1017">
        <v>0</v>
      </c>
      <c r="P40" s="1007">
        <v>4228</v>
      </c>
      <c r="Q40" s="1007"/>
      <c r="R40" s="1017">
        <v>107693</v>
      </c>
      <c r="S40" s="1018">
        <v>-7577</v>
      </c>
      <c r="T40" s="1018">
        <v>100116</v>
      </c>
      <c r="U40" s="1018"/>
      <c r="V40" s="1018"/>
    </row>
    <row r="41" spans="1:22" x14ac:dyDescent="0.25">
      <c r="A41" s="1019" t="s">
        <v>2573</v>
      </c>
      <c r="B41" s="1016">
        <v>6.2922000000000004E-3</v>
      </c>
      <c r="C41" s="1016">
        <v>5.6988999999999998E-3</v>
      </c>
      <c r="D41" s="686">
        <v>5466.99</v>
      </c>
      <c r="E41" s="808">
        <v>-106547</v>
      </c>
      <c r="F41" s="1007">
        <v>-107402</v>
      </c>
      <c r="G41" s="1007"/>
      <c r="H41" s="1017">
        <v>1844</v>
      </c>
      <c r="I41" s="1017">
        <v>13258</v>
      </c>
      <c r="J41" s="1017">
        <v>18122</v>
      </c>
      <c r="K41" s="1007">
        <v>0</v>
      </c>
      <c r="L41" s="1007"/>
      <c r="M41" s="1017">
        <v>346</v>
      </c>
      <c r="N41" s="1017">
        <v>4128</v>
      </c>
      <c r="O41" s="1017">
        <v>0</v>
      </c>
      <c r="P41" s="1007">
        <v>13572</v>
      </c>
      <c r="Q41" s="1007"/>
      <c r="R41" s="1017">
        <v>17102</v>
      </c>
      <c r="S41" s="1018">
        <v>-8319</v>
      </c>
      <c r="T41" s="1018">
        <v>8783</v>
      </c>
      <c r="U41" s="1018"/>
      <c r="V41" s="1018"/>
    </row>
    <row r="42" spans="1:22" x14ac:dyDescent="0.25">
      <c r="A42" s="1019" t="s">
        <v>2574</v>
      </c>
      <c r="B42" s="1016">
        <v>8.5229999999999993E-3</v>
      </c>
      <c r="C42" s="1016">
        <v>1.13299E-2</v>
      </c>
      <c r="D42" s="686">
        <v>7405.3</v>
      </c>
      <c r="E42" s="808">
        <v>-211824</v>
      </c>
      <c r="F42" s="1007">
        <v>-145479</v>
      </c>
      <c r="G42" s="1007"/>
      <c r="H42" s="1017">
        <v>2497</v>
      </c>
      <c r="I42" s="1017">
        <v>17958</v>
      </c>
      <c r="J42" s="1017">
        <v>24546</v>
      </c>
      <c r="K42" s="1007">
        <v>65478</v>
      </c>
      <c r="L42" s="1007"/>
      <c r="M42" s="1017">
        <v>469</v>
      </c>
      <c r="N42" s="1017">
        <v>5591</v>
      </c>
      <c r="O42" s="1017">
        <v>0</v>
      </c>
      <c r="P42" s="1007">
        <v>0</v>
      </c>
      <c r="Q42" s="1007"/>
      <c r="R42" s="1017">
        <v>23166</v>
      </c>
      <c r="S42" s="1018">
        <v>42235</v>
      </c>
      <c r="T42" s="1018">
        <v>65400</v>
      </c>
      <c r="U42" s="1018"/>
      <c r="V42" s="1018"/>
    </row>
    <row r="43" spans="1:22" x14ac:dyDescent="0.25">
      <c r="A43" s="1019" t="s">
        <v>2575</v>
      </c>
      <c r="B43" s="1016">
        <v>8.7089999999999997E-4</v>
      </c>
      <c r="C43" s="1016">
        <v>9.5730000000000001E-4</v>
      </c>
      <c r="D43" s="686">
        <v>756.67</v>
      </c>
      <c r="E43" s="808">
        <v>-17898</v>
      </c>
      <c r="F43" s="1007">
        <v>-14865</v>
      </c>
      <c r="G43" s="1007"/>
      <c r="H43" s="1017">
        <v>255</v>
      </c>
      <c r="I43" s="1017">
        <v>1835</v>
      </c>
      <c r="J43" s="1017">
        <v>2508</v>
      </c>
      <c r="K43" s="1007">
        <v>1431</v>
      </c>
      <c r="L43" s="1007"/>
      <c r="M43" s="1017">
        <v>48</v>
      </c>
      <c r="N43" s="1017">
        <v>571</v>
      </c>
      <c r="O43" s="1017">
        <v>0</v>
      </c>
      <c r="P43" s="1007">
        <v>141</v>
      </c>
      <c r="Q43" s="1007"/>
      <c r="R43" s="1017">
        <v>2367</v>
      </c>
      <c r="S43" s="1018">
        <v>902</v>
      </c>
      <c r="T43" s="1018">
        <v>3269</v>
      </c>
      <c r="U43" s="1018"/>
      <c r="V43" s="1018"/>
    </row>
    <row r="44" spans="1:22" x14ac:dyDescent="0.25">
      <c r="A44" s="1019" t="s">
        <v>2576</v>
      </c>
      <c r="B44" s="1016">
        <v>6.9390000000000001E-4</v>
      </c>
      <c r="C44" s="1016">
        <v>6.8349999999999997E-4</v>
      </c>
      <c r="D44" s="686">
        <v>602.87</v>
      </c>
      <c r="E44" s="808">
        <v>-12779</v>
      </c>
      <c r="F44" s="1007">
        <v>-11844</v>
      </c>
      <c r="G44" s="1007"/>
      <c r="H44" s="1017">
        <v>203</v>
      </c>
      <c r="I44" s="1017">
        <v>1462</v>
      </c>
      <c r="J44" s="1017">
        <v>1998</v>
      </c>
      <c r="K44" s="1007">
        <v>59</v>
      </c>
      <c r="L44" s="1007"/>
      <c r="M44" s="1017">
        <v>38</v>
      </c>
      <c r="N44" s="1017">
        <v>455</v>
      </c>
      <c r="O44" s="1017">
        <v>0</v>
      </c>
      <c r="P44" s="1007">
        <v>680</v>
      </c>
      <c r="Q44" s="1007"/>
      <c r="R44" s="1017">
        <v>1886</v>
      </c>
      <c r="S44" s="1018">
        <v>-168</v>
      </c>
      <c r="T44" s="1018">
        <v>1718</v>
      </c>
      <c r="U44" s="1018"/>
      <c r="V44" s="1018"/>
    </row>
    <row r="45" spans="1:22" x14ac:dyDescent="0.25">
      <c r="A45" s="1019" t="s">
        <v>2577</v>
      </c>
      <c r="B45" s="1016">
        <v>4.8060000000000004E-3</v>
      </c>
      <c r="C45" s="1016">
        <v>4.3911999999999996E-3</v>
      </c>
      <c r="D45" s="686">
        <v>4175.76</v>
      </c>
      <c r="E45" s="808">
        <v>-82098</v>
      </c>
      <c r="F45" s="1007">
        <v>-82034</v>
      </c>
      <c r="G45" s="1007"/>
      <c r="H45" s="1017">
        <v>1408</v>
      </c>
      <c r="I45" s="1017">
        <v>10126</v>
      </c>
      <c r="J45" s="1017">
        <v>13841</v>
      </c>
      <c r="K45" s="1007">
        <v>1904</v>
      </c>
      <c r="L45" s="1007"/>
      <c r="M45" s="1017">
        <v>264</v>
      </c>
      <c r="N45" s="1017">
        <v>3153</v>
      </c>
      <c r="O45" s="1017">
        <v>0</v>
      </c>
      <c r="P45" s="1007">
        <v>6513</v>
      </c>
      <c r="Q45" s="1007"/>
      <c r="R45" s="1017">
        <v>13063</v>
      </c>
      <c r="S45" s="1018">
        <v>-2352</v>
      </c>
      <c r="T45" s="1018">
        <v>10710</v>
      </c>
      <c r="U45" s="1018"/>
      <c r="V45" s="1018"/>
    </row>
    <row r="46" spans="1:22" x14ac:dyDescent="0.25">
      <c r="A46" s="1019" t="s">
        <v>2578</v>
      </c>
      <c r="B46" s="1016">
        <v>1.1391999999999999E-3</v>
      </c>
      <c r="C46" s="1016">
        <v>1.2329000000000001E-3</v>
      </c>
      <c r="D46" s="686">
        <v>989.77</v>
      </c>
      <c r="E46" s="808">
        <v>-23050</v>
      </c>
      <c r="F46" s="1007">
        <v>-19445</v>
      </c>
      <c r="G46" s="1007"/>
      <c r="H46" s="1017">
        <v>334</v>
      </c>
      <c r="I46" s="1017">
        <v>2400</v>
      </c>
      <c r="J46" s="1017">
        <v>3281</v>
      </c>
      <c r="K46" s="1007">
        <v>1543</v>
      </c>
      <c r="L46" s="1007"/>
      <c r="M46" s="1017">
        <v>63</v>
      </c>
      <c r="N46" s="1017">
        <v>747</v>
      </c>
      <c r="O46" s="1017">
        <v>0</v>
      </c>
      <c r="P46" s="1007">
        <v>898</v>
      </c>
      <c r="Q46" s="1007"/>
      <c r="R46" s="1017">
        <v>3096</v>
      </c>
      <c r="S46" s="1018">
        <v>166</v>
      </c>
      <c r="T46" s="1018">
        <v>3263</v>
      </c>
      <c r="U46" s="1018"/>
      <c r="V46" s="1018"/>
    </row>
    <row r="47" spans="1:22" x14ac:dyDescent="0.25">
      <c r="A47" s="1019" t="s">
        <v>2579</v>
      </c>
      <c r="B47" s="1016">
        <v>4.39079E-2</v>
      </c>
      <c r="C47" s="1016">
        <v>4.39733E-2</v>
      </c>
      <c r="D47" s="686">
        <v>38149.620000000003</v>
      </c>
      <c r="E47" s="808">
        <v>-822125</v>
      </c>
      <c r="F47" s="1007">
        <v>-749464</v>
      </c>
      <c r="G47" s="1007"/>
      <c r="H47" s="1017">
        <v>12865</v>
      </c>
      <c r="I47" s="1017">
        <v>92514</v>
      </c>
      <c r="J47" s="1017">
        <v>126455</v>
      </c>
      <c r="K47" s="1007">
        <v>1024</v>
      </c>
      <c r="L47" s="1007"/>
      <c r="M47" s="1017">
        <v>2415</v>
      </c>
      <c r="N47" s="1017">
        <v>28804</v>
      </c>
      <c r="O47" s="1017">
        <v>0</v>
      </c>
      <c r="P47" s="1007">
        <v>3942</v>
      </c>
      <c r="Q47" s="1007"/>
      <c r="R47" s="1017">
        <v>119342</v>
      </c>
      <c r="S47" s="1018">
        <v>-6233</v>
      </c>
      <c r="T47" s="1018">
        <v>113109</v>
      </c>
      <c r="U47" s="1018"/>
      <c r="V47" s="1018"/>
    </row>
    <row r="48" spans="1:22" x14ac:dyDescent="0.25">
      <c r="A48" s="1019" t="s">
        <v>2580</v>
      </c>
      <c r="B48" s="1016">
        <v>4.2783999999999999E-3</v>
      </c>
      <c r="C48" s="1016">
        <v>4.2215000000000004E-3</v>
      </c>
      <c r="D48" s="686">
        <v>3717.29</v>
      </c>
      <c r="E48" s="808">
        <v>-78925</v>
      </c>
      <c r="F48" s="1007">
        <v>-73028</v>
      </c>
      <c r="G48" s="1007"/>
      <c r="H48" s="1017">
        <v>1254</v>
      </c>
      <c r="I48" s="1017">
        <v>9015</v>
      </c>
      <c r="J48" s="1017">
        <v>12322</v>
      </c>
      <c r="K48" s="1007">
        <v>1664</v>
      </c>
      <c r="L48" s="1007"/>
      <c r="M48" s="1017">
        <v>235</v>
      </c>
      <c r="N48" s="1017">
        <v>2807</v>
      </c>
      <c r="O48" s="1017">
        <v>0</v>
      </c>
      <c r="P48" s="1007">
        <v>1041</v>
      </c>
      <c r="Q48" s="1007"/>
      <c r="R48" s="1017">
        <v>11629</v>
      </c>
      <c r="S48" s="1018">
        <v>-337</v>
      </c>
      <c r="T48" s="1018">
        <v>11292</v>
      </c>
      <c r="U48" s="1018"/>
      <c r="V48" s="1018"/>
    </row>
    <row r="49" spans="1:22" x14ac:dyDescent="0.25">
      <c r="A49" s="1019" t="s">
        <v>2581</v>
      </c>
      <c r="B49" s="1016">
        <v>1.24961E-2</v>
      </c>
      <c r="C49" s="1016">
        <v>1.2143599999999999E-2</v>
      </c>
      <c r="D49" s="686">
        <v>10857.29</v>
      </c>
      <c r="E49" s="808">
        <v>-227037</v>
      </c>
      <c r="F49" s="1007">
        <v>-213296</v>
      </c>
      <c r="G49" s="1007"/>
      <c r="H49" s="1017">
        <v>3661</v>
      </c>
      <c r="I49" s="1017">
        <v>26329</v>
      </c>
      <c r="J49" s="1017">
        <v>35989</v>
      </c>
      <c r="K49" s="1007">
        <v>3139</v>
      </c>
      <c r="L49" s="1007"/>
      <c r="M49" s="1017">
        <v>687</v>
      </c>
      <c r="N49" s="1017">
        <v>8197</v>
      </c>
      <c r="O49" s="1017">
        <v>0</v>
      </c>
      <c r="P49" s="1007">
        <v>5924</v>
      </c>
      <c r="Q49" s="1007"/>
      <c r="R49" s="1017">
        <v>33964</v>
      </c>
      <c r="S49" s="1018">
        <v>-1686</v>
      </c>
      <c r="T49" s="1018">
        <v>32278</v>
      </c>
      <c r="U49" s="1018"/>
      <c r="V49" s="1018"/>
    </row>
    <row r="50" spans="1:22" x14ac:dyDescent="0.25">
      <c r="A50" s="1019" t="s">
        <v>2582</v>
      </c>
      <c r="B50" s="1016">
        <v>7.6893999999999999E-3</v>
      </c>
      <c r="C50" s="1016">
        <v>7.4390999999999997E-3</v>
      </c>
      <c r="D50" s="686">
        <v>6680.95</v>
      </c>
      <c r="E50" s="808">
        <v>-139081</v>
      </c>
      <c r="F50" s="1007">
        <v>-131250</v>
      </c>
      <c r="G50" s="1007"/>
      <c r="H50" s="1017">
        <v>2253</v>
      </c>
      <c r="I50" s="1017">
        <v>16202</v>
      </c>
      <c r="J50" s="1017">
        <v>22145</v>
      </c>
      <c r="K50" s="1007">
        <v>1241</v>
      </c>
      <c r="L50" s="1007"/>
      <c r="M50" s="1017">
        <v>423</v>
      </c>
      <c r="N50" s="1017">
        <v>5044</v>
      </c>
      <c r="O50" s="1017">
        <v>0</v>
      </c>
      <c r="P50" s="1007">
        <v>4630</v>
      </c>
      <c r="Q50" s="1007"/>
      <c r="R50" s="1017">
        <v>20900</v>
      </c>
      <c r="S50" s="1018">
        <v>-4511</v>
      </c>
      <c r="T50" s="1018">
        <v>16389</v>
      </c>
      <c r="U50" s="1018"/>
      <c r="V50" s="1018"/>
    </row>
    <row r="51" spans="1:22" x14ac:dyDescent="0.25">
      <c r="A51" s="1019" t="s">
        <v>2583</v>
      </c>
      <c r="B51" s="1016">
        <v>1.42083E-2</v>
      </c>
      <c r="C51" s="1016">
        <v>1.4215500000000001E-2</v>
      </c>
      <c r="D51" s="686">
        <v>12344.96</v>
      </c>
      <c r="E51" s="808">
        <v>-265773</v>
      </c>
      <c r="F51" s="1007">
        <v>-242521</v>
      </c>
      <c r="G51" s="1007"/>
      <c r="H51" s="1017">
        <v>4163</v>
      </c>
      <c r="I51" s="1017">
        <v>29937</v>
      </c>
      <c r="J51" s="1017">
        <v>40920</v>
      </c>
      <c r="K51" s="1007">
        <v>113</v>
      </c>
      <c r="L51" s="1007"/>
      <c r="M51" s="1017">
        <v>781</v>
      </c>
      <c r="N51" s="1017">
        <v>9321</v>
      </c>
      <c r="O51" s="1017">
        <v>0</v>
      </c>
      <c r="P51" s="1007">
        <v>6195</v>
      </c>
      <c r="Q51" s="1007"/>
      <c r="R51" s="1017">
        <v>38618</v>
      </c>
      <c r="S51" s="1018">
        <v>-8142</v>
      </c>
      <c r="T51" s="1018">
        <v>30476</v>
      </c>
      <c r="U51" s="1018"/>
      <c r="V51" s="1018"/>
    </row>
    <row r="52" spans="1:22" x14ac:dyDescent="0.25">
      <c r="A52" s="1019" t="s">
        <v>2584</v>
      </c>
      <c r="B52" s="1016">
        <v>1.7851E-3</v>
      </c>
      <c r="C52" s="1016">
        <v>1.8568E-3</v>
      </c>
      <c r="D52" s="686">
        <v>1551.02</v>
      </c>
      <c r="E52" s="808">
        <v>-34715</v>
      </c>
      <c r="F52" s="1007">
        <v>-30470</v>
      </c>
      <c r="G52" s="1007"/>
      <c r="H52" s="1017">
        <v>523</v>
      </c>
      <c r="I52" s="1017">
        <v>3761</v>
      </c>
      <c r="J52" s="1017">
        <v>5141</v>
      </c>
      <c r="K52" s="1007">
        <v>1254</v>
      </c>
      <c r="L52" s="1007"/>
      <c r="M52" s="1017">
        <v>98</v>
      </c>
      <c r="N52" s="1017">
        <v>1171</v>
      </c>
      <c r="O52" s="1017">
        <v>0</v>
      </c>
      <c r="P52" s="1007">
        <v>0</v>
      </c>
      <c r="Q52" s="1007"/>
      <c r="R52" s="1017">
        <v>4852</v>
      </c>
      <c r="S52" s="1018">
        <v>909</v>
      </c>
      <c r="T52" s="1018">
        <v>5761</v>
      </c>
      <c r="U52" s="1018"/>
      <c r="V52" s="1018"/>
    </row>
    <row r="53" spans="1:22" x14ac:dyDescent="0.25">
      <c r="A53" s="1019" t="s">
        <v>2585</v>
      </c>
      <c r="B53" s="1016">
        <v>4.4527000000000004E-3</v>
      </c>
      <c r="C53" s="1016">
        <v>5.0083999999999997E-3</v>
      </c>
      <c r="D53" s="686">
        <v>3868.79</v>
      </c>
      <c r="E53" s="808">
        <v>-93637</v>
      </c>
      <c r="F53" s="1007">
        <v>-76003</v>
      </c>
      <c r="G53" s="1007"/>
      <c r="H53" s="1017">
        <v>1305</v>
      </c>
      <c r="I53" s="1017">
        <v>9382</v>
      </c>
      <c r="J53" s="1017">
        <v>12824</v>
      </c>
      <c r="K53" s="1007">
        <v>9101</v>
      </c>
      <c r="L53" s="1007"/>
      <c r="M53" s="1017">
        <v>245</v>
      </c>
      <c r="N53" s="1017">
        <v>2921</v>
      </c>
      <c r="O53" s="1017">
        <v>0</v>
      </c>
      <c r="P53" s="1007">
        <v>2484</v>
      </c>
      <c r="Q53" s="1007"/>
      <c r="R53" s="1017">
        <v>12102</v>
      </c>
      <c r="S53" s="1018">
        <v>4677</v>
      </c>
      <c r="T53" s="1018">
        <v>16779</v>
      </c>
      <c r="U53" s="1018"/>
      <c r="V53" s="1018"/>
    </row>
    <row r="54" spans="1:22" x14ac:dyDescent="0.25">
      <c r="A54" s="1019" t="s">
        <v>2586</v>
      </c>
      <c r="B54" s="1016">
        <v>4.8450000000000001E-4</v>
      </c>
      <c r="C54" s="1016">
        <v>4.6650000000000001E-4</v>
      </c>
      <c r="D54" s="686">
        <v>420.95</v>
      </c>
      <c r="E54" s="808">
        <v>-8722</v>
      </c>
      <c r="F54" s="1007">
        <v>-8270</v>
      </c>
      <c r="G54" s="1007"/>
      <c r="H54" s="1017">
        <v>142</v>
      </c>
      <c r="I54" s="1017">
        <v>1021</v>
      </c>
      <c r="J54" s="1017">
        <v>1395</v>
      </c>
      <c r="K54" s="1007">
        <v>0</v>
      </c>
      <c r="L54" s="1007"/>
      <c r="M54" s="1017">
        <v>27</v>
      </c>
      <c r="N54" s="1017">
        <v>318</v>
      </c>
      <c r="O54" s="1017">
        <v>0</v>
      </c>
      <c r="P54" s="1007">
        <v>396</v>
      </c>
      <c r="Q54" s="1007"/>
      <c r="R54" s="1017">
        <v>1317</v>
      </c>
      <c r="S54" s="1018">
        <v>-577</v>
      </c>
      <c r="T54" s="1018">
        <v>740</v>
      </c>
      <c r="U54" s="1018"/>
      <c r="V54" s="1018"/>
    </row>
    <row r="55" spans="1:22" x14ac:dyDescent="0.25">
      <c r="A55" s="1019" t="s">
        <v>2587</v>
      </c>
      <c r="B55" s="1016">
        <v>2.0341999999999999E-2</v>
      </c>
      <c r="C55" s="1016">
        <v>2.0577100000000001E-2</v>
      </c>
      <c r="D55" s="686">
        <v>17674.29</v>
      </c>
      <c r="E55" s="808">
        <v>-384709</v>
      </c>
      <c r="F55" s="1007">
        <v>-347218</v>
      </c>
      <c r="G55" s="1007"/>
      <c r="H55" s="1017">
        <v>5960</v>
      </c>
      <c r="I55" s="1017">
        <v>42861</v>
      </c>
      <c r="J55" s="1017">
        <v>58585</v>
      </c>
      <c r="K55" s="1007">
        <v>3681</v>
      </c>
      <c r="L55" s="1007"/>
      <c r="M55" s="1017">
        <v>1119</v>
      </c>
      <c r="N55" s="1017">
        <v>13344</v>
      </c>
      <c r="O55" s="1017">
        <v>0</v>
      </c>
      <c r="P55" s="1007">
        <v>11891</v>
      </c>
      <c r="Q55" s="1007"/>
      <c r="R55" s="1017">
        <v>55290</v>
      </c>
      <c r="S55" s="1018">
        <v>-11122</v>
      </c>
      <c r="T55" s="1018">
        <v>44168</v>
      </c>
      <c r="U55" s="1018"/>
      <c r="V55" s="1018"/>
    </row>
    <row r="56" spans="1:22" x14ac:dyDescent="0.25">
      <c r="A56" s="1019" t="s">
        <v>2588</v>
      </c>
      <c r="B56" s="1016">
        <v>6.7647999999999996E-3</v>
      </c>
      <c r="C56" s="1016">
        <v>6.6058000000000002E-3</v>
      </c>
      <c r="D56" s="686">
        <v>5877.62</v>
      </c>
      <c r="E56" s="808">
        <v>-123502</v>
      </c>
      <c r="F56" s="1007">
        <v>-115468</v>
      </c>
      <c r="G56" s="1007"/>
      <c r="H56" s="1017">
        <v>1982</v>
      </c>
      <c r="I56" s="1017">
        <v>14253</v>
      </c>
      <c r="J56" s="1017">
        <v>19483</v>
      </c>
      <c r="K56" s="1007">
        <v>0</v>
      </c>
      <c r="L56" s="1007"/>
      <c r="M56" s="1017">
        <v>372</v>
      </c>
      <c r="N56" s="1017">
        <v>4438</v>
      </c>
      <c r="O56" s="1017">
        <v>0</v>
      </c>
      <c r="P56" s="1007">
        <v>20707</v>
      </c>
      <c r="Q56" s="1007"/>
      <c r="R56" s="1017">
        <v>18387</v>
      </c>
      <c r="S56" s="1018">
        <v>-15524</v>
      </c>
      <c r="T56" s="1018">
        <v>2863</v>
      </c>
      <c r="U56" s="1018"/>
      <c r="V56" s="1018"/>
    </row>
    <row r="57" spans="1:22" x14ac:dyDescent="0.25">
      <c r="A57" s="1019" t="s">
        <v>2589</v>
      </c>
      <c r="B57" s="1016">
        <v>2.1563800000000001E-2</v>
      </c>
      <c r="C57" s="1016">
        <v>1.98465E-2</v>
      </c>
      <c r="D57" s="686">
        <v>18735.810000000001</v>
      </c>
      <c r="E57" s="808">
        <v>-371050</v>
      </c>
      <c r="F57" s="1007">
        <v>-368073</v>
      </c>
      <c r="G57" s="1007"/>
      <c r="H57" s="1017">
        <v>6318</v>
      </c>
      <c r="I57" s="1017">
        <v>45435</v>
      </c>
      <c r="J57" s="1017">
        <v>62104</v>
      </c>
      <c r="K57" s="1007">
        <v>411</v>
      </c>
      <c r="L57" s="1007"/>
      <c r="M57" s="1017">
        <v>1186</v>
      </c>
      <c r="N57" s="1017">
        <v>14146</v>
      </c>
      <c r="O57" s="1017">
        <v>0</v>
      </c>
      <c r="P57" s="1007">
        <v>35333</v>
      </c>
      <c r="Q57" s="1007"/>
      <c r="R57" s="1017">
        <v>58610</v>
      </c>
      <c r="S57" s="1018">
        <v>-18828</v>
      </c>
      <c r="T57" s="1018">
        <v>39782</v>
      </c>
      <c r="U57" s="1018"/>
      <c r="V57" s="1018"/>
    </row>
    <row r="58" spans="1:22" x14ac:dyDescent="0.25">
      <c r="A58" s="1019" t="s">
        <v>2590</v>
      </c>
      <c r="B58" s="1016">
        <v>8.2770000000000001E-4</v>
      </c>
      <c r="C58" s="1016">
        <v>8.3480000000000002E-4</v>
      </c>
      <c r="D58" s="686">
        <v>719.19</v>
      </c>
      <c r="E58" s="808">
        <v>-15607</v>
      </c>
      <c r="F58" s="1007">
        <v>-14128</v>
      </c>
      <c r="G58" s="1007"/>
      <c r="H58" s="1017">
        <v>243</v>
      </c>
      <c r="I58" s="1017">
        <v>1744</v>
      </c>
      <c r="J58" s="1017">
        <v>2384</v>
      </c>
      <c r="K58" s="1007">
        <v>2412</v>
      </c>
      <c r="L58" s="1007"/>
      <c r="M58" s="1017">
        <v>46</v>
      </c>
      <c r="N58" s="1017">
        <v>543</v>
      </c>
      <c r="O58" s="1017">
        <v>0</v>
      </c>
      <c r="P58" s="1007">
        <v>127</v>
      </c>
      <c r="Q58" s="1007"/>
      <c r="R58" s="1017">
        <v>2250</v>
      </c>
      <c r="S58" s="1018">
        <v>965</v>
      </c>
      <c r="T58" s="1018">
        <v>3215</v>
      </c>
      <c r="U58" s="1018"/>
      <c r="V58" s="1018"/>
    </row>
    <row r="59" spans="1:22" x14ac:dyDescent="0.25">
      <c r="A59" s="1019" t="s">
        <v>2591</v>
      </c>
      <c r="B59" s="1016">
        <v>5.6318999999999996E-3</v>
      </c>
      <c r="C59" s="1016">
        <v>5.7454000000000003E-3</v>
      </c>
      <c r="D59" s="686">
        <v>4893.33</v>
      </c>
      <c r="E59" s="808">
        <v>-107416</v>
      </c>
      <c r="F59" s="1007">
        <v>-96131</v>
      </c>
      <c r="G59" s="1007"/>
      <c r="H59" s="1017">
        <v>1650</v>
      </c>
      <c r="I59" s="1017">
        <v>11866</v>
      </c>
      <c r="J59" s="1017">
        <v>16220</v>
      </c>
      <c r="K59" s="1007">
        <v>1777</v>
      </c>
      <c r="L59" s="1007"/>
      <c r="M59" s="1017">
        <v>310</v>
      </c>
      <c r="N59" s="1017">
        <v>3695</v>
      </c>
      <c r="O59" s="1017">
        <v>0</v>
      </c>
      <c r="P59" s="1007">
        <v>1447</v>
      </c>
      <c r="Q59" s="1007"/>
      <c r="R59" s="1017">
        <v>15308</v>
      </c>
      <c r="S59" s="1018">
        <v>-655</v>
      </c>
      <c r="T59" s="1018">
        <v>14652</v>
      </c>
      <c r="U59" s="1018"/>
      <c r="V59" s="1018"/>
    </row>
    <row r="60" spans="1:22" x14ac:dyDescent="0.25">
      <c r="A60" s="1019" t="s">
        <v>2592</v>
      </c>
      <c r="B60" s="1016">
        <v>3.4169000000000001E-3</v>
      </c>
      <c r="C60" s="1016">
        <v>3.5750000000000001E-3</v>
      </c>
      <c r="D60" s="686">
        <v>2968.77</v>
      </c>
      <c r="E60" s="808">
        <v>-66838.2</v>
      </c>
      <c r="F60" s="1007">
        <v>-58323</v>
      </c>
      <c r="G60" s="1007"/>
      <c r="H60" s="1017">
        <v>1001</v>
      </c>
      <c r="I60" s="1017">
        <v>7199</v>
      </c>
      <c r="J60" s="1017">
        <v>9841</v>
      </c>
      <c r="K60" s="1007">
        <v>2882</v>
      </c>
      <c r="L60" s="1007"/>
      <c r="M60" s="1017">
        <v>188</v>
      </c>
      <c r="N60" s="1017">
        <v>2241</v>
      </c>
      <c r="O60" s="1017">
        <v>0</v>
      </c>
      <c r="P60" s="1007">
        <v>1251</v>
      </c>
      <c r="Q60" s="1007"/>
      <c r="R60" s="1017">
        <v>9287</v>
      </c>
      <c r="S60" s="1018">
        <v>1868</v>
      </c>
      <c r="T60" s="1018">
        <v>11156</v>
      </c>
      <c r="U60" s="1018"/>
      <c r="V60" s="1018"/>
    </row>
    <row r="61" spans="1:22" x14ac:dyDescent="0.25">
      <c r="A61" s="1019" t="s">
        <v>2593</v>
      </c>
      <c r="B61" s="1016">
        <v>9.2902000000000002E-3</v>
      </c>
      <c r="C61" s="1016">
        <v>8.9589999999999999E-3</v>
      </c>
      <c r="D61" s="686">
        <v>8071.84</v>
      </c>
      <c r="E61" s="808">
        <v>-167497</v>
      </c>
      <c r="F61" s="1007">
        <v>-158574</v>
      </c>
      <c r="G61" s="1007"/>
      <c r="H61" s="1017">
        <v>2722</v>
      </c>
      <c r="I61" s="1017">
        <v>19574</v>
      </c>
      <c r="J61" s="1017">
        <v>26756</v>
      </c>
      <c r="K61" s="1007">
        <v>0</v>
      </c>
      <c r="L61" s="1007"/>
      <c r="M61" s="1017">
        <v>511</v>
      </c>
      <c r="N61" s="1017">
        <v>6094</v>
      </c>
      <c r="O61" s="1017">
        <v>0</v>
      </c>
      <c r="P61" s="1007">
        <v>10948</v>
      </c>
      <c r="Q61" s="1007"/>
      <c r="R61" s="1017">
        <v>25251</v>
      </c>
      <c r="S61" s="1018">
        <v>-8950</v>
      </c>
      <c r="T61" s="1018">
        <v>16301</v>
      </c>
      <c r="U61" s="1018"/>
      <c r="V61" s="1018"/>
    </row>
    <row r="62" spans="1:22" x14ac:dyDescent="0.25">
      <c r="A62" s="1019" t="s">
        <v>2594</v>
      </c>
      <c r="B62" s="1016">
        <v>4.2596999999999999E-3</v>
      </c>
      <c r="C62" s="1016">
        <v>4.2973000000000004E-3</v>
      </c>
      <c r="D62" s="686">
        <v>3701.1</v>
      </c>
      <c r="E62" s="808">
        <v>-80342</v>
      </c>
      <c r="F62" s="1007">
        <v>-72709</v>
      </c>
      <c r="G62" s="1007"/>
      <c r="H62" s="1017">
        <v>1248</v>
      </c>
      <c r="I62" s="1017">
        <v>8975</v>
      </c>
      <c r="J62" s="1017">
        <v>12268</v>
      </c>
      <c r="K62" s="1007">
        <v>589</v>
      </c>
      <c r="L62" s="1007"/>
      <c r="M62" s="1017">
        <v>234</v>
      </c>
      <c r="N62" s="1017">
        <v>2794</v>
      </c>
      <c r="O62" s="1017">
        <v>0</v>
      </c>
      <c r="P62" s="1007">
        <v>1081</v>
      </c>
      <c r="Q62" s="1007"/>
      <c r="R62" s="1017">
        <v>11578</v>
      </c>
      <c r="S62" s="1018">
        <v>-2058</v>
      </c>
      <c r="T62" s="1018">
        <v>9520</v>
      </c>
      <c r="U62" s="1018"/>
      <c r="V62" s="1018"/>
    </row>
    <row r="63" spans="1:22" x14ac:dyDescent="0.25">
      <c r="A63" s="1019" t="s">
        <v>2595</v>
      </c>
      <c r="B63" s="1016">
        <v>5.3855999999999999E-3</v>
      </c>
      <c r="C63" s="1016">
        <v>5.1720000000000004E-3</v>
      </c>
      <c r="D63" s="686">
        <v>4679.28</v>
      </c>
      <c r="E63" s="808">
        <v>-96696</v>
      </c>
      <c r="F63" s="1007">
        <v>-91927</v>
      </c>
      <c r="G63" s="1007"/>
      <c r="H63" s="1017">
        <v>1578</v>
      </c>
      <c r="I63" s="1017">
        <v>11347</v>
      </c>
      <c r="J63" s="1017">
        <v>15511</v>
      </c>
      <c r="K63" s="1007">
        <v>0</v>
      </c>
      <c r="L63" s="1007"/>
      <c r="M63" s="1017">
        <v>296</v>
      </c>
      <c r="N63" s="1017">
        <v>3533</v>
      </c>
      <c r="O63" s="1017">
        <v>0</v>
      </c>
      <c r="P63" s="1007">
        <v>6357</v>
      </c>
      <c r="Q63" s="1007"/>
      <c r="R63" s="1017">
        <v>14638</v>
      </c>
      <c r="S63" s="1018">
        <v>-6022</v>
      </c>
      <c r="T63" s="1018">
        <v>8616</v>
      </c>
      <c r="U63" s="1018"/>
      <c r="V63" s="1018"/>
    </row>
    <row r="64" spans="1:22" x14ac:dyDescent="0.25">
      <c r="A64" s="1019" t="s">
        <v>2596</v>
      </c>
      <c r="B64" s="1016">
        <v>1.7650999999999999E-3</v>
      </c>
      <c r="C64" s="1016">
        <v>1.8517E-3</v>
      </c>
      <c r="D64" s="686">
        <v>1533.64</v>
      </c>
      <c r="E64" s="808">
        <v>-34619</v>
      </c>
      <c r="F64" s="1007">
        <v>-30128</v>
      </c>
      <c r="G64" s="1007"/>
      <c r="H64" s="1017">
        <v>517</v>
      </c>
      <c r="I64" s="1017">
        <v>3719</v>
      </c>
      <c r="J64" s="1017">
        <v>5083</v>
      </c>
      <c r="K64" s="1007">
        <v>1401</v>
      </c>
      <c r="L64" s="1007"/>
      <c r="M64" s="1017">
        <v>97</v>
      </c>
      <c r="N64" s="1017">
        <v>1158</v>
      </c>
      <c r="O64" s="1017">
        <v>0</v>
      </c>
      <c r="P64" s="1007">
        <v>58</v>
      </c>
      <c r="Q64" s="1007"/>
      <c r="R64" s="1017">
        <v>4798</v>
      </c>
      <c r="S64" s="1018">
        <v>617</v>
      </c>
      <c r="T64" s="1018">
        <v>5414</v>
      </c>
      <c r="U64" s="1018"/>
      <c r="V64" s="1018"/>
    </row>
    <row r="65" spans="1:22" x14ac:dyDescent="0.25">
      <c r="A65" s="1019" t="s">
        <v>2597</v>
      </c>
      <c r="B65" s="1016">
        <v>4.065E-3</v>
      </c>
      <c r="C65" s="1016">
        <v>4.0070000000000001E-3</v>
      </c>
      <c r="D65" s="686">
        <v>3531.87</v>
      </c>
      <c r="E65" s="808">
        <v>-74915</v>
      </c>
      <c r="F65" s="1007">
        <v>-69385</v>
      </c>
      <c r="G65" s="1007"/>
      <c r="H65" s="1017">
        <v>1191</v>
      </c>
      <c r="I65" s="1017">
        <v>8565</v>
      </c>
      <c r="J65" s="1017">
        <v>11707</v>
      </c>
      <c r="K65" s="1007">
        <v>66</v>
      </c>
      <c r="L65" s="1007"/>
      <c r="M65" s="1017">
        <v>224</v>
      </c>
      <c r="N65" s="1017">
        <v>2667</v>
      </c>
      <c r="O65" s="1017">
        <v>0</v>
      </c>
      <c r="P65" s="1007">
        <v>2950</v>
      </c>
      <c r="Q65" s="1007"/>
      <c r="R65" s="1017">
        <v>11049</v>
      </c>
      <c r="S65" s="1018">
        <v>-1749</v>
      </c>
      <c r="T65" s="1018">
        <v>9300</v>
      </c>
      <c r="U65" s="1018"/>
      <c r="V65" s="1018"/>
    </row>
    <row r="66" spans="1:22" x14ac:dyDescent="0.25">
      <c r="A66" s="1019" t="s">
        <v>2598</v>
      </c>
      <c r="B66" s="1016">
        <v>8.22431E-2</v>
      </c>
      <c r="C66" s="1016">
        <v>7.9832E-2</v>
      </c>
      <c r="D66" s="686">
        <v>71457.429999999993</v>
      </c>
      <c r="E66" s="808">
        <v>-1492539</v>
      </c>
      <c r="F66" s="1007">
        <v>-1403807</v>
      </c>
      <c r="G66" s="1007"/>
      <c r="H66" s="1017">
        <v>24097</v>
      </c>
      <c r="I66" s="1017">
        <v>173286</v>
      </c>
      <c r="J66" s="1017">
        <v>236860</v>
      </c>
      <c r="K66" s="1007">
        <v>83686</v>
      </c>
      <c r="L66" s="1007"/>
      <c r="M66" s="1017">
        <v>4523</v>
      </c>
      <c r="N66" s="1017">
        <v>53951</v>
      </c>
      <c r="O66" s="1017">
        <v>0</v>
      </c>
      <c r="P66" s="1007">
        <v>39429</v>
      </c>
      <c r="Q66" s="1007"/>
      <c r="R66" s="1017">
        <v>223537</v>
      </c>
      <c r="S66" s="1018">
        <v>44691</v>
      </c>
      <c r="T66" s="1018">
        <v>268228</v>
      </c>
      <c r="U66" s="1018"/>
      <c r="V66" s="1018"/>
    </row>
    <row r="67" spans="1:22" x14ac:dyDescent="0.25">
      <c r="A67" s="1019" t="s">
        <v>2599</v>
      </c>
      <c r="B67" s="1016">
        <v>1.4748999999999999E-3</v>
      </c>
      <c r="C67" s="1016">
        <v>1.5782999999999999E-3</v>
      </c>
      <c r="D67" s="686">
        <v>1281.47</v>
      </c>
      <c r="E67" s="808">
        <v>-29508</v>
      </c>
      <c r="F67" s="1007">
        <v>-25175</v>
      </c>
      <c r="G67" s="1007"/>
      <c r="H67" s="1017">
        <v>432</v>
      </c>
      <c r="I67" s="1017">
        <v>3108</v>
      </c>
      <c r="J67" s="1017">
        <v>4248</v>
      </c>
      <c r="K67" s="1007">
        <v>1718</v>
      </c>
      <c r="L67" s="1007"/>
      <c r="M67" s="1017">
        <v>81</v>
      </c>
      <c r="N67" s="1017">
        <v>968</v>
      </c>
      <c r="O67" s="1017">
        <v>0</v>
      </c>
      <c r="P67" s="1007">
        <v>23</v>
      </c>
      <c r="Q67" s="1007"/>
      <c r="R67" s="1017">
        <v>4009</v>
      </c>
      <c r="S67" s="1018">
        <v>1352</v>
      </c>
      <c r="T67" s="1018">
        <v>5361</v>
      </c>
      <c r="U67" s="1018"/>
      <c r="V67" s="1018"/>
    </row>
    <row r="68" spans="1:22" x14ac:dyDescent="0.25">
      <c r="A68" s="1019" t="s">
        <v>2600</v>
      </c>
      <c r="B68" s="1016">
        <v>2.4242999999999999E-3</v>
      </c>
      <c r="C68" s="1016">
        <v>2.4842000000000002E-3</v>
      </c>
      <c r="D68" s="686">
        <v>2106.34</v>
      </c>
      <c r="E68" s="808">
        <v>-46445</v>
      </c>
      <c r="F68" s="1007">
        <v>-41380</v>
      </c>
      <c r="G68" s="1007"/>
      <c r="H68" s="1017">
        <v>710</v>
      </c>
      <c r="I68" s="1017">
        <v>5108</v>
      </c>
      <c r="J68" s="1017">
        <v>6982</v>
      </c>
      <c r="K68" s="1007">
        <v>986</v>
      </c>
      <c r="L68" s="1007"/>
      <c r="M68" s="1017">
        <v>133</v>
      </c>
      <c r="N68" s="1017">
        <v>1590</v>
      </c>
      <c r="O68" s="1017">
        <v>0</v>
      </c>
      <c r="P68" s="1007">
        <v>58</v>
      </c>
      <c r="Q68" s="1007"/>
      <c r="R68" s="1017">
        <v>6589</v>
      </c>
      <c r="S68" s="1018">
        <v>37</v>
      </c>
      <c r="T68" s="1018">
        <v>6627</v>
      </c>
      <c r="U68" s="1018"/>
      <c r="V68" s="1018"/>
    </row>
    <row r="69" spans="1:22" x14ac:dyDescent="0.25">
      <c r="A69" s="1019" t="s">
        <v>2601</v>
      </c>
      <c r="B69" s="1016">
        <v>6.9439999999999997E-3</v>
      </c>
      <c r="C69" s="1016">
        <v>2.2974999999999999E-2</v>
      </c>
      <c r="D69" s="686">
        <f>6031.73825+1.56</f>
        <v>6033.3</v>
      </c>
      <c r="E69" s="808">
        <v>-429540.6</v>
      </c>
      <c r="F69" s="1007">
        <v>-118527</v>
      </c>
      <c r="G69" s="1007"/>
      <c r="H69" s="1017">
        <v>2035</v>
      </c>
      <c r="I69" s="1017">
        <v>14631</v>
      </c>
      <c r="J69" s="1017">
        <v>19999</v>
      </c>
      <c r="K69" s="1007">
        <v>251013</v>
      </c>
      <c r="L69" s="1007"/>
      <c r="M69" s="1017">
        <v>382</v>
      </c>
      <c r="N69" s="1017">
        <v>4555</v>
      </c>
      <c r="O69" s="1017">
        <v>0</v>
      </c>
      <c r="P69" s="1007">
        <v>98102</v>
      </c>
      <c r="Q69" s="1007"/>
      <c r="R69" s="1017">
        <v>18874</v>
      </c>
      <c r="S69" s="1018">
        <v>51643</v>
      </c>
      <c r="T69" s="1018">
        <v>70517</v>
      </c>
      <c r="U69" s="1018"/>
      <c r="V69" s="1018"/>
    </row>
    <row r="70" spans="1:22" x14ac:dyDescent="0.25">
      <c r="A70" s="1019" t="s">
        <v>2602</v>
      </c>
      <c r="B70" s="1016">
        <v>8.3329000000000007E-3</v>
      </c>
      <c r="C70" s="1016">
        <v>8.3230999999999999E-3</v>
      </c>
      <c r="D70" s="686">
        <v>7240.07</v>
      </c>
      <c r="E70" s="808">
        <v>-155609</v>
      </c>
      <c r="F70" s="1007">
        <v>-142234</v>
      </c>
      <c r="G70" s="1007"/>
      <c r="H70" s="1017">
        <v>2442</v>
      </c>
      <c r="I70" s="1017">
        <v>17557</v>
      </c>
      <c r="J70" s="1017">
        <v>23999</v>
      </c>
      <c r="K70" s="1007">
        <v>351</v>
      </c>
      <c r="L70" s="1007"/>
      <c r="M70" s="1017">
        <v>458</v>
      </c>
      <c r="N70" s="1017">
        <v>5466</v>
      </c>
      <c r="O70" s="1017">
        <v>0</v>
      </c>
      <c r="P70" s="1007">
        <v>153</v>
      </c>
      <c r="Q70" s="1007"/>
      <c r="R70" s="1017">
        <v>22649</v>
      </c>
      <c r="S70" s="1018">
        <v>764</v>
      </c>
      <c r="T70" s="1018">
        <v>23413</v>
      </c>
      <c r="U70" s="1018"/>
      <c r="V70" s="1018"/>
    </row>
    <row r="71" spans="1:22" x14ac:dyDescent="0.25">
      <c r="A71" s="1019" t="s">
        <v>2603</v>
      </c>
      <c r="B71" s="1016">
        <v>2.74573E-2</v>
      </c>
      <c r="C71" s="1016">
        <v>2.7473600000000001E-2</v>
      </c>
      <c r="D71" s="686">
        <v>23856.49</v>
      </c>
      <c r="E71" s="808">
        <v>-513646</v>
      </c>
      <c r="F71" s="1007">
        <v>-468669</v>
      </c>
      <c r="G71" s="1007"/>
      <c r="H71" s="1017">
        <v>8045</v>
      </c>
      <c r="I71" s="1017">
        <v>57853</v>
      </c>
      <c r="J71" s="1017">
        <v>79077</v>
      </c>
      <c r="K71" s="1007">
        <v>255</v>
      </c>
      <c r="L71" s="1007"/>
      <c r="M71" s="1017">
        <v>1510</v>
      </c>
      <c r="N71" s="1017">
        <v>18012</v>
      </c>
      <c r="O71" s="1017">
        <v>0</v>
      </c>
      <c r="P71" s="1007">
        <v>15894</v>
      </c>
      <c r="Q71" s="1007"/>
      <c r="R71" s="1017">
        <v>74629</v>
      </c>
      <c r="S71" s="1018">
        <v>-16499</v>
      </c>
      <c r="T71" s="1018">
        <v>58130</v>
      </c>
      <c r="U71" s="1018"/>
      <c r="V71" s="1018"/>
    </row>
    <row r="72" spans="1:22" x14ac:dyDescent="0.25">
      <c r="A72" s="1019" t="s">
        <v>2604</v>
      </c>
      <c r="B72" s="1016">
        <v>1.5912999999999999E-3</v>
      </c>
      <c r="C72" s="1016">
        <v>1.7821E-3</v>
      </c>
      <c r="D72" s="686">
        <v>1382.64</v>
      </c>
      <c r="E72" s="808">
        <v>-33318</v>
      </c>
      <c r="F72" s="1007">
        <v>-27162</v>
      </c>
      <c r="G72" s="1007"/>
      <c r="H72" s="1017">
        <v>466</v>
      </c>
      <c r="I72" s="1017">
        <v>3353</v>
      </c>
      <c r="J72" s="1017">
        <v>4583</v>
      </c>
      <c r="K72" s="1007">
        <v>2988</v>
      </c>
      <c r="L72" s="1007"/>
      <c r="M72" s="1017">
        <v>88</v>
      </c>
      <c r="N72" s="1017">
        <v>1044</v>
      </c>
      <c r="O72" s="1017">
        <v>0</v>
      </c>
      <c r="P72" s="1007">
        <v>825</v>
      </c>
      <c r="Q72" s="1007"/>
      <c r="R72" s="1017">
        <v>4325</v>
      </c>
      <c r="S72" s="1018">
        <v>504</v>
      </c>
      <c r="T72" s="1018">
        <v>4829</v>
      </c>
      <c r="U72" s="1018"/>
      <c r="V72" s="1018"/>
    </row>
    <row r="73" spans="1:22" x14ac:dyDescent="0.25">
      <c r="A73" s="1019" t="s">
        <v>2605</v>
      </c>
      <c r="B73" s="1016">
        <v>2.2098099999999999E-2</v>
      </c>
      <c r="C73" s="1016">
        <v>2.22189E-2</v>
      </c>
      <c r="D73" s="686">
        <v>19200.07</v>
      </c>
      <c r="E73" s="808">
        <v>-415405</v>
      </c>
      <c r="F73" s="1007">
        <v>-377192</v>
      </c>
      <c r="G73" s="1007"/>
      <c r="H73" s="1017">
        <v>6475</v>
      </c>
      <c r="I73" s="1017">
        <v>46561</v>
      </c>
      <c r="J73" s="1017">
        <v>63643</v>
      </c>
      <c r="K73" s="1007">
        <v>7907</v>
      </c>
      <c r="L73" s="1007"/>
      <c r="M73" s="1017">
        <v>1215</v>
      </c>
      <c r="N73" s="1017">
        <v>14496</v>
      </c>
      <c r="O73" s="1017">
        <v>0</v>
      </c>
      <c r="P73" s="1007">
        <v>74</v>
      </c>
      <c r="Q73" s="1007"/>
      <c r="R73" s="1017">
        <v>60063</v>
      </c>
      <c r="S73" s="1018">
        <v>7318</v>
      </c>
      <c r="T73" s="1018">
        <v>67381</v>
      </c>
      <c r="U73" s="1018"/>
      <c r="V73" s="1018"/>
    </row>
    <row r="74" spans="1:22" x14ac:dyDescent="0.25">
      <c r="A74" s="1019" t="s">
        <v>2606</v>
      </c>
      <c r="B74" s="1016">
        <v>1.12581E-2</v>
      </c>
      <c r="C74" s="1016">
        <v>1.15307E-2</v>
      </c>
      <c r="D74" s="686">
        <v>9781.64</v>
      </c>
      <c r="E74" s="808">
        <v>-215578</v>
      </c>
      <c r="F74" s="1007">
        <v>-192165</v>
      </c>
      <c r="G74" s="1007"/>
      <c r="H74" s="1017">
        <v>3299</v>
      </c>
      <c r="I74" s="1017">
        <v>23721</v>
      </c>
      <c r="J74" s="1017">
        <v>32423</v>
      </c>
      <c r="K74" s="1007">
        <v>4268</v>
      </c>
      <c r="L74" s="1007"/>
      <c r="M74" s="1017">
        <v>619</v>
      </c>
      <c r="N74" s="1017">
        <v>7385</v>
      </c>
      <c r="O74" s="1017">
        <v>0</v>
      </c>
      <c r="P74" s="1007">
        <v>6394</v>
      </c>
      <c r="Q74" s="1007"/>
      <c r="R74" s="1017">
        <v>30600</v>
      </c>
      <c r="S74" s="1018">
        <v>-4049</v>
      </c>
      <c r="T74" s="1018">
        <v>26550</v>
      </c>
      <c r="U74" s="1018"/>
      <c r="V74" s="1018"/>
    </row>
    <row r="75" spans="1:22" x14ac:dyDescent="0.25">
      <c r="A75" s="1019" t="s">
        <v>2607</v>
      </c>
      <c r="B75" s="1016">
        <v>1.4119E-3</v>
      </c>
      <c r="C75" s="1016">
        <v>1.5663999999999999E-3</v>
      </c>
      <c r="D75" s="686">
        <v>1226.7</v>
      </c>
      <c r="E75" s="808">
        <v>-29285</v>
      </c>
      <c r="F75" s="1007">
        <v>-24100</v>
      </c>
      <c r="G75" s="1007"/>
      <c r="H75" s="1017">
        <v>414</v>
      </c>
      <c r="I75" s="1017">
        <v>2975</v>
      </c>
      <c r="J75" s="1017">
        <v>4066</v>
      </c>
      <c r="K75" s="1007">
        <v>2539</v>
      </c>
      <c r="L75" s="1007"/>
      <c r="M75" s="1017">
        <v>78</v>
      </c>
      <c r="N75" s="1017">
        <v>926</v>
      </c>
      <c r="O75" s="1017">
        <v>0</v>
      </c>
      <c r="P75" s="1007">
        <v>1680</v>
      </c>
      <c r="Q75" s="1007"/>
      <c r="R75" s="1017">
        <v>3838</v>
      </c>
      <c r="S75" s="1018">
        <v>420</v>
      </c>
      <c r="T75" s="1018">
        <v>4257</v>
      </c>
      <c r="U75" s="1018"/>
      <c r="V75" s="1018"/>
    </row>
    <row r="76" spans="1:22" x14ac:dyDescent="0.25">
      <c r="A76" s="1019" t="s">
        <v>2608</v>
      </c>
      <c r="B76" s="1016">
        <v>4.0241000000000001E-3</v>
      </c>
      <c r="C76" s="1016">
        <v>4.2376999999999996E-3</v>
      </c>
      <c r="D76" s="686">
        <v>3496.39</v>
      </c>
      <c r="E76" s="808">
        <v>-79228</v>
      </c>
      <c r="F76" s="1007">
        <v>-68687</v>
      </c>
      <c r="G76" s="1007"/>
      <c r="H76" s="1017">
        <v>1179</v>
      </c>
      <c r="I76" s="1017">
        <v>8479</v>
      </c>
      <c r="J76" s="1017">
        <v>11589</v>
      </c>
      <c r="K76" s="1007">
        <v>3504</v>
      </c>
      <c r="L76" s="1007"/>
      <c r="M76" s="1017">
        <v>221</v>
      </c>
      <c r="N76" s="1017">
        <v>2640</v>
      </c>
      <c r="O76" s="1017">
        <v>0</v>
      </c>
      <c r="P76" s="1007">
        <v>1159</v>
      </c>
      <c r="Q76" s="1007"/>
      <c r="R76" s="1017">
        <v>10938</v>
      </c>
      <c r="S76" s="1018">
        <v>1603</v>
      </c>
      <c r="T76" s="1018">
        <v>12540</v>
      </c>
      <c r="U76" s="1018"/>
      <c r="V76" s="1018"/>
    </row>
    <row r="77" spans="1:22" x14ac:dyDescent="0.25">
      <c r="A77" s="1019" t="s">
        <v>2609</v>
      </c>
      <c r="B77" s="1016">
        <v>7.4469999999999996E-3</v>
      </c>
      <c r="C77" s="1016">
        <v>7.2559E-3</v>
      </c>
      <c r="D77" s="686">
        <v>6470.36</v>
      </c>
      <c r="E77" s="808">
        <v>-135656</v>
      </c>
      <c r="F77" s="1007">
        <v>-127113</v>
      </c>
      <c r="G77" s="1007"/>
      <c r="H77" s="1017">
        <v>2182</v>
      </c>
      <c r="I77" s="1017">
        <v>15691</v>
      </c>
      <c r="J77" s="1017">
        <v>21447</v>
      </c>
      <c r="K77" s="1007">
        <v>0</v>
      </c>
      <c r="L77" s="1007"/>
      <c r="M77" s="1017">
        <v>410</v>
      </c>
      <c r="N77" s="1017">
        <v>4885</v>
      </c>
      <c r="O77" s="1017">
        <v>0</v>
      </c>
      <c r="P77" s="1007">
        <v>5415</v>
      </c>
      <c r="Q77" s="1007"/>
      <c r="R77" s="1017">
        <v>20241</v>
      </c>
      <c r="S77" s="1018">
        <v>-5496</v>
      </c>
      <c r="T77" s="1018">
        <v>14745</v>
      </c>
      <c r="U77" s="1018"/>
      <c r="V77" s="1018"/>
    </row>
    <row r="78" spans="1:22" x14ac:dyDescent="0.25">
      <c r="A78" s="1019" t="s">
        <v>2610</v>
      </c>
      <c r="B78" s="1016">
        <v>1.2819000000000001E-3</v>
      </c>
      <c r="C78" s="1016">
        <v>1.4243000000000001E-3</v>
      </c>
      <c r="D78" s="686">
        <v>1113.81</v>
      </c>
      <c r="E78" s="808">
        <v>-26629</v>
      </c>
      <c r="F78" s="1007">
        <v>-21881</v>
      </c>
      <c r="G78" s="1007"/>
      <c r="H78" s="1017">
        <v>376</v>
      </c>
      <c r="I78" s="1017">
        <v>2701</v>
      </c>
      <c r="J78" s="1017">
        <v>3692</v>
      </c>
      <c r="K78" s="1007">
        <v>2291</v>
      </c>
      <c r="L78" s="1007"/>
      <c r="M78" s="1017">
        <v>71</v>
      </c>
      <c r="N78" s="1017">
        <v>841</v>
      </c>
      <c r="O78" s="1017">
        <v>0</v>
      </c>
      <c r="P78" s="1007">
        <v>802</v>
      </c>
      <c r="Q78" s="1007"/>
      <c r="R78" s="1017">
        <v>3484</v>
      </c>
      <c r="S78" s="1018">
        <v>869</v>
      </c>
      <c r="T78" s="1018">
        <v>4354</v>
      </c>
      <c r="U78" s="1018"/>
      <c r="V78" s="1018"/>
    </row>
    <row r="79" spans="1:22" x14ac:dyDescent="0.25">
      <c r="A79" s="1019" t="s">
        <v>2611</v>
      </c>
      <c r="B79" s="1016">
        <v>3.4467E-3</v>
      </c>
      <c r="C79" s="1016">
        <v>3.5128999999999998E-3</v>
      </c>
      <c r="D79" s="686">
        <v>2994.67</v>
      </c>
      <c r="E79" s="808">
        <v>-65677</v>
      </c>
      <c r="F79" s="1007">
        <v>-58832</v>
      </c>
      <c r="G79" s="1007"/>
      <c r="H79" s="1017">
        <v>1010</v>
      </c>
      <c r="I79" s="1017">
        <v>7262</v>
      </c>
      <c r="J79" s="1017">
        <v>9926</v>
      </c>
      <c r="K79" s="1007">
        <v>1615</v>
      </c>
      <c r="L79" s="1007"/>
      <c r="M79" s="1017">
        <v>190</v>
      </c>
      <c r="N79" s="1017">
        <v>2261</v>
      </c>
      <c r="O79" s="1017">
        <v>0</v>
      </c>
      <c r="P79" s="1007">
        <v>0</v>
      </c>
      <c r="Q79" s="1007"/>
      <c r="R79" s="1017">
        <v>9368</v>
      </c>
      <c r="S79" s="1018">
        <v>1805</v>
      </c>
      <c r="T79" s="1018">
        <v>11173</v>
      </c>
      <c r="U79" s="1018"/>
      <c r="V79" s="1018"/>
    </row>
    <row r="80" spans="1:22" x14ac:dyDescent="0.25">
      <c r="A80" s="1019" t="s">
        <v>2612</v>
      </c>
      <c r="B80" s="1016">
        <v>1.4525700000000001E-2</v>
      </c>
      <c r="C80" s="1016">
        <v>1.42188E-2</v>
      </c>
      <c r="D80" s="686">
        <v>12620.74</v>
      </c>
      <c r="E80" s="808">
        <v>-265835</v>
      </c>
      <c r="F80" s="1007">
        <v>-247939</v>
      </c>
      <c r="G80" s="1007"/>
      <c r="H80" s="1017">
        <v>4256</v>
      </c>
      <c r="I80" s="1017">
        <v>30606</v>
      </c>
      <c r="J80" s="1017">
        <v>41834</v>
      </c>
      <c r="K80" s="1007">
        <v>3878</v>
      </c>
      <c r="L80" s="1007"/>
      <c r="M80" s="1017">
        <v>799</v>
      </c>
      <c r="N80" s="1017">
        <v>9529</v>
      </c>
      <c r="O80" s="1017">
        <v>0</v>
      </c>
      <c r="P80" s="1007">
        <v>4805</v>
      </c>
      <c r="Q80" s="1007"/>
      <c r="R80" s="1017">
        <v>39481</v>
      </c>
      <c r="S80" s="1018">
        <v>884</v>
      </c>
      <c r="T80" s="1018">
        <v>40364</v>
      </c>
      <c r="U80" s="1018"/>
      <c r="V80" s="1018"/>
    </row>
    <row r="81" spans="1:22" x14ac:dyDescent="0.25">
      <c r="A81" s="1019" t="s">
        <v>2613</v>
      </c>
      <c r="B81" s="1016">
        <v>2.3395999999999998E-3</v>
      </c>
      <c r="C81" s="1016">
        <v>2.2653999999999999E-3</v>
      </c>
      <c r="D81" s="686">
        <v>2032.78</v>
      </c>
      <c r="E81" s="808">
        <v>-42354</v>
      </c>
      <c r="F81" s="1007">
        <v>-39935</v>
      </c>
      <c r="G81" s="1007"/>
      <c r="H81" s="1017">
        <v>686</v>
      </c>
      <c r="I81" s="1017">
        <v>4930</v>
      </c>
      <c r="J81" s="1017">
        <v>6738</v>
      </c>
      <c r="K81" s="1007">
        <v>1369</v>
      </c>
      <c r="L81" s="1007"/>
      <c r="M81" s="1017">
        <v>129</v>
      </c>
      <c r="N81" s="1017">
        <v>1535</v>
      </c>
      <c r="O81" s="1017">
        <v>0</v>
      </c>
      <c r="P81" s="1007">
        <v>1440</v>
      </c>
      <c r="Q81" s="1007"/>
      <c r="R81" s="1017">
        <v>6359</v>
      </c>
      <c r="S81" s="1018">
        <v>-1157</v>
      </c>
      <c r="T81" s="1018">
        <v>5202</v>
      </c>
      <c r="U81" s="1018"/>
      <c r="V81" s="1018"/>
    </row>
    <row r="82" spans="1:22" x14ac:dyDescent="0.25">
      <c r="A82" s="1019" t="s">
        <v>2614</v>
      </c>
      <c r="B82" s="1016">
        <v>1.20278E-2</v>
      </c>
      <c r="C82" s="1016">
        <v>1.1860799999999999E-2</v>
      </c>
      <c r="D82" s="686">
        <v>10450.469999999999</v>
      </c>
      <c r="E82" s="808">
        <v>-221750</v>
      </c>
      <c r="F82" s="1007">
        <v>-205303</v>
      </c>
      <c r="G82" s="1007"/>
      <c r="H82" s="1017">
        <v>3524</v>
      </c>
      <c r="I82" s="1017">
        <v>25343</v>
      </c>
      <c r="J82" s="1017">
        <v>34640</v>
      </c>
      <c r="K82" s="1007">
        <v>13221</v>
      </c>
      <c r="L82" s="1007"/>
      <c r="M82" s="1017">
        <v>662</v>
      </c>
      <c r="N82" s="1017">
        <v>7890</v>
      </c>
      <c r="O82" s="1017">
        <v>0</v>
      </c>
      <c r="P82" s="1007">
        <v>4644</v>
      </c>
      <c r="Q82" s="1007"/>
      <c r="R82" s="1017">
        <v>32692</v>
      </c>
      <c r="S82" s="1018">
        <v>-2435</v>
      </c>
      <c r="T82" s="1018">
        <v>30256</v>
      </c>
      <c r="U82" s="1018"/>
      <c r="V82" s="1018"/>
    </row>
    <row r="83" spans="1:22" x14ac:dyDescent="0.25">
      <c r="A83" s="1019" t="s">
        <v>2615</v>
      </c>
      <c r="B83" s="1016">
        <v>2.7853999999999999E-3</v>
      </c>
      <c r="C83" s="1016">
        <v>2.9551E-3</v>
      </c>
      <c r="D83" s="686">
        <v>2420.11</v>
      </c>
      <c r="E83" s="808">
        <v>-55249</v>
      </c>
      <c r="F83" s="1007">
        <v>-47544</v>
      </c>
      <c r="G83" s="1007"/>
      <c r="H83" s="1017">
        <v>816</v>
      </c>
      <c r="I83" s="1017">
        <v>5869</v>
      </c>
      <c r="J83" s="1017">
        <v>8022</v>
      </c>
      <c r="K83" s="1007">
        <v>2657</v>
      </c>
      <c r="L83" s="1007"/>
      <c r="M83" s="1017">
        <v>153</v>
      </c>
      <c r="N83" s="1017">
        <v>1827</v>
      </c>
      <c r="O83" s="1017">
        <v>0</v>
      </c>
      <c r="P83" s="1007">
        <v>744</v>
      </c>
      <c r="Q83" s="1007"/>
      <c r="R83" s="1017">
        <v>7571</v>
      </c>
      <c r="S83" s="1018">
        <v>-35</v>
      </c>
      <c r="T83" s="1018">
        <v>7536</v>
      </c>
      <c r="U83" s="1018"/>
      <c r="V83" s="1018"/>
    </row>
    <row r="84" spans="1:22" x14ac:dyDescent="0.25">
      <c r="A84" s="1019" t="s">
        <v>2616</v>
      </c>
      <c r="B84" s="1016">
        <v>7.8741000000000002E-3</v>
      </c>
      <c r="C84" s="1016">
        <v>8.4644000000000004E-3</v>
      </c>
      <c r="D84" s="686">
        <v>6841.42</v>
      </c>
      <c r="E84" s="808">
        <v>-158250</v>
      </c>
      <c r="F84" s="1007">
        <v>-134403</v>
      </c>
      <c r="G84" s="1007"/>
      <c r="H84" s="1017">
        <v>2307</v>
      </c>
      <c r="I84" s="1017">
        <v>16591</v>
      </c>
      <c r="J84" s="1017">
        <v>22677</v>
      </c>
      <c r="K84" s="1007">
        <v>9470</v>
      </c>
      <c r="L84" s="1007"/>
      <c r="M84" s="1017">
        <v>433</v>
      </c>
      <c r="N84" s="1017">
        <v>5165</v>
      </c>
      <c r="O84" s="1017">
        <v>0</v>
      </c>
      <c r="P84" s="1007">
        <v>6538</v>
      </c>
      <c r="Q84" s="1007"/>
      <c r="R84" s="1017">
        <v>21402</v>
      </c>
      <c r="S84" s="1018">
        <v>94</v>
      </c>
      <c r="T84" s="1018">
        <v>21496</v>
      </c>
      <c r="U84" s="1018"/>
      <c r="V84" s="1018"/>
    </row>
    <row r="85" spans="1:22" x14ac:dyDescent="0.25">
      <c r="A85" s="1019" t="s">
        <v>2617</v>
      </c>
      <c r="B85" s="1016">
        <v>8.0756999999999999E-3</v>
      </c>
      <c r="C85" s="1016">
        <v>7.9863E-3</v>
      </c>
      <c r="D85" s="686">
        <v>7016.61</v>
      </c>
      <c r="E85" s="808">
        <v>-149312</v>
      </c>
      <c r="F85" s="1007">
        <v>-137844</v>
      </c>
      <c r="G85" s="1007"/>
      <c r="H85" s="1017">
        <v>2366</v>
      </c>
      <c r="I85" s="1017">
        <v>17015</v>
      </c>
      <c r="J85" s="1017">
        <v>23258</v>
      </c>
      <c r="K85" s="1007">
        <v>1689</v>
      </c>
      <c r="L85" s="1007"/>
      <c r="M85" s="1017">
        <v>444</v>
      </c>
      <c r="N85" s="1017">
        <v>5298</v>
      </c>
      <c r="O85" s="1017">
        <v>0</v>
      </c>
      <c r="P85" s="1007">
        <v>1532</v>
      </c>
      <c r="Q85" s="1007"/>
      <c r="R85" s="1017">
        <v>21950</v>
      </c>
      <c r="S85" s="1018">
        <v>-689</v>
      </c>
      <c r="T85" s="1018">
        <v>21261</v>
      </c>
      <c r="U85" s="1018"/>
      <c r="V85" s="1018"/>
    </row>
    <row r="86" spans="1:22" x14ac:dyDescent="0.25">
      <c r="A86" s="1019" t="s">
        <v>2618</v>
      </c>
      <c r="B86" s="1016">
        <v>1.3247699999999999E-2</v>
      </c>
      <c r="C86" s="1016">
        <v>1.2933699999999999E-2</v>
      </c>
      <c r="D86" s="686">
        <v>11510.38</v>
      </c>
      <c r="E86" s="808">
        <v>-241808</v>
      </c>
      <c r="F86" s="1007">
        <v>-226125</v>
      </c>
      <c r="G86" s="1007"/>
      <c r="H86" s="1017">
        <v>3882</v>
      </c>
      <c r="I86" s="1017">
        <v>27913</v>
      </c>
      <c r="J86" s="1017">
        <v>38153</v>
      </c>
      <c r="K86" s="1007">
        <v>54</v>
      </c>
      <c r="L86" s="1007"/>
      <c r="M86" s="1017">
        <v>729</v>
      </c>
      <c r="N86" s="1017">
        <v>8690</v>
      </c>
      <c r="O86" s="1017">
        <v>0</v>
      </c>
      <c r="P86" s="1007">
        <v>8121</v>
      </c>
      <c r="Q86" s="1007"/>
      <c r="R86" s="1017">
        <v>36007</v>
      </c>
      <c r="S86" s="1018">
        <v>-5303</v>
      </c>
      <c r="T86" s="1018">
        <v>30704</v>
      </c>
      <c r="U86" s="1018"/>
      <c r="V86" s="1018"/>
    </row>
    <row r="87" spans="1:22" x14ac:dyDescent="0.25">
      <c r="A87" s="1019" t="s">
        <v>2619</v>
      </c>
      <c r="B87" s="1016">
        <v>6.8475000000000003E-3</v>
      </c>
      <c r="C87" s="1016">
        <v>6.5884000000000003E-3</v>
      </c>
      <c r="D87" s="686">
        <v>5949.47</v>
      </c>
      <c r="E87" s="808">
        <v>-123177</v>
      </c>
      <c r="F87" s="1007">
        <v>-116880</v>
      </c>
      <c r="G87" s="1007"/>
      <c r="H87" s="1017">
        <v>2006</v>
      </c>
      <c r="I87" s="1017">
        <v>14428</v>
      </c>
      <c r="J87" s="1017">
        <v>19721</v>
      </c>
      <c r="K87" s="1007">
        <v>0</v>
      </c>
      <c r="L87" s="1007"/>
      <c r="M87" s="1017">
        <v>377</v>
      </c>
      <c r="N87" s="1017">
        <v>4492</v>
      </c>
      <c r="O87" s="1017">
        <v>0</v>
      </c>
      <c r="P87" s="1007">
        <v>4677</v>
      </c>
      <c r="Q87" s="1007"/>
      <c r="R87" s="1017">
        <v>18612</v>
      </c>
      <c r="S87" s="1018">
        <v>-3978</v>
      </c>
      <c r="T87" s="1018">
        <v>14633</v>
      </c>
      <c r="U87" s="1018"/>
      <c r="V87" s="1018"/>
    </row>
    <row r="88" spans="1:22" x14ac:dyDescent="0.25">
      <c r="A88" s="1019" t="s">
        <v>2620</v>
      </c>
      <c r="B88" s="1016">
        <v>4.8418000000000003E-3</v>
      </c>
      <c r="C88" s="1016">
        <v>5.0077999999999998E-3</v>
      </c>
      <c r="D88" s="686">
        <v>4206.8599999999997</v>
      </c>
      <c r="E88" s="808">
        <v>-93626</v>
      </c>
      <c r="F88" s="1007">
        <v>-82645</v>
      </c>
      <c r="G88" s="1007"/>
      <c r="H88" s="1017">
        <v>1419</v>
      </c>
      <c r="I88" s="1017">
        <v>10202</v>
      </c>
      <c r="J88" s="1017">
        <v>13944</v>
      </c>
      <c r="K88" s="1007">
        <v>2638</v>
      </c>
      <c r="L88" s="1007"/>
      <c r="M88" s="1017">
        <v>266</v>
      </c>
      <c r="N88" s="1017">
        <v>3176</v>
      </c>
      <c r="O88" s="1017">
        <v>0</v>
      </c>
      <c r="P88" s="1007">
        <v>1476</v>
      </c>
      <c r="Q88" s="1007"/>
      <c r="R88" s="1017">
        <v>13160</v>
      </c>
      <c r="S88" s="1018">
        <v>8</v>
      </c>
      <c r="T88" s="1018">
        <v>13168</v>
      </c>
      <c r="U88" s="1018"/>
      <c r="V88" s="1018"/>
    </row>
    <row r="89" spans="1:22" x14ac:dyDescent="0.25">
      <c r="A89" s="1019" t="s">
        <v>2621</v>
      </c>
      <c r="B89" s="1016">
        <v>2.9344000000000002E-3</v>
      </c>
      <c r="C89" s="1016">
        <v>3.0856999999999998E-3</v>
      </c>
      <c r="D89" s="686">
        <v>2549.61</v>
      </c>
      <c r="E89" s="808">
        <v>-57690</v>
      </c>
      <c r="F89" s="1007">
        <v>-50087</v>
      </c>
      <c r="G89" s="1007"/>
      <c r="H89" s="1017">
        <v>860</v>
      </c>
      <c r="I89" s="1017">
        <v>6183</v>
      </c>
      <c r="J89" s="1017">
        <v>8451</v>
      </c>
      <c r="K89" s="1007">
        <v>2369</v>
      </c>
      <c r="L89" s="1007"/>
      <c r="M89" s="1017">
        <v>161</v>
      </c>
      <c r="N89" s="1017">
        <v>1925</v>
      </c>
      <c r="O89" s="1017">
        <v>0</v>
      </c>
      <c r="P89" s="1007">
        <v>2384</v>
      </c>
      <c r="Q89" s="1007"/>
      <c r="R89" s="1017">
        <v>7976</v>
      </c>
      <c r="S89" s="1018">
        <v>-856</v>
      </c>
      <c r="T89" s="1018">
        <v>7120</v>
      </c>
      <c r="U89" s="1018"/>
      <c r="V89" s="1018"/>
    </row>
    <row r="90" spans="1:22" x14ac:dyDescent="0.25">
      <c r="A90" s="1019" t="s">
        <v>2622</v>
      </c>
      <c r="B90" s="1016">
        <v>6.3501E-3</v>
      </c>
      <c r="C90" s="1016">
        <v>6.2223000000000001E-3</v>
      </c>
      <c r="D90" s="686">
        <v>5517.36</v>
      </c>
      <c r="E90" s="808">
        <v>-116332</v>
      </c>
      <c r="F90" s="1007">
        <v>-108390</v>
      </c>
      <c r="G90" s="1007"/>
      <c r="H90" s="1017">
        <v>1861</v>
      </c>
      <c r="I90" s="1017">
        <v>13380</v>
      </c>
      <c r="J90" s="1017">
        <v>18288</v>
      </c>
      <c r="K90" s="1007">
        <v>0</v>
      </c>
      <c r="L90" s="1007"/>
      <c r="M90" s="1017">
        <v>349</v>
      </c>
      <c r="N90" s="1017">
        <v>4166</v>
      </c>
      <c r="O90" s="1017">
        <v>0</v>
      </c>
      <c r="P90" s="1007">
        <v>6126</v>
      </c>
      <c r="Q90" s="1007"/>
      <c r="R90" s="1017">
        <v>17260</v>
      </c>
      <c r="S90" s="1018">
        <v>-6275</v>
      </c>
      <c r="T90" s="1018">
        <v>10984</v>
      </c>
      <c r="U90" s="1018"/>
      <c r="V90" s="1018"/>
    </row>
    <row r="91" spans="1:22" x14ac:dyDescent="0.25">
      <c r="A91" s="1019" t="s">
        <v>2623</v>
      </c>
      <c r="B91" s="1016">
        <v>3.8162000000000001E-3</v>
      </c>
      <c r="C91" s="1016">
        <v>3.6819000000000001E-3</v>
      </c>
      <c r="D91" s="686">
        <v>3315.69</v>
      </c>
      <c r="E91" s="808">
        <v>-68837</v>
      </c>
      <c r="F91" s="1007">
        <v>-65139</v>
      </c>
      <c r="G91" s="1007"/>
      <c r="H91" s="1017">
        <v>1118</v>
      </c>
      <c r="I91" s="1017">
        <v>8041</v>
      </c>
      <c r="J91" s="1017">
        <v>10991</v>
      </c>
      <c r="K91" s="1007">
        <v>1750</v>
      </c>
      <c r="L91" s="1007"/>
      <c r="M91" s="1017">
        <v>210</v>
      </c>
      <c r="N91" s="1017">
        <v>2503</v>
      </c>
      <c r="O91" s="1017">
        <v>0</v>
      </c>
      <c r="P91" s="1007">
        <v>2418</v>
      </c>
      <c r="Q91" s="1007"/>
      <c r="R91" s="1017">
        <v>10372</v>
      </c>
      <c r="S91" s="1018">
        <v>-1477</v>
      </c>
      <c r="T91" s="1018">
        <v>8895</v>
      </c>
      <c r="U91" s="1018"/>
      <c r="V91" s="1018"/>
    </row>
    <row r="92" spans="1:22" x14ac:dyDescent="0.25">
      <c r="A92" s="1019" t="s">
        <v>2624</v>
      </c>
      <c r="B92" s="1016">
        <v>6.3610999999999997E-3</v>
      </c>
      <c r="C92" s="1016">
        <v>7.1685999999999998E-3</v>
      </c>
      <c r="D92" s="686">
        <v>5526.92</v>
      </c>
      <c r="E92" s="808">
        <v>-134024</v>
      </c>
      <c r="F92" s="1007">
        <v>-108578</v>
      </c>
      <c r="G92" s="1007"/>
      <c r="H92" s="1017">
        <v>1864</v>
      </c>
      <c r="I92" s="1017">
        <v>13403</v>
      </c>
      <c r="J92" s="1017">
        <v>18320</v>
      </c>
      <c r="K92" s="1007">
        <v>12644</v>
      </c>
      <c r="L92" s="1007"/>
      <c r="M92" s="1017">
        <v>350</v>
      </c>
      <c r="N92" s="1017">
        <v>4173</v>
      </c>
      <c r="O92" s="1017">
        <v>0</v>
      </c>
      <c r="P92" s="1007">
        <v>969</v>
      </c>
      <c r="Q92" s="1007"/>
      <c r="R92" s="1017">
        <v>17289</v>
      </c>
      <c r="S92" s="1018">
        <v>5121</v>
      </c>
      <c r="T92" s="1018">
        <v>22410</v>
      </c>
      <c r="U92" s="1018"/>
      <c r="V92" s="1018"/>
    </row>
    <row r="93" spans="1:22" x14ac:dyDescent="0.25">
      <c r="A93" s="1019" t="s">
        <v>2625</v>
      </c>
      <c r="B93" s="1016">
        <v>3.0937999999999998E-3</v>
      </c>
      <c r="C93" s="1016">
        <v>3.0403000000000001E-3</v>
      </c>
      <c r="D93" s="686">
        <v>2688.06</v>
      </c>
      <c r="E93" s="808">
        <v>-56841</v>
      </c>
      <c r="F93" s="1007">
        <v>-52808</v>
      </c>
      <c r="G93" s="1007"/>
      <c r="H93" s="1017">
        <v>906</v>
      </c>
      <c r="I93" s="1017">
        <v>6519</v>
      </c>
      <c r="J93" s="1017">
        <v>8910</v>
      </c>
      <c r="K93" s="1007">
        <v>0</v>
      </c>
      <c r="L93" s="1007"/>
      <c r="M93" s="1017">
        <v>170</v>
      </c>
      <c r="N93" s="1017">
        <v>2030</v>
      </c>
      <c r="O93" s="1017">
        <v>0</v>
      </c>
      <c r="P93" s="1007">
        <v>2953</v>
      </c>
      <c r="Q93" s="1007"/>
      <c r="R93" s="1017">
        <v>8409</v>
      </c>
      <c r="S93" s="1018">
        <v>443</v>
      </c>
      <c r="T93" s="1018">
        <v>8852</v>
      </c>
      <c r="U93" s="1018"/>
      <c r="V93" s="1018"/>
    </row>
    <row r="94" spans="1:22" x14ac:dyDescent="0.25">
      <c r="A94" s="1019" t="s">
        <v>2626</v>
      </c>
      <c r="B94" s="1016">
        <v>4.2665999999999997E-3</v>
      </c>
      <c r="C94" s="1016">
        <v>4.2072000000000003E-3</v>
      </c>
      <c r="D94" s="686">
        <v>3707.05</v>
      </c>
      <c r="E94" s="808">
        <v>-78658</v>
      </c>
      <c r="F94" s="1007">
        <v>-72827</v>
      </c>
      <c r="G94" s="1007"/>
      <c r="H94" s="1017">
        <v>1250</v>
      </c>
      <c r="I94" s="1017">
        <v>8990</v>
      </c>
      <c r="J94" s="1017">
        <v>12288</v>
      </c>
      <c r="K94" s="1007">
        <v>0</v>
      </c>
      <c r="L94" s="1007"/>
      <c r="M94" s="1017">
        <v>235</v>
      </c>
      <c r="N94" s="1017">
        <v>2799</v>
      </c>
      <c r="O94" s="1017">
        <v>0</v>
      </c>
      <c r="P94" s="1007">
        <v>1685</v>
      </c>
      <c r="Q94" s="1007"/>
      <c r="R94" s="1017">
        <v>11597</v>
      </c>
      <c r="S94" s="1018">
        <v>-1481</v>
      </c>
      <c r="T94" s="1018">
        <v>10116</v>
      </c>
      <c r="U94" s="1018"/>
      <c r="V94" s="1018"/>
    </row>
    <row r="95" spans="1:22" x14ac:dyDescent="0.25">
      <c r="A95" s="1019" t="s">
        <v>2627</v>
      </c>
      <c r="B95" s="1016">
        <v>3.0699999999999998E-4</v>
      </c>
      <c r="C95" s="1016">
        <v>3.724E-4</v>
      </c>
      <c r="D95" s="686">
        <v>266.7</v>
      </c>
      <c r="E95" s="808">
        <v>-6962</v>
      </c>
      <c r="F95" s="1007">
        <v>-5240</v>
      </c>
      <c r="G95" s="1007"/>
      <c r="H95" s="1017">
        <v>90</v>
      </c>
      <c r="I95" s="1017">
        <v>647</v>
      </c>
      <c r="J95" s="1017">
        <v>884</v>
      </c>
      <c r="K95" s="1007">
        <v>1144</v>
      </c>
      <c r="L95" s="1007"/>
      <c r="M95" s="1017">
        <v>17</v>
      </c>
      <c r="N95" s="1017">
        <v>201</v>
      </c>
      <c r="O95" s="1017">
        <v>0</v>
      </c>
      <c r="P95" s="1007">
        <v>334</v>
      </c>
      <c r="Q95" s="1007"/>
      <c r="R95" s="1017">
        <v>834</v>
      </c>
      <c r="S95" s="1018">
        <v>788</v>
      </c>
      <c r="T95" s="1018">
        <v>1623</v>
      </c>
      <c r="U95" s="1018"/>
      <c r="V95" s="1018"/>
    </row>
    <row r="96" spans="1:22" x14ac:dyDescent="0.25">
      <c r="A96" s="1019" t="s">
        <v>2628</v>
      </c>
      <c r="B96" s="1016">
        <v>2.61335E-2</v>
      </c>
      <c r="C96" s="1016">
        <v>2.6073599999999999E-2</v>
      </c>
      <c r="D96" s="686">
        <v>22706.27</v>
      </c>
      <c r="E96" s="808">
        <v>-487472</v>
      </c>
      <c r="F96" s="1007">
        <v>-446073</v>
      </c>
      <c r="G96" s="1007"/>
      <c r="H96" s="1017">
        <v>7657</v>
      </c>
      <c r="I96" s="1017">
        <v>55063</v>
      </c>
      <c r="J96" s="1017">
        <v>75264</v>
      </c>
      <c r="K96" s="1007">
        <v>1022</v>
      </c>
      <c r="L96" s="1007"/>
      <c r="M96" s="1017">
        <v>1437</v>
      </c>
      <c r="N96" s="1017">
        <v>17144</v>
      </c>
      <c r="O96" s="1017">
        <v>0</v>
      </c>
      <c r="P96" s="1007">
        <v>2506</v>
      </c>
      <c r="Q96" s="1007"/>
      <c r="R96" s="1017">
        <v>71031</v>
      </c>
      <c r="S96" s="1018">
        <v>-6599</v>
      </c>
      <c r="T96" s="1018">
        <v>64432</v>
      </c>
      <c r="U96" s="1018"/>
      <c r="V96" s="1018"/>
    </row>
    <row r="97" spans="1:22" x14ac:dyDescent="0.25">
      <c r="A97" s="1019" t="s">
        <v>2629</v>
      </c>
      <c r="B97" s="1016">
        <v>3.5677999999999999E-3</v>
      </c>
      <c r="C97" s="1016">
        <v>3.6116999999999998E-3</v>
      </c>
      <c r="D97" s="686">
        <v>3099.86</v>
      </c>
      <c r="E97" s="808">
        <v>-67524</v>
      </c>
      <c r="F97" s="1007">
        <v>-60899</v>
      </c>
      <c r="G97" s="1007"/>
      <c r="H97" s="1017">
        <v>1045</v>
      </c>
      <c r="I97" s="1017">
        <v>7517</v>
      </c>
      <c r="J97" s="1017">
        <v>10275</v>
      </c>
      <c r="K97" s="1007">
        <v>1746</v>
      </c>
      <c r="L97" s="1007"/>
      <c r="M97" s="1017">
        <v>196</v>
      </c>
      <c r="N97" s="1017">
        <v>2340</v>
      </c>
      <c r="O97" s="1017">
        <v>0</v>
      </c>
      <c r="P97" s="1007">
        <v>0</v>
      </c>
      <c r="Q97" s="1007"/>
      <c r="R97" s="1017">
        <v>9697</v>
      </c>
      <c r="S97" s="1018">
        <v>1347</v>
      </c>
      <c r="T97" s="1018">
        <v>11045</v>
      </c>
      <c r="U97" s="1018"/>
      <c r="V97" s="1018"/>
    </row>
    <row r="98" spans="1:22" x14ac:dyDescent="0.25">
      <c r="A98" s="1019" t="s">
        <v>2630</v>
      </c>
      <c r="B98" s="1016">
        <v>0.1145418</v>
      </c>
      <c r="C98" s="1016">
        <v>9.9709900000000004E-2</v>
      </c>
      <c r="D98" s="686">
        <v>99520.66</v>
      </c>
      <c r="E98" s="808">
        <v>-1864176</v>
      </c>
      <c r="F98" s="1007">
        <v>-1955114</v>
      </c>
      <c r="G98" s="1007"/>
      <c r="H98" s="1017">
        <v>33561</v>
      </c>
      <c r="I98" s="1017">
        <v>241340</v>
      </c>
      <c r="J98" s="1017">
        <v>329880</v>
      </c>
      <c r="K98" s="1007">
        <v>114883</v>
      </c>
      <c r="L98" s="1007"/>
      <c r="M98" s="1017">
        <v>6300</v>
      </c>
      <c r="N98" s="1017">
        <v>75139</v>
      </c>
      <c r="O98" s="1017">
        <v>0</v>
      </c>
      <c r="P98" s="1007">
        <v>241231</v>
      </c>
      <c r="Q98" s="1007"/>
      <c r="R98" s="1017">
        <v>311325</v>
      </c>
      <c r="S98" s="1018">
        <v>-68284</v>
      </c>
      <c r="T98" s="1018">
        <v>243040</v>
      </c>
      <c r="U98" s="1018"/>
      <c r="V98" s="1018"/>
    </row>
    <row r="99" spans="1:22" x14ac:dyDescent="0.25">
      <c r="A99" s="1019" t="s">
        <v>2631</v>
      </c>
      <c r="B99" s="1016">
        <v>1.4982000000000001E-3</v>
      </c>
      <c r="C99" s="1016">
        <v>1.6083E-3</v>
      </c>
      <c r="D99" s="686">
        <v>1301.73</v>
      </c>
      <c r="E99" s="808">
        <v>-30069</v>
      </c>
      <c r="F99" s="1007">
        <v>-25573</v>
      </c>
      <c r="G99" s="1007"/>
      <c r="H99" s="1017">
        <v>439</v>
      </c>
      <c r="I99" s="1017">
        <v>3157</v>
      </c>
      <c r="J99" s="1017">
        <v>4315</v>
      </c>
      <c r="K99" s="1007">
        <v>1917</v>
      </c>
      <c r="L99" s="1007"/>
      <c r="M99" s="1017">
        <v>82</v>
      </c>
      <c r="N99" s="1017">
        <v>983</v>
      </c>
      <c r="O99" s="1017">
        <v>0</v>
      </c>
      <c r="P99" s="1007">
        <v>1959</v>
      </c>
      <c r="Q99" s="1007"/>
      <c r="R99" s="1017">
        <v>4072</v>
      </c>
      <c r="S99" s="1018">
        <v>459</v>
      </c>
      <c r="T99" s="1018">
        <v>4531</v>
      </c>
      <c r="U99" s="1018"/>
      <c r="V99" s="1018"/>
    </row>
    <row r="100" spans="1:22" x14ac:dyDescent="0.25">
      <c r="A100" s="1019" t="s">
        <v>2632</v>
      </c>
      <c r="B100" s="1016">
        <v>1.3189E-3</v>
      </c>
      <c r="C100" s="1016">
        <v>1.2009E-3</v>
      </c>
      <c r="D100" s="686">
        <v>1145.94</v>
      </c>
      <c r="E100" s="808">
        <v>-22452</v>
      </c>
      <c r="F100" s="1007">
        <v>-22512</v>
      </c>
      <c r="G100" s="1007"/>
      <c r="H100" s="1017">
        <v>386</v>
      </c>
      <c r="I100" s="1017">
        <v>2779</v>
      </c>
      <c r="J100" s="1017">
        <v>3798</v>
      </c>
      <c r="K100" s="1007">
        <v>309</v>
      </c>
      <c r="L100" s="1007"/>
      <c r="M100" s="1017">
        <v>73</v>
      </c>
      <c r="N100" s="1017">
        <v>865</v>
      </c>
      <c r="O100" s="1017">
        <v>0</v>
      </c>
      <c r="P100" s="1007">
        <v>2208</v>
      </c>
      <c r="Q100" s="1007"/>
      <c r="R100" s="1017">
        <v>3585</v>
      </c>
      <c r="S100" s="1018">
        <v>-2814</v>
      </c>
      <c r="T100" s="1018">
        <v>771</v>
      </c>
      <c r="U100" s="1018"/>
      <c r="V100" s="1018"/>
    </row>
    <row r="101" spans="1:22" x14ac:dyDescent="0.25">
      <c r="A101" s="1019" t="s">
        <v>2633</v>
      </c>
      <c r="B101" s="1016">
        <v>6.5062000000000002E-3</v>
      </c>
      <c r="C101" s="1016">
        <v>6.6734000000000003E-3</v>
      </c>
      <c r="D101" s="686">
        <v>5652.94</v>
      </c>
      <c r="E101" s="808">
        <v>-124766</v>
      </c>
      <c r="F101" s="1007">
        <v>-111054</v>
      </c>
      <c r="G101" s="1007"/>
      <c r="H101" s="1017">
        <v>1906</v>
      </c>
      <c r="I101" s="1017">
        <v>13709</v>
      </c>
      <c r="J101" s="1017">
        <v>18738</v>
      </c>
      <c r="K101" s="1007">
        <v>2618</v>
      </c>
      <c r="L101" s="1007"/>
      <c r="M101" s="1017">
        <v>358</v>
      </c>
      <c r="N101" s="1017">
        <v>4268</v>
      </c>
      <c r="O101" s="1017">
        <v>0</v>
      </c>
      <c r="P101" s="1007">
        <v>1207</v>
      </c>
      <c r="Q101" s="1007"/>
      <c r="R101" s="1017">
        <v>17684</v>
      </c>
      <c r="S101" s="1018">
        <v>-952</v>
      </c>
      <c r="T101" s="1018">
        <v>16732</v>
      </c>
      <c r="U101" s="1018"/>
      <c r="V101" s="1018"/>
    </row>
    <row r="102" spans="1:22" x14ac:dyDescent="0.25">
      <c r="A102" s="1019" t="s">
        <v>2634</v>
      </c>
      <c r="B102" s="1016">
        <v>9.7663000000000003E-3</v>
      </c>
      <c r="C102" s="1016">
        <v>9.8042000000000008E-3</v>
      </c>
      <c r="D102" s="686">
        <v>8485.51</v>
      </c>
      <c r="E102" s="808">
        <v>-183299</v>
      </c>
      <c r="F102" s="1007">
        <v>-166701</v>
      </c>
      <c r="G102" s="1007"/>
      <c r="H102" s="1017">
        <v>2862</v>
      </c>
      <c r="I102" s="1017">
        <v>20578</v>
      </c>
      <c r="J102" s="1017">
        <v>28127</v>
      </c>
      <c r="K102" s="1007">
        <v>679</v>
      </c>
      <c r="L102" s="1007"/>
      <c r="M102" s="1017">
        <v>537</v>
      </c>
      <c r="N102" s="1017">
        <v>6407</v>
      </c>
      <c r="O102" s="1017">
        <v>0</v>
      </c>
      <c r="P102" s="1007">
        <v>2384</v>
      </c>
      <c r="Q102" s="1007"/>
      <c r="R102" s="1017">
        <v>26545</v>
      </c>
      <c r="S102" s="1018">
        <v>-1507</v>
      </c>
      <c r="T102" s="1018">
        <v>25038</v>
      </c>
      <c r="U102" s="1018"/>
      <c r="V102" s="1018"/>
    </row>
    <row r="103" spans="1:22" x14ac:dyDescent="0.25">
      <c r="A103" s="1019" t="s">
        <v>2635</v>
      </c>
      <c r="B103" s="1016">
        <v>5.8377000000000004E-3</v>
      </c>
      <c r="C103" s="1016">
        <v>6.1932000000000003E-3</v>
      </c>
      <c r="D103" s="686">
        <v>5072.08</v>
      </c>
      <c r="E103" s="808">
        <v>-115788</v>
      </c>
      <c r="F103" s="1007">
        <v>-99644</v>
      </c>
      <c r="G103" s="1007"/>
      <c r="H103" s="1017">
        <v>1710</v>
      </c>
      <c r="I103" s="1017">
        <v>12300</v>
      </c>
      <c r="J103" s="1017">
        <v>16813</v>
      </c>
      <c r="K103" s="1007">
        <v>7141</v>
      </c>
      <c r="L103" s="1007"/>
      <c r="M103" s="1017">
        <v>321</v>
      </c>
      <c r="N103" s="1017">
        <v>3830</v>
      </c>
      <c r="O103" s="1017">
        <v>0</v>
      </c>
      <c r="P103" s="1007">
        <v>120</v>
      </c>
      <c r="Q103" s="1007"/>
      <c r="R103" s="1017">
        <v>15867</v>
      </c>
      <c r="S103" s="1018">
        <v>2730</v>
      </c>
      <c r="T103" s="1018">
        <v>18597</v>
      </c>
      <c r="U103" s="1018"/>
      <c r="V103" s="1018"/>
    </row>
    <row r="104" spans="1:22" x14ac:dyDescent="0.25">
      <c r="A104" s="1019" t="s">
        <v>2636</v>
      </c>
      <c r="B104" s="1016">
        <v>4.5783000000000004E-3</v>
      </c>
      <c r="C104" s="1016">
        <v>4.7648999999999999E-3</v>
      </c>
      <c r="D104" s="686">
        <v>3977.91</v>
      </c>
      <c r="E104" s="808">
        <v>-89085</v>
      </c>
      <c r="F104" s="1007">
        <v>-78147</v>
      </c>
      <c r="G104" s="1007"/>
      <c r="H104" s="1017">
        <v>1341</v>
      </c>
      <c r="I104" s="1017">
        <v>9646</v>
      </c>
      <c r="J104" s="1017">
        <v>13186</v>
      </c>
      <c r="K104" s="1007">
        <v>3163</v>
      </c>
      <c r="L104" s="1007"/>
      <c r="M104" s="1017">
        <v>252</v>
      </c>
      <c r="N104" s="1017">
        <v>3003</v>
      </c>
      <c r="O104" s="1017">
        <v>0</v>
      </c>
      <c r="P104" s="1007">
        <v>0</v>
      </c>
      <c r="Q104" s="1007"/>
      <c r="R104" s="1017">
        <v>12444</v>
      </c>
      <c r="S104" s="1018">
        <v>2214</v>
      </c>
      <c r="T104" s="1018">
        <v>14657</v>
      </c>
      <c r="U104" s="1018"/>
      <c r="V104" s="1018"/>
    </row>
    <row r="105" spans="1:22" x14ac:dyDescent="0.25">
      <c r="A105" s="1019" t="s">
        <v>2536</v>
      </c>
      <c r="B105" s="1016">
        <v>3.1147000000000002E-3</v>
      </c>
      <c r="C105" s="1016">
        <v>3.2017E-3</v>
      </c>
      <c r="D105" s="686">
        <v>2706.2</v>
      </c>
      <c r="E105" s="808">
        <v>-59859</v>
      </c>
      <c r="F105" s="1007">
        <v>-53165</v>
      </c>
      <c r="G105" s="1007"/>
      <c r="H105" s="1017">
        <v>913</v>
      </c>
      <c r="I105" s="1017">
        <v>6563</v>
      </c>
      <c r="J105" s="1017">
        <v>8970</v>
      </c>
      <c r="K105" s="1007">
        <v>1443</v>
      </c>
      <c r="L105" s="1007"/>
      <c r="M105" s="1017">
        <v>171</v>
      </c>
      <c r="N105" s="1017">
        <v>2043</v>
      </c>
      <c r="O105" s="1017">
        <v>0</v>
      </c>
      <c r="P105" s="1007">
        <v>1044</v>
      </c>
      <c r="Q105" s="1007"/>
      <c r="R105" s="1017">
        <v>8466</v>
      </c>
      <c r="S105" s="1018">
        <v>33</v>
      </c>
      <c r="T105" s="1018">
        <v>8499</v>
      </c>
      <c r="U105" s="1018"/>
      <c r="V105" s="1018"/>
    </row>
    <row r="106" spans="1:22" x14ac:dyDescent="0.25">
      <c r="A106" s="1019" t="s">
        <v>2637</v>
      </c>
      <c r="B106" s="1016">
        <v>1.7394999999999999E-3</v>
      </c>
      <c r="C106" s="1016">
        <v>1.7052E-3</v>
      </c>
      <c r="D106" s="686">
        <v>1511.39</v>
      </c>
      <c r="E106" s="808">
        <v>-31880</v>
      </c>
      <c r="F106" s="1007">
        <v>-29692</v>
      </c>
      <c r="G106" s="1007"/>
      <c r="H106" s="1017">
        <v>510</v>
      </c>
      <c r="I106" s="1017">
        <v>3665</v>
      </c>
      <c r="J106" s="1017">
        <v>5010</v>
      </c>
      <c r="K106" s="1007">
        <v>325</v>
      </c>
      <c r="L106" s="1007"/>
      <c r="M106" s="1017">
        <v>96</v>
      </c>
      <c r="N106" s="1017">
        <v>1141</v>
      </c>
      <c r="O106" s="1017">
        <v>0</v>
      </c>
      <c r="P106" s="1007">
        <v>537</v>
      </c>
      <c r="Q106" s="1007"/>
      <c r="R106" s="1017">
        <v>4728</v>
      </c>
      <c r="S106" s="1018">
        <v>267</v>
      </c>
      <c r="T106" s="1018">
        <v>4995</v>
      </c>
      <c r="U106" s="1018"/>
      <c r="V106" s="1018"/>
    </row>
    <row r="107" spans="1:22" x14ac:dyDescent="0.25">
      <c r="A107" s="1012" t="s">
        <v>2648</v>
      </c>
      <c r="B107" s="1016">
        <v>4.5522000000000002E-3</v>
      </c>
      <c r="C107" s="1016">
        <v>4.4989000000000001E-3</v>
      </c>
      <c r="D107" s="686">
        <v>3955.24</v>
      </c>
      <c r="E107" s="808">
        <v>-84111</v>
      </c>
      <c r="F107" s="1007">
        <v>-77702</v>
      </c>
      <c r="G107" s="1007"/>
      <c r="H107" s="1017">
        <v>1334</v>
      </c>
      <c r="I107" s="1017">
        <v>9591</v>
      </c>
      <c r="J107" s="1017">
        <v>13110</v>
      </c>
      <c r="K107" s="1007">
        <v>387</v>
      </c>
      <c r="L107" s="1007"/>
      <c r="M107" s="1017">
        <v>250</v>
      </c>
      <c r="N107" s="1017">
        <v>2986</v>
      </c>
      <c r="O107" s="1017">
        <v>0</v>
      </c>
      <c r="P107" s="1007">
        <v>3357</v>
      </c>
      <c r="Q107" s="1007"/>
      <c r="R107" s="1017">
        <v>12373</v>
      </c>
      <c r="S107" s="1018">
        <v>-221</v>
      </c>
      <c r="T107" s="1018">
        <v>12152</v>
      </c>
    </row>
    <row r="108" spans="1:22" s="1020" customFormat="1" x14ac:dyDescent="0.25">
      <c r="D108" s="1010">
        <f>SUM(D7:D106)</f>
        <v>868856</v>
      </c>
      <c r="E108" s="1010">
        <f t="shared" ref="E108:T108" si="0">SUM(E7:E106)</f>
        <v>-18696001</v>
      </c>
      <c r="F108" s="1010">
        <f t="shared" si="0"/>
        <v>-17069002</v>
      </c>
      <c r="G108" s="1010"/>
      <c r="H108" s="1010">
        <f t="shared" si="0"/>
        <v>293003</v>
      </c>
      <c r="I108" s="1010">
        <f t="shared" si="0"/>
        <v>2107003</v>
      </c>
      <c r="J108" s="1010">
        <f t="shared" si="0"/>
        <v>2879999</v>
      </c>
      <c r="K108" s="1010">
        <f t="shared" si="0"/>
        <v>880444</v>
      </c>
      <c r="L108" s="1010">
        <f t="shared" si="0"/>
        <v>0</v>
      </c>
      <c r="M108" s="1010">
        <f t="shared" si="0"/>
        <v>55001</v>
      </c>
      <c r="N108" s="1010">
        <f t="shared" si="0"/>
        <v>655997</v>
      </c>
      <c r="O108" s="1010">
        <f t="shared" si="0"/>
        <v>0</v>
      </c>
      <c r="P108" s="1010">
        <f t="shared" si="0"/>
        <v>880446</v>
      </c>
      <c r="Q108" s="1010">
        <f t="shared" si="0"/>
        <v>0</v>
      </c>
      <c r="R108" s="1010">
        <f t="shared" si="0"/>
        <v>2718007</v>
      </c>
      <c r="S108" s="1010">
        <f t="shared" si="0"/>
        <v>-6</v>
      </c>
      <c r="T108" s="1010">
        <f t="shared" si="0"/>
        <v>2717997</v>
      </c>
    </row>
  </sheetData>
  <pageMargins left="0.25" right="0.25" top="0.75" bottom="0.75" header="0.3" footer="0.3"/>
  <pageSetup paperSize="5" scale="57" fitToWidth="0" orientation="landscape"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2F0BB-896E-4447-A2F2-BFE7E1F64B11}">
  <dimension ref="A1:B105"/>
  <sheetViews>
    <sheetView topLeftCell="A79" workbookViewId="0">
      <selection activeCell="A6" sqref="A6:XFD6"/>
    </sheetView>
  </sheetViews>
  <sheetFormatPr defaultRowHeight="12.75" x14ac:dyDescent="0.2"/>
  <cols>
    <col min="1" max="1" width="20.85546875" style="1171" bestFit="1" customWidth="1"/>
    <col min="2" max="2" width="19.85546875" style="1171" bestFit="1" customWidth="1"/>
    <col min="3" max="16384" width="9.140625" style="1171"/>
  </cols>
  <sheetData>
    <row r="1" spans="1:2" ht="15.75" x14ac:dyDescent="0.25">
      <c r="A1" s="1185" t="s">
        <v>4109</v>
      </c>
      <c r="B1" s="1185" t="s">
        <v>4115</v>
      </c>
    </row>
    <row r="2" spans="1:2" x14ac:dyDescent="0.2">
      <c r="A2" s="656" t="s">
        <v>4114</v>
      </c>
      <c r="B2" s="48">
        <v>0</v>
      </c>
    </row>
    <row r="3" spans="1:2" x14ac:dyDescent="0.2">
      <c r="A3" s="1186" t="s">
        <v>2539</v>
      </c>
      <c r="B3" s="686">
        <v>13482.77</v>
      </c>
    </row>
    <row r="4" spans="1:2" x14ac:dyDescent="0.2">
      <c r="A4" s="1186" t="s">
        <v>2540</v>
      </c>
      <c r="B4" s="686">
        <v>2440.09</v>
      </c>
    </row>
    <row r="5" spans="1:2" x14ac:dyDescent="0.2">
      <c r="A5" s="1186" t="s">
        <v>2541</v>
      </c>
      <c r="B5" s="686">
        <v>1283.97</v>
      </c>
    </row>
    <row r="6" spans="1:2" x14ac:dyDescent="0.2">
      <c r="A6" s="1186" t="s">
        <v>2542</v>
      </c>
      <c r="B6" s="686">
        <v>1481.05</v>
      </c>
    </row>
    <row r="7" spans="1:2" x14ac:dyDescent="0.2">
      <c r="A7" s="1186" t="s">
        <v>2543</v>
      </c>
      <c r="B7" s="686">
        <v>2970.9</v>
      </c>
    </row>
    <row r="8" spans="1:2" x14ac:dyDescent="0.2">
      <c r="A8" s="1186" t="s">
        <v>2544</v>
      </c>
      <c r="B8" s="686">
        <v>3546.26</v>
      </c>
    </row>
    <row r="9" spans="1:2" x14ac:dyDescent="0.2">
      <c r="A9" s="1186" t="s">
        <v>2545</v>
      </c>
      <c r="B9" s="686">
        <v>3927.93</v>
      </c>
    </row>
    <row r="10" spans="1:2" x14ac:dyDescent="0.2">
      <c r="A10" s="1186" t="s">
        <v>2546</v>
      </c>
      <c r="B10" s="686">
        <v>1002.47</v>
      </c>
    </row>
    <row r="11" spans="1:2" x14ac:dyDescent="0.2">
      <c r="A11" s="1186" t="s">
        <v>2547</v>
      </c>
      <c r="B11" s="686">
        <v>2107.9299999999998</v>
      </c>
    </row>
    <row r="12" spans="1:2" x14ac:dyDescent="0.2">
      <c r="A12" s="1186" t="s">
        <v>2548</v>
      </c>
      <c r="B12" s="686">
        <v>21497.78</v>
      </c>
    </row>
    <row r="13" spans="1:2" x14ac:dyDescent="0.2">
      <c r="A13" s="1186" t="s">
        <v>2549</v>
      </c>
      <c r="B13" s="686">
        <v>27204.14</v>
      </c>
    </row>
    <row r="14" spans="1:2" x14ac:dyDescent="0.2">
      <c r="A14" s="1186" t="s">
        <v>2550</v>
      </c>
      <c r="B14" s="686">
        <v>11140.99</v>
      </c>
    </row>
    <row r="15" spans="1:2" x14ac:dyDescent="0.2">
      <c r="A15" s="1186" t="s">
        <v>2551</v>
      </c>
      <c r="B15" s="686">
        <v>19515.62</v>
      </c>
    </row>
    <row r="16" spans="1:2" x14ac:dyDescent="0.2">
      <c r="A16" s="1186" t="s">
        <v>2552</v>
      </c>
      <c r="B16" s="686">
        <v>5877.83</v>
      </c>
    </row>
    <row r="17" spans="1:2" x14ac:dyDescent="0.2">
      <c r="A17" s="1186" t="s">
        <v>2553</v>
      </c>
      <c r="B17" s="686">
        <v>959.57</v>
      </c>
    </row>
    <row r="18" spans="1:2" x14ac:dyDescent="0.2">
      <c r="A18" s="1186" t="s">
        <v>2554</v>
      </c>
      <c r="B18" s="686">
        <v>9125.1299999999992</v>
      </c>
    </row>
    <row r="19" spans="1:2" x14ac:dyDescent="0.2">
      <c r="A19" s="1186" t="s">
        <v>2555</v>
      </c>
      <c r="B19" s="686">
        <v>1030.57</v>
      </c>
    </row>
    <row r="20" spans="1:2" x14ac:dyDescent="0.2">
      <c r="A20" s="1186" t="s">
        <v>2556</v>
      </c>
      <c r="B20" s="686">
        <v>13849.27</v>
      </c>
    </row>
    <row r="21" spans="1:2" x14ac:dyDescent="0.2">
      <c r="A21" s="1186" t="s">
        <v>2557</v>
      </c>
      <c r="B21" s="686">
        <v>7514.2</v>
      </c>
    </row>
    <row r="22" spans="1:2" x14ac:dyDescent="0.2">
      <c r="A22" s="1186" t="s">
        <v>2558</v>
      </c>
      <c r="B22" s="686">
        <v>3424.27</v>
      </c>
    </row>
    <row r="23" spans="1:2" x14ac:dyDescent="0.2">
      <c r="A23" s="1186" t="s">
        <v>2559</v>
      </c>
      <c r="B23" s="686">
        <v>1360.68</v>
      </c>
    </row>
    <row r="24" spans="1:2" x14ac:dyDescent="0.2">
      <c r="A24" s="1186" t="s">
        <v>2560</v>
      </c>
      <c r="B24" s="686">
        <v>1421.99</v>
      </c>
    </row>
    <row r="25" spans="1:2" x14ac:dyDescent="0.2">
      <c r="A25" s="1186" t="s">
        <v>2561</v>
      </c>
      <c r="B25" s="686">
        <v>6897.47</v>
      </c>
    </row>
    <row r="26" spans="1:2" x14ac:dyDescent="0.2">
      <c r="A26" s="1186" t="s">
        <v>2562</v>
      </c>
      <c r="B26" s="686">
        <v>3820.19</v>
      </c>
    </row>
    <row r="27" spans="1:2" x14ac:dyDescent="0.2">
      <c r="A27" s="1186" t="s">
        <v>2563</v>
      </c>
      <c r="B27" s="686">
        <v>7458.13</v>
      </c>
    </row>
    <row r="28" spans="1:2" x14ac:dyDescent="0.2">
      <c r="A28" s="1186" t="s">
        <v>2564</v>
      </c>
      <c r="B28" s="686">
        <v>25296.91</v>
      </c>
    </row>
    <row r="29" spans="1:2" x14ac:dyDescent="0.2">
      <c r="A29" s="1186" t="s">
        <v>2565</v>
      </c>
      <c r="B29" s="686">
        <v>3443.35</v>
      </c>
    </row>
    <row r="30" spans="1:2" x14ac:dyDescent="0.2">
      <c r="A30" s="1186" t="s">
        <v>2566</v>
      </c>
      <c r="B30" s="686">
        <v>7282.07</v>
      </c>
    </row>
    <row r="31" spans="1:2" x14ac:dyDescent="0.2">
      <c r="A31" s="1186" t="s">
        <v>2567</v>
      </c>
      <c r="B31" s="686">
        <v>11323.28</v>
      </c>
    </row>
    <row r="32" spans="1:2" x14ac:dyDescent="0.2">
      <c r="A32" s="1186" t="s">
        <v>2568</v>
      </c>
      <c r="B32" s="686">
        <v>3239.01</v>
      </c>
    </row>
    <row r="33" spans="1:2" x14ac:dyDescent="0.2">
      <c r="A33" s="1186" t="s">
        <v>2569</v>
      </c>
      <c r="B33" s="686">
        <v>3264.65</v>
      </c>
    </row>
    <row r="34" spans="1:2" x14ac:dyDescent="0.2">
      <c r="A34" s="1186" t="s">
        <v>2570</v>
      </c>
      <c r="B34" s="686">
        <v>26373.03</v>
      </c>
    </row>
    <row r="35" spans="1:2" x14ac:dyDescent="0.2">
      <c r="A35" s="1186" t="s">
        <v>2571</v>
      </c>
      <c r="B35" s="686">
        <v>3114.66</v>
      </c>
    </row>
    <row r="36" spans="1:2" x14ac:dyDescent="0.2">
      <c r="A36" s="1186" t="s">
        <v>2572</v>
      </c>
      <c r="B36" s="686">
        <v>32349.71</v>
      </c>
    </row>
    <row r="37" spans="1:2" x14ac:dyDescent="0.2">
      <c r="A37" s="1186" t="s">
        <v>2573</v>
      </c>
      <c r="B37" s="686">
        <v>5341.43</v>
      </c>
    </row>
    <row r="38" spans="1:2" x14ac:dyDescent="0.2">
      <c r="A38" s="1186" t="s">
        <v>2574</v>
      </c>
      <c r="B38" s="686">
        <v>6719.34</v>
      </c>
    </row>
    <row r="39" spans="1:2" x14ac:dyDescent="0.2">
      <c r="A39" s="1186" t="s">
        <v>2575</v>
      </c>
      <c r="B39" s="686">
        <v>767.98</v>
      </c>
    </row>
    <row r="40" spans="1:2" x14ac:dyDescent="0.2">
      <c r="A40" s="1186" t="s">
        <v>2576</v>
      </c>
      <c r="B40" s="686">
        <v>652.1</v>
      </c>
    </row>
    <row r="41" spans="1:2" ht="18" customHeight="1" x14ac:dyDescent="0.2">
      <c r="A41" s="1186" t="s">
        <v>2577</v>
      </c>
      <c r="B41" s="686">
        <v>4037.92</v>
      </c>
    </row>
    <row r="42" spans="1:2" x14ac:dyDescent="0.2">
      <c r="A42" s="1186" t="s">
        <v>2578</v>
      </c>
      <c r="B42" s="686">
        <v>898.04</v>
      </c>
    </row>
    <row r="43" spans="1:2" x14ac:dyDescent="0.2">
      <c r="A43" s="1186" t="s">
        <v>2579</v>
      </c>
      <c r="B43" s="686">
        <v>36352.839999999997</v>
      </c>
    </row>
    <row r="44" spans="1:2" x14ac:dyDescent="0.2">
      <c r="A44" s="1186" t="s">
        <v>2580</v>
      </c>
      <c r="B44" s="686">
        <v>3556.1</v>
      </c>
    </row>
    <row r="45" spans="1:2" x14ac:dyDescent="0.2">
      <c r="A45" s="1186" t="s">
        <v>2581</v>
      </c>
      <c r="B45" s="686">
        <v>10268.950000000001</v>
      </c>
    </row>
    <row r="46" spans="1:2" x14ac:dyDescent="0.2">
      <c r="A46" s="1186" t="s">
        <v>4116</v>
      </c>
      <c r="B46" s="686">
        <v>6634.92</v>
      </c>
    </row>
    <row r="47" spans="1:2" x14ac:dyDescent="0.2">
      <c r="A47" s="1186" t="s">
        <v>2583</v>
      </c>
      <c r="B47" s="686">
        <v>11871.45</v>
      </c>
    </row>
    <row r="48" spans="1:2" x14ac:dyDescent="0.2">
      <c r="A48" s="1186" t="s">
        <v>2584</v>
      </c>
      <c r="B48" s="686">
        <v>1473.24</v>
      </c>
    </row>
    <row r="49" spans="1:2" x14ac:dyDescent="0.2">
      <c r="A49" s="1186" t="s">
        <v>2585</v>
      </c>
      <c r="B49" s="686">
        <v>4448.29</v>
      </c>
    </row>
    <row r="50" spans="1:2" x14ac:dyDescent="0.2">
      <c r="A50" s="1186" t="s">
        <v>2586</v>
      </c>
      <c r="B50" s="686">
        <v>383.91</v>
      </c>
    </row>
    <row r="51" spans="1:2" x14ac:dyDescent="0.2">
      <c r="A51" s="1186" t="s">
        <v>2587</v>
      </c>
      <c r="B51" s="686">
        <v>17375.939999999999</v>
      </c>
    </row>
    <row r="52" spans="1:2" x14ac:dyDescent="0.2">
      <c r="A52" s="1186" t="s">
        <v>2588</v>
      </c>
      <c r="B52" s="686">
        <v>5262.37</v>
      </c>
    </row>
    <row r="53" spans="1:2" x14ac:dyDescent="0.2">
      <c r="A53" s="1186" t="s">
        <v>2589</v>
      </c>
      <c r="B53" s="686">
        <v>18730.43</v>
      </c>
    </row>
    <row r="54" spans="1:2" x14ac:dyDescent="0.2">
      <c r="A54" s="1186" t="s">
        <v>2590</v>
      </c>
      <c r="B54" s="686">
        <v>696.45</v>
      </c>
    </row>
    <row r="55" spans="1:2" x14ac:dyDescent="0.2">
      <c r="A55" s="1186" t="s">
        <v>2591</v>
      </c>
      <c r="B55" s="686">
        <v>4792.67</v>
      </c>
    </row>
    <row r="56" spans="1:2" x14ac:dyDescent="0.2">
      <c r="A56" s="1186" t="s">
        <v>2592</v>
      </c>
      <c r="B56" s="686">
        <v>3014.72</v>
      </c>
    </row>
    <row r="57" spans="1:2" x14ac:dyDescent="0.2">
      <c r="A57" s="1186" t="s">
        <v>2593</v>
      </c>
      <c r="B57" s="686">
        <v>8164.29</v>
      </c>
    </row>
    <row r="58" spans="1:2" x14ac:dyDescent="0.2">
      <c r="A58" s="1186" t="s">
        <v>2594</v>
      </c>
      <c r="B58" s="686">
        <v>3727.24</v>
      </c>
    </row>
    <row r="59" spans="1:2" x14ac:dyDescent="0.2">
      <c r="A59" s="1186" t="s">
        <v>2595</v>
      </c>
      <c r="B59" s="686">
        <v>4718.92</v>
      </c>
    </row>
    <row r="60" spans="1:2" x14ac:dyDescent="0.2">
      <c r="A60" s="1186" t="s">
        <v>2596</v>
      </c>
      <c r="B60" s="686">
        <v>1443</v>
      </c>
    </row>
    <row r="61" spans="1:2" x14ac:dyDescent="0.2">
      <c r="A61" s="1186" t="s">
        <v>2597</v>
      </c>
      <c r="B61" s="686">
        <v>3135.85</v>
      </c>
    </row>
    <row r="62" spans="1:2" x14ac:dyDescent="0.2">
      <c r="A62" s="1186" t="s">
        <v>2598</v>
      </c>
      <c r="B62" s="686">
        <v>65847.100000000006</v>
      </c>
    </row>
    <row r="63" spans="1:2" x14ac:dyDescent="0.2">
      <c r="A63" s="1186" t="s">
        <v>2599</v>
      </c>
      <c r="B63" s="686">
        <v>1322.95</v>
      </c>
    </row>
    <row r="64" spans="1:2" x14ac:dyDescent="0.2">
      <c r="A64" s="1186" t="s">
        <v>2600</v>
      </c>
      <c r="B64" s="686">
        <v>2164.59</v>
      </c>
    </row>
    <row r="65" spans="1:2" x14ac:dyDescent="0.2">
      <c r="A65" s="1186" t="s">
        <v>2601</v>
      </c>
      <c r="B65" s="686">
        <v>11104.1</v>
      </c>
    </row>
    <row r="66" spans="1:2" x14ac:dyDescent="0.2">
      <c r="A66" s="1186" t="s">
        <v>2602</v>
      </c>
      <c r="B66" s="686">
        <v>7291.07</v>
      </c>
    </row>
    <row r="67" spans="1:2" x14ac:dyDescent="0.2">
      <c r="A67" s="1186" t="s">
        <v>2603</v>
      </c>
      <c r="B67" s="686">
        <v>22503.360000000001</v>
      </c>
    </row>
    <row r="68" spans="1:2" x14ac:dyDescent="0.2">
      <c r="A68" s="1186" t="s">
        <v>2604</v>
      </c>
      <c r="B68" s="686">
        <v>1216.6199999999999</v>
      </c>
    </row>
    <row r="69" spans="1:2" x14ac:dyDescent="0.2">
      <c r="A69" s="1186" t="s">
        <v>2605</v>
      </c>
      <c r="B69" s="686">
        <v>19320.12</v>
      </c>
    </row>
    <row r="70" spans="1:2" x14ac:dyDescent="0.2">
      <c r="A70" s="1186" t="s">
        <v>2606</v>
      </c>
      <c r="B70" s="686">
        <v>9645.44</v>
      </c>
    </row>
    <row r="71" spans="1:2" x14ac:dyDescent="0.2">
      <c r="A71" s="1186" t="s">
        <v>2607</v>
      </c>
      <c r="B71" s="686">
        <v>1155.71</v>
      </c>
    </row>
    <row r="72" spans="1:2" x14ac:dyDescent="0.2">
      <c r="A72" s="1186" t="s">
        <v>2608</v>
      </c>
      <c r="B72" s="686">
        <v>3442.84</v>
      </c>
    </row>
    <row r="73" spans="1:2" x14ac:dyDescent="0.2">
      <c r="A73" s="1186" t="s">
        <v>2609</v>
      </c>
      <c r="B73" s="686">
        <v>6168.37</v>
      </c>
    </row>
    <row r="74" spans="1:2" x14ac:dyDescent="0.2">
      <c r="A74" s="1186" t="s">
        <v>2610</v>
      </c>
      <c r="B74" s="686">
        <v>1175.92</v>
      </c>
    </row>
    <row r="75" spans="1:2" x14ac:dyDescent="0.2">
      <c r="A75" s="1186" t="s">
        <v>2611</v>
      </c>
      <c r="B75" s="686">
        <v>2992.83</v>
      </c>
    </row>
    <row r="76" spans="1:2" x14ac:dyDescent="0.2">
      <c r="A76" s="1186" t="s">
        <v>2612</v>
      </c>
      <c r="B76" s="686">
        <v>12322.12</v>
      </c>
    </row>
    <row r="77" spans="1:2" x14ac:dyDescent="0.2">
      <c r="A77" s="1186" t="s">
        <v>2613</v>
      </c>
      <c r="B77" s="686">
        <v>2330.6</v>
      </c>
    </row>
    <row r="78" spans="1:2" x14ac:dyDescent="0.2">
      <c r="A78" s="1186" t="s">
        <v>2614</v>
      </c>
      <c r="B78" s="686">
        <v>10063.74</v>
      </c>
    </row>
    <row r="79" spans="1:2" x14ac:dyDescent="0.2">
      <c r="A79" s="1186" t="s">
        <v>2615</v>
      </c>
      <c r="B79" s="686">
        <v>2613.4899999999998</v>
      </c>
    </row>
    <row r="80" spans="1:2" x14ac:dyDescent="0.2">
      <c r="A80" s="1186" t="s">
        <v>2616</v>
      </c>
      <c r="B80" s="686">
        <v>6873.21</v>
      </c>
    </row>
    <row r="81" spans="1:2" x14ac:dyDescent="0.2">
      <c r="A81" s="1186" t="s">
        <v>2617</v>
      </c>
      <c r="B81" s="686">
        <v>7220.83</v>
      </c>
    </row>
    <row r="82" spans="1:2" x14ac:dyDescent="0.2">
      <c r="A82" s="1186" t="s">
        <v>2618</v>
      </c>
      <c r="B82" s="686">
        <v>11688.82</v>
      </c>
    </row>
    <row r="83" spans="1:2" x14ac:dyDescent="0.2">
      <c r="A83" s="1186" t="s">
        <v>2619</v>
      </c>
      <c r="B83" s="686">
        <v>5790.35</v>
      </c>
    </row>
    <row r="84" spans="1:2" x14ac:dyDescent="0.2">
      <c r="A84" s="1186" t="s">
        <v>2620</v>
      </c>
      <c r="B84" s="686">
        <v>4050.22</v>
      </c>
    </row>
    <row r="85" spans="1:2" x14ac:dyDescent="0.2">
      <c r="A85" s="1186" t="s">
        <v>2621</v>
      </c>
      <c r="B85" s="686">
        <v>2384.23</v>
      </c>
    </row>
    <row r="86" spans="1:2" x14ac:dyDescent="0.2">
      <c r="A86" s="1186" t="s">
        <v>2622</v>
      </c>
      <c r="B86" s="686">
        <v>5349.25</v>
      </c>
    </row>
    <row r="87" spans="1:2" x14ac:dyDescent="0.2">
      <c r="A87" s="1186" t="s">
        <v>2623</v>
      </c>
      <c r="B87" s="686">
        <v>3105.55</v>
      </c>
    </row>
    <row r="88" spans="1:2" x14ac:dyDescent="0.2">
      <c r="A88" s="1186" t="s">
        <v>2624</v>
      </c>
      <c r="B88" s="686">
        <v>6536.11</v>
      </c>
    </row>
    <row r="89" spans="1:2" x14ac:dyDescent="0.2">
      <c r="A89" s="1186" t="s">
        <v>2625</v>
      </c>
      <c r="B89" s="686">
        <v>2646.49</v>
      </c>
    </row>
    <row r="90" spans="1:2" x14ac:dyDescent="0.2">
      <c r="A90" s="1186" t="s">
        <v>2626</v>
      </c>
      <c r="B90" s="686">
        <v>3135.45</v>
      </c>
    </row>
    <row r="91" spans="1:2" x14ac:dyDescent="0.2">
      <c r="A91" s="1186" t="s">
        <v>2627</v>
      </c>
      <c r="B91" s="686">
        <v>272.89999999999998</v>
      </c>
    </row>
    <row r="92" spans="1:2" x14ac:dyDescent="0.2">
      <c r="A92" s="1186" t="s">
        <v>2628</v>
      </c>
      <c r="B92" s="686">
        <v>21408.87</v>
      </c>
    </row>
    <row r="93" spans="1:2" x14ac:dyDescent="0.2">
      <c r="A93" s="1186" t="s">
        <v>2629</v>
      </c>
      <c r="B93" s="686">
        <v>3128.52</v>
      </c>
    </row>
    <row r="94" spans="1:2" x14ac:dyDescent="0.2">
      <c r="A94" s="1186" t="s">
        <v>2630</v>
      </c>
      <c r="B94" s="686">
        <v>106487.98</v>
      </c>
    </row>
    <row r="95" spans="1:2" x14ac:dyDescent="0.2">
      <c r="A95" s="1186" t="s">
        <v>2631</v>
      </c>
      <c r="B95" s="686">
        <v>1238.78</v>
      </c>
    </row>
    <row r="96" spans="1:2" x14ac:dyDescent="0.2">
      <c r="A96" s="1186" t="s">
        <v>2632</v>
      </c>
      <c r="B96" s="686">
        <v>732.16</v>
      </c>
    </row>
    <row r="97" spans="1:2" x14ac:dyDescent="0.2">
      <c r="A97" s="1186" t="s">
        <v>2633</v>
      </c>
      <c r="B97" s="686">
        <v>5272.71</v>
      </c>
    </row>
    <row r="98" spans="1:2" x14ac:dyDescent="0.2">
      <c r="A98" s="1186" t="s">
        <v>2634</v>
      </c>
      <c r="B98" s="686">
        <v>8160.79</v>
      </c>
    </row>
    <row r="99" spans="1:2" x14ac:dyDescent="0.2">
      <c r="A99" s="1186" t="s">
        <v>2635</v>
      </c>
      <c r="B99" s="686">
        <v>5104.95</v>
      </c>
    </row>
    <row r="100" spans="1:2" x14ac:dyDescent="0.2">
      <c r="A100" s="1186" t="s">
        <v>2636</v>
      </c>
      <c r="B100" s="686">
        <v>3806.67</v>
      </c>
    </row>
    <row r="101" spans="1:2" x14ac:dyDescent="0.2">
      <c r="A101" s="1186" t="s">
        <v>2536</v>
      </c>
      <c r="B101" s="686">
        <v>2568.0700000000002</v>
      </c>
    </row>
    <row r="102" spans="1:2" x14ac:dyDescent="0.2">
      <c r="A102" s="1186" t="s">
        <v>2637</v>
      </c>
      <c r="B102" s="686">
        <v>1638.24</v>
      </c>
    </row>
    <row r="103" spans="1:2" ht="15" x14ac:dyDescent="0.25">
      <c r="A103" s="1012" t="s">
        <v>2648</v>
      </c>
      <c r="B103" s="686">
        <v>3927.93</v>
      </c>
    </row>
    <row r="104" spans="1:2" ht="13.5" thickBot="1" x14ac:dyDescent="0.25">
      <c r="A104" s="1186" t="s">
        <v>712</v>
      </c>
      <c r="B104" s="1187">
        <f>SUM(B3:B102)</f>
        <v>855778.38</v>
      </c>
    </row>
    <row r="105" spans="1:2" ht="13.5" thickTop="1" x14ac:dyDescent="0.2">
      <c r="A105" s="1188"/>
    </row>
  </sheetData>
  <pageMargins left="0.7" right="0.7" top="0.75" bottom="0.75" header="0.3" footer="0.3"/>
  <legacy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U107"/>
  <sheetViews>
    <sheetView zoomScaleNormal="100" workbookViewId="0">
      <pane xSplit="2" ySplit="2" topLeftCell="F3" activePane="bottomRight" state="frozen"/>
      <selection activeCell="A10" sqref="A10:XFD10"/>
      <selection pane="topRight" activeCell="A10" sqref="A10:XFD10"/>
      <selection pane="bottomLeft" activeCell="A10" sqref="A10:XFD10"/>
      <selection pane="bottomRight" activeCell="A10" sqref="A10:XFD10"/>
    </sheetView>
  </sheetViews>
  <sheetFormatPr defaultColWidth="9.140625" defaultRowHeight="15" x14ac:dyDescent="0.25"/>
  <cols>
    <col min="1" max="1" width="3.42578125" style="835" customWidth="1"/>
    <col min="2" max="2" width="18.7109375" style="835" bestFit="1" customWidth="1"/>
    <col min="3" max="6" width="13.85546875" style="835" customWidth="1"/>
    <col min="7" max="7" width="19" style="835" customWidth="1"/>
    <col min="8" max="8" width="5.42578125" style="835" customWidth="1"/>
    <col min="9" max="9" width="18.28515625" style="835" customWidth="1"/>
    <col min="10" max="10" width="20" style="835" customWidth="1"/>
    <col min="11" max="11" width="14.42578125" style="835" customWidth="1"/>
    <col min="12" max="12" width="19.42578125" style="835" customWidth="1"/>
    <col min="13" max="13" width="3.85546875" style="835" customWidth="1"/>
    <col min="14" max="14" width="18.28515625" style="835" customWidth="1"/>
    <col min="15" max="15" width="20" style="835" customWidth="1"/>
    <col min="16" max="16" width="12" style="835" customWidth="1"/>
    <col min="17" max="17" width="19.42578125" style="835" customWidth="1"/>
    <col min="18" max="18" width="3.85546875" style="835" customWidth="1"/>
    <col min="19" max="19" width="14.7109375" style="835" customWidth="1"/>
    <col min="20" max="20" width="22.42578125" style="835" customWidth="1"/>
    <col min="21" max="21" width="12.42578125" style="835" customWidth="1"/>
    <col min="22" max="16384" width="9.140625" style="835"/>
  </cols>
  <sheetData>
    <row r="1" spans="2:21" x14ac:dyDescent="0.25">
      <c r="I1" s="836" t="s">
        <v>1171</v>
      </c>
      <c r="J1" s="836"/>
      <c r="K1" s="836"/>
      <c r="L1" s="836"/>
      <c r="N1" s="836" t="s">
        <v>1172</v>
      </c>
      <c r="O1" s="836"/>
      <c r="P1" s="836"/>
      <c r="Q1" s="836"/>
      <c r="S1" s="836" t="s">
        <v>1173</v>
      </c>
      <c r="T1" s="836"/>
      <c r="U1" s="836"/>
    </row>
    <row r="2" spans="2:21" ht="120" x14ac:dyDescent="0.25">
      <c r="B2" s="837" t="s">
        <v>2537</v>
      </c>
      <c r="C2" s="837" t="s">
        <v>2113</v>
      </c>
      <c r="D2" s="837" t="s">
        <v>2114</v>
      </c>
      <c r="E2" s="837" t="s">
        <v>2538</v>
      </c>
      <c r="F2" s="837" t="s">
        <v>3604</v>
      </c>
      <c r="G2" s="837" t="s">
        <v>3605</v>
      </c>
      <c r="H2" s="837"/>
      <c r="I2" s="837" t="s">
        <v>1177</v>
      </c>
      <c r="J2" s="837" t="s">
        <v>1178</v>
      </c>
      <c r="K2" s="837" t="s">
        <v>1179</v>
      </c>
      <c r="L2" s="837" t="s">
        <v>1180</v>
      </c>
      <c r="M2" s="837"/>
      <c r="N2" s="837" t="s">
        <v>1177</v>
      </c>
      <c r="O2" s="837" t="s">
        <v>1178</v>
      </c>
      <c r="P2" s="837" t="s">
        <v>1179</v>
      </c>
      <c r="Q2" s="837" t="s">
        <v>1180</v>
      </c>
      <c r="R2" s="837"/>
      <c r="S2" s="837" t="s">
        <v>1181</v>
      </c>
      <c r="T2" s="837" t="s">
        <v>1182</v>
      </c>
      <c r="U2" s="837" t="s">
        <v>1183</v>
      </c>
    </row>
    <row r="3" spans="2:21" x14ac:dyDescent="0.25">
      <c r="B3" s="816" t="s">
        <v>4093</v>
      </c>
      <c r="C3" s="807">
        <v>0</v>
      </c>
      <c r="D3" s="807">
        <v>0</v>
      </c>
      <c r="E3" s="808">
        <v>0</v>
      </c>
      <c r="F3" s="808">
        <v>0</v>
      </c>
      <c r="G3" s="808">
        <v>0</v>
      </c>
      <c r="H3" s="838"/>
      <c r="I3" s="839">
        <v>0</v>
      </c>
      <c r="J3" s="839">
        <v>0</v>
      </c>
      <c r="K3" s="839">
        <v>0</v>
      </c>
      <c r="L3" s="808">
        <v>0</v>
      </c>
      <c r="M3" s="808"/>
      <c r="N3" s="839">
        <v>0</v>
      </c>
      <c r="O3" s="839">
        <v>0</v>
      </c>
      <c r="P3" s="839">
        <v>0</v>
      </c>
      <c r="Q3" s="808">
        <v>0</v>
      </c>
      <c r="R3" s="808"/>
      <c r="S3" s="839">
        <v>0</v>
      </c>
      <c r="T3" s="840">
        <v>0</v>
      </c>
      <c r="U3" s="840">
        <v>0</v>
      </c>
    </row>
    <row r="4" spans="2:21" x14ac:dyDescent="0.25">
      <c r="B4" s="816" t="s">
        <v>2539</v>
      </c>
      <c r="C4" s="807">
        <v>1.5880399999999999E-2</v>
      </c>
      <c r="D4" s="807">
        <v>1.57255E-2</v>
      </c>
      <c r="E4" s="808">
        <v>12973</v>
      </c>
      <c r="F4" s="808">
        <v>-364423</v>
      </c>
      <c r="G4" s="808">
        <v>-296900</v>
      </c>
      <c r="H4" s="838"/>
      <c r="I4" s="839">
        <v>318</v>
      </c>
      <c r="J4" s="839">
        <v>14753</v>
      </c>
      <c r="K4" s="839">
        <v>79100</v>
      </c>
      <c r="L4" s="808">
        <v>173311</v>
      </c>
      <c r="M4" s="808"/>
      <c r="N4" s="839">
        <v>3843</v>
      </c>
      <c r="O4" s="839">
        <v>14245</v>
      </c>
      <c r="P4" s="839">
        <v>0</v>
      </c>
      <c r="Q4" s="808">
        <v>11285</v>
      </c>
      <c r="R4" s="808"/>
      <c r="S4" s="839">
        <v>21963</v>
      </c>
      <c r="T4" s="840">
        <v>99999</v>
      </c>
      <c r="U4" s="840">
        <v>121961</v>
      </c>
    </row>
    <row r="5" spans="2:21" x14ac:dyDescent="0.25">
      <c r="B5" s="816" t="s">
        <v>2540</v>
      </c>
      <c r="C5" s="807">
        <v>2.8471999999999998E-3</v>
      </c>
      <c r="D5" s="807">
        <v>2.8473999999999999E-3</v>
      </c>
      <c r="E5" s="808">
        <v>2326</v>
      </c>
      <c r="F5" s="808">
        <v>-65986</v>
      </c>
      <c r="G5" s="808">
        <v>-53231</v>
      </c>
      <c r="H5" s="838"/>
      <c r="I5" s="839">
        <v>57</v>
      </c>
      <c r="J5" s="839">
        <v>2645</v>
      </c>
      <c r="K5" s="839">
        <v>14182</v>
      </c>
      <c r="L5" s="808">
        <v>618</v>
      </c>
      <c r="M5" s="808"/>
      <c r="N5" s="839">
        <v>689</v>
      </c>
      <c r="O5" s="839">
        <v>2554</v>
      </c>
      <c r="P5" s="839">
        <v>0</v>
      </c>
      <c r="Q5" s="808">
        <v>412</v>
      </c>
      <c r="R5" s="808"/>
      <c r="S5" s="839">
        <v>3938</v>
      </c>
      <c r="T5" s="840">
        <v>-1546</v>
      </c>
      <c r="U5" s="840">
        <v>2392</v>
      </c>
    </row>
    <row r="6" spans="2:21" x14ac:dyDescent="0.25">
      <c r="B6" s="816" t="s">
        <v>2541</v>
      </c>
      <c r="C6" s="807">
        <v>1.4815E-3</v>
      </c>
      <c r="D6" s="807">
        <v>1.5223999999999999E-3</v>
      </c>
      <c r="E6" s="808">
        <v>1210</v>
      </c>
      <c r="F6" s="808">
        <v>-35280</v>
      </c>
      <c r="G6" s="808">
        <v>-27698</v>
      </c>
      <c r="H6" s="838"/>
      <c r="I6" s="839">
        <v>29.63</v>
      </c>
      <c r="J6" s="839">
        <v>1376</v>
      </c>
      <c r="K6" s="839">
        <v>7379</v>
      </c>
      <c r="L6" s="808">
        <v>692</v>
      </c>
      <c r="M6" s="808"/>
      <c r="N6" s="839">
        <v>359</v>
      </c>
      <c r="O6" s="839">
        <v>1329</v>
      </c>
      <c r="P6" s="839">
        <v>0</v>
      </c>
      <c r="Q6" s="808">
        <v>102</v>
      </c>
      <c r="R6" s="808"/>
      <c r="S6" s="839">
        <v>2049</v>
      </c>
      <c r="T6" s="840">
        <v>-106</v>
      </c>
      <c r="U6" s="840">
        <v>1943</v>
      </c>
    </row>
    <row r="7" spans="2:21" x14ac:dyDescent="0.25">
      <c r="B7" s="816" t="s">
        <v>2542</v>
      </c>
      <c r="C7" s="807">
        <v>1.7148E-3</v>
      </c>
      <c r="D7" s="807">
        <v>1.7566999999999999E-3</v>
      </c>
      <c r="E7" s="808">
        <v>1401</v>
      </c>
      <c r="F7" s="808">
        <v>-40710</v>
      </c>
      <c r="G7" s="808">
        <v>-32060</v>
      </c>
      <c r="H7" s="838"/>
      <c r="I7" s="839">
        <v>34</v>
      </c>
      <c r="J7" s="839">
        <v>1593</v>
      </c>
      <c r="K7" s="839">
        <v>8541</v>
      </c>
      <c r="L7" s="808">
        <v>905</v>
      </c>
      <c r="M7" s="808"/>
      <c r="N7" s="839">
        <v>415</v>
      </c>
      <c r="O7" s="839">
        <v>1538</v>
      </c>
      <c r="P7" s="839">
        <v>0</v>
      </c>
      <c r="Q7" s="808">
        <v>117</v>
      </c>
      <c r="R7" s="808"/>
      <c r="S7" s="839">
        <v>2372</v>
      </c>
      <c r="T7" s="840">
        <v>-122</v>
      </c>
      <c r="U7" s="840">
        <v>2249</v>
      </c>
    </row>
    <row r="8" spans="2:21" x14ac:dyDescent="0.25">
      <c r="B8" s="816" t="s">
        <v>2543</v>
      </c>
      <c r="C8" s="807">
        <v>3.5569999999999998E-3</v>
      </c>
      <c r="D8" s="807">
        <v>3.5098999999999998E-3</v>
      </c>
      <c r="E8" s="808">
        <v>2906</v>
      </c>
      <c r="F8" s="808">
        <v>-81338</v>
      </c>
      <c r="G8" s="808">
        <v>-66502</v>
      </c>
      <c r="H8" s="838"/>
      <c r="I8" s="839">
        <v>71.14</v>
      </c>
      <c r="J8" s="839">
        <v>3304</v>
      </c>
      <c r="K8" s="839">
        <v>17717</v>
      </c>
      <c r="L8" s="808">
        <v>0</v>
      </c>
      <c r="M8" s="808"/>
      <c r="N8" s="839">
        <v>861</v>
      </c>
      <c r="O8" s="839">
        <v>3191</v>
      </c>
      <c r="P8" s="839">
        <v>0</v>
      </c>
      <c r="Q8" s="808">
        <v>2159</v>
      </c>
      <c r="R8" s="808"/>
      <c r="S8" s="839">
        <v>4919</v>
      </c>
      <c r="T8" s="840">
        <v>-1633</v>
      </c>
      <c r="U8" s="840">
        <v>3287</v>
      </c>
    </row>
    <row r="9" spans="2:21" x14ac:dyDescent="0.25">
      <c r="B9" s="816" t="s">
        <v>2544</v>
      </c>
      <c r="C9" s="807">
        <v>2.8322E-3</v>
      </c>
      <c r="D9" s="807">
        <v>2.6254E-3</v>
      </c>
      <c r="E9" s="808">
        <v>2314</v>
      </c>
      <c r="F9" s="808">
        <v>-60841</v>
      </c>
      <c r="G9" s="808">
        <v>-52951</v>
      </c>
      <c r="H9" s="838"/>
      <c r="I9" s="839">
        <v>57</v>
      </c>
      <c r="J9" s="839">
        <v>2631</v>
      </c>
      <c r="K9" s="839">
        <v>14107</v>
      </c>
      <c r="L9" s="808">
        <v>2219</v>
      </c>
      <c r="M9" s="808"/>
      <c r="N9" s="839">
        <v>685</v>
      </c>
      <c r="O9" s="839">
        <v>2540</v>
      </c>
      <c r="P9" s="839">
        <v>0</v>
      </c>
      <c r="Q9" s="808">
        <v>3563</v>
      </c>
      <c r="R9" s="808"/>
      <c r="S9" s="839">
        <v>3917</v>
      </c>
      <c r="T9" s="840">
        <v>49</v>
      </c>
      <c r="U9" s="840">
        <v>3966</v>
      </c>
    </row>
    <row r="10" spans="2:21" x14ac:dyDescent="0.25">
      <c r="B10" s="816" t="s">
        <v>2545</v>
      </c>
      <c r="C10" s="807">
        <v>4.4989000000000001E-3</v>
      </c>
      <c r="D10" s="807">
        <v>4.2408999999999997E-3</v>
      </c>
      <c r="E10" s="808">
        <v>3675.28125</v>
      </c>
      <c r="F10" s="808">
        <v>-98279</v>
      </c>
      <c r="G10" s="808">
        <v>-84111</v>
      </c>
      <c r="H10" s="838"/>
      <c r="I10" s="839">
        <v>90</v>
      </c>
      <c r="J10" s="839">
        <v>4179</v>
      </c>
      <c r="K10" s="839">
        <v>22409</v>
      </c>
      <c r="L10" s="808">
        <v>2424</v>
      </c>
      <c r="M10" s="808"/>
      <c r="N10" s="839">
        <v>1089</v>
      </c>
      <c r="O10" s="839">
        <v>4036</v>
      </c>
      <c r="P10" s="839">
        <v>0</v>
      </c>
      <c r="Q10" s="808">
        <v>4364</v>
      </c>
      <c r="R10" s="808"/>
      <c r="S10" s="839">
        <v>6222</v>
      </c>
      <c r="T10" s="840">
        <v>615</v>
      </c>
      <c r="U10" s="840">
        <v>6837</v>
      </c>
    </row>
    <row r="11" spans="2:21" x14ac:dyDescent="0.25">
      <c r="B11" s="816" t="s">
        <v>2546</v>
      </c>
      <c r="C11" s="807">
        <v>1.1913E-3</v>
      </c>
      <c r="D11" s="807">
        <v>1.1998E-3</v>
      </c>
      <c r="E11" s="808">
        <v>973</v>
      </c>
      <c r="F11" s="808">
        <v>-27804</v>
      </c>
      <c r="G11" s="808">
        <v>-22273</v>
      </c>
      <c r="H11" s="838"/>
      <c r="I11" s="839">
        <v>24</v>
      </c>
      <c r="J11" s="839">
        <v>1107</v>
      </c>
      <c r="K11" s="839">
        <v>5934</v>
      </c>
      <c r="L11" s="808">
        <v>387</v>
      </c>
      <c r="M11" s="808"/>
      <c r="N11" s="839">
        <v>288</v>
      </c>
      <c r="O11" s="839">
        <v>1069</v>
      </c>
      <c r="P11" s="839">
        <v>0</v>
      </c>
      <c r="Q11" s="808">
        <v>54</v>
      </c>
      <c r="R11" s="808"/>
      <c r="S11" s="839">
        <v>1648</v>
      </c>
      <c r="T11" s="840">
        <v>-7</v>
      </c>
      <c r="U11" s="840">
        <v>1641</v>
      </c>
    </row>
    <row r="12" spans="2:21" x14ac:dyDescent="0.25">
      <c r="B12" s="816" t="s">
        <v>2547</v>
      </c>
      <c r="C12" s="807">
        <v>2.5176999999999999E-3</v>
      </c>
      <c r="D12" s="807">
        <v>2.5879000000000002E-3</v>
      </c>
      <c r="E12" s="808">
        <v>2057</v>
      </c>
      <c r="F12" s="808">
        <v>-59972</v>
      </c>
      <c r="G12" s="808">
        <v>-47071</v>
      </c>
      <c r="H12" s="838"/>
      <c r="I12" s="839">
        <v>50</v>
      </c>
      <c r="J12" s="839">
        <v>2339</v>
      </c>
      <c r="K12" s="839">
        <v>12541</v>
      </c>
      <c r="L12" s="808">
        <v>1187</v>
      </c>
      <c r="M12" s="808"/>
      <c r="N12" s="839">
        <v>609</v>
      </c>
      <c r="O12" s="839">
        <v>2258</v>
      </c>
      <c r="P12" s="839">
        <v>0</v>
      </c>
      <c r="Q12" s="808">
        <v>439</v>
      </c>
      <c r="R12" s="808"/>
      <c r="S12" s="839">
        <v>3482</v>
      </c>
      <c r="T12" s="840">
        <v>-1669</v>
      </c>
      <c r="U12" s="840">
        <v>1813</v>
      </c>
    </row>
    <row r="13" spans="2:21" x14ac:dyDescent="0.25">
      <c r="B13" s="816" t="s">
        <v>2548</v>
      </c>
      <c r="C13" s="807">
        <v>1.9386E-2</v>
      </c>
      <c r="D13" s="807">
        <v>2.1004100000000001E-2</v>
      </c>
      <c r="E13" s="808">
        <v>15837</v>
      </c>
      <c r="F13" s="808">
        <v>-486749</v>
      </c>
      <c r="G13" s="808">
        <v>-362441</v>
      </c>
      <c r="H13" s="838"/>
      <c r="I13" s="839">
        <v>387.72</v>
      </c>
      <c r="J13" s="839">
        <v>18010</v>
      </c>
      <c r="K13" s="839">
        <v>96562</v>
      </c>
      <c r="L13" s="808">
        <v>27371</v>
      </c>
      <c r="M13" s="808"/>
      <c r="N13" s="839">
        <v>4691</v>
      </c>
      <c r="O13" s="839">
        <v>17389</v>
      </c>
      <c r="P13" s="839">
        <v>0</v>
      </c>
      <c r="Q13" s="808">
        <v>1414</v>
      </c>
      <c r="R13" s="808"/>
      <c r="S13" s="839">
        <v>26811</v>
      </c>
      <c r="T13" s="840">
        <v>4716</v>
      </c>
      <c r="U13" s="840">
        <v>31527</v>
      </c>
    </row>
    <row r="14" spans="2:21" x14ac:dyDescent="0.25">
      <c r="B14" s="816" t="s">
        <v>2549</v>
      </c>
      <c r="C14" s="807">
        <v>3.46618E-2</v>
      </c>
      <c r="D14" s="807">
        <v>3.4609599999999997E-2</v>
      </c>
      <c r="E14" s="808">
        <v>28316</v>
      </c>
      <c r="F14" s="808">
        <v>-802043</v>
      </c>
      <c r="G14" s="808">
        <v>-648037</v>
      </c>
      <c r="H14" s="838"/>
      <c r="I14" s="839">
        <v>693</v>
      </c>
      <c r="J14" s="839">
        <v>32201</v>
      </c>
      <c r="K14" s="839">
        <v>172650</v>
      </c>
      <c r="L14" s="808">
        <v>0</v>
      </c>
      <c r="M14" s="808"/>
      <c r="N14" s="839">
        <v>8388</v>
      </c>
      <c r="O14" s="839">
        <v>31092</v>
      </c>
      <c r="P14" s="839">
        <v>0</v>
      </c>
      <c r="Q14" s="808">
        <v>28739</v>
      </c>
      <c r="R14" s="808"/>
      <c r="S14" s="839">
        <v>47937</v>
      </c>
      <c r="T14" s="840">
        <v>-28500</v>
      </c>
      <c r="U14" s="840">
        <v>19438</v>
      </c>
    </row>
    <row r="15" spans="2:21" x14ac:dyDescent="0.25">
      <c r="B15" s="816" t="s">
        <v>2550</v>
      </c>
      <c r="C15" s="807">
        <v>1.0696499999999999E-2</v>
      </c>
      <c r="D15" s="807">
        <v>8.3555000000000001E-3</v>
      </c>
      <c r="E15" s="808">
        <v>8738</v>
      </c>
      <c r="F15" s="808">
        <v>-193630</v>
      </c>
      <c r="G15" s="808">
        <v>-199982</v>
      </c>
      <c r="H15" s="838"/>
      <c r="I15" s="839">
        <v>214</v>
      </c>
      <c r="J15" s="839">
        <v>9937</v>
      </c>
      <c r="K15" s="839">
        <v>53279</v>
      </c>
      <c r="L15" s="808">
        <v>0</v>
      </c>
      <c r="M15" s="808"/>
      <c r="N15" s="839">
        <v>2589</v>
      </c>
      <c r="O15" s="839">
        <v>9595</v>
      </c>
      <c r="P15" s="839">
        <v>0</v>
      </c>
      <c r="Q15" s="808">
        <v>46343</v>
      </c>
      <c r="R15" s="808"/>
      <c r="S15" s="839">
        <v>14793</v>
      </c>
      <c r="T15" s="840">
        <v>-26324</v>
      </c>
      <c r="U15" s="840">
        <v>-11531</v>
      </c>
    </row>
    <row r="16" spans="2:21" x14ac:dyDescent="0.25">
      <c r="B16" s="816" t="s">
        <v>2551</v>
      </c>
      <c r="C16" s="807">
        <v>2.39884E-2</v>
      </c>
      <c r="D16" s="807">
        <v>2.2662600000000001E-2</v>
      </c>
      <c r="E16" s="808">
        <v>19597.03</v>
      </c>
      <c r="F16" s="808">
        <v>-525183</v>
      </c>
      <c r="G16" s="808">
        <v>-448487</v>
      </c>
      <c r="H16" s="838"/>
      <c r="I16" s="839">
        <v>480</v>
      </c>
      <c r="J16" s="839">
        <v>22285</v>
      </c>
      <c r="K16" s="839">
        <v>119486</v>
      </c>
      <c r="L16" s="808">
        <v>276</v>
      </c>
      <c r="M16" s="808"/>
      <c r="N16" s="839">
        <v>5805</v>
      </c>
      <c r="O16" s="839">
        <v>21518</v>
      </c>
      <c r="P16" s="839">
        <v>0</v>
      </c>
      <c r="Q16" s="808">
        <v>32965</v>
      </c>
      <c r="R16" s="808"/>
      <c r="S16" s="839">
        <v>33176</v>
      </c>
      <c r="T16" s="840">
        <v>-16866</v>
      </c>
      <c r="U16" s="840">
        <v>16310</v>
      </c>
    </row>
    <row r="17" spans="2:21" x14ac:dyDescent="0.25">
      <c r="B17" s="816" t="s">
        <v>2552</v>
      </c>
      <c r="C17" s="807">
        <v>7.5778E-3</v>
      </c>
      <c r="D17" s="807">
        <v>7.2118E-3</v>
      </c>
      <c r="E17" s="808">
        <v>6191</v>
      </c>
      <c r="F17" s="808">
        <v>-167126</v>
      </c>
      <c r="G17" s="808">
        <v>-141675</v>
      </c>
      <c r="H17" s="838"/>
      <c r="I17" s="839">
        <v>152</v>
      </c>
      <c r="J17" s="839">
        <v>7040</v>
      </c>
      <c r="K17" s="839">
        <v>37745</v>
      </c>
      <c r="L17" s="808">
        <v>3800</v>
      </c>
      <c r="M17" s="808"/>
      <c r="N17" s="839">
        <v>1834</v>
      </c>
      <c r="O17" s="839">
        <v>6797</v>
      </c>
      <c r="P17" s="839">
        <v>0</v>
      </c>
      <c r="Q17" s="808">
        <v>7320</v>
      </c>
      <c r="R17" s="808"/>
      <c r="S17" s="839">
        <v>10480</v>
      </c>
      <c r="T17" s="840">
        <v>-5091</v>
      </c>
      <c r="U17" s="840">
        <v>5389</v>
      </c>
    </row>
    <row r="18" spans="2:21" x14ac:dyDescent="0.25">
      <c r="B18" s="816" t="s">
        <v>2553</v>
      </c>
      <c r="C18" s="807">
        <v>1.103E-3</v>
      </c>
      <c r="D18" s="807">
        <v>9.5220000000000005E-4</v>
      </c>
      <c r="E18" s="808">
        <v>901</v>
      </c>
      <c r="F18" s="808">
        <v>-22066</v>
      </c>
      <c r="G18" s="808">
        <v>-20622</v>
      </c>
      <c r="H18" s="838"/>
      <c r="I18" s="839">
        <v>22</v>
      </c>
      <c r="J18" s="839">
        <v>1025</v>
      </c>
      <c r="K18" s="839">
        <v>5494</v>
      </c>
      <c r="L18" s="808">
        <v>660</v>
      </c>
      <c r="M18" s="808"/>
      <c r="N18" s="839">
        <v>267</v>
      </c>
      <c r="O18" s="839">
        <v>989</v>
      </c>
      <c r="P18" s="839">
        <v>0</v>
      </c>
      <c r="Q18" s="808">
        <v>2551</v>
      </c>
      <c r="R18" s="808"/>
      <c r="S18" s="839">
        <v>1525</v>
      </c>
      <c r="T18" s="840">
        <v>142</v>
      </c>
      <c r="U18" s="840">
        <v>1667</v>
      </c>
    </row>
    <row r="19" spans="2:21" x14ac:dyDescent="0.25">
      <c r="B19" s="816" t="s">
        <v>2554</v>
      </c>
      <c r="C19" s="807">
        <v>1.33673E-2</v>
      </c>
      <c r="D19" s="807">
        <v>1.09128E-2</v>
      </c>
      <c r="E19" s="808">
        <v>10920</v>
      </c>
      <c r="F19" s="808">
        <v>-252893</v>
      </c>
      <c r="G19" s="808">
        <v>-249915</v>
      </c>
      <c r="H19" s="838"/>
      <c r="I19" s="839">
        <v>267</v>
      </c>
      <c r="J19" s="839">
        <v>12418</v>
      </c>
      <c r="K19" s="839">
        <v>66583</v>
      </c>
      <c r="L19" s="808">
        <v>1177</v>
      </c>
      <c r="M19" s="808"/>
      <c r="N19" s="839">
        <v>3235</v>
      </c>
      <c r="O19" s="839">
        <v>11990</v>
      </c>
      <c r="P19" s="839">
        <v>0</v>
      </c>
      <c r="Q19" s="808">
        <v>41519</v>
      </c>
      <c r="R19" s="808"/>
      <c r="S19" s="839">
        <v>18487</v>
      </c>
      <c r="T19" s="840">
        <v>-14988</v>
      </c>
      <c r="U19" s="840">
        <v>3499</v>
      </c>
    </row>
    <row r="20" spans="2:21" x14ac:dyDescent="0.25">
      <c r="B20" s="816" t="s">
        <v>2555</v>
      </c>
      <c r="C20" s="807">
        <v>1.7351999999999999E-3</v>
      </c>
      <c r="D20" s="807">
        <v>1.6876E-3</v>
      </c>
      <c r="E20" s="808">
        <v>1418</v>
      </c>
      <c r="F20" s="808">
        <v>-39108</v>
      </c>
      <c r="G20" s="808">
        <v>-32441</v>
      </c>
      <c r="H20" s="838"/>
      <c r="I20" s="839">
        <v>35</v>
      </c>
      <c r="J20" s="839">
        <v>1612</v>
      </c>
      <c r="K20" s="839">
        <v>8643</v>
      </c>
      <c r="L20" s="808">
        <v>89</v>
      </c>
      <c r="M20" s="808"/>
      <c r="N20" s="839">
        <v>420</v>
      </c>
      <c r="O20" s="839">
        <v>1556</v>
      </c>
      <c r="P20" s="839">
        <v>0</v>
      </c>
      <c r="Q20" s="808">
        <v>1071</v>
      </c>
      <c r="R20" s="808"/>
      <c r="S20" s="839">
        <v>2400</v>
      </c>
      <c r="T20" s="840">
        <v>-1594</v>
      </c>
      <c r="U20" s="840">
        <v>806</v>
      </c>
    </row>
    <row r="21" spans="2:21" x14ac:dyDescent="0.25">
      <c r="B21" s="816" t="s">
        <v>2556</v>
      </c>
      <c r="C21" s="807">
        <v>1.6867199999999999E-2</v>
      </c>
      <c r="D21" s="807">
        <v>1.65814E-2</v>
      </c>
      <c r="E21" s="808">
        <v>13779</v>
      </c>
      <c r="F21" s="808">
        <v>-384257</v>
      </c>
      <c r="G21" s="808">
        <v>-315349</v>
      </c>
      <c r="H21" s="838"/>
      <c r="I21" s="839">
        <v>337</v>
      </c>
      <c r="J21" s="839">
        <v>15670</v>
      </c>
      <c r="K21" s="839">
        <v>84016</v>
      </c>
      <c r="L21" s="808">
        <v>0</v>
      </c>
      <c r="M21" s="808"/>
      <c r="N21" s="839">
        <v>4082</v>
      </c>
      <c r="O21" s="839">
        <v>15130</v>
      </c>
      <c r="P21" s="839">
        <v>0</v>
      </c>
      <c r="Q21" s="808">
        <v>8888</v>
      </c>
      <c r="R21" s="808"/>
      <c r="S21" s="839">
        <v>23327</v>
      </c>
      <c r="T21" s="840">
        <v>-6759</v>
      </c>
      <c r="U21" s="840">
        <v>16569</v>
      </c>
    </row>
    <row r="22" spans="2:21" x14ac:dyDescent="0.25">
      <c r="B22" s="816" t="s">
        <v>2557</v>
      </c>
      <c r="C22" s="807">
        <v>8.1905999999999993E-3</v>
      </c>
      <c r="D22" s="807">
        <v>8.4030000000000007E-3</v>
      </c>
      <c r="E22" s="808">
        <v>6691</v>
      </c>
      <c r="F22" s="808">
        <v>-194731</v>
      </c>
      <c r="G22" s="808">
        <v>-153131</v>
      </c>
      <c r="H22" s="838"/>
      <c r="I22" s="839">
        <v>164</v>
      </c>
      <c r="J22" s="839">
        <v>7609</v>
      </c>
      <c r="K22" s="839">
        <v>40797</v>
      </c>
      <c r="L22" s="808">
        <v>3593</v>
      </c>
      <c r="M22" s="808"/>
      <c r="N22" s="839">
        <v>1982</v>
      </c>
      <c r="O22" s="839">
        <v>7347</v>
      </c>
      <c r="P22" s="839">
        <v>0</v>
      </c>
      <c r="Q22" s="808">
        <v>1438</v>
      </c>
      <c r="R22" s="808"/>
      <c r="S22" s="839">
        <v>11328</v>
      </c>
      <c r="T22" s="840">
        <v>-1210</v>
      </c>
      <c r="U22" s="840">
        <v>10117</v>
      </c>
    </row>
    <row r="23" spans="2:21" x14ac:dyDescent="0.25">
      <c r="B23" s="816" t="s">
        <v>2558</v>
      </c>
      <c r="C23" s="807">
        <v>3.8235000000000001E-3</v>
      </c>
      <c r="D23" s="807">
        <v>3.7967000000000001E-3</v>
      </c>
      <c r="E23" s="808">
        <v>3124</v>
      </c>
      <c r="F23" s="808">
        <v>-87985</v>
      </c>
      <c r="G23" s="808">
        <v>-71484</v>
      </c>
      <c r="H23" s="838"/>
      <c r="I23" s="839">
        <v>76.47</v>
      </c>
      <c r="J23" s="839">
        <v>3552</v>
      </c>
      <c r="K23" s="839">
        <v>19045</v>
      </c>
      <c r="L23" s="808">
        <v>62</v>
      </c>
      <c r="M23" s="808"/>
      <c r="N23" s="839">
        <v>925</v>
      </c>
      <c r="O23" s="839">
        <v>3430</v>
      </c>
      <c r="P23" s="839">
        <v>0</v>
      </c>
      <c r="Q23" s="808">
        <v>2434</v>
      </c>
      <c r="R23" s="808"/>
      <c r="S23" s="839">
        <v>5288</v>
      </c>
      <c r="T23" s="840">
        <v>-1532</v>
      </c>
      <c r="U23" s="840">
        <v>3756</v>
      </c>
    </row>
    <row r="24" spans="2:21" x14ac:dyDescent="0.25">
      <c r="B24" s="816" t="s">
        <v>2559</v>
      </c>
      <c r="C24" s="807">
        <v>1.5716E-3</v>
      </c>
      <c r="D24" s="807">
        <v>1.6087E-3</v>
      </c>
      <c r="E24" s="808">
        <v>1283.895</v>
      </c>
      <c r="F24" s="808">
        <v>-37280</v>
      </c>
      <c r="G24" s="808">
        <v>-29383</v>
      </c>
      <c r="H24" s="838"/>
      <c r="I24" s="839">
        <v>31</v>
      </c>
      <c r="J24" s="839">
        <v>1460</v>
      </c>
      <c r="K24" s="839">
        <v>7828</v>
      </c>
      <c r="L24" s="808">
        <v>987</v>
      </c>
      <c r="M24" s="808"/>
      <c r="N24" s="839">
        <v>380</v>
      </c>
      <c r="O24" s="839">
        <v>1410</v>
      </c>
      <c r="P24" s="839">
        <v>0</v>
      </c>
      <c r="Q24" s="808">
        <v>128</v>
      </c>
      <c r="R24" s="808"/>
      <c r="S24" s="839">
        <v>2174</v>
      </c>
      <c r="T24" s="840">
        <v>-76</v>
      </c>
      <c r="U24" s="840">
        <v>2098</v>
      </c>
    </row>
    <row r="25" spans="2:21" x14ac:dyDescent="0.25">
      <c r="B25" s="816" t="s">
        <v>2560</v>
      </c>
      <c r="C25" s="807">
        <v>1.5135000000000001E-3</v>
      </c>
      <c r="D25" s="807">
        <v>1.588E-3</v>
      </c>
      <c r="E25" s="808">
        <v>1236</v>
      </c>
      <c r="F25" s="808">
        <v>-36800</v>
      </c>
      <c r="G25" s="808">
        <v>-28296</v>
      </c>
      <c r="H25" s="838"/>
      <c r="I25" s="839">
        <v>30</v>
      </c>
      <c r="J25" s="839">
        <v>1406</v>
      </c>
      <c r="K25" s="839">
        <v>7539</v>
      </c>
      <c r="L25" s="808">
        <v>2566</v>
      </c>
      <c r="M25" s="808"/>
      <c r="N25" s="839">
        <v>366</v>
      </c>
      <c r="O25" s="839">
        <v>1358</v>
      </c>
      <c r="P25" s="839">
        <v>0</v>
      </c>
      <c r="Q25" s="808">
        <v>81</v>
      </c>
      <c r="R25" s="808"/>
      <c r="S25" s="839">
        <v>2093</v>
      </c>
      <c r="T25" s="840">
        <v>1215</v>
      </c>
      <c r="U25" s="840">
        <v>3308</v>
      </c>
    </row>
    <row r="26" spans="2:21" x14ac:dyDescent="0.25">
      <c r="B26" s="816" t="s">
        <v>2561</v>
      </c>
      <c r="C26" s="807">
        <v>6.5862000000000004E-3</v>
      </c>
      <c r="D26" s="807">
        <v>6.7035999999999997E-3</v>
      </c>
      <c r="E26" s="808">
        <v>5380</v>
      </c>
      <c r="F26" s="808">
        <v>-155349</v>
      </c>
      <c r="G26" s="808">
        <v>-123136</v>
      </c>
      <c r="H26" s="838"/>
      <c r="I26" s="839">
        <v>132</v>
      </c>
      <c r="J26" s="839">
        <v>6119</v>
      </c>
      <c r="K26" s="839">
        <v>32806</v>
      </c>
      <c r="L26" s="808">
        <v>1986</v>
      </c>
      <c r="M26" s="808"/>
      <c r="N26" s="839">
        <v>1594</v>
      </c>
      <c r="O26" s="839">
        <v>5908</v>
      </c>
      <c r="P26" s="839">
        <v>0</v>
      </c>
      <c r="Q26" s="808">
        <v>3022</v>
      </c>
      <c r="R26" s="808"/>
      <c r="S26" s="839">
        <v>9109</v>
      </c>
      <c r="T26" s="840">
        <v>-3336</v>
      </c>
      <c r="U26" s="840">
        <v>5773</v>
      </c>
    </row>
    <row r="27" spans="2:21" x14ac:dyDescent="0.25">
      <c r="B27" s="816" t="s">
        <v>2562</v>
      </c>
      <c r="C27" s="807">
        <v>4.1635999999999999E-3</v>
      </c>
      <c r="D27" s="807">
        <v>4.5163E-3</v>
      </c>
      <c r="E27" s="808">
        <v>3401</v>
      </c>
      <c r="F27" s="808">
        <v>-104661</v>
      </c>
      <c r="G27" s="808">
        <v>-77843</v>
      </c>
      <c r="H27" s="838"/>
      <c r="I27" s="839">
        <v>83</v>
      </c>
      <c r="J27" s="839">
        <v>3868</v>
      </c>
      <c r="K27" s="839">
        <v>20739</v>
      </c>
      <c r="L27" s="808">
        <v>6561</v>
      </c>
      <c r="M27" s="808"/>
      <c r="N27" s="839">
        <v>1008</v>
      </c>
      <c r="O27" s="839">
        <v>3735</v>
      </c>
      <c r="P27" s="839">
        <v>0</v>
      </c>
      <c r="Q27" s="808">
        <v>1735</v>
      </c>
      <c r="R27" s="808"/>
      <c r="S27" s="839">
        <v>5758</v>
      </c>
      <c r="T27" s="840">
        <v>-5660</v>
      </c>
      <c r="U27" s="840">
        <v>98</v>
      </c>
    </row>
    <row r="28" spans="2:21" x14ac:dyDescent="0.25">
      <c r="B28" s="816" t="s">
        <v>2563</v>
      </c>
      <c r="C28" s="807">
        <v>1.21683E-2</v>
      </c>
      <c r="D28" s="807">
        <v>1.1118100000000001E-2</v>
      </c>
      <c r="E28" s="808">
        <v>9941</v>
      </c>
      <c r="F28" s="808">
        <v>-257651</v>
      </c>
      <c r="G28" s="808">
        <v>-227499</v>
      </c>
      <c r="H28" s="838"/>
      <c r="I28" s="839">
        <v>243</v>
      </c>
      <c r="J28" s="839">
        <v>11304</v>
      </c>
      <c r="K28" s="839">
        <v>60610</v>
      </c>
      <c r="L28" s="808">
        <v>193</v>
      </c>
      <c r="M28" s="808"/>
      <c r="N28" s="839">
        <v>2945</v>
      </c>
      <c r="O28" s="839">
        <v>10915</v>
      </c>
      <c r="P28" s="839">
        <v>0</v>
      </c>
      <c r="Q28" s="808">
        <v>18066</v>
      </c>
      <c r="R28" s="808"/>
      <c r="S28" s="839">
        <v>16829</v>
      </c>
      <c r="T28" s="840">
        <v>-6784</v>
      </c>
      <c r="U28" s="840">
        <v>10045</v>
      </c>
    </row>
    <row r="29" spans="2:21" x14ac:dyDescent="0.25">
      <c r="B29" s="816" t="s">
        <v>2564</v>
      </c>
      <c r="C29" s="807">
        <v>3.3197299999999999E-2</v>
      </c>
      <c r="D29" s="807">
        <v>3.4555299999999997E-2</v>
      </c>
      <c r="E29" s="808">
        <v>27120</v>
      </c>
      <c r="F29" s="808">
        <v>-800785</v>
      </c>
      <c r="G29" s="808">
        <v>-620657</v>
      </c>
      <c r="H29" s="838"/>
      <c r="I29" s="839">
        <v>664</v>
      </c>
      <c r="J29" s="839">
        <v>30840</v>
      </c>
      <c r="K29" s="839">
        <v>165356</v>
      </c>
      <c r="L29" s="808">
        <v>27988</v>
      </c>
      <c r="M29" s="808"/>
      <c r="N29" s="839">
        <v>8034</v>
      </c>
      <c r="O29" s="839">
        <v>29778</v>
      </c>
      <c r="P29" s="839">
        <v>0</v>
      </c>
      <c r="Q29" s="808">
        <v>189</v>
      </c>
      <c r="R29" s="808"/>
      <c r="S29" s="839">
        <v>45912</v>
      </c>
      <c r="T29" s="840">
        <v>12930</v>
      </c>
      <c r="U29" s="840">
        <v>58842</v>
      </c>
    </row>
    <row r="30" spans="2:21" x14ac:dyDescent="0.25">
      <c r="B30" s="816" t="s">
        <v>2565</v>
      </c>
      <c r="C30" s="807">
        <v>4.1034000000000001E-3</v>
      </c>
      <c r="D30" s="807">
        <v>4.2293000000000001E-3</v>
      </c>
      <c r="E30" s="808">
        <v>3352</v>
      </c>
      <c r="F30" s="808">
        <v>-98010</v>
      </c>
      <c r="G30" s="808">
        <v>-76717</v>
      </c>
      <c r="H30" s="838"/>
      <c r="I30" s="839">
        <v>82</v>
      </c>
      <c r="J30" s="839">
        <v>3812</v>
      </c>
      <c r="K30" s="839">
        <v>20439</v>
      </c>
      <c r="L30" s="808">
        <v>2902</v>
      </c>
      <c r="M30" s="808"/>
      <c r="N30" s="839">
        <v>993</v>
      </c>
      <c r="O30" s="839">
        <v>3681</v>
      </c>
      <c r="P30" s="839">
        <v>0</v>
      </c>
      <c r="Q30" s="808">
        <v>0</v>
      </c>
      <c r="R30" s="808"/>
      <c r="S30" s="839">
        <v>5675</v>
      </c>
      <c r="T30" s="840">
        <v>3084</v>
      </c>
      <c r="U30" s="840">
        <v>8759</v>
      </c>
    </row>
    <row r="31" spans="2:21" x14ac:dyDescent="0.25">
      <c r="B31" s="816" t="s">
        <v>2566</v>
      </c>
      <c r="C31" s="807">
        <v>9.5162000000000007E-3</v>
      </c>
      <c r="D31" s="807">
        <v>9.1173000000000001E-3</v>
      </c>
      <c r="E31" s="808">
        <v>7774</v>
      </c>
      <c r="F31" s="808">
        <v>-211284</v>
      </c>
      <c r="G31" s="808">
        <v>-177915</v>
      </c>
      <c r="H31" s="838"/>
      <c r="I31" s="839">
        <v>190</v>
      </c>
      <c r="J31" s="839">
        <v>8841</v>
      </c>
      <c r="K31" s="839">
        <v>47400</v>
      </c>
      <c r="L31" s="808">
        <v>2644</v>
      </c>
      <c r="M31" s="808"/>
      <c r="N31" s="839">
        <v>2303</v>
      </c>
      <c r="O31" s="839">
        <v>8536</v>
      </c>
      <c r="P31" s="839">
        <v>0</v>
      </c>
      <c r="Q31" s="808">
        <v>6748</v>
      </c>
      <c r="R31" s="808"/>
      <c r="S31" s="839">
        <v>13161</v>
      </c>
      <c r="T31" s="840">
        <v>505</v>
      </c>
      <c r="U31" s="840">
        <v>13666</v>
      </c>
    </row>
    <row r="32" spans="2:21" x14ac:dyDescent="0.25">
      <c r="B32" s="816" t="s">
        <v>2567</v>
      </c>
      <c r="C32" s="807">
        <v>1.08719E-2</v>
      </c>
      <c r="D32" s="807">
        <v>1.2908599999999999E-2</v>
      </c>
      <c r="E32" s="808">
        <v>8882</v>
      </c>
      <c r="F32" s="808">
        <v>-299144</v>
      </c>
      <c r="G32" s="808">
        <v>-203261</v>
      </c>
      <c r="H32" s="838"/>
      <c r="I32" s="839">
        <v>217</v>
      </c>
      <c r="J32" s="839">
        <v>10100</v>
      </c>
      <c r="K32" s="839">
        <v>54153</v>
      </c>
      <c r="L32" s="808">
        <v>41077</v>
      </c>
      <c r="M32" s="808"/>
      <c r="N32" s="839">
        <v>2631</v>
      </c>
      <c r="O32" s="839">
        <v>9752</v>
      </c>
      <c r="P32" s="839">
        <v>0</v>
      </c>
      <c r="Q32" s="808">
        <v>0</v>
      </c>
      <c r="R32" s="808"/>
      <c r="S32" s="839">
        <v>15036</v>
      </c>
      <c r="T32" s="840">
        <v>42387</v>
      </c>
      <c r="U32" s="840">
        <v>57423</v>
      </c>
    </row>
    <row r="33" spans="2:21" x14ac:dyDescent="0.25">
      <c r="B33" s="816" t="s">
        <v>2568</v>
      </c>
      <c r="C33" s="807">
        <v>4.0918999999999999E-3</v>
      </c>
      <c r="D33" s="807">
        <v>4.2021000000000003E-3</v>
      </c>
      <c r="E33" s="808">
        <v>3343</v>
      </c>
      <c r="F33" s="808">
        <v>-97379</v>
      </c>
      <c r="G33" s="808">
        <v>-76502</v>
      </c>
      <c r="H33" s="838"/>
      <c r="I33" s="839">
        <v>82</v>
      </c>
      <c r="J33" s="839">
        <v>3801</v>
      </c>
      <c r="K33" s="839">
        <v>20382</v>
      </c>
      <c r="L33" s="808">
        <v>1864</v>
      </c>
      <c r="M33" s="808"/>
      <c r="N33" s="839">
        <v>990</v>
      </c>
      <c r="O33" s="839">
        <v>3670</v>
      </c>
      <c r="P33" s="839">
        <v>0</v>
      </c>
      <c r="Q33" s="808">
        <v>1863</v>
      </c>
      <c r="R33" s="808"/>
      <c r="S33" s="839">
        <v>5659</v>
      </c>
      <c r="T33" s="840">
        <v>-1331</v>
      </c>
      <c r="U33" s="840">
        <v>4328</v>
      </c>
    </row>
    <row r="34" spans="2:21" x14ac:dyDescent="0.25">
      <c r="B34" s="816" t="s">
        <v>2569</v>
      </c>
      <c r="C34" s="807">
        <v>4.2513000000000004E-3</v>
      </c>
      <c r="D34" s="807">
        <v>4.1583999999999996E-3</v>
      </c>
      <c r="E34" s="808">
        <v>3473</v>
      </c>
      <c r="F34" s="808">
        <v>-96367</v>
      </c>
      <c r="G34" s="808">
        <v>-79482</v>
      </c>
      <c r="H34" s="838"/>
      <c r="I34" s="839">
        <v>85</v>
      </c>
      <c r="J34" s="839">
        <v>3949</v>
      </c>
      <c r="K34" s="839">
        <v>21176</v>
      </c>
      <c r="L34" s="808">
        <v>0</v>
      </c>
      <c r="M34" s="808"/>
      <c r="N34" s="839">
        <v>1029</v>
      </c>
      <c r="O34" s="839">
        <v>3813</v>
      </c>
      <c r="P34" s="839">
        <v>0</v>
      </c>
      <c r="Q34" s="808">
        <v>2037</v>
      </c>
      <c r="R34" s="808"/>
      <c r="S34" s="839">
        <v>5880</v>
      </c>
      <c r="T34" s="840">
        <v>-2586</v>
      </c>
      <c r="U34" s="840">
        <v>3293</v>
      </c>
    </row>
    <row r="35" spans="2:21" x14ac:dyDescent="0.25">
      <c r="B35" s="816" t="s">
        <v>2570</v>
      </c>
      <c r="C35" s="807">
        <v>3.1125E-2</v>
      </c>
      <c r="D35" s="807">
        <v>3.0139099999999999E-2</v>
      </c>
      <c r="E35" s="808">
        <v>25427</v>
      </c>
      <c r="F35" s="808">
        <v>-698444</v>
      </c>
      <c r="G35" s="808">
        <v>-581913</v>
      </c>
      <c r="H35" s="838"/>
      <c r="I35" s="839">
        <v>622.5</v>
      </c>
      <c r="J35" s="839">
        <v>28915.125</v>
      </c>
      <c r="K35" s="839">
        <v>155034</v>
      </c>
      <c r="L35" s="808">
        <v>0</v>
      </c>
      <c r="M35" s="808"/>
      <c r="N35" s="839">
        <v>7532.25</v>
      </c>
      <c r="O35" s="839">
        <v>27919.125</v>
      </c>
      <c r="P35" s="839">
        <v>0</v>
      </c>
      <c r="Q35" s="808">
        <v>28285</v>
      </c>
      <c r="R35" s="808"/>
      <c r="S35" s="839">
        <v>43045.875</v>
      </c>
      <c r="T35" s="840">
        <v>-23643</v>
      </c>
      <c r="U35" s="840">
        <v>19402</v>
      </c>
    </row>
    <row r="36" spans="2:21" x14ac:dyDescent="0.25">
      <c r="B36" s="816" t="s">
        <v>2571</v>
      </c>
      <c r="C36" s="807">
        <v>3.4244000000000002E-3</v>
      </c>
      <c r="D36" s="807">
        <v>3.5536000000000001E-3</v>
      </c>
      <c r="E36" s="808">
        <v>2798</v>
      </c>
      <c r="F36" s="808">
        <v>-82351</v>
      </c>
      <c r="G36" s="808">
        <v>-64023</v>
      </c>
      <c r="H36" s="838"/>
      <c r="I36" s="839">
        <v>68</v>
      </c>
      <c r="J36" s="839">
        <v>3181</v>
      </c>
      <c r="K36" s="839">
        <v>17057</v>
      </c>
      <c r="L36" s="808">
        <v>2185</v>
      </c>
      <c r="M36" s="808"/>
      <c r="N36" s="839">
        <v>829</v>
      </c>
      <c r="O36" s="839">
        <v>3072</v>
      </c>
      <c r="P36" s="839">
        <v>0</v>
      </c>
      <c r="Q36" s="808">
        <v>785</v>
      </c>
      <c r="R36" s="808"/>
      <c r="S36" s="839">
        <v>4736</v>
      </c>
      <c r="T36" s="840">
        <v>-517</v>
      </c>
      <c r="U36" s="840">
        <v>4219</v>
      </c>
    </row>
    <row r="37" spans="2:21" x14ac:dyDescent="0.25">
      <c r="B37" s="816" t="s">
        <v>2572</v>
      </c>
      <c r="C37" s="807">
        <v>3.9605899999999999E-2</v>
      </c>
      <c r="D37" s="807">
        <v>3.9285199999999999E-2</v>
      </c>
      <c r="E37" s="808">
        <v>32356</v>
      </c>
      <c r="F37" s="808">
        <v>-910395</v>
      </c>
      <c r="G37" s="808">
        <v>-740472</v>
      </c>
      <c r="H37" s="838"/>
      <c r="I37" s="839">
        <v>792</v>
      </c>
      <c r="J37" s="839">
        <v>36794</v>
      </c>
      <c r="K37" s="839">
        <v>197277</v>
      </c>
      <c r="L37" s="808">
        <v>0</v>
      </c>
      <c r="M37" s="808"/>
      <c r="N37" s="839">
        <v>9585</v>
      </c>
      <c r="O37" s="839">
        <v>35526</v>
      </c>
      <c r="P37" s="839">
        <v>0</v>
      </c>
      <c r="Q37" s="808">
        <v>11427</v>
      </c>
      <c r="R37" s="808"/>
      <c r="S37" s="839">
        <v>54775</v>
      </c>
      <c r="T37" s="840">
        <v>-11290</v>
      </c>
      <c r="U37" s="840">
        <v>43485</v>
      </c>
    </row>
    <row r="38" spans="2:21" x14ac:dyDescent="0.25">
      <c r="B38" s="816" t="s">
        <v>2573</v>
      </c>
      <c r="C38" s="807">
        <v>5.6988999999999998E-3</v>
      </c>
      <c r="D38" s="807">
        <v>5.2674999999999996E-3</v>
      </c>
      <c r="E38" s="808">
        <v>4656</v>
      </c>
      <c r="F38" s="808">
        <v>-122069</v>
      </c>
      <c r="G38" s="808">
        <v>-106547</v>
      </c>
      <c r="H38" s="838"/>
      <c r="I38" s="839">
        <v>114</v>
      </c>
      <c r="J38" s="839">
        <v>5294</v>
      </c>
      <c r="K38" s="839">
        <v>28386</v>
      </c>
      <c r="L38" s="808">
        <v>0</v>
      </c>
      <c r="M38" s="808"/>
      <c r="N38" s="839">
        <v>1379</v>
      </c>
      <c r="O38" s="839">
        <v>5112</v>
      </c>
      <c r="P38" s="839">
        <v>0</v>
      </c>
      <c r="Q38" s="808">
        <v>7956</v>
      </c>
      <c r="R38" s="808"/>
      <c r="S38" s="839">
        <v>7882</v>
      </c>
      <c r="T38" s="840">
        <v>-4779</v>
      </c>
      <c r="U38" s="840">
        <v>3103</v>
      </c>
    </row>
    <row r="39" spans="2:21" x14ac:dyDescent="0.25">
      <c r="B39" s="816" t="s">
        <v>2574</v>
      </c>
      <c r="C39" s="807">
        <v>1.13299E-2</v>
      </c>
      <c r="D39" s="807">
        <v>1.34155E-2</v>
      </c>
      <c r="E39" s="808">
        <v>9256</v>
      </c>
      <c r="F39" s="808">
        <v>-310891</v>
      </c>
      <c r="G39" s="808">
        <v>-211824</v>
      </c>
      <c r="H39" s="838"/>
      <c r="I39" s="839">
        <v>227</v>
      </c>
      <c r="J39" s="839">
        <v>10525</v>
      </c>
      <c r="K39" s="839">
        <v>56434</v>
      </c>
      <c r="L39" s="808">
        <v>42086</v>
      </c>
      <c r="M39" s="808"/>
      <c r="N39" s="839">
        <v>2742</v>
      </c>
      <c r="O39" s="839">
        <v>10163</v>
      </c>
      <c r="P39" s="839">
        <v>0</v>
      </c>
      <c r="Q39" s="808">
        <v>299</v>
      </c>
      <c r="R39" s="808"/>
      <c r="S39" s="839">
        <v>15669</v>
      </c>
      <c r="T39" s="840">
        <v>19065</v>
      </c>
      <c r="U39" s="840">
        <v>34734</v>
      </c>
    </row>
    <row r="40" spans="2:21" x14ac:dyDescent="0.25">
      <c r="B40" s="816" t="s">
        <v>2575</v>
      </c>
      <c r="C40" s="807">
        <v>9.5730000000000001E-4</v>
      </c>
      <c r="D40" s="807">
        <v>9.4289999999999999E-4</v>
      </c>
      <c r="E40" s="808">
        <v>782</v>
      </c>
      <c r="F40" s="808">
        <v>-21851</v>
      </c>
      <c r="G40" s="808">
        <v>-17898</v>
      </c>
      <c r="H40" s="838"/>
      <c r="I40" s="839">
        <v>19</v>
      </c>
      <c r="J40" s="839">
        <v>889</v>
      </c>
      <c r="K40" s="839">
        <v>4768</v>
      </c>
      <c r="L40" s="808">
        <v>468</v>
      </c>
      <c r="M40" s="808"/>
      <c r="N40" s="839">
        <v>232</v>
      </c>
      <c r="O40" s="839">
        <v>859</v>
      </c>
      <c r="P40" s="839">
        <v>0</v>
      </c>
      <c r="Q40" s="808">
        <v>305</v>
      </c>
      <c r="R40" s="808"/>
      <c r="S40" s="839">
        <v>1324</v>
      </c>
      <c r="T40" s="840">
        <v>-20</v>
      </c>
      <c r="U40" s="840">
        <v>1304</v>
      </c>
    </row>
    <row r="41" spans="2:21" x14ac:dyDescent="0.25">
      <c r="B41" s="816" t="s">
        <v>2576</v>
      </c>
      <c r="C41" s="807">
        <v>6.8349999999999997E-4</v>
      </c>
      <c r="D41" s="807">
        <v>6.3060000000000004E-4</v>
      </c>
      <c r="E41" s="808">
        <v>558</v>
      </c>
      <c r="F41" s="808">
        <v>-14614</v>
      </c>
      <c r="G41" s="808">
        <v>-12779</v>
      </c>
      <c r="H41" s="838"/>
      <c r="I41" s="839">
        <v>13.67</v>
      </c>
      <c r="J41" s="839">
        <v>635</v>
      </c>
      <c r="K41" s="839">
        <v>3405</v>
      </c>
      <c r="L41" s="808">
        <v>355</v>
      </c>
      <c r="M41" s="808"/>
      <c r="N41" s="839">
        <v>165</v>
      </c>
      <c r="O41" s="839">
        <v>613</v>
      </c>
      <c r="P41" s="839">
        <v>0</v>
      </c>
      <c r="Q41" s="808">
        <v>899</v>
      </c>
      <c r="R41" s="808"/>
      <c r="S41" s="839">
        <v>945</v>
      </c>
      <c r="T41" s="840">
        <v>-104</v>
      </c>
      <c r="U41" s="840">
        <v>841</v>
      </c>
    </row>
    <row r="42" spans="2:21" x14ac:dyDescent="0.25">
      <c r="B42" s="816" t="s">
        <v>2577</v>
      </c>
      <c r="C42" s="807">
        <v>4.3911999999999996E-3</v>
      </c>
      <c r="D42" s="807">
        <v>4.5859000000000004E-3</v>
      </c>
      <c r="E42" s="808">
        <v>3587.31</v>
      </c>
      <c r="F42" s="808">
        <v>-106274</v>
      </c>
      <c r="G42" s="808">
        <v>-82098</v>
      </c>
      <c r="H42" s="838"/>
      <c r="I42" s="839">
        <v>88</v>
      </c>
      <c r="J42" s="839">
        <v>4079</v>
      </c>
      <c r="K42" s="839">
        <v>21873</v>
      </c>
      <c r="L42" s="808">
        <v>3293</v>
      </c>
      <c r="M42" s="808"/>
      <c r="N42" s="839">
        <v>1063</v>
      </c>
      <c r="O42" s="839">
        <v>3939</v>
      </c>
      <c r="P42" s="839">
        <v>0</v>
      </c>
      <c r="Q42" s="808">
        <v>513</v>
      </c>
      <c r="R42" s="808"/>
      <c r="S42" s="839">
        <v>6073</v>
      </c>
      <c r="T42" s="840">
        <v>-725</v>
      </c>
      <c r="U42" s="840">
        <v>5348</v>
      </c>
    </row>
    <row r="43" spans="2:21" x14ac:dyDescent="0.25">
      <c r="B43" s="816" t="s">
        <v>2578</v>
      </c>
      <c r="C43" s="807">
        <v>1.2329000000000001E-3</v>
      </c>
      <c r="D43" s="807">
        <v>1.1410999999999999E-3</v>
      </c>
      <c r="E43" s="808">
        <v>1007</v>
      </c>
      <c r="F43" s="808">
        <v>-26444</v>
      </c>
      <c r="G43" s="808">
        <v>-23050</v>
      </c>
      <c r="H43" s="838"/>
      <c r="I43" s="839">
        <v>25</v>
      </c>
      <c r="J43" s="839">
        <v>1145</v>
      </c>
      <c r="K43" s="839">
        <v>6141</v>
      </c>
      <c r="L43" s="808">
        <v>457</v>
      </c>
      <c r="M43" s="808"/>
      <c r="N43" s="839">
        <v>298</v>
      </c>
      <c r="O43" s="839">
        <v>1106</v>
      </c>
      <c r="P43" s="839">
        <v>0</v>
      </c>
      <c r="Q43" s="808">
        <v>1846</v>
      </c>
      <c r="R43" s="808"/>
      <c r="S43" s="839">
        <v>1705</v>
      </c>
      <c r="T43" s="840">
        <v>-1740</v>
      </c>
      <c r="U43" s="840">
        <v>-35</v>
      </c>
    </row>
    <row r="44" spans="2:21" x14ac:dyDescent="0.25">
      <c r="B44" s="816" t="s">
        <v>2579</v>
      </c>
      <c r="C44" s="807">
        <v>4.39733E-2</v>
      </c>
      <c r="D44" s="807">
        <v>4.36596E-2</v>
      </c>
      <c r="E44" s="808">
        <v>35923</v>
      </c>
      <c r="F44" s="808">
        <v>-1011768</v>
      </c>
      <c r="G44" s="808">
        <v>-822125</v>
      </c>
      <c r="H44" s="838"/>
      <c r="I44" s="839">
        <v>879</v>
      </c>
      <c r="J44" s="839">
        <v>40851</v>
      </c>
      <c r="K44" s="839">
        <v>219031</v>
      </c>
      <c r="L44" s="808">
        <v>0</v>
      </c>
      <c r="M44" s="808"/>
      <c r="N44" s="839">
        <v>10642</v>
      </c>
      <c r="O44" s="839">
        <v>39444</v>
      </c>
      <c r="P44" s="839">
        <v>0</v>
      </c>
      <c r="Q44" s="808">
        <v>10687</v>
      </c>
      <c r="R44" s="808"/>
      <c r="S44" s="839">
        <v>60815</v>
      </c>
      <c r="T44" s="840">
        <v>-7278</v>
      </c>
      <c r="U44" s="840">
        <v>53537</v>
      </c>
    </row>
    <row r="45" spans="2:21" x14ac:dyDescent="0.25">
      <c r="B45" s="816" t="s">
        <v>2580</v>
      </c>
      <c r="C45" s="807">
        <v>4.2215000000000004E-3</v>
      </c>
      <c r="D45" s="807">
        <v>4.3917000000000001E-3</v>
      </c>
      <c r="E45" s="808">
        <v>3449</v>
      </c>
      <c r="F45" s="808">
        <v>-101773</v>
      </c>
      <c r="G45" s="808">
        <v>-78925</v>
      </c>
      <c r="H45" s="838"/>
      <c r="I45" s="839">
        <v>84.43</v>
      </c>
      <c r="J45" s="839">
        <v>3922</v>
      </c>
      <c r="K45" s="839">
        <v>21027</v>
      </c>
      <c r="L45" s="808">
        <v>2879</v>
      </c>
      <c r="M45" s="808"/>
      <c r="N45" s="839">
        <v>1022</v>
      </c>
      <c r="O45" s="839">
        <v>3787</v>
      </c>
      <c r="P45" s="839">
        <v>0</v>
      </c>
      <c r="Q45" s="808">
        <v>1256</v>
      </c>
      <c r="R45" s="808"/>
      <c r="S45" s="839">
        <v>5838</v>
      </c>
      <c r="T45" s="840">
        <v>-1320</v>
      </c>
      <c r="U45" s="840">
        <v>4518</v>
      </c>
    </row>
    <row r="46" spans="2:21" x14ac:dyDescent="0.25">
      <c r="B46" s="816" t="s">
        <v>2581</v>
      </c>
      <c r="C46" s="807">
        <v>1.2143599999999999E-2</v>
      </c>
      <c r="D46" s="807">
        <v>1.2464599999999999E-2</v>
      </c>
      <c r="E46" s="808">
        <v>9921</v>
      </c>
      <c r="F46" s="808">
        <v>-288855</v>
      </c>
      <c r="G46" s="808">
        <v>-227037</v>
      </c>
      <c r="H46" s="838"/>
      <c r="I46" s="839">
        <v>243</v>
      </c>
      <c r="J46" s="839">
        <v>11281</v>
      </c>
      <c r="K46" s="839">
        <v>60487</v>
      </c>
      <c r="L46" s="808">
        <v>6235</v>
      </c>
      <c r="M46" s="808"/>
      <c r="N46" s="839">
        <v>2939</v>
      </c>
      <c r="O46" s="839">
        <v>10893</v>
      </c>
      <c r="P46" s="839">
        <v>0</v>
      </c>
      <c r="Q46" s="808">
        <v>2427</v>
      </c>
      <c r="R46" s="808"/>
      <c r="S46" s="839">
        <v>16795</v>
      </c>
      <c r="T46" s="840">
        <v>4293</v>
      </c>
      <c r="U46" s="840">
        <v>21088</v>
      </c>
    </row>
    <row r="47" spans="2:21" x14ac:dyDescent="0.25">
      <c r="B47" s="816" t="s">
        <v>2582</v>
      </c>
      <c r="C47" s="807">
        <v>7.4390999999999997E-3</v>
      </c>
      <c r="D47" s="807">
        <v>7.5659999999999998E-3</v>
      </c>
      <c r="E47" s="808">
        <v>6077</v>
      </c>
      <c r="F47" s="808">
        <v>-175334</v>
      </c>
      <c r="G47" s="808">
        <v>-139081</v>
      </c>
      <c r="H47" s="838"/>
      <c r="I47" s="839">
        <v>149</v>
      </c>
      <c r="J47" s="839">
        <v>6911</v>
      </c>
      <c r="K47" s="839">
        <v>37054</v>
      </c>
      <c r="L47" s="808">
        <v>2245</v>
      </c>
      <c r="M47" s="808"/>
      <c r="N47" s="839">
        <v>1800</v>
      </c>
      <c r="O47" s="839">
        <v>6673</v>
      </c>
      <c r="P47" s="839">
        <v>0</v>
      </c>
      <c r="Q47" s="808">
        <v>4267</v>
      </c>
      <c r="R47" s="808"/>
      <c r="S47" s="839">
        <v>10288</v>
      </c>
      <c r="T47" s="840">
        <v>-2157</v>
      </c>
      <c r="U47" s="840">
        <v>8131</v>
      </c>
    </row>
    <row r="48" spans="2:21" x14ac:dyDescent="0.25">
      <c r="B48" s="816" t="s">
        <v>2583</v>
      </c>
      <c r="C48" s="807">
        <v>1.4215500000000001E-2</v>
      </c>
      <c r="D48" s="807">
        <v>1.3649100000000001E-2</v>
      </c>
      <c r="E48" s="808">
        <v>11613</v>
      </c>
      <c r="F48" s="808">
        <v>-316304</v>
      </c>
      <c r="G48" s="808">
        <v>-265773</v>
      </c>
      <c r="H48" s="838"/>
      <c r="I48" s="839">
        <v>284.31</v>
      </c>
      <c r="J48" s="839">
        <v>13206</v>
      </c>
      <c r="K48" s="839">
        <v>70807</v>
      </c>
      <c r="L48" s="808">
        <v>0</v>
      </c>
      <c r="M48" s="808"/>
      <c r="N48" s="839">
        <v>3440</v>
      </c>
      <c r="O48" s="839">
        <v>12751</v>
      </c>
      <c r="P48" s="839">
        <v>0</v>
      </c>
      <c r="Q48" s="808">
        <v>14393</v>
      </c>
      <c r="R48" s="808"/>
      <c r="S48" s="839">
        <v>19660</v>
      </c>
      <c r="T48" s="840">
        <v>-11680</v>
      </c>
      <c r="U48" s="840">
        <v>7980</v>
      </c>
    </row>
    <row r="49" spans="2:21" x14ac:dyDescent="0.25">
      <c r="B49" s="816" t="s">
        <v>2584</v>
      </c>
      <c r="C49" s="807">
        <v>1.8568E-3</v>
      </c>
      <c r="D49" s="807">
        <v>1.8614E-3</v>
      </c>
      <c r="E49" s="808">
        <v>1517</v>
      </c>
      <c r="F49" s="808">
        <v>-43136</v>
      </c>
      <c r="G49" s="808">
        <v>-34715</v>
      </c>
      <c r="H49" s="838"/>
      <c r="I49" s="839">
        <v>37</v>
      </c>
      <c r="J49" s="839">
        <v>1725</v>
      </c>
      <c r="K49" s="839">
        <v>9249</v>
      </c>
      <c r="L49" s="808">
        <v>594</v>
      </c>
      <c r="M49" s="808"/>
      <c r="N49" s="839">
        <v>449</v>
      </c>
      <c r="O49" s="839">
        <v>1666</v>
      </c>
      <c r="P49" s="839">
        <v>0</v>
      </c>
      <c r="Q49" s="808">
        <v>115</v>
      </c>
      <c r="R49" s="808"/>
      <c r="S49" s="839">
        <v>2568</v>
      </c>
      <c r="T49" s="840">
        <v>-112</v>
      </c>
      <c r="U49" s="840">
        <v>2456</v>
      </c>
    </row>
    <row r="50" spans="2:21" x14ac:dyDescent="0.25">
      <c r="B50" s="816" t="s">
        <v>2585</v>
      </c>
      <c r="C50" s="807">
        <v>5.0083999999999997E-3</v>
      </c>
      <c r="D50" s="807">
        <v>4.7543999999999998E-3</v>
      </c>
      <c r="E50" s="808">
        <v>4092</v>
      </c>
      <c r="F50" s="808">
        <v>-110178</v>
      </c>
      <c r="G50" s="808">
        <v>-93637</v>
      </c>
      <c r="H50" s="838"/>
      <c r="I50" s="839">
        <v>100</v>
      </c>
      <c r="J50" s="839">
        <v>4653</v>
      </c>
      <c r="K50" s="839">
        <v>24947</v>
      </c>
      <c r="L50" s="808">
        <v>2539</v>
      </c>
      <c r="M50" s="808"/>
      <c r="N50" s="839">
        <v>1212</v>
      </c>
      <c r="O50" s="839">
        <v>4493</v>
      </c>
      <c r="P50" s="839">
        <v>0</v>
      </c>
      <c r="Q50" s="808">
        <v>4297</v>
      </c>
      <c r="R50" s="808"/>
      <c r="S50" s="839">
        <v>6927</v>
      </c>
      <c r="T50" s="840">
        <v>881</v>
      </c>
      <c r="U50" s="840">
        <v>7808</v>
      </c>
    </row>
    <row r="51" spans="2:21" x14ac:dyDescent="0.25">
      <c r="B51" s="816" t="s">
        <v>2586</v>
      </c>
      <c r="C51" s="807">
        <v>4.6650000000000001E-4</v>
      </c>
      <c r="D51" s="807">
        <v>4.6450000000000001E-4</v>
      </c>
      <c r="E51" s="808">
        <v>381</v>
      </c>
      <c r="F51" s="808">
        <v>-10764</v>
      </c>
      <c r="G51" s="808">
        <v>-8722</v>
      </c>
      <c r="H51" s="838"/>
      <c r="I51" s="839">
        <v>9.33</v>
      </c>
      <c r="J51" s="839">
        <v>433</v>
      </c>
      <c r="K51" s="839">
        <v>2324</v>
      </c>
      <c r="L51" s="808">
        <v>52</v>
      </c>
      <c r="M51" s="808"/>
      <c r="N51" s="839">
        <v>113</v>
      </c>
      <c r="O51" s="839">
        <v>418</v>
      </c>
      <c r="P51" s="839">
        <v>0</v>
      </c>
      <c r="Q51" s="808">
        <v>602</v>
      </c>
      <c r="R51" s="808"/>
      <c r="S51" s="839">
        <v>645</v>
      </c>
      <c r="T51" s="840">
        <v>-228</v>
      </c>
      <c r="U51" s="840">
        <v>417</v>
      </c>
    </row>
    <row r="52" spans="2:21" x14ac:dyDescent="0.25">
      <c r="B52" s="816" t="s">
        <v>2587</v>
      </c>
      <c r="C52" s="807">
        <v>2.0577100000000001E-2</v>
      </c>
      <c r="D52" s="807">
        <v>1.9471499999999999E-2</v>
      </c>
      <c r="E52" s="808">
        <v>16810</v>
      </c>
      <c r="F52" s="808">
        <v>-451233</v>
      </c>
      <c r="G52" s="808">
        <v>-384709</v>
      </c>
      <c r="H52" s="838"/>
      <c r="I52" s="839">
        <v>412</v>
      </c>
      <c r="J52" s="839">
        <v>19116</v>
      </c>
      <c r="K52" s="839">
        <v>102495</v>
      </c>
      <c r="L52" s="808">
        <v>329</v>
      </c>
      <c r="M52" s="808"/>
      <c r="N52" s="839">
        <v>4980</v>
      </c>
      <c r="O52" s="839">
        <v>18458</v>
      </c>
      <c r="P52" s="839">
        <v>0</v>
      </c>
      <c r="Q52" s="808">
        <v>25182</v>
      </c>
      <c r="R52" s="808"/>
      <c r="S52" s="839">
        <v>28458</v>
      </c>
      <c r="T52" s="840">
        <v>-11646</v>
      </c>
      <c r="U52" s="840">
        <v>16812</v>
      </c>
    </row>
    <row r="53" spans="2:21" x14ac:dyDescent="0.25">
      <c r="B53" s="816" t="s">
        <v>2588</v>
      </c>
      <c r="C53" s="807">
        <v>6.6058000000000002E-3</v>
      </c>
      <c r="D53" s="807">
        <v>4.7653000000000001E-3</v>
      </c>
      <c r="E53" s="808">
        <v>5396</v>
      </c>
      <c r="F53" s="808">
        <v>-110431</v>
      </c>
      <c r="G53" s="808">
        <v>-123502</v>
      </c>
      <c r="H53" s="838"/>
      <c r="I53" s="839">
        <v>132</v>
      </c>
      <c r="J53" s="839">
        <v>6137</v>
      </c>
      <c r="K53" s="839">
        <v>32903</v>
      </c>
      <c r="L53" s="808">
        <v>0</v>
      </c>
      <c r="M53" s="808"/>
      <c r="N53" s="839">
        <v>1599</v>
      </c>
      <c r="O53" s="839">
        <v>5925</v>
      </c>
      <c r="P53" s="839">
        <v>0</v>
      </c>
      <c r="Q53" s="808">
        <v>32496</v>
      </c>
      <c r="R53" s="808"/>
      <c r="S53" s="839">
        <v>9136</v>
      </c>
      <c r="T53" s="840">
        <v>-14442</v>
      </c>
      <c r="U53" s="840">
        <v>-5307</v>
      </c>
    </row>
    <row r="54" spans="2:21" x14ac:dyDescent="0.25">
      <c r="B54" s="816" t="s">
        <v>2589</v>
      </c>
      <c r="C54" s="807">
        <v>1.98465E-2</v>
      </c>
      <c r="D54" s="807">
        <v>1.8983E-2</v>
      </c>
      <c r="E54" s="808">
        <v>16213</v>
      </c>
      <c r="F54" s="808">
        <v>-439912</v>
      </c>
      <c r="G54" s="808">
        <v>-371050</v>
      </c>
      <c r="H54" s="838"/>
      <c r="I54" s="839">
        <v>396.93</v>
      </c>
      <c r="J54" s="839">
        <v>18437</v>
      </c>
      <c r="K54" s="839">
        <v>98855</v>
      </c>
      <c r="L54" s="808">
        <v>2465</v>
      </c>
      <c r="M54" s="808"/>
      <c r="N54" s="839">
        <v>4803</v>
      </c>
      <c r="O54" s="839">
        <v>17802</v>
      </c>
      <c r="P54" s="839">
        <v>0</v>
      </c>
      <c r="Q54" s="808">
        <v>15881</v>
      </c>
      <c r="R54" s="808"/>
      <c r="S54" s="839">
        <v>27448</v>
      </c>
      <c r="T54" s="840">
        <v>-10480</v>
      </c>
      <c r="U54" s="840">
        <v>16968</v>
      </c>
    </row>
    <row r="55" spans="2:21" x14ac:dyDescent="0.25">
      <c r="B55" s="816" t="s">
        <v>2590</v>
      </c>
      <c r="C55" s="807">
        <v>8.3480000000000002E-4</v>
      </c>
      <c r="D55" s="807">
        <v>1.0701E-3</v>
      </c>
      <c r="E55" s="808">
        <v>681.96749999999997</v>
      </c>
      <c r="F55" s="808">
        <v>-24798</v>
      </c>
      <c r="G55" s="808">
        <v>-15607</v>
      </c>
      <c r="H55" s="838"/>
      <c r="I55" s="839">
        <v>17</v>
      </c>
      <c r="J55" s="839">
        <v>776</v>
      </c>
      <c r="K55" s="839">
        <v>4158</v>
      </c>
      <c r="L55" s="808">
        <v>3980</v>
      </c>
      <c r="M55" s="808"/>
      <c r="N55" s="839">
        <v>202</v>
      </c>
      <c r="O55" s="839">
        <v>749</v>
      </c>
      <c r="P55" s="839">
        <v>0</v>
      </c>
      <c r="Q55" s="808">
        <v>897</v>
      </c>
      <c r="R55" s="808"/>
      <c r="S55" s="839">
        <v>1155</v>
      </c>
      <c r="T55" s="840">
        <v>371</v>
      </c>
      <c r="U55" s="840">
        <v>1525</v>
      </c>
    </row>
    <row r="56" spans="2:21" x14ac:dyDescent="0.25">
      <c r="B56" s="816" t="s">
        <v>2591</v>
      </c>
      <c r="C56" s="807">
        <v>5.7454000000000003E-3</v>
      </c>
      <c r="D56" s="807">
        <v>5.6010000000000001E-3</v>
      </c>
      <c r="E56" s="808">
        <v>4694</v>
      </c>
      <c r="F56" s="808">
        <v>-129798</v>
      </c>
      <c r="G56" s="808">
        <v>-107416</v>
      </c>
      <c r="H56" s="838"/>
      <c r="I56" s="839">
        <v>115</v>
      </c>
      <c r="J56" s="839">
        <v>5337</v>
      </c>
      <c r="K56" s="839">
        <v>28618</v>
      </c>
      <c r="L56" s="808">
        <v>0</v>
      </c>
      <c r="M56" s="808"/>
      <c r="N56" s="839">
        <v>1390</v>
      </c>
      <c r="O56" s="839">
        <v>5154</v>
      </c>
      <c r="P56" s="839">
        <v>0</v>
      </c>
      <c r="Q56" s="808">
        <v>2991</v>
      </c>
      <c r="R56" s="808"/>
      <c r="S56" s="839">
        <v>7946</v>
      </c>
      <c r="T56" s="840">
        <v>-2889</v>
      </c>
      <c r="U56" s="840">
        <v>5057</v>
      </c>
    </row>
    <row r="57" spans="2:21" x14ac:dyDescent="0.25">
      <c r="B57" s="816" t="s">
        <v>2592</v>
      </c>
      <c r="C57" s="807">
        <v>3.5750000000000001E-3</v>
      </c>
      <c r="D57" s="807">
        <v>3.4470999999999998E-3</v>
      </c>
      <c r="E57" s="808">
        <v>2920.53</v>
      </c>
      <c r="F57" s="808">
        <v>-79883</v>
      </c>
      <c r="G57" s="808">
        <v>-66838.2</v>
      </c>
      <c r="H57" s="838"/>
      <c r="I57" s="839">
        <v>71.5</v>
      </c>
      <c r="J57" s="839">
        <v>3321</v>
      </c>
      <c r="K57" s="839">
        <v>17807</v>
      </c>
      <c r="L57" s="808">
        <v>2436</v>
      </c>
      <c r="M57" s="808"/>
      <c r="N57" s="839">
        <v>865.15</v>
      </c>
      <c r="O57" s="839">
        <v>3207</v>
      </c>
      <c r="P57" s="839">
        <v>0</v>
      </c>
      <c r="Q57" s="808">
        <v>2650</v>
      </c>
      <c r="R57" s="808"/>
      <c r="S57" s="839">
        <v>4944</v>
      </c>
      <c r="T57" s="840">
        <v>-1315</v>
      </c>
      <c r="U57" s="840">
        <v>3629</v>
      </c>
    </row>
    <row r="58" spans="2:21" x14ac:dyDescent="0.25">
      <c r="B58" s="816" t="s">
        <v>2593</v>
      </c>
      <c r="C58" s="807">
        <v>8.9589999999999999E-3</v>
      </c>
      <c r="D58" s="807">
        <v>8.4183000000000001E-3</v>
      </c>
      <c r="E58" s="808">
        <v>7319</v>
      </c>
      <c r="F58" s="808">
        <v>-195086</v>
      </c>
      <c r="G58" s="808">
        <v>-167497</v>
      </c>
      <c r="H58" s="838"/>
      <c r="I58" s="839">
        <v>179.18</v>
      </c>
      <c r="J58" s="839">
        <v>8323</v>
      </c>
      <c r="K58" s="839">
        <v>44625</v>
      </c>
      <c r="L58" s="808">
        <v>0</v>
      </c>
      <c r="M58" s="808"/>
      <c r="N58" s="839">
        <v>2168</v>
      </c>
      <c r="O58" s="839">
        <v>8036</v>
      </c>
      <c r="P58" s="839">
        <v>0</v>
      </c>
      <c r="Q58" s="808">
        <v>12119</v>
      </c>
      <c r="R58" s="808"/>
      <c r="S58" s="839">
        <v>12390</v>
      </c>
      <c r="T58" s="840">
        <v>-6850</v>
      </c>
      <c r="U58" s="840">
        <v>5540</v>
      </c>
    </row>
    <row r="59" spans="2:21" x14ac:dyDescent="0.25">
      <c r="B59" s="816" t="s">
        <v>2594</v>
      </c>
      <c r="C59" s="807">
        <v>4.2973000000000004E-3</v>
      </c>
      <c r="D59" s="807">
        <v>4.2405000000000003E-3</v>
      </c>
      <c r="E59" s="808">
        <v>3511</v>
      </c>
      <c r="F59" s="808">
        <v>-98269</v>
      </c>
      <c r="G59" s="808">
        <v>-80342</v>
      </c>
      <c r="H59" s="838"/>
      <c r="I59" s="839">
        <v>86</v>
      </c>
      <c r="J59" s="839">
        <v>3992</v>
      </c>
      <c r="K59" s="839">
        <v>21405</v>
      </c>
      <c r="L59" s="808">
        <v>679</v>
      </c>
      <c r="M59" s="808"/>
      <c r="N59" s="839">
        <v>1040</v>
      </c>
      <c r="O59" s="839">
        <v>3855</v>
      </c>
      <c r="P59" s="839">
        <v>0</v>
      </c>
      <c r="Q59" s="808">
        <v>4113</v>
      </c>
      <c r="R59" s="808"/>
      <c r="S59" s="839">
        <v>5943</v>
      </c>
      <c r="T59" s="840">
        <v>364</v>
      </c>
      <c r="U59" s="840">
        <v>6307</v>
      </c>
    </row>
    <row r="60" spans="2:21" x14ac:dyDescent="0.25">
      <c r="B60" s="816" t="s">
        <v>2595</v>
      </c>
      <c r="C60" s="807">
        <v>5.1720000000000004E-3</v>
      </c>
      <c r="D60" s="807">
        <v>4.8856000000000004E-3</v>
      </c>
      <c r="E60" s="808">
        <v>4225.16</v>
      </c>
      <c r="F60" s="808">
        <v>-113219</v>
      </c>
      <c r="G60" s="808">
        <v>-96696</v>
      </c>
      <c r="H60" s="838"/>
      <c r="I60" s="839">
        <v>103</v>
      </c>
      <c r="J60" s="839">
        <v>4805</v>
      </c>
      <c r="K60" s="839">
        <v>25762</v>
      </c>
      <c r="L60" s="808">
        <v>0</v>
      </c>
      <c r="M60" s="808"/>
      <c r="N60" s="839">
        <v>1252</v>
      </c>
      <c r="O60" s="839">
        <v>4639</v>
      </c>
      <c r="P60" s="839">
        <v>0</v>
      </c>
      <c r="Q60" s="808">
        <v>7363</v>
      </c>
      <c r="R60" s="808"/>
      <c r="S60" s="839">
        <v>7153</v>
      </c>
      <c r="T60" s="840">
        <v>-9331</v>
      </c>
      <c r="U60" s="840">
        <v>-2178</v>
      </c>
    </row>
    <row r="61" spans="2:21" x14ac:dyDescent="0.25">
      <c r="B61" s="816" t="s">
        <v>2596</v>
      </c>
      <c r="C61" s="807">
        <v>1.8517E-3</v>
      </c>
      <c r="D61" s="807">
        <v>1.8458000000000001E-3</v>
      </c>
      <c r="E61" s="808">
        <v>1513</v>
      </c>
      <c r="F61" s="808">
        <v>-42775</v>
      </c>
      <c r="G61" s="808">
        <v>-34619</v>
      </c>
      <c r="H61" s="838"/>
      <c r="I61" s="839">
        <v>37</v>
      </c>
      <c r="J61" s="839">
        <v>1720</v>
      </c>
      <c r="K61" s="839">
        <v>9223</v>
      </c>
      <c r="L61" s="808">
        <v>270</v>
      </c>
      <c r="M61" s="808"/>
      <c r="N61" s="839">
        <v>448</v>
      </c>
      <c r="O61" s="839">
        <v>1661</v>
      </c>
      <c r="P61" s="839">
        <v>0</v>
      </c>
      <c r="Q61" s="808">
        <v>344</v>
      </c>
      <c r="R61" s="808"/>
      <c r="S61" s="839">
        <v>2561</v>
      </c>
      <c r="T61" s="840">
        <v>-1039</v>
      </c>
      <c r="U61" s="840">
        <v>1522</v>
      </c>
    </row>
    <row r="62" spans="2:21" x14ac:dyDescent="0.25">
      <c r="B62" s="816" t="s">
        <v>2597</v>
      </c>
      <c r="C62" s="807">
        <v>4.0070000000000001E-3</v>
      </c>
      <c r="D62" s="807">
        <v>3.7981999999999998E-3</v>
      </c>
      <c r="E62" s="808">
        <v>3274</v>
      </c>
      <c r="F62" s="808">
        <v>-88019</v>
      </c>
      <c r="G62" s="808">
        <v>-74915</v>
      </c>
      <c r="H62" s="838"/>
      <c r="I62" s="839">
        <v>80.14</v>
      </c>
      <c r="J62" s="839">
        <v>3723</v>
      </c>
      <c r="K62" s="839">
        <v>19959</v>
      </c>
      <c r="L62" s="808">
        <v>395</v>
      </c>
      <c r="M62" s="808"/>
      <c r="N62" s="839">
        <v>970</v>
      </c>
      <c r="O62" s="839">
        <v>3594</v>
      </c>
      <c r="P62" s="839">
        <v>0</v>
      </c>
      <c r="Q62" s="808">
        <v>3665</v>
      </c>
      <c r="R62" s="808"/>
      <c r="S62" s="839">
        <v>5542</v>
      </c>
      <c r="T62" s="840">
        <v>-1828</v>
      </c>
      <c r="U62" s="840">
        <v>3714</v>
      </c>
    </row>
    <row r="63" spans="2:21" x14ac:dyDescent="0.25">
      <c r="B63" s="816" t="s">
        <v>2598</v>
      </c>
      <c r="C63" s="807">
        <v>7.9832E-2</v>
      </c>
      <c r="D63" s="807">
        <v>8.8390399999999994E-2</v>
      </c>
      <c r="E63" s="808">
        <v>65218</v>
      </c>
      <c r="F63" s="808">
        <v>-2048359</v>
      </c>
      <c r="G63" s="808">
        <v>-1492539</v>
      </c>
      <c r="H63" s="838"/>
      <c r="I63" s="839">
        <v>1596.64</v>
      </c>
      <c r="J63" s="839">
        <v>74164</v>
      </c>
      <c r="K63" s="839">
        <v>397643</v>
      </c>
      <c r="L63" s="808">
        <v>155634</v>
      </c>
      <c r="M63" s="808"/>
      <c r="N63" s="839">
        <v>19319</v>
      </c>
      <c r="O63" s="839">
        <v>71609</v>
      </c>
      <c r="P63" s="839">
        <v>0</v>
      </c>
      <c r="Q63" s="808">
        <v>10056</v>
      </c>
      <c r="R63" s="808"/>
      <c r="S63" s="839">
        <v>110408</v>
      </c>
      <c r="T63" s="840">
        <v>107021</v>
      </c>
      <c r="U63" s="840">
        <v>217428</v>
      </c>
    </row>
    <row r="64" spans="2:21" x14ac:dyDescent="0.25">
      <c r="B64" s="816" t="s">
        <v>2599</v>
      </c>
      <c r="C64" s="807">
        <v>1.5782999999999999E-3</v>
      </c>
      <c r="D64" s="807">
        <v>1.5759000000000001E-3</v>
      </c>
      <c r="E64" s="808">
        <v>1289</v>
      </c>
      <c r="F64" s="808">
        <v>-36520</v>
      </c>
      <c r="G64" s="808">
        <v>-29508</v>
      </c>
      <c r="H64" s="838"/>
      <c r="I64" s="839">
        <v>32</v>
      </c>
      <c r="J64" s="839">
        <v>1466</v>
      </c>
      <c r="K64" s="839">
        <v>7862</v>
      </c>
      <c r="L64" s="808">
        <v>659</v>
      </c>
      <c r="M64" s="808"/>
      <c r="N64" s="839">
        <v>382</v>
      </c>
      <c r="O64" s="839">
        <v>1416</v>
      </c>
      <c r="P64" s="839">
        <v>0</v>
      </c>
      <c r="Q64" s="808">
        <v>41</v>
      </c>
      <c r="R64" s="808"/>
      <c r="S64" s="839">
        <v>2183</v>
      </c>
      <c r="T64" s="840">
        <v>805</v>
      </c>
      <c r="U64" s="840">
        <v>2988</v>
      </c>
    </row>
    <row r="65" spans="2:21" x14ac:dyDescent="0.25">
      <c r="B65" s="816" t="s">
        <v>2600</v>
      </c>
      <c r="C65" s="807">
        <v>2.4842000000000002E-3</v>
      </c>
      <c r="D65" s="807">
        <v>2.4891000000000002E-3</v>
      </c>
      <c r="E65" s="808">
        <v>2029.41</v>
      </c>
      <c r="F65" s="808">
        <v>-57682</v>
      </c>
      <c r="G65" s="808">
        <v>-46445</v>
      </c>
      <c r="H65" s="838"/>
      <c r="I65" s="839">
        <v>50</v>
      </c>
      <c r="J65" s="839">
        <v>2308</v>
      </c>
      <c r="K65" s="839">
        <v>12374</v>
      </c>
      <c r="L65" s="808">
        <v>83</v>
      </c>
      <c r="M65" s="808"/>
      <c r="N65" s="839">
        <v>601</v>
      </c>
      <c r="O65" s="839">
        <v>2228</v>
      </c>
      <c r="P65" s="839">
        <v>0</v>
      </c>
      <c r="Q65" s="808">
        <v>524</v>
      </c>
      <c r="R65" s="808"/>
      <c r="S65" s="839">
        <v>3436</v>
      </c>
      <c r="T65" s="840">
        <v>-1144</v>
      </c>
      <c r="U65" s="840">
        <v>2292</v>
      </c>
    </row>
    <row r="66" spans="2:21" x14ac:dyDescent="0.25">
      <c r="B66" s="816" t="s">
        <v>2601</v>
      </c>
      <c r="C66" s="807">
        <v>2.2974999999999999E-2</v>
      </c>
      <c r="D66" s="807">
        <v>1.29915E-2</v>
      </c>
      <c r="E66" s="808">
        <v>18769</v>
      </c>
      <c r="F66" s="808">
        <v>-301065</v>
      </c>
      <c r="G66" s="808">
        <v>-429540.6</v>
      </c>
      <c r="H66" s="838"/>
      <c r="I66" s="839">
        <v>459.5</v>
      </c>
      <c r="J66" s="839">
        <v>21344</v>
      </c>
      <c r="K66" s="839">
        <v>114438</v>
      </c>
      <c r="L66" s="808">
        <v>0</v>
      </c>
      <c r="M66" s="808"/>
      <c r="N66" s="839">
        <v>5559.95</v>
      </c>
      <c r="O66" s="839">
        <v>20609</v>
      </c>
      <c r="P66" s="839">
        <v>0</v>
      </c>
      <c r="Q66" s="808">
        <v>171966</v>
      </c>
      <c r="R66" s="808"/>
      <c r="S66" s="839">
        <v>31774</v>
      </c>
      <c r="T66" s="840">
        <v>-74669</v>
      </c>
      <c r="U66" s="840">
        <v>-42895</v>
      </c>
    </row>
    <row r="67" spans="2:21" x14ac:dyDescent="0.25">
      <c r="B67" s="816" t="s">
        <v>2602</v>
      </c>
      <c r="C67" s="807">
        <v>8.3230999999999999E-3</v>
      </c>
      <c r="D67" s="807">
        <v>8.3500999999999992E-3</v>
      </c>
      <c r="E67" s="808">
        <v>6799</v>
      </c>
      <c r="F67" s="808">
        <v>-193505</v>
      </c>
      <c r="G67" s="808">
        <v>-155609</v>
      </c>
      <c r="H67" s="838"/>
      <c r="I67" s="839">
        <v>166</v>
      </c>
      <c r="J67" s="839">
        <v>7732</v>
      </c>
      <c r="K67" s="839">
        <v>41457</v>
      </c>
      <c r="L67" s="808">
        <v>1192</v>
      </c>
      <c r="M67" s="808"/>
      <c r="N67" s="839">
        <v>2014</v>
      </c>
      <c r="O67" s="839">
        <v>7466</v>
      </c>
      <c r="P67" s="839">
        <v>0</v>
      </c>
      <c r="Q67" s="808">
        <v>0</v>
      </c>
      <c r="R67" s="808"/>
      <c r="S67" s="839">
        <v>11511</v>
      </c>
      <c r="T67" s="840">
        <v>1699</v>
      </c>
      <c r="U67" s="840">
        <v>13210</v>
      </c>
    </row>
    <row r="68" spans="2:21" x14ac:dyDescent="0.25">
      <c r="B68" s="816" t="s">
        <v>2603</v>
      </c>
      <c r="C68" s="807">
        <v>2.7473600000000001E-2</v>
      </c>
      <c r="D68" s="807">
        <v>2.5998500000000001E-2</v>
      </c>
      <c r="E68" s="808">
        <v>22444</v>
      </c>
      <c r="F68" s="808">
        <v>-602489</v>
      </c>
      <c r="G68" s="808">
        <v>-513646</v>
      </c>
      <c r="H68" s="838"/>
      <c r="I68" s="839">
        <v>549</v>
      </c>
      <c r="J68" s="839">
        <v>25523</v>
      </c>
      <c r="K68" s="839">
        <v>136846</v>
      </c>
      <c r="L68" s="808">
        <v>1251</v>
      </c>
      <c r="M68" s="808"/>
      <c r="N68" s="839">
        <v>6649</v>
      </c>
      <c r="O68" s="839">
        <v>24644</v>
      </c>
      <c r="P68" s="839">
        <v>0</v>
      </c>
      <c r="Q68" s="808">
        <v>33771</v>
      </c>
      <c r="R68" s="808"/>
      <c r="S68" s="839">
        <v>37996</v>
      </c>
      <c r="T68" s="840">
        <v>-11623</v>
      </c>
      <c r="U68" s="840">
        <v>26373</v>
      </c>
    </row>
    <row r="69" spans="2:21" x14ac:dyDescent="0.25">
      <c r="B69" s="816" t="s">
        <v>2604</v>
      </c>
      <c r="C69" s="807">
        <v>1.7821E-3</v>
      </c>
      <c r="D69" s="807">
        <v>1.7045000000000001E-3</v>
      </c>
      <c r="E69" s="808">
        <v>1456</v>
      </c>
      <c r="F69" s="808">
        <v>-39500</v>
      </c>
      <c r="G69" s="808">
        <v>-33318</v>
      </c>
      <c r="H69" s="838"/>
      <c r="I69" s="839">
        <v>36</v>
      </c>
      <c r="J69" s="839">
        <v>1656</v>
      </c>
      <c r="K69" s="839">
        <v>8877</v>
      </c>
      <c r="L69" s="808">
        <v>0</v>
      </c>
      <c r="M69" s="808"/>
      <c r="N69" s="839">
        <v>431</v>
      </c>
      <c r="O69" s="839">
        <v>1599</v>
      </c>
      <c r="P69" s="839">
        <v>0</v>
      </c>
      <c r="Q69" s="808">
        <v>1815</v>
      </c>
      <c r="R69" s="808"/>
      <c r="S69" s="839">
        <v>2465</v>
      </c>
      <c r="T69" s="840">
        <v>-1400</v>
      </c>
      <c r="U69" s="840">
        <v>1064</v>
      </c>
    </row>
    <row r="70" spans="2:21" x14ac:dyDescent="0.25">
      <c r="B70" s="816" t="s">
        <v>2605</v>
      </c>
      <c r="C70" s="807">
        <v>2.22189E-2</v>
      </c>
      <c r="D70" s="807">
        <v>2.28341E-2</v>
      </c>
      <c r="E70" s="808">
        <v>18151</v>
      </c>
      <c r="F70" s="808">
        <v>-529157</v>
      </c>
      <c r="G70" s="808">
        <v>-415405</v>
      </c>
      <c r="H70" s="838"/>
      <c r="I70" s="839">
        <v>444</v>
      </c>
      <c r="J70" s="839">
        <v>20641</v>
      </c>
      <c r="K70" s="839">
        <v>110672</v>
      </c>
      <c r="L70" s="808">
        <v>12760</v>
      </c>
      <c r="M70" s="808"/>
      <c r="N70" s="839">
        <v>5377</v>
      </c>
      <c r="O70" s="839">
        <v>19930</v>
      </c>
      <c r="P70" s="839">
        <v>0</v>
      </c>
      <c r="Q70" s="808">
        <v>446</v>
      </c>
      <c r="R70" s="808"/>
      <c r="S70" s="839">
        <v>30729</v>
      </c>
      <c r="T70" s="840">
        <v>15786</v>
      </c>
      <c r="U70" s="840">
        <v>46515</v>
      </c>
    </row>
    <row r="71" spans="2:21" x14ac:dyDescent="0.25">
      <c r="B71" s="816" t="s">
        <v>2606</v>
      </c>
      <c r="C71" s="807">
        <v>1.15307E-2</v>
      </c>
      <c r="D71" s="807">
        <v>1.09301E-2</v>
      </c>
      <c r="E71" s="808">
        <v>9420</v>
      </c>
      <c r="F71" s="808">
        <v>-253294</v>
      </c>
      <c r="G71" s="808">
        <v>-215578</v>
      </c>
      <c r="H71" s="838"/>
      <c r="I71" s="839">
        <v>231</v>
      </c>
      <c r="J71" s="839">
        <v>10712</v>
      </c>
      <c r="K71" s="839">
        <v>57434</v>
      </c>
      <c r="L71" s="808">
        <v>710</v>
      </c>
      <c r="M71" s="808"/>
      <c r="N71" s="839">
        <v>2790</v>
      </c>
      <c r="O71" s="839">
        <v>10343</v>
      </c>
      <c r="P71" s="839">
        <v>0</v>
      </c>
      <c r="Q71" s="808">
        <v>13287</v>
      </c>
      <c r="R71" s="808"/>
      <c r="S71" s="839">
        <v>15947</v>
      </c>
      <c r="T71" s="840">
        <v>-3345</v>
      </c>
      <c r="U71" s="840">
        <v>12602</v>
      </c>
    </row>
    <row r="72" spans="2:21" x14ac:dyDescent="0.25">
      <c r="B72" s="816" t="s">
        <v>2607</v>
      </c>
      <c r="C72" s="807">
        <v>1.5663999999999999E-3</v>
      </c>
      <c r="D72" s="807">
        <v>1.3946E-3</v>
      </c>
      <c r="E72" s="808">
        <v>1280</v>
      </c>
      <c r="F72" s="808">
        <v>-32318</v>
      </c>
      <c r="G72" s="808">
        <v>-29285</v>
      </c>
      <c r="H72" s="838"/>
      <c r="I72" s="839">
        <v>31</v>
      </c>
      <c r="J72" s="839">
        <v>1455</v>
      </c>
      <c r="K72" s="839">
        <v>7802</v>
      </c>
      <c r="L72" s="808">
        <v>718</v>
      </c>
      <c r="M72" s="808"/>
      <c r="N72" s="839">
        <v>379</v>
      </c>
      <c r="O72" s="839">
        <v>1405</v>
      </c>
      <c r="P72" s="839">
        <v>0</v>
      </c>
      <c r="Q72" s="808">
        <v>3068</v>
      </c>
      <c r="R72" s="808"/>
      <c r="S72" s="839">
        <v>2166</v>
      </c>
      <c r="T72" s="840">
        <v>-1436</v>
      </c>
      <c r="U72" s="840">
        <v>730</v>
      </c>
    </row>
    <row r="73" spans="2:21" x14ac:dyDescent="0.25">
      <c r="B73" s="816" t="s">
        <v>2608</v>
      </c>
      <c r="C73" s="807">
        <v>4.2376999999999996E-3</v>
      </c>
      <c r="D73" s="807">
        <v>4.1191999999999999E-3</v>
      </c>
      <c r="E73" s="808">
        <v>3462</v>
      </c>
      <c r="F73" s="808">
        <v>-95458</v>
      </c>
      <c r="G73" s="808">
        <v>-79228</v>
      </c>
      <c r="H73" s="838"/>
      <c r="I73" s="839">
        <v>85</v>
      </c>
      <c r="J73" s="839">
        <v>3937</v>
      </c>
      <c r="K73" s="839">
        <v>21108</v>
      </c>
      <c r="L73" s="808">
        <v>956</v>
      </c>
      <c r="M73" s="808"/>
      <c r="N73" s="839">
        <v>1026</v>
      </c>
      <c r="O73" s="839">
        <v>3801</v>
      </c>
      <c r="P73" s="839">
        <v>0</v>
      </c>
      <c r="Q73" s="808">
        <v>2025</v>
      </c>
      <c r="R73" s="808"/>
      <c r="S73" s="839">
        <v>5861</v>
      </c>
      <c r="T73" s="840">
        <v>-153</v>
      </c>
      <c r="U73" s="840">
        <v>5708</v>
      </c>
    </row>
    <row r="74" spans="2:21" x14ac:dyDescent="0.25">
      <c r="B74" s="816" t="s">
        <v>2609</v>
      </c>
      <c r="C74" s="807">
        <v>7.2559E-3</v>
      </c>
      <c r="D74" s="807">
        <v>7.0577000000000001E-3</v>
      </c>
      <c r="E74" s="808">
        <v>5928</v>
      </c>
      <c r="F74" s="808">
        <v>-163555</v>
      </c>
      <c r="G74" s="808">
        <v>-135656</v>
      </c>
      <c r="H74" s="838"/>
      <c r="I74" s="839">
        <v>145</v>
      </c>
      <c r="J74" s="839">
        <v>6741</v>
      </c>
      <c r="K74" s="839">
        <v>36142</v>
      </c>
      <c r="L74" s="808">
        <v>0</v>
      </c>
      <c r="M74" s="808"/>
      <c r="N74" s="839">
        <v>1756</v>
      </c>
      <c r="O74" s="839">
        <v>6509</v>
      </c>
      <c r="P74" s="839">
        <v>0</v>
      </c>
      <c r="Q74" s="808">
        <v>6422</v>
      </c>
      <c r="R74" s="808"/>
      <c r="S74" s="839">
        <v>10035</v>
      </c>
      <c r="T74" s="840">
        <v>-4648</v>
      </c>
      <c r="U74" s="840">
        <v>5387</v>
      </c>
    </row>
    <row r="75" spans="2:21" x14ac:dyDescent="0.25">
      <c r="B75" s="816" t="s">
        <v>2610</v>
      </c>
      <c r="C75" s="807">
        <v>1.4243000000000001E-3</v>
      </c>
      <c r="D75" s="807">
        <v>1.3423E-3</v>
      </c>
      <c r="E75" s="808">
        <v>1164</v>
      </c>
      <c r="F75" s="808">
        <v>-31106</v>
      </c>
      <c r="G75" s="808">
        <v>-26629</v>
      </c>
      <c r="H75" s="838"/>
      <c r="I75" s="839">
        <v>28</v>
      </c>
      <c r="J75" s="839">
        <v>1323</v>
      </c>
      <c r="K75" s="839">
        <v>7094</v>
      </c>
      <c r="L75" s="808">
        <v>401</v>
      </c>
      <c r="M75" s="808"/>
      <c r="N75" s="839">
        <v>345</v>
      </c>
      <c r="O75" s="839">
        <v>1278</v>
      </c>
      <c r="P75" s="839">
        <v>0</v>
      </c>
      <c r="Q75" s="808">
        <v>1387</v>
      </c>
      <c r="R75" s="808"/>
      <c r="S75" s="839">
        <v>1970</v>
      </c>
      <c r="T75" s="840">
        <v>-110</v>
      </c>
      <c r="U75" s="840">
        <v>1860</v>
      </c>
    </row>
    <row r="76" spans="2:21" x14ac:dyDescent="0.25">
      <c r="B76" s="816" t="s">
        <v>2611</v>
      </c>
      <c r="C76" s="807">
        <v>3.5128999999999998E-3</v>
      </c>
      <c r="D76" s="807">
        <v>3.5444999999999999E-3</v>
      </c>
      <c r="E76" s="808">
        <v>2870</v>
      </c>
      <c r="F76" s="808">
        <v>-82140</v>
      </c>
      <c r="G76" s="808">
        <v>-65677</v>
      </c>
      <c r="H76" s="838"/>
      <c r="I76" s="839">
        <v>70</v>
      </c>
      <c r="J76" s="839">
        <v>3263</v>
      </c>
      <c r="K76" s="839">
        <v>17498</v>
      </c>
      <c r="L76" s="808">
        <v>2153</v>
      </c>
      <c r="M76" s="808"/>
      <c r="N76" s="839">
        <v>850</v>
      </c>
      <c r="O76" s="839">
        <v>3151</v>
      </c>
      <c r="P76" s="839">
        <v>0</v>
      </c>
      <c r="Q76" s="808">
        <v>288</v>
      </c>
      <c r="R76" s="808"/>
      <c r="S76" s="839">
        <v>4858</v>
      </c>
      <c r="T76" s="840">
        <v>136</v>
      </c>
      <c r="U76" s="840">
        <v>4995</v>
      </c>
    </row>
    <row r="77" spans="2:21" x14ac:dyDescent="0.25">
      <c r="B77" s="816" t="s">
        <v>2612</v>
      </c>
      <c r="C77" s="807">
        <v>1.42188E-2</v>
      </c>
      <c r="D77" s="807">
        <v>1.45868E-2</v>
      </c>
      <c r="E77" s="808">
        <v>11616</v>
      </c>
      <c r="F77" s="808">
        <v>-338035</v>
      </c>
      <c r="G77" s="808">
        <v>-265835</v>
      </c>
      <c r="H77" s="838"/>
      <c r="I77" s="839">
        <v>284</v>
      </c>
      <c r="J77" s="839">
        <v>13209</v>
      </c>
      <c r="K77" s="839">
        <v>70824</v>
      </c>
      <c r="L77" s="808">
        <v>7900</v>
      </c>
      <c r="M77" s="808"/>
      <c r="N77" s="839">
        <v>3441</v>
      </c>
      <c r="O77" s="839">
        <v>12754</v>
      </c>
      <c r="P77" s="839">
        <v>0</v>
      </c>
      <c r="Q77" s="808">
        <v>736</v>
      </c>
      <c r="R77" s="808"/>
      <c r="S77" s="839">
        <v>19665</v>
      </c>
      <c r="T77" s="840">
        <v>342</v>
      </c>
      <c r="U77" s="840">
        <v>20007</v>
      </c>
    </row>
    <row r="78" spans="2:21" x14ac:dyDescent="0.25">
      <c r="B78" s="816" t="s">
        <v>2613</v>
      </c>
      <c r="C78" s="807">
        <v>2.2653999999999999E-3</v>
      </c>
      <c r="D78" s="807">
        <v>2.4053999999999998E-3</v>
      </c>
      <c r="E78" s="808">
        <v>1851</v>
      </c>
      <c r="F78" s="808">
        <v>-55743</v>
      </c>
      <c r="G78" s="808">
        <v>-42354</v>
      </c>
      <c r="H78" s="838"/>
      <c r="I78" s="839">
        <v>45</v>
      </c>
      <c r="J78" s="839">
        <v>2105</v>
      </c>
      <c r="K78" s="839">
        <v>11284</v>
      </c>
      <c r="L78" s="808">
        <v>2368</v>
      </c>
      <c r="M78" s="808"/>
      <c r="N78" s="839">
        <v>548</v>
      </c>
      <c r="O78" s="839">
        <v>2032</v>
      </c>
      <c r="P78" s="839">
        <v>0</v>
      </c>
      <c r="Q78" s="808">
        <v>1853</v>
      </c>
      <c r="R78" s="808"/>
      <c r="S78" s="839">
        <v>3133</v>
      </c>
      <c r="T78" s="840">
        <v>-1312</v>
      </c>
      <c r="U78" s="840">
        <v>1821</v>
      </c>
    </row>
    <row r="79" spans="2:21" x14ac:dyDescent="0.25">
      <c r="B79" s="816" t="s">
        <v>2614</v>
      </c>
      <c r="C79" s="807">
        <v>1.1860799999999999E-2</v>
      </c>
      <c r="D79" s="807">
        <v>1.32129E-2</v>
      </c>
      <c r="E79" s="808">
        <v>9690</v>
      </c>
      <c r="F79" s="808">
        <v>-306196</v>
      </c>
      <c r="G79" s="808">
        <v>-221750</v>
      </c>
      <c r="H79" s="838"/>
      <c r="I79" s="839">
        <v>237</v>
      </c>
      <c r="J79" s="839">
        <v>11019</v>
      </c>
      <c r="K79" s="839">
        <v>59079</v>
      </c>
      <c r="L79" s="808">
        <v>22872</v>
      </c>
      <c r="M79" s="808"/>
      <c r="N79" s="839">
        <v>2870</v>
      </c>
      <c r="O79" s="839">
        <v>10639</v>
      </c>
      <c r="P79" s="839">
        <v>0</v>
      </c>
      <c r="Q79" s="808">
        <v>12807</v>
      </c>
      <c r="R79" s="808"/>
      <c r="S79" s="839">
        <v>16403</v>
      </c>
      <c r="T79" s="840">
        <v>-3660</v>
      </c>
      <c r="U79" s="840">
        <v>12744</v>
      </c>
    </row>
    <row r="80" spans="2:21" x14ac:dyDescent="0.25">
      <c r="B80" s="816" t="s">
        <v>2615</v>
      </c>
      <c r="C80" s="807">
        <v>2.9551E-3</v>
      </c>
      <c r="D80" s="807">
        <v>2.8926999999999998E-3</v>
      </c>
      <c r="E80" s="808">
        <v>2414</v>
      </c>
      <c r="F80" s="808">
        <v>-67035</v>
      </c>
      <c r="G80" s="808">
        <v>-55249</v>
      </c>
      <c r="H80" s="838"/>
      <c r="I80" s="839">
        <v>59</v>
      </c>
      <c r="J80" s="839">
        <v>2745</v>
      </c>
      <c r="K80" s="839">
        <v>14719</v>
      </c>
      <c r="L80" s="808">
        <v>0</v>
      </c>
      <c r="M80" s="808"/>
      <c r="N80" s="839">
        <v>715</v>
      </c>
      <c r="O80" s="839">
        <v>2651</v>
      </c>
      <c r="P80" s="839">
        <v>0</v>
      </c>
      <c r="Q80" s="808">
        <v>2107</v>
      </c>
      <c r="R80" s="808"/>
      <c r="S80" s="839">
        <v>4087</v>
      </c>
      <c r="T80" s="840">
        <v>-2369</v>
      </c>
      <c r="U80" s="840">
        <v>1718</v>
      </c>
    </row>
    <row r="81" spans="2:21" x14ac:dyDescent="0.25">
      <c r="B81" s="816" t="s">
        <v>2616</v>
      </c>
      <c r="C81" s="807">
        <v>8.4644000000000004E-3</v>
      </c>
      <c r="D81" s="807">
        <v>7.7958000000000003E-3</v>
      </c>
      <c r="E81" s="808">
        <v>6915</v>
      </c>
      <c r="F81" s="808">
        <v>-180660</v>
      </c>
      <c r="G81" s="808">
        <v>-158250</v>
      </c>
      <c r="H81" s="838"/>
      <c r="I81" s="839">
        <v>169</v>
      </c>
      <c r="J81" s="839">
        <v>7863</v>
      </c>
      <c r="K81" s="839">
        <v>42161</v>
      </c>
      <c r="L81" s="808">
        <v>1363</v>
      </c>
      <c r="M81" s="808"/>
      <c r="N81" s="839">
        <v>2048</v>
      </c>
      <c r="O81" s="839">
        <v>7593</v>
      </c>
      <c r="P81" s="839">
        <v>0</v>
      </c>
      <c r="Q81" s="808">
        <v>12201</v>
      </c>
      <c r="R81" s="808"/>
      <c r="S81" s="839">
        <v>11706</v>
      </c>
      <c r="T81" s="840">
        <v>-8092</v>
      </c>
      <c r="U81" s="840">
        <v>3615</v>
      </c>
    </row>
    <row r="82" spans="2:21" x14ac:dyDescent="0.25">
      <c r="B82" s="816" t="s">
        <v>2617</v>
      </c>
      <c r="C82" s="807">
        <v>7.9863E-3</v>
      </c>
      <c r="D82" s="807">
        <v>8.1589999999999996E-3</v>
      </c>
      <c r="E82" s="808">
        <v>6524</v>
      </c>
      <c r="F82" s="808">
        <v>-189077</v>
      </c>
      <c r="G82" s="808">
        <v>-149312</v>
      </c>
      <c r="H82" s="838"/>
      <c r="I82" s="839">
        <v>160</v>
      </c>
      <c r="J82" s="839">
        <v>7419</v>
      </c>
      <c r="K82" s="839">
        <v>39780</v>
      </c>
      <c r="L82" s="808">
        <v>2921</v>
      </c>
      <c r="M82" s="808"/>
      <c r="N82" s="839">
        <v>1933</v>
      </c>
      <c r="O82" s="839">
        <v>7164</v>
      </c>
      <c r="P82" s="839">
        <v>0</v>
      </c>
      <c r="Q82" s="808">
        <v>1354</v>
      </c>
      <c r="R82" s="808"/>
      <c r="S82" s="839">
        <v>11045</v>
      </c>
      <c r="T82" s="840">
        <v>-2223</v>
      </c>
      <c r="U82" s="840">
        <v>8822</v>
      </c>
    </row>
    <row r="83" spans="2:21" x14ac:dyDescent="0.25">
      <c r="B83" s="816" t="s">
        <v>2618</v>
      </c>
      <c r="C83" s="807">
        <v>1.2933699999999999E-2</v>
      </c>
      <c r="D83" s="807">
        <v>1.2605999999999999E-2</v>
      </c>
      <c r="E83" s="808">
        <v>10566</v>
      </c>
      <c r="F83" s="808">
        <v>-292131</v>
      </c>
      <c r="G83" s="808">
        <v>-241808</v>
      </c>
      <c r="H83" s="838"/>
      <c r="I83" s="839">
        <v>259</v>
      </c>
      <c r="J83" s="839">
        <v>12015</v>
      </c>
      <c r="K83" s="839">
        <v>64423</v>
      </c>
      <c r="L83" s="808">
        <v>326</v>
      </c>
      <c r="M83" s="808"/>
      <c r="N83" s="839">
        <v>3130</v>
      </c>
      <c r="O83" s="839">
        <v>11602</v>
      </c>
      <c r="P83" s="839">
        <v>0</v>
      </c>
      <c r="Q83" s="808">
        <v>6321</v>
      </c>
      <c r="R83" s="808"/>
      <c r="S83" s="839">
        <v>17887</v>
      </c>
      <c r="T83" s="840">
        <v>-5955</v>
      </c>
      <c r="U83" s="840">
        <v>11932</v>
      </c>
    </row>
    <row r="84" spans="2:21" x14ac:dyDescent="0.25">
      <c r="B84" s="816" t="s">
        <v>2619</v>
      </c>
      <c r="C84" s="807">
        <v>6.5884000000000003E-3</v>
      </c>
      <c r="D84" s="807">
        <v>6.5573999999999997E-3</v>
      </c>
      <c r="E84" s="808">
        <v>5382</v>
      </c>
      <c r="F84" s="808">
        <v>-151961</v>
      </c>
      <c r="G84" s="808">
        <v>-123177</v>
      </c>
      <c r="H84" s="838"/>
      <c r="I84" s="839">
        <v>132</v>
      </c>
      <c r="J84" s="839">
        <v>6121</v>
      </c>
      <c r="K84" s="839">
        <v>32817</v>
      </c>
      <c r="L84" s="808">
        <v>0</v>
      </c>
      <c r="M84" s="808"/>
      <c r="N84" s="839">
        <v>1594</v>
      </c>
      <c r="O84" s="839">
        <v>5910</v>
      </c>
      <c r="P84" s="839">
        <v>0</v>
      </c>
      <c r="Q84" s="808">
        <v>2570</v>
      </c>
      <c r="R84" s="808"/>
      <c r="S84" s="839">
        <v>9112</v>
      </c>
      <c r="T84" s="840">
        <v>-2528</v>
      </c>
      <c r="U84" s="840">
        <v>6583</v>
      </c>
    </row>
    <row r="85" spans="2:21" x14ac:dyDescent="0.25">
      <c r="B85" s="816" t="s">
        <v>2620</v>
      </c>
      <c r="C85" s="807">
        <v>5.0077999999999998E-3</v>
      </c>
      <c r="D85" s="807">
        <v>4.8568999999999999E-3</v>
      </c>
      <c r="E85" s="808">
        <v>4091</v>
      </c>
      <c r="F85" s="808">
        <v>-112554</v>
      </c>
      <c r="G85" s="808">
        <v>-93626</v>
      </c>
      <c r="H85" s="838"/>
      <c r="I85" s="839">
        <v>100</v>
      </c>
      <c r="J85" s="839">
        <v>4652</v>
      </c>
      <c r="K85" s="839">
        <v>24944</v>
      </c>
      <c r="L85" s="808">
        <v>232</v>
      </c>
      <c r="M85" s="808"/>
      <c r="N85" s="839">
        <v>1212</v>
      </c>
      <c r="O85" s="839">
        <v>4492</v>
      </c>
      <c r="P85" s="839">
        <v>0</v>
      </c>
      <c r="Q85" s="808">
        <v>2961</v>
      </c>
      <c r="R85" s="808"/>
      <c r="S85" s="839">
        <v>6926</v>
      </c>
      <c r="T85" s="840">
        <v>-2925</v>
      </c>
      <c r="U85" s="840">
        <v>4001</v>
      </c>
    </row>
    <row r="86" spans="2:21" x14ac:dyDescent="0.25">
      <c r="B86" s="816" t="s">
        <v>2621</v>
      </c>
      <c r="C86" s="807">
        <v>3.0856999999999998E-3</v>
      </c>
      <c r="D86" s="807">
        <v>2.8443000000000001E-3</v>
      </c>
      <c r="E86" s="808">
        <v>2521</v>
      </c>
      <c r="F86" s="808">
        <v>-65914</v>
      </c>
      <c r="G86" s="808">
        <v>-57690</v>
      </c>
      <c r="H86" s="838"/>
      <c r="I86" s="839">
        <v>62</v>
      </c>
      <c r="J86" s="839">
        <v>2867</v>
      </c>
      <c r="K86" s="839">
        <v>15370</v>
      </c>
      <c r="L86" s="808">
        <v>0</v>
      </c>
      <c r="M86" s="808"/>
      <c r="N86" s="839">
        <v>747</v>
      </c>
      <c r="O86" s="839">
        <v>2768</v>
      </c>
      <c r="P86" s="839">
        <v>0</v>
      </c>
      <c r="Q86" s="808">
        <v>4425</v>
      </c>
      <c r="R86" s="808"/>
      <c r="S86" s="839">
        <v>4268</v>
      </c>
      <c r="T86" s="840">
        <v>-2836</v>
      </c>
      <c r="U86" s="840">
        <v>1432</v>
      </c>
    </row>
    <row r="87" spans="2:21" x14ac:dyDescent="0.25">
      <c r="B87" s="816" t="s">
        <v>2622</v>
      </c>
      <c r="C87" s="807">
        <v>6.2223000000000001E-3</v>
      </c>
      <c r="D87" s="807">
        <v>5.8481000000000002E-3</v>
      </c>
      <c r="E87" s="808">
        <v>5083</v>
      </c>
      <c r="F87" s="808">
        <v>-135524</v>
      </c>
      <c r="G87" s="808">
        <v>-116332</v>
      </c>
      <c r="H87" s="838"/>
      <c r="I87" s="839">
        <v>124</v>
      </c>
      <c r="J87" s="839">
        <v>5781</v>
      </c>
      <c r="K87" s="839">
        <v>30993</v>
      </c>
      <c r="L87" s="808">
        <v>0</v>
      </c>
      <c r="M87" s="808"/>
      <c r="N87" s="839">
        <v>1506</v>
      </c>
      <c r="O87" s="839">
        <v>5581</v>
      </c>
      <c r="P87" s="839">
        <v>0</v>
      </c>
      <c r="Q87" s="808">
        <v>9399</v>
      </c>
      <c r="R87" s="808"/>
      <c r="S87" s="839">
        <v>8605</v>
      </c>
      <c r="T87" s="840">
        <v>-6382</v>
      </c>
      <c r="U87" s="840">
        <v>2224</v>
      </c>
    </row>
    <row r="88" spans="2:21" x14ac:dyDescent="0.25">
      <c r="B88" s="816" t="s">
        <v>2623</v>
      </c>
      <c r="C88" s="807">
        <v>3.6819000000000001E-3</v>
      </c>
      <c r="D88" s="807">
        <v>3.8609E-3</v>
      </c>
      <c r="E88" s="808">
        <v>3008</v>
      </c>
      <c r="F88" s="808">
        <v>-89472</v>
      </c>
      <c r="G88" s="808">
        <v>-68837</v>
      </c>
      <c r="H88" s="838"/>
      <c r="I88" s="839">
        <v>74</v>
      </c>
      <c r="J88" s="839">
        <v>3420</v>
      </c>
      <c r="K88" s="839">
        <v>18340</v>
      </c>
      <c r="L88" s="808">
        <v>3028</v>
      </c>
      <c r="M88" s="808"/>
      <c r="N88" s="839">
        <v>891</v>
      </c>
      <c r="O88" s="839">
        <v>3303</v>
      </c>
      <c r="P88" s="839">
        <v>0</v>
      </c>
      <c r="Q88" s="808">
        <v>2019</v>
      </c>
      <c r="R88" s="808"/>
      <c r="S88" s="839">
        <v>5092</v>
      </c>
      <c r="T88" s="840">
        <v>-930</v>
      </c>
      <c r="U88" s="840">
        <v>4162</v>
      </c>
    </row>
    <row r="89" spans="2:21" x14ac:dyDescent="0.25">
      <c r="B89" s="816" t="s">
        <v>2624</v>
      </c>
      <c r="C89" s="807">
        <v>7.1685999999999998E-3</v>
      </c>
      <c r="D89" s="807">
        <v>7.0705000000000004E-3</v>
      </c>
      <c r="E89" s="808">
        <v>5856</v>
      </c>
      <c r="F89" s="808">
        <v>-163852</v>
      </c>
      <c r="G89" s="808">
        <v>-134024</v>
      </c>
      <c r="H89" s="838"/>
      <c r="I89" s="839">
        <v>143</v>
      </c>
      <c r="J89" s="839">
        <v>6660</v>
      </c>
      <c r="K89" s="839">
        <v>35707</v>
      </c>
      <c r="L89" s="808">
        <v>0</v>
      </c>
      <c r="M89" s="808"/>
      <c r="N89" s="839">
        <v>1735</v>
      </c>
      <c r="O89" s="839">
        <v>6430</v>
      </c>
      <c r="P89" s="839">
        <v>0</v>
      </c>
      <c r="Q89" s="808">
        <v>2170</v>
      </c>
      <c r="R89" s="808"/>
      <c r="S89" s="839">
        <v>9914</v>
      </c>
      <c r="T89" s="840">
        <v>-3015</v>
      </c>
      <c r="U89" s="840">
        <v>6899</v>
      </c>
    </row>
    <row r="90" spans="2:21" x14ac:dyDescent="0.25">
      <c r="B90" s="816" t="s">
        <v>2625</v>
      </c>
      <c r="C90" s="807">
        <v>3.0403000000000001E-3</v>
      </c>
      <c r="D90" s="807">
        <v>2.8243000000000001E-3</v>
      </c>
      <c r="E90" s="808">
        <v>2484</v>
      </c>
      <c r="F90" s="808">
        <v>-65450</v>
      </c>
      <c r="G90" s="808">
        <v>-56841</v>
      </c>
      <c r="H90" s="838"/>
      <c r="I90" s="839">
        <v>61</v>
      </c>
      <c r="J90" s="839">
        <v>2824</v>
      </c>
      <c r="K90" s="839">
        <v>15144</v>
      </c>
      <c r="L90" s="808">
        <v>2419</v>
      </c>
      <c r="M90" s="808"/>
      <c r="N90" s="839">
        <v>736</v>
      </c>
      <c r="O90" s="839">
        <v>2727</v>
      </c>
      <c r="P90" s="839">
        <v>0</v>
      </c>
      <c r="Q90" s="808">
        <v>3673</v>
      </c>
      <c r="R90" s="808"/>
      <c r="S90" s="839">
        <v>4205</v>
      </c>
      <c r="T90" s="840">
        <v>10539</v>
      </c>
      <c r="U90" s="840">
        <v>14743</v>
      </c>
    </row>
    <row r="91" spans="2:21" x14ac:dyDescent="0.25">
      <c r="B91" s="816" t="s">
        <v>2626</v>
      </c>
      <c r="C91" s="807">
        <v>4.2072000000000003E-3</v>
      </c>
      <c r="D91" s="807">
        <v>4.1405000000000001E-3</v>
      </c>
      <c r="E91" s="808">
        <v>3437</v>
      </c>
      <c r="F91" s="808">
        <v>-95952</v>
      </c>
      <c r="G91" s="808">
        <v>-78658</v>
      </c>
      <c r="H91" s="838"/>
      <c r="I91" s="839">
        <v>84</v>
      </c>
      <c r="J91" s="839">
        <v>3908</v>
      </c>
      <c r="K91" s="839">
        <v>20956</v>
      </c>
      <c r="L91" s="808">
        <v>0</v>
      </c>
      <c r="M91" s="808"/>
      <c r="N91" s="839">
        <v>1018</v>
      </c>
      <c r="O91" s="839">
        <v>3774</v>
      </c>
      <c r="P91" s="839">
        <v>0</v>
      </c>
      <c r="Q91" s="808">
        <v>1770</v>
      </c>
      <c r="R91" s="808"/>
      <c r="S91" s="839">
        <v>5819</v>
      </c>
      <c r="T91" s="840">
        <v>-1123</v>
      </c>
      <c r="U91" s="840">
        <v>4696</v>
      </c>
    </row>
    <row r="92" spans="2:21" x14ac:dyDescent="0.25">
      <c r="B92" s="816" t="s">
        <v>2627</v>
      </c>
      <c r="C92" s="807">
        <v>3.724E-4</v>
      </c>
      <c r="D92" s="807">
        <v>3.3819999999999998E-4</v>
      </c>
      <c r="E92" s="808">
        <v>304.23874999999998</v>
      </c>
      <c r="F92" s="808">
        <v>-7837</v>
      </c>
      <c r="G92" s="808">
        <v>-6962</v>
      </c>
      <c r="H92" s="838"/>
      <c r="I92" s="839">
        <v>7</v>
      </c>
      <c r="J92" s="839">
        <v>346</v>
      </c>
      <c r="K92" s="839">
        <v>1855</v>
      </c>
      <c r="L92" s="808">
        <v>719</v>
      </c>
      <c r="M92" s="808"/>
      <c r="N92" s="839">
        <v>90</v>
      </c>
      <c r="O92" s="839">
        <v>334</v>
      </c>
      <c r="P92" s="839">
        <v>0</v>
      </c>
      <c r="Q92" s="808">
        <v>658</v>
      </c>
      <c r="R92" s="808"/>
      <c r="S92" s="839">
        <v>515</v>
      </c>
      <c r="T92" s="840">
        <v>-40</v>
      </c>
      <c r="U92" s="840">
        <v>475</v>
      </c>
    </row>
    <row r="93" spans="2:21" x14ac:dyDescent="0.25">
      <c r="B93" s="816" t="s">
        <v>2628</v>
      </c>
      <c r="C93" s="807">
        <v>2.6073599999999999E-2</v>
      </c>
      <c r="D93" s="807">
        <v>2.6178099999999999E-2</v>
      </c>
      <c r="E93" s="808">
        <v>21300</v>
      </c>
      <c r="F93" s="808">
        <v>-606651</v>
      </c>
      <c r="G93" s="808">
        <v>-487472</v>
      </c>
      <c r="H93" s="838"/>
      <c r="I93" s="839">
        <v>521</v>
      </c>
      <c r="J93" s="839">
        <v>24222</v>
      </c>
      <c r="K93" s="839">
        <v>129873</v>
      </c>
      <c r="L93" s="808">
        <v>2731</v>
      </c>
      <c r="M93" s="808"/>
      <c r="N93" s="839">
        <v>6310</v>
      </c>
      <c r="O93" s="839">
        <v>23388</v>
      </c>
      <c r="P93" s="839">
        <v>0</v>
      </c>
      <c r="Q93" s="808">
        <v>9407</v>
      </c>
      <c r="R93" s="808"/>
      <c r="S93" s="839">
        <v>36060</v>
      </c>
      <c r="T93" s="840">
        <v>-2277</v>
      </c>
      <c r="U93" s="840">
        <v>33783</v>
      </c>
    </row>
    <row r="94" spans="2:21" x14ac:dyDescent="0.25">
      <c r="B94" s="816" t="s">
        <v>2629</v>
      </c>
      <c r="C94" s="807">
        <v>3.6116999999999998E-3</v>
      </c>
      <c r="D94" s="807">
        <v>3.7046000000000002E-3</v>
      </c>
      <c r="E94" s="808">
        <v>2950</v>
      </c>
      <c r="F94" s="808">
        <v>-85850</v>
      </c>
      <c r="G94" s="808">
        <v>-67524</v>
      </c>
      <c r="H94" s="838"/>
      <c r="I94" s="839">
        <v>72</v>
      </c>
      <c r="J94" s="839">
        <v>3355</v>
      </c>
      <c r="K94" s="839">
        <v>17990</v>
      </c>
      <c r="L94" s="808">
        <v>2470</v>
      </c>
      <c r="M94" s="808"/>
      <c r="N94" s="839">
        <v>874</v>
      </c>
      <c r="O94" s="839">
        <v>3240</v>
      </c>
      <c r="P94" s="839">
        <v>0</v>
      </c>
      <c r="Q94" s="808">
        <v>408</v>
      </c>
      <c r="R94" s="808"/>
      <c r="S94" s="839">
        <v>4995</v>
      </c>
      <c r="T94" s="840">
        <v>-629</v>
      </c>
      <c r="U94" s="840">
        <v>4366</v>
      </c>
    </row>
    <row r="95" spans="2:21" x14ac:dyDescent="0.25">
      <c r="B95" s="816" t="s">
        <v>2630</v>
      </c>
      <c r="C95" s="807">
        <v>9.9709900000000004E-2</v>
      </c>
      <c r="D95" s="807">
        <v>0.1114588</v>
      </c>
      <c r="E95" s="808">
        <v>81457</v>
      </c>
      <c r="F95" s="808">
        <v>-2582946</v>
      </c>
      <c r="G95" s="808">
        <v>-1864176</v>
      </c>
      <c r="H95" s="838"/>
      <c r="I95" s="839">
        <v>1994</v>
      </c>
      <c r="J95" s="839">
        <v>92630</v>
      </c>
      <c r="K95" s="839">
        <v>496655</v>
      </c>
      <c r="L95" s="808">
        <v>207682</v>
      </c>
      <c r="M95" s="808"/>
      <c r="N95" s="839">
        <v>24130</v>
      </c>
      <c r="O95" s="839">
        <v>89440</v>
      </c>
      <c r="P95" s="839">
        <v>0</v>
      </c>
      <c r="Q95" s="808">
        <v>53956</v>
      </c>
      <c r="R95" s="808"/>
      <c r="S95" s="839">
        <v>137899</v>
      </c>
      <c r="T95" s="840">
        <v>83603</v>
      </c>
      <c r="U95" s="840">
        <v>221502</v>
      </c>
    </row>
    <row r="96" spans="2:21" x14ac:dyDescent="0.25">
      <c r="B96" s="816" t="s">
        <v>2631</v>
      </c>
      <c r="C96" s="807">
        <v>1.6083E-3</v>
      </c>
      <c r="D96" s="807">
        <v>1.408E-3</v>
      </c>
      <c r="E96" s="808">
        <v>1314</v>
      </c>
      <c r="F96" s="808">
        <v>-32629</v>
      </c>
      <c r="G96" s="808">
        <v>-30069</v>
      </c>
      <c r="H96" s="838"/>
      <c r="I96" s="839">
        <v>32</v>
      </c>
      <c r="J96" s="839">
        <v>1494</v>
      </c>
      <c r="K96" s="839">
        <v>8011</v>
      </c>
      <c r="L96" s="808">
        <v>1219</v>
      </c>
      <c r="M96" s="808"/>
      <c r="N96" s="839">
        <v>389</v>
      </c>
      <c r="O96" s="839">
        <v>1443</v>
      </c>
      <c r="P96" s="839">
        <v>0</v>
      </c>
      <c r="Q96" s="808">
        <v>3388</v>
      </c>
      <c r="R96" s="808"/>
      <c r="S96" s="839">
        <v>2224</v>
      </c>
      <c r="T96" s="840">
        <v>-157</v>
      </c>
      <c r="U96" s="840">
        <v>2067</v>
      </c>
    </row>
    <row r="97" spans="2:21" x14ac:dyDescent="0.25">
      <c r="B97" s="816" t="s">
        <v>2632</v>
      </c>
      <c r="C97" s="807">
        <v>1.2009E-3</v>
      </c>
      <c r="D97" s="807">
        <v>1.2325000000000001E-3</v>
      </c>
      <c r="E97" s="808">
        <v>981.09375</v>
      </c>
      <c r="F97" s="808">
        <v>-28562</v>
      </c>
      <c r="G97" s="808">
        <v>-22452</v>
      </c>
      <c r="H97" s="838"/>
      <c r="I97" s="839">
        <v>24</v>
      </c>
      <c r="J97" s="839">
        <v>1116</v>
      </c>
      <c r="K97" s="839">
        <v>5982</v>
      </c>
      <c r="L97" s="808">
        <v>535</v>
      </c>
      <c r="M97" s="808"/>
      <c r="N97" s="839">
        <v>291</v>
      </c>
      <c r="O97" s="839">
        <v>1077</v>
      </c>
      <c r="P97" s="839">
        <v>0</v>
      </c>
      <c r="Q97" s="808">
        <v>2476</v>
      </c>
      <c r="R97" s="808"/>
      <c r="S97" s="839">
        <v>1661</v>
      </c>
      <c r="T97" s="840">
        <v>-3145</v>
      </c>
      <c r="U97" s="840">
        <v>-1484</v>
      </c>
    </row>
    <row r="98" spans="2:21" x14ac:dyDescent="0.25">
      <c r="B98" s="816" t="s">
        <v>2633</v>
      </c>
      <c r="C98" s="807">
        <v>6.6734000000000003E-3</v>
      </c>
      <c r="D98" s="807">
        <v>6.5928999999999996E-3</v>
      </c>
      <c r="E98" s="808">
        <v>5452</v>
      </c>
      <c r="F98" s="808">
        <v>-152784</v>
      </c>
      <c r="G98" s="808">
        <v>-124766</v>
      </c>
      <c r="H98" s="838"/>
      <c r="I98" s="839">
        <v>133</v>
      </c>
      <c r="J98" s="839">
        <v>6200</v>
      </c>
      <c r="K98" s="839">
        <v>33240</v>
      </c>
      <c r="L98" s="808">
        <v>415</v>
      </c>
      <c r="M98" s="808"/>
      <c r="N98" s="839">
        <v>1615</v>
      </c>
      <c r="O98" s="839">
        <v>5986</v>
      </c>
      <c r="P98" s="839">
        <v>0</v>
      </c>
      <c r="Q98" s="808">
        <v>3883</v>
      </c>
      <c r="R98" s="808"/>
      <c r="S98" s="839">
        <v>9229</v>
      </c>
      <c r="T98" s="840">
        <v>-601</v>
      </c>
      <c r="U98" s="840">
        <v>8629</v>
      </c>
    </row>
    <row r="99" spans="2:21" x14ac:dyDescent="0.25">
      <c r="B99" s="816" t="s">
        <v>2634</v>
      </c>
      <c r="C99" s="807">
        <v>9.8042000000000008E-3</v>
      </c>
      <c r="D99" s="807">
        <v>9.5604000000000001E-3</v>
      </c>
      <c r="E99" s="808">
        <v>8009</v>
      </c>
      <c r="F99" s="808">
        <v>-221553</v>
      </c>
      <c r="G99" s="808">
        <v>-183299</v>
      </c>
      <c r="H99" s="838"/>
      <c r="I99" s="839">
        <v>196</v>
      </c>
      <c r="J99" s="839">
        <v>9108</v>
      </c>
      <c r="K99" s="839">
        <v>48835</v>
      </c>
      <c r="L99" s="808">
        <v>514</v>
      </c>
      <c r="M99" s="808"/>
      <c r="N99" s="839">
        <v>2373</v>
      </c>
      <c r="O99" s="839">
        <v>8794</v>
      </c>
      <c r="P99" s="839">
        <v>0</v>
      </c>
      <c r="Q99" s="808">
        <v>4616</v>
      </c>
      <c r="R99" s="808"/>
      <c r="S99" s="839">
        <v>13559</v>
      </c>
      <c r="T99" s="840">
        <v>-3771</v>
      </c>
      <c r="U99" s="840">
        <v>9788</v>
      </c>
    </row>
    <row r="100" spans="2:21" x14ac:dyDescent="0.25">
      <c r="B100" s="816" t="s">
        <v>2635</v>
      </c>
      <c r="C100" s="807">
        <v>6.1932000000000003E-3</v>
      </c>
      <c r="D100" s="807">
        <v>6.3542E-3</v>
      </c>
      <c r="E100" s="808">
        <v>5059</v>
      </c>
      <c r="F100" s="808">
        <v>-147252</v>
      </c>
      <c r="G100" s="808">
        <v>-115788</v>
      </c>
      <c r="H100" s="838"/>
      <c r="I100" s="839">
        <v>124</v>
      </c>
      <c r="J100" s="839">
        <v>5753</v>
      </c>
      <c r="K100" s="839">
        <v>30848</v>
      </c>
      <c r="L100" s="808">
        <v>2723</v>
      </c>
      <c r="M100" s="808"/>
      <c r="N100" s="839">
        <v>1499</v>
      </c>
      <c r="O100" s="839">
        <v>5555</v>
      </c>
      <c r="P100" s="839">
        <v>0</v>
      </c>
      <c r="Q100" s="808">
        <v>1322</v>
      </c>
      <c r="R100" s="808"/>
      <c r="S100" s="839">
        <v>8565</v>
      </c>
      <c r="T100" s="840">
        <v>-2466</v>
      </c>
      <c r="U100" s="840">
        <v>6099</v>
      </c>
    </row>
    <row r="101" spans="2:21" x14ac:dyDescent="0.25">
      <c r="B101" s="816" t="s">
        <v>2636</v>
      </c>
      <c r="C101" s="807">
        <v>4.7648999999999999E-3</v>
      </c>
      <c r="D101" s="807">
        <v>4.7707000000000001E-3</v>
      </c>
      <c r="E101" s="808">
        <v>3893</v>
      </c>
      <c r="F101" s="808">
        <v>-110556</v>
      </c>
      <c r="G101" s="808">
        <v>-89085</v>
      </c>
      <c r="H101" s="838"/>
      <c r="I101" s="839">
        <v>95</v>
      </c>
      <c r="J101" s="839">
        <v>4427</v>
      </c>
      <c r="K101" s="839">
        <v>23734</v>
      </c>
      <c r="L101" s="808">
        <v>1206</v>
      </c>
      <c r="M101" s="808"/>
      <c r="N101" s="839">
        <v>1153</v>
      </c>
      <c r="O101" s="839">
        <v>4274</v>
      </c>
      <c r="P101" s="839">
        <v>0</v>
      </c>
      <c r="Q101" s="808">
        <v>212</v>
      </c>
      <c r="R101" s="808"/>
      <c r="S101" s="839">
        <v>6590</v>
      </c>
      <c r="T101" s="840">
        <v>-94</v>
      </c>
      <c r="U101" s="840">
        <v>6496</v>
      </c>
    </row>
    <row r="102" spans="2:21" x14ac:dyDescent="0.25">
      <c r="B102" s="816" t="s">
        <v>2536</v>
      </c>
      <c r="C102" s="807">
        <v>3.2017E-3</v>
      </c>
      <c r="D102" s="807">
        <v>3.0948999999999998E-3</v>
      </c>
      <c r="E102" s="808">
        <v>2616</v>
      </c>
      <c r="F102" s="808">
        <v>-71721</v>
      </c>
      <c r="G102" s="808">
        <v>-59859</v>
      </c>
      <c r="H102" s="838"/>
      <c r="I102" s="839">
        <v>64</v>
      </c>
      <c r="J102" s="839">
        <v>2974</v>
      </c>
      <c r="K102" s="839">
        <v>15948</v>
      </c>
      <c r="L102" s="808">
        <v>484</v>
      </c>
      <c r="M102" s="808"/>
      <c r="N102" s="839">
        <v>775</v>
      </c>
      <c r="O102" s="839">
        <v>2872</v>
      </c>
      <c r="P102" s="839">
        <v>0</v>
      </c>
      <c r="Q102" s="808">
        <v>2095</v>
      </c>
      <c r="R102" s="808"/>
      <c r="S102" s="839">
        <v>4428</v>
      </c>
      <c r="T102" s="840">
        <v>-1803</v>
      </c>
      <c r="U102" s="840">
        <v>2625</v>
      </c>
    </row>
    <row r="103" spans="2:21" x14ac:dyDescent="0.25">
      <c r="B103" s="816" t="s">
        <v>2637</v>
      </c>
      <c r="C103" s="807">
        <v>1.7052E-3</v>
      </c>
      <c r="D103" s="807">
        <v>1.7247E-3</v>
      </c>
      <c r="E103" s="808">
        <v>1393</v>
      </c>
      <c r="F103" s="808">
        <v>-39968</v>
      </c>
      <c r="G103" s="808">
        <v>-31880</v>
      </c>
      <c r="H103" s="838"/>
      <c r="I103" s="839">
        <v>34</v>
      </c>
      <c r="J103" s="839">
        <v>1584</v>
      </c>
      <c r="K103" s="839">
        <v>8494</v>
      </c>
      <c r="L103" s="808">
        <v>1134</v>
      </c>
      <c r="M103" s="808"/>
      <c r="N103" s="839">
        <v>413</v>
      </c>
      <c r="O103" s="839">
        <v>1530</v>
      </c>
      <c r="P103" s="839">
        <v>0</v>
      </c>
      <c r="Q103" s="808">
        <v>274</v>
      </c>
      <c r="R103" s="808"/>
      <c r="S103" s="839">
        <v>2358</v>
      </c>
      <c r="T103" s="840">
        <v>-559</v>
      </c>
      <c r="U103" s="840">
        <v>1799</v>
      </c>
    </row>
    <row r="104" spans="2:21" x14ac:dyDescent="0.25">
      <c r="B104" s="775" t="s">
        <v>2648</v>
      </c>
      <c r="C104" s="807">
        <v>4.4989000000000001E-3</v>
      </c>
      <c r="D104" s="807">
        <v>4.2408999999999997E-3</v>
      </c>
      <c r="E104" s="808">
        <v>3675.28125</v>
      </c>
      <c r="F104" s="808">
        <v>-98279</v>
      </c>
      <c r="G104" s="808">
        <v>-84111</v>
      </c>
      <c r="H104" s="838"/>
      <c r="I104" s="839">
        <v>90</v>
      </c>
      <c r="J104" s="839">
        <v>4179</v>
      </c>
      <c r="K104" s="839">
        <v>22409</v>
      </c>
      <c r="L104" s="808">
        <v>2424</v>
      </c>
      <c r="M104" s="808"/>
      <c r="N104" s="839">
        <v>1089</v>
      </c>
      <c r="O104" s="839">
        <v>4036</v>
      </c>
      <c r="P104" s="839">
        <v>0</v>
      </c>
      <c r="Q104" s="808">
        <v>4364</v>
      </c>
      <c r="R104" s="808"/>
      <c r="S104" s="839">
        <v>6222</v>
      </c>
      <c r="T104" s="840">
        <v>615</v>
      </c>
      <c r="U104" s="840">
        <v>6837</v>
      </c>
    </row>
    <row r="105" spans="2:21" s="841" customFormat="1" x14ac:dyDescent="0.25">
      <c r="B105" s="841" t="s">
        <v>2052</v>
      </c>
      <c r="E105" s="842">
        <f>SUM(E4:E103)</f>
        <v>816937</v>
      </c>
      <c r="F105" s="842">
        <f>SUM(F4:F103)</f>
        <v>-23173995</v>
      </c>
      <c r="G105" s="842">
        <f>SUM(G4:G103)</f>
        <v>-18696001</v>
      </c>
      <c r="H105" s="843"/>
      <c r="I105" s="842">
        <f>SUM(I4:I103)</f>
        <v>19995</v>
      </c>
      <c r="J105" s="842">
        <f>SUM(J4:J103)</f>
        <v>928994</v>
      </c>
      <c r="K105" s="842">
        <f>SUM(K4:K103)</f>
        <v>4981002</v>
      </c>
      <c r="L105" s="842">
        <f>SUM(L4:L103)</f>
        <v>823259</v>
      </c>
      <c r="M105" s="843"/>
      <c r="N105" s="842">
        <f>SUM(N4:N103)</f>
        <v>242003</v>
      </c>
      <c r="O105" s="842">
        <f>SUM(O4:O103)</f>
        <v>897004</v>
      </c>
      <c r="P105" s="842">
        <f>SUM(P4:P103)</f>
        <v>0</v>
      </c>
      <c r="Q105" s="842">
        <f>SUM(Q4:Q103)</f>
        <v>823263</v>
      </c>
      <c r="R105" s="843"/>
      <c r="S105" s="842">
        <f>SUM(S4:S103)</f>
        <v>1383004</v>
      </c>
      <c r="T105" s="842">
        <f>SUM(T4:T103)</f>
        <v>-6</v>
      </c>
      <c r="U105" s="842">
        <f>SUM(U4:U103)</f>
        <v>1382995</v>
      </c>
    </row>
    <row r="106" spans="2:21" x14ac:dyDescent="0.25">
      <c r="C106" s="844"/>
      <c r="D106" s="844"/>
      <c r="E106" s="844"/>
      <c r="F106" s="844"/>
      <c r="G106" s="844"/>
      <c r="H106" s="844"/>
      <c r="I106" s="845"/>
      <c r="J106" s="845"/>
      <c r="K106" s="845"/>
      <c r="L106" s="845"/>
      <c r="M106" s="845"/>
      <c r="N106" s="845"/>
      <c r="O106" s="845"/>
      <c r="P106" s="845"/>
      <c r="Q106" s="845"/>
      <c r="R106" s="845"/>
      <c r="S106" s="845"/>
      <c r="T106" s="845"/>
      <c r="U106" s="845"/>
    </row>
    <row r="107" spans="2:21" x14ac:dyDescent="0.25">
      <c r="C107" s="844"/>
      <c r="D107" s="844"/>
      <c r="E107" s="844"/>
      <c r="F107" s="844"/>
      <c r="G107" s="844"/>
      <c r="H107" s="844"/>
      <c r="I107" s="845"/>
      <c r="J107" s="845"/>
      <c r="K107" s="845"/>
      <c r="L107" s="845"/>
      <c r="M107" s="845"/>
      <c r="N107" s="845"/>
      <c r="O107" s="845"/>
      <c r="P107" s="845"/>
      <c r="Q107" s="845"/>
      <c r="R107" s="845"/>
      <c r="S107" s="845"/>
      <c r="T107" s="845"/>
      <c r="U107" s="845"/>
    </row>
  </sheetData>
  <pageMargins left="0.25" right="0.25" top="0.75" bottom="0.75" header="0.3" footer="0.3"/>
  <pageSetup paperSize="5" scale="63" fitToHeight="0" orientation="landscape" r:id="rId1"/>
  <headerFooter scaleWithDoc="0"/>
  <legacyDrawingHF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5D4D2-A18A-49B5-A923-1048127C23FB}">
  <dimension ref="A1:U121"/>
  <sheetViews>
    <sheetView workbookViewId="0">
      <selection activeCell="D15" sqref="D15"/>
    </sheetView>
  </sheetViews>
  <sheetFormatPr defaultRowHeight="12.75" x14ac:dyDescent="0.2"/>
  <cols>
    <col min="1" max="1" width="32" style="1196" customWidth="1"/>
    <col min="2" max="3" width="12.7109375" style="1196" customWidth="1"/>
    <col min="4" max="4" width="15.85546875" style="1196" customWidth="1"/>
    <col min="5" max="5" width="2.7109375" style="1196" customWidth="1"/>
    <col min="6" max="9" width="15.7109375" style="1196" customWidth="1"/>
    <col min="10" max="10" width="2.7109375" style="1196" customWidth="1"/>
    <col min="11" max="14" width="15.7109375" style="1196" customWidth="1"/>
    <col min="15" max="15" width="2.7109375" style="1196" customWidth="1"/>
    <col min="16" max="18" width="15.7109375" style="1196" customWidth="1"/>
    <col min="19" max="19" width="2.7109375" style="1196" customWidth="1"/>
    <col min="20" max="20" width="15.7109375" style="1196" customWidth="1"/>
    <col min="21" max="21" width="19.7109375" style="1196" customWidth="1"/>
    <col min="22" max="16384" width="9.140625" style="1196"/>
  </cols>
  <sheetData>
    <row r="1" spans="1:21" ht="15" x14ac:dyDescent="0.25">
      <c r="A1" s="1212" t="s">
        <v>4779</v>
      </c>
      <c r="B1" s="1213"/>
      <c r="C1" s="1213"/>
      <c r="D1" s="1214"/>
      <c r="E1" s="1212"/>
      <c r="F1" s="1214"/>
      <c r="G1" s="1214"/>
      <c r="H1" s="1214"/>
      <c r="I1" s="1214"/>
      <c r="J1" s="1212"/>
      <c r="K1" s="1214"/>
      <c r="L1" s="1214"/>
      <c r="M1" s="1214"/>
      <c r="N1" s="1214"/>
      <c r="O1" s="1212"/>
      <c r="P1" s="1214"/>
      <c r="Q1" s="1214"/>
      <c r="R1" s="1214"/>
      <c r="S1" s="1214"/>
      <c r="T1" s="1214"/>
      <c r="U1" s="1214"/>
    </row>
    <row r="2" spans="1:21" ht="15" x14ac:dyDescent="0.25">
      <c r="A2" s="1212" t="s">
        <v>3981</v>
      </c>
      <c r="B2" s="1215"/>
      <c r="C2" s="1215"/>
      <c r="D2" s="1214"/>
      <c r="E2" s="1212"/>
      <c r="F2" s="1214"/>
      <c r="G2" s="1214"/>
      <c r="H2" s="1214"/>
      <c r="I2" s="1214"/>
      <c r="J2" s="1212"/>
      <c r="K2" s="1214"/>
      <c r="L2" s="1214"/>
      <c r="M2" s="1214"/>
      <c r="N2" s="1214"/>
      <c r="O2" s="1212"/>
      <c r="P2" s="1214"/>
      <c r="Q2" s="1214"/>
      <c r="R2" s="1214"/>
      <c r="S2" s="1214"/>
      <c r="T2" s="1214"/>
      <c r="U2" s="1214"/>
    </row>
    <row r="3" spans="1:21" ht="15" x14ac:dyDescent="0.25">
      <c r="A3" s="1216"/>
      <c r="B3" s="1215"/>
      <c r="C3" s="1215"/>
      <c r="D3" s="1214"/>
      <c r="E3" s="1212"/>
      <c r="F3" s="1214"/>
      <c r="G3" s="1214"/>
      <c r="H3" s="1214"/>
      <c r="I3" s="1214"/>
      <c r="J3" s="1212"/>
      <c r="K3" s="1214"/>
      <c r="L3" s="1214"/>
      <c r="M3" s="1214"/>
      <c r="N3" s="1214"/>
      <c r="O3" s="1212"/>
      <c r="P3" s="1214"/>
      <c r="Q3" s="1214"/>
      <c r="R3" s="1214"/>
      <c r="S3" s="1212"/>
      <c r="T3" s="1214"/>
      <c r="U3" s="1214"/>
    </row>
    <row r="4" spans="1:21" ht="15" x14ac:dyDescent="0.25">
      <c r="A4" s="1212">
        <v>1</v>
      </c>
      <c r="B4" s="1237">
        <v>2</v>
      </c>
      <c r="C4" s="1237">
        <v>3</v>
      </c>
      <c r="D4" s="1238">
        <v>4</v>
      </c>
      <c r="E4" s="1212">
        <v>5</v>
      </c>
      <c r="F4" s="1212">
        <v>6</v>
      </c>
      <c r="G4" s="1212">
        <v>7</v>
      </c>
      <c r="H4" s="1212">
        <v>8</v>
      </c>
      <c r="I4" s="1212">
        <v>9</v>
      </c>
      <c r="J4" s="1212">
        <v>10</v>
      </c>
      <c r="K4" s="1212">
        <v>11</v>
      </c>
      <c r="L4" s="1212">
        <v>12</v>
      </c>
      <c r="M4" s="1212">
        <v>13</v>
      </c>
      <c r="N4" s="1212">
        <v>14</v>
      </c>
      <c r="O4" s="1212">
        <v>15</v>
      </c>
      <c r="P4" s="1212">
        <v>16</v>
      </c>
      <c r="Q4" s="1212">
        <v>17</v>
      </c>
      <c r="R4" s="1212">
        <v>18</v>
      </c>
      <c r="S4" s="1212">
        <v>19</v>
      </c>
      <c r="T4" s="1207">
        <v>21</v>
      </c>
      <c r="U4" s="1207">
        <v>21</v>
      </c>
    </row>
    <row r="5" spans="1:21" ht="15" x14ac:dyDescent="0.25">
      <c r="A5" s="1207"/>
      <c r="B5" s="1207"/>
      <c r="C5" s="1207"/>
      <c r="D5" s="1207"/>
      <c r="E5" s="1207"/>
      <c r="F5" s="1217" t="s">
        <v>1171</v>
      </c>
      <c r="G5" s="1217"/>
      <c r="H5" s="1217"/>
      <c r="I5" s="1217"/>
      <c r="J5" s="1207"/>
      <c r="K5" s="1217" t="s">
        <v>1172</v>
      </c>
      <c r="L5" s="1217"/>
      <c r="M5" s="1217"/>
      <c r="N5" s="1217"/>
      <c r="O5" s="1207"/>
      <c r="P5" s="1217" t="s">
        <v>1173</v>
      </c>
      <c r="Q5" s="1217"/>
      <c r="R5" s="1217"/>
      <c r="S5" s="1218" t="s">
        <v>4108</v>
      </c>
      <c r="T5" s="1207"/>
      <c r="U5" s="1207"/>
    </row>
    <row r="6" spans="1:21" ht="164.25" customHeight="1" x14ac:dyDescent="0.25">
      <c r="A6" s="1219" t="s">
        <v>4109</v>
      </c>
      <c r="B6" s="1219" t="s">
        <v>2113</v>
      </c>
      <c r="C6" s="1219" t="s">
        <v>2114</v>
      </c>
      <c r="D6" s="1219" t="s">
        <v>4110</v>
      </c>
      <c r="E6" s="1219"/>
      <c r="F6" s="1219" t="s">
        <v>1177</v>
      </c>
      <c r="G6" s="1219" t="s">
        <v>1178</v>
      </c>
      <c r="H6" s="1219" t="s">
        <v>1179</v>
      </c>
      <c r="I6" s="1219" t="s">
        <v>1180</v>
      </c>
      <c r="J6" s="1219"/>
      <c r="K6" s="1219" t="s">
        <v>1177</v>
      </c>
      <c r="L6" s="1219" t="s">
        <v>4111</v>
      </c>
      <c r="M6" s="1219" t="s">
        <v>1179</v>
      </c>
      <c r="N6" s="1219" t="s">
        <v>1180</v>
      </c>
      <c r="O6" s="1219"/>
      <c r="P6" s="1219" t="s">
        <v>1181</v>
      </c>
      <c r="Q6" s="1219" t="s">
        <v>1182</v>
      </c>
      <c r="R6" s="1219" t="s">
        <v>1183</v>
      </c>
      <c r="S6" s="1219"/>
      <c r="T6" s="1219" t="s">
        <v>4112</v>
      </c>
      <c r="U6" s="1219" t="s">
        <v>4113</v>
      </c>
    </row>
    <row r="7" spans="1:21" ht="15" x14ac:dyDescent="0.25">
      <c r="A7" s="1220" t="s">
        <v>4114</v>
      </c>
      <c r="B7" s="1221">
        <v>0</v>
      </c>
      <c r="C7" s="1221">
        <v>0</v>
      </c>
      <c r="D7" s="1221">
        <v>0</v>
      </c>
      <c r="E7" s="1221"/>
      <c r="F7" s="1221">
        <v>0</v>
      </c>
      <c r="G7" s="1221">
        <v>0</v>
      </c>
      <c r="H7" s="1221">
        <v>0</v>
      </c>
      <c r="I7" s="1221">
        <v>0</v>
      </c>
      <c r="J7" s="1221"/>
      <c r="K7" s="1221">
        <v>0</v>
      </c>
      <c r="L7" s="1221">
        <v>0</v>
      </c>
      <c r="M7" s="1221">
        <v>0</v>
      </c>
      <c r="N7" s="1221">
        <v>0</v>
      </c>
      <c r="O7" s="1221"/>
      <c r="P7" s="1221">
        <v>0</v>
      </c>
      <c r="Q7" s="1221">
        <v>0</v>
      </c>
      <c r="R7" s="1221">
        <v>0</v>
      </c>
      <c r="S7" s="1221"/>
      <c r="T7" s="1207"/>
      <c r="U7" s="1207"/>
    </row>
    <row r="8" spans="1:21" ht="15" x14ac:dyDescent="0.25">
      <c r="A8" s="1220" t="s">
        <v>2539</v>
      </c>
      <c r="B8" s="1222">
        <v>1.4237E-2</v>
      </c>
      <c r="C8" s="1222">
        <v>1.5755000000000002E-2</v>
      </c>
      <c r="D8" s="1223">
        <v>-281067</v>
      </c>
      <c r="E8" s="1224"/>
      <c r="F8" s="1223">
        <v>0</v>
      </c>
      <c r="G8" s="1223">
        <v>2876</v>
      </c>
      <c r="H8" s="1223">
        <v>0</v>
      </c>
      <c r="I8" s="1223">
        <v>22054</v>
      </c>
      <c r="J8" s="1224"/>
      <c r="K8" s="1223">
        <v>13554</v>
      </c>
      <c r="L8" s="1223"/>
      <c r="M8" s="1223">
        <v>0</v>
      </c>
      <c r="N8" s="1223">
        <v>1727</v>
      </c>
      <c r="O8" s="1224"/>
      <c r="P8" s="1223">
        <v>18935</v>
      </c>
      <c r="Q8" s="1223">
        <v>8073</v>
      </c>
      <c r="R8" s="1223">
        <v>27008</v>
      </c>
      <c r="S8" s="1223"/>
      <c r="T8" s="1223">
        <v>-232334</v>
      </c>
      <c r="U8" s="1223">
        <v>-322269</v>
      </c>
    </row>
    <row r="9" spans="1:21" ht="15" x14ac:dyDescent="0.25">
      <c r="A9" s="1220" t="s">
        <v>2540</v>
      </c>
      <c r="B9" s="1222">
        <v>2.5801999999999999E-3</v>
      </c>
      <c r="C9" s="1222">
        <v>2.8513000000000002E-3</v>
      </c>
      <c r="D9" s="1225">
        <v>-50938</v>
      </c>
      <c r="E9" s="1224"/>
      <c r="F9" s="1225">
        <v>0</v>
      </c>
      <c r="G9" s="1225">
        <v>521</v>
      </c>
      <c r="H9" s="1225">
        <v>0</v>
      </c>
      <c r="I9" s="1225">
        <v>3938</v>
      </c>
      <c r="J9" s="1224"/>
      <c r="K9" s="1225">
        <v>2456</v>
      </c>
      <c r="L9" s="1225"/>
      <c r="M9" s="1225">
        <v>0</v>
      </c>
      <c r="N9" s="1225">
        <v>586</v>
      </c>
      <c r="O9" s="1224"/>
      <c r="P9" s="1225">
        <v>3432</v>
      </c>
      <c r="Q9" s="1225">
        <v>1334</v>
      </c>
      <c r="R9" s="1225">
        <v>4766</v>
      </c>
      <c r="S9" s="1225"/>
      <c r="T9" s="1225">
        <v>-42106</v>
      </c>
      <c r="U9" s="1225">
        <v>-58405</v>
      </c>
    </row>
    <row r="10" spans="1:21" ht="15" x14ac:dyDescent="0.25">
      <c r="A10" s="1220" t="s">
        <v>2541</v>
      </c>
      <c r="B10" s="1222">
        <v>1.4319999999999999E-3</v>
      </c>
      <c r="C10" s="1222">
        <v>1.5004E-3</v>
      </c>
      <c r="D10" s="1225">
        <v>-28271</v>
      </c>
      <c r="E10" s="1224"/>
      <c r="F10" s="1225">
        <v>0</v>
      </c>
      <c r="G10" s="1225">
        <v>289</v>
      </c>
      <c r="H10" s="1225">
        <v>0</v>
      </c>
      <c r="I10" s="1225">
        <v>994</v>
      </c>
      <c r="J10" s="1224"/>
      <c r="K10" s="1225">
        <v>1363</v>
      </c>
      <c r="L10" s="1225"/>
      <c r="M10" s="1225">
        <v>0</v>
      </c>
      <c r="N10" s="1225">
        <v>235</v>
      </c>
      <c r="O10" s="1224"/>
      <c r="P10" s="1225">
        <v>1905</v>
      </c>
      <c r="Q10" s="1225">
        <v>312</v>
      </c>
      <c r="R10" s="1225">
        <v>2217</v>
      </c>
      <c r="S10" s="1225"/>
      <c r="T10" s="1225">
        <v>-23369</v>
      </c>
      <c r="U10" s="1225">
        <v>-32415</v>
      </c>
    </row>
    <row r="11" spans="1:21" ht="15" x14ac:dyDescent="0.25">
      <c r="A11" s="1220" t="s">
        <v>2542</v>
      </c>
      <c r="B11" s="1222">
        <v>1.5166999999999999E-3</v>
      </c>
      <c r="C11" s="1222">
        <v>1.7306000000000001E-3</v>
      </c>
      <c r="D11" s="1225">
        <v>-29943</v>
      </c>
      <c r="E11" s="1224"/>
      <c r="F11" s="1225">
        <v>0</v>
      </c>
      <c r="G11" s="1225">
        <v>306</v>
      </c>
      <c r="H11" s="1225">
        <v>0</v>
      </c>
      <c r="I11" s="1225">
        <v>3109</v>
      </c>
      <c r="J11" s="1224"/>
      <c r="K11" s="1225">
        <v>1444</v>
      </c>
      <c r="L11" s="1225"/>
      <c r="M11" s="1225">
        <v>0</v>
      </c>
      <c r="N11" s="1225">
        <v>359</v>
      </c>
      <c r="O11" s="1224"/>
      <c r="P11" s="1225">
        <v>2017</v>
      </c>
      <c r="Q11" s="1225">
        <v>1055</v>
      </c>
      <c r="R11" s="1225">
        <v>3072</v>
      </c>
      <c r="S11" s="1225"/>
      <c r="T11" s="1225">
        <v>-24751</v>
      </c>
      <c r="U11" s="1225">
        <v>-34332</v>
      </c>
    </row>
    <row r="12" spans="1:21" ht="15" x14ac:dyDescent="0.25">
      <c r="A12" s="1220" t="s">
        <v>2543</v>
      </c>
      <c r="B12" s="1222">
        <v>2.9805999999999999E-3</v>
      </c>
      <c r="C12" s="1222">
        <v>3.4716E-3</v>
      </c>
      <c r="D12" s="1225">
        <v>-58843</v>
      </c>
      <c r="E12" s="1224"/>
      <c r="F12" s="1225">
        <v>0</v>
      </c>
      <c r="G12" s="1225">
        <v>602</v>
      </c>
      <c r="H12" s="1225">
        <v>0</v>
      </c>
      <c r="I12" s="1225">
        <v>7132</v>
      </c>
      <c r="J12" s="1224"/>
      <c r="K12" s="1225">
        <v>2838</v>
      </c>
      <c r="L12" s="1225"/>
      <c r="M12" s="1225">
        <v>0</v>
      </c>
      <c r="N12" s="1225">
        <v>270</v>
      </c>
      <c r="O12" s="1224"/>
      <c r="P12" s="1225">
        <v>3964</v>
      </c>
      <c r="Q12" s="1225">
        <v>2945</v>
      </c>
      <c r="R12" s="1225">
        <v>6909</v>
      </c>
      <c r="S12" s="1225"/>
      <c r="T12" s="1225">
        <v>-48640</v>
      </c>
      <c r="U12" s="1225">
        <v>-67469</v>
      </c>
    </row>
    <row r="13" spans="1:21" ht="15" x14ac:dyDescent="0.25">
      <c r="A13" s="1220" t="s">
        <v>2544</v>
      </c>
      <c r="B13" s="1222">
        <v>2.875E-3</v>
      </c>
      <c r="C13" s="1222">
        <v>4.1438999999999998E-3</v>
      </c>
      <c r="D13" s="1225">
        <v>-56758</v>
      </c>
      <c r="E13" s="1224"/>
      <c r="F13" s="1225">
        <v>0</v>
      </c>
      <c r="G13" s="1225">
        <v>581</v>
      </c>
      <c r="H13" s="1225">
        <v>0</v>
      </c>
      <c r="I13" s="1225">
        <v>18436</v>
      </c>
      <c r="J13" s="1224"/>
      <c r="K13" s="1225">
        <v>2737</v>
      </c>
      <c r="L13" s="1225"/>
      <c r="M13" s="1225">
        <v>0</v>
      </c>
      <c r="N13" s="1225">
        <v>8770</v>
      </c>
      <c r="O13" s="1224"/>
      <c r="P13" s="1225">
        <v>3824</v>
      </c>
      <c r="Q13" s="1225">
        <v>-3920</v>
      </c>
      <c r="R13" s="1225">
        <v>-96</v>
      </c>
      <c r="S13" s="1225"/>
      <c r="T13" s="1225">
        <v>-46917</v>
      </c>
      <c r="U13" s="1225">
        <v>-65079</v>
      </c>
    </row>
    <row r="14" spans="1:21" ht="15" x14ac:dyDescent="0.25">
      <c r="A14" s="1220" t="s">
        <v>2545</v>
      </c>
      <c r="B14" s="1222">
        <v>4.0492999999999996E-3</v>
      </c>
      <c r="C14" s="1222">
        <v>4.5899000000000001E-3</v>
      </c>
      <c r="D14" s="1225">
        <v>-79941</v>
      </c>
      <c r="E14" s="1224"/>
      <c r="F14" s="1225">
        <v>0</v>
      </c>
      <c r="G14" s="1225">
        <v>818</v>
      </c>
      <c r="H14" s="1225">
        <v>0</v>
      </c>
      <c r="I14" s="1225">
        <v>7854</v>
      </c>
      <c r="J14" s="1224"/>
      <c r="K14" s="1225">
        <v>3855</v>
      </c>
      <c r="L14" s="1225"/>
      <c r="M14" s="1225">
        <v>0</v>
      </c>
      <c r="N14" s="1225">
        <v>272</v>
      </c>
      <c r="O14" s="1224"/>
      <c r="P14" s="1225">
        <v>5386</v>
      </c>
      <c r="Q14" s="1225">
        <v>1248</v>
      </c>
      <c r="R14" s="1225">
        <v>6634</v>
      </c>
      <c r="S14" s="1225"/>
      <c r="T14" s="1225">
        <v>-66081</v>
      </c>
      <c r="U14" s="1225">
        <v>-91660</v>
      </c>
    </row>
    <row r="15" spans="1:21" ht="15" x14ac:dyDescent="0.25">
      <c r="A15" s="1220" t="s">
        <v>2546</v>
      </c>
      <c r="B15" s="1222">
        <v>9.634E-4</v>
      </c>
      <c r="C15" s="1222">
        <v>1.1714E-3</v>
      </c>
      <c r="D15" s="1225">
        <v>-19019</v>
      </c>
      <c r="E15" s="1224"/>
      <c r="F15" s="1225">
        <v>0</v>
      </c>
      <c r="G15" s="1225">
        <v>195</v>
      </c>
      <c r="H15" s="1225">
        <v>0</v>
      </c>
      <c r="I15" s="1225">
        <v>3435</v>
      </c>
      <c r="J15" s="1224"/>
      <c r="K15" s="1225">
        <v>917</v>
      </c>
      <c r="L15" s="1225"/>
      <c r="M15" s="1225">
        <v>0</v>
      </c>
      <c r="N15" s="1225">
        <v>0</v>
      </c>
      <c r="O15" s="1224"/>
      <c r="P15" s="1225">
        <v>1281</v>
      </c>
      <c r="Q15" s="1225">
        <v>1148</v>
      </c>
      <c r="R15" s="1225">
        <v>2429</v>
      </c>
      <c r="S15" s="1225"/>
      <c r="T15" s="1225">
        <v>-15722</v>
      </c>
      <c r="U15" s="1225">
        <v>-21808</v>
      </c>
    </row>
    <row r="16" spans="1:21" ht="15" x14ac:dyDescent="0.25">
      <c r="A16" s="1220" t="s">
        <v>2547</v>
      </c>
      <c r="B16" s="1222">
        <v>1.9661000000000001E-3</v>
      </c>
      <c r="C16" s="1222">
        <v>2.4632E-3</v>
      </c>
      <c r="D16" s="1225">
        <v>-38815</v>
      </c>
      <c r="E16" s="1224"/>
      <c r="F16" s="1225">
        <v>0</v>
      </c>
      <c r="G16" s="1225">
        <v>397</v>
      </c>
      <c r="H16" s="1225">
        <v>0</v>
      </c>
      <c r="I16" s="1225">
        <v>7663</v>
      </c>
      <c r="J16" s="1224"/>
      <c r="K16" s="1225">
        <v>1872</v>
      </c>
      <c r="L16" s="1225"/>
      <c r="M16" s="1225">
        <v>0</v>
      </c>
      <c r="N16" s="1225">
        <v>0</v>
      </c>
      <c r="O16" s="1224"/>
      <c r="P16" s="1225">
        <v>2615</v>
      </c>
      <c r="Q16" s="1225">
        <v>2983</v>
      </c>
      <c r="R16" s="1225">
        <v>5598</v>
      </c>
      <c r="S16" s="1225"/>
      <c r="T16" s="1225">
        <v>-32085</v>
      </c>
      <c r="U16" s="1225">
        <v>-44505</v>
      </c>
    </row>
    <row r="17" spans="1:21" ht="15" x14ac:dyDescent="0.25">
      <c r="A17" s="1220" t="s">
        <v>2548</v>
      </c>
      <c r="B17" s="1222">
        <v>1.9396699999999999E-2</v>
      </c>
      <c r="C17" s="1222">
        <v>2.5120699999999999E-2</v>
      </c>
      <c r="D17" s="1225">
        <v>-382930</v>
      </c>
      <c r="E17" s="1224"/>
      <c r="F17" s="1225">
        <v>0</v>
      </c>
      <c r="G17" s="1225">
        <v>3918</v>
      </c>
      <c r="H17" s="1225">
        <v>0</v>
      </c>
      <c r="I17" s="1225">
        <v>83164</v>
      </c>
      <c r="J17" s="1224"/>
      <c r="K17" s="1225">
        <v>18466</v>
      </c>
      <c r="L17" s="1225"/>
      <c r="M17" s="1225">
        <v>0</v>
      </c>
      <c r="N17" s="1225">
        <v>23259</v>
      </c>
      <c r="O17" s="1224"/>
      <c r="P17" s="1225">
        <v>25798</v>
      </c>
      <c r="Q17" s="1225">
        <v>-10913</v>
      </c>
      <c r="R17" s="1225">
        <v>14885</v>
      </c>
      <c r="S17" s="1225"/>
      <c r="T17" s="1225">
        <v>-316535</v>
      </c>
      <c r="U17" s="1225">
        <v>-439064</v>
      </c>
    </row>
    <row r="18" spans="1:21" ht="15" x14ac:dyDescent="0.25">
      <c r="A18" s="1220" t="s">
        <v>2549</v>
      </c>
      <c r="B18" s="1222">
        <v>2.89296E-2</v>
      </c>
      <c r="C18" s="1222">
        <v>3.1788799999999999E-2</v>
      </c>
      <c r="D18" s="1225">
        <v>-571128</v>
      </c>
      <c r="E18" s="1224"/>
      <c r="F18" s="1225">
        <v>0</v>
      </c>
      <c r="G18" s="1225">
        <v>5844</v>
      </c>
      <c r="H18" s="1225">
        <v>0</v>
      </c>
      <c r="I18" s="1225">
        <v>65769</v>
      </c>
      <c r="J18" s="1224"/>
      <c r="K18" s="1225">
        <v>27541</v>
      </c>
      <c r="L18" s="1225"/>
      <c r="M18" s="1225">
        <v>0</v>
      </c>
      <c r="N18" s="1225">
        <v>0</v>
      </c>
      <c r="O18" s="1224"/>
      <c r="P18" s="1225">
        <v>38476</v>
      </c>
      <c r="Q18" s="1225">
        <v>34132</v>
      </c>
      <c r="R18" s="1225">
        <v>72608</v>
      </c>
      <c r="S18" s="1225"/>
      <c r="T18" s="1225">
        <v>-472102</v>
      </c>
      <c r="U18" s="1225">
        <v>-654850</v>
      </c>
    </row>
    <row r="19" spans="1:21" ht="15" x14ac:dyDescent="0.25">
      <c r="A19" s="1220" t="s">
        <v>2550</v>
      </c>
      <c r="B19" s="1222">
        <v>8.5412000000000005E-3</v>
      </c>
      <c r="C19" s="1222">
        <v>1.3018500000000001E-2</v>
      </c>
      <c r="D19" s="1225">
        <v>-168620</v>
      </c>
      <c r="E19" s="1224"/>
      <c r="F19" s="1225">
        <v>0</v>
      </c>
      <c r="G19" s="1225">
        <v>1725</v>
      </c>
      <c r="H19" s="1225">
        <v>0</v>
      </c>
      <c r="I19" s="1225">
        <v>65050</v>
      </c>
      <c r="J19" s="1224"/>
      <c r="K19" s="1225">
        <v>8131</v>
      </c>
      <c r="L19" s="1225"/>
      <c r="M19" s="1225">
        <v>0</v>
      </c>
      <c r="N19" s="1225">
        <v>14222</v>
      </c>
      <c r="O19" s="1224"/>
      <c r="P19" s="1225">
        <v>11360</v>
      </c>
      <c r="Q19" s="1225">
        <v>-1461</v>
      </c>
      <c r="R19" s="1225">
        <v>9899</v>
      </c>
      <c r="S19" s="1225"/>
      <c r="T19" s="1225">
        <v>-139384</v>
      </c>
      <c r="U19" s="1225">
        <v>-193339</v>
      </c>
    </row>
    <row r="20" spans="1:21" ht="15" x14ac:dyDescent="0.25">
      <c r="A20" s="1220" t="s">
        <v>2551</v>
      </c>
      <c r="B20" s="1222">
        <v>2.0715899999999999E-2</v>
      </c>
      <c r="C20" s="1222">
        <v>2.2804499999999998E-2</v>
      </c>
      <c r="D20" s="1225">
        <v>-408973</v>
      </c>
      <c r="E20" s="1224"/>
      <c r="F20" s="1225">
        <v>0</v>
      </c>
      <c r="G20" s="1225">
        <v>4185</v>
      </c>
      <c r="H20" s="1225">
        <v>0</v>
      </c>
      <c r="I20" s="1225">
        <v>38057</v>
      </c>
      <c r="J20" s="1224"/>
      <c r="K20" s="1225">
        <v>19722</v>
      </c>
      <c r="L20" s="1225"/>
      <c r="M20" s="1225">
        <v>0</v>
      </c>
      <c r="N20" s="1225">
        <v>0</v>
      </c>
      <c r="O20" s="1224"/>
      <c r="P20" s="1225">
        <v>27552</v>
      </c>
      <c r="Q20" s="1225">
        <v>15225</v>
      </c>
      <c r="R20" s="1225">
        <v>42777</v>
      </c>
      <c r="S20" s="1225"/>
      <c r="T20" s="1225">
        <v>-338063</v>
      </c>
      <c r="U20" s="1225">
        <v>-468925</v>
      </c>
    </row>
    <row r="21" spans="1:21" ht="15" x14ac:dyDescent="0.25">
      <c r="A21" s="1220" t="s">
        <v>2552</v>
      </c>
      <c r="B21" s="1222">
        <v>6.1246E-3</v>
      </c>
      <c r="C21" s="1222">
        <v>6.8684000000000002E-3</v>
      </c>
      <c r="D21" s="1225">
        <v>-120912</v>
      </c>
      <c r="E21" s="1224"/>
      <c r="F21" s="1225">
        <v>0</v>
      </c>
      <c r="G21" s="1225">
        <v>1237</v>
      </c>
      <c r="H21" s="1225">
        <v>0</v>
      </c>
      <c r="I21" s="1225">
        <v>10806</v>
      </c>
      <c r="J21" s="1224"/>
      <c r="K21" s="1225">
        <v>5831</v>
      </c>
      <c r="L21" s="1225"/>
      <c r="M21" s="1225">
        <v>0</v>
      </c>
      <c r="N21" s="1225">
        <v>1172</v>
      </c>
      <c r="O21" s="1224"/>
      <c r="P21" s="1225">
        <v>8146</v>
      </c>
      <c r="Q21" s="1225">
        <v>8290</v>
      </c>
      <c r="R21" s="1225">
        <v>16436</v>
      </c>
      <c r="S21" s="1225"/>
      <c r="T21" s="1225">
        <v>-99947</v>
      </c>
      <c r="U21" s="1225">
        <v>-138636</v>
      </c>
    </row>
    <row r="22" spans="1:21" ht="15" x14ac:dyDescent="0.25">
      <c r="A22" s="1220" t="s">
        <v>2553</v>
      </c>
      <c r="B22" s="1222">
        <v>1.0122E-3</v>
      </c>
      <c r="C22" s="1222">
        <v>1.1213E-3</v>
      </c>
      <c r="D22" s="1225">
        <v>-19983</v>
      </c>
      <c r="E22" s="1224"/>
      <c r="F22" s="1225">
        <v>0</v>
      </c>
      <c r="G22" s="1225">
        <v>204</v>
      </c>
      <c r="H22" s="1225">
        <v>0</v>
      </c>
      <c r="I22" s="1225">
        <v>1585</v>
      </c>
      <c r="J22" s="1224"/>
      <c r="K22" s="1225">
        <v>964</v>
      </c>
      <c r="L22" s="1225"/>
      <c r="M22" s="1225">
        <v>0</v>
      </c>
      <c r="N22" s="1225">
        <v>402</v>
      </c>
      <c r="O22" s="1224"/>
      <c r="P22" s="1225">
        <v>1346</v>
      </c>
      <c r="Q22" s="1225">
        <v>20</v>
      </c>
      <c r="R22" s="1225">
        <v>1366</v>
      </c>
      <c r="S22" s="1225"/>
      <c r="T22" s="1225">
        <v>-16518</v>
      </c>
      <c r="U22" s="1225">
        <v>-22912</v>
      </c>
    </row>
    <row r="23" spans="1:21" ht="15" x14ac:dyDescent="0.25">
      <c r="A23" s="1220" t="s">
        <v>2554</v>
      </c>
      <c r="B23" s="1222">
        <v>9.0764000000000001E-3</v>
      </c>
      <c r="C23" s="1222">
        <v>1.0663000000000001E-2</v>
      </c>
      <c r="D23" s="1225">
        <v>-179186</v>
      </c>
      <c r="E23" s="1224"/>
      <c r="F23" s="1225">
        <v>0</v>
      </c>
      <c r="G23" s="1225">
        <v>1833</v>
      </c>
      <c r="H23" s="1225">
        <v>0</v>
      </c>
      <c r="I23" s="1225">
        <v>23052</v>
      </c>
      <c r="J23" s="1224"/>
      <c r="K23" s="1225">
        <v>8641</v>
      </c>
      <c r="L23" s="1225"/>
      <c r="M23" s="1225">
        <v>0</v>
      </c>
      <c r="N23" s="1225">
        <v>9155</v>
      </c>
      <c r="O23" s="1224"/>
      <c r="P23" s="1225">
        <v>12072</v>
      </c>
      <c r="Q23" s="1225">
        <v>23156</v>
      </c>
      <c r="R23" s="1225">
        <v>35228</v>
      </c>
      <c r="S23" s="1225"/>
      <c r="T23" s="1225">
        <v>-148118</v>
      </c>
      <c r="U23" s="1225">
        <v>-205453</v>
      </c>
    </row>
    <row r="24" spans="1:21" ht="15" x14ac:dyDescent="0.25">
      <c r="A24" s="1220" t="s">
        <v>2555</v>
      </c>
      <c r="B24" s="1222">
        <v>1.4601E-3</v>
      </c>
      <c r="C24" s="1222">
        <v>1.2042000000000001E-3</v>
      </c>
      <c r="D24" s="1225">
        <v>-28825</v>
      </c>
      <c r="E24" s="1224"/>
      <c r="F24" s="1225">
        <v>0</v>
      </c>
      <c r="G24" s="1225">
        <v>295</v>
      </c>
      <c r="H24" s="1225">
        <v>0</v>
      </c>
      <c r="I24" s="1225">
        <v>3347</v>
      </c>
      <c r="J24" s="1224"/>
      <c r="K24" s="1225">
        <v>1390</v>
      </c>
      <c r="L24" s="1225"/>
      <c r="M24" s="1225">
        <v>0</v>
      </c>
      <c r="N24" s="1225">
        <v>3718</v>
      </c>
      <c r="O24" s="1224"/>
      <c r="P24" s="1225">
        <v>1942</v>
      </c>
      <c r="Q24" s="1225">
        <v>2507</v>
      </c>
      <c r="R24" s="1225">
        <v>4449</v>
      </c>
      <c r="S24" s="1225"/>
      <c r="T24" s="1225">
        <v>-23827</v>
      </c>
      <c r="U24" s="1225">
        <v>-33051</v>
      </c>
    </row>
    <row r="25" spans="1:21" ht="15" x14ac:dyDescent="0.25">
      <c r="A25" s="1220" t="s">
        <v>2556</v>
      </c>
      <c r="B25" s="1222">
        <v>1.4257199999999999E-2</v>
      </c>
      <c r="C25" s="1222">
        <v>1.6183199999999998E-2</v>
      </c>
      <c r="D25" s="1225">
        <v>-281466</v>
      </c>
      <c r="E25" s="1224"/>
      <c r="F25" s="1225">
        <v>0</v>
      </c>
      <c r="G25" s="1225">
        <v>2880</v>
      </c>
      <c r="H25" s="1225">
        <v>0</v>
      </c>
      <c r="I25" s="1225">
        <v>29880</v>
      </c>
      <c r="J25" s="1224"/>
      <c r="K25" s="1225">
        <v>13573</v>
      </c>
      <c r="L25" s="1225"/>
      <c r="M25" s="1225">
        <v>0</v>
      </c>
      <c r="N25" s="1225">
        <v>0</v>
      </c>
      <c r="O25" s="1224"/>
      <c r="P25" s="1225">
        <v>18962</v>
      </c>
      <c r="Q25" s="1225">
        <v>13768</v>
      </c>
      <c r="R25" s="1225">
        <v>32730</v>
      </c>
      <c r="S25" s="1225"/>
      <c r="T25" s="1225">
        <v>-232663</v>
      </c>
      <c r="U25" s="1225">
        <v>-322726</v>
      </c>
    </row>
    <row r="26" spans="1:21" ht="15" x14ac:dyDescent="0.25">
      <c r="A26" s="1220" t="s">
        <v>2557</v>
      </c>
      <c r="B26" s="1222">
        <v>7.2585000000000002E-3</v>
      </c>
      <c r="C26" s="1222">
        <v>8.7805000000000001E-3</v>
      </c>
      <c r="D26" s="1225">
        <v>-143297</v>
      </c>
      <c r="E26" s="1224"/>
      <c r="F26" s="1225">
        <v>0</v>
      </c>
      <c r="G26" s="1225">
        <v>1466</v>
      </c>
      <c r="H26" s="1225">
        <v>0</v>
      </c>
      <c r="I26" s="1225">
        <v>22112</v>
      </c>
      <c r="J26" s="1224"/>
      <c r="K26" s="1225">
        <v>6910</v>
      </c>
      <c r="L26" s="1225"/>
      <c r="M26" s="1225">
        <v>0</v>
      </c>
      <c r="N26" s="1225">
        <v>140</v>
      </c>
      <c r="O26" s="1224"/>
      <c r="P26" s="1225">
        <v>9654</v>
      </c>
      <c r="Q26" s="1225">
        <v>3325</v>
      </c>
      <c r="R26" s="1225">
        <v>12979</v>
      </c>
      <c r="S26" s="1225"/>
      <c r="T26" s="1225">
        <v>-118451</v>
      </c>
      <c r="U26" s="1225">
        <v>-164303</v>
      </c>
    </row>
    <row r="27" spans="1:21" ht="15" x14ac:dyDescent="0.25">
      <c r="A27" s="1220" t="s">
        <v>2558</v>
      </c>
      <c r="B27" s="1222">
        <v>3.4056999999999998E-3</v>
      </c>
      <c r="C27" s="1222">
        <v>4.0013999999999996E-3</v>
      </c>
      <c r="D27" s="1225">
        <v>-67235</v>
      </c>
      <c r="E27" s="1224"/>
      <c r="F27" s="1225">
        <v>0</v>
      </c>
      <c r="G27" s="1225">
        <v>688</v>
      </c>
      <c r="H27" s="1225">
        <v>0</v>
      </c>
      <c r="I27" s="1225">
        <v>8655</v>
      </c>
      <c r="J27" s="1224"/>
      <c r="K27" s="1225">
        <v>3242</v>
      </c>
      <c r="L27" s="1225"/>
      <c r="M27" s="1225">
        <v>0</v>
      </c>
      <c r="N27" s="1225">
        <v>2689</v>
      </c>
      <c r="O27" s="1224"/>
      <c r="P27" s="1225">
        <v>4530</v>
      </c>
      <c r="Q27" s="1225">
        <v>1650</v>
      </c>
      <c r="R27" s="1225">
        <v>6180</v>
      </c>
      <c r="S27" s="1225"/>
      <c r="T27" s="1225">
        <v>-55578</v>
      </c>
      <c r="U27" s="1225">
        <v>-77091</v>
      </c>
    </row>
    <row r="28" spans="1:21" ht="15" x14ac:dyDescent="0.25">
      <c r="A28" s="1220" t="s">
        <v>2559</v>
      </c>
      <c r="B28" s="1222">
        <v>1.4211E-3</v>
      </c>
      <c r="C28" s="1222">
        <v>1.5900000000000001E-3</v>
      </c>
      <c r="D28" s="1225">
        <v>-28055</v>
      </c>
      <c r="E28" s="1224"/>
      <c r="F28" s="1225">
        <v>0</v>
      </c>
      <c r="G28" s="1225">
        <v>287</v>
      </c>
      <c r="H28" s="1225">
        <v>0</v>
      </c>
      <c r="I28" s="1225">
        <v>2454</v>
      </c>
      <c r="J28" s="1224"/>
      <c r="K28" s="1225">
        <v>1353</v>
      </c>
      <c r="L28" s="1225"/>
      <c r="M28" s="1225">
        <v>0</v>
      </c>
      <c r="N28" s="1225">
        <v>474</v>
      </c>
      <c r="O28" s="1224"/>
      <c r="P28" s="1225">
        <v>1890</v>
      </c>
      <c r="Q28" s="1225">
        <v>811</v>
      </c>
      <c r="R28" s="1225">
        <v>2701</v>
      </c>
      <c r="S28" s="1225"/>
      <c r="T28" s="1225">
        <v>-23191</v>
      </c>
      <c r="U28" s="1225">
        <v>-32168</v>
      </c>
    </row>
    <row r="29" spans="1:21" ht="15" x14ac:dyDescent="0.25">
      <c r="A29" s="1220" t="s">
        <v>2560</v>
      </c>
      <c r="B29" s="1222">
        <v>1.4793E-3</v>
      </c>
      <c r="C29" s="1222">
        <v>1.6616000000000001E-3</v>
      </c>
      <c r="D29" s="1225">
        <v>-29204</v>
      </c>
      <c r="E29" s="1224"/>
      <c r="F29" s="1225">
        <v>0</v>
      </c>
      <c r="G29" s="1225">
        <v>299</v>
      </c>
      <c r="H29" s="1225">
        <v>0</v>
      </c>
      <c r="I29" s="1225">
        <v>2648</v>
      </c>
      <c r="J29" s="1224"/>
      <c r="K29" s="1225">
        <v>1408</v>
      </c>
      <c r="L29" s="1225"/>
      <c r="M29" s="1225">
        <v>0</v>
      </c>
      <c r="N29" s="1225">
        <v>1132</v>
      </c>
      <c r="O29" s="1224"/>
      <c r="P29" s="1225">
        <v>1967</v>
      </c>
      <c r="Q29" s="1225">
        <v>16</v>
      </c>
      <c r="R29" s="1225">
        <v>1983</v>
      </c>
      <c r="S29" s="1225"/>
      <c r="T29" s="1225">
        <v>-24141</v>
      </c>
      <c r="U29" s="1225">
        <v>-33485</v>
      </c>
    </row>
    <row r="30" spans="1:21" ht="15" x14ac:dyDescent="0.25">
      <c r="A30" s="1220" t="s">
        <v>2561</v>
      </c>
      <c r="B30" s="1222">
        <v>8.1638000000000006E-3</v>
      </c>
      <c r="C30" s="1222">
        <v>8.0599000000000001E-3</v>
      </c>
      <c r="D30" s="1225">
        <v>-161170</v>
      </c>
      <c r="E30" s="1224"/>
      <c r="F30" s="1225">
        <v>0</v>
      </c>
      <c r="G30" s="1225">
        <v>1649</v>
      </c>
      <c r="H30" s="1225">
        <v>0</v>
      </c>
      <c r="I30" s="1225">
        <v>0</v>
      </c>
      <c r="J30" s="1224"/>
      <c r="K30" s="1225">
        <v>7772</v>
      </c>
      <c r="L30" s="1225"/>
      <c r="M30" s="1225">
        <v>0</v>
      </c>
      <c r="N30" s="1225">
        <v>8857</v>
      </c>
      <c r="O30" s="1224"/>
      <c r="P30" s="1225">
        <v>10858</v>
      </c>
      <c r="Q30" s="1225">
        <v>-11104</v>
      </c>
      <c r="R30" s="1225">
        <v>-246</v>
      </c>
      <c r="S30" s="1225"/>
      <c r="T30" s="1225">
        <v>-133225</v>
      </c>
      <c r="U30" s="1225">
        <v>-184796</v>
      </c>
    </row>
    <row r="31" spans="1:21" ht="15" x14ac:dyDescent="0.25">
      <c r="A31" s="1220" t="s">
        <v>2562</v>
      </c>
      <c r="B31" s="1222">
        <v>3.9287999999999997E-3</v>
      </c>
      <c r="C31" s="1222">
        <v>4.4640000000000001E-3</v>
      </c>
      <c r="D31" s="1225">
        <v>-77562</v>
      </c>
      <c r="E31" s="1224"/>
      <c r="F31" s="1225">
        <v>0</v>
      </c>
      <c r="G31" s="1225">
        <v>794</v>
      </c>
      <c r="H31" s="1225">
        <v>0</v>
      </c>
      <c r="I31" s="1225">
        <v>7775</v>
      </c>
      <c r="J31" s="1224"/>
      <c r="K31" s="1225">
        <v>3740</v>
      </c>
      <c r="L31" s="1225"/>
      <c r="M31" s="1225">
        <v>0</v>
      </c>
      <c r="N31" s="1225">
        <v>1713</v>
      </c>
      <c r="O31" s="1224"/>
      <c r="P31" s="1225">
        <v>5225</v>
      </c>
      <c r="Q31" s="1225">
        <v>1319</v>
      </c>
      <c r="R31" s="1225">
        <v>6544</v>
      </c>
      <c r="S31" s="1225"/>
      <c r="T31" s="1225">
        <v>-64114</v>
      </c>
      <c r="U31" s="1225">
        <v>-88932</v>
      </c>
    </row>
    <row r="32" spans="1:21" ht="15" x14ac:dyDescent="0.25">
      <c r="A32" s="1220" t="s">
        <v>2563</v>
      </c>
      <c r="B32" s="1222">
        <v>9.7710999999999996E-3</v>
      </c>
      <c r="C32" s="1222">
        <v>8.7150000000000005E-3</v>
      </c>
      <c r="D32" s="1225">
        <v>-192901</v>
      </c>
      <c r="E32" s="1224"/>
      <c r="F32" s="1225">
        <v>0</v>
      </c>
      <c r="G32" s="1225">
        <v>1974</v>
      </c>
      <c r="H32" s="1225">
        <v>0</v>
      </c>
      <c r="I32" s="1225">
        <v>22135</v>
      </c>
      <c r="J32" s="1224"/>
      <c r="K32" s="1225">
        <v>9302</v>
      </c>
      <c r="L32" s="1225"/>
      <c r="M32" s="1225">
        <v>0</v>
      </c>
      <c r="N32" s="1225">
        <v>15344</v>
      </c>
      <c r="O32" s="1224"/>
      <c r="P32" s="1225">
        <v>12996</v>
      </c>
      <c r="Q32" s="1225">
        <v>17258</v>
      </c>
      <c r="R32" s="1225">
        <v>30254</v>
      </c>
      <c r="S32" s="1225"/>
      <c r="T32" s="1225">
        <v>-159455</v>
      </c>
      <c r="U32" s="1225">
        <v>-221179</v>
      </c>
    </row>
    <row r="33" spans="1:21" ht="15" x14ac:dyDescent="0.25">
      <c r="A33" s="1220" t="s">
        <v>2564</v>
      </c>
      <c r="B33" s="1222">
        <v>2.8275000000000002E-2</v>
      </c>
      <c r="C33" s="1222">
        <v>2.9560099999999999E-2</v>
      </c>
      <c r="D33" s="1225">
        <v>-558205</v>
      </c>
      <c r="E33" s="1224"/>
      <c r="F33" s="1225">
        <v>0</v>
      </c>
      <c r="G33" s="1225">
        <v>5712</v>
      </c>
      <c r="H33" s="1225">
        <v>0</v>
      </c>
      <c r="I33" s="1225">
        <v>41390</v>
      </c>
      <c r="J33" s="1224"/>
      <c r="K33" s="1225">
        <v>26918</v>
      </c>
      <c r="L33" s="1225"/>
      <c r="M33" s="1225">
        <v>0</v>
      </c>
      <c r="N33" s="1225">
        <v>0</v>
      </c>
      <c r="O33" s="1224"/>
      <c r="P33" s="1225">
        <v>37606</v>
      </c>
      <c r="Q33" s="1225">
        <v>36344</v>
      </c>
      <c r="R33" s="1225">
        <v>73950</v>
      </c>
      <c r="S33" s="1225"/>
      <c r="T33" s="1225">
        <v>-461420</v>
      </c>
      <c r="U33" s="1225">
        <v>-640033</v>
      </c>
    </row>
    <row r="34" spans="1:21" ht="15" x14ac:dyDescent="0.25">
      <c r="A34" s="1220" t="s">
        <v>2565</v>
      </c>
      <c r="B34" s="1222">
        <v>3.6297E-3</v>
      </c>
      <c r="C34" s="1222">
        <v>4.0235999999999996E-3</v>
      </c>
      <c r="D34" s="1225">
        <v>-71658</v>
      </c>
      <c r="E34" s="1224"/>
      <c r="F34" s="1225">
        <v>0</v>
      </c>
      <c r="G34" s="1225">
        <v>733</v>
      </c>
      <c r="H34" s="1225">
        <v>0</v>
      </c>
      <c r="I34" s="1225">
        <v>5722</v>
      </c>
      <c r="J34" s="1224"/>
      <c r="K34" s="1225">
        <v>3455</v>
      </c>
      <c r="L34" s="1225"/>
      <c r="M34" s="1225">
        <v>0</v>
      </c>
      <c r="N34" s="1225">
        <v>641</v>
      </c>
      <c r="O34" s="1224"/>
      <c r="P34" s="1225">
        <v>4828</v>
      </c>
      <c r="Q34" s="1225">
        <v>2917</v>
      </c>
      <c r="R34" s="1225">
        <v>7745</v>
      </c>
      <c r="S34" s="1225"/>
      <c r="T34" s="1225">
        <v>-59233</v>
      </c>
      <c r="U34" s="1225">
        <v>-82162</v>
      </c>
    </row>
    <row r="35" spans="1:21" ht="15" x14ac:dyDescent="0.25">
      <c r="A35" s="1220" t="s">
        <v>2566</v>
      </c>
      <c r="B35" s="1222">
        <v>7.1491999999999997E-3</v>
      </c>
      <c r="C35" s="1222">
        <v>8.5092999999999992E-3</v>
      </c>
      <c r="D35" s="1225">
        <v>-141140</v>
      </c>
      <c r="E35" s="1224"/>
      <c r="F35" s="1225">
        <v>0</v>
      </c>
      <c r="G35" s="1225">
        <v>1444</v>
      </c>
      <c r="H35" s="1225">
        <v>0</v>
      </c>
      <c r="I35" s="1225">
        <v>22943</v>
      </c>
      <c r="J35" s="1224"/>
      <c r="K35" s="1225">
        <v>6806</v>
      </c>
      <c r="L35" s="1225"/>
      <c r="M35" s="1225">
        <v>0</v>
      </c>
      <c r="N35" s="1225">
        <v>0</v>
      </c>
      <c r="O35" s="1224"/>
      <c r="P35" s="1225">
        <v>9508</v>
      </c>
      <c r="Q35" s="1225">
        <v>13145</v>
      </c>
      <c r="R35" s="1225">
        <v>22653</v>
      </c>
      <c r="S35" s="1225"/>
      <c r="T35" s="1225">
        <v>-116668</v>
      </c>
      <c r="U35" s="1225">
        <v>-161829</v>
      </c>
    </row>
    <row r="36" spans="1:21" ht="15" x14ac:dyDescent="0.25">
      <c r="A36" s="1220" t="s">
        <v>2567</v>
      </c>
      <c r="B36" s="1222">
        <v>1.1984099999999999E-2</v>
      </c>
      <c r="C36" s="1222">
        <v>1.32316E-2</v>
      </c>
      <c r="D36" s="1225">
        <v>-236590</v>
      </c>
      <c r="E36" s="1224"/>
      <c r="F36" s="1225">
        <v>0</v>
      </c>
      <c r="G36" s="1225">
        <v>2421</v>
      </c>
      <c r="H36" s="1225">
        <v>0</v>
      </c>
      <c r="I36" s="1225">
        <v>35164</v>
      </c>
      <c r="J36" s="1224"/>
      <c r="K36" s="1225">
        <v>11409</v>
      </c>
      <c r="L36" s="1225"/>
      <c r="M36" s="1225">
        <v>0</v>
      </c>
      <c r="N36" s="1225">
        <v>0</v>
      </c>
      <c r="O36" s="1224"/>
      <c r="P36" s="1225">
        <v>15939</v>
      </c>
      <c r="Q36" s="1225">
        <v>-8510</v>
      </c>
      <c r="R36" s="1225">
        <v>7429</v>
      </c>
      <c r="S36" s="1225"/>
      <c r="T36" s="1225">
        <v>-195569</v>
      </c>
      <c r="U36" s="1225">
        <v>-271272</v>
      </c>
    </row>
    <row r="37" spans="1:21" ht="15" x14ac:dyDescent="0.25">
      <c r="A37" s="1220" t="s">
        <v>2568</v>
      </c>
      <c r="B37" s="1222">
        <v>3.6492999999999999E-3</v>
      </c>
      <c r="C37" s="1222">
        <v>3.7848999999999999E-3</v>
      </c>
      <c r="D37" s="1225">
        <v>-72044</v>
      </c>
      <c r="E37" s="1224"/>
      <c r="F37" s="1225">
        <v>0</v>
      </c>
      <c r="G37" s="1225">
        <v>737</v>
      </c>
      <c r="H37" s="1225">
        <v>0</v>
      </c>
      <c r="I37" s="1225">
        <v>5336</v>
      </c>
      <c r="J37" s="1224"/>
      <c r="K37" s="1225">
        <v>3474</v>
      </c>
      <c r="L37" s="1225"/>
      <c r="M37" s="1225">
        <v>0</v>
      </c>
      <c r="N37" s="1225">
        <v>0</v>
      </c>
      <c r="O37" s="1224"/>
      <c r="P37" s="1225">
        <v>4854</v>
      </c>
      <c r="Q37" s="1225">
        <v>3063</v>
      </c>
      <c r="R37" s="1225">
        <v>7917</v>
      </c>
      <c r="S37" s="1225"/>
      <c r="T37" s="1225">
        <v>-59553</v>
      </c>
      <c r="U37" s="1225">
        <v>-82606</v>
      </c>
    </row>
    <row r="38" spans="1:21" ht="15" x14ac:dyDescent="0.25">
      <c r="A38" s="1220" t="s">
        <v>2569</v>
      </c>
      <c r="B38" s="1222">
        <v>3.4133000000000002E-3</v>
      </c>
      <c r="C38" s="1222">
        <v>3.8148000000000001E-3</v>
      </c>
      <c r="D38" s="1225">
        <v>-67385</v>
      </c>
      <c r="E38" s="1224"/>
      <c r="F38" s="1225">
        <v>0</v>
      </c>
      <c r="G38" s="1225">
        <v>689</v>
      </c>
      <c r="H38" s="1225">
        <v>0</v>
      </c>
      <c r="I38" s="1225">
        <v>6574</v>
      </c>
      <c r="J38" s="1224"/>
      <c r="K38" s="1225">
        <v>3249</v>
      </c>
      <c r="L38" s="1225"/>
      <c r="M38" s="1225">
        <v>0</v>
      </c>
      <c r="N38" s="1225">
        <v>0</v>
      </c>
      <c r="O38" s="1224"/>
      <c r="P38" s="1225">
        <v>4540</v>
      </c>
      <c r="Q38" s="1225">
        <v>5053</v>
      </c>
      <c r="R38" s="1225">
        <v>9593</v>
      </c>
      <c r="S38" s="1225"/>
      <c r="T38" s="1225">
        <v>-55702</v>
      </c>
      <c r="U38" s="1225">
        <v>-77263</v>
      </c>
    </row>
    <row r="39" spans="1:21" ht="15" x14ac:dyDescent="0.25">
      <c r="A39" s="1220" t="s">
        <v>2570</v>
      </c>
      <c r="B39" s="1222">
        <v>3.7785899999999997E-2</v>
      </c>
      <c r="C39" s="1222">
        <v>3.0817600000000001E-2</v>
      </c>
      <c r="D39" s="1225">
        <v>-745969</v>
      </c>
      <c r="E39" s="1224"/>
      <c r="F39" s="1225">
        <v>0</v>
      </c>
      <c r="G39" s="1225">
        <v>7633</v>
      </c>
      <c r="H39" s="1225">
        <v>0</v>
      </c>
      <c r="I39" s="1225">
        <v>3800</v>
      </c>
      <c r="J39" s="1224"/>
      <c r="K39" s="1225">
        <v>35972</v>
      </c>
      <c r="L39" s="1225"/>
      <c r="M39" s="1225">
        <v>0</v>
      </c>
      <c r="N39" s="1225">
        <v>101243</v>
      </c>
      <c r="O39" s="1224"/>
      <c r="P39" s="1225">
        <v>50255</v>
      </c>
      <c r="Q39" s="1225">
        <v>-34270</v>
      </c>
      <c r="R39" s="1225">
        <v>15985</v>
      </c>
      <c r="S39" s="1225"/>
      <c r="T39" s="1225">
        <v>-616628</v>
      </c>
      <c r="U39" s="1225">
        <v>-855322</v>
      </c>
    </row>
    <row r="40" spans="1:21" ht="15" x14ac:dyDescent="0.25">
      <c r="A40" s="1220" t="s">
        <v>2571</v>
      </c>
      <c r="B40" s="1222">
        <v>3.2490000000000002E-3</v>
      </c>
      <c r="C40" s="1222">
        <v>3.6396000000000002E-3</v>
      </c>
      <c r="D40" s="1225">
        <v>-64142</v>
      </c>
      <c r="E40" s="1224"/>
      <c r="F40" s="1225">
        <v>0</v>
      </c>
      <c r="G40" s="1225">
        <v>656</v>
      </c>
      <c r="H40" s="1225">
        <v>0</v>
      </c>
      <c r="I40" s="1225">
        <v>5674</v>
      </c>
      <c r="J40" s="1224"/>
      <c r="K40" s="1225">
        <v>3093</v>
      </c>
      <c r="L40" s="1225"/>
      <c r="M40" s="1225">
        <v>0</v>
      </c>
      <c r="N40" s="1225">
        <v>3271</v>
      </c>
      <c r="O40" s="1224"/>
      <c r="P40" s="1225">
        <v>4321</v>
      </c>
      <c r="Q40" s="1225">
        <v>829</v>
      </c>
      <c r="R40" s="1225">
        <v>5150</v>
      </c>
      <c r="S40" s="1225"/>
      <c r="T40" s="1225">
        <v>-53020</v>
      </c>
      <c r="U40" s="1225">
        <v>-73544</v>
      </c>
    </row>
    <row r="41" spans="1:21" ht="15" x14ac:dyDescent="0.25">
      <c r="A41" s="1220" t="s">
        <v>2572</v>
      </c>
      <c r="B41" s="1222">
        <v>3.4403200000000002E-2</v>
      </c>
      <c r="C41" s="1222">
        <v>3.7801500000000002E-2</v>
      </c>
      <c r="D41" s="1225">
        <v>-679188</v>
      </c>
      <c r="E41" s="1224"/>
      <c r="F41" s="1225">
        <v>0</v>
      </c>
      <c r="G41" s="1225">
        <v>6949</v>
      </c>
      <c r="H41" s="1225">
        <v>0</v>
      </c>
      <c r="I41" s="1225">
        <v>62504</v>
      </c>
      <c r="J41" s="1224"/>
      <c r="K41" s="1225">
        <v>32752</v>
      </c>
      <c r="L41" s="1225"/>
      <c r="M41" s="1225">
        <v>0</v>
      </c>
      <c r="N41" s="1225">
        <v>0</v>
      </c>
      <c r="O41" s="1224"/>
      <c r="P41" s="1225">
        <v>45756</v>
      </c>
      <c r="Q41" s="1225">
        <v>28617</v>
      </c>
      <c r="R41" s="1225">
        <v>74373</v>
      </c>
      <c r="S41" s="1225"/>
      <c r="T41" s="1225">
        <v>-561426</v>
      </c>
      <c r="U41" s="1225">
        <v>-778751</v>
      </c>
    </row>
    <row r="42" spans="1:21" ht="15" x14ac:dyDescent="0.25">
      <c r="A42" s="1220" t="s">
        <v>2573</v>
      </c>
      <c r="B42" s="1222">
        <v>5.6563000000000004E-3</v>
      </c>
      <c r="C42" s="1222">
        <v>6.2415999999999999E-3</v>
      </c>
      <c r="D42" s="1225">
        <v>-111667</v>
      </c>
      <c r="E42" s="1224"/>
      <c r="F42" s="1225">
        <v>0</v>
      </c>
      <c r="G42" s="1225">
        <v>1143</v>
      </c>
      <c r="H42" s="1225">
        <v>0</v>
      </c>
      <c r="I42" s="1225">
        <v>8869</v>
      </c>
      <c r="J42" s="1224"/>
      <c r="K42" s="1225">
        <v>5385</v>
      </c>
      <c r="L42" s="1225"/>
      <c r="M42" s="1225">
        <v>0</v>
      </c>
      <c r="N42" s="1225">
        <v>0</v>
      </c>
      <c r="O42" s="1224"/>
      <c r="P42" s="1225">
        <v>7523</v>
      </c>
      <c r="Q42" s="1225">
        <v>-2584</v>
      </c>
      <c r="R42" s="1225">
        <v>4939</v>
      </c>
      <c r="S42" s="1225"/>
      <c r="T42" s="1225">
        <v>-92305</v>
      </c>
      <c r="U42" s="1225">
        <v>-128036</v>
      </c>
    </row>
    <row r="43" spans="1:21" ht="15" x14ac:dyDescent="0.25">
      <c r="A43" s="1220" t="s">
        <v>2574</v>
      </c>
      <c r="B43" s="1222">
        <v>0.1181697</v>
      </c>
      <c r="C43" s="1222">
        <v>7.8516999999999997E-3</v>
      </c>
      <c r="D43" s="1225">
        <v>-2332906</v>
      </c>
      <c r="E43" s="1224"/>
      <c r="F43" s="1225">
        <v>0</v>
      </c>
      <c r="G43" s="1225">
        <v>23870</v>
      </c>
      <c r="H43" s="1225">
        <v>0</v>
      </c>
      <c r="I43" s="1225">
        <v>4841</v>
      </c>
      <c r="J43" s="1224"/>
      <c r="K43" s="1225">
        <v>112498</v>
      </c>
      <c r="L43" s="1225"/>
      <c r="M43" s="1225">
        <v>0</v>
      </c>
      <c r="N43" s="1225">
        <v>1602811</v>
      </c>
      <c r="O43" s="1224"/>
      <c r="P43" s="1225">
        <v>157166</v>
      </c>
      <c r="Q43" s="1225">
        <v>-501946</v>
      </c>
      <c r="R43" s="1225">
        <v>-344780</v>
      </c>
      <c r="S43" s="1225"/>
      <c r="T43" s="1225">
        <v>-1928411</v>
      </c>
      <c r="U43" s="1225">
        <v>-2674889</v>
      </c>
    </row>
    <row r="44" spans="1:21" ht="15" x14ac:dyDescent="0.25">
      <c r="A44" s="1220" t="s">
        <v>2575</v>
      </c>
      <c r="B44" s="1222">
        <v>7.4640000000000004E-4</v>
      </c>
      <c r="C44" s="1222">
        <v>8.9740000000000002E-4</v>
      </c>
      <c r="D44" s="1225">
        <v>-14735</v>
      </c>
      <c r="E44" s="1224"/>
      <c r="F44" s="1225">
        <v>0</v>
      </c>
      <c r="G44" s="1225">
        <v>151</v>
      </c>
      <c r="H44" s="1225">
        <v>0</v>
      </c>
      <c r="I44" s="1225">
        <v>2194</v>
      </c>
      <c r="J44" s="1224"/>
      <c r="K44" s="1225">
        <v>711</v>
      </c>
      <c r="L44" s="1225"/>
      <c r="M44" s="1225">
        <v>0</v>
      </c>
      <c r="N44" s="1225">
        <v>191</v>
      </c>
      <c r="O44" s="1224"/>
      <c r="P44" s="1225">
        <v>993</v>
      </c>
      <c r="Q44" s="1225">
        <v>1179</v>
      </c>
      <c r="R44" s="1225">
        <v>2172</v>
      </c>
      <c r="S44" s="1225"/>
      <c r="T44" s="1225">
        <v>-12181</v>
      </c>
      <c r="U44" s="1225">
        <v>-16896</v>
      </c>
    </row>
    <row r="45" spans="1:21" ht="15" x14ac:dyDescent="0.25">
      <c r="A45" s="1220" t="s">
        <v>2576</v>
      </c>
      <c r="B45" s="1222">
        <v>9.6000000000000002E-4</v>
      </c>
      <c r="C45" s="1222">
        <v>7.6199999999999998E-4</v>
      </c>
      <c r="D45" s="1225">
        <v>-18952</v>
      </c>
      <c r="E45" s="1224"/>
      <c r="F45" s="1225">
        <v>0</v>
      </c>
      <c r="G45" s="1225">
        <v>194</v>
      </c>
      <c r="H45" s="1225">
        <v>0</v>
      </c>
      <c r="I45" s="1225">
        <v>0</v>
      </c>
      <c r="J45" s="1224"/>
      <c r="K45" s="1225">
        <v>914</v>
      </c>
      <c r="L45" s="1225"/>
      <c r="M45" s="1225">
        <v>0</v>
      </c>
      <c r="N45" s="1225">
        <v>3367</v>
      </c>
      <c r="O45" s="1224"/>
      <c r="P45" s="1225">
        <v>1277</v>
      </c>
      <c r="Q45" s="1225">
        <v>-1673</v>
      </c>
      <c r="R45" s="1225">
        <v>-396</v>
      </c>
      <c r="S45" s="1225"/>
      <c r="T45" s="1225">
        <v>-15666</v>
      </c>
      <c r="U45" s="1225">
        <v>-21731</v>
      </c>
    </row>
    <row r="46" spans="1:21" ht="15" x14ac:dyDescent="0.25">
      <c r="A46" s="1220" t="s">
        <v>2577</v>
      </c>
      <c r="B46" s="1222">
        <v>4.0223999999999998E-3</v>
      </c>
      <c r="C46" s="1222">
        <v>4.7184000000000002E-3</v>
      </c>
      <c r="D46" s="1225">
        <v>-79410</v>
      </c>
      <c r="E46" s="1224"/>
      <c r="F46" s="1225">
        <v>0</v>
      </c>
      <c r="G46" s="1225">
        <v>813</v>
      </c>
      <c r="H46" s="1225">
        <v>0</v>
      </c>
      <c r="I46" s="1225">
        <v>10746</v>
      </c>
      <c r="J46" s="1224"/>
      <c r="K46" s="1225">
        <v>3829</v>
      </c>
      <c r="L46" s="1225"/>
      <c r="M46" s="1225">
        <v>0</v>
      </c>
      <c r="N46" s="1225">
        <v>0</v>
      </c>
      <c r="O46" s="1224"/>
      <c r="P46" s="1225">
        <v>5350</v>
      </c>
      <c r="Q46" s="1225">
        <v>1268</v>
      </c>
      <c r="R46" s="1225">
        <v>6618</v>
      </c>
      <c r="S46" s="1225"/>
      <c r="T46" s="1225">
        <v>-65642</v>
      </c>
      <c r="U46" s="1225">
        <v>-91051</v>
      </c>
    </row>
    <row r="47" spans="1:21" ht="15" x14ac:dyDescent="0.25">
      <c r="A47" s="1220" t="s">
        <v>2578</v>
      </c>
      <c r="B47" s="1222">
        <v>1.0975E-3</v>
      </c>
      <c r="C47" s="1222">
        <v>1.0494E-3</v>
      </c>
      <c r="D47" s="1225">
        <v>-21667</v>
      </c>
      <c r="E47" s="1224"/>
      <c r="F47" s="1225">
        <v>0</v>
      </c>
      <c r="G47" s="1225">
        <v>222</v>
      </c>
      <c r="H47" s="1225">
        <v>0</v>
      </c>
      <c r="I47" s="1225">
        <v>648</v>
      </c>
      <c r="J47" s="1224"/>
      <c r="K47" s="1225">
        <v>1045</v>
      </c>
      <c r="L47" s="1225"/>
      <c r="M47" s="1225">
        <v>0</v>
      </c>
      <c r="N47" s="1225">
        <v>700</v>
      </c>
      <c r="O47" s="1224"/>
      <c r="P47" s="1225">
        <v>1460</v>
      </c>
      <c r="Q47" s="1225">
        <v>905</v>
      </c>
      <c r="R47" s="1225">
        <v>2365</v>
      </c>
      <c r="S47" s="1225"/>
      <c r="T47" s="1225">
        <v>-17910</v>
      </c>
      <c r="U47" s="1225">
        <v>-24843</v>
      </c>
    </row>
    <row r="48" spans="1:21" ht="15" x14ac:dyDescent="0.25">
      <c r="A48" s="1220" t="s">
        <v>2579</v>
      </c>
      <c r="B48" s="1222">
        <v>4.1201099999999997E-2</v>
      </c>
      <c r="C48" s="1222">
        <v>4.2479299999999998E-2</v>
      </c>
      <c r="D48" s="1225">
        <v>-813392</v>
      </c>
      <c r="E48" s="1224"/>
      <c r="F48" s="1225">
        <v>0</v>
      </c>
      <c r="G48" s="1225">
        <v>8323</v>
      </c>
      <c r="H48" s="1225">
        <v>0</v>
      </c>
      <c r="I48" s="1225">
        <v>28875</v>
      </c>
      <c r="J48" s="1224"/>
      <c r="K48" s="1225">
        <v>39223</v>
      </c>
      <c r="L48" s="1225"/>
      <c r="M48" s="1225">
        <v>0</v>
      </c>
      <c r="N48" s="1225">
        <v>0</v>
      </c>
      <c r="O48" s="1224"/>
      <c r="P48" s="1225">
        <v>54797</v>
      </c>
      <c r="Q48" s="1225">
        <v>16178</v>
      </c>
      <c r="R48" s="1225">
        <v>70975</v>
      </c>
      <c r="S48" s="1225"/>
      <c r="T48" s="1225">
        <v>-672361</v>
      </c>
      <c r="U48" s="1225">
        <v>-932628</v>
      </c>
    </row>
    <row r="49" spans="1:21" ht="15" x14ac:dyDescent="0.25">
      <c r="A49" s="1220" t="s">
        <v>2580</v>
      </c>
      <c r="B49" s="1222">
        <v>3.4440999999999999E-3</v>
      </c>
      <c r="C49" s="1222">
        <v>4.1554000000000001E-3</v>
      </c>
      <c r="D49" s="1225">
        <v>-67993</v>
      </c>
      <c r="E49" s="1224"/>
      <c r="F49" s="1225">
        <v>0</v>
      </c>
      <c r="G49" s="1225">
        <v>696</v>
      </c>
      <c r="H49" s="1225">
        <v>0</v>
      </c>
      <c r="I49" s="1225">
        <v>11223</v>
      </c>
      <c r="J49" s="1224"/>
      <c r="K49" s="1225">
        <v>3279</v>
      </c>
      <c r="L49" s="1225"/>
      <c r="M49" s="1225">
        <v>0</v>
      </c>
      <c r="N49" s="1225">
        <v>0</v>
      </c>
      <c r="O49" s="1224"/>
      <c r="P49" s="1225">
        <v>4581</v>
      </c>
      <c r="Q49" s="1225">
        <v>4335</v>
      </c>
      <c r="R49" s="1225">
        <v>8916</v>
      </c>
      <c r="S49" s="1225"/>
      <c r="T49" s="1225">
        <v>-56204</v>
      </c>
      <c r="U49" s="1225">
        <v>-77961</v>
      </c>
    </row>
    <row r="50" spans="1:21" ht="15" x14ac:dyDescent="0.25">
      <c r="A50" s="1220" t="s">
        <v>2581</v>
      </c>
      <c r="B50" s="1222">
        <v>1.05699E-2</v>
      </c>
      <c r="C50" s="1222">
        <v>1.19995E-2</v>
      </c>
      <c r="D50" s="1225">
        <v>-208671</v>
      </c>
      <c r="E50" s="1224"/>
      <c r="F50" s="1225">
        <v>0</v>
      </c>
      <c r="G50" s="1225">
        <v>2135</v>
      </c>
      <c r="H50" s="1225">
        <v>0</v>
      </c>
      <c r="I50" s="1225">
        <v>24353</v>
      </c>
      <c r="J50" s="1224"/>
      <c r="K50" s="1225">
        <v>10063</v>
      </c>
      <c r="L50" s="1225"/>
      <c r="M50" s="1225">
        <v>0</v>
      </c>
      <c r="N50" s="1225">
        <v>0</v>
      </c>
      <c r="O50" s="1224"/>
      <c r="P50" s="1225">
        <v>14058</v>
      </c>
      <c r="Q50" s="1225">
        <v>8595</v>
      </c>
      <c r="R50" s="1225">
        <v>22653</v>
      </c>
      <c r="S50" s="1225"/>
      <c r="T50" s="1225">
        <v>-172490</v>
      </c>
      <c r="U50" s="1225">
        <v>-239260</v>
      </c>
    </row>
    <row r="51" spans="1:21" ht="15" x14ac:dyDescent="0.25">
      <c r="A51" s="1220" t="s">
        <v>2582</v>
      </c>
      <c r="B51" s="1222">
        <v>6.8830999999999996E-3</v>
      </c>
      <c r="C51" s="1222">
        <v>7.7530999999999997E-3</v>
      </c>
      <c r="D51" s="1225">
        <v>-135886</v>
      </c>
      <c r="E51" s="1224"/>
      <c r="F51" s="1225">
        <v>0</v>
      </c>
      <c r="G51" s="1225">
        <v>1390</v>
      </c>
      <c r="H51" s="1225">
        <v>0</v>
      </c>
      <c r="I51" s="1225">
        <v>12641</v>
      </c>
      <c r="J51" s="1224"/>
      <c r="K51" s="1225">
        <v>6553</v>
      </c>
      <c r="L51" s="1225"/>
      <c r="M51" s="1225">
        <v>0</v>
      </c>
      <c r="N51" s="1225">
        <v>460</v>
      </c>
      <c r="O51" s="1224"/>
      <c r="P51" s="1225">
        <v>9155</v>
      </c>
      <c r="Q51" s="1225">
        <v>2129</v>
      </c>
      <c r="R51" s="1225">
        <v>11284</v>
      </c>
      <c r="S51" s="1225"/>
      <c r="T51" s="1225">
        <v>-112325</v>
      </c>
      <c r="U51" s="1225">
        <v>-155806</v>
      </c>
    </row>
    <row r="52" spans="1:21" ht="15" x14ac:dyDescent="0.25">
      <c r="A52" s="1220" t="s">
        <v>2583</v>
      </c>
      <c r="B52" s="1222">
        <v>1.2132499999999999E-2</v>
      </c>
      <c r="C52" s="1222">
        <v>1.38721E-2</v>
      </c>
      <c r="D52" s="1225">
        <v>-239520</v>
      </c>
      <c r="E52" s="1224"/>
      <c r="F52" s="1225">
        <v>0</v>
      </c>
      <c r="G52" s="1225">
        <v>2451</v>
      </c>
      <c r="H52" s="1225">
        <v>0</v>
      </c>
      <c r="I52" s="1225">
        <v>27698</v>
      </c>
      <c r="J52" s="1224"/>
      <c r="K52" s="1225">
        <v>11550</v>
      </c>
      <c r="L52" s="1225"/>
      <c r="M52" s="1225">
        <v>0</v>
      </c>
      <c r="N52" s="1225">
        <v>0</v>
      </c>
      <c r="O52" s="1224"/>
      <c r="P52" s="1225">
        <v>16136</v>
      </c>
      <c r="Q52" s="1225">
        <v>9412</v>
      </c>
      <c r="R52" s="1225">
        <v>25548</v>
      </c>
      <c r="S52" s="1225"/>
      <c r="T52" s="1225">
        <v>-197990</v>
      </c>
      <c r="U52" s="1225">
        <v>-274631</v>
      </c>
    </row>
    <row r="53" spans="1:21" ht="15" x14ac:dyDescent="0.25">
      <c r="A53" s="1220" t="s">
        <v>2584</v>
      </c>
      <c r="B53" s="1222">
        <v>1.5357000000000001E-3</v>
      </c>
      <c r="C53" s="1222">
        <v>1.7214999999999999E-3</v>
      </c>
      <c r="D53" s="1225">
        <v>-30318</v>
      </c>
      <c r="E53" s="1224"/>
      <c r="F53" s="1225">
        <v>0</v>
      </c>
      <c r="G53" s="1225">
        <v>310</v>
      </c>
      <c r="H53" s="1225">
        <v>0</v>
      </c>
      <c r="I53" s="1225">
        <v>3158</v>
      </c>
      <c r="J53" s="1224"/>
      <c r="K53" s="1225">
        <v>1462</v>
      </c>
      <c r="L53" s="1225"/>
      <c r="M53" s="1225">
        <v>0</v>
      </c>
      <c r="N53" s="1225">
        <v>0</v>
      </c>
      <c r="O53" s="1224"/>
      <c r="P53" s="1225">
        <v>2042</v>
      </c>
      <c r="Q53" s="1225">
        <v>1933</v>
      </c>
      <c r="R53" s="1225">
        <v>3975</v>
      </c>
      <c r="S53" s="1225"/>
      <c r="T53" s="1225">
        <v>-25061</v>
      </c>
      <c r="U53" s="1225">
        <v>-34762</v>
      </c>
    </row>
    <row r="54" spans="1:21" ht="15" x14ac:dyDescent="0.25">
      <c r="A54" s="1220" t="s">
        <v>2585</v>
      </c>
      <c r="B54" s="1222">
        <v>4.1085000000000002E-3</v>
      </c>
      <c r="C54" s="1222">
        <v>5.1979000000000001E-3</v>
      </c>
      <c r="D54" s="1225">
        <v>-81110</v>
      </c>
      <c r="E54" s="1224"/>
      <c r="F54" s="1225">
        <v>0</v>
      </c>
      <c r="G54" s="1225">
        <v>830</v>
      </c>
      <c r="H54" s="1225">
        <v>0</v>
      </c>
      <c r="I54" s="1225">
        <v>15827</v>
      </c>
      <c r="J54" s="1224"/>
      <c r="K54" s="1225">
        <v>3911</v>
      </c>
      <c r="L54" s="1225"/>
      <c r="M54" s="1225">
        <v>0</v>
      </c>
      <c r="N54" s="1225">
        <v>5374</v>
      </c>
      <c r="O54" s="1224"/>
      <c r="P54" s="1225">
        <v>5464</v>
      </c>
      <c r="Q54" s="1225">
        <v>3581</v>
      </c>
      <c r="R54" s="1225">
        <v>9045</v>
      </c>
      <c r="S54" s="1225"/>
      <c r="T54" s="1225">
        <v>-67047</v>
      </c>
      <c r="U54" s="1225">
        <v>-93000</v>
      </c>
    </row>
    <row r="55" spans="1:21" ht="15" x14ac:dyDescent="0.25">
      <c r="A55" s="1220" t="s">
        <v>2586</v>
      </c>
      <c r="B55" s="1222">
        <v>3.8479999999999997E-4</v>
      </c>
      <c r="C55" s="1222">
        <v>4.4860000000000001E-4</v>
      </c>
      <c r="D55" s="1225">
        <v>-7597</v>
      </c>
      <c r="E55" s="1224"/>
      <c r="F55" s="1225">
        <v>0</v>
      </c>
      <c r="G55" s="1225">
        <v>78</v>
      </c>
      <c r="H55" s="1225">
        <v>0</v>
      </c>
      <c r="I55" s="1225">
        <v>1185</v>
      </c>
      <c r="J55" s="1224"/>
      <c r="K55" s="1225">
        <v>366</v>
      </c>
      <c r="L55" s="1225"/>
      <c r="M55" s="1225">
        <v>0</v>
      </c>
      <c r="N55" s="1225">
        <v>0</v>
      </c>
      <c r="O55" s="1224"/>
      <c r="P55" s="1225">
        <v>512</v>
      </c>
      <c r="Q55" s="1225">
        <v>421</v>
      </c>
      <c r="R55" s="1225">
        <v>933</v>
      </c>
      <c r="S55" s="1225"/>
      <c r="T55" s="1225">
        <v>-6280</v>
      </c>
      <c r="U55" s="1225">
        <v>-8710</v>
      </c>
    </row>
    <row r="56" spans="1:21" ht="15" x14ac:dyDescent="0.25">
      <c r="A56" s="1220" t="s">
        <v>2587</v>
      </c>
      <c r="B56" s="1222">
        <v>1.8171799999999998E-2</v>
      </c>
      <c r="C56" s="1222">
        <v>2.0304300000000001E-2</v>
      </c>
      <c r="D56" s="1225">
        <v>-358748</v>
      </c>
      <c r="E56" s="1224"/>
      <c r="F56" s="1225">
        <v>0</v>
      </c>
      <c r="G56" s="1225">
        <v>3671</v>
      </c>
      <c r="H56" s="1225">
        <v>0</v>
      </c>
      <c r="I56" s="1225">
        <v>31254</v>
      </c>
      <c r="J56" s="1224"/>
      <c r="K56" s="1225">
        <v>17300</v>
      </c>
      <c r="L56" s="1225"/>
      <c r="M56" s="1225">
        <v>0</v>
      </c>
      <c r="N56" s="1225">
        <v>0</v>
      </c>
      <c r="O56" s="1224"/>
      <c r="P56" s="1225">
        <v>24168</v>
      </c>
      <c r="Q56" s="1225">
        <v>9520</v>
      </c>
      <c r="R56" s="1225">
        <v>33688</v>
      </c>
      <c r="S56" s="1225"/>
      <c r="T56" s="1225">
        <v>-296546</v>
      </c>
      <c r="U56" s="1225">
        <v>-411337</v>
      </c>
    </row>
    <row r="57" spans="1:21" ht="15" x14ac:dyDescent="0.25">
      <c r="A57" s="1220" t="s">
        <v>2588</v>
      </c>
      <c r="B57" s="1222">
        <v>5.6487999999999998E-3</v>
      </c>
      <c r="C57" s="1222">
        <v>6.1491999999999996E-3</v>
      </c>
      <c r="D57" s="1225">
        <v>-111519</v>
      </c>
      <c r="E57" s="1224"/>
      <c r="F57" s="1225">
        <v>0</v>
      </c>
      <c r="G57" s="1225">
        <v>1141</v>
      </c>
      <c r="H57" s="1225">
        <v>0</v>
      </c>
      <c r="I57" s="1225">
        <v>11710</v>
      </c>
      <c r="J57" s="1224"/>
      <c r="K57" s="1225">
        <v>5378</v>
      </c>
      <c r="L57" s="1225"/>
      <c r="M57" s="1225">
        <v>0</v>
      </c>
      <c r="N57" s="1225">
        <v>0</v>
      </c>
      <c r="O57" s="1224"/>
      <c r="P57" s="1225">
        <v>7513</v>
      </c>
      <c r="Q57" s="1225">
        <v>756</v>
      </c>
      <c r="R57" s="1225">
        <v>8269</v>
      </c>
      <c r="S57" s="1225"/>
      <c r="T57" s="1225">
        <v>-92183</v>
      </c>
      <c r="U57" s="1225">
        <v>-127866</v>
      </c>
    </row>
    <row r="58" spans="1:21" ht="15" x14ac:dyDescent="0.25">
      <c r="A58" s="1220" t="s">
        <v>2589</v>
      </c>
      <c r="B58" s="1222">
        <v>2.0667399999999999E-2</v>
      </c>
      <c r="C58" s="1222">
        <v>2.1887E-2</v>
      </c>
      <c r="D58" s="1225">
        <v>-408016</v>
      </c>
      <c r="E58" s="1224"/>
      <c r="F58" s="1225">
        <v>0</v>
      </c>
      <c r="G58" s="1225">
        <v>4175</v>
      </c>
      <c r="H58" s="1225">
        <v>0</v>
      </c>
      <c r="I58" s="1225">
        <v>17720</v>
      </c>
      <c r="J58" s="1224"/>
      <c r="K58" s="1225">
        <v>19675</v>
      </c>
      <c r="L58" s="1225"/>
      <c r="M58" s="1225">
        <v>0</v>
      </c>
      <c r="N58" s="1225">
        <v>2330</v>
      </c>
      <c r="O58" s="1224"/>
      <c r="P58" s="1225">
        <v>27488</v>
      </c>
      <c r="Q58" s="1225">
        <v>-12149</v>
      </c>
      <c r="R58" s="1225">
        <v>15339</v>
      </c>
      <c r="S58" s="1225"/>
      <c r="T58" s="1225">
        <v>-337271</v>
      </c>
      <c r="U58" s="1225">
        <v>-467827</v>
      </c>
    </row>
    <row r="59" spans="1:21" ht="15" x14ac:dyDescent="0.25">
      <c r="A59" s="1220" t="s">
        <v>2590</v>
      </c>
      <c r="B59" s="1222">
        <v>7.0759999999999996E-4</v>
      </c>
      <c r="C59" s="1222">
        <v>8.1380000000000005E-4</v>
      </c>
      <c r="D59" s="1225">
        <v>-13969</v>
      </c>
      <c r="E59" s="1224"/>
      <c r="F59" s="1225">
        <v>0</v>
      </c>
      <c r="G59" s="1225">
        <v>143</v>
      </c>
      <c r="H59" s="1225">
        <v>0</v>
      </c>
      <c r="I59" s="1225">
        <v>1644</v>
      </c>
      <c r="J59" s="1224"/>
      <c r="K59" s="1225">
        <v>674</v>
      </c>
      <c r="L59" s="1225"/>
      <c r="M59" s="1225">
        <v>0</v>
      </c>
      <c r="N59" s="1225">
        <v>0</v>
      </c>
      <c r="O59" s="1224"/>
      <c r="P59" s="1225">
        <v>941</v>
      </c>
      <c r="Q59" s="1225">
        <v>1289</v>
      </c>
      <c r="R59" s="1225">
        <v>2230</v>
      </c>
      <c r="S59" s="1225"/>
      <c r="T59" s="1225">
        <v>-11547</v>
      </c>
      <c r="U59" s="1225">
        <v>-16017</v>
      </c>
    </row>
    <row r="60" spans="1:21" ht="15" x14ac:dyDescent="0.25">
      <c r="A60" s="1220" t="s">
        <v>2591</v>
      </c>
      <c r="B60" s="1222">
        <v>5.0292999999999996E-3</v>
      </c>
      <c r="C60" s="1222">
        <v>5.6004000000000002E-3</v>
      </c>
      <c r="D60" s="1225">
        <v>-99288</v>
      </c>
      <c r="E60" s="1224"/>
      <c r="F60" s="1225">
        <v>0</v>
      </c>
      <c r="G60" s="1225">
        <v>1016</v>
      </c>
      <c r="H60" s="1225">
        <v>0</v>
      </c>
      <c r="I60" s="1225">
        <v>8526</v>
      </c>
      <c r="J60" s="1224"/>
      <c r="K60" s="1225">
        <v>4788</v>
      </c>
      <c r="L60" s="1225"/>
      <c r="M60" s="1225">
        <v>0</v>
      </c>
      <c r="N60" s="1225">
        <v>0</v>
      </c>
      <c r="O60" s="1224"/>
      <c r="P60" s="1225">
        <v>6689</v>
      </c>
      <c r="Q60" s="1225">
        <v>3501</v>
      </c>
      <c r="R60" s="1225">
        <v>10190</v>
      </c>
      <c r="S60" s="1225"/>
      <c r="T60" s="1225">
        <v>-82073</v>
      </c>
      <c r="U60" s="1225">
        <v>-113843</v>
      </c>
    </row>
    <row r="61" spans="1:21" ht="15" x14ac:dyDescent="0.25">
      <c r="A61" s="1220" t="s">
        <v>2592</v>
      </c>
      <c r="B61" s="1222">
        <v>3.0812999999999999E-3</v>
      </c>
      <c r="C61" s="1222">
        <v>3.5228E-3</v>
      </c>
      <c r="D61" s="1225">
        <v>-60831</v>
      </c>
      <c r="E61" s="1224"/>
      <c r="F61" s="1225">
        <v>0</v>
      </c>
      <c r="G61" s="1225">
        <v>622</v>
      </c>
      <c r="H61" s="1225">
        <v>0</v>
      </c>
      <c r="I61" s="1225">
        <v>6413</v>
      </c>
      <c r="J61" s="1224"/>
      <c r="K61" s="1225">
        <v>2933</v>
      </c>
      <c r="L61" s="1225"/>
      <c r="M61" s="1225">
        <v>0</v>
      </c>
      <c r="N61" s="1225">
        <v>763</v>
      </c>
      <c r="O61" s="1224"/>
      <c r="P61" s="1225">
        <v>4098</v>
      </c>
      <c r="Q61" s="1225">
        <v>2274</v>
      </c>
      <c r="R61" s="1225">
        <v>6372</v>
      </c>
      <c r="S61" s="1225"/>
      <c r="T61" s="1225">
        <v>-50284</v>
      </c>
      <c r="U61" s="1225">
        <v>-69748</v>
      </c>
    </row>
    <row r="62" spans="1:21" ht="15" x14ac:dyDescent="0.25">
      <c r="A62" s="1220" t="s">
        <v>2593</v>
      </c>
      <c r="B62" s="1222">
        <v>8.1840000000000003E-3</v>
      </c>
      <c r="C62" s="1222">
        <v>9.5402000000000004E-3</v>
      </c>
      <c r="D62" s="1225">
        <v>-161569</v>
      </c>
      <c r="E62" s="1224"/>
      <c r="F62" s="1225">
        <v>0</v>
      </c>
      <c r="G62" s="1225">
        <v>1653</v>
      </c>
      <c r="H62" s="1225">
        <v>0</v>
      </c>
      <c r="I62" s="1225">
        <v>19704</v>
      </c>
      <c r="J62" s="1224"/>
      <c r="K62" s="1225">
        <v>7791</v>
      </c>
      <c r="L62" s="1225"/>
      <c r="M62" s="1225">
        <v>0</v>
      </c>
      <c r="N62" s="1225">
        <v>1804</v>
      </c>
      <c r="O62" s="1224"/>
      <c r="P62" s="1225">
        <v>10885</v>
      </c>
      <c r="Q62" s="1225">
        <v>744</v>
      </c>
      <c r="R62" s="1225">
        <v>11629</v>
      </c>
      <c r="S62" s="1225"/>
      <c r="T62" s="1225">
        <v>-133555</v>
      </c>
      <c r="U62" s="1225">
        <v>-185253</v>
      </c>
    </row>
    <row r="63" spans="1:21" ht="15" x14ac:dyDescent="0.25">
      <c r="A63" s="1220" t="s">
        <v>2594</v>
      </c>
      <c r="B63" s="1222">
        <v>3.3693E-3</v>
      </c>
      <c r="C63" s="1222">
        <v>4.3553999999999997E-3</v>
      </c>
      <c r="D63" s="1225">
        <v>-66517</v>
      </c>
      <c r="E63" s="1224"/>
      <c r="F63" s="1225">
        <v>0</v>
      </c>
      <c r="G63" s="1225">
        <v>681</v>
      </c>
      <c r="H63" s="1225">
        <v>0</v>
      </c>
      <c r="I63" s="1225">
        <v>14326</v>
      </c>
      <c r="J63" s="1224"/>
      <c r="K63" s="1225">
        <v>3208</v>
      </c>
      <c r="L63" s="1225"/>
      <c r="M63" s="1225">
        <v>0</v>
      </c>
      <c r="N63" s="1225">
        <v>689</v>
      </c>
      <c r="O63" s="1224"/>
      <c r="P63" s="1225">
        <v>4481</v>
      </c>
      <c r="Q63" s="1225">
        <v>4229</v>
      </c>
      <c r="R63" s="1225">
        <v>8710</v>
      </c>
      <c r="S63" s="1225"/>
      <c r="T63" s="1225">
        <v>-54984</v>
      </c>
      <c r="U63" s="1225">
        <v>-76267</v>
      </c>
    </row>
    <row r="64" spans="1:21" ht="15" x14ac:dyDescent="0.25">
      <c r="A64" s="1220" t="s">
        <v>2595</v>
      </c>
      <c r="B64" s="1222">
        <v>5.0229999999999997E-3</v>
      </c>
      <c r="C64" s="1222">
        <v>5.5142000000000004E-3</v>
      </c>
      <c r="D64" s="1225">
        <v>-99164</v>
      </c>
      <c r="E64" s="1224"/>
      <c r="F64" s="1225">
        <v>0</v>
      </c>
      <c r="G64" s="1225">
        <v>1015</v>
      </c>
      <c r="H64" s="1225">
        <v>0</v>
      </c>
      <c r="I64" s="1225">
        <v>7136</v>
      </c>
      <c r="J64" s="1224"/>
      <c r="K64" s="1225">
        <v>4782</v>
      </c>
      <c r="L64" s="1225"/>
      <c r="M64" s="1225">
        <v>0</v>
      </c>
      <c r="N64" s="1225">
        <v>928</v>
      </c>
      <c r="O64" s="1224"/>
      <c r="P64" s="1225">
        <v>6681</v>
      </c>
      <c r="Q64" s="1225">
        <v>-978</v>
      </c>
      <c r="R64" s="1225">
        <v>5703</v>
      </c>
      <c r="S64" s="1225"/>
      <c r="T64" s="1225">
        <v>-81970</v>
      </c>
      <c r="U64" s="1225">
        <v>-113701</v>
      </c>
    </row>
    <row r="65" spans="1:21" ht="15" x14ac:dyDescent="0.25">
      <c r="A65" s="1220" t="s">
        <v>2596</v>
      </c>
      <c r="B65" s="1222">
        <v>1.5535E-3</v>
      </c>
      <c r="C65" s="1222">
        <v>1.6861999999999999E-3</v>
      </c>
      <c r="D65" s="1225">
        <v>-30669</v>
      </c>
      <c r="E65" s="1224"/>
      <c r="F65" s="1225">
        <v>0</v>
      </c>
      <c r="G65" s="1225">
        <v>314</v>
      </c>
      <c r="H65" s="1225">
        <v>0</v>
      </c>
      <c r="I65" s="1225">
        <v>2496</v>
      </c>
      <c r="J65" s="1224"/>
      <c r="K65" s="1225">
        <v>1479</v>
      </c>
      <c r="L65" s="1225"/>
      <c r="M65" s="1225">
        <v>0</v>
      </c>
      <c r="N65" s="1225">
        <v>0</v>
      </c>
      <c r="O65" s="1224"/>
      <c r="P65" s="1225">
        <v>2066</v>
      </c>
      <c r="Q65" s="1225">
        <v>1874</v>
      </c>
      <c r="R65" s="1225">
        <v>3940</v>
      </c>
      <c r="S65" s="1225"/>
      <c r="T65" s="1225">
        <v>-25352</v>
      </c>
      <c r="U65" s="1225">
        <v>-35165</v>
      </c>
    </row>
    <row r="66" spans="1:21" ht="15" x14ac:dyDescent="0.25">
      <c r="A66" s="1220" t="s">
        <v>2597</v>
      </c>
      <c r="B66" s="1222">
        <v>3.4951000000000001E-3</v>
      </c>
      <c r="C66" s="1222">
        <v>3.6643000000000001E-3</v>
      </c>
      <c r="D66" s="1225">
        <v>-69000</v>
      </c>
      <c r="E66" s="1224"/>
      <c r="F66" s="1225">
        <v>0</v>
      </c>
      <c r="G66" s="1225">
        <v>706</v>
      </c>
      <c r="H66" s="1225">
        <v>0</v>
      </c>
      <c r="I66" s="1225">
        <v>5347</v>
      </c>
      <c r="J66" s="1224"/>
      <c r="K66" s="1225">
        <v>3327</v>
      </c>
      <c r="L66" s="1225"/>
      <c r="M66" s="1225">
        <v>0</v>
      </c>
      <c r="N66" s="1225">
        <v>0</v>
      </c>
      <c r="O66" s="1224"/>
      <c r="P66" s="1225">
        <v>4648</v>
      </c>
      <c r="Q66" s="1225">
        <v>2705</v>
      </c>
      <c r="R66" s="1225">
        <v>7353</v>
      </c>
      <c r="S66" s="1225"/>
      <c r="T66" s="1225">
        <v>-57037</v>
      </c>
      <c r="U66" s="1225">
        <v>-79115</v>
      </c>
    </row>
    <row r="67" spans="1:21" ht="15" x14ac:dyDescent="0.25">
      <c r="A67" s="1220" t="s">
        <v>2598</v>
      </c>
      <c r="B67" s="1222">
        <v>6.6900200000000007E-2</v>
      </c>
      <c r="C67" s="1222">
        <v>7.6944100000000001E-2</v>
      </c>
      <c r="D67" s="1225">
        <v>-1320744</v>
      </c>
      <c r="E67" s="1224"/>
      <c r="F67" s="1225">
        <v>0</v>
      </c>
      <c r="G67" s="1225">
        <v>13514</v>
      </c>
      <c r="H67" s="1225">
        <v>0</v>
      </c>
      <c r="I67" s="1225">
        <v>184146</v>
      </c>
      <c r="J67" s="1224"/>
      <c r="K67" s="1225">
        <v>63689</v>
      </c>
      <c r="L67" s="1225"/>
      <c r="M67" s="1225">
        <v>0</v>
      </c>
      <c r="N67" s="1225">
        <v>0</v>
      </c>
      <c r="O67" s="1224"/>
      <c r="P67" s="1225">
        <v>88977</v>
      </c>
      <c r="Q67" s="1225">
        <v>90587</v>
      </c>
      <c r="R67" s="1225">
        <v>179564</v>
      </c>
      <c r="S67" s="1225"/>
      <c r="T67" s="1225">
        <v>-1091744</v>
      </c>
      <c r="U67" s="1225">
        <v>-1514353</v>
      </c>
    </row>
    <row r="68" spans="1:21" ht="15" x14ac:dyDescent="0.25">
      <c r="A68" s="1220" t="s">
        <v>2599</v>
      </c>
      <c r="B68" s="1222">
        <v>1.3596999999999999E-3</v>
      </c>
      <c r="C68" s="1222">
        <v>1.5459E-3</v>
      </c>
      <c r="D68" s="1225">
        <v>-26843</v>
      </c>
      <c r="E68" s="1224"/>
      <c r="F68" s="1225">
        <v>0</v>
      </c>
      <c r="G68" s="1225">
        <v>275</v>
      </c>
      <c r="H68" s="1225">
        <v>0</v>
      </c>
      <c r="I68" s="1225">
        <v>2705</v>
      </c>
      <c r="J68" s="1224"/>
      <c r="K68" s="1225">
        <v>1294</v>
      </c>
      <c r="L68" s="1225"/>
      <c r="M68" s="1225">
        <v>0</v>
      </c>
      <c r="N68" s="1225">
        <v>512</v>
      </c>
      <c r="O68" s="1224"/>
      <c r="P68" s="1225">
        <v>1808</v>
      </c>
      <c r="Q68" s="1225">
        <v>1192</v>
      </c>
      <c r="R68" s="1225">
        <v>3000</v>
      </c>
      <c r="S68" s="1225"/>
      <c r="T68" s="1225">
        <v>-22189</v>
      </c>
      <c r="U68" s="1225">
        <v>-30778</v>
      </c>
    </row>
    <row r="69" spans="1:21" ht="15" x14ac:dyDescent="0.25">
      <c r="A69" s="1220" t="s">
        <v>2600</v>
      </c>
      <c r="B69" s="1222">
        <v>2.137E-3</v>
      </c>
      <c r="C69" s="1222">
        <v>2.5293999999999998E-3</v>
      </c>
      <c r="D69" s="1225">
        <v>-42189</v>
      </c>
      <c r="E69" s="1224"/>
      <c r="F69" s="1225">
        <v>0</v>
      </c>
      <c r="G69" s="1225">
        <v>432</v>
      </c>
      <c r="H69" s="1225">
        <v>0</v>
      </c>
      <c r="I69" s="1225">
        <v>5701</v>
      </c>
      <c r="J69" s="1224"/>
      <c r="K69" s="1225">
        <v>2034</v>
      </c>
      <c r="L69" s="1225"/>
      <c r="M69" s="1225">
        <v>0</v>
      </c>
      <c r="N69" s="1225">
        <v>758</v>
      </c>
      <c r="O69" s="1224"/>
      <c r="P69" s="1225">
        <v>2842</v>
      </c>
      <c r="Q69" s="1225">
        <v>1625</v>
      </c>
      <c r="R69" s="1225">
        <v>4467</v>
      </c>
      <c r="S69" s="1225"/>
      <c r="T69" s="1225">
        <v>-34874</v>
      </c>
      <c r="U69" s="1225">
        <v>-48373</v>
      </c>
    </row>
    <row r="70" spans="1:21" ht="15" x14ac:dyDescent="0.25">
      <c r="A70" s="1220" t="s">
        <v>2601</v>
      </c>
      <c r="B70" s="1222">
        <v>1.1358E-2</v>
      </c>
      <c r="C70" s="1222">
        <v>1.29754E-2</v>
      </c>
      <c r="D70" s="1225">
        <v>-224230</v>
      </c>
      <c r="E70" s="1224"/>
      <c r="F70" s="1225">
        <v>0</v>
      </c>
      <c r="G70" s="1225">
        <v>2294</v>
      </c>
      <c r="H70" s="1225">
        <v>0</v>
      </c>
      <c r="I70" s="1225">
        <v>23500</v>
      </c>
      <c r="J70" s="1224"/>
      <c r="K70" s="1225">
        <v>10813</v>
      </c>
      <c r="L70" s="1225"/>
      <c r="M70" s="1225">
        <v>0</v>
      </c>
      <c r="N70" s="1225">
        <v>43502</v>
      </c>
      <c r="O70" s="1224"/>
      <c r="P70" s="1225">
        <v>15106</v>
      </c>
      <c r="Q70" s="1225">
        <v>63472</v>
      </c>
      <c r="R70" s="1225">
        <v>78578</v>
      </c>
      <c r="S70" s="1225"/>
      <c r="T70" s="1225">
        <v>-185351</v>
      </c>
      <c r="U70" s="1225">
        <v>-257100</v>
      </c>
    </row>
    <row r="71" spans="1:21" ht="15" x14ac:dyDescent="0.25">
      <c r="A71" s="1220" t="s">
        <v>2602</v>
      </c>
      <c r="B71" s="1222">
        <v>7.6851999999999997E-3</v>
      </c>
      <c r="C71" s="1222">
        <v>8.5197999999999992E-3</v>
      </c>
      <c r="D71" s="1225">
        <v>-151721</v>
      </c>
      <c r="E71" s="1224"/>
      <c r="F71" s="1225">
        <v>0</v>
      </c>
      <c r="G71" s="1225">
        <v>1552</v>
      </c>
      <c r="H71" s="1225">
        <v>0</v>
      </c>
      <c r="I71" s="1225">
        <v>12125</v>
      </c>
      <c r="J71" s="1224"/>
      <c r="K71" s="1225">
        <v>7316</v>
      </c>
      <c r="L71" s="1225"/>
      <c r="M71" s="1225">
        <v>0</v>
      </c>
      <c r="N71" s="1225">
        <v>1347</v>
      </c>
      <c r="O71" s="1224"/>
      <c r="P71" s="1225">
        <v>10221</v>
      </c>
      <c r="Q71" s="1225">
        <v>2688</v>
      </c>
      <c r="R71" s="1225">
        <v>12909</v>
      </c>
      <c r="S71" s="1225"/>
      <c r="T71" s="1225">
        <v>-125415</v>
      </c>
      <c r="U71" s="1225">
        <v>-173962</v>
      </c>
    </row>
    <row r="72" spans="1:21" ht="15" x14ac:dyDescent="0.25">
      <c r="A72" s="1220" t="s">
        <v>2603</v>
      </c>
      <c r="B72" s="1222">
        <v>2.3000300000000001E-2</v>
      </c>
      <c r="C72" s="1222">
        <v>2.6295800000000001E-2</v>
      </c>
      <c r="D72" s="1225">
        <v>-454072</v>
      </c>
      <c r="E72" s="1224"/>
      <c r="F72" s="1225">
        <v>0</v>
      </c>
      <c r="G72" s="1225">
        <v>4646</v>
      </c>
      <c r="H72" s="1225">
        <v>0</v>
      </c>
      <c r="I72" s="1225">
        <v>56256</v>
      </c>
      <c r="J72" s="1224"/>
      <c r="K72" s="1225">
        <v>21896</v>
      </c>
      <c r="L72" s="1225"/>
      <c r="M72" s="1225">
        <v>0</v>
      </c>
      <c r="N72" s="1225">
        <v>0</v>
      </c>
      <c r="O72" s="1224"/>
      <c r="P72" s="1225">
        <v>30590</v>
      </c>
      <c r="Q72" s="1225">
        <v>20568</v>
      </c>
      <c r="R72" s="1225">
        <v>51158</v>
      </c>
      <c r="S72" s="1225"/>
      <c r="T72" s="1225">
        <v>-375342</v>
      </c>
      <c r="U72" s="1225">
        <v>-520635</v>
      </c>
    </row>
    <row r="73" spans="1:21" ht="15" x14ac:dyDescent="0.25">
      <c r="A73" s="1220" t="s">
        <v>2604</v>
      </c>
      <c r="B73" s="1222">
        <v>1.3519000000000001E-3</v>
      </c>
      <c r="C73" s="1222">
        <v>1.4216999999999999E-3</v>
      </c>
      <c r="D73" s="1225">
        <v>-26689</v>
      </c>
      <c r="E73" s="1224"/>
      <c r="F73" s="1225">
        <v>0</v>
      </c>
      <c r="G73" s="1225">
        <v>273</v>
      </c>
      <c r="H73" s="1225">
        <v>0</v>
      </c>
      <c r="I73" s="1225">
        <v>2237</v>
      </c>
      <c r="J73" s="1224"/>
      <c r="K73" s="1225">
        <v>1287</v>
      </c>
      <c r="L73" s="1225"/>
      <c r="M73" s="1225">
        <v>0</v>
      </c>
      <c r="N73" s="1225">
        <v>0</v>
      </c>
      <c r="O73" s="1224"/>
      <c r="P73" s="1225">
        <v>1798</v>
      </c>
      <c r="Q73" s="1225">
        <v>2849</v>
      </c>
      <c r="R73" s="1225">
        <v>4647</v>
      </c>
      <c r="S73" s="1225"/>
      <c r="T73" s="1225">
        <v>-22062</v>
      </c>
      <c r="U73" s="1225">
        <v>-30602</v>
      </c>
    </row>
    <row r="74" spans="1:21" ht="15" x14ac:dyDescent="0.25">
      <c r="A74" s="1220" t="s">
        <v>2605</v>
      </c>
      <c r="B74" s="1222">
        <v>2.0350799999999999E-2</v>
      </c>
      <c r="C74" s="1222">
        <v>2.2576100000000002E-2</v>
      </c>
      <c r="D74" s="1225">
        <v>-401765</v>
      </c>
      <c r="E74" s="1224"/>
      <c r="F74" s="1225">
        <v>0</v>
      </c>
      <c r="G74" s="1225">
        <v>4111</v>
      </c>
      <c r="H74" s="1225">
        <v>0</v>
      </c>
      <c r="I74" s="1225">
        <v>32331</v>
      </c>
      <c r="J74" s="1224"/>
      <c r="K74" s="1225">
        <v>19374</v>
      </c>
      <c r="L74" s="1225"/>
      <c r="M74" s="1225">
        <v>0</v>
      </c>
      <c r="N74" s="1225">
        <v>3448</v>
      </c>
      <c r="O74" s="1224"/>
      <c r="P74" s="1225">
        <v>27067</v>
      </c>
      <c r="Q74" s="1225">
        <v>9899</v>
      </c>
      <c r="R74" s="1225">
        <v>36966</v>
      </c>
      <c r="S74" s="1225"/>
      <c r="T74" s="1225">
        <v>-332105</v>
      </c>
      <c r="U74" s="1225">
        <v>-460661</v>
      </c>
    </row>
    <row r="75" spans="1:21" ht="15" x14ac:dyDescent="0.25">
      <c r="A75" s="1220" t="s">
        <v>2606</v>
      </c>
      <c r="B75" s="1222">
        <v>1.01215E-2</v>
      </c>
      <c r="C75" s="1222">
        <v>1.1271E-2</v>
      </c>
      <c r="D75" s="1225">
        <v>-199819</v>
      </c>
      <c r="E75" s="1224"/>
      <c r="F75" s="1225">
        <v>0</v>
      </c>
      <c r="G75" s="1225">
        <v>2045</v>
      </c>
      <c r="H75" s="1225">
        <v>0</v>
      </c>
      <c r="I75" s="1225">
        <v>16702</v>
      </c>
      <c r="J75" s="1224"/>
      <c r="K75" s="1225">
        <v>9636</v>
      </c>
      <c r="L75" s="1225"/>
      <c r="M75" s="1225">
        <v>0</v>
      </c>
      <c r="N75" s="1225">
        <v>92</v>
      </c>
      <c r="O75" s="1224"/>
      <c r="P75" s="1225">
        <v>13462</v>
      </c>
      <c r="Q75" s="1225">
        <v>6024</v>
      </c>
      <c r="R75" s="1225">
        <v>19486</v>
      </c>
      <c r="S75" s="1225"/>
      <c r="T75" s="1225">
        <v>-165173</v>
      </c>
      <c r="U75" s="1225">
        <v>-229110</v>
      </c>
    </row>
    <row r="76" spans="1:21" ht="15" x14ac:dyDescent="0.25">
      <c r="A76" s="1220" t="s">
        <v>2607</v>
      </c>
      <c r="B76" s="1222">
        <v>1.2507E-3</v>
      </c>
      <c r="C76" s="1222">
        <v>1.3504999999999999E-3</v>
      </c>
      <c r="D76" s="1225">
        <v>-24691</v>
      </c>
      <c r="E76" s="1224"/>
      <c r="F76" s="1225">
        <v>0</v>
      </c>
      <c r="G76" s="1225">
        <v>253</v>
      </c>
      <c r="H76" s="1225">
        <v>0</v>
      </c>
      <c r="I76" s="1225">
        <v>1892</v>
      </c>
      <c r="J76" s="1224"/>
      <c r="K76" s="1225">
        <v>1191</v>
      </c>
      <c r="L76" s="1225"/>
      <c r="M76" s="1225">
        <v>0</v>
      </c>
      <c r="N76" s="1225">
        <v>0</v>
      </c>
      <c r="O76" s="1224"/>
      <c r="P76" s="1225">
        <v>1663</v>
      </c>
      <c r="Q76" s="1225">
        <v>1681</v>
      </c>
      <c r="R76" s="1225">
        <v>3344</v>
      </c>
      <c r="S76" s="1225"/>
      <c r="T76" s="1225">
        <v>-20410</v>
      </c>
      <c r="U76" s="1225">
        <v>-28311</v>
      </c>
    </row>
    <row r="77" spans="1:21" ht="15" x14ac:dyDescent="0.25">
      <c r="A77" s="1220" t="s">
        <v>2608</v>
      </c>
      <c r="B77" s="1222">
        <v>3.4764000000000001E-3</v>
      </c>
      <c r="C77" s="1222">
        <v>4.0229999999999997E-3</v>
      </c>
      <c r="D77" s="1225">
        <v>-68631</v>
      </c>
      <c r="E77" s="1224"/>
      <c r="F77" s="1225">
        <v>0</v>
      </c>
      <c r="G77" s="1225">
        <v>702</v>
      </c>
      <c r="H77" s="1225">
        <v>0</v>
      </c>
      <c r="I77" s="1225">
        <v>7949</v>
      </c>
      <c r="J77" s="1224"/>
      <c r="K77" s="1225">
        <v>3310</v>
      </c>
      <c r="L77" s="1225"/>
      <c r="M77" s="1225">
        <v>0</v>
      </c>
      <c r="N77" s="1225">
        <v>0</v>
      </c>
      <c r="O77" s="1224"/>
      <c r="P77" s="1225">
        <v>4624</v>
      </c>
      <c r="Q77" s="1225">
        <v>4016</v>
      </c>
      <c r="R77" s="1225">
        <v>8640</v>
      </c>
      <c r="S77" s="1225"/>
      <c r="T77" s="1225">
        <v>-56731</v>
      </c>
      <c r="U77" s="1225">
        <v>-78692</v>
      </c>
    </row>
    <row r="78" spans="1:21" ht="15" x14ac:dyDescent="0.25">
      <c r="A78" s="1220" t="s">
        <v>2609</v>
      </c>
      <c r="B78" s="1222">
        <v>6.2163000000000001E-3</v>
      </c>
      <c r="C78" s="1222">
        <v>7.2078999999999997E-3</v>
      </c>
      <c r="D78" s="1225">
        <v>-122722</v>
      </c>
      <c r="E78" s="1224"/>
      <c r="F78" s="1225">
        <v>0</v>
      </c>
      <c r="G78" s="1225">
        <v>1256</v>
      </c>
      <c r="H78" s="1225">
        <v>0</v>
      </c>
      <c r="I78" s="1225">
        <v>16132</v>
      </c>
      <c r="J78" s="1224"/>
      <c r="K78" s="1225">
        <v>5918</v>
      </c>
      <c r="L78" s="1225"/>
      <c r="M78" s="1225">
        <v>0</v>
      </c>
      <c r="N78" s="1225">
        <v>0</v>
      </c>
      <c r="O78" s="1224"/>
      <c r="P78" s="1225">
        <v>8268</v>
      </c>
      <c r="Q78" s="1225">
        <v>4508</v>
      </c>
      <c r="R78" s="1225">
        <v>12776</v>
      </c>
      <c r="S78" s="1225"/>
      <c r="T78" s="1225">
        <v>-101444</v>
      </c>
      <c r="U78" s="1225">
        <v>-140712</v>
      </c>
    </row>
    <row r="79" spans="1:21" ht="15" x14ac:dyDescent="0.25">
      <c r="A79" s="1220" t="s">
        <v>2610</v>
      </c>
      <c r="B79" s="1222">
        <v>1.1808000000000001E-3</v>
      </c>
      <c r="C79" s="1222">
        <v>1.3741000000000001E-3</v>
      </c>
      <c r="D79" s="1225">
        <v>-23311</v>
      </c>
      <c r="E79" s="1224"/>
      <c r="F79" s="1225">
        <v>0</v>
      </c>
      <c r="G79" s="1225">
        <v>239</v>
      </c>
      <c r="H79" s="1225">
        <v>0</v>
      </c>
      <c r="I79" s="1225">
        <v>2808</v>
      </c>
      <c r="J79" s="1224"/>
      <c r="K79" s="1225">
        <v>1124</v>
      </c>
      <c r="L79" s="1225"/>
      <c r="M79" s="1225">
        <v>0</v>
      </c>
      <c r="N79" s="1225">
        <v>665</v>
      </c>
      <c r="O79" s="1224"/>
      <c r="P79" s="1225">
        <v>1570</v>
      </c>
      <c r="Q79" s="1225">
        <v>1169</v>
      </c>
      <c r="R79" s="1225">
        <v>2739</v>
      </c>
      <c r="S79" s="1225"/>
      <c r="T79" s="1225">
        <v>-19269</v>
      </c>
      <c r="U79" s="1225">
        <v>-26729</v>
      </c>
    </row>
    <row r="80" spans="1:21" ht="15" x14ac:dyDescent="0.25">
      <c r="A80" s="1220" t="s">
        <v>2611</v>
      </c>
      <c r="B80" s="1222">
        <v>3.0278000000000002E-3</v>
      </c>
      <c r="C80" s="1222">
        <v>3.4971999999999998E-3</v>
      </c>
      <c r="D80" s="1225">
        <v>-59775</v>
      </c>
      <c r="E80" s="1224"/>
      <c r="F80" s="1225">
        <v>0</v>
      </c>
      <c r="G80" s="1225">
        <v>612</v>
      </c>
      <c r="H80" s="1225">
        <v>0</v>
      </c>
      <c r="I80" s="1225">
        <v>6820</v>
      </c>
      <c r="J80" s="1224"/>
      <c r="K80" s="1225">
        <v>2882</v>
      </c>
      <c r="L80" s="1225"/>
      <c r="M80" s="1225">
        <v>0</v>
      </c>
      <c r="N80" s="1225">
        <v>364</v>
      </c>
      <c r="O80" s="1224"/>
      <c r="P80" s="1225">
        <v>4027</v>
      </c>
      <c r="Q80" s="1225">
        <v>2510</v>
      </c>
      <c r="R80" s="1225">
        <v>6537</v>
      </c>
      <c r="S80" s="1225"/>
      <c r="T80" s="1225">
        <v>-49411</v>
      </c>
      <c r="U80" s="1225">
        <v>-68537</v>
      </c>
    </row>
    <row r="81" spans="1:21" ht="15" x14ac:dyDescent="0.25">
      <c r="A81" s="1220" t="s">
        <v>2612</v>
      </c>
      <c r="B81" s="1222">
        <v>1.30533E-2</v>
      </c>
      <c r="C81" s="1222">
        <v>1.43987E-2</v>
      </c>
      <c r="D81" s="1225">
        <v>-257698</v>
      </c>
      <c r="E81" s="1224"/>
      <c r="F81" s="1225">
        <v>0</v>
      </c>
      <c r="G81" s="1225">
        <v>2637</v>
      </c>
      <c r="H81" s="1225">
        <v>0</v>
      </c>
      <c r="I81" s="1225">
        <v>20464</v>
      </c>
      <c r="J81" s="1224"/>
      <c r="K81" s="1225">
        <v>12427</v>
      </c>
      <c r="L81" s="1225"/>
      <c r="M81" s="1225">
        <v>0</v>
      </c>
      <c r="N81" s="1225">
        <v>0</v>
      </c>
      <c r="O81" s="1224"/>
      <c r="P81" s="1225">
        <v>17361</v>
      </c>
      <c r="Q81" s="1225">
        <v>6003</v>
      </c>
      <c r="R81" s="1225">
        <v>23364</v>
      </c>
      <c r="S81" s="1225"/>
      <c r="T81" s="1225">
        <v>-213017</v>
      </c>
      <c r="U81" s="1225">
        <v>-295474</v>
      </c>
    </row>
    <row r="82" spans="1:21" ht="15" x14ac:dyDescent="0.25">
      <c r="A82" s="1220" t="s">
        <v>2613</v>
      </c>
      <c r="B82" s="1222">
        <v>2.1887E-3</v>
      </c>
      <c r="C82" s="1222">
        <v>2.7234E-3</v>
      </c>
      <c r="D82" s="1225">
        <v>-43209</v>
      </c>
      <c r="E82" s="1224"/>
      <c r="F82" s="1225">
        <v>0</v>
      </c>
      <c r="G82" s="1225">
        <v>442</v>
      </c>
      <c r="H82" s="1225">
        <v>0</v>
      </c>
      <c r="I82" s="1225">
        <v>7770</v>
      </c>
      <c r="J82" s="1224"/>
      <c r="K82" s="1225">
        <v>2084</v>
      </c>
      <c r="L82" s="1225"/>
      <c r="M82" s="1225">
        <v>0</v>
      </c>
      <c r="N82" s="1225">
        <v>2768</v>
      </c>
      <c r="O82" s="1224"/>
      <c r="P82" s="1225">
        <v>2911</v>
      </c>
      <c r="Q82" s="1225">
        <v>-389</v>
      </c>
      <c r="R82" s="1225">
        <v>2522</v>
      </c>
      <c r="S82" s="1225"/>
      <c r="T82" s="1225">
        <v>-35717</v>
      </c>
      <c r="U82" s="1225">
        <v>-49543</v>
      </c>
    </row>
    <row r="83" spans="1:21" ht="15" x14ac:dyDescent="0.25">
      <c r="A83" s="1220" t="s">
        <v>2614</v>
      </c>
      <c r="B83" s="1222">
        <v>1.03541E-2</v>
      </c>
      <c r="C83" s="1222">
        <v>1.17597E-2</v>
      </c>
      <c r="D83" s="1225">
        <v>-204411</v>
      </c>
      <c r="E83" s="1224"/>
      <c r="F83" s="1225">
        <v>0</v>
      </c>
      <c r="G83" s="1225">
        <v>2092</v>
      </c>
      <c r="H83" s="1225">
        <v>0</v>
      </c>
      <c r="I83" s="1225">
        <v>22356</v>
      </c>
      <c r="J83" s="1224"/>
      <c r="K83" s="1225">
        <v>9857</v>
      </c>
      <c r="L83" s="1225"/>
      <c r="M83" s="1225">
        <v>0</v>
      </c>
      <c r="N83" s="1225">
        <v>0</v>
      </c>
      <c r="O83" s="1224"/>
      <c r="P83" s="1225">
        <v>13771</v>
      </c>
      <c r="Q83" s="1225">
        <v>11006</v>
      </c>
      <c r="R83" s="1225">
        <v>24777</v>
      </c>
      <c r="S83" s="1225"/>
      <c r="T83" s="1225">
        <v>-168969</v>
      </c>
      <c r="U83" s="1225">
        <v>-234375</v>
      </c>
    </row>
    <row r="84" spans="1:21" ht="15" x14ac:dyDescent="0.25">
      <c r="A84" s="1220" t="s">
        <v>2615</v>
      </c>
      <c r="B84" s="1222">
        <v>2.4407000000000001E-3</v>
      </c>
      <c r="C84" s="1222">
        <v>3.0539E-3</v>
      </c>
      <c r="D84" s="1225">
        <v>-48184</v>
      </c>
      <c r="E84" s="1224"/>
      <c r="F84" s="1225">
        <v>0</v>
      </c>
      <c r="G84" s="1225">
        <v>493</v>
      </c>
      <c r="H84" s="1225">
        <v>0</v>
      </c>
      <c r="I84" s="1225">
        <v>8909</v>
      </c>
      <c r="J84" s="1224"/>
      <c r="K84" s="1225">
        <v>2324</v>
      </c>
      <c r="L84" s="1225"/>
      <c r="M84" s="1225">
        <v>0</v>
      </c>
      <c r="N84" s="1225">
        <v>1937</v>
      </c>
      <c r="O84" s="1224"/>
      <c r="P84" s="1225">
        <v>3246</v>
      </c>
      <c r="Q84" s="1225">
        <v>2196</v>
      </c>
      <c r="R84" s="1225">
        <v>5442</v>
      </c>
      <c r="S84" s="1225"/>
      <c r="T84" s="1225">
        <v>-39830</v>
      </c>
      <c r="U84" s="1225">
        <v>-55248</v>
      </c>
    </row>
    <row r="85" spans="1:21" ht="15" x14ac:dyDescent="0.25">
      <c r="A85" s="1220" t="s">
        <v>2616</v>
      </c>
      <c r="B85" s="1222">
        <v>7.1928000000000001E-3</v>
      </c>
      <c r="C85" s="1222">
        <v>8.0315000000000004E-3</v>
      </c>
      <c r="D85" s="1225">
        <v>-142000</v>
      </c>
      <c r="E85" s="1224"/>
      <c r="F85" s="1225">
        <v>0</v>
      </c>
      <c r="G85" s="1225">
        <v>1453</v>
      </c>
      <c r="H85" s="1225">
        <v>0</v>
      </c>
      <c r="I85" s="1225">
        <v>12187</v>
      </c>
      <c r="J85" s="1224"/>
      <c r="K85" s="1225">
        <v>6848</v>
      </c>
      <c r="L85" s="1225"/>
      <c r="M85" s="1225">
        <v>0</v>
      </c>
      <c r="N85" s="1225">
        <v>1135</v>
      </c>
      <c r="O85" s="1224"/>
      <c r="P85" s="1225">
        <v>9566</v>
      </c>
      <c r="Q85" s="1225">
        <v>5782</v>
      </c>
      <c r="R85" s="1225">
        <v>15348</v>
      </c>
      <c r="S85" s="1225"/>
      <c r="T85" s="1225">
        <v>-117379</v>
      </c>
      <c r="U85" s="1225">
        <v>-162816</v>
      </c>
    </row>
    <row r="86" spans="1:21" ht="15" x14ac:dyDescent="0.25">
      <c r="A86" s="1220" t="s">
        <v>2617</v>
      </c>
      <c r="B86" s="1222">
        <v>7.6769999999999998E-3</v>
      </c>
      <c r="C86" s="1222">
        <v>8.4376999999999994E-3</v>
      </c>
      <c r="D86" s="1225">
        <v>-151559</v>
      </c>
      <c r="E86" s="1224"/>
      <c r="F86" s="1225">
        <v>0</v>
      </c>
      <c r="G86" s="1225">
        <v>1551</v>
      </c>
      <c r="H86" s="1225">
        <v>0</v>
      </c>
      <c r="I86" s="1225">
        <v>11053</v>
      </c>
      <c r="J86" s="1224"/>
      <c r="K86" s="1225">
        <v>7309</v>
      </c>
      <c r="L86" s="1225"/>
      <c r="M86" s="1225">
        <v>0</v>
      </c>
      <c r="N86" s="1225">
        <v>2611</v>
      </c>
      <c r="O86" s="1224"/>
      <c r="P86" s="1225">
        <v>10210</v>
      </c>
      <c r="Q86" s="1225">
        <v>828</v>
      </c>
      <c r="R86" s="1225">
        <v>11038</v>
      </c>
      <c r="S86" s="1225"/>
      <c r="T86" s="1225">
        <v>-125281</v>
      </c>
      <c r="U86" s="1225">
        <v>-173777</v>
      </c>
    </row>
    <row r="87" spans="1:21" ht="15" x14ac:dyDescent="0.25">
      <c r="A87" s="1220" t="s">
        <v>2618</v>
      </c>
      <c r="B87" s="1222">
        <v>1.24107E-2</v>
      </c>
      <c r="C87" s="1222">
        <v>1.3658699999999999E-2</v>
      </c>
      <c r="D87" s="1225">
        <v>-245012</v>
      </c>
      <c r="E87" s="1224"/>
      <c r="F87" s="1225">
        <v>0</v>
      </c>
      <c r="G87" s="1225">
        <v>2507</v>
      </c>
      <c r="H87" s="1225">
        <v>0</v>
      </c>
      <c r="I87" s="1225">
        <v>18132</v>
      </c>
      <c r="J87" s="1224"/>
      <c r="K87" s="1225">
        <v>11815</v>
      </c>
      <c r="L87" s="1225"/>
      <c r="M87" s="1225">
        <v>0</v>
      </c>
      <c r="N87" s="1225">
        <v>2964</v>
      </c>
      <c r="O87" s="1224"/>
      <c r="P87" s="1225">
        <v>16506</v>
      </c>
      <c r="Q87" s="1225">
        <v>-245</v>
      </c>
      <c r="R87" s="1225">
        <v>16261</v>
      </c>
      <c r="S87" s="1225"/>
      <c r="T87" s="1225">
        <v>-202530</v>
      </c>
      <c r="U87" s="1225">
        <v>-280929</v>
      </c>
    </row>
    <row r="88" spans="1:21" ht="15" x14ac:dyDescent="0.25">
      <c r="A88" s="1220" t="s">
        <v>2619</v>
      </c>
      <c r="B88" s="1222">
        <v>6.0493999999999999E-3</v>
      </c>
      <c r="C88" s="1222">
        <v>6.7662E-3</v>
      </c>
      <c r="D88" s="1225">
        <v>-119427</v>
      </c>
      <c r="E88" s="1224"/>
      <c r="F88" s="1225">
        <v>0</v>
      </c>
      <c r="G88" s="1225">
        <v>1222</v>
      </c>
      <c r="H88" s="1225">
        <v>0</v>
      </c>
      <c r="I88" s="1225">
        <v>11002</v>
      </c>
      <c r="J88" s="1224"/>
      <c r="K88" s="1225">
        <v>5759</v>
      </c>
      <c r="L88" s="1225"/>
      <c r="M88" s="1225">
        <v>0</v>
      </c>
      <c r="N88" s="1225">
        <v>0</v>
      </c>
      <c r="O88" s="1224"/>
      <c r="P88" s="1225">
        <v>8046</v>
      </c>
      <c r="Q88" s="1225">
        <v>1946</v>
      </c>
      <c r="R88" s="1225">
        <v>9992</v>
      </c>
      <c r="S88" s="1225"/>
      <c r="T88" s="1225">
        <v>-98720</v>
      </c>
      <c r="U88" s="1225">
        <v>-136934</v>
      </c>
    </row>
    <row r="89" spans="1:21" ht="15" x14ac:dyDescent="0.25">
      <c r="A89" s="1220" t="s">
        <v>2620</v>
      </c>
      <c r="B89" s="1222">
        <v>4.1282000000000003E-3</v>
      </c>
      <c r="C89" s="1222">
        <v>4.7327999999999997E-3</v>
      </c>
      <c r="D89" s="1225">
        <v>-81499</v>
      </c>
      <c r="E89" s="1224"/>
      <c r="F89" s="1225">
        <v>0</v>
      </c>
      <c r="G89" s="1225">
        <v>834</v>
      </c>
      <c r="H89" s="1225">
        <v>0</v>
      </c>
      <c r="I89" s="1225">
        <v>9572</v>
      </c>
      <c r="J89" s="1224"/>
      <c r="K89" s="1225">
        <v>3930</v>
      </c>
      <c r="L89" s="1225"/>
      <c r="M89" s="1225">
        <v>0</v>
      </c>
      <c r="N89" s="1225">
        <v>0</v>
      </c>
      <c r="O89" s="1224"/>
      <c r="P89" s="1225">
        <v>5491</v>
      </c>
      <c r="Q89" s="1225">
        <v>4614</v>
      </c>
      <c r="R89" s="1225">
        <v>10105</v>
      </c>
      <c r="S89" s="1225"/>
      <c r="T89" s="1225">
        <v>-67368</v>
      </c>
      <c r="U89" s="1225">
        <v>-93446</v>
      </c>
    </row>
    <row r="90" spans="1:21" ht="15" x14ac:dyDescent="0.25">
      <c r="A90" s="1220" t="s">
        <v>2621</v>
      </c>
      <c r="B90" s="1222">
        <v>2.6971E-3</v>
      </c>
      <c r="C90" s="1222">
        <v>2.7859999999999998E-3</v>
      </c>
      <c r="D90" s="1225">
        <v>-53246</v>
      </c>
      <c r="E90" s="1224"/>
      <c r="F90" s="1225">
        <v>0</v>
      </c>
      <c r="G90" s="1225">
        <v>545</v>
      </c>
      <c r="H90" s="1225">
        <v>0</v>
      </c>
      <c r="I90" s="1225">
        <v>2362</v>
      </c>
      <c r="J90" s="1224"/>
      <c r="K90" s="1225">
        <v>2568</v>
      </c>
      <c r="L90" s="1225"/>
      <c r="M90" s="1225">
        <v>0</v>
      </c>
      <c r="N90" s="1225">
        <v>0</v>
      </c>
      <c r="O90" s="1224"/>
      <c r="P90" s="1225">
        <v>3587</v>
      </c>
      <c r="Q90" s="1225">
        <v>2049</v>
      </c>
      <c r="R90" s="1225">
        <v>5636</v>
      </c>
      <c r="S90" s="1225"/>
      <c r="T90" s="1225">
        <v>-44014</v>
      </c>
      <c r="U90" s="1225">
        <v>-61052</v>
      </c>
    </row>
    <row r="91" spans="1:21" ht="15" x14ac:dyDescent="0.25">
      <c r="A91" s="1220" t="s">
        <v>2622</v>
      </c>
      <c r="B91" s="1222">
        <v>5.7082000000000001E-3</v>
      </c>
      <c r="C91" s="1222">
        <v>6.2506999999999997E-3</v>
      </c>
      <c r="D91" s="1225">
        <v>-112691</v>
      </c>
      <c r="E91" s="1224"/>
      <c r="F91" s="1225">
        <v>0</v>
      </c>
      <c r="G91" s="1225">
        <v>1153</v>
      </c>
      <c r="H91" s="1225">
        <v>0</v>
      </c>
      <c r="I91" s="1225">
        <v>8599</v>
      </c>
      <c r="J91" s="1224"/>
      <c r="K91" s="1225">
        <v>5434</v>
      </c>
      <c r="L91" s="1225"/>
      <c r="M91" s="1225">
        <v>0</v>
      </c>
      <c r="N91" s="1225">
        <v>0</v>
      </c>
      <c r="O91" s="1224"/>
      <c r="P91" s="1225">
        <v>7592</v>
      </c>
      <c r="Q91" s="1225">
        <v>1356</v>
      </c>
      <c r="R91" s="1225">
        <v>8948</v>
      </c>
      <c r="S91" s="1225"/>
      <c r="T91" s="1225">
        <v>-93152</v>
      </c>
      <c r="U91" s="1225">
        <v>-129211</v>
      </c>
    </row>
    <row r="92" spans="1:21" ht="15" x14ac:dyDescent="0.25">
      <c r="A92" s="1220" t="s">
        <v>2623</v>
      </c>
      <c r="B92" s="1222">
        <v>3.1526000000000002E-3</v>
      </c>
      <c r="C92" s="1222">
        <v>3.6289E-3</v>
      </c>
      <c r="D92" s="1225">
        <v>-62239</v>
      </c>
      <c r="E92" s="1224"/>
      <c r="F92" s="1225">
        <v>0</v>
      </c>
      <c r="G92" s="1225">
        <v>637</v>
      </c>
      <c r="H92" s="1225">
        <v>0</v>
      </c>
      <c r="I92" s="1225">
        <v>8270</v>
      </c>
      <c r="J92" s="1224"/>
      <c r="K92" s="1225">
        <v>3001</v>
      </c>
      <c r="L92" s="1225"/>
      <c r="M92" s="1225">
        <v>0</v>
      </c>
      <c r="N92" s="1225">
        <v>0</v>
      </c>
      <c r="O92" s="1224"/>
      <c r="P92" s="1225">
        <v>4193</v>
      </c>
      <c r="Q92" s="1225">
        <v>3080</v>
      </c>
      <c r="R92" s="1225">
        <v>7273</v>
      </c>
      <c r="S92" s="1225"/>
      <c r="T92" s="1225">
        <v>-51447</v>
      </c>
      <c r="U92" s="1225">
        <v>-71362</v>
      </c>
    </row>
    <row r="93" spans="1:21" ht="15" x14ac:dyDescent="0.25">
      <c r="A93" s="1220" t="s">
        <v>2624</v>
      </c>
      <c r="B93" s="1222">
        <v>6.3070000000000001E-3</v>
      </c>
      <c r="C93" s="1222">
        <v>7.6375999999999996E-3</v>
      </c>
      <c r="D93" s="1225">
        <v>-124513</v>
      </c>
      <c r="E93" s="1224"/>
      <c r="F93" s="1225">
        <v>0</v>
      </c>
      <c r="G93" s="1225">
        <v>1274</v>
      </c>
      <c r="H93" s="1225">
        <v>0</v>
      </c>
      <c r="I93" s="1225">
        <v>19333</v>
      </c>
      <c r="J93" s="1224"/>
      <c r="K93" s="1225">
        <v>6004</v>
      </c>
      <c r="L93" s="1225"/>
      <c r="M93" s="1225">
        <v>0</v>
      </c>
      <c r="N93" s="1225">
        <v>9206</v>
      </c>
      <c r="O93" s="1224"/>
      <c r="P93" s="1225">
        <v>8388</v>
      </c>
      <c r="Q93" s="1225">
        <v>3299</v>
      </c>
      <c r="R93" s="1225">
        <v>11687</v>
      </c>
      <c r="S93" s="1225"/>
      <c r="T93" s="1225">
        <v>-102924</v>
      </c>
      <c r="U93" s="1225">
        <v>-142765</v>
      </c>
    </row>
    <row r="94" spans="1:21" ht="15" x14ac:dyDescent="0.25">
      <c r="A94" s="1220" t="s">
        <v>2625</v>
      </c>
      <c r="B94" s="1222">
        <v>2.9602999999999999E-3</v>
      </c>
      <c r="C94" s="1222">
        <v>3.0925000000000002E-3</v>
      </c>
      <c r="D94" s="1225">
        <v>-58442</v>
      </c>
      <c r="E94" s="1224"/>
      <c r="F94" s="1225">
        <v>0</v>
      </c>
      <c r="G94" s="1225">
        <v>598</v>
      </c>
      <c r="H94" s="1225">
        <v>0</v>
      </c>
      <c r="I94" s="1225">
        <v>1930</v>
      </c>
      <c r="J94" s="1224"/>
      <c r="K94" s="1225">
        <v>2818</v>
      </c>
      <c r="L94" s="1225"/>
      <c r="M94" s="1225">
        <v>0</v>
      </c>
      <c r="N94" s="1225">
        <v>0</v>
      </c>
      <c r="O94" s="1224"/>
      <c r="P94" s="1225">
        <v>3937</v>
      </c>
      <c r="Q94" s="1225">
        <v>-338</v>
      </c>
      <c r="R94" s="1225">
        <v>3599</v>
      </c>
      <c r="S94" s="1225"/>
      <c r="T94" s="1225">
        <v>-48309</v>
      </c>
      <c r="U94" s="1225">
        <v>-67009</v>
      </c>
    </row>
    <row r="95" spans="1:21" ht="15" x14ac:dyDescent="0.25">
      <c r="A95" s="1220" t="s">
        <v>2626</v>
      </c>
      <c r="B95" s="1222">
        <v>3.9773999999999999E-3</v>
      </c>
      <c r="C95" s="1222">
        <v>3.6638999999999999E-3</v>
      </c>
      <c r="D95" s="1225">
        <v>-78522</v>
      </c>
      <c r="E95" s="1224"/>
      <c r="F95" s="1225">
        <v>0</v>
      </c>
      <c r="G95" s="1225">
        <v>803</v>
      </c>
      <c r="H95" s="1225">
        <v>0</v>
      </c>
      <c r="I95" s="1225">
        <v>4348</v>
      </c>
      <c r="J95" s="1224"/>
      <c r="K95" s="1225">
        <v>3786</v>
      </c>
      <c r="L95" s="1225"/>
      <c r="M95" s="1225">
        <v>0</v>
      </c>
      <c r="N95" s="1225">
        <v>4555</v>
      </c>
      <c r="O95" s="1224"/>
      <c r="P95" s="1225">
        <v>5290</v>
      </c>
      <c r="Q95" s="1225">
        <v>2188</v>
      </c>
      <c r="R95" s="1225">
        <v>7478</v>
      </c>
      <c r="S95" s="1225"/>
      <c r="T95" s="1225">
        <v>-64907</v>
      </c>
      <c r="U95" s="1225">
        <v>-90032</v>
      </c>
    </row>
    <row r="96" spans="1:21" ht="15" x14ac:dyDescent="0.25">
      <c r="A96" s="1220" t="s">
        <v>2627</v>
      </c>
      <c r="B96" s="1222">
        <v>3.0079999999999999E-4</v>
      </c>
      <c r="C96" s="1222">
        <v>3.189E-4</v>
      </c>
      <c r="D96" s="1225">
        <v>-5938</v>
      </c>
      <c r="E96" s="1224"/>
      <c r="F96" s="1225">
        <v>0</v>
      </c>
      <c r="G96" s="1225">
        <v>61</v>
      </c>
      <c r="H96" s="1225">
        <v>0</v>
      </c>
      <c r="I96" s="1225">
        <v>263</v>
      </c>
      <c r="J96" s="1224"/>
      <c r="K96" s="1225">
        <v>286</v>
      </c>
      <c r="L96" s="1225"/>
      <c r="M96" s="1225">
        <v>0</v>
      </c>
      <c r="N96" s="1225">
        <v>86</v>
      </c>
      <c r="O96" s="1224"/>
      <c r="P96" s="1225">
        <v>400</v>
      </c>
      <c r="Q96" s="1225">
        <v>423</v>
      </c>
      <c r="R96" s="1225">
        <v>823</v>
      </c>
      <c r="S96" s="1225"/>
      <c r="T96" s="1225">
        <v>-4909</v>
      </c>
      <c r="U96" s="1225">
        <v>-6809</v>
      </c>
    </row>
    <row r="97" spans="1:21" ht="15" x14ac:dyDescent="0.25">
      <c r="A97" s="1220" t="s">
        <v>2628</v>
      </c>
      <c r="B97" s="1222">
        <v>2.3270099999999998E-2</v>
      </c>
      <c r="C97" s="1222">
        <v>2.5016799999999999E-2</v>
      </c>
      <c r="D97" s="1225">
        <v>-459398</v>
      </c>
      <c r="E97" s="1224"/>
      <c r="F97" s="1225">
        <v>0</v>
      </c>
      <c r="G97" s="1225">
        <v>4701</v>
      </c>
      <c r="H97" s="1225">
        <v>0</v>
      </c>
      <c r="I97" s="1225">
        <v>33431</v>
      </c>
      <c r="J97" s="1224"/>
      <c r="K97" s="1225">
        <v>22153</v>
      </c>
      <c r="L97" s="1225"/>
      <c r="M97" s="1225">
        <v>0</v>
      </c>
      <c r="N97" s="1225">
        <v>0</v>
      </c>
      <c r="O97" s="1224"/>
      <c r="P97" s="1225">
        <v>30949</v>
      </c>
      <c r="Q97" s="1225">
        <v>16320</v>
      </c>
      <c r="R97" s="1225">
        <v>47269</v>
      </c>
      <c r="S97" s="1225"/>
      <c r="T97" s="1225">
        <v>-379745</v>
      </c>
      <c r="U97" s="1225">
        <v>-526742</v>
      </c>
    </row>
    <row r="98" spans="1:21" ht="15" x14ac:dyDescent="0.25">
      <c r="A98" s="1220" t="s">
        <v>2629</v>
      </c>
      <c r="B98" s="1222">
        <v>2.7642000000000001E-3</v>
      </c>
      <c r="C98" s="1222">
        <v>3.6557999999999998E-3</v>
      </c>
      <c r="D98" s="1225">
        <v>-54571</v>
      </c>
      <c r="E98" s="1224"/>
      <c r="F98" s="1225">
        <v>0</v>
      </c>
      <c r="G98" s="1225">
        <v>558</v>
      </c>
      <c r="H98" s="1225">
        <v>0</v>
      </c>
      <c r="I98" s="1225">
        <v>12955</v>
      </c>
      <c r="J98" s="1224"/>
      <c r="K98" s="1225">
        <v>2632</v>
      </c>
      <c r="L98" s="1225"/>
      <c r="M98" s="1225">
        <v>0</v>
      </c>
      <c r="N98" s="1225">
        <v>634</v>
      </c>
      <c r="O98" s="1224"/>
      <c r="P98" s="1225">
        <v>3676</v>
      </c>
      <c r="Q98" s="1225">
        <v>4271</v>
      </c>
      <c r="R98" s="1225">
        <v>7947</v>
      </c>
      <c r="S98" s="1225"/>
      <c r="T98" s="1225">
        <v>-45109</v>
      </c>
      <c r="U98" s="1225">
        <v>-62570</v>
      </c>
    </row>
    <row r="99" spans="1:21" ht="15" x14ac:dyDescent="0.25">
      <c r="A99" s="1220" t="s">
        <v>2630</v>
      </c>
      <c r="B99" s="1222">
        <v>9.7142199999999998E-2</v>
      </c>
      <c r="C99" s="1222">
        <v>0.1244343</v>
      </c>
      <c r="D99" s="1225">
        <v>-1917781</v>
      </c>
      <c r="E99" s="1224"/>
      <c r="F99" s="1225">
        <v>0</v>
      </c>
      <c r="G99" s="1225">
        <v>19623</v>
      </c>
      <c r="H99" s="1225">
        <v>0</v>
      </c>
      <c r="I99" s="1225">
        <v>396527</v>
      </c>
      <c r="J99" s="1224"/>
      <c r="K99" s="1225">
        <v>92479</v>
      </c>
      <c r="L99" s="1225"/>
      <c r="M99" s="1225">
        <v>0</v>
      </c>
      <c r="N99" s="1225">
        <v>71352</v>
      </c>
      <c r="O99" s="1224"/>
      <c r="P99" s="1225">
        <v>129199</v>
      </c>
      <c r="Q99" s="1225">
        <v>-24266</v>
      </c>
      <c r="R99" s="1225">
        <v>104933</v>
      </c>
      <c r="S99" s="1225"/>
      <c r="T99" s="1225">
        <v>-1585264</v>
      </c>
      <c r="U99" s="1225">
        <v>-2198911</v>
      </c>
    </row>
    <row r="100" spans="1:21" ht="15" x14ac:dyDescent="0.25">
      <c r="A100" s="1220" t="s">
        <v>2631</v>
      </c>
      <c r="B100" s="1222">
        <v>1.405E-3</v>
      </c>
      <c r="C100" s="1222">
        <v>1.4475E-3</v>
      </c>
      <c r="D100" s="1225">
        <v>-27738</v>
      </c>
      <c r="E100" s="1224"/>
      <c r="F100" s="1225">
        <v>0</v>
      </c>
      <c r="G100" s="1225">
        <v>284</v>
      </c>
      <c r="H100" s="1225">
        <v>0</v>
      </c>
      <c r="I100" s="1225">
        <v>984</v>
      </c>
      <c r="J100" s="1224"/>
      <c r="K100" s="1225">
        <v>1338</v>
      </c>
      <c r="L100" s="1225"/>
      <c r="M100" s="1225">
        <v>0</v>
      </c>
      <c r="N100" s="1225">
        <v>0</v>
      </c>
      <c r="O100" s="1224"/>
      <c r="P100" s="1225">
        <v>1869</v>
      </c>
      <c r="Q100" s="1225">
        <v>906</v>
      </c>
      <c r="R100" s="1225">
        <v>2775</v>
      </c>
      <c r="S100" s="1225"/>
      <c r="T100" s="1225">
        <v>-22928</v>
      </c>
      <c r="U100" s="1225">
        <v>-31804</v>
      </c>
    </row>
    <row r="101" spans="1:21" ht="15" x14ac:dyDescent="0.25">
      <c r="A101" s="1220" t="s">
        <v>2632</v>
      </c>
      <c r="B101" s="1222">
        <v>7.3539999999999999E-4</v>
      </c>
      <c r="C101" s="1222">
        <v>8.5550000000000003E-4</v>
      </c>
      <c r="D101" s="1225">
        <v>-14518</v>
      </c>
      <c r="E101" s="1224"/>
      <c r="F101" s="1225">
        <v>0</v>
      </c>
      <c r="G101" s="1225">
        <v>149</v>
      </c>
      <c r="H101" s="1225">
        <v>0</v>
      </c>
      <c r="I101" s="1225">
        <v>5086</v>
      </c>
      <c r="J101" s="1224"/>
      <c r="K101" s="1225">
        <v>700</v>
      </c>
      <c r="L101" s="1225"/>
      <c r="M101" s="1225">
        <v>0</v>
      </c>
      <c r="N101" s="1225">
        <v>0</v>
      </c>
      <c r="O101" s="1224"/>
      <c r="P101" s="1225">
        <v>978</v>
      </c>
      <c r="Q101" s="1225">
        <v>3083</v>
      </c>
      <c r="R101" s="1225">
        <v>4061</v>
      </c>
      <c r="S101" s="1225"/>
      <c r="T101" s="1225">
        <v>-12001</v>
      </c>
      <c r="U101" s="1225">
        <v>-16647</v>
      </c>
    </row>
    <row r="102" spans="1:21" ht="15" x14ac:dyDescent="0.25">
      <c r="A102" s="1220" t="s">
        <v>2633</v>
      </c>
      <c r="B102" s="1222">
        <v>5.6359000000000001E-3</v>
      </c>
      <c r="C102" s="1222">
        <v>6.1612999999999998E-3</v>
      </c>
      <c r="D102" s="1225">
        <v>-111264</v>
      </c>
      <c r="E102" s="1224"/>
      <c r="F102" s="1225">
        <v>0</v>
      </c>
      <c r="G102" s="1225">
        <v>1138</v>
      </c>
      <c r="H102" s="1225">
        <v>0</v>
      </c>
      <c r="I102" s="1225">
        <v>10123</v>
      </c>
      <c r="J102" s="1224"/>
      <c r="K102" s="1225">
        <v>5365</v>
      </c>
      <c r="L102" s="1225"/>
      <c r="M102" s="1225">
        <v>0</v>
      </c>
      <c r="N102" s="1225">
        <v>0</v>
      </c>
      <c r="O102" s="1224"/>
      <c r="P102" s="1225">
        <v>7496</v>
      </c>
      <c r="Q102" s="1225">
        <v>6127</v>
      </c>
      <c r="R102" s="1225">
        <v>13623</v>
      </c>
      <c r="S102" s="1225"/>
      <c r="T102" s="1225">
        <v>-91972</v>
      </c>
      <c r="U102" s="1225">
        <v>-127574</v>
      </c>
    </row>
    <row r="103" spans="1:21" ht="15" x14ac:dyDescent="0.25">
      <c r="A103" s="1220" t="s">
        <v>2634</v>
      </c>
      <c r="B103" s="1222">
        <v>8.2743999999999995E-3</v>
      </c>
      <c r="C103" s="1222">
        <v>9.5361000000000005E-3</v>
      </c>
      <c r="D103" s="1225">
        <v>-163353</v>
      </c>
      <c r="E103" s="1224"/>
      <c r="F103" s="1225">
        <v>0</v>
      </c>
      <c r="G103" s="1225">
        <v>1671</v>
      </c>
      <c r="H103" s="1225">
        <v>0</v>
      </c>
      <c r="I103" s="1225">
        <v>19992</v>
      </c>
      <c r="J103" s="1224"/>
      <c r="K103" s="1225">
        <v>7877</v>
      </c>
      <c r="L103" s="1225"/>
      <c r="M103" s="1225">
        <v>0</v>
      </c>
      <c r="N103" s="1225">
        <v>0</v>
      </c>
      <c r="O103" s="1224"/>
      <c r="P103" s="1225">
        <v>11005</v>
      </c>
      <c r="Q103" s="1225">
        <v>7422</v>
      </c>
      <c r="R103" s="1225">
        <v>18427</v>
      </c>
      <c r="S103" s="1225"/>
      <c r="T103" s="1225">
        <v>-135030</v>
      </c>
      <c r="U103" s="1225">
        <v>-187299</v>
      </c>
    </row>
    <row r="104" spans="1:21" ht="15" x14ac:dyDescent="0.25">
      <c r="A104" s="1220" t="s">
        <v>2635</v>
      </c>
      <c r="B104" s="1222">
        <v>5.2541999999999997E-3</v>
      </c>
      <c r="C104" s="1222">
        <v>5.9652999999999998E-3</v>
      </c>
      <c r="D104" s="1225">
        <v>-103728</v>
      </c>
      <c r="E104" s="1224"/>
      <c r="F104" s="1225">
        <v>0</v>
      </c>
      <c r="G104" s="1225">
        <v>1061</v>
      </c>
      <c r="H104" s="1225">
        <v>0</v>
      </c>
      <c r="I104" s="1225">
        <v>10331</v>
      </c>
      <c r="J104" s="1224"/>
      <c r="K104" s="1225">
        <v>5002</v>
      </c>
      <c r="L104" s="1225"/>
      <c r="M104" s="1225">
        <v>0</v>
      </c>
      <c r="N104" s="1225">
        <v>921</v>
      </c>
      <c r="O104" s="1224"/>
      <c r="P104" s="1225">
        <v>6988</v>
      </c>
      <c r="Q104" s="1225">
        <v>5734</v>
      </c>
      <c r="R104" s="1225">
        <v>12722</v>
      </c>
      <c r="S104" s="1225"/>
      <c r="T104" s="1225">
        <v>-85743</v>
      </c>
      <c r="U104" s="1225">
        <v>-118934</v>
      </c>
    </row>
    <row r="105" spans="1:21" ht="15" x14ac:dyDescent="0.25">
      <c r="A105" s="1220" t="s">
        <v>2636</v>
      </c>
      <c r="B105" s="1222">
        <v>4.2065999999999996E-3</v>
      </c>
      <c r="C105" s="1222">
        <v>4.4482000000000002E-3</v>
      </c>
      <c r="D105" s="1225">
        <v>-83047</v>
      </c>
      <c r="E105" s="1224"/>
      <c r="F105" s="1225">
        <v>0</v>
      </c>
      <c r="G105" s="1225">
        <v>850</v>
      </c>
      <c r="H105" s="1225">
        <v>0</v>
      </c>
      <c r="I105" s="1225">
        <v>4447</v>
      </c>
      <c r="J105" s="1224"/>
      <c r="K105" s="1225">
        <v>4005</v>
      </c>
      <c r="L105" s="1225"/>
      <c r="M105" s="1225">
        <v>0</v>
      </c>
      <c r="N105" s="1225">
        <v>0</v>
      </c>
      <c r="O105" s="1224"/>
      <c r="P105" s="1225">
        <v>5595</v>
      </c>
      <c r="Q105" s="1225">
        <v>3584</v>
      </c>
      <c r="R105" s="1225">
        <v>9179</v>
      </c>
      <c r="S105" s="1225"/>
      <c r="T105" s="1225">
        <v>-68648</v>
      </c>
      <c r="U105" s="1225">
        <v>-95221</v>
      </c>
    </row>
    <row r="106" spans="1:21" ht="15" x14ac:dyDescent="0.25">
      <c r="A106" s="1220" t="s">
        <v>2536</v>
      </c>
      <c r="B106" s="1222">
        <v>2.7458000000000001E-3</v>
      </c>
      <c r="C106" s="1222">
        <v>3.0008999999999999E-3</v>
      </c>
      <c r="D106" s="1225">
        <v>-54208</v>
      </c>
      <c r="E106" s="1224"/>
      <c r="F106" s="1225">
        <v>0</v>
      </c>
      <c r="G106" s="1225">
        <v>555</v>
      </c>
      <c r="H106" s="1225">
        <v>0</v>
      </c>
      <c r="I106" s="1225">
        <v>4527</v>
      </c>
      <c r="J106" s="1224"/>
      <c r="K106" s="1225">
        <v>2614</v>
      </c>
      <c r="L106" s="1225"/>
      <c r="M106" s="1225">
        <v>0</v>
      </c>
      <c r="N106" s="1225">
        <v>0</v>
      </c>
      <c r="O106" s="1224"/>
      <c r="P106" s="1225">
        <v>3652</v>
      </c>
      <c r="Q106" s="1225">
        <v>2454</v>
      </c>
      <c r="R106" s="1225">
        <v>6106</v>
      </c>
      <c r="S106" s="1225"/>
      <c r="T106" s="1225">
        <v>-44809</v>
      </c>
      <c r="U106" s="1225">
        <v>-62154</v>
      </c>
    </row>
    <row r="107" spans="1:21" ht="15" x14ac:dyDescent="0.25">
      <c r="A107" s="1220" t="s">
        <v>2637</v>
      </c>
      <c r="B107" s="1222">
        <v>1.627E-3</v>
      </c>
      <c r="C107" s="1222">
        <v>1.9143000000000001E-3</v>
      </c>
      <c r="D107" s="1225">
        <v>-32120</v>
      </c>
      <c r="E107" s="1224"/>
      <c r="F107" s="1225">
        <v>0</v>
      </c>
      <c r="G107" s="1225">
        <v>329</v>
      </c>
      <c r="H107" s="1225">
        <v>0</v>
      </c>
      <c r="I107" s="1225">
        <v>4174</v>
      </c>
      <c r="J107" s="1224"/>
      <c r="K107" s="1225">
        <v>1549</v>
      </c>
      <c r="L107" s="1225"/>
      <c r="M107" s="1225">
        <v>0</v>
      </c>
      <c r="N107" s="1225">
        <v>1260</v>
      </c>
      <c r="O107" s="1224"/>
      <c r="P107" s="1225">
        <v>2164</v>
      </c>
      <c r="Q107" s="1225">
        <v>-85</v>
      </c>
      <c r="R107" s="1225">
        <v>2079</v>
      </c>
      <c r="S107" s="1225"/>
      <c r="T107" s="1225">
        <v>-26551</v>
      </c>
      <c r="U107" s="1225">
        <v>-36829</v>
      </c>
    </row>
    <row r="108" spans="1:21" s="1228" customFormat="1" ht="15" x14ac:dyDescent="0.25">
      <c r="A108" s="1226" t="s">
        <v>4780</v>
      </c>
      <c r="B108" s="1227">
        <f>SUM(B6:B107)</f>
        <v>1</v>
      </c>
      <c r="C108" s="1227">
        <f t="shared" ref="C108:U108" si="0">SUM(C6:C107)</f>
        <v>1</v>
      </c>
      <c r="D108" s="1199">
        <f t="shared" si="0"/>
        <v>-19741995</v>
      </c>
      <c r="E108" s="1227"/>
      <c r="F108" s="1227">
        <f t="shared" si="0"/>
        <v>0</v>
      </c>
      <c r="G108" s="1199">
        <f t="shared" si="0"/>
        <v>202005</v>
      </c>
      <c r="H108" s="1227">
        <f t="shared" si="0"/>
        <v>0</v>
      </c>
      <c r="I108" s="1199">
        <f t="shared" si="0"/>
        <v>1969176</v>
      </c>
      <c r="J108" s="1199"/>
      <c r="K108" s="1199">
        <f t="shared" si="0"/>
        <v>952002</v>
      </c>
      <c r="L108" s="1199">
        <f t="shared" si="0"/>
        <v>0</v>
      </c>
      <c r="M108" s="1199">
        <f t="shared" si="0"/>
        <v>0</v>
      </c>
      <c r="N108" s="1199">
        <f t="shared" si="0"/>
        <v>1969185</v>
      </c>
      <c r="O108" s="1199"/>
      <c r="P108" s="1199">
        <f t="shared" si="0"/>
        <v>1330001</v>
      </c>
      <c r="Q108" s="1199">
        <f t="shared" si="0"/>
        <v>-1</v>
      </c>
      <c r="R108" s="1199">
        <f t="shared" si="0"/>
        <v>1330000</v>
      </c>
      <c r="S108" s="1199"/>
      <c r="T108" s="1199">
        <f t="shared" si="0"/>
        <v>-16319004</v>
      </c>
      <c r="U108" s="1199">
        <f t="shared" si="0"/>
        <v>-22635999</v>
      </c>
    </row>
    <row r="109" spans="1:21" ht="15" x14ac:dyDescent="0.25">
      <c r="A109" s="1207"/>
      <c r="B109" s="1229"/>
      <c r="C109" s="1230"/>
      <c r="D109" s="1231"/>
      <c r="E109" s="1207"/>
      <c r="F109" s="1232"/>
      <c r="G109" s="1232"/>
      <c r="H109" s="1232"/>
      <c r="I109" s="1232"/>
      <c r="J109" s="1207"/>
      <c r="K109" s="1232"/>
      <c r="L109" s="1232"/>
      <c r="M109" s="1232"/>
      <c r="N109" s="1232"/>
      <c r="O109" s="1207"/>
      <c r="P109" s="1232"/>
      <c r="Q109" s="1232"/>
      <c r="R109" s="1232"/>
      <c r="S109" s="1207"/>
      <c r="T109" s="1207"/>
      <c r="U109" s="1207"/>
    </row>
    <row r="110" spans="1:21" ht="15" x14ac:dyDescent="0.25">
      <c r="A110" s="1233"/>
      <c r="B110" s="1207"/>
      <c r="C110" s="1207"/>
      <c r="D110" s="1234"/>
      <c r="E110" s="1235"/>
      <c r="F110" s="1231"/>
      <c r="G110" s="1231"/>
      <c r="H110" s="1231"/>
      <c r="I110" s="1231"/>
      <c r="J110" s="1235"/>
      <c r="K110" s="1231"/>
      <c r="L110" s="1231"/>
      <c r="M110" s="1231"/>
      <c r="N110" s="1231"/>
      <c r="O110" s="1235"/>
      <c r="P110" s="1231"/>
      <c r="Q110" s="1231"/>
      <c r="R110" s="1231"/>
      <c r="S110" s="1231"/>
      <c r="T110" s="1207"/>
      <c r="U110" s="1207"/>
    </row>
    <row r="111" spans="1:21" ht="15" x14ac:dyDescent="0.25">
      <c r="A111" s="1207"/>
      <c r="B111" s="1207"/>
      <c r="C111" s="1207"/>
      <c r="D111" s="1234"/>
      <c r="E111" s="1207"/>
      <c r="F111" s="1234"/>
      <c r="G111" s="1234"/>
      <c r="H111" s="1234"/>
      <c r="I111" s="1234"/>
      <c r="J111" s="1234"/>
      <c r="K111" s="1234"/>
      <c r="L111" s="1234"/>
      <c r="M111" s="1234"/>
      <c r="N111" s="1234"/>
      <c r="O111" s="1207"/>
      <c r="P111" s="1234"/>
      <c r="Q111" s="1207"/>
      <c r="R111" s="1234"/>
      <c r="S111" s="1234"/>
      <c r="T111" s="1207"/>
      <c r="U111" s="1207"/>
    </row>
    <row r="112" spans="1:21" ht="15" x14ac:dyDescent="0.25">
      <c r="A112" s="1207"/>
      <c r="B112" s="1207"/>
      <c r="C112" s="1207"/>
      <c r="D112" s="1207"/>
      <c r="E112" s="1207"/>
      <c r="F112" s="1207"/>
      <c r="G112" s="1207"/>
      <c r="H112" s="1207"/>
      <c r="I112" s="1207"/>
      <c r="J112" s="1207"/>
      <c r="K112" s="1207"/>
      <c r="L112" s="1207"/>
      <c r="M112" s="1207"/>
      <c r="N112" s="1207"/>
      <c r="O112" s="1207"/>
      <c r="P112" s="1207"/>
      <c r="Q112" s="1207"/>
      <c r="R112" s="1207"/>
      <c r="S112" s="1207"/>
      <c r="T112" s="1207"/>
      <c r="U112" s="1207"/>
    </row>
    <row r="118" spans="1:4" ht="15" x14ac:dyDescent="0.25">
      <c r="A118" s="1207"/>
      <c r="B118" s="1207"/>
      <c r="C118" s="1207"/>
      <c r="D118" s="1207"/>
    </row>
    <row r="119" spans="1:4" ht="15" x14ac:dyDescent="0.25">
      <c r="A119" s="1207"/>
      <c r="B119" s="1207"/>
      <c r="C119" s="1207"/>
      <c r="D119" s="1207"/>
    </row>
    <row r="121" spans="1:4" ht="15" x14ac:dyDescent="0.25">
      <c r="A121" s="1236" t="s">
        <v>4781</v>
      </c>
      <c r="B121" s="1236"/>
      <c r="C121" s="1236"/>
      <c r="D121" s="1236"/>
    </row>
  </sheetData>
  <sheetProtection algorithmName="SHA-512" hashValue="sLsjAYw2FpT0P7eFu3Ccxk8fQLIg9XtD9oW4B/aGw9M+h9SzQmv0p6oIMftsac6VLZAhQE6YeSUshty7p9KA1g==" saltValue="1GM2wnzuLOyDWxL1WMKsrA==" spinCount="100000" sheet="1" objects="1" scenarios="1"/>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CA0B3-FB3D-4BAD-B9FD-F2DB180D53D0}">
  <dimension ref="A1:B103"/>
  <sheetViews>
    <sheetView topLeftCell="A70" workbookViewId="0">
      <selection activeCell="B103" sqref="B103"/>
    </sheetView>
  </sheetViews>
  <sheetFormatPr defaultRowHeight="12.75" x14ac:dyDescent="0.2"/>
  <cols>
    <col min="1" max="1" width="21.5703125" style="1282" customWidth="1"/>
    <col min="2" max="2" width="13.7109375" style="1282" customWidth="1"/>
    <col min="3" max="16384" width="9.140625" style="1282"/>
  </cols>
  <sheetData>
    <row r="1" spans="1:2" ht="15.75" x14ac:dyDescent="0.25">
      <c r="A1" s="1205" t="s">
        <v>4109</v>
      </c>
      <c r="B1" s="1206" t="s">
        <v>4803</v>
      </c>
    </row>
    <row r="2" spans="1:2" ht="15" x14ac:dyDescent="0.25">
      <c r="A2" s="1207" t="s">
        <v>4114</v>
      </c>
      <c r="B2" s="1208">
        <v>0</v>
      </c>
    </row>
    <row r="3" spans="1:2" ht="15" x14ac:dyDescent="0.25">
      <c r="A3" s="1209" t="s">
        <v>2129</v>
      </c>
      <c r="B3" s="1283">
        <v>14565.04</v>
      </c>
    </row>
    <row r="4" spans="1:2" ht="15" x14ac:dyDescent="0.25">
      <c r="A4" s="1209" t="s">
        <v>4698</v>
      </c>
      <c r="B4" s="1283">
        <v>2576.0500000000002</v>
      </c>
    </row>
    <row r="5" spans="1:2" ht="15" x14ac:dyDescent="0.25">
      <c r="A5" s="1209" t="s">
        <v>4699</v>
      </c>
      <c r="B5" s="1283">
        <v>1461.95</v>
      </c>
    </row>
    <row r="6" spans="1:2" ht="15" x14ac:dyDescent="0.25">
      <c r="A6" s="1209" t="s">
        <v>4700</v>
      </c>
      <c r="B6" s="1283">
        <v>1517.18</v>
      </c>
    </row>
    <row r="7" spans="1:2" ht="15" x14ac:dyDescent="0.25">
      <c r="A7" s="1209" t="s">
        <v>4701</v>
      </c>
      <c r="B7" s="1283">
        <v>3167.86</v>
      </c>
    </row>
    <row r="8" spans="1:2" ht="15" x14ac:dyDescent="0.25">
      <c r="A8" s="1209" t="s">
        <v>4702</v>
      </c>
      <c r="B8" s="1283">
        <v>3349.69</v>
      </c>
    </row>
    <row r="9" spans="1:2" ht="15" x14ac:dyDescent="0.25">
      <c r="A9" s="1209" t="s">
        <v>2150</v>
      </c>
      <c r="B9" s="1283">
        <v>3870.71</v>
      </c>
    </row>
    <row r="10" spans="1:2" ht="15" x14ac:dyDescent="0.25">
      <c r="A10" s="1209" t="s">
        <v>4703</v>
      </c>
      <c r="B10" s="1283">
        <v>841.88</v>
      </c>
    </row>
    <row r="11" spans="1:2" ht="15" x14ac:dyDescent="0.25">
      <c r="A11" s="1209" t="s">
        <v>4704</v>
      </c>
      <c r="B11" s="1283">
        <v>2053.88</v>
      </c>
    </row>
    <row r="12" spans="1:2" ht="15" x14ac:dyDescent="0.25">
      <c r="A12" s="1209" t="s">
        <v>2175</v>
      </c>
      <c r="B12" s="1283">
        <v>21836.39</v>
      </c>
    </row>
    <row r="13" spans="1:2" ht="15" x14ac:dyDescent="0.25">
      <c r="A13" s="1209" t="s">
        <v>4705</v>
      </c>
      <c r="B13" s="1283">
        <v>29605.07</v>
      </c>
    </row>
    <row r="14" spans="1:2" ht="15" x14ac:dyDescent="0.25">
      <c r="A14" s="1209" t="s">
        <v>4706</v>
      </c>
      <c r="B14" s="1283">
        <v>6094.16</v>
      </c>
    </row>
    <row r="15" spans="1:2" ht="15" x14ac:dyDescent="0.25">
      <c r="A15" s="1209" t="s">
        <v>4707</v>
      </c>
      <c r="B15" s="1283">
        <v>21572.66</v>
      </c>
    </row>
    <row r="16" spans="1:2" ht="15" x14ac:dyDescent="0.25">
      <c r="A16" s="1209" t="s">
        <v>4708</v>
      </c>
      <c r="B16" s="1283">
        <v>6335.66</v>
      </c>
    </row>
    <row r="17" spans="1:2" ht="15" x14ac:dyDescent="0.25">
      <c r="A17" s="1209" t="s">
        <v>4709</v>
      </c>
      <c r="B17" s="1283">
        <v>1180.96</v>
      </c>
    </row>
    <row r="18" spans="1:2" ht="15" x14ac:dyDescent="0.25">
      <c r="A18" s="1209" t="s">
        <v>4710</v>
      </c>
      <c r="B18" s="1283">
        <v>10007.18</v>
      </c>
    </row>
    <row r="19" spans="1:2" ht="15" x14ac:dyDescent="0.25">
      <c r="A19" s="1209" t="s">
        <v>4711</v>
      </c>
      <c r="B19" s="1283">
        <v>1652.41</v>
      </c>
    </row>
    <row r="20" spans="1:2" ht="15" x14ac:dyDescent="0.25">
      <c r="A20" s="1209" t="s">
        <v>2194</v>
      </c>
      <c r="B20" s="1283">
        <v>15058.39</v>
      </c>
    </row>
    <row r="21" spans="1:2" ht="15" x14ac:dyDescent="0.25">
      <c r="A21" s="1209" t="s">
        <v>4712</v>
      </c>
      <c r="B21" s="1283">
        <v>8050.69</v>
      </c>
    </row>
    <row r="22" spans="1:2" ht="15" x14ac:dyDescent="0.25">
      <c r="A22" s="1209" t="s">
        <v>4713</v>
      </c>
      <c r="B22" s="1283">
        <v>3529.9</v>
      </c>
    </row>
    <row r="23" spans="1:2" ht="15" x14ac:dyDescent="0.25">
      <c r="A23" s="1209" t="s">
        <v>4714</v>
      </c>
      <c r="B23" s="1283">
        <v>1273.47</v>
      </c>
    </row>
    <row r="24" spans="1:2" ht="15" x14ac:dyDescent="0.25">
      <c r="A24" s="1209" t="s">
        <v>4715</v>
      </c>
      <c r="B24" s="1283">
        <v>1505.71</v>
      </c>
    </row>
    <row r="25" spans="1:2" ht="15" x14ac:dyDescent="0.25">
      <c r="A25" s="1209" t="s">
        <v>2206</v>
      </c>
      <c r="B25" s="1283">
        <v>7708.36</v>
      </c>
    </row>
    <row r="26" spans="1:2" ht="15" x14ac:dyDescent="0.25">
      <c r="A26" s="1209" t="s">
        <v>2212</v>
      </c>
      <c r="B26" s="1283">
        <v>3819.43</v>
      </c>
    </row>
    <row r="27" spans="1:2" ht="15" x14ac:dyDescent="0.25">
      <c r="A27" s="1209" t="s">
        <v>4716</v>
      </c>
      <c r="B27" s="1283">
        <v>10069.25</v>
      </c>
    </row>
    <row r="28" spans="1:2" ht="15" x14ac:dyDescent="0.25">
      <c r="A28" s="1209" t="s">
        <v>4717</v>
      </c>
      <c r="B28" s="1283">
        <v>29966.22</v>
      </c>
    </row>
    <row r="29" spans="1:2" ht="15" x14ac:dyDescent="0.25">
      <c r="A29" s="1209" t="s">
        <v>4718</v>
      </c>
      <c r="B29" s="1283">
        <v>4031.68</v>
      </c>
    </row>
    <row r="30" spans="1:2" ht="15" x14ac:dyDescent="0.25">
      <c r="A30" s="1209" t="s">
        <v>4719</v>
      </c>
      <c r="B30" s="1283">
        <v>7367.48</v>
      </c>
    </row>
    <row r="31" spans="1:2" ht="15" x14ac:dyDescent="0.25">
      <c r="A31" s="1209" t="s">
        <v>2224</v>
      </c>
      <c r="B31" s="1283">
        <v>12652.56</v>
      </c>
    </row>
    <row r="32" spans="1:2" ht="15" x14ac:dyDescent="0.25">
      <c r="A32" s="1209" t="s">
        <v>4720</v>
      </c>
      <c r="B32" s="1283">
        <v>3789.19</v>
      </c>
    </row>
    <row r="33" spans="1:2" ht="15" x14ac:dyDescent="0.25">
      <c r="A33" s="1209" t="s">
        <v>4721</v>
      </c>
      <c r="B33" s="1283">
        <v>3406.93</v>
      </c>
    </row>
    <row r="34" spans="1:2" ht="15" x14ac:dyDescent="0.25">
      <c r="A34" s="1209" t="s">
        <v>2231</v>
      </c>
      <c r="B34" s="1283">
        <v>43133.71</v>
      </c>
    </row>
    <row r="35" spans="1:2" ht="15" x14ac:dyDescent="0.25">
      <c r="A35" s="1209" t="s">
        <v>4722</v>
      </c>
      <c r="B35" s="1283">
        <v>2932.24</v>
      </c>
    </row>
    <row r="36" spans="1:2" ht="15" x14ac:dyDescent="0.25">
      <c r="A36" s="1209" t="s">
        <v>4723</v>
      </c>
      <c r="B36" s="1283">
        <v>34123.68</v>
      </c>
    </row>
    <row r="37" spans="1:2" ht="15" x14ac:dyDescent="0.25">
      <c r="A37" s="1209" t="s">
        <v>2256</v>
      </c>
      <c r="B37" s="1283">
        <v>6033.58</v>
      </c>
    </row>
    <row r="38" spans="1:2" ht="15" x14ac:dyDescent="0.25">
      <c r="A38" s="1209" t="s">
        <v>2263</v>
      </c>
      <c r="B38" s="1283">
        <v>22597.96</v>
      </c>
    </row>
    <row r="39" spans="1:2" ht="15" x14ac:dyDescent="0.25">
      <c r="A39" s="1209" t="s">
        <v>4724</v>
      </c>
      <c r="B39" s="1283">
        <v>743.86</v>
      </c>
    </row>
    <row r="40" spans="1:2" ht="15" x14ac:dyDescent="0.25">
      <c r="A40" s="1209" t="s">
        <v>2269</v>
      </c>
      <c r="B40" s="1283">
        <v>1886.32</v>
      </c>
    </row>
    <row r="41" spans="1:2" ht="15" x14ac:dyDescent="0.25">
      <c r="A41" s="1209" t="s">
        <v>4725</v>
      </c>
      <c r="B41" s="1283">
        <v>4438.29</v>
      </c>
    </row>
    <row r="42" spans="1:2" ht="15" x14ac:dyDescent="0.25">
      <c r="A42" s="1209" t="s">
        <v>4726</v>
      </c>
      <c r="B42" s="1283">
        <v>961.53</v>
      </c>
    </row>
    <row r="43" spans="1:2" ht="15" x14ac:dyDescent="0.25">
      <c r="A43" s="1209" t="s">
        <v>4727</v>
      </c>
      <c r="B43" s="1283">
        <v>38775.79</v>
      </c>
    </row>
    <row r="44" spans="1:2" ht="15" x14ac:dyDescent="0.25">
      <c r="A44" s="1209" t="s">
        <v>4728</v>
      </c>
      <c r="B44" s="1283">
        <v>3269.2</v>
      </c>
    </row>
    <row r="45" spans="1:2" ht="15" x14ac:dyDescent="0.25">
      <c r="A45" s="1209" t="s">
        <v>4729</v>
      </c>
      <c r="B45" s="1283">
        <v>11686.68</v>
      </c>
    </row>
    <row r="46" spans="1:2" ht="15" x14ac:dyDescent="0.25">
      <c r="A46" s="1209" t="s">
        <v>4730</v>
      </c>
      <c r="B46" s="1283">
        <v>6905.94</v>
      </c>
    </row>
    <row r="47" spans="1:2" ht="15" x14ac:dyDescent="0.25">
      <c r="A47" s="1209" t="s">
        <v>2284</v>
      </c>
      <c r="B47" s="1283">
        <v>12559.91</v>
      </c>
    </row>
    <row r="48" spans="1:2" ht="15" x14ac:dyDescent="0.25">
      <c r="A48" s="1209" t="s">
        <v>2286</v>
      </c>
      <c r="B48" s="1283">
        <v>1452.54</v>
      </c>
    </row>
    <row r="49" spans="1:2" ht="15" x14ac:dyDescent="0.25">
      <c r="A49" s="1209" t="s">
        <v>4731</v>
      </c>
      <c r="B49" s="1283">
        <v>4917.72</v>
      </c>
    </row>
    <row r="50" spans="1:2" ht="15" x14ac:dyDescent="0.25">
      <c r="A50" s="1209" t="s">
        <v>4732</v>
      </c>
      <c r="B50" s="1283">
        <v>317.08999999999997</v>
      </c>
    </row>
    <row r="51" spans="1:2" ht="15" x14ac:dyDescent="0.25">
      <c r="A51" s="1209" t="s">
        <v>4733</v>
      </c>
      <c r="B51" s="1283">
        <v>19882.62</v>
      </c>
    </row>
    <row r="52" spans="1:2" ht="15" x14ac:dyDescent="0.25">
      <c r="A52" s="1209" t="s">
        <v>2300</v>
      </c>
      <c r="B52" s="1283">
        <v>5787.23</v>
      </c>
    </row>
    <row r="53" spans="1:2" ht="15" x14ac:dyDescent="0.25">
      <c r="A53" s="1209" t="s">
        <v>4734</v>
      </c>
      <c r="B53" s="1283">
        <v>23058.9</v>
      </c>
    </row>
    <row r="54" spans="1:2" ht="15" x14ac:dyDescent="0.25">
      <c r="A54" s="1209" t="s">
        <v>4735</v>
      </c>
      <c r="B54" s="1283">
        <v>750.44</v>
      </c>
    </row>
    <row r="55" spans="1:2" ht="15" x14ac:dyDescent="0.25">
      <c r="A55" s="1209" t="s">
        <v>4736</v>
      </c>
      <c r="B55" s="1283">
        <v>5106.7</v>
      </c>
    </row>
    <row r="56" spans="1:2" ht="15" x14ac:dyDescent="0.25">
      <c r="A56" s="1209" t="s">
        <v>2323</v>
      </c>
      <c r="B56" s="1283">
        <v>2724.59</v>
      </c>
    </row>
    <row r="57" spans="1:2" ht="15" x14ac:dyDescent="0.25">
      <c r="A57" s="1209" t="s">
        <v>4737</v>
      </c>
      <c r="B57" s="1283">
        <v>9190.7000000000007</v>
      </c>
    </row>
    <row r="58" spans="1:2" ht="15" x14ac:dyDescent="0.25">
      <c r="A58" s="1209" t="s">
        <v>4738</v>
      </c>
      <c r="B58" s="1283">
        <v>3739.91</v>
      </c>
    </row>
    <row r="59" spans="1:2" ht="15" x14ac:dyDescent="0.25">
      <c r="A59" s="1209" t="s">
        <v>2338</v>
      </c>
      <c r="B59" s="1283">
        <v>2710.43</v>
      </c>
    </row>
    <row r="60" spans="1:2" ht="15" x14ac:dyDescent="0.25">
      <c r="A60" s="1209" t="s">
        <v>4739</v>
      </c>
      <c r="B60" s="1283">
        <v>1421.07</v>
      </c>
    </row>
    <row r="61" spans="1:2" ht="15" x14ac:dyDescent="0.25">
      <c r="A61" s="1209" t="s">
        <v>4740</v>
      </c>
      <c r="B61" s="1283">
        <v>3542.27</v>
      </c>
    </row>
    <row r="62" spans="1:2" ht="15" x14ac:dyDescent="0.25">
      <c r="A62" s="1209" t="s">
        <v>4741</v>
      </c>
      <c r="B62" s="1283">
        <v>76034.41</v>
      </c>
    </row>
    <row r="63" spans="1:2" ht="15" x14ac:dyDescent="0.25">
      <c r="A63" s="1209" t="s">
        <v>4742</v>
      </c>
      <c r="B63" s="1283">
        <v>1269.58</v>
      </c>
    </row>
    <row r="64" spans="1:2" ht="15" x14ac:dyDescent="0.25">
      <c r="A64" s="1209" t="s">
        <v>4743</v>
      </c>
      <c r="B64" s="1283">
        <v>2319.66</v>
      </c>
    </row>
    <row r="65" spans="1:2" ht="15" x14ac:dyDescent="0.25">
      <c r="A65" s="1209" t="s">
        <v>4744</v>
      </c>
      <c r="B65" s="1283">
        <v>12440.41</v>
      </c>
    </row>
    <row r="66" spans="1:2" ht="15" x14ac:dyDescent="0.25">
      <c r="A66" s="1209" t="s">
        <v>4745</v>
      </c>
      <c r="B66" s="1283">
        <v>7738.02</v>
      </c>
    </row>
    <row r="67" spans="1:2" ht="15" x14ac:dyDescent="0.25">
      <c r="A67" s="1209" t="s">
        <v>4746</v>
      </c>
      <c r="B67" s="1283">
        <v>26571.51</v>
      </c>
    </row>
    <row r="68" spans="1:2" ht="15" x14ac:dyDescent="0.25">
      <c r="A68" s="1209" t="s">
        <v>4747</v>
      </c>
      <c r="B68" s="1283">
        <v>1225.1199999999999</v>
      </c>
    </row>
    <row r="69" spans="1:2" ht="15" x14ac:dyDescent="0.25">
      <c r="A69" s="1209" t="s">
        <v>4748</v>
      </c>
      <c r="B69" s="1283">
        <v>21681.46</v>
      </c>
    </row>
    <row r="70" spans="1:2" ht="15" x14ac:dyDescent="0.25">
      <c r="A70" s="1209" t="s">
        <v>4749</v>
      </c>
      <c r="B70" s="1283">
        <v>10365.77</v>
      </c>
    </row>
    <row r="71" spans="1:2" ht="15" x14ac:dyDescent="0.25">
      <c r="A71" s="1209" t="s">
        <v>4750</v>
      </c>
      <c r="B71" s="1283">
        <v>1282.3499999999999</v>
      </c>
    </row>
    <row r="72" spans="1:2" ht="15" x14ac:dyDescent="0.25">
      <c r="A72" s="1209" t="s">
        <v>4751</v>
      </c>
      <c r="B72" s="1283">
        <v>3606.49</v>
      </c>
    </row>
    <row r="73" spans="1:2" ht="15" x14ac:dyDescent="0.25">
      <c r="A73" s="1209" t="s">
        <v>4752</v>
      </c>
      <c r="B73" s="1283">
        <v>7521.39</v>
      </c>
    </row>
    <row r="74" spans="1:2" ht="15" x14ac:dyDescent="0.25">
      <c r="A74" s="1209" t="s">
        <v>4753</v>
      </c>
      <c r="B74" s="1283">
        <v>1243.6199999999999</v>
      </c>
    </row>
    <row r="75" spans="1:2" ht="15" x14ac:dyDescent="0.25">
      <c r="A75" s="1209" t="s">
        <v>4754</v>
      </c>
      <c r="B75" s="1283">
        <v>3021.58</v>
      </c>
    </row>
    <row r="76" spans="1:2" ht="15" x14ac:dyDescent="0.25">
      <c r="A76" s="1209" t="s">
        <v>4755</v>
      </c>
      <c r="B76" s="1283">
        <v>13559.38</v>
      </c>
    </row>
    <row r="77" spans="1:2" ht="15" x14ac:dyDescent="0.25">
      <c r="A77" s="1209" t="s">
        <v>4756</v>
      </c>
      <c r="B77" s="1283">
        <v>2155.2399999999998</v>
      </c>
    </row>
    <row r="78" spans="1:2" ht="15" x14ac:dyDescent="0.25">
      <c r="A78" s="1209" t="s">
        <v>4757</v>
      </c>
      <c r="B78" s="1283">
        <v>10703.51</v>
      </c>
    </row>
    <row r="79" spans="1:2" ht="15" x14ac:dyDescent="0.25">
      <c r="A79" s="1209" t="s">
        <v>4758</v>
      </c>
      <c r="B79" s="1283">
        <v>2433.44</v>
      </c>
    </row>
    <row r="80" spans="1:2" ht="15" x14ac:dyDescent="0.25">
      <c r="A80" s="1209" t="s">
        <v>4759</v>
      </c>
      <c r="B80" s="1283">
        <v>5849.76</v>
      </c>
    </row>
    <row r="81" spans="1:2" ht="15" x14ac:dyDescent="0.25">
      <c r="A81" s="1209" t="s">
        <v>2424</v>
      </c>
      <c r="B81" s="1283">
        <v>7512.33</v>
      </c>
    </row>
    <row r="82" spans="1:2" ht="15" x14ac:dyDescent="0.25">
      <c r="A82" s="1209" t="s">
        <v>4760</v>
      </c>
      <c r="B82" s="1283">
        <v>12462.63</v>
      </c>
    </row>
    <row r="83" spans="1:2" ht="15" x14ac:dyDescent="0.25">
      <c r="A83" s="1209" t="s">
        <v>4761</v>
      </c>
      <c r="B83" s="1283">
        <v>6099.45</v>
      </c>
    </row>
    <row r="84" spans="1:2" ht="15" x14ac:dyDescent="0.25">
      <c r="A84" s="1209" t="s">
        <v>4762</v>
      </c>
      <c r="B84" s="1283">
        <v>3703.07</v>
      </c>
    </row>
    <row r="85" spans="1:2" ht="15" x14ac:dyDescent="0.25">
      <c r="A85" s="1209" t="s">
        <v>4763</v>
      </c>
      <c r="B85" s="1283">
        <v>2583.35</v>
      </c>
    </row>
    <row r="86" spans="1:2" ht="15" x14ac:dyDescent="0.25">
      <c r="A86" s="1209" t="s">
        <v>4764</v>
      </c>
      <c r="B86" s="1283">
        <v>6031.81</v>
      </c>
    </row>
    <row r="87" spans="1:2" ht="15" x14ac:dyDescent="0.25">
      <c r="A87" s="1209" t="s">
        <v>4765</v>
      </c>
      <c r="B87" s="1283">
        <v>3332.44</v>
      </c>
    </row>
    <row r="88" spans="1:2" ht="15" x14ac:dyDescent="0.25">
      <c r="A88" s="1209" t="s">
        <v>4766</v>
      </c>
      <c r="B88" s="1283">
        <v>6268.78</v>
      </c>
    </row>
    <row r="89" spans="1:2" ht="15" x14ac:dyDescent="0.25">
      <c r="A89" s="1209" t="s">
        <v>4767</v>
      </c>
      <c r="B89" s="1283">
        <v>1169.29</v>
      </c>
    </row>
    <row r="90" spans="1:2" ht="15" x14ac:dyDescent="0.25">
      <c r="A90" s="1209" t="s">
        <v>4768</v>
      </c>
      <c r="B90" s="1283">
        <v>3702.46</v>
      </c>
    </row>
    <row r="91" spans="1:2" ht="15" x14ac:dyDescent="0.25">
      <c r="A91" s="1209" t="s">
        <v>4769</v>
      </c>
      <c r="B91" s="1283">
        <v>293.11</v>
      </c>
    </row>
    <row r="92" spans="1:2" ht="15" x14ac:dyDescent="0.25">
      <c r="A92" s="1209" t="s">
        <v>4770</v>
      </c>
      <c r="B92" s="1283">
        <v>26932.12</v>
      </c>
    </row>
    <row r="93" spans="1:2" ht="15" x14ac:dyDescent="0.25">
      <c r="A93" s="1209" t="s">
        <v>4771</v>
      </c>
      <c r="B93" s="1283">
        <v>3195.69</v>
      </c>
    </row>
    <row r="94" spans="1:2" ht="15" x14ac:dyDescent="0.25">
      <c r="A94" s="1209" t="s">
        <v>4772</v>
      </c>
      <c r="B94" s="1283">
        <v>112556.7</v>
      </c>
    </row>
    <row r="95" spans="1:2" ht="15" x14ac:dyDescent="0.25">
      <c r="A95" s="1209" t="s">
        <v>4773</v>
      </c>
      <c r="B95" s="1283">
        <v>1340.76</v>
      </c>
    </row>
    <row r="96" spans="1:2" ht="15" x14ac:dyDescent="0.25">
      <c r="A96" s="1209" t="s">
        <v>2504</v>
      </c>
      <c r="B96" s="1283">
        <v>750.59</v>
      </c>
    </row>
    <row r="97" spans="1:2" ht="15" x14ac:dyDescent="0.25">
      <c r="A97" s="1209" t="s">
        <v>4774</v>
      </c>
      <c r="B97" s="1283">
        <v>5955.78</v>
      </c>
    </row>
    <row r="98" spans="1:2" ht="15" x14ac:dyDescent="0.25">
      <c r="A98" s="1209" t="s">
        <v>4775</v>
      </c>
      <c r="B98" s="1283">
        <v>8638.92</v>
      </c>
    </row>
    <row r="99" spans="1:2" ht="15" x14ac:dyDescent="0.25">
      <c r="A99" s="1209" t="s">
        <v>4776</v>
      </c>
      <c r="B99" s="1283">
        <v>4876.3100000000004</v>
      </c>
    </row>
    <row r="100" spans="1:2" ht="15" x14ac:dyDescent="0.25">
      <c r="A100" s="1209" t="s">
        <v>2522</v>
      </c>
      <c r="B100" s="1283">
        <v>6009.16</v>
      </c>
    </row>
    <row r="101" spans="1:2" ht="15" x14ac:dyDescent="0.25">
      <c r="A101" s="1209" t="s">
        <v>4777</v>
      </c>
      <c r="B101" s="1283">
        <v>2832.84</v>
      </c>
    </row>
    <row r="102" spans="1:2" ht="15" x14ac:dyDescent="0.25">
      <c r="A102" s="1209" t="s">
        <v>4778</v>
      </c>
      <c r="B102" s="1283">
        <v>1672.98</v>
      </c>
    </row>
    <row r="103" spans="1:2" ht="15" x14ac:dyDescent="0.25">
      <c r="A103" s="1209" t="s">
        <v>2052</v>
      </c>
      <c r="B103" s="36">
        <f>SUM(B2:B102)</f>
        <v>957512</v>
      </c>
    </row>
  </sheetData>
  <sheetProtection algorithmName="SHA-512" hashValue="xItneYp/3ZQ4sijmrfIRhQUMqVOAMN9I6ZQcKJIqktY0lV0KzgSVYNnRm+GXFRH9Xr0LnhtzQ90SEh+OLH9RRg==" saltValue="FjVQWPpVwXrZu70Mt4g7tw==" spinCount="100000" sheet="1" objects="1" scenarios="1"/>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6FBFE-5C44-4F95-98A4-A673E40A77CF}">
  <dimension ref="A1:B103"/>
  <sheetViews>
    <sheetView workbookViewId="0">
      <selection sqref="A1:XFD1048576"/>
    </sheetView>
  </sheetViews>
  <sheetFormatPr defaultRowHeight="12.75" x14ac:dyDescent="0.2"/>
  <cols>
    <col min="1" max="1" width="21.5703125" style="1196" customWidth="1"/>
    <col min="2" max="2" width="13.7109375" style="1196" customWidth="1"/>
    <col min="3" max="16384" width="9.140625" style="1196"/>
  </cols>
  <sheetData>
    <row r="1" spans="1:2" ht="15.75" x14ac:dyDescent="0.25">
      <c r="A1" s="1205" t="s">
        <v>4109</v>
      </c>
      <c r="B1" s="1206" t="s">
        <v>4697</v>
      </c>
    </row>
    <row r="2" spans="1:2" ht="15" x14ac:dyDescent="0.25">
      <c r="A2" s="1207" t="s">
        <v>4114</v>
      </c>
      <c r="B2" s="1208">
        <v>0</v>
      </c>
    </row>
    <row r="3" spans="1:2" ht="15" x14ac:dyDescent="0.25">
      <c r="A3" s="1209" t="s">
        <v>2129</v>
      </c>
      <c r="B3" s="1210">
        <v>13532</v>
      </c>
    </row>
    <row r="4" spans="1:2" ht="15" x14ac:dyDescent="0.25">
      <c r="A4" s="1209" t="s">
        <v>4698</v>
      </c>
      <c r="B4" s="1210">
        <v>2452</v>
      </c>
    </row>
    <row r="5" spans="1:2" ht="15" x14ac:dyDescent="0.25">
      <c r="A5" s="1209" t="s">
        <v>4699</v>
      </c>
      <c r="B5" s="1210">
        <v>1361</v>
      </c>
    </row>
    <row r="6" spans="1:2" ht="15" x14ac:dyDescent="0.25">
      <c r="A6" s="1209" t="s">
        <v>4700</v>
      </c>
      <c r="B6" s="1210">
        <v>1442</v>
      </c>
    </row>
    <row r="7" spans="1:2" ht="15" x14ac:dyDescent="0.25">
      <c r="A7" s="1209" t="s">
        <v>4701</v>
      </c>
      <c r="B7" s="1210">
        <v>2833</v>
      </c>
    </row>
    <row r="8" spans="1:2" ht="15" x14ac:dyDescent="0.25">
      <c r="A8" s="1209" t="s">
        <v>4702</v>
      </c>
      <c r="B8" s="1210">
        <v>2733</v>
      </c>
    </row>
    <row r="9" spans="1:2" ht="15" x14ac:dyDescent="0.25">
      <c r="A9" s="1209" t="s">
        <v>2150</v>
      </c>
      <c r="B9" s="1210">
        <v>3849</v>
      </c>
    </row>
    <row r="10" spans="1:2" ht="15" x14ac:dyDescent="0.25">
      <c r="A10" s="1209" t="s">
        <v>4703</v>
      </c>
      <c r="B10" s="1210">
        <v>916</v>
      </c>
    </row>
    <row r="11" spans="1:2" ht="15" x14ac:dyDescent="0.25">
      <c r="A11" s="1209" t="s">
        <v>4704</v>
      </c>
      <c r="B11" s="1210">
        <v>1869</v>
      </c>
    </row>
    <row r="12" spans="1:2" ht="15" x14ac:dyDescent="0.25">
      <c r="A12" s="1209" t="s">
        <v>2175</v>
      </c>
      <c r="B12" s="1210">
        <v>18436</v>
      </c>
    </row>
    <row r="13" spans="1:2" ht="15" x14ac:dyDescent="0.25">
      <c r="A13" s="1209" t="s">
        <v>4705</v>
      </c>
      <c r="B13" s="1210">
        <v>27497</v>
      </c>
    </row>
    <row r="14" spans="1:2" ht="15" x14ac:dyDescent="0.25">
      <c r="A14" s="1209" t="s">
        <v>4706</v>
      </c>
      <c r="B14" s="1210">
        <v>8118</v>
      </c>
    </row>
    <row r="15" spans="1:2" ht="15" x14ac:dyDescent="0.25">
      <c r="A15" s="1209" t="s">
        <v>4707</v>
      </c>
      <c r="B15" s="1210">
        <v>19690</v>
      </c>
    </row>
    <row r="16" spans="1:2" ht="15" x14ac:dyDescent="0.25">
      <c r="A16" s="1209" t="s">
        <v>4708</v>
      </c>
      <c r="B16" s="1210">
        <v>5821</v>
      </c>
    </row>
    <row r="17" spans="1:2" ht="15" x14ac:dyDescent="0.25">
      <c r="A17" s="1209" t="s">
        <v>4709</v>
      </c>
      <c r="B17" s="1210">
        <v>962</v>
      </c>
    </row>
    <row r="18" spans="1:2" ht="15" x14ac:dyDescent="0.25">
      <c r="A18" s="1209" t="s">
        <v>4710</v>
      </c>
      <c r="B18" s="1210">
        <v>8627</v>
      </c>
    </row>
    <row r="19" spans="1:2" ht="15" x14ac:dyDescent="0.25">
      <c r="A19" s="1209" t="s">
        <v>4711</v>
      </c>
      <c r="B19" s="1210">
        <v>1388</v>
      </c>
    </row>
    <row r="20" spans="1:2" ht="15" x14ac:dyDescent="0.25">
      <c r="A20" s="1209" t="s">
        <v>2194</v>
      </c>
      <c r="B20" s="1210">
        <v>13551</v>
      </c>
    </row>
    <row r="21" spans="1:2" ht="15" x14ac:dyDescent="0.25">
      <c r="A21" s="1209" t="s">
        <v>4712</v>
      </c>
      <c r="B21" s="1210">
        <v>6899</v>
      </c>
    </row>
    <row r="22" spans="1:2" ht="15" x14ac:dyDescent="0.25">
      <c r="A22" s="1209" t="s">
        <v>4713</v>
      </c>
      <c r="B22" s="1210">
        <v>3237</v>
      </c>
    </row>
    <row r="23" spans="1:2" ht="15" x14ac:dyDescent="0.25">
      <c r="A23" s="1209" t="s">
        <v>4714</v>
      </c>
      <c r="B23" s="1210">
        <v>1351</v>
      </c>
    </row>
    <row r="24" spans="1:2" ht="15" x14ac:dyDescent="0.25">
      <c r="A24" s="1209" t="s">
        <v>4715</v>
      </c>
      <c r="B24" s="1210">
        <v>1406</v>
      </c>
    </row>
    <row r="25" spans="1:2" ht="15" x14ac:dyDescent="0.25">
      <c r="A25" s="1209" t="s">
        <v>2206</v>
      </c>
      <c r="B25" s="1210">
        <v>7759</v>
      </c>
    </row>
    <row r="26" spans="1:2" ht="15" x14ac:dyDescent="0.25">
      <c r="A26" s="1209" t="s">
        <v>2212</v>
      </c>
      <c r="B26" s="1210">
        <v>3734</v>
      </c>
    </row>
    <row r="27" spans="1:2" ht="15" x14ac:dyDescent="0.25">
      <c r="A27" s="1209" t="s">
        <v>4716</v>
      </c>
      <c r="B27" s="1210">
        <v>9287</v>
      </c>
    </row>
    <row r="28" spans="1:2" ht="15" x14ac:dyDescent="0.25">
      <c r="A28" s="1209" t="s">
        <v>4717</v>
      </c>
      <c r="B28" s="1210">
        <v>26875</v>
      </c>
    </row>
    <row r="29" spans="1:2" ht="15" x14ac:dyDescent="0.25">
      <c r="A29" s="1209" t="s">
        <v>4718</v>
      </c>
      <c r="B29" s="1210">
        <v>3450</v>
      </c>
    </row>
    <row r="30" spans="1:2" ht="15" x14ac:dyDescent="0.25">
      <c r="A30" s="1209" t="s">
        <v>4719</v>
      </c>
      <c r="B30" s="1210">
        <v>6795</v>
      </c>
    </row>
    <row r="31" spans="1:2" ht="15" x14ac:dyDescent="0.25">
      <c r="A31" s="1209" t="s">
        <v>2224</v>
      </c>
      <c r="B31" s="1210">
        <v>11391</v>
      </c>
    </row>
    <row r="32" spans="1:2" ht="15" x14ac:dyDescent="0.25">
      <c r="A32" s="1209" t="s">
        <v>4720</v>
      </c>
      <c r="B32" s="1210">
        <v>3469</v>
      </c>
    </row>
    <row r="33" spans="1:2" ht="15" x14ac:dyDescent="0.25">
      <c r="A33" s="1209" t="s">
        <v>4721</v>
      </c>
      <c r="B33" s="1210">
        <v>3244</v>
      </c>
    </row>
    <row r="34" spans="1:2" ht="15" x14ac:dyDescent="0.25">
      <c r="A34" s="1209" t="s">
        <v>2231</v>
      </c>
      <c r="B34" s="1210">
        <v>35914</v>
      </c>
    </row>
    <row r="35" spans="1:2" ht="15" x14ac:dyDescent="0.25">
      <c r="A35" s="1209" t="s">
        <v>4722</v>
      </c>
      <c r="B35" s="1210">
        <v>3088</v>
      </c>
    </row>
    <row r="36" spans="1:2" ht="15" x14ac:dyDescent="0.25">
      <c r="A36" s="1209" t="s">
        <v>4723</v>
      </c>
      <c r="B36" s="1210">
        <v>32699</v>
      </c>
    </row>
    <row r="37" spans="1:2" ht="15" x14ac:dyDescent="0.25">
      <c r="A37" s="1209" t="s">
        <v>2256</v>
      </c>
      <c r="B37" s="1210">
        <v>5376</v>
      </c>
    </row>
    <row r="38" spans="1:2" ht="15" x14ac:dyDescent="0.25">
      <c r="A38" s="1209" t="s">
        <v>2263</v>
      </c>
      <c r="B38" s="1210">
        <v>112317</v>
      </c>
    </row>
    <row r="39" spans="1:2" ht="15" x14ac:dyDescent="0.25">
      <c r="A39" s="1209" t="s">
        <v>4724</v>
      </c>
      <c r="B39" s="1210">
        <v>709</v>
      </c>
    </row>
    <row r="40" spans="1:2" ht="15" x14ac:dyDescent="0.25">
      <c r="A40" s="1209" t="s">
        <v>2269</v>
      </c>
      <c r="B40" s="1210">
        <v>912</v>
      </c>
    </row>
    <row r="41" spans="1:2" ht="15" x14ac:dyDescent="0.25">
      <c r="A41" s="1209" t="s">
        <v>4725</v>
      </c>
      <c r="B41" s="1210">
        <v>3823</v>
      </c>
    </row>
    <row r="42" spans="1:2" ht="15" x14ac:dyDescent="0.25">
      <c r="A42" s="1209" t="s">
        <v>4726</v>
      </c>
      <c r="B42" s="1210">
        <v>1043</v>
      </c>
    </row>
    <row r="43" spans="1:2" ht="15" x14ac:dyDescent="0.25">
      <c r="A43" s="1209" t="s">
        <v>4727</v>
      </c>
      <c r="B43" s="1210">
        <v>39160</v>
      </c>
    </row>
    <row r="44" spans="1:2" ht="15" x14ac:dyDescent="0.25">
      <c r="A44" s="1209" t="s">
        <v>4728</v>
      </c>
      <c r="B44" s="1210">
        <v>3274</v>
      </c>
    </row>
    <row r="45" spans="1:2" ht="15" x14ac:dyDescent="0.25">
      <c r="A45" s="1209" t="s">
        <v>4729</v>
      </c>
      <c r="B45" s="1210">
        <v>10046</v>
      </c>
    </row>
    <row r="46" spans="1:2" ht="15" x14ac:dyDescent="0.25">
      <c r="A46" s="1209" t="s">
        <v>4730</v>
      </c>
      <c r="B46" s="1210">
        <v>6542</v>
      </c>
    </row>
    <row r="47" spans="1:2" ht="15" x14ac:dyDescent="0.25">
      <c r="A47" s="1209" t="s">
        <v>2284</v>
      </c>
      <c r="B47" s="1210">
        <v>11532</v>
      </c>
    </row>
    <row r="48" spans="1:2" ht="15" x14ac:dyDescent="0.25">
      <c r="A48" s="1209" t="s">
        <v>2286</v>
      </c>
      <c r="B48" s="1210">
        <v>1460</v>
      </c>
    </row>
    <row r="49" spans="1:2" ht="15" x14ac:dyDescent="0.25">
      <c r="A49" s="1209" t="s">
        <v>4731</v>
      </c>
      <c r="B49" s="1210">
        <v>3905</v>
      </c>
    </row>
    <row r="50" spans="1:2" ht="15" x14ac:dyDescent="0.25">
      <c r="A50" s="1209" t="s">
        <v>4732</v>
      </c>
      <c r="B50" s="1210">
        <v>366</v>
      </c>
    </row>
    <row r="51" spans="1:2" ht="15" x14ac:dyDescent="0.25">
      <c r="A51" s="1209" t="s">
        <v>4733</v>
      </c>
      <c r="B51" s="1210">
        <v>17272</v>
      </c>
    </row>
    <row r="52" spans="1:2" ht="15" x14ac:dyDescent="0.25">
      <c r="A52" s="1209" t="s">
        <v>2300</v>
      </c>
      <c r="B52" s="1210">
        <v>5369</v>
      </c>
    </row>
    <row r="53" spans="1:2" ht="15" x14ac:dyDescent="0.25">
      <c r="A53" s="1209" t="s">
        <v>4734</v>
      </c>
      <c r="B53" s="1210">
        <v>19644</v>
      </c>
    </row>
    <row r="54" spans="1:2" ht="15" x14ac:dyDescent="0.25">
      <c r="A54" s="1209" t="s">
        <v>4735</v>
      </c>
      <c r="B54" s="1210">
        <v>673</v>
      </c>
    </row>
    <row r="55" spans="1:2" ht="15" x14ac:dyDescent="0.25">
      <c r="A55" s="1209" t="s">
        <v>4736</v>
      </c>
      <c r="B55" s="1210">
        <v>4780</v>
      </c>
    </row>
    <row r="56" spans="1:2" ht="15" x14ac:dyDescent="0.25">
      <c r="A56" s="1209" t="s">
        <v>2323</v>
      </c>
      <c r="B56" s="1210">
        <v>2929</v>
      </c>
    </row>
    <row r="57" spans="1:2" ht="15" x14ac:dyDescent="0.25">
      <c r="A57" s="1209" t="s">
        <v>4737</v>
      </c>
      <c r="B57" s="1210">
        <v>7779</v>
      </c>
    </row>
    <row r="58" spans="1:2" ht="15" x14ac:dyDescent="0.25">
      <c r="A58" s="1209" t="s">
        <v>4738</v>
      </c>
      <c r="B58" s="1210">
        <v>3202</v>
      </c>
    </row>
    <row r="59" spans="1:2" ht="15" x14ac:dyDescent="0.25">
      <c r="A59" s="1209" t="s">
        <v>2338</v>
      </c>
      <c r="B59" s="1210">
        <v>4774</v>
      </c>
    </row>
    <row r="60" spans="1:2" ht="15" x14ac:dyDescent="0.25">
      <c r="A60" s="1209" t="s">
        <v>4739</v>
      </c>
      <c r="B60" s="1210">
        <v>1477</v>
      </c>
    </row>
    <row r="61" spans="1:2" ht="15" x14ac:dyDescent="0.25">
      <c r="A61" s="1209" t="s">
        <v>4740</v>
      </c>
      <c r="B61" s="1210">
        <v>3322</v>
      </c>
    </row>
    <row r="62" spans="1:2" ht="15" x14ac:dyDescent="0.25">
      <c r="A62" s="1209" t="s">
        <v>4741</v>
      </c>
      <c r="B62" s="1210">
        <v>63587</v>
      </c>
    </row>
    <row r="63" spans="1:2" ht="15" x14ac:dyDescent="0.25">
      <c r="A63" s="1209" t="s">
        <v>4742</v>
      </c>
      <c r="B63" s="1210">
        <v>1292</v>
      </c>
    </row>
    <row r="64" spans="1:2" ht="15" x14ac:dyDescent="0.25">
      <c r="A64" s="1209" t="s">
        <v>4743</v>
      </c>
      <c r="B64" s="1210">
        <v>2031</v>
      </c>
    </row>
    <row r="65" spans="1:2" ht="15" x14ac:dyDescent="0.25">
      <c r="A65" s="1209" t="s">
        <v>4744</v>
      </c>
      <c r="B65" s="1210">
        <v>10795</v>
      </c>
    </row>
    <row r="66" spans="1:2" ht="15" x14ac:dyDescent="0.25">
      <c r="A66" s="1209" t="s">
        <v>4745</v>
      </c>
      <c r="B66" s="1210">
        <v>7305</v>
      </c>
    </row>
    <row r="67" spans="1:2" ht="15" x14ac:dyDescent="0.25">
      <c r="A67" s="1209" t="s">
        <v>4746</v>
      </c>
      <c r="B67" s="1210">
        <v>21861</v>
      </c>
    </row>
    <row r="68" spans="1:2" ht="15" x14ac:dyDescent="0.25">
      <c r="A68" s="1209" t="s">
        <v>4747</v>
      </c>
      <c r="B68" s="1210">
        <v>1285</v>
      </c>
    </row>
    <row r="69" spans="1:2" ht="15" x14ac:dyDescent="0.25">
      <c r="A69" s="1209" t="s">
        <v>4748</v>
      </c>
      <c r="B69" s="1210">
        <v>19343</v>
      </c>
    </row>
    <row r="70" spans="1:2" ht="15" x14ac:dyDescent="0.25">
      <c r="A70" s="1209" t="s">
        <v>4749</v>
      </c>
      <c r="B70" s="1210">
        <v>9620</v>
      </c>
    </row>
    <row r="71" spans="1:2" ht="15" x14ac:dyDescent="0.25">
      <c r="A71" s="1209" t="s">
        <v>4750</v>
      </c>
      <c r="B71" s="1210">
        <v>1189</v>
      </c>
    </row>
    <row r="72" spans="1:2" ht="15" x14ac:dyDescent="0.25">
      <c r="A72" s="1209" t="s">
        <v>4751</v>
      </c>
      <c r="B72" s="1210">
        <v>3304</v>
      </c>
    </row>
    <row r="73" spans="1:2" ht="15" x14ac:dyDescent="0.25">
      <c r="A73" s="1209" t="s">
        <v>4752</v>
      </c>
      <c r="B73" s="1210">
        <v>5908</v>
      </c>
    </row>
    <row r="74" spans="1:2" ht="15" x14ac:dyDescent="0.25">
      <c r="A74" s="1209" t="s">
        <v>4753</v>
      </c>
      <c r="B74" s="1210">
        <v>1122</v>
      </c>
    </row>
    <row r="75" spans="1:2" ht="15" x14ac:dyDescent="0.25">
      <c r="A75" s="1209" t="s">
        <v>4754</v>
      </c>
      <c r="B75" s="1210">
        <v>2878</v>
      </c>
    </row>
    <row r="76" spans="1:2" ht="15" x14ac:dyDescent="0.25">
      <c r="A76" s="1209" t="s">
        <v>4755</v>
      </c>
      <c r="B76" s="1210">
        <v>12407</v>
      </c>
    </row>
    <row r="77" spans="1:2" ht="15" x14ac:dyDescent="0.25">
      <c r="A77" s="1209" t="s">
        <v>4756</v>
      </c>
      <c r="B77" s="1210">
        <v>2080</v>
      </c>
    </row>
    <row r="78" spans="1:2" ht="15" x14ac:dyDescent="0.25">
      <c r="A78" s="1209" t="s">
        <v>4757</v>
      </c>
      <c r="B78" s="1210">
        <v>9841</v>
      </c>
    </row>
    <row r="79" spans="1:2" ht="15" x14ac:dyDescent="0.25">
      <c r="A79" s="1209" t="s">
        <v>4758</v>
      </c>
      <c r="B79" s="1210">
        <v>2320</v>
      </c>
    </row>
    <row r="80" spans="1:2" ht="15" x14ac:dyDescent="0.25">
      <c r="A80" s="1209" t="s">
        <v>4759</v>
      </c>
      <c r="B80" s="1210">
        <v>6837</v>
      </c>
    </row>
    <row r="81" spans="1:2" ht="15" x14ac:dyDescent="0.25">
      <c r="A81" s="1209" t="s">
        <v>2424</v>
      </c>
      <c r="B81" s="1210">
        <v>7297</v>
      </c>
    </row>
    <row r="82" spans="1:2" ht="15" x14ac:dyDescent="0.25">
      <c r="A82" s="1209" t="s">
        <v>4760</v>
      </c>
      <c r="B82" s="1210">
        <v>11796</v>
      </c>
    </row>
    <row r="83" spans="1:2" ht="15" x14ac:dyDescent="0.25">
      <c r="A83" s="1209" t="s">
        <v>4761</v>
      </c>
      <c r="B83" s="1210">
        <v>5750</v>
      </c>
    </row>
    <row r="84" spans="1:2" ht="15" x14ac:dyDescent="0.25">
      <c r="A84" s="1209" t="s">
        <v>4762</v>
      </c>
      <c r="B84" s="1210">
        <v>3924</v>
      </c>
    </row>
    <row r="85" spans="1:2" ht="15" x14ac:dyDescent="0.25">
      <c r="A85" s="1209" t="s">
        <v>4763</v>
      </c>
      <c r="B85" s="1210">
        <v>2564</v>
      </c>
    </row>
    <row r="86" spans="1:2" ht="15" x14ac:dyDescent="0.25">
      <c r="A86" s="1209" t="s">
        <v>4764</v>
      </c>
      <c r="B86" s="1210">
        <v>5425</v>
      </c>
    </row>
    <row r="87" spans="1:2" ht="15" x14ac:dyDescent="0.25">
      <c r="A87" s="1209" t="s">
        <v>4765</v>
      </c>
      <c r="B87" s="1210">
        <v>2997</v>
      </c>
    </row>
    <row r="88" spans="1:2" ht="15" x14ac:dyDescent="0.25">
      <c r="A88" s="1209" t="s">
        <v>4766</v>
      </c>
      <c r="B88" s="1210">
        <v>5995</v>
      </c>
    </row>
    <row r="89" spans="1:2" ht="15" x14ac:dyDescent="0.25">
      <c r="A89" s="1209" t="s">
        <v>4767</v>
      </c>
      <c r="B89" s="1210">
        <v>2814</v>
      </c>
    </row>
    <row r="90" spans="1:2" ht="15" x14ac:dyDescent="0.25">
      <c r="A90" s="1209" t="s">
        <v>4768</v>
      </c>
      <c r="B90" s="1210">
        <v>3780</v>
      </c>
    </row>
    <row r="91" spans="1:2" ht="15" x14ac:dyDescent="0.25">
      <c r="A91" s="1209" t="s">
        <v>4769</v>
      </c>
      <c r="B91" s="1210">
        <v>286</v>
      </c>
    </row>
    <row r="92" spans="1:2" ht="15" x14ac:dyDescent="0.25">
      <c r="A92" s="1209" t="s">
        <v>4770</v>
      </c>
      <c r="B92" s="1210">
        <v>22118</v>
      </c>
    </row>
    <row r="93" spans="1:2" ht="15" x14ac:dyDescent="0.25">
      <c r="A93" s="1209" t="s">
        <v>4771</v>
      </c>
      <c r="B93" s="1210">
        <v>2627</v>
      </c>
    </row>
    <row r="94" spans="1:2" ht="15" x14ac:dyDescent="0.25">
      <c r="A94" s="1209" t="s">
        <v>4772</v>
      </c>
      <c r="B94" s="1210">
        <v>92330</v>
      </c>
    </row>
    <row r="95" spans="1:2" ht="15" x14ac:dyDescent="0.25">
      <c r="A95" s="1209" t="s">
        <v>4773</v>
      </c>
      <c r="B95" s="1210">
        <v>1335</v>
      </c>
    </row>
    <row r="96" spans="1:2" ht="15" x14ac:dyDescent="0.25">
      <c r="A96" s="1209" t="s">
        <v>2504</v>
      </c>
      <c r="B96" s="1210">
        <v>699</v>
      </c>
    </row>
    <row r="97" spans="1:2" ht="15" x14ac:dyDescent="0.25">
      <c r="A97" s="1209" t="s">
        <v>4774</v>
      </c>
      <c r="B97" s="1210">
        <v>5357</v>
      </c>
    </row>
    <row r="98" spans="1:2" ht="15" x14ac:dyDescent="0.25">
      <c r="A98" s="1209" t="s">
        <v>4775</v>
      </c>
      <c r="B98" s="1210">
        <v>7865</v>
      </c>
    </row>
    <row r="99" spans="1:2" ht="15" x14ac:dyDescent="0.25">
      <c r="A99" s="1209" t="s">
        <v>4776</v>
      </c>
      <c r="B99" s="1210">
        <v>4994</v>
      </c>
    </row>
    <row r="100" spans="1:2" ht="15" x14ac:dyDescent="0.25">
      <c r="A100" s="1209" t="s">
        <v>2522</v>
      </c>
      <c r="B100" s="1210">
        <v>3998</v>
      </c>
    </row>
    <row r="101" spans="1:2" ht="15" x14ac:dyDescent="0.25">
      <c r="A101" s="1209" t="s">
        <v>4777</v>
      </c>
      <c r="B101" s="1210">
        <v>2610</v>
      </c>
    </row>
    <row r="102" spans="1:2" ht="15" x14ac:dyDescent="0.25">
      <c r="A102" s="1209" t="s">
        <v>4778</v>
      </c>
      <c r="B102" s="1211">
        <v>1546</v>
      </c>
    </row>
    <row r="103" spans="1:2" ht="15" x14ac:dyDescent="0.25">
      <c r="A103" s="1209" t="s">
        <v>2052</v>
      </c>
      <c r="B103" s="36">
        <f>SUM(B2:B102)</f>
        <v>950473</v>
      </c>
    </row>
  </sheetData>
  <sheetProtection algorithmName="SHA-512" hashValue="9pPUym8myzB0s6AnYlYLs/6s35wZDZHNJLLrm2tPRhXlYdwUYBEycVEwqiSxOtOTTHMOPbtQBzkFmvzZcWhCfg==" saltValue="F0tttzNaMh25q2P6Z87vlg==" spinCount="100000" sheet="1" objects="1" scenarios="1"/>
  <pageMargins left="0.7" right="0.7" top="0.75" bottom="0.75" header="0.3" footer="0.3"/>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I31"/>
  <sheetViews>
    <sheetView workbookViewId="0">
      <selection activeCell="C8" sqref="C8"/>
    </sheetView>
  </sheetViews>
  <sheetFormatPr defaultRowHeight="12.75" x14ac:dyDescent="0.2"/>
  <cols>
    <col min="1" max="1" width="4.5703125" customWidth="1"/>
    <col min="2" max="2" width="58" customWidth="1"/>
    <col min="3" max="3" width="34.7109375" customWidth="1"/>
    <col min="4" max="4" width="29" customWidth="1"/>
  </cols>
  <sheetData>
    <row r="2" spans="1:3" ht="15.75" x14ac:dyDescent="0.25">
      <c r="A2" s="1621" t="s">
        <v>2065</v>
      </c>
      <c r="B2" s="1622"/>
      <c r="C2" s="1623"/>
    </row>
    <row r="5" spans="1:3" ht="84" customHeight="1" x14ac:dyDescent="0.2">
      <c r="A5" s="1634" t="s">
        <v>2066</v>
      </c>
      <c r="B5" s="1634"/>
      <c r="C5" s="1634"/>
    </row>
    <row r="11" spans="1:3" x14ac:dyDescent="0.2">
      <c r="A11" s="679" t="s">
        <v>547</v>
      </c>
      <c r="B11" s="1643" t="s">
        <v>2102</v>
      </c>
      <c r="C11" s="1644"/>
    </row>
    <row r="12" spans="1:3" x14ac:dyDescent="0.2">
      <c r="A12" s="673"/>
      <c r="B12" s="673"/>
      <c r="C12" s="673"/>
    </row>
    <row r="13" spans="1:3" ht="42" customHeight="1" x14ac:dyDescent="0.2">
      <c r="A13" s="673"/>
      <c r="B13" s="1645" t="s">
        <v>4801</v>
      </c>
      <c r="C13" s="1645"/>
    </row>
    <row r="14" spans="1:3" x14ac:dyDescent="0.2">
      <c r="A14" s="673"/>
      <c r="B14" s="673"/>
      <c r="C14" s="673"/>
    </row>
    <row r="15" spans="1:3" x14ac:dyDescent="0.2">
      <c r="A15" s="673"/>
      <c r="B15" s="673"/>
      <c r="C15" s="673"/>
    </row>
    <row r="16" spans="1:3" s="673" customFormat="1" x14ac:dyDescent="0.2"/>
    <row r="17" spans="1:9" s="673" customFormat="1" x14ac:dyDescent="0.2">
      <c r="B17" s="698" t="s">
        <v>2103</v>
      </c>
      <c r="C17" s="754">
        <v>1</v>
      </c>
    </row>
    <row r="18" spans="1:9" s="673" customFormat="1" x14ac:dyDescent="0.2"/>
    <row r="19" spans="1:9" s="673" customFormat="1" x14ac:dyDescent="0.2">
      <c r="B19" s="699" t="s">
        <v>2104</v>
      </c>
      <c r="C19" s="700">
        <v>360.15</v>
      </c>
    </row>
    <row r="20" spans="1:9" s="673" customFormat="1" x14ac:dyDescent="0.2"/>
    <row r="21" spans="1:9" x14ac:dyDescent="0.2">
      <c r="C21" s="1246" t="s">
        <v>4819</v>
      </c>
    </row>
    <row r="23" spans="1:9" x14ac:dyDescent="0.2">
      <c r="A23" s="687" t="s">
        <v>548</v>
      </c>
      <c r="B23" s="1470" t="s">
        <v>2068</v>
      </c>
      <c r="C23" s="1471"/>
      <c r="D23" s="1471"/>
      <c r="E23" s="1471"/>
      <c r="F23" s="1471"/>
      <c r="G23" s="1471"/>
      <c r="H23" s="1471"/>
      <c r="I23" s="1472"/>
    </row>
    <row r="24" spans="1:9" x14ac:dyDescent="0.2">
      <c r="A24" s="687"/>
      <c r="B24" s="688"/>
      <c r="C24" s="688"/>
      <c r="D24" s="688"/>
      <c r="E24" s="688"/>
      <c r="F24" s="688"/>
      <c r="G24" s="688"/>
      <c r="H24" s="688"/>
      <c r="I24" s="688"/>
    </row>
    <row r="25" spans="1:9" x14ac:dyDescent="0.2">
      <c r="A25" s="685"/>
      <c r="B25" s="44"/>
      <c r="C25" s="31"/>
      <c r="D25" s="31"/>
      <c r="E25" s="31"/>
      <c r="F25" s="31"/>
      <c r="G25" s="31"/>
      <c r="H25" s="31"/>
      <c r="I25" s="31"/>
    </row>
    <row r="26" spans="1:9" x14ac:dyDescent="0.2">
      <c r="A26" s="685"/>
      <c r="B26" s="34"/>
      <c r="C26" s="689" t="s">
        <v>2056</v>
      </c>
      <c r="D26" s="689" t="s">
        <v>2057</v>
      </c>
      <c r="G26" s="692"/>
      <c r="H26" s="692"/>
      <c r="I26" s="692"/>
    </row>
    <row r="27" spans="1:9" x14ac:dyDescent="0.2">
      <c r="A27" s="685"/>
      <c r="B27" s="650" t="s">
        <v>1173</v>
      </c>
      <c r="C27" s="285">
        <f>C17*C19</f>
        <v>360</v>
      </c>
      <c r="D27" s="285"/>
      <c r="G27" s="693"/>
      <c r="H27" s="693"/>
      <c r="I27" s="694"/>
    </row>
    <row r="28" spans="1:9" x14ac:dyDescent="0.2">
      <c r="A28" s="685"/>
      <c r="B28" s="650" t="s">
        <v>2067</v>
      </c>
      <c r="C28" s="285"/>
      <c r="D28" s="285">
        <f>C27</f>
        <v>360</v>
      </c>
      <c r="E28" s="690"/>
      <c r="G28" s="693"/>
      <c r="H28" s="693"/>
      <c r="I28" s="694"/>
    </row>
    <row r="29" spans="1:9" x14ac:dyDescent="0.2">
      <c r="A29" s="685"/>
      <c r="B29" s="34"/>
      <c r="C29" s="686"/>
      <c r="D29" s="686"/>
      <c r="G29" s="197"/>
      <c r="H29" s="197"/>
      <c r="I29" s="197"/>
    </row>
    <row r="30" spans="1:9" ht="13.5" thickBot="1" x14ac:dyDescent="0.25">
      <c r="A30" s="685"/>
      <c r="B30" s="34"/>
      <c r="C30" s="691">
        <f>SUM(C27:C29)</f>
        <v>360</v>
      </c>
      <c r="D30" s="691">
        <f>SUM(D27:D29)</f>
        <v>360</v>
      </c>
      <c r="G30" s="197"/>
      <c r="H30" s="197"/>
      <c r="I30" s="197"/>
    </row>
    <row r="31" spans="1:9" ht="13.5" thickTop="1" x14ac:dyDescent="0.2"/>
  </sheetData>
  <sheetProtection algorithmName="SHA-512" hashValue="C6FVADtaBHWVlV8D5fCFjnqMV5yXR1vl34YUL0Mql2CnMMsc8XUIinUmXyIRXtVov9216zcxWPpEuAnjtFYDNg==" saltValue="qAHP6XIqL+VczrviyYat7A==" spinCount="100000" sheet="1" objects="1" scenarios="1"/>
  <mergeCells count="5">
    <mergeCell ref="A2:C2"/>
    <mergeCell ref="A5:C5"/>
    <mergeCell ref="B23:I23"/>
    <mergeCell ref="B11:C11"/>
    <mergeCell ref="B13:C13"/>
  </mergeCells>
  <dataValidations count="1">
    <dataValidation type="whole" operator="greaterThanOrEqual" allowBlank="1" showInputMessage="1" showErrorMessage="1" sqref="C17" xr:uid="{00000000-0002-0000-1800-000000000000}">
      <formula1>0</formula1>
    </dataValidation>
  </dataValidations>
  <hyperlinks>
    <hyperlink ref="C21" r:id="rId1" xr:uid="{16E27C14-BB4B-4F26-9C23-D7C6834300BF}"/>
  </hyperlinks>
  <pageMargins left="0.7" right="0.7" top="0.75" bottom="0.75" header="0.3" footer="0.3"/>
  <legacy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M104"/>
  <sheetViews>
    <sheetView zoomScale="90" zoomScaleNormal="90" workbookViewId="0">
      <selection activeCell="D28" sqref="D28"/>
    </sheetView>
  </sheetViews>
  <sheetFormatPr defaultColWidth="9.140625" defaultRowHeight="12.75" x14ac:dyDescent="0.2"/>
  <cols>
    <col min="1" max="1" width="9.140625" style="699" customWidth="1"/>
    <col min="2" max="2" width="54.42578125" style="699" customWidth="1"/>
    <col min="3" max="3" width="17.28515625" style="699" customWidth="1"/>
    <col min="4" max="4" width="16.85546875" style="699" customWidth="1"/>
    <col min="5" max="5" width="17.5703125" style="699" customWidth="1"/>
    <col min="6" max="6" width="9.140625" style="699"/>
    <col min="7" max="7" width="16.7109375" style="699" customWidth="1"/>
    <col min="8" max="8" width="16.28515625" style="699" customWidth="1"/>
    <col min="9" max="9" width="9.140625" style="699"/>
    <col min="10" max="10" width="12.85546875" style="699" bestFit="1" customWidth="1"/>
    <col min="11" max="11" width="33.5703125" style="699" customWidth="1"/>
    <col min="12" max="12" width="18" style="699" customWidth="1"/>
    <col min="13" max="16384" width="9.140625" style="699"/>
  </cols>
  <sheetData>
    <row r="1" spans="1:11" ht="15.75" x14ac:dyDescent="0.25">
      <c r="A1" s="1621" t="s">
        <v>3612</v>
      </c>
      <c r="B1" s="1622"/>
      <c r="C1" s="1623"/>
    </row>
    <row r="4" spans="1:11" ht="84.75" customHeight="1" x14ac:dyDescent="0.2">
      <c r="A4" s="1634" t="s">
        <v>4068</v>
      </c>
      <c r="B4" s="1634"/>
      <c r="C4" s="1634"/>
    </row>
    <row r="5" spans="1:11" hidden="1" x14ac:dyDescent="0.2"/>
    <row r="6" spans="1:11" hidden="1" x14ac:dyDescent="0.2"/>
    <row r="7" spans="1:11" hidden="1" x14ac:dyDescent="0.2"/>
    <row r="8" spans="1:11" hidden="1" x14ac:dyDescent="0.2"/>
    <row r="9" spans="1:11" hidden="1" x14ac:dyDescent="0.2"/>
    <row r="10" spans="1:11" x14ac:dyDescent="0.2">
      <c r="A10" s="679" t="s">
        <v>547</v>
      </c>
      <c r="B10" s="680" t="s">
        <v>3613</v>
      </c>
      <c r="C10" s="710"/>
    </row>
    <row r="13" spans="1:11" ht="14.25" x14ac:dyDescent="0.2">
      <c r="B13" s="854" t="s">
        <v>3614</v>
      </c>
      <c r="C13" s="854"/>
      <c r="D13" s="1160"/>
      <c r="E13" s="854"/>
      <c r="F13" s="854"/>
      <c r="G13" s="854"/>
      <c r="H13" s="854"/>
      <c r="I13" s="854"/>
      <c r="J13" s="854"/>
      <c r="K13" s="855"/>
    </row>
    <row r="14" spans="1:11" ht="14.25" x14ac:dyDescent="0.2">
      <c r="B14" s="854" t="s">
        <v>3615</v>
      </c>
      <c r="C14" s="854"/>
      <c r="D14" s="1160"/>
      <c r="E14" s="854"/>
      <c r="F14" s="854" t="s">
        <v>3616</v>
      </c>
      <c r="G14" s="854"/>
      <c r="H14" s="854"/>
      <c r="I14" s="854"/>
      <c r="J14" s="854"/>
      <c r="K14" s="855"/>
    </row>
    <row r="15" spans="1:11" ht="14.25" x14ac:dyDescent="0.2">
      <c r="B15" s="854" t="s">
        <v>3982</v>
      </c>
      <c r="C15" s="854"/>
      <c r="D15" s="1160"/>
      <c r="E15" s="854"/>
      <c r="F15" s="854"/>
      <c r="G15" s="854"/>
      <c r="H15" s="854"/>
      <c r="I15" s="854"/>
      <c r="J15" s="854"/>
      <c r="K15" s="855"/>
    </row>
    <row r="16" spans="1:11" ht="14.25" x14ac:dyDescent="0.2">
      <c r="B16" s="854" t="s">
        <v>1173</v>
      </c>
      <c r="C16" s="854"/>
      <c r="D16" s="1160"/>
      <c r="E16" s="854"/>
      <c r="F16" s="854" t="s">
        <v>3617</v>
      </c>
      <c r="G16" s="854"/>
      <c r="H16" s="854"/>
      <c r="I16" s="854"/>
      <c r="J16" s="854"/>
      <c r="K16" s="855"/>
    </row>
    <row r="17" spans="1:11" ht="32.25" customHeight="1" x14ac:dyDescent="0.2">
      <c r="B17" s="1646" t="s">
        <v>4051</v>
      </c>
      <c r="C17" s="1646"/>
      <c r="D17" s="1160"/>
      <c r="E17" s="854"/>
      <c r="F17" s="1646" t="s">
        <v>3618</v>
      </c>
      <c r="G17" s="1646"/>
      <c r="H17" s="1646"/>
      <c r="I17" s="1646"/>
      <c r="J17" s="1646"/>
      <c r="K17" s="1646"/>
    </row>
    <row r="18" spans="1:11" ht="14.25" x14ac:dyDescent="0.2">
      <c r="B18" s="1646" t="s">
        <v>4052</v>
      </c>
      <c r="C18" s="1646"/>
      <c r="D18" s="1160"/>
      <c r="E18" s="854"/>
      <c r="F18" s="1646" t="s">
        <v>3619</v>
      </c>
      <c r="G18" s="1646"/>
      <c r="H18" s="1646"/>
      <c r="I18" s="1646"/>
      <c r="J18" s="1646"/>
      <c r="K18" s="1646"/>
    </row>
    <row r="19" spans="1:11" ht="26.25" customHeight="1" x14ac:dyDescent="0.2">
      <c r="B19" s="1646" t="s">
        <v>4053</v>
      </c>
      <c r="C19" s="1646"/>
      <c r="D19" s="1160"/>
      <c r="E19" s="854"/>
      <c r="F19" s="1646" t="s">
        <v>4049</v>
      </c>
      <c r="G19" s="1646"/>
      <c r="H19" s="1646"/>
      <c r="I19" s="1646"/>
      <c r="J19" s="1646"/>
      <c r="K19" s="1646"/>
    </row>
    <row r="20" spans="1:11" ht="14.25" x14ac:dyDescent="0.2">
      <c r="B20" s="1646" t="s">
        <v>4067</v>
      </c>
      <c r="C20" s="1646"/>
      <c r="D20" s="1160"/>
      <c r="E20" s="854"/>
      <c r="F20" s="1646" t="s">
        <v>4050</v>
      </c>
      <c r="G20" s="1646"/>
      <c r="H20" s="1646"/>
      <c r="I20" s="1646"/>
      <c r="J20" s="1646"/>
      <c r="K20" s="1646"/>
    </row>
    <row r="22" spans="1:11" x14ac:dyDescent="0.2">
      <c r="E22" s="1022"/>
    </row>
    <row r="23" spans="1:11" x14ac:dyDescent="0.2">
      <c r="A23" s="679" t="s">
        <v>548</v>
      </c>
      <c r="B23" s="680" t="s">
        <v>3620</v>
      </c>
    </row>
    <row r="25" spans="1:11" x14ac:dyDescent="0.2">
      <c r="D25" s="856"/>
    </row>
    <row r="26" spans="1:11" ht="24.75" customHeight="1" x14ac:dyDescent="0.2">
      <c r="B26" s="1545" t="s">
        <v>4788</v>
      </c>
      <c r="C26" s="1545"/>
      <c r="D26" s="1159"/>
    </row>
    <row r="27" spans="1:11" x14ac:dyDescent="0.2">
      <c r="D27" s="856"/>
    </row>
    <row r="28" spans="1:11" ht="32.25" customHeight="1" x14ac:dyDescent="0.2">
      <c r="B28" s="1545" t="s">
        <v>4789</v>
      </c>
      <c r="C28" s="1545"/>
      <c r="D28" s="1159"/>
    </row>
    <row r="29" spans="1:11" x14ac:dyDescent="0.2">
      <c r="D29" s="856"/>
    </row>
    <row r="30" spans="1:11" ht="40.5" customHeight="1" x14ac:dyDescent="0.2">
      <c r="B30" s="1649" t="s">
        <v>4061</v>
      </c>
      <c r="C30" s="1650"/>
      <c r="D30" s="1159"/>
    </row>
    <row r="31" spans="1:11" x14ac:dyDescent="0.2">
      <c r="D31" s="856"/>
    </row>
    <row r="32" spans="1:11" ht="45.75" customHeight="1" x14ac:dyDescent="0.2">
      <c r="B32" s="1545" t="s">
        <v>4046</v>
      </c>
      <c r="C32" s="1545"/>
      <c r="D32" s="1159"/>
      <c r="G32" s="1651" t="s">
        <v>4060</v>
      </c>
      <c r="H32" s="1652"/>
      <c r="I32" s="1653"/>
    </row>
    <row r="33" spans="2:13" x14ac:dyDescent="0.2">
      <c r="D33" s="856"/>
    </row>
    <row r="34" spans="2:13" ht="32.25" customHeight="1" x14ac:dyDescent="0.2">
      <c r="B34" s="1649" t="s">
        <v>4062</v>
      </c>
      <c r="C34" s="1650"/>
      <c r="D34" s="1159"/>
      <c r="E34" s="1654" t="str">
        <f>IF((D30+D34)&lt;&gt;D15,"Benefit payments entered in cells D30 &amp; D34 do not equal benefit payments entered from valuation report below. Please confirm amounts.","")</f>
        <v/>
      </c>
      <c r="F34" s="1654"/>
      <c r="G34" s="1654"/>
      <c r="H34" s="1654"/>
      <c r="I34" s="1654"/>
    </row>
    <row r="35" spans="2:13" x14ac:dyDescent="0.2">
      <c r="D35" s="856"/>
    </row>
    <row r="36" spans="2:13" ht="39.75" customHeight="1" x14ac:dyDescent="0.2">
      <c r="B36" s="1545" t="s">
        <v>4047</v>
      </c>
      <c r="C36" s="1545"/>
      <c r="D36" s="1159"/>
    </row>
    <row r="37" spans="2:13" x14ac:dyDescent="0.2">
      <c r="D37" s="856"/>
    </row>
    <row r="40" spans="2:13" ht="14.25" hidden="1" x14ac:dyDescent="0.2">
      <c r="B40" s="854" t="s">
        <v>4057</v>
      </c>
      <c r="C40" s="854"/>
      <c r="D40" s="854"/>
      <c r="E40" s="854"/>
      <c r="F40" s="854"/>
      <c r="G40" s="854"/>
      <c r="H40" s="854"/>
      <c r="I40" s="854"/>
      <c r="J40" s="854"/>
      <c r="K40" s="855">
        <f>D13</f>
        <v>0</v>
      </c>
      <c r="L40" s="855"/>
    </row>
    <row r="41" spans="2:13" ht="14.25" hidden="1" x14ac:dyDescent="0.2">
      <c r="B41" s="854" t="s">
        <v>3621</v>
      </c>
      <c r="C41" s="854"/>
      <c r="D41" s="854"/>
      <c r="E41" s="854"/>
      <c r="F41" s="854"/>
      <c r="G41" s="854"/>
      <c r="H41" s="854"/>
      <c r="I41" s="854"/>
      <c r="J41" s="854"/>
      <c r="K41" s="855"/>
      <c r="L41" s="855">
        <f>D14</f>
        <v>0</v>
      </c>
      <c r="M41" s="1022"/>
    </row>
    <row r="42" spans="2:13" ht="14.25" hidden="1" x14ac:dyDescent="0.2">
      <c r="B42" s="854" t="s">
        <v>1173</v>
      </c>
      <c r="C42" s="854"/>
      <c r="D42" s="854"/>
      <c r="E42" s="854"/>
      <c r="F42" s="854"/>
      <c r="G42" s="854"/>
      <c r="H42" s="854"/>
      <c r="I42" s="854"/>
      <c r="J42" s="854"/>
      <c r="K42" s="855">
        <f>D16</f>
        <v>0</v>
      </c>
      <c r="L42" s="855"/>
    </row>
    <row r="43" spans="2:13" ht="14.25" hidden="1" x14ac:dyDescent="0.2">
      <c r="B43" s="854" t="s">
        <v>3622</v>
      </c>
      <c r="C43" s="854"/>
      <c r="D43" s="854"/>
      <c r="E43" s="854"/>
      <c r="F43" s="854"/>
      <c r="G43" s="854"/>
      <c r="H43" s="854"/>
      <c r="I43" s="854"/>
      <c r="J43" s="854"/>
      <c r="K43" s="855"/>
      <c r="L43" s="855">
        <f>IF(D19&gt;0,D19,0)</f>
        <v>0</v>
      </c>
    </row>
    <row r="44" spans="2:13" ht="14.25" hidden="1" x14ac:dyDescent="0.2">
      <c r="B44" s="854" t="s">
        <v>3623</v>
      </c>
      <c r="C44" s="854"/>
      <c r="D44" s="854"/>
      <c r="E44" s="854"/>
      <c r="F44" s="854"/>
      <c r="G44" s="854"/>
      <c r="H44" s="854"/>
      <c r="I44" s="854"/>
      <c r="J44" s="854"/>
      <c r="K44" s="855">
        <f>IF(D17&gt;0,D17,0)</f>
        <v>0</v>
      </c>
      <c r="L44" s="855"/>
    </row>
    <row r="45" spans="2:13" ht="14.25" hidden="1" x14ac:dyDescent="0.2">
      <c r="B45" s="854" t="s">
        <v>3624</v>
      </c>
      <c r="C45" s="854"/>
      <c r="D45" s="854"/>
      <c r="E45" s="854"/>
      <c r="F45" s="854"/>
      <c r="G45" s="854"/>
      <c r="H45" s="854"/>
      <c r="I45" s="854"/>
      <c r="J45" s="854"/>
      <c r="K45" s="855">
        <f>IF(D19&lt;0,-D19,0)</f>
        <v>0</v>
      </c>
      <c r="L45" s="855"/>
    </row>
    <row r="46" spans="2:13" ht="14.25" hidden="1" x14ac:dyDescent="0.2">
      <c r="B46" s="854" t="s">
        <v>3625</v>
      </c>
      <c r="C46" s="854"/>
      <c r="D46" s="854"/>
      <c r="E46" s="854"/>
      <c r="F46" s="854"/>
      <c r="G46" s="854"/>
      <c r="H46" s="854"/>
      <c r="I46" s="854"/>
      <c r="J46" s="854"/>
      <c r="K46" s="855"/>
      <c r="L46" s="855">
        <f>IF(D17&lt;0,-D17,0)</f>
        <v>0</v>
      </c>
    </row>
    <row r="47" spans="2:13" ht="14.25" hidden="1" x14ac:dyDescent="0.2">
      <c r="B47" s="854" t="s">
        <v>3626</v>
      </c>
      <c r="C47" s="854"/>
      <c r="D47" s="854"/>
      <c r="E47" s="854"/>
      <c r="F47" s="854"/>
      <c r="G47" s="854"/>
      <c r="H47" s="854"/>
      <c r="I47" s="854"/>
      <c r="J47" s="854"/>
      <c r="K47" s="855"/>
      <c r="L47" s="855">
        <f>IF(D20&gt;0,D20,0)</f>
        <v>0</v>
      </c>
    </row>
    <row r="48" spans="2:13" ht="14.25" hidden="1" x14ac:dyDescent="0.2">
      <c r="B48" s="854" t="s">
        <v>3627</v>
      </c>
      <c r="C48" s="854"/>
      <c r="D48" s="854"/>
      <c r="E48" s="854"/>
      <c r="F48" s="854"/>
      <c r="G48" s="854"/>
      <c r="H48" s="854"/>
      <c r="I48" s="854"/>
      <c r="J48" s="854"/>
      <c r="K48" s="855">
        <f>IF(D18&gt;0,D18,0)</f>
        <v>0</v>
      </c>
      <c r="L48" s="855"/>
    </row>
    <row r="49" spans="2:12" ht="14.25" hidden="1" x14ac:dyDescent="0.2">
      <c r="B49" s="854" t="s">
        <v>3628</v>
      </c>
      <c r="C49" s="854"/>
      <c r="D49" s="854"/>
      <c r="E49" s="854"/>
      <c r="F49" s="854"/>
      <c r="G49" s="854"/>
      <c r="H49" s="854"/>
      <c r="I49" s="854"/>
      <c r="J49" s="854"/>
      <c r="K49" s="855">
        <f>IF(D20&lt;0,-D20,0)</f>
        <v>0</v>
      </c>
      <c r="L49" s="855"/>
    </row>
    <row r="50" spans="2:12" ht="14.25" hidden="1" x14ac:dyDescent="0.2">
      <c r="B50" s="854" t="s">
        <v>3629</v>
      </c>
      <c r="C50" s="854"/>
      <c r="D50" s="854"/>
      <c r="E50" s="854"/>
      <c r="F50" s="854"/>
      <c r="G50" s="854"/>
      <c r="H50" s="854"/>
      <c r="I50" s="854"/>
      <c r="J50" s="854"/>
      <c r="K50" s="855"/>
      <c r="L50" s="855">
        <f>IF(D18&lt;0,-D18,0)</f>
        <v>0</v>
      </c>
    </row>
    <row r="51" spans="2:12" ht="14.25" hidden="1" x14ac:dyDescent="0.2">
      <c r="B51" s="854" t="s">
        <v>4048</v>
      </c>
      <c r="C51" s="854"/>
      <c r="D51" s="854"/>
      <c r="E51" s="854"/>
      <c r="F51" s="854"/>
      <c r="G51" s="854"/>
      <c r="H51" s="854"/>
      <c r="I51" s="854"/>
      <c r="J51" s="854"/>
      <c r="K51" s="855"/>
      <c r="L51" s="855">
        <f>D30</f>
        <v>0</v>
      </c>
    </row>
    <row r="52" spans="2:12" ht="14.25" hidden="1" x14ac:dyDescent="0.2">
      <c r="B52" s="854" t="s">
        <v>4054</v>
      </c>
      <c r="C52" s="854"/>
      <c r="D52" s="854"/>
      <c r="E52" s="854"/>
      <c r="F52" s="854"/>
      <c r="G52" s="854"/>
      <c r="H52" s="854"/>
      <c r="I52" s="854"/>
      <c r="J52" s="854"/>
      <c r="K52" s="855"/>
      <c r="L52" s="855">
        <f>D32</f>
        <v>0</v>
      </c>
    </row>
    <row r="53" spans="2:12" ht="14.25" hidden="1" x14ac:dyDescent="0.2">
      <c r="B53" s="854" t="s">
        <v>4055</v>
      </c>
      <c r="C53" s="854"/>
      <c r="D53" s="854"/>
      <c r="E53" s="854"/>
      <c r="F53" s="854"/>
      <c r="G53" s="854"/>
      <c r="H53" s="854"/>
      <c r="I53" s="854"/>
      <c r="J53" s="854"/>
      <c r="K53" s="855"/>
      <c r="L53" s="855">
        <f>D34</f>
        <v>0</v>
      </c>
    </row>
    <row r="54" spans="2:12" ht="14.25" hidden="1" x14ac:dyDescent="0.2">
      <c r="B54" s="854" t="s">
        <v>4056</v>
      </c>
      <c r="C54" s="854"/>
      <c r="D54" s="854"/>
      <c r="E54" s="854"/>
      <c r="F54" s="854"/>
      <c r="G54" s="854"/>
      <c r="H54" s="854"/>
      <c r="I54" s="854"/>
      <c r="J54" s="854"/>
      <c r="K54" s="855"/>
      <c r="L54" s="855">
        <f>D36</f>
        <v>0</v>
      </c>
    </row>
    <row r="55" spans="2:12" ht="14.25" hidden="1" x14ac:dyDescent="0.2">
      <c r="B55" s="854"/>
      <c r="C55" s="854" t="s">
        <v>3631</v>
      </c>
      <c r="D55" s="854"/>
      <c r="E55" s="854"/>
      <c r="F55" s="854"/>
      <c r="G55" s="854"/>
      <c r="H55" s="854"/>
      <c r="I55" s="854"/>
      <c r="J55" s="854"/>
      <c r="K55" s="857">
        <f>SUM(K40:K54)</f>
        <v>0</v>
      </c>
      <c r="L55" s="857">
        <f>SUM(L40:L54)</f>
        <v>0</v>
      </c>
    </row>
    <row r="56" spans="2:12" ht="14.25" hidden="1" x14ac:dyDescent="0.2">
      <c r="B56" s="854"/>
      <c r="C56" s="854"/>
      <c r="D56" s="854"/>
      <c r="E56" s="854"/>
      <c r="F56" s="854"/>
      <c r="G56" s="854"/>
      <c r="H56" s="854"/>
      <c r="I56" s="854"/>
      <c r="J56" s="1024"/>
      <c r="K56" s="903"/>
      <c r="L56" s="903"/>
    </row>
    <row r="57" spans="2:12" ht="14.25" hidden="1" x14ac:dyDescent="0.2">
      <c r="B57" s="854" t="s">
        <v>3632</v>
      </c>
      <c r="C57" s="854"/>
      <c r="D57" s="854"/>
      <c r="E57" s="854"/>
      <c r="F57" s="854"/>
      <c r="G57" s="854"/>
      <c r="H57" s="854"/>
      <c r="I57" s="854"/>
      <c r="J57" s="1024"/>
      <c r="K57" s="858">
        <f>D26</f>
        <v>0</v>
      </c>
      <c r="L57" s="858"/>
    </row>
    <row r="58" spans="2:12" ht="14.25" hidden="1" x14ac:dyDescent="0.2">
      <c r="B58" s="854" t="s">
        <v>1173</v>
      </c>
      <c r="C58" s="854"/>
      <c r="D58" s="854"/>
      <c r="E58" s="854"/>
      <c r="F58" s="854"/>
      <c r="G58" s="854"/>
      <c r="H58" s="854"/>
      <c r="I58" s="854"/>
      <c r="J58" s="1024"/>
      <c r="K58" s="858"/>
      <c r="L58" s="858">
        <f>K57</f>
        <v>0</v>
      </c>
    </row>
    <row r="59" spans="2:12" ht="14.25" hidden="1" x14ac:dyDescent="0.2">
      <c r="B59" s="854"/>
      <c r="C59" s="854" t="s">
        <v>3633</v>
      </c>
      <c r="D59" s="854"/>
      <c r="E59" s="854"/>
      <c r="F59" s="854"/>
      <c r="G59" s="854"/>
      <c r="H59" s="854"/>
      <c r="I59" s="854"/>
      <c r="J59" s="1024"/>
      <c r="K59" s="858"/>
      <c r="L59" s="858"/>
    </row>
    <row r="60" spans="2:12" ht="14.25" hidden="1" x14ac:dyDescent="0.2">
      <c r="B60" s="854" t="s">
        <v>3634</v>
      </c>
      <c r="C60" s="854"/>
      <c r="D60" s="854"/>
      <c r="E60" s="854"/>
      <c r="F60" s="854"/>
      <c r="G60" s="854"/>
      <c r="H60" s="854"/>
      <c r="I60" s="854"/>
      <c r="J60" s="1024"/>
      <c r="K60" s="858">
        <f>D28</f>
        <v>0</v>
      </c>
      <c r="L60" s="858"/>
    </row>
    <row r="61" spans="2:12" ht="14.25" hidden="1" x14ac:dyDescent="0.2">
      <c r="B61" s="854" t="s">
        <v>1173</v>
      </c>
      <c r="C61" s="854"/>
      <c r="D61" s="854"/>
      <c r="E61" s="854"/>
      <c r="F61" s="854"/>
      <c r="G61" s="854"/>
      <c r="H61" s="854"/>
      <c r="I61" s="854"/>
      <c r="J61" s="854"/>
      <c r="K61" s="855"/>
      <c r="L61" s="855">
        <f>K60</f>
        <v>0</v>
      </c>
    </row>
    <row r="62" spans="2:12" ht="14.25" hidden="1" x14ac:dyDescent="0.2">
      <c r="B62" s="854"/>
      <c r="C62" s="854" t="s">
        <v>3635</v>
      </c>
      <c r="D62" s="854"/>
      <c r="E62" s="854"/>
      <c r="F62" s="854"/>
      <c r="G62" s="854"/>
      <c r="H62" s="854"/>
      <c r="I62" s="854"/>
      <c r="J62" s="854"/>
      <c r="K62" s="855"/>
      <c r="L62" s="855"/>
    </row>
    <row r="64" spans="2:12" x14ac:dyDescent="0.2">
      <c r="K64" s="1022"/>
    </row>
    <row r="66" spans="1:9" x14ac:dyDescent="0.2">
      <c r="A66" s="687" t="s">
        <v>816</v>
      </c>
      <c r="B66" s="1635" t="s">
        <v>3636</v>
      </c>
      <c r="C66" s="1636"/>
      <c r="D66" s="1636"/>
      <c r="E66" s="1636"/>
      <c r="F66" s="1636"/>
      <c r="G66" s="1636"/>
      <c r="H66" s="1636"/>
      <c r="I66" s="1637"/>
    </row>
    <row r="69" spans="1:9" x14ac:dyDescent="0.2">
      <c r="B69" s="793"/>
      <c r="C69" s="766" t="s">
        <v>2056</v>
      </c>
      <c r="D69" s="766" t="s">
        <v>2057</v>
      </c>
    </row>
    <row r="70" spans="1:9" x14ac:dyDescent="0.2">
      <c r="B70" s="793" t="s">
        <v>4059</v>
      </c>
      <c r="C70" s="859">
        <f t="shared" ref="C70:D75" si="0">G90</f>
        <v>0</v>
      </c>
      <c r="D70" s="859">
        <f t="shared" si="0"/>
        <v>0</v>
      </c>
      <c r="E70" s="1022"/>
    </row>
    <row r="71" spans="1:9" x14ac:dyDescent="0.2">
      <c r="B71" s="905" t="s">
        <v>2091</v>
      </c>
      <c r="C71" s="859">
        <f t="shared" si="0"/>
        <v>0</v>
      </c>
      <c r="D71" s="859">
        <f t="shared" si="0"/>
        <v>0</v>
      </c>
      <c r="E71" s="902"/>
    </row>
    <row r="72" spans="1:9" ht="25.5" x14ac:dyDescent="0.2">
      <c r="B72" s="793" t="s">
        <v>3596</v>
      </c>
      <c r="C72" s="859">
        <f t="shared" si="0"/>
        <v>0</v>
      </c>
      <c r="D72" s="859">
        <f t="shared" si="0"/>
        <v>0</v>
      </c>
    </row>
    <row r="73" spans="1:9" x14ac:dyDescent="0.2">
      <c r="B73" s="793" t="s">
        <v>3597</v>
      </c>
      <c r="C73" s="859">
        <f t="shared" si="0"/>
        <v>0</v>
      </c>
      <c r="D73" s="859">
        <f t="shared" si="0"/>
        <v>0</v>
      </c>
    </row>
    <row r="74" spans="1:9" ht="25.5" x14ac:dyDescent="0.2">
      <c r="B74" s="793" t="s">
        <v>3599</v>
      </c>
      <c r="C74" s="859">
        <f t="shared" si="0"/>
        <v>0</v>
      </c>
      <c r="D74" s="859">
        <f t="shared" si="0"/>
        <v>0</v>
      </c>
    </row>
    <row r="75" spans="1:9" x14ac:dyDescent="0.2">
      <c r="B75" s="793" t="s">
        <v>3601</v>
      </c>
      <c r="C75" s="859">
        <f t="shared" si="0"/>
        <v>0</v>
      </c>
      <c r="D75" s="859">
        <f t="shared" si="0"/>
        <v>0</v>
      </c>
    </row>
    <row r="76" spans="1:9" ht="25.5" x14ac:dyDescent="0.2">
      <c r="B76" s="1143" t="s">
        <v>4064</v>
      </c>
      <c r="C76" s="859">
        <f>G96</f>
        <v>0</v>
      </c>
      <c r="D76" s="859">
        <f>H96</f>
        <v>0</v>
      </c>
    </row>
    <row r="77" spans="1:9" ht="25.5" x14ac:dyDescent="0.2">
      <c r="B77" s="793" t="s">
        <v>3637</v>
      </c>
      <c r="C77" s="859">
        <f>G97</f>
        <v>0</v>
      </c>
      <c r="D77" s="859">
        <f>H97</f>
        <v>0</v>
      </c>
    </row>
    <row r="78" spans="1:9" x14ac:dyDescent="0.2">
      <c r="B78" s="1154" t="s">
        <v>4008</v>
      </c>
      <c r="C78" s="859"/>
      <c r="D78" s="859">
        <f>H98</f>
        <v>0</v>
      </c>
    </row>
    <row r="79" spans="1:9" x14ac:dyDescent="0.2">
      <c r="B79" s="1154" t="s">
        <v>4070</v>
      </c>
      <c r="C79" s="859"/>
      <c r="D79" s="859">
        <f>H99</f>
        <v>0</v>
      </c>
    </row>
    <row r="80" spans="1:9" x14ac:dyDescent="0.2">
      <c r="B80" s="793"/>
      <c r="C80" s="860"/>
      <c r="D80" s="860"/>
    </row>
    <row r="81" spans="2:10" ht="13.5" thickBot="1" x14ac:dyDescent="0.25">
      <c r="B81" s="793"/>
      <c r="C81" s="861">
        <f>SUM(C70:C80)</f>
        <v>0</v>
      </c>
      <c r="D81" s="861">
        <f>SUM(D70:D80)</f>
        <v>0</v>
      </c>
      <c r="E81" s="1022"/>
    </row>
    <row r="82" spans="2:10" ht="13.5" thickTop="1" x14ac:dyDescent="0.2"/>
    <row r="84" spans="2:10" x14ac:dyDescent="0.2">
      <c r="B84" s="1641" t="s">
        <v>3638</v>
      </c>
      <c r="C84" s="1641"/>
      <c r="D84" s="1641"/>
      <c r="E84" s="1641"/>
      <c r="F84" s="1641"/>
      <c r="G84" s="1641"/>
      <c r="H84" s="1641"/>
    </row>
    <row r="85" spans="2:10" x14ac:dyDescent="0.2">
      <c r="B85" s="1641"/>
      <c r="C85" s="1641"/>
      <c r="D85" s="1641"/>
      <c r="E85" s="1641"/>
      <c r="F85" s="1641"/>
      <c r="G85" s="1641"/>
      <c r="H85" s="1641"/>
    </row>
    <row r="86" spans="2:10" ht="18" x14ac:dyDescent="0.25">
      <c r="B86" s="713"/>
      <c r="C86" s="713"/>
      <c r="D86" s="713"/>
      <c r="E86" s="713"/>
      <c r="F86" s="713"/>
      <c r="G86" s="713"/>
      <c r="H86" s="712"/>
    </row>
    <row r="87" spans="2:10" ht="18" x14ac:dyDescent="0.2">
      <c r="B87" s="713"/>
      <c r="C87" s="714"/>
      <c r="D87" s="716"/>
      <c r="E87" s="862"/>
      <c r="F87" s="713"/>
      <c r="G87" s="1647" t="s">
        <v>923</v>
      </c>
      <c r="H87" s="1648"/>
    </row>
    <row r="88" spans="2:10" x14ac:dyDescent="0.2">
      <c r="B88" s="851"/>
      <c r="C88" s="767"/>
      <c r="D88" s="768"/>
      <c r="E88" s="863"/>
      <c r="F88" s="864"/>
      <c r="G88" s="865"/>
      <c r="H88" s="866"/>
    </row>
    <row r="89" spans="2:10" x14ac:dyDescent="0.2">
      <c r="B89" s="851"/>
      <c r="C89" s="715" t="s">
        <v>517</v>
      </c>
      <c r="D89" s="154" t="s">
        <v>518</v>
      </c>
      <c r="E89" s="867" t="s">
        <v>2097</v>
      </c>
      <c r="F89" s="864"/>
      <c r="G89" s="868" t="s">
        <v>517</v>
      </c>
      <c r="H89" s="869" t="s">
        <v>518</v>
      </c>
    </row>
    <row r="90" spans="2:10" x14ac:dyDescent="0.2">
      <c r="B90" s="793" t="s">
        <v>4059</v>
      </c>
      <c r="C90" s="771">
        <f>K40+K41</f>
        <v>0</v>
      </c>
      <c r="D90" s="770">
        <f>L41</f>
        <v>0</v>
      </c>
      <c r="E90" s="1149">
        <f>C90-D90</f>
        <v>0</v>
      </c>
      <c r="G90" s="871">
        <f>IF(E90&lt;0,0,E90)</f>
        <v>0</v>
      </c>
      <c r="H90" s="770">
        <f>IF(E90&gt;0,0,E90*-1)</f>
        <v>0</v>
      </c>
      <c r="J90" s="860"/>
    </row>
    <row r="91" spans="2:10" x14ac:dyDescent="0.2">
      <c r="B91" s="905" t="s">
        <v>2091</v>
      </c>
      <c r="C91" s="771">
        <f>K42+K58+K61</f>
        <v>0</v>
      </c>
      <c r="D91" s="770"/>
      <c r="E91" s="1149">
        <f t="shared" ref="E91:E99" si="1">C91-D91</f>
        <v>0</v>
      </c>
      <c r="G91" s="871">
        <f>IF(E91&lt;0,0,E91)</f>
        <v>0</v>
      </c>
      <c r="H91" s="770">
        <f>IF(E91&gt;0,0,-E91+E100)</f>
        <v>0</v>
      </c>
    </row>
    <row r="92" spans="2:10" ht="25.5" x14ac:dyDescent="0.2">
      <c r="B92" s="793" t="s">
        <v>3596</v>
      </c>
      <c r="C92" s="771">
        <f>K43+K44</f>
        <v>0</v>
      </c>
      <c r="D92" s="770">
        <f>L43+L44</f>
        <v>0</v>
      </c>
      <c r="E92" s="1149">
        <f t="shared" si="1"/>
        <v>0</v>
      </c>
      <c r="G92" s="871">
        <f>IF(E92&lt;0,0,E92)</f>
        <v>0</v>
      </c>
      <c r="H92" s="770">
        <f t="shared" ref="H92:H97" si="2">IF(E92&gt;0,0,E92*-1)</f>
        <v>0</v>
      </c>
      <c r="J92" s="860"/>
    </row>
    <row r="93" spans="2:10" x14ac:dyDescent="0.2">
      <c r="B93" s="793" t="s">
        <v>3597</v>
      </c>
      <c r="C93" s="771">
        <f>K47+K48</f>
        <v>0</v>
      </c>
      <c r="D93" s="770">
        <f>L47+L48</f>
        <v>0</v>
      </c>
      <c r="E93" s="1149">
        <f t="shared" si="1"/>
        <v>0</v>
      </c>
      <c r="G93" s="871">
        <f t="shared" ref="G93:G97" si="3">IF(E93&lt;0,0,E93)</f>
        <v>0</v>
      </c>
      <c r="H93" s="770">
        <f t="shared" si="2"/>
        <v>0</v>
      </c>
      <c r="J93" s="1023"/>
    </row>
    <row r="94" spans="2:10" ht="25.5" x14ac:dyDescent="0.2">
      <c r="B94" s="793" t="s">
        <v>3599</v>
      </c>
      <c r="C94" s="771">
        <f>K45+K46</f>
        <v>0</v>
      </c>
      <c r="D94" s="770">
        <f>L45+L46</f>
        <v>0</v>
      </c>
      <c r="E94" s="1149">
        <f t="shared" si="1"/>
        <v>0</v>
      </c>
      <c r="G94" s="871">
        <f t="shared" si="3"/>
        <v>0</v>
      </c>
      <c r="H94" s="770">
        <f t="shared" si="2"/>
        <v>0</v>
      </c>
      <c r="J94" s="1022"/>
    </row>
    <row r="95" spans="2:10" x14ac:dyDescent="0.2">
      <c r="B95" s="793" t="s">
        <v>3601</v>
      </c>
      <c r="C95" s="771">
        <f>K49+K50</f>
        <v>0</v>
      </c>
      <c r="D95" s="770">
        <f>L49+L50</f>
        <v>0</v>
      </c>
      <c r="E95" s="1149">
        <f>C95-D95</f>
        <v>0</v>
      </c>
      <c r="G95" s="871">
        <f>IF(E95&lt;0,0,E95)</f>
        <v>0</v>
      </c>
      <c r="H95" s="770">
        <f>IF(E95&gt;0,0,E95*-1)</f>
        <v>0</v>
      </c>
    </row>
    <row r="96" spans="2:10" ht="25.5" x14ac:dyDescent="0.2">
      <c r="B96" s="1147" t="s">
        <v>4064</v>
      </c>
      <c r="C96" s="771">
        <f>K51</f>
        <v>0</v>
      </c>
      <c r="D96" s="853">
        <f>L51+L52</f>
        <v>0</v>
      </c>
      <c r="E96" s="1149">
        <f>C96-D96</f>
        <v>0</v>
      </c>
      <c r="G96" s="871">
        <f>IF(E96&lt;0,0,E96)</f>
        <v>0</v>
      </c>
      <c r="H96" s="770">
        <f>IF(E96&gt;0,0,E96*-1)</f>
        <v>0</v>
      </c>
    </row>
    <row r="97" spans="2:8" ht="25.5" x14ac:dyDescent="0.2">
      <c r="B97" s="793" t="s">
        <v>3637</v>
      </c>
      <c r="C97" s="771">
        <f>K57+K60</f>
        <v>0</v>
      </c>
      <c r="D97" s="770">
        <f>L57+L60</f>
        <v>0</v>
      </c>
      <c r="E97" s="1149">
        <f t="shared" si="1"/>
        <v>0</v>
      </c>
      <c r="G97" s="871">
        <f t="shared" si="3"/>
        <v>0</v>
      </c>
      <c r="H97" s="770">
        <f t="shared" si="2"/>
        <v>0</v>
      </c>
    </row>
    <row r="98" spans="2:8" x14ac:dyDescent="0.2">
      <c r="B98" s="1154" t="s">
        <v>4008</v>
      </c>
      <c r="C98" s="771"/>
      <c r="D98" s="770">
        <f>L53+L58</f>
        <v>0</v>
      </c>
      <c r="E98" s="1149">
        <f t="shared" si="1"/>
        <v>0</v>
      </c>
      <c r="G98" s="871">
        <f t="shared" ref="G98:G99" si="4">IF(E98&lt;0,0,E98)</f>
        <v>0</v>
      </c>
      <c r="H98" s="770">
        <f t="shared" ref="H98:H99" si="5">IF(E98&gt;0,0,E98*-1)</f>
        <v>0</v>
      </c>
    </row>
    <row r="99" spans="2:8" x14ac:dyDescent="0.2">
      <c r="B99" s="793" t="s">
        <v>4069</v>
      </c>
      <c r="C99" s="1150"/>
      <c r="D99" s="1151">
        <f>L54+L61</f>
        <v>0</v>
      </c>
      <c r="E99" s="1149">
        <f t="shared" si="1"/>
        <v>0</v>
      </c>
      <c r="F99" s="864"/>
      <c r="G99" s="871">
        <f t="shared" si="4"/>
        <v>0</v>
      </c>
      <c r="H99" s="770">
        <f t="shared" si="5"/>
        <v>0</v>
      </c>
    </row>
    <row r="100" spans="2:8" x14ac:dyDescent="0.2">
      <c r="C100" s="872">
        <f>SUM(C89:C99)</f>
        <v>0</v>
      </c>
      <c r="D100" s="873">
        <f>SUM(D89:D99)</f>
        <v>0</v>
      </c>
      <c r="E100" s="874">
        <f>SUM(E89:E99)</f>
        <v>0</v>
      </c>
      <c r="F100" s="864"/>
      <c r="G100" s="872">
        <f>SUM(G89:G99)</f>
        <v>0</v>
      </c>
      <c r="H100" s="873">
        <f>SUM(H89:H99)</f>
        <v>0</v>
      </c>
    </row>
    <row r="102" spans="2:8" x14ac:dyDescent="0.2">
      <c r="C102" s="1022">
        <f>C100-D100</f>
        <v>0</v>
      </c>
      <c r="G102" s="1022"/>
    </row>
    <row r="103" spans="2:8" x14ac:dyDescent="0.2">
      <c r="C103" s="1022"/>
    </row>
    <row r="104" spans="2:8" x14ac:dyDescent="0.2">
      <c r="C104" s="1022"/>
    </row>
  </sheetData>
  <sheetProtection algorithmName="SHA-512" hashValue="QwOWwAzov7bIKwTQQp24eUKw9D93yD+U32H8F2B/Q8pcNB67pHqAzifathbRw3Vq35DzyLFKKEa8Sm2ct9K6mA==" saltValue="ua2Xk39wI93d7tAyUgnDgA==" spinCount="100000" sheet="1" objects="1" scenarios="1"/>
  <mergeCells count="21">
    <mergeCell ref="B28:C28"/>
    <mergeCell ref="B66:I66"/>
    <mergeCell ref="B84:H85"/>
    <mergeCell ref="G87:H87"/>
    <mergeCell ref="B19:C19"/>
    <mergeCell ref="F19:K19"/>
    <mergeCell ref="B20:C20"/>
    <mergeCell ref="F20:K20"/>
    <mergeCell ref="B26:C26"/>
    <mergeCell ref="B30:C30"/>
    <mergeCell ref="B34:C34"/>
    <mergeCell ref="B32:C32"/>
    <mergeCell ref="B36:C36"/>
    <mergeCell ref="G32:I32"/>
    <mergeCell ref="E34:I34"/>
    <mergeCell ref="A1:C1"/>
    <mergeCell ref="A4:C4"/>
    <mergeCell ref="B17:C17"/>
    <mergeCell ref="F17:K17"/>
    <mergeCell ref="B18:C18"/>
    <mergeCell ref="F18:K18"/>
  </mergeCells>
  <pageMargins left="0.7" right="0.7" top="0.75" bottom="0.75" header="0.3" footer="0.3"/>
  <pageSetup scale="43"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3:U30"/>
  <sheetViews>
    <sheetView zoomScaleNormal="100" workbookViewId="0">
      <selection activeCell="I3" sqref="I3"/>
    </sheetView>
  </sheetViews>
  <sheetFormatPr defaultRowHeight="12.75" x14ac:dyDescent="0.2"/>
  <cols>
    <col min="3" max="3" width="12" bestFit="1" customWidth="1"/>
    <col min="9" max="9" width="17.7109375" bestFit="1" customWidth="1"/>
    <col min="10" max="10" width="15" bestFit="1" customWidth="1"/>
    <col min="11" max="11" width="15.85546875" bestFit="1" customWidth="1"/>
    <col min="13" max="14" width="15" bestFit="1" customWidth="1"/>
    <col min="15" max="15" width="12.28515625" bestFit="1" customWidth="1"/>
    <col min="16" max="16" width="2.7109375" style="949" customWidth="1"/>
    <col min="17" max="17" width="15" bestFit="1" customWidth="1"/>
    <col min="18" max="19" width="16.140625" customWidth="1"/>
    <col min="20" max="20" width="11.42578125" bestFit="1" customWidth="1"/>
    <col min="21" max="21" width="9.28515625" bestFit="1" customWidth="1"/>
  </cols>
  <sheetData>
    <row r="3" spans="1:21" x14ac:dyDescent="0.2">
      <c r="A3" s="133" t="s">
        <v>3574</v>
      </c>
      <c r="I3" s="36">
        <f>(34204505533-1050012433)*0.0000457</f>
        <v>1515160</v>
      </c>
      <c r="J3" s="36"/>
      <c r="M3" s="36">
        <v>43503399006</v>
      </c>
      <c r="N3" s="36"/>
      <c r="O3" s="578"/>
      <c r="P3" s="578"/>
      <c r="Q3" s="36">
        <f>34204505533-1050012433</f>
        <v>33154493100</v>
      </c>
      <c r="R3" s="36"/>
      <c r="S3" s="578"/>
      <c r="T3" s="578"/>
      <c r="U3" s="578"/>
    </row>
    <row r="4" spans="1:21" x14ac:dyDescent="0.2">
      <c r="A4" s="133" t="s">
        <v>3575</v>
      </c>
      <c r="I4" s="36"/>
      <c r="J4" s="36">
        <f>(44577535234-1074136233)*0.0000457</f>
        <v>1988105</v>
      </c>
      <c r="K4" s="950">
        <f>J4/32786624464</f>
        <v>6.0637699999999997E-5</v>
      </c>
      <c r="M4" s="36"/>
      <c r="N4" s="36">
        <v>32786624459</v>
      </c>
      <c r="O4" s="578"/>
      <c r="P4" s="578"/>
      <c r="Q4" s="36"/>
      <c r="R4" s="36">
        <v>43503399001</v>
      </c>
      <c r="S4" s="578"/>
      <c r="T4" s="578"/>
      <c r="U4" s="578"/>
    </row>
    <row r="5" spans="1:21" x14ac:dyDescent="0.2">
      <c r="A5" s="133" t="s">
        <v>3576</v>
      </c>
      <c r="I5" s="36">
        <f>(3973971849+8)*0.0000457-1</f>
        <v>181610</v>
      </c>
      <c r="J5" s="36"/>
      <c r="M5" s="36">
        <v>1625508164</v>
      </c>
      <c r="N5" s="36"/>
      <c r="O5" s="578"/>
      <c r="P5" s="578"/>
      <c r="Q5" s="36">
        <v>3973971849</v>
      </c>
      <c r="R5" s="36"/>
      <c r="S5" s="578"/>
      <c r="T5" s="578"/>
      <c r="U5" s="578"/>
    </row>
    <row r="6" spans="1:21" x14ac:dyDescent="0.2">
      <c r="A6" s="133" t="s">
        <v>3577</v>
      </c>
      <c r="I6" s="36"/>
      <c r="J6" s="36">
        <v>0</v>
      </c>
      <c r="M6" s="36"/>
      <c r="N6" s="36"/>
      <c r="O6" s="578"/>
      <c r="P6" s="578"/>
      <c r="Q6" s="36"/>
      <c r="R6" s="36"/>
      <c r="S6" s="578"/>
      <c r="T6" s="578"/>
      <c r="U6" s="578"/>
    </row>
    <row r="7" spans="1:21" x14ac:dyDescent="0.2">
      <c r="A7" s="133" t="s">
        <v>3578</v>
      </c>
      <c r="I7" s="36"/>
      <c r="J7" s="36">
        <v>0</v>
      </c>
      <c r="M7" s="36"/>
      <c r="N7" s="36"/>
      <c r="O7" s="578"/>
      <c r="P7" s="578"/>
      <c r="Q7" s="36"/>
      <c r="R7" s="36"/>
      <c r="S7" s="578"/>
      <c r="T7" s="578"/>
      <c r="U7" s="578"/>
    </row>
    <row r="8" spans="1:21" x14ac:dyDescent="0.2">
      <c r="A8" s="133" t="s">
        <v>3579</v>
      </c>
      <c r="I8" s="36"/>
      <c r="J8" s="36">
        <v>0</v>
      </c>
      <c r="M8" s="36"/>
      <c r="N8" s="36"/>
      <c r="O8" s="578"/>
      <c r="P8" s="578"/>
      <c r="Q8" s="36"/>
      <c r="R8" s="36"/>
      <c r="S8" s="578"/>
      <c r="T8" s="578"/>
      <c r="U8" s="578"/>
    </row>
    <row r="9" spans="1:21" x14ac:dyDescent="0.2">
      <c r="A9" s="133" t="s">
        <v>3581</v>
      </c>
      <c r="I9" s="36">
        <v>0</v>
      </c>
      <c r="J9" s="36"/>
      <c r="M9" s="36"/>
      <c r="N9" s="36"/>
      <c r="O9" s="578"/>
      <c r="P9" s="578"/>
      <c r="Q9" s="36"/>
      <c r="R9" s="36"/>
      <c r="S9" s="578"/>
      <c r="T9" s="578"/>
      <c r="U9" s="578"/>
    </row>
    <row r="10" spans="1:21" x14ac:dyDescent="0.2">
      <c r="A10" s="133" t="s">
        <v>3582</v>
      </c>
      <c r="I10" s="36">
        <v>0</v>
      </c>
      <c r="J10" s="36"/>
      <c r="M10" s="36"/>
      <c r="N10" s="36"/>
      <c r="O10" s="578"/>
      <c r="P10" s="578"/>
      <c r="Q10" s="36"/>
      <c r="R10" s="36"/>
      <c r="S10" s="578"/>
      <c r="T10" s="578"/>
      <c r="U10" s="578"/>
    </row>
    <row r="11" spans="1:21" x14ac:dyDescent="0.2">
      <c r="A11" s="908" t="s">
        <v>3583</v>
      </c>
      <c r="I11" s="36">
        <v>0</v>
      </c>
      <c r="J11" s="36"/>
      <c r="M11" s="36"/>
      <c r="N11" s="36"/>
      <c r="O11" s="578"/>
      <c r="P11" s="578"/>
      <c r="Q11" s="36"/>
      <c r="R11" s="36"/>
      <c r="S11" s="578"/>
      <c r="T11" s="578"/>
      <c r="U11" s="578"/>
    </row>
    <row r="12" spans="1:21" x14ac:dyDescent="0.2">
      <c r="A12" s="133" t="s">
        <v>3585</v>
      </c>
      <c r="I12" s="36">
        <v>0</v>
      </c>
      <c r="J12" s="36"/>
      <c r="M12" s="36"/>
      <c r="N12" s="36"/>
      <c r="O12" s="578"/>
      <c r="P12" s="578"/>
      <c r="Q12" s="36"/>
      <c r="R12" s="36"/>
      <c r="S12" s="578"/>
      <c r="T12" s="578"/>
      <c r="U12" s="578"/>
    </row>
    <row r="13" spans="1:21" x14ac:dyDescent="0.2">
      <c r="A13" s="133" t="s">
        <v>3586</v>
      </c>
      <c r="I13" s="36">
        <v>0</v>
      </c>
      <c r="J13" s="36"/>
      <c r="M13" s="36"/>
      <c r="N13" s="36"/>
      <c r="O13" s="578"/>
      <c r="P13" s="578"/>
      <c r="Q13" s="36">
        <v>55068042</v>
      </c>
      <c r="R13" s="36"/>
      <c r="S13" s="578"/>
      <c r="T13" s="578"/>
      <c r="U13" s="578"/>
    </row>
    <row r="14" spans="1:21" x14ac:dyDescent="0.2">
      <c r="A14" s="133" t="s">
        <v>3587</v>
      </c>
      <c r="I14" s="36">
        <f>7300373661*0.0000457</f>
        <v>333627</v>
      </c>
      <c r="J14" s="36"/>
      <c r="M14" s="36"/>
      <c r="N14" s="36"/>
      <c r="O14" s="578"/>
      <c r="P14" s="578"/>
      <c r="Q14" s="36">
        <v>7300373661</v>
      </c>
      <c r="R14" s="36"/>
      <c r="S14" s="578"/>
      <c r="T14" s="578"/>
      <c r="U14" s="578"/>
    </row>
    <row r="15" spans="1:21" x14ac:dyDescent="0.2">
      <c r="A15" s="133" t="s">
        <v>3589</v>
      </c>
      <c r="I15" s="36"/>
      <c r="J15" s="36">
        <f>99895159*0.0000457</f>
        <v>4565</v>
      </c>
      <c r="M15" s="36"/>
      <c r="N15" s="36">
        <v>2350861287</v>
      </c>
      <c r="O15" s="578"/>
      <c r="P15" s="578"/>
      <c r="Q15" s="36"/>
      <c r="R15" s="36">
        <v>99895159</v>
      </c>
      <c r="S15" s="578"/>
      <c r="T15" s="578"/>
      <c r="U15" s="578"/>
    </row>
    <row r="16" spans="1:21" x14ac:dyDescent="0.2">
      <c r="A16" s="133" t="s">
        <v>3590</v>
      </c>
      <c r="I16" s="36">
        <f>55068042*0.0000457</f>
        <v>2517</v>
      </c>
      <c r="J16" s="36">
        <v>0</v>
      </c>
      <c r="M16" s="36"/>
      <c r="N16" s="36">
        <v>12184938</v>
      </c>
      <c r="O16" s="578"/>
      <c r="P16" s="578"/>
      <c r="Q16" s="36"/>
      <c r="R16" s="36">
        <v>0</v>
      </c>
      <c r="S16" s="578"/>
      <c r="T16" s="578"/>
      <c r="U16" s="578"/>
    </row>
    <row r="17" spans="1:21" x14ac:dyDescent="0.2">
      <c r="A17" s="908" t="s">
        <v>3591</v>
      </c>
      <c r="I17" s="36"/>
      <c r="J17" s="36">
        <v>0</v>
      </c>
      <c r="M17" s="36"/>
      <c r="N17" s="36">
        <v>9029286691</v>
      </c>
      <c r="O17" s="578"/>
      <c r="P17" s="578"/>
      <c r="Q17" s="36"/>
      <c r="R17" s="36">
        <v>0</v>
      </c>
      <c r="S17" s="578"/>
      <c r="T17" s="578"/>
      <c r="U17" s="578"/>
    </row>
    <row r="18" spans="1:21" x14ac:dyDescent="0.2">
      <c r="A18" s="133" t="s">
        <v>3593</v>
      </c>
      <c r="I18" s="36"/>
      <c r="J18" s="36">
        <f>880612500*0.0000457</f>
        <v>40244</v>
      </c>
      <c r="M18" s="36"/>
      <c r="N18" s="36">
        <v>950812690</v>
      </c>
      <c r="O18" s="578"/>
      <c r="P18" s="578"/>
      <c r="Q18" s="36"/>
      <c r="R18" s="36">
        <v>880612500</v>
      </c>
      <c r="S18" s="578"/>
      <c r="T18" s="578"/>
      <c r="U18" s="578"/>
    </row>
    <row r="19" spans="1:21" x14ac:dyDescent="0.2">
      <c r="A19" s="133" t="s">
        <v>3594</v>
      </c>
      <c r="I19" s="36">
        <v>0</v>
      </c>
      <c r="J19" s="36"/>
      <c r="M19" s="36"/>
      <c r="N19" s="36"/>
      <c r="O19" s="578"/>
      <c r="P19" s="578"/>
      <c r="Q19" s="36"/>
      <c r="R19" s="36"/>
      <c r="S19" s="578"/>
      <c r="T19" s="578"/>
      <c r="U19" s="578"/>
    </row>
    <row r="20" spans="1:21" x14ac:dyDescent="0.2">
      <c r="A20" s="133" t="s">
        <v>3595</v>
      </c>
      <c r="I20" s="36">
        <v>0</v>
      </c>
      <c r="J20" s="36">
        <v>0</v>
      </c>
      <c r="M20" s="36"/>
      <c r="N20" s="36"/>
      <c r="O20" s="578"/>
      <c r="P20" s="578"/>
      <c r="Q20" s="36"/>
      <c r="R20" s="36"/>
      <c r="S20" s="578"/>
      <c r="T20" s="578"/>
      <c r="U20" s="578"/>
    </row>
    <row r="21" spans="1:21" x14ac:dyDescent="0.2">
      <c r="I21" s="5">
        <f>SUM(I3:I20)</f>
        <v>2032914</v>
      </c>
      <c r="J21" s="5">
        <f>SUM(J3:J20)</f>
        <v>2032914</v>
      </c>
      <c r="M21" s="5">
        <f>SUM(M3:M20)</f>
        <v>45128907170</v>
      </c>
      <c r="N21" s="5">
        <f>SUM(N3:N20)</f>
        <v>45129770065</v>
      </c>
      <c r="O21" s="578">
        <f>M21-N21</f>
        <v>-862895</v>
      </c>
      <c r="P21" s="578"/>
      <c r="Q21" s="5">
        <f>SUM(Q3:Q20)</f>
        <v>44483906652</v>
      </c>
      <c r="R21" s="5">
        <f>SUM(R3:R20)</f>
        <v>44483906660</v>
      </c>
      <c r="S21" s="578">
        <f>Q21-R21</f>
        <v>-8</v>
      </c>
      <c r="T21" s="578"/>
      <c r="U21" s="578"/>
    </row>
    <row r="22" spans="1:21" x14ac:dyDescent="0.2">
      <c r="M22" s="949"/>
      <c r="N22" s="949"/>
      <c r="O22" s="578"/>
      <c r="P22" s="578"/>
      <c r="Q22" s="578"/>
      <c r="R22" s="578"/>
      <c r="S22" s="578"/>
      <c r="T22" s="578"/>
      <c r="U22" s="578"/>
    </row>
    <row r="23" spans="1:21" x14ac:dyDescent="0.2">
      <c r="I23" s="5">
        <f>I21-J21</f>
        <v>0</v>
      </c>
    </row>
    <row r="30" spans="1:21" x14ac:dyDescent="0.2">
      <c r="C30">
        <f>44577535234-1074136233</f>
        <v>43503399001</v>
      </c>
    </row>
  </sheetData>
  <conditionalFormatting sqref="A18:A20 A4:A10">
    <cfRule type="expression" dxfId="21" priority="6">
      <formula>#REF!=2</formula>
    </cfRule>
  </conditionalFormatting>
  <conditionalFormatting sqref="A11">
    <cfRule type="expression" dxfId="20" priority="5">
      <formula>#REF!=2</formula>
    </cfRule>
  </conditionalFormatting>
  <conditionalFormatting sqref="A12:A16">
    <cfRule type="expression" dxfId="19" priority="4">
      <formula>#REF!=2</formula>
    </cfRule>
  </conditionalFormatting>
  <conditionalFormatting sqref="A17">
    <cfRule type="expression" dxfId="18" priority="2">
      <formula>#REF!=2</formula>
    </cfRule>
  </conditionalFormatting>
  <pageMargins left="0.7" right="0.7" top="0.75" bottom="0.75" header="0.3" footer="0.3"/>
  <pageSetup scale="7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Q203"/>
  <sheetViews>
    <sheetView zoomScale="90" zoomScaleNormal="90" workbookViewId="0">
      <selection activeCell="D46" sqref="D46"/>
    </sheetView>
  </sheetViews>
  <sheetFormatPr defaultColWidth="9.140625" defaultRowHeight="12.75" x14ac:dyDescent="0.2"/>
  <cols>
    <col min="1" max="1" width="9.140625" style="910" customWidth="1"/>
    <col min="2" max="2" width="66" style="910" customWidth="1"/>
    <col min="3" max="3" width="27.85546875" style="910" customWidth="1"/>
    <col min="4" max="4" width="16.85546875" style="910" customWidth="1"/>
    <col min="5" max="5" width="17.5703125" style="910" customWidth="1"/>
    <col min="6" max="6" width="9.140625" style="910"/>
    <col min="7" max="8" width="15" style="910" bestFit="1" customWidth="1"/>
    <col min="9" max="9" width="11" style="910" customWidth="1"/>
    <col min="10" max="10" width="9.140625" style="910" customWidth="1"/>
    <col min="11" max="11" width="15" style="910" bestFit="1" customWidth="1"/>
    <col min="12" max="12" width="16" style="910" bestFit="1" customWidth="1"/>
    <col min="13" max="13" width="9.140625" style="910" customWidth="1"/>
    <col min="14" max="14" width="16.5703125" style="910" customWidth="1"/>
    <col min="15" max="16" width="11.28515625" style="910" bestFit="1" customWidth="1"/>
    <col min="17" max="17" width="10.85546875" style="910" customWidth="1"/>
    <col min="18" max="16384" width="9.140625" style="910"/>
  </cols>
  <sheetData>
    <row r="1" spans="1:12" ht="15.75" x14ac:dyDescent="0.25">
      <c r="A1" s="1660" t="s">
        <v>3643</v>
      </c>
      <c r="B1" s="1661"/>
      <c r="C1" s="1662"/>
      <c r="D1" s="909"/>
      <c r="E1" s="909"/>
      <c r="F1" s="909"/>
      <c r="G1" s="909"/>
      <c r="H1" s="909"/>
      <c r="I1" s="909"/>
      <c r="J1" s="909"/>
      <c r="K1" s="909"/>
    </row>
    <row r="2" spans="1:12" x14ac:dyDescent="0.2">
      <c r="A2" s="909"/>
      <c r="B2" s="909"/>
      <c r="C2" s="909"/>
      <c r="D2" s="909"/>
      <c r="E2" s="909"/>
      <c r="F2" s="909"/>
      <c r="G2" s="909"/>
      <c r="H2" s="909"/>
      <c r="I2" s="909"/>
      <c r="J2" s="909"/>
      <c r="K2" s="909"/>
    </row>
    <row r="3" spans="1:12" x14ac:dyDescent="0.2">
      <c r="A3" s="909"/>
      <c r="B3" s="909"/>
      <c r="C3" s="909"/>
      <c r="D3" s="909"/>
      <c r="E3" s="909"/>
      <c r="F3" s="909"/>
      <c r="G3" s="909"/>
      <c r="H3" s="909"/>
      <c r="I3" s="909"/>
      <c r="J3" s="909"/>
      <c r="K3" s="909"/>
    </row>
    <row r="4" spans="1:12" ht="42.75" customHeight="1" x14ac:dyDescent="0.2">
      <c r="A4" s="1663" t="s">
        <v>4118</v>
      </c>
      <c r="B4" s="1664"/>
      <c r="C4" s="1664"/>
      <c r="D4" s="929"/>
      <c r="E4" s="909"/>
      <c r="F4" s="909"/>
      <c r="G4" s="909"/>
      <c r="H4" s="909"/>
      <c r="I4" s="909"/>
      <c r="J4" s="909"/>
      <c r="K4" s="909"/>
    </row>
    <row r="5" spans="1:12" ht="12.75" customHeight="1" x14ac:dyDescent="0.2">
      <c r="A5" s="909"/>
      <c r="B5" s="909"/>
      <c r="C5" s="909"/>
      <c r="D5" s="909"/>
      <c r="E5" s="909"/>
      <c r="F5" s="909"/>
      <c r="G5" s="909"/>
      <c r="H5" s="909"/>
      <c r="I5" s="909"/>
      <c r="J5" s="909"/>
      <c r="K5" s="909"/>
    </row>
    <row r="6" spans="1:12" ht="12.75" customHeight="1" x14ac:dyDescent="0.2">
      <c r="A6" s="909"/>
      <c r="B6" s="909"/>
      <c r="C6" s="909"/>
      <c r="D6" s="909"/>
      <c r="E6" s="909"/>
      <c r="F6" s="909"/>
      <c r="G6" s="909"/>
      <c r="H6" s="909"/>
      <c r="I6" s="909"/>
      <c r="J6" s="909"/>
      <c r="K6" s="909"/>
    </row>
    <row r="7" spans="1:12" ht="12.75" customHeight="1" x14ac:dyDescent="0.2">
      <c r="A7" s="911" t="s">
        <v>547</v>
      </c>
      <c r="B7" s="1665" t="s">
        <v>4080</v>
      </c>
      <c r="C7" s="1666"/>
      <c r="D7" s="1666"/>
      <c r="E7" s="1666"/>
      <c r="F7" s="1666"/>
      <c r="G7" s="1666"/>
      <c r="H7" s="1666"/>
      <c r="I7" s="1666"/>
      <c r="J7" s="1666"/>
      <c r="K7" s="1666"/>
      <c r="L7" s="1666"/>
    </row>
    <row r="8" spans="1:12" ht="12.75" customHeight="1" x14ac:dyDescent="0.2">
      <c r="A8" s="909"/>
      <c r="B8" s="909"/>
      <c r="C8" s="909"/>
      <c r="D8" s="909"/>
      <c r="E8" s="909"/>
      <c r="F8" s="909"/>
      <c r="G8" s="675"/>
      <c r="H8" s="675"/>
      <c r="I8" s="912"/>
      <c r="J8" s="675"/>
      <c r="K8" s="909"/>
      <c r="L8" s="675"/>
    </row>
    <row r="9" spans="1:12" ht="12.75" customHeight="1" x14ac:dyDescent="0.2">
      <c r="A9" s="909"/>
      <c r="B9" s="909" t="s">
        <v>3671</v>
      </c>
      <c r="C9" s="909"/>
      <c r="D9" s="675"/>
      <c r="E9" s="909"/>
      <c r="F9" s="675"/>
      <c r="H9" s="675"/>
      <c r="I9" s="675"/>
      <c r="J9" s="909"/>
    </row>
    <row r="10" spans="1:12" ht="12.75" customHeight="1" x14ac:dyDescent="0.2">
      <c r="A10" s="909"/>
      <c r="B10" s="909"/>
      <c r="C10" s="909"/>
      <c r="D10" s="731"/>
      <c r="E10" s="909"/>
      <c r="F10" s="675"/>
      <c r="H10" s="675"/>
      <c r="I10" s="1004"/>
      <c r="J10" s="1005"/>
    </row>
    <row r="11" spans="1:12" ht="12.75" customHeight="1" x14ac:dyDescent="0.2">
      <c r="A11" s="909"/>
      <c r="B11" s="913" t="s">
        <v>2060</v>
      </c>
      <c r="C11" s="909"/>
      <c r="D11" s="752">
        <v>0</v>
      </c>
      <c r="E11" s="909"/>
      <c r="F11" s="913"/>
      <c r="H11" s="675"/>
      <c r="I11" s="1005"/>
      <c r="J11" s="1005"/>
    </row>
    <row r="12" spans="1:12" ht="12.75" customHeight="1" x14ac:dyDescent="0.2">
      <c r="A12" s="909"/>
      <c r="B12" s="913" t="s">
        <v>4078</v>
      </c>
      <c r="C12" s="909"/>
      <c r="D12" s="752">
        <v>0</v>
      </c>
      <c r="E12" s="909" t="s">
        <v>3672</v>
      </c>
      <c r="F12" s="913"/>
      <c r="H12" s="675"/>
      <c r="I12" s="675"/>
      <c r="J12" s="909"/>
    </row>
    <row r="13" spans="1:12" ht="12.75" customHeight="1" x14ac:dyDescent="0.2">
      <c r="A13" s="909"/>
      <c r="B13" s="914" t="s">
        <v>2078</v>
      </c>
      <c r="C13" s="909"/>
      <c r="D13" s="708">
        <f>SUM(D11:D12)</f>
        <v>0</v>
      </c>
      <c r="E13" s="913" t="str">
        <f>IF(D13=1,"=100%","DOES NOT EQUAL 100%!!!")</f>
        <v>DOES NOT EQUAL 100%!!!</v>
      </c>
      <c r="H13" s="675"/>
      <c r="I13" s="675"/>
      <c r="J13" s="909"/>
    </row>
    <row r="14" spans="1:12" ht="12.75" customHeight="1" x14ac:dyDescent="0.2">
      <c r="A14" s="909"/>
      <c r="B14" s="915"/>
      <c r="C14" s="909"/>
      <c r="D14" s="916"/>
      <c r="E14" s="916"/>
      <c r="H14" s="675"/>
      <c r="I14" s="675"/>
      <c r="J14" s="909"/>
    </row>
    <row r="15" spans="1:12" ht="12.75" customHeight="1" x14ac:dyDescent="0.2">
      <c r="A15" s="909"/>
      <c r="B15" s="917" t="s">
        <v>3647</v>
      </c>
      <c r="C15" s="909"/>
      <c r="D15" s="916"/>
      <c r="E15" s="916"/>
      <c r="H15" s="675"/>
      <c r="I15" s="675"/>
      <c r="J15" s="909"/>
    </row>
    <row r="16" spans="1:12" ht="12.75" customHeight="1" x14ac:dyDescent="0.2">
      <c r="A16" s="909"/>
      <c r="B16" s="915" t="s">
        <v>2079</v>
      </c>
      <c r="C16" s="909"/>
      <c r="D16" s="752">
        <v>0</v>
      </c>
      <c r="E16" s="916"/>
      <c r="H16" s="675"/>
      <c r="I16" s="675"/>
      <c r="J16" s="909"/>
    </row>
    <row r="17" spans="1:11" ht="12.75" customHeight="1" x14ac:dyDescent="0.2">
      <c r="A17" s="909"/>
      <c r="B17" s="915" t="s">
        <v>2080</v>
      </c>
      <c r="C17" s="909"/>
      <c r="D17" s="752">
        <v>0</v>
      </c>
      <c r="E17" s="916"/>
      <c r="H17" s="675"/>
      <c r="I17" s="675"/>
      <c r="J17" s="909"/>
    </row>
    <row r="18" spans="1:11" ht="12.75" customHeight="1" x14ac:dyDescent="0.2">
      <c r="A18" s="909"/>
      <c r="B18" s="915" t="s">
        <v>2081</v>
      </c>
      <c r="C18" s="909"/>
      <c r="D18" s="752">
        <v>0</v>
      </c>
      <c r="E18" s="916"/>
      <c r="H18" s="675"/>
      <c r="I18" s="675"/>
      <c r="J18" s="909"/>
    </row>
    <row r="19" spans="1:11" ht="12.75" customHeight="1" x14ac:dyDescent="0.2">
      <c r="A19" s="909"/>
      <c r="B19" s="915" t="s">
        <v>2082</v>
      </c>
      <c r="C19" s="909"/>
      <c r="D19" s="752">
        <v>0</v>
      </c>
      <c r="E19" s="916"/>
      <c r="H19" s="675"/>
      <c r="I19" s="675"/>
      <c r="J19" s="909"/>
    </row>
    <row r="20" spans="1:11" ht="12.75" customHeight="1" x14ac:dyDescent="0.2">
      <c r="A20" s="909"/>
      <c r="B20" s="915" t="s">
        <v>2083</v>
      </c>
      <c r="C20" s="909"/>
      <c r="D20" s="752">
        <v>0</v>
      </c>
      <c r="E20" s="916"/>
      <c r="H20" s="675"/>
      <c r="I20" s="675"/>
      <c r="J20" s="909"/>
    </row>
    <row r="21" spans="1:11" ht="12.75" customHeight="1" x14ac:dyDescent="0.2">
      <c r="A21" s="909"/>
      <c r="B21" s="915" t="s">
        <v>2084</v>
      </c>
      <c r="C21" s="909"/>
      <c r="D21" s="752">
        <v>0</v>
      </c>
      <c r="E21" s="916"/>
      <c r="H21" s="675"/>
      <c r="I21" s="675"/>
      <c r="J21" s="909"/>
    </row>
    <row r="22" spans="1:11" ht="12.75" customHeight="1" x14ac:dyDescent="0.2">
      <c r="A22" s="909"/>
      <c r="B22" s="915" t="s">
        <v>2085</v>
      </c>
      <c r="C22" s="909"/>
      <c r="D22" s="752">
        <v>0</v>
      </c>
      <c r="E22" s="916"/>
      <c r="H22" s="675"/>
      <c r="I22" s="675"/>
      <c r="J22" s="909"/>
    </row>
    <row r="23" spans="1:11" ht="12.75" customHeight="1" x14ac:dyDescent="0.2">
      <c r="A23" s="909"/>
      <c r="B23" s="915" t="s">
        <v>2086</v>
      </c>
      <c r="C23" s="909"/>
      <c r="D23" s="752">
        <v>0</v>
      </c>
      <c r="E23" s="916"/>
      <c r="H23" s="956"/>
      <c r="I23" s="675"/>
      <c r="J23" s="909"/>
    </row>
    <row r="24" spans="1:11" ht="12.75" customHeight="1" x14ac:dyDescent="0.2">
      <c r="A24" s="909"/>
      <c r="B24" s="915" t="s">
        <v>2087</v>
      </c>
      <c r="C24" s="909"/>
      <c r="D24" s="752">
        <v>0</v>
      </c>
      <c r="E24" s="916"/>
      <c r="H24" s="956"/>
      <c r="I24" s="675"/>
      <c r="J24" s="909"/>
    </row>
    <row r="25" spans="1:11" ht="12.75" customHeight="1" x14ac:dyDescent="0.2">
      <c r="A25" s="909"/>
      <c r="B25" s="914" t="s">
        <v>3657</v>
      </c>
      <c r="C25" s="909"/>
      <c r="D25" s="708">
        <f>SUM(D16:D24)</f>
        <v>0</v>
      </c>
      <c r="E25" s="913" t="str">
        <f>IF(D25=D11,"Equals Governmental Activities","DOES NOT EQUAL Governmental Activities!!!")</f>
        <v>Equals Governmental Activities</v>
      </c>
      <c r="H25" s="675"/>
      <c r="I25" s="675"/>
      <c r="J25" s="909"/>
    </row>
    <row r="26" spans="1:11" ht="12.75" customHeight="1" x14ac:dyDescent="0.2">
      <c r="A26" s="909"/>
      <c r="B26" s="909"/>
      <c r="C26" s="909"/>
      <c r="D26" s="675"/>
      <c r="E26" s="909"/>
      <c r="F26" s="675"/>
      <c r="H26" s="675"/>
      <c r="I26" s="675"/>
      <c r="J26" s="909"/>
    </row>
    <row r="27" spans="1:11" x14ac:dyDescent="0.2">
      <c r="A27" s="909"/>
      <c r="B27" s="909"/>
      <c r="C27" s="909"/>
      <c r="D27" s="909"/>
      <c r="E27" s="909"/>
      <c r="F27" s="909"/>
      <c r="G27" s="909"/>
      <c r="H27" s="909"/>
      <c r="I27" s="909"/>
      <c r="J27" s="909"/>
      <c r="K27" s="909"/>
    </row>
    <row r="28" spans="1:11" ht="25.5" customHeight="1" x14ac:dyDescent="0.2">
      <c r="A28" s="911" t="s">
        <v>548</v>
      </c>
      <c r="B28" s="1667" t="s">
        <v>4063</v>
      </c>
      <c r="C28" s="1668"/>
      <c r="D28" s="1668"/>
      <c r="E28" s="1668"/>
      <c r="F28" s="909"/>
      <c r="G28" s="909"/>
      <c r="H28" s="909"/>
      <c r="I28" s="909"/>
      <c r="J28" s="909"/>
      <c r="K28" s="909"/>
    </row>
    <row r="29" spans="1:11" x14ac:dyDescent="0.2">
      <c r="A29" s="909"/>
      <c r="B29" s="909"/>
      <c r="C29" s="909"/>
      <c r="D29" s="909"/>
      <c r="E29" s="909"/>
      <c r="F29" s="909"/>
      <c r="G29" s="909"/>
      <c r="H29" s="909"/>
      <c r="I29" s="909"/>
      <c r="J29" s="909"/>
      <c r="K29" s="909"/>
    </row>
    <row r="30" spans="1:11" x14ac:dyDescent="0.2">
      <c r="A30" s="909"/>
      <c r="B30" s="909"/>
      <c r="C30" s="909"/>
      <c r="D30" s="909"/>
      <c r="E30" s="909"/>
      <c r="F30" s="909"/>
      <c r="G30" s="909"/>
      <c r="H30" s="909"/>
      <c r="I30" s="909"/>
      <c r="J30" s="909"/>
      <c r="K30" s="909"/>
    </row>
    <row r="31" spans="1:11" ht="14.25" x14ac:dyDescent="0.2">
      <c r="A31" s="909"/>
      <c r="B31" s="953" t="s">
        <v>4072</v>
      </c>
      <c r="C31" s="953"/>
      <c r="D31" s="1158"/>
      <c r="E31" s="926"/>
      <c r="F31" s="918"/>
      <c r="G31" s="918"/>
      <c r="H31" s="918"/>
      <c r="I31" s="918"/>
      <c r="J31" s="918"/>
      <c r="K31" s="919"/>
    </row>
    <row r="32" spans="1:11" ht="14.25" x14ac:dyDescent="0.2">
      <c r="A32" s="909"/>
      <c r="B32" s="953" t="s">
        <v>4073</v>
      </c>
      <c r="C32" s="953"/>
      <c r="D32" s="1158"/>
      <c r="E32" s="926"/>
      <c r="F32" s="918"/>
      <c r="G32" s="918"/>
      <c r="H32" s="918"/>
      <c r="I32" s="918"/>
      <c r="J32" s="918"/>
      <c r="K32" s="919"/>
    </row>
    <row r="33" spans="1:17" ht="14.25" x14ac:dyDescent="0.2">
      <c r="A33" s="909"/>
      <c r="B33" s="953" t="s">
        <v>4076</v>
      </c>
      <c r="C33" s="953"/>
      <c r="D33" s="1158"/>
      <c r="E33" s="926"/>
      <c r="F33" s="918"/>
      <c r="G33" s="918"/>
      <c r="H33" s="918"/>
      <c r="I33" s="918"/>
      <c r="J33" s="918"/>
      <c r="K33" s="919"/>
      <c r="M33" s="916"/>
    </row>
    <row r="34" spans="1:17" ht="14.25" x14ac:dyDescent="0.2">
      <c r="A34" s="909"/>
      <c r="B34" s="955" t="s">
        <v>3675</v>
      </c>
      <c r="C34" s="953"/>
      <c r="D34" s="1158"/>
      <c r="E34" s="920"/>
      <c r="F34" s="918"/>
      <c r="G34" s="918"/>
      <c r="H34" s="918"/>
      <c r="I34" s="918"/>
      <c r="J34" s="918"/>
      <c r="K34" s="919"/>
      <c r="M34" s="916"/>
    </row>
    <row r="35" spans="1:17" ht="14.25" customHeight="1" x14ac:dyDescent="0.2">
      <c r="A35" s="909"/>
      <c r="B35" s="955" t="s">
        <v>4066</v>
      </c>
      <c r="C35" s="953"/>
      <c r="D35" s="1158"/>
      <c r="E35" s="920"/>
      <c r="F35" s="918" t="s">
        <v>4785</v>
      </c>
      <c r="G35" s="918"/>
      <c r="H35" s="918"/>
      <c r="I35" s="918"/>
      <c r="J35" s="918"/>
      <c r="K35" s="919"/>
      <c r="M35" s="916"/>
    </row>
    <row r="36" spans="1:17" ht="48" customHeight="1" x14ac:dyDescent="0.2">
      <c r="A36" s="909"/>
      <c r="B36" s="1657" t="s">
        <v>4790</v>
      </c>
      <c r="C36" s="1657"/>
      <c r="D36" s="1158"/>
      <c r="E36" s="920"/>
      <c r="F36" s="1658"/>
      <c r="G36" s="1658"/>
      <c r="H36" s="1658"/>
      <c r="I36" s="1658"/>
      <c r="J36" s="1658"/>
      <c r="K36" s="1658"/>
      <c r="M36" s="916"/>
    </row>
    <row r="37" spans="1:17" ht="47.25" customHeight="1" x14ac:dyDescent="0.2">
      <c r="A37" s="909"/>
      <c r="B37" s="1657" t="s">
        <v>4791</v>
      </c>
      <c r="C37" s="1657"/>
      <c r="D37" s="1158"/>
      <c r="E37" s="920"/>
      <c r="F37" s="1658"/>
      <c r="G37" s="1658"/>
      <c r="H37" s="1658"/>
      <c r="I37" s="1658"/>
      <c r="J37" s="1658"/>
      <c r="K37" s="1658"/>
      <c r="M37" s="916"/>
    </row>
    <row r="38" spans="1:17" ht="14.25" customHeight="1" x14ac:dyDescent="0.2">
      <c r="A38" s="909"/>
      <c r="B38" s="1659" t="s">
        <v>3673</v>
      </c>
      <c r="C38" s="1659"/>
      <c r="D38" s="1158"/>
      <c r="E38" s="918"/>
      <c r="F38" s="1659"/>
      <c r="G38" s="1659"/>
      <c r="H38" s="1659"/>
      <c r="I38" s="1659"/>
      <c r="J38" s="1659"/>
      <c r="K38" s="1659"/>
      <c r="M38" s="916"/>
    </row>
    <row r="39" spans="1:17" ht="14.25" customHeight="1" x14ac:dyDescent="0.2">
      <c r="A39" s="909"/>
      <c r="B39" s="1659" t="s">
        <v>3674</v>
      </c>
      <c r="C39" s="1659"/>
      <c r="D39" s="1158"/>
      <c r="E39" s="918"/>
      <c r="F39" s="1659"/>
      <c r="G39" s="1659"/>
      <c r="H39" s="1659"/>
      <c r="I39" s="1659"/>
      <c r="J39" s="1659"/>
      <c r="K39" s="1659"/>
      <c r="M39" s="921"/>
    </row>
    <row r="40" spans="1:17" x14ac:dyDescent="0.2">
      <c r="A40" s="909"/>
      <c r="B40" s="909"/>
      <c r="C40" s="909"/>
      <c r="D40" s="909"/>
      <c r="E40" s="909"/>
      <c r="F40" s="909"/>
      <c r="G40" s="909"/>
      <c r="H40" s="909"/>
      <c r="I40" s="909"/>
      <c r="J40" s="909"/>
      <c r="K40" s="909"/>
      <c r="M40" s="916"/>
    </row>
    <row r="41" spans="1:17" ht="38.25" x14ac:dyDescent="0.2">
      <c r="A41" s="911" t="s">
        <v>816</v>
      </c>
      <c r="B41" s="922" t="s">
        <v>3980</v>
      </c>
      <c r="C41" s="909"/>
      <c r="D41" s="909"/>
      <c r="E41" s="909"/>
      <c r="F41" s="909"/>
      <c r="G41" s="909"/>
      <c r="H41" s="909"/>
      <c r="I41" s="909"/>
      <c r="J41" s="929"/>
      <c r="K41" s="929"/>
      <c r="L41" s="928"/>
      <c r="M41" s="923"/>
      <c r="N41" s="928"/>
      <c r="O41" s="951"/>
      <c r="P41" s="928"/>
      <c r="Q41" s="928"/>
    </row>
    <row r="42" spans="1:17" x14ac:dyDescent="0.2">
      <c r="A42" s="909"/>
      <c r="B42" s="909"/>
      <c r="C42" s="909"/>
      <c r="D42" s="909"/>
      <c r="E42" s="929"/>
      <c r="F42" s="909"/>
      <c r="G42" s="909"/>
      <c r="H42" s="909"/>
      <c r="I42" s="909"/>
      <c r="J42" s="929"/>
      <c r="K42" s="929"/>
      <c r="L42" s="928"/>
      <c r="M42" s="923"/>
      <c r="N42" s="928"/>
      <c r="O42" s="951"/>
      <c r="P42" s="928"/>
      <c r="Q42" s="928"/>
    </row>
    <row r="43" spans="1:17" x14ac:dyDescent="0.2">
      <c r="A43" s="909"/>
      <c r="B43" s="909"/>
      <c r="C43" s="909"/>
      <c r="D43" s="856"/>
      <c r="E43" s="929"/>
      <c r="F43" s="909"/>
      <c r="G43" s="909"/>
      <c r="H43" s="909"/>
      <c r="I43" s="909"/>
      <c r="J43" s="929"/>
      <c r="K43" s="929"/>
      <c r="L43" s="928"/>
      <c r="M43" s="916"/>
      <c r="N43" s="928"/>
      <c r="O43" s="951"/>
      <c r="P43" s="928"/>
      <c r="Q43" s="928"/>
    </row>
    <row r="44" spans="1:17" ht="27" customHeight="1" x14ac:dyDescent="0.2">
      <c r="A44" s="909"/>
      <c r="B44" s="1650" t="s">
        <v>4786</v>
      </c>
      <c r="C44" s="1650"/>
      <c r="D44" s="1159"/>
      <c r="E44" s="929"/>
      <c r="F44" s="909"/>
      <c r="G44" s="909"/>
      <c r="H44" s="909"/>
      <c r="I44" s="909"/>
      <c r="J44" s="929"/>
      <c r="K44" s="952"/>
      <c r="L44" s="928"/>
      <c r="M44" s="952"/>
      <c r="N44" s="928"/>
      <c r="O44" s="952"/>
      <c r="P44" s="928"/>
      <c r="Q44" s="928"/>
    </row>
    <row r="45" spans="1:17" x14ac:dyDescent="0.2">
      <c r="A45" s="909"/>
      <c r="B45" s="909"/>
      <c r="C45" s="909"/>
      <c r="D45" s="856"/>
      <c r="E45" s="929"/>
      <c r="F45" s="909"/>
      <c r="G45" s="909"/>
      <c r="H45" s="909"/>
      <c r="I45" s="909"/>
      <c r="J45" s="929"/>
      <c r="K45" s="929"/>
      <c r="L45" s="928"/>
      <c r="M45" s="916"/>
      <c r="N45" s="928"/>
      <c r="O45" s="951"/>
      <c r="P45" s="928"/>
      <c r="Q45" s="928"/>
    </row>
    <row r="46" spans="1:17" ht="29.25" customHeight="1" x14ac:dyDescent="0.2">
      <c r="A46" s="909"/>
      <c r="B46" s="1650" t="s">
        <v>4787</v>
      </c>
      <c r="C46" s="1650"/>
      <c r="D46" s="1159"/>
      <c r="E46" s="929"/>
      <c r="F46" s="909"/>
      <c r="G46" s="909"/>
      <c r="H46" s="909"/>
      <c r="I46" s="909"/>
      <c r="J46" s="929"/>
      <c r="K46" s="929"/>
      <c r="L46" s="928"/>
      <c r="M46" s="921"/>
      <c r="N46" s="928"/>
      <c r="O46" s="951"/>
      <c r="P46" s="928"/>
      <c r="Q46" s="928"/>
    </row>
    <row r="47" spans="1:17" x14ac:dyDescent="0.2">
      <c r="A47" s="909"/>
      <c r="B47" s="909"/>
      <c r="C47" s="909"/>
      <c r="D47" s="909"/>
      <c r="E47" s="929"/>
      <c r="F47" s="909"/>
      <c r="G47" s="909"/>
      <c r="H47" s="909"/>
      <c r="I47" s="909"/>
      <c r="J47" s="929"/>
      <c r="K47" s="929"/>
      <c r="L47" s="928"/>
      <c r="M47" s="921"/>
      <c r="N47" s="928"/>
      <c r="O47" s="951"/>
      <c r="P47" s="951"/>
      <c r="Q47" s="928"/>
    </row>
    <row r="48" spans="1:17" ht="12.75" hidden="1" customHeight="1" x14ac:dyDescent="0.2">
      <c r="A48" s="909"/>
      <c r="B48" s="909"/>
      <c r="C48" s="909"/>
      <c r="D48" s="909"/>
      <c r="E48" s="929"/>
      <c r="F48" s="909"/>
      <c r="G48" s="909"/>
      <c r="H48" s="909"/>
      <c r="I48" s="909"/>
      <c r="J48" s="929"/>
      <c r="K48" s="929"/>
      <c r="L48" s="928"/>
      <c r="M48" s="916"/>
      <c r="N48" s="951"/>
      <c r="O48" s="94"/>
      <c r="P48" s="94"/>
      <c r="Q48" s="951"/>
    </row>
    <row r="49" spans="1:17" ht="14.25" hidden="1" customHeight="1" x14ac:dyDescent="0.2">
      <c r="A49" s="909"/>
      <c r="B49" s="918" t="s">
        <v>4074</v>
      </c>
      <c r="C49" s="918"/>
      <c r="D49" s="918"/>
      <c r="E49" s="957"/>
      <c r="F49" s="918"/>
      <c r="G49" s="918"/>
      <c r="H49" s="918"/>
      <c r="I49" s="918"/>
      <c r="J49" s="957"/>
      <c r="K49" s="928"/>
      <c r="L49" s="951"/>
      <c r="M49" s="923"/>
      <c r="N49" s="951"/>
      <c r="O49" s="94"/>
      <c r="P49" s="94"/>
      <c r="Q49" s="951"/>
    </row>
    <row r="50" spans="1:17" ht="14.25" hidden="1" customHeight="1" x14ac:dyDescent="0.2">
      <c r="A50" s="909"/>
      <c r="B50" s="918" t="s">
        <v>3645</v>
      </c>
      <c r="C50" s="918"/>
      <c r="D50" s="918"/>
      <c r="E50" s="918"/>
      <c r="F50" s="918"/>
      <c r="G50" s="918"/>
      <c r="H50" s="918"/>
      <c r="I50" s="918"/>
      <c r="J50" s="957"/>
      <c r="K50" s="928"/>
      <c r="L50" s="997"/>
      <c r="M50" s="923"/>
      <c r="N50" s="951"/>
      <c r="O50" s="94"/>
      <c r="P50" s="94"/>
      <c r="Q50" s="951"/>
    </row>
    <row r="51" spans="1:17" ht="14.25" hidden="1" customHeight="1" x14ac:dyDescent="0.2">
      <c r="A51" s="909"/>
      <c r="B51" s="918" t="s">
        <v>3644</v>
      </c>
      <c r="C51" s="918"/>
      <c r="D51" s="918"/>
      <c r="E51" s="918"/>
      <c r="F51" s="918"/>
      <c r="G51" s="918"/>
      <c r="H51" s="918"/>
      <c r="I51" s="918"/>
      <c r="J51" s="957"/>
      <c r="K51" s="928"/>
      <c r="L51" s="951"/>
      <c r="M51" s="916"/>
      <c r="N51" s="951"/>
      <c r="O51" s="94"/>
      <c r="P51" s="94"/>
      <c r="Q51" s="951"/>
    </row>
    <row r="52" spans="1:17" ht="14.25" hidden="1" customHeight="1" x14ac:dyDescent="0.2">
      <c r="A52" s="909"/>
      <c r="B52" s="918" t="s">
        <v>3622</v>
      </c>
      <c r="C52" s="918"/>
      <c r="D52" s="918"/>
      <c r="E52" s="918"/>
      <c r="F52" s="918"/>
      <c r="G52" s="918"/>
      <c r="H52" s="918"/>
      <c r="I52" s="918"/>
      <c r="J52" s="957"/>
      <c r="K52" s="928"/>
      <c r="L52" s="998"/>
      <c r="M52" s="916"/>
      <c r="N52" s="951"/>
      <c r="O52" s="94"/>
      <c r="P52" s="94"/>
      <c r="Q52" s="951"/>
    </row>
    <row r="53" spans="1:17" ht="14.25" hidden="1" customHeight="1" x14ac:dyDescent="0.2">
      <c r="A53" s="909"/>
      <c r="B53" s="918" t="s">
        <v>3623</v>
      </c>
      <c r="C53" s="918"/>
      <c r="D53" s="918"/>
      <c r="E53" s="918"/>
      <c r="F53" s="918"/>
      <c r="G53" s="918"/>
      <c r="H53" s="918"/>
      <c r="I53" s="918"/>
      <c r="J53" s="999"/>
      <c r="K53" s="928"/>
      <c r="L53" s="928"/>
      <c r="M53" s="916"/>
      <c r="N53" s="951"/>
      <c r="O53" s="94"/>
      <c r="P53" s="94"/>
      <c r="Q53" s="951"/>
    </row>
    <row r="54" spans="1:17" ht="14.25" hidden="1" customHeight="1" x14ac:dyDescent="0.2">
      <c r="A54" s="909"/>
      <c r="B54" s="918" t="s">
        <v>3624</v>
      </c>
      <c r="C54" s="918"/>
      <c r="D54" s="918"/>
      <c r="E54" s="918"/>
      <c r="F54" s="918"/>
      <c r="G54" s="918"/>
      <c r="H54" s="918"/>
      <c r="I54" s="918"/>
      <c r="J54" s="957"/>
      <c r="K54" s="928"/>
      <c r="L54" s="951"/>
      <c r="M54" s="951"/>
      <c r="N54" s="951"/>
      <c r="O54" s="94"/>
      <c r="P54" s="94"/>
      <c r="Q54" s="951"/>
    </row>
    <row r="55" spans="1:17" ht="14.25" hidden="1" customHeight="1" x14ac:dyDescent="0.2">
      <c r="A55" s="909"/>
      <c r="B55" s="918" t="s">
        <v>3625</v>
      </c>
      <c r="C55" s="918"/>
      <c r="D55" s="918"/>
      <c r="E55" s="918"/>
      <c r="F55" s="918"/>
      <c r="G55" s="918"/>
      <c r="H55" s="918"/>
      <c r="I55" s="918"/>
      <c r="J55" s="957"/>
      <c r="K55" s="928"/>
      <c r="L55" s="94"/>
      <c r="M55" s="951"/>
      <c r="N55" s="951"/>
      <c r="O55" s="94"/>
      <c r="P55" s="94"/>
      <c r="Q55" s="951"/>
    </row>
    <row r="56" spans="1:17" ht="14.25" hidden="1" customHeight="1" x14ac:dyDescent="0.2">
      <c r="A56" s="909"/>
      <c r="B56" s="918" t="s">
        <v>3626</v>
      </c>
      <c r="C56" s="918"/>
      <c r="D56" s="918"/>
      <c r="E56" s="918"/>
      <c r="F56" s="918"/>
      <c r="G56" s="918"/>
      <c r="H56" s="918"/>
      <c r="I56" s="918"/>
      <c r="J56" s="957"/>
      <c r="K56" s="928"/>
      <c r="L56" s="951"/>
      <c r="M56" s="951"/>
      <c r="N56" s="951"/>
      <c r="O56" s="94"/>
      <c r="P56" s="94"/>
      <c r="Q56" s="951"/>
    </row>
    <row r="57" spans="1:17" ht="14.25" hidden="1" customHeight="1" x14ac:dyDescent="0.2">
      <c r="A57" s="909"/>
      <c r="B57" s="918" t="s">
        <v>3627</v>
      </c>
      <c r="C57" s="918"/>
      <c r="D57" s="918"/>
      <c r="E57" s="918"/>
      <c r="F57" s="918"/>
      <c r="G57" s="918"/>
      <c r="H57" s="918"/>
      <c r="I57" s="918"/>
      <c r="J57" s="957"/>
      <c r="K57" s="928"/>
      <c r="L57" s="997"/>
      <c r="M57" s="951"/>
      <c r="N57" s="951"/>
      <c r="O57" s="94"/>
      <c r="P57" s="94"/>
      <c r="Q57" s="951"/>
    </row>
    <row r="58" spans="1:17" ht="14.25" hidden="1" customHeight="1" x14ac:dyDescent="0.2">
      <c r="A58" s="909"/>
      <c r="B58" s="918" t="s">
        <v>3628</v>
      </c>
      <c r="C58" s="918"/>
      <c r="D58" s="918"/>
      <c r="E58" s="918"/>
      <c r="F58" s="918"/>
      <c r="G58" s="918"/>
      <c r="H58" s="918"/>
      <c r="I58" s="918"/>
      <c r="J58" s="957"/>
      <c r="K58" s="928"/>
      <c r="L58" s="997"/>
      <c r="M58" s="951"/>
      <c r="N58" s="951"/>
      <c r="O58" s="94"/>
      <c r="P58" s="94"/>
      <c r="Q58" s="951"/>
    </row>
    <row r="59" spans="1:17" ht="14.25" hidden="1" customHeight="1" x14ac:dyDescent="0.2">
      <c r="A59" s="909"/>
      <c r="B59" s="918" t="s">
        <v>3629</v>
      </c>
      <c r="C59" s="918"/>
      <c r="D59" s="918"/>
      <c r="E59" s="918"/>
      <c r="F59" s="918"/>
      <c r="G59" s="918"/>
      <c r="H59" s="918"/>
      <c r="I59" s="918"/>
      <c r="J59" s="957"/>
      <c r="K59" s="928"/>
      <c r="L59" s="93"/>
      <c r="M59" s="951"/>
      <c r="N59" s="951"/>
      <c r="O59" s="94"/>
      <c r="P59" s="94"/>
      <c r="Q59" s="951"/>
    </row>
    <row r="60" spans="1:17" ht="14.25" hidden="1" customHeight="1" x14ac:dyDescent="0.2">
      <c r="A60" s="909"/>
      <c r="B60" s="918" t="s">
        <v>3659</v>
      </c>
      <c r="C60" s="918"/>
      <c r="D60" s="918"/>
      <c r="E60" s="918"/>
      <c r="F60" s="918"/>
      <c r="G60" s="918"/>
      <c r="H60" s="918"/>
      <c r="I60" s="918"/>
      <c r="J60" s="957"/>
      <c r="K60" s="928"/>
      <c r="L60" s="997"/>
      <c r="M60" s="951"/>
      <c r="N60" s="951"/>
      <c r="O60" s="94"/>
      <c r="P60" s="94"/>
      <c r="Q60" s="951"/>
    </row>
    <row r="61" spans="1:17" ht="14.25" hidden="1" customHeight="1" x14ac:dyDescent="0.2">
      <c r="A61" s="909"/>
      <c r="B61" s="918" t="s">
        <v>3661</v>
      </c>
      <c r="C61" s="918"/>
      <c r="D61" s="918"/>
      <c r="E61" s="918"/>
      <c r="F61" s="918"/>
      <c r="G61" s="918"/>
      <c r="H61" s="918"/>
      <c r="I61" s="918"/>
      <c r="J61" s="957"/>
      <c r="K61" s="928"/>
      <c r="L61" s="997"/>
      <c r="M61" s="951"/>
      <c r="N61" s="951"/>
      <c r="O61" s="94"/>
      <c r="P61" s="94"/>
      <c r="Q61" s="951"/>
    </row>
    <row r="62" spans="1:17" ht="14.25" hidden="1" customHeight="1" x14ac:dyDescent="0.2">
      <c r="A62" s="909"/>
      <c r="B62" s="918" t="s">
        <v>3658</v>
      </c>
      <c r="C62" s="918"/>
      <c r="D62" s="918"/>
      <c r="E62" s="918"/>
      <c r="F62" s="918"/>
      <c r="G62" s="918"/>
      <c r="H62" s="918"/>
      <c r="I62" s="918"/>
      <c r="J62" s="957"/>
      <c r="K62" s="928"/>
      <c r="L62" s="951"/>
      <c r="M62" s="951"/>
      <c r="N62" s="951"/>
      <c r="O62" s="94"/>
      <c r="P62" s="94"/>
      <c r="Q62" s="951"/>
    </row>
    <row r="63" spans="1:17" ht="14.25" hidden="1" customHeight="1" x14ac:dyDescent="0.2">
      <c r="A63" s="909"/>
      <c r="B63" s="918" t="s">
        <v>3660</v>
      </c>
      <c r="C63" s="918"/>
      <c r="D63" s="918"/>
      <c r="E63" s="918"/>
      <c r="F63" s="918"/>
      <c r="G63" s="918"/>
      <c r="H63" s="918"/>
      <c r="I63" s="918"/>
      <c r="J63" s="957"/>
      <c r="K63" s="928"/>
      <c r="L63" s="951"/>
      <c r="M63" s="951"/>
      <c r="N63" s="951"/>
      <c r="O63" s="94"/>
      <c r="P63" s="94"/>
      <c r="Q63" s="951"/>
    </row>
    <row r="64" spans="1:17" ht="14.25" hidden="1" customHeight="1" x14ac:dyDescent="0.2">
      <c r="A64" s="909"/>
      <c r="C64" s="918"/>
      <c r="D64" s="918"/>
      <c r="E64" s="918"/>
      <c r="F64" s="918"/>
      <c r="G64" s="918"/>
      <c r="H64" s="918"/>
      <c r="I64" s="918"/>
      <c r="J64" s="957"/>
      <c r="K64" s="928"/>
      <c r="L64" s="951"/>
      <c r="M64" s="951"/>
      <c r="N64" s="951"/>
      <c r="O64" s="94"/>
      <c r="P64" s="94"/>
      <c r="Q64" s="951"/>
    </row>
    <row r="65" spans="1:17" ht="14.25" hidden="1" customHeight="1" x14ac:dyDescent="0.2">
      <c r="A65" s="909"/>
      <c r="C65" s="918"/>
      <c r="D65" s="918"/>
      <c r="E65" s="918"/>
      <c r="F65" s="918"/>
      <c r="G65" s="918"/>
      <c r="H65" s="918"/>
      <c r="I65" s="918"/>
      <c r="J65" s="957"/>
      <c r="K65" s="928"/>
      <c r="L65" s="928"/>
      <c r="M65" s="951"/>
      <c r="N65" s="951"/>
      <c r="O65" s="94"/>
      <c r="P65" s="94"/>
      <c r="Q65" s="951"/>
    </row>
    <row r="66" spans="1:17" ht="14.25" hidden="1" customHeight="1" x14ac:dyDescent="0.2">
      <c r="A66" s="909"/>
      <c r="B66" s="918" t="s">
        <v>3630</v>
      </c>
      <c r="C66" s="918"/>
      <c r="D66" s="918"/>
      <c r="E66" s="918"/>
      <c r="F66" s="918"/>
      <c r="G66" s="918"/>
      <c r="H66" s="918"/>
      <c r="I66" s="954"/>
      <c r="J66" s="957"/>
      <c r="K66" s="928"/>
      <c r="L66" s="1000"/>
      <c r="M66" s="951"/>
      <c r="N66" s="951"/>
      <c r="O66" s="94"/>
      <c r="P66" s="94"/>
      <c r="Q66" s="951"/>
    </row>
    <row r="67" spans="1:17" ht="14.25" hidden="1" customHeight="1" x14ac:dyDescent="0.2">
      <c r="A67" s="909"/>
      <c r="B67" s="918"/>
      <c r="C67" s="918" t="s">
        <v>3631</v>
      </c>
      <c r="D67" s="918"/>
      <c r="E67" s="918"/>
      <c r="F67" s="918"/>
      <c r="G67" s="918"/>
      <c r="H67" s="918"/>
      <c r="I67" s="918"/>
      <c r="J67" s="957"/>
      <c r="K67" s="1001"/>
      <c r="L67" s="94"/>
      <c r="M67" s="951"/>
      <c r="N67" s="951"/>
      <c r="O67" s="94"/>
      <c r="P67" s="94"/>
      <c r="Q67" s="951"/>
    </row>
    <row r="68" spans="1:17" ht="14.25" hidden="1" customHeight="1" x14ac:dyDescent="0.2">
      <c r="A68" s="909"/>
      <c r="B68" s="918"/>
      <c r="C68" s="918"/>
      <c r="D68" s="918"/>
      <c r="E68" s="918"/>
      <c r="F68" s="918"/>
      <c r="G68" s="918"/>
      <c r="H68" s="918"/>
      <c r="I68" s="918"/>
      <c r="J68" s="957"/>
      <c r="K68" s="1002"/>
      <c r="L68" s="998"/>
      <c r="M68" s="951"/>
      <c r="N68" s="951"/>
      <c r="O68" s="94"/>
      <c r="P68" s="94"/>
      <c r="Q68" s="951"/>
    </row>
    <row r="69" spans="1:17" ht="14.25" hidden="1" customHeight="1" x14ac:dyDescent="0.2">
      <c r="A69" s="909"/>
      <c r="B69" s="918"/>
      <c r="C69" s="918"/>
      <c r="D69" s="918"/>
      <c r="E69" s="918"/>
      <c r="F69" s="918"/>
      <c r="G69" s="918"/>
      <c r="H69" s="918"/>
      <c r="I69" s="918"/>
      <c r="J69" s="957"/>
      <c r="K69" s="1002"/>
      <c r="L69" s="951"/>
      <c r="M69" s="951"/>
      <c r="N69" s="951"/>
      <c r="O69" s="94"/>
      <c r="P69" s="94"/>
      <c r="Q69" s="951"/>
    </row>
    <row r="70" spans="1:17" ht="14.25" hidden="1" customHeight="1" x14ac:dyDescent="0.2">
      <c r="A70" s="909"/>
      <c r="B70" s="918"/>
      <c r="C70" s="918"/>
      <c r="D70" s="918"/>
      <c r="E70" s="918"/>
      <c r="F70" s="918"/>
      <c r="G70" s="918"/>
      <c r="H70" s="918"/>
      <c r="I70" s="918"/>
      <c r="J70" s="957"/>
      <c r="K70" s="1002"/>
      <c r="L70" s="951"/>
      <c r="M70" s="951"/>
      <c r="N70" s="929"/>
      <c r="O70" s="94"/>
      <c r="P70" s="94"/>
      <c r="Q70" s="951"/>
    </row>
    <row r="71" spans="1:17" ht="28.5" hidden="1" customHeight="1" x14ac:dyDescent="0.2">
      <c r="A71" s="909"/>
      <c r="B71" s="927" t="s">
        <v>3632</v>
      </c>
      <c r="C71" s="918"/>
      <c r="D71" s="918"/>
      <c r="E71" s="918"/>
      <c r="F71" s="918"/>
      <c r="G71" s="918"/>
      <c r="H71" s="918"/>
      <c r="I71" s="918"/>
      <c r="J71" s="957"/>
      <c r="K71" s="928"/>
      <c r="L71" s="951"/>
      <c r="M71" s="951"/>
      <c r="N71" s="951"/>
      <c r="O71" s="94"/>
      <c r="P71" s="94"/>
      <c r="Q71" s="951"/>
    </row>
    <row r="72" spans="1:17" ht="14.25" hidden="1" customHeight="1" x14ac:dyDescent="0.2">
      <c r="A72" s="909"/>
      <c r="B72" s="947" t="s">
        <v>3648</v>
      </c>
      <c r="C72" s="918"/>
      <c r="D72" s="918"/>
      <c r="E72" s="918"/>
      <c r="F72" s="918"/>
      <c r="G72" s="918"/>
      <c r="H72" s="918"/>
      <c r="I72" s="918"/>
      <c r="J72" s="957"/>
      <c r="K72" s="928"/>
      <c r="L72" s="997"/>
      <c r="M72" s="951"/>
      <c r="N72" s="951"/>
      <c r="O72" s="94"/>
      <c r="P72" s="94"/>
      <c r="Q72" s="951"/>
    </row>
    <row r="73" spans="1:17" ht="14.25" hidden="1" customHeight="1" x14ac:dyDescent="0.2">
      <c r="A73" s="909"/>
      <c r="B73" s="948" t="s">
        <v>3649</v>
      </c>
      <c r="C73" s="918"/>
      <c r="D73" s="918"/>
      <c r="E73" s="918"/>
      <c r="F73" s="918"/>
      <c r="G73" s="918"/>
      <c r="H73" s="918"/>
      <c r="I73" s="918"/>
      <c r="J73" s="957"/>
      <c r="K73" s="928"/>
      <c r="L73" s="997"/>
      <c r="M73" s="951"/>
      <c r="N73" s="951"/>
      <c r="O73" s="94"/>
      <c r="P73" s="94"/>
      <c r="Q73" s="951"/>
    </row>
    <row r="74" spans="1:17" ht="14.25" hidden="1" customHeight="1" x14ac:dyDescent="0.2">
      <c r="A74" s="909"/>
      <c r="B74" s="948" t="s">
        <v>3650</v>
      </c>
      <c r="C74" s="918"/>
      <c r="D74" s="918"/>
      <c r="E74" s="918"/>
      <c r="F74" s="918"/>
      <c r="G74" s="918"/>
      <c r="H74" s="918"/>
      <c r="I74" s="918"/>
      <c r="J74" s="957"/>
      <c r="K74" s="928"/>
      <c r="L74" s="997"/>
      <c r="M74" s="951"/>
      <c r="N74" s="951"/>
      <c r="O74" s="94"/>
      <c r="P74" s="94"/>
      <c r="Q74" s="951"/>
    </row>
    <row r="75" spans="1:17" ht="14.25" hidden="1" customHeight="1" x14ac:dyDescent="0.2">
      <c r="A75" s="909"/>
      <c r="B75" s="948" t="s">
        <v>3651</v>
      </c>
      <c r="C75" s="918"/>
      <c r="D75" s="918"/>
      <c r="E75" s="918"/>
      <c r="F75" s="918"/>
      <c r="G75" s="918"/>
      <c r="H75" s="918"/>
      <c r="I75" s="918"/>
      <c r="J75" s="957"/>
      <c r="K75" s="928"/>
      <c r="L75" s="997"/>
      <c r="M75" s="951"/>
      <c r="N75" s="951"/>
      <c r="O75" s="94"/>
      <c r="P75" s="94"/>
      <c r="Q75" s="951"/>
    </row>
    <row r="76" spans="1:17" ht="14.25" hidden="1" customHeight="1" x14ac:dyDescent="0.2">
      <c r="A76" s="909"/>
      <c r="B76" s="948" t="s">
        <v>3652</v>
      </c>
      <c r="C76" s="918"/>
      <c r="D76" s="918"/>
      <c r="E76" s="918"/>
      <c r="F76" s="918"/>
      <c r="G76" s="918"/>
      <c r="H76" s="918"/>
      <c r="I76" s="918"/>
      <c r="J76" s="957"/>
      <c r="K76" s="928"/>
      <c r="L76" s="997"/>
      <c r="M76" s="951"/>
      <c r="N76" s="951"/>
      <c r="O76" s="94"/>
      <c r="P76" s="94"/>
      <c r="Q76" s="951"/>
    </row>
    <row r="77" spans="1:17" ht="14.25" hidden="1" customHeight="1" x14ac:dyDescent="0.2">
      <c r="A77" s="909"/>
      <c r="B77" s="948" t="s">
        <v>3653</v>
      </c>
      <c r="C77" s="918"/>
      <c r="D77" s="918"/>
      <c r="E77" s="918"/>
      <c r="F77" s="918"/>
      <c r="G77" s="918"/>
      <c r="H77" s="918"/>
      <c r="I77" s="918"/>
      <c r="J77" s="957"/>
      <c r="K77" s="928"/>
      <c r="L77" s="997"/>
      <c r="M77" s="951"/>
      <c r="N77" s="951"/>
      <c r="O77" s="94"/>
      <c r="P77" s="94"/>
      <c r="Q77" s="951"/>
    </row>
    <row r="78" spans="1:17" ht="14.25" hidden="1" customHeight="1" x14ac:dyDescent="0.2">
      <c r="A78" s="909"/>
      <c r="B78" s="948" t="s">
        <v>3654</v>
      </c>
      <c r="C78" s="918"/>
      <c r="D78" s="918"/>
      <c r="E78" s="918"/>
      <c r="F78" s="918"/>
      <c r="G78" s="918"/>
      <c r="H78" s="918"/>
      <c r="I78" s="918"/>
      <c r="J78" s="957"/>
      <c r="K78" s="928"/>
      <c r="L78" s="997"/>
      <c r="M78" s="951"/>
      <c r="N78" s="951"/>
      <c r="O78" s="94"/>
      <c r="P78" s="94"/>
      <c r="Q78" s="951"/>
    </row>
    <row r="79" spans="1:17" ht="14.25" hidden="1" customHeight="1" x14ac:dyDescent="0.2">
      <c r="A79" s="909"/>
      <c r="B79" s="948" t="s">
        <v>3655</v>
      </c>
      <c r="C79" s="918"/>
      <c r="D79" s="918"/>
      <c r="E79" s="918"/>
      <c r="F79" s="918"/>
      <c r="G79" s="918"/>
      <c r="H79" s="918"/>
      <c r="I79" s="918"/>
      <c r="J79" s="957"/>
      <c r="K79" s="928"/>
      <c r="L79" s="997"/>
      <c r="M79" s="951"/>
      <c r="N79" s="951"/>
      <c r="O79" s="94"/>
      <c r="P79" s="94"/>
      <c r="Q79" s="951"/>
    </row>
    <row r="80" spans="1:17" ht="14.25" hidden="1" customHeight="1" x14ac:dyDescent="0.2">
      <c r="A80" s="909"/>
      <c r="B80" s="948" t="s">
        <v>3656</v>
      </c>
      <c r="C80" s="918"/>
      <c r="D80" s="918"/>
      <c r="E80" s="918"/>
      <c r="F80" s="918"/>
      <c r="G80" s="918"/>
      <c r="H80" s="918"/>
      <c r="I80" s="918"/>
      <c r="J80" s="957"/>
      <c r="K80" s="928"/>
      <c r="L80" s="997"/>
      <c r="M80" s="951"/>
      <c r="N80" s="951"/>
      <c r="O80" s="94"/>
      <c r="P80" s="94"/>
      <c r="Q80" s="951"/>
    </row>
    <row r="81" spans="1:17" ht="14.25" hidden="1" customHeight="1" x14ac:dyDescent="0.2">
      <c r="A81" s="909"/>
      <c r="B81" s="909"/>
      <c r="C81" s="918"/>
      <c r="D81" s="918"/>
      <c r="E81" s="918"/>
      <c r="F81" s="918"/>
      <c r="G81" s="918"/>
      <c r="H81" s="918"/>
      <c r="I81" s="918"/>
      <c r="J81" s="957"/>
      <c r="K81" s="928"/>
      <c r="L81" s="928"/>
      <c r="M81" s="951"/>
      <c r="N81" s="951"/>
      <c r="O81" s="94"/>
      <c r="P81" s="94"/>
      <c r="Q81" s="951"/>
    </row>
    <row r="82" spans="1:17" ht="14.25" hidden="1" customHeight="1" x14ac:dyDescent="0.2">
      <c r="A82" s="909"/>
      <c r="B82" s="918"/>
      <c r="C82" s="918" t="s">
        <v>3633</v>
      </c>
      <c r="D82" s="918"/>
      <c r="E82" s="918"/>
      <c r="F82" s="918"/>
      <c r="G82" s="918"/>
      <c r="H82" s="918"/>
      <c r="I82" s="918"/>
      <c r="J82" s="957"/>
      <c r="K82" s="928"/>
      <c r="L82" s="951"/>
      <c r="M82" s="951"/>
      <c r="N82" s="951"/>
      <c r="O82" s="94"/>
      <c r="P82" s="94"/>
      <c r="Q82" s="951"/>
    </row>
    <row r="83" spans="1:17" ht="28.5" hidden="1" customHeight="1" x14ac:dyDescent="0.2">
      <c r="A83" s="909"/>
      <c r="B83" s="920" t="s">
        <v>3646</v>
      </c>
      <c r="C83" s="918"/>
      <c r="D83" s="918"/>
      <c r="E83" s="918"/>
      <c r="F83" s="918"/>
      <c r="G83" s="918"/>
      <c r="H83" s="918"/>
      <c r="I83" s="918"/>
      <c r="J83" s="957"/>
      <c r="K83" s="928"/>
      <c r="L83" s="951"/>
      <c r="M83" s="951"/>
      <c r="N83" s="951"/>
      <c r="O83" s="928"/>
      <c r="P83" s="951"/>
      <c r="Q83" s="951"/>
    </row>
    <row r="84" spans="1:17" ht="14.25" hidden="1" customHeight="1" x14ac:dyDescent="0.2">
      <c r="A84" s="909"/>
      <c r="B84" s="947" t="s">
        <v>3662</v>
      </c>
      <c r="C84" s="918"/>
      <c r="D84" s="918"/>
      <c r="E84" s="918"/>
      <c r="F84" s="918"/>
      <c r="G84" s="918"/>
      <c r="H84" s="918"/>
      <c r="I84" s="918"/>
      <c r="J84" s="957"/>
      <c r="K84" s="928"/>
      <c r="L84" s="997"/>
      <c r="M84" s="951"/>
      <c r="N84" s="951"/>
      <c r="O84" s="951"/>
      <c r="P84" s="928"/>
      <c r="Q84" s="951"/>
    </row>
    <row r="85" spans="1:17" ht="14.25" hidden="1" customHeight="1" x14ac:dyDescent="0.2">
      <c r="A85" s="909"/>
      <c r="B85" s="947" t="s">
        <v>3663</v>
      </c>
      <c r="C85" s="918"/>
      <c r="D85" s="918"/>
      <c r="E85" s="918"/>
      <c r="F85" s="918"/>
      <c r="G85" s="918"/>
      <c r="H85" s="918"/>
      <c r="I85" s="918"/>
      <c r="J85" s="957"/>
      <c r="K85" s="928"/>
      <c r="L85" s="997"/>
      <c r="M85" s="951"/>
      <c r="N85" s="951"/>
      <c r="O85" s="951"/>
      <c r="P85" s="951"/>
      <c r="Q85" s="951"/>
    </row>
    <row r="86" spans="1:17" ht="14.25" hidden="1" customHeight="1" x14ac:dyDescent="0.2">
      <c r="A86" s="909"/>
      <c r="B86" s="947" t="s">
        <v>3664</v>
      </c>
      <c r="C86" s="918"/>
      <c r="D86" s="918"/>
      <c r="E86" s="918"/>
      <c r="F86" s="918"/>
      <c r="G86" s="918"/>
      <c r="H86" s="918"/>
      <c r="I86" s="918"/>
      <c r="J86" s="957"/>
      <c r="K86" s="928"/>
      <c r="L86" s="997"/>
      <c r="M86" s="951"/>
      <c r="N86" s="951"/>
      <c r="O86" s="951"/>
      <c r="P86" s="951"/>
      <c r="Q86" s="951"/>
    </row>
    <row r="87" spans="1:17" ht="14.25" hidden="1" customHeight="1" x14ac:dyDescent="0.2">
      <c r="A87" s="909"/>
      <c r="B87" s="947" t="s">
        <v>3665</v>
      </c>
      <c r="C87" s="918"/>
      <c r="D87" s="918"/>
      <c r="E87" s="918"/>
      <c r="F87" s="918"/>
      <c r="G87" s="918"/>
      <c r="H87" s="918"/>
      <c r="I87" s="918"/>
      <c r="J87" s="957"/>
      <c r="K87" s="928"/>
      <c r="L87" s="997"/>
      <c r="M87" s="951"/>
      <c r="N87" s="951"/>
      <c r="O87" s="951"/>
      <c r="P87" s="951"/>
      <c r="Q87" s="951"/>
    </row>
    <row r="88" spans="1:17" ht="14.25" hidden="1" customHeight="1" x14ac:dyDescent="0.2">
      <c r="A88" s="909"/>
      <c r="B88" s="947" t="s">
        <v>3666</v>
      </c>
      <c r="C88" s="918"/>
      <c r="D88" s="918"/>
      <c r="E88" s="918"/>
      <c r="F88" s="918"/>
      <c r="G88" s="918"/>
      <c r="H88" s="918"/>
      <c r="I88" s="918"/>
      <c r="J88" s="957"/>
      <c r="K88" s="928"/>
      <c r="L88" s="997"/>
      <c r="M88" s="951"/>
      <c r="N88" s="951"/>
      <c r="O88" s="951"/>
      <c r="P88" s="951"/>
      <c r="Q88" s="951"/>
    </row>
    <row r="89" spans="1:17" ht="14.25" hidden="1" customHeight="1" x14ac:dyDescent="0.2">
      <c r="A89" s="909"/>
      <c r="B89" s="947" t="s">
        <v>3667</v>
      </c>
      <c r="C89" s="918"/>
      <c r="D89" s="918"/>
      <c r="E89" s="918"/>
      <c r="F89" s="918"/>
      <c r="G89" s="918"/>
      <c r="H89" s="918"/>
      <c r="I89" s="918"/>
      <c r="J89" s="957"/>
      <c r="K89" s="928"/>
      <c r="L89" s="997"/>
      <c r="M89" s="951"/>
      <c r="N89" s="951"/>
      <c r="O89" s="951"/>
      <c r="P89" s="951"/>
      <c r="Q89" s="951"/>
    </row>
    <row r="90" spans="1:17" ht="14.25" hidden="1" customHeight="1" x14ac:dyDescent="0.2">
      <c r="A90" s="909"/>
      <c r="B90" s="947" t="s">
        <v>3668</v>
      </c>
      <c r="C90" s="918"/>
      <c r="D90" s="918"/>
      <c r="E90" s="918"/>
      <c r="F90" s="918"/>
      <c r="G90" s="918"/>
      <c r="H90" s="918"/>
      <c r="I90" s="918"/>
      <c r="J90" s="957"/>
      <c r="K90" s="928"/>
      <c r="L90" s="997"/>
      <c r="M90" s="951"/>
      <c r="N90" s="951"/>
      <c r="O90" s="951"/>
      <c r="P90" s="951"/>
      <c r="Q90" s="951"/>
    </row>
    <row r="91" spans="1:17" ht="14.25" hidden="1" customHeight="1" x14ac:dyDescent="0.2">
      <c r="A91" s="909"/>
      <c r="B91" s="947" t="s">
        <v>3669</v>
      </c>
      <c r="C91" s="918"/>
      <c r="D91" s="918"/>
      <c r="E91" s="918"/>
      <c r="F91" s="918"/>
      <c r="G91" s="918"/>
      <c r="H91" s="918"/>
      <c r="I91" s="918"/>
      <c r="J91" s="957"/>
      <c r="K91" s="928"/>
      <c r="L91" s="997"/>
      <c r="M91" s="951"/>
      <c r="N91" s="951"/>
      <c r="O91" s="951"/>
      <c r="P91" s="951"/>
      <c r="Q91" s="951"/>
    </row>
    <row r="92" spans="1:17" ht="14.25" hidden="1" customHeight="1" x14ac:dyDescent="0.2">
      <c r="A92" s="909"/>
      <c r="B92" s="947" t="s">
        <v>3670</v>
      </c>
      <c r="C92" s="918"/>
      <c r="D92" s="918"/>
      <c r="E92" s="918"/>
      <c r="F92" s="918"/>
      <c r="G92" s="918"/>
      <c r="H92" s="918"/>
      <c r="I92" s="918"/>
      <c r="J92" s="957"/>
      <c r="K92" s="928"/>
      <c r="L92" s="997"/>
      <c r="M92" s="951"/>
      <c r="N92" s="951"/>
      <c r="O92" s="951"/>
      <c r="P92" s="951"/>
      <c r="Q92" s="951"/>
    </row>
    <row r="93" spans="1:17" ht="14.25" hidden="1" customHeight="1" x14ac:dyDescent="0.2">
      <c r="A93" s="909"/>
      <c r="B93" s="918"/>
      <c r="C93" s="918" t="s">
        <v>3635</v>
      </c>
      <c r="D93" s="918"/>
      <c r="E93" s="918"/>
      <c r="F93" s="918"/>
      <c r="G93" s="918"/>
      <c r="H93" s="918"/>
      <c r="I93" s="918"/>
      <c r="J93" s="957"/>
      <c r="K93" s="928"/>
      <c r="L93" s="928"/>
      <c r="M93" s="951"/>
      <c r="N93" s="951"/>
      <c r="O93" s="951"/>
      <c r="P93" s="951"/>
      <c r="Q93" s="951"/>
    </row>
    <row r="94" spans="1:17" ht="12.75" hidden="1" customHeight="1" x14ac:dyDescent="0.2">
      <c r="A94" s="909"/>
      <c r="B94" s="909"/>
      <c r="C94" s="909"/>
      <c r="D94" s="909"/>
      <c r="E94" s="909"/>
      <c r="F94" s="909"/>
      <c r="G94" s="909"/>
      <c r="H94" s="909"/>
      <c r="I94" s="909"/>
      <c r="J94" s="929"/>
      <c r="K94" s="929"/>
      <c r="L94" s="951"/>
      <c r="M94" s="951"/>
      <c r="N94" s="951"/>
      <c r="O94" s="951"/>
      <c r="P94" s="951"/>
      <c r="Q94" s="951"/>
    </row>
    <row r="95" spans="1:17" x14ac:dyDescent="0.2">
      <c r="A95" s="909"/>
      <c r="B95" s="909"/>
      <c r="C95" s="909"/>
      <c r="D95" s="909"/>
      <c r="E95" s="909"/>
      <c r="F95" s="909"/>
      <c r="G95" s="909"/>
      <c r="H95" s="909"/>
      <c r="I95" s="909"/>
      <c r="J95" s="929"/>
      <c r="K95" s="929"/>
      <c r="L95" s="951"/>
      <c r="M95" s="951"/>
      <c r="N95" s="951"/>
      <c r="O95" s="951"/>
      <c r="P95" s="951"/>
      <c r="Q95" s="951"/>
    </row>
    <row r="96" spans="1:17" x14ac:dyDescent="0.2">
      <c r="A96" s="909"/>
      <c r="B96" s="909"/>
      <c r="C96" s="909"/>
      <c r="D96" s="909"/>
      <c r="E96" s="909"/>
      <c r="F96" s="909"/>
      <c r="G96" s="909"/>
      <c r="H96" s="909"/>
      <c r="I96" s="909"/>
      <c r="J96" s="929"/>
      <c r="K96" s="929"/>
      <c r="L96" s="951"/>
      <c r="M96" s="951"/>
      <c r="N96" s="951"/>
      <c r="O96" s="951"/>
      <c r="P96" s="951"/>
      <c r="Q96" s="951"/>
    </row>
    <row r="97" spans="1:17" x14ac:dyDescent="0.2">
      <c r="A97" s="930" t="s">
        <v>822</v>
      </c>
      <c r="B97" s="1148" t="s">
        <v>4077</v>
      </c>
      <c r="C97" s="958"/>
      <c r="D97" s="958"/>
      <c r="E97" s="958"/>
      <c r="F97" s="958"/>
      <c r="G97" s="958"/>
      <c r="H97" s="958"/>
      <c r="I97" s="931"/>
      <c r="J97" s="929"/>
      <c r="K97" s="929"/>
      <c r="L97" s="951"/>
      <c r="M97" s="951"/>
      <c r="N97" s="951"/>
      <c r="O97" s="951"/>
      <c r="P97" s="951"/>
      <c r="Q97" s="951"/>
    </row>
    <row r="98" spans="1:17" x14ac:dyDescent="0.2">
      <c r="A98" s="909"/>
      <c r="B98" s="909"/>
      <c r="C98" s="909"/>
      <c r="D98" s="909"/>
      <c r="E98" s="909"/>
      <c r="F98" s="909"/>
      <c r="G98" s="909"/>
      <c r="H98" s="909"/>
      <c r="I98" s="909"/>
      <c r="J98" s="929"/>
      <c r="K98" s="929"/>
      <c r="L98" s="951"/>
      <c r="M98" s="951"/>
      <c r="N98" s="951"/>
      <c r="O98" s="951"/>
      <c r="P98" s="951"/>
      <c r="Q98" s="951"/>
    </row>
    <row r="99" spans="1:17" x14ac:dyDescent="0.2">
      <c r="A99" s="909"/>
      <c r="B99" s="909"/>
      <c r="C99" s="909"/>
      <c r="D99" s="909"/>
      <c r="E99" s="909"/>
      <c r="F99" s="909"/>
      <c r="G99" s="909"/>
      <c r="H99" s="909"/>
      <c r="I99" s="909"/>
      <c r="J99" s="929"/>
      <c r="K99" s="929"/>
      <c r="L99" s="951"/>
      <c r="M99" s="951"/>
      <c r="N99" s="951"/>
      <c r="O99" s="951"/>
      <c r="P99" s="951"/>
      <c r="Q99" s="951"/>
    </row>
    <row r="100" spans="1:17" x14ac:dyDescent="0.2">
      <c r="A100" s="909"/>
      <c r="B100" s="932"/>
      <c r="C100" s="766" t="s">
        <v>2056</v>
      </c>
      <c r="D100" s="766" t="s">
        <v>2057</v>
      </c>
      <c r="E100" s="909"/>
      <c r="F100" s="909"/>
      <c r="G100" s="909"/>
      <c r="H100" s="909"/>
      <c r="I100" s="909"/>
      <c r="J100" s="929"/>
      <c r="K100" s="929"/>
      <c r="L100" s="951"/>
      <c r="M100" s="951"/>
      <c r="N100" s="951"/>
      <c r="O100" s="951"/>
      <c r="P100" s="951"/>
      <c r="Q100" s="951"/>
    </row>
    <row r="101" spans="1:17" hidden="1" x14ac:dyDescent="0.2">
      <c r="A101" s="909"/>
      <c r="B101" s="953" t="s">
        <v>1117</v>
      </c>
      <c r="C101" s="859"/>
      <c r="D101" s="859"/>
      <c r="E101" s="909"/>
      <c r="F101" s="909"/>
      <c r="G101" s="909"/>
      <c r="H101" s="909"/>
      <c r="I101" s="909"/>
      <c r="J101" s="929"/>
      <c r="K101" s="929"/>
      <c r="L101" s="951"/>
      <c r="M101" s="951"/>
      <c r="N101" s="951"/>
      <c r="O101" s="951"/>
      <c r="P101" s="951"/>
      <c r="Q101" s="951"/>
    </row>
    <row r="102" spans="1:17" x14ac:dyDescent="0.2">
      <c r="A102" s="909"/>
      <c r="B102" s="932" t="s">
        <v>4094</v>
      </c>
      <c r="C102" s="859">
        <f t="shared" ref="C102" si="0">G155</f>
        <v>0</v>
      </c>
      <c r="D102" s="859">
        <f>H155</f>
        <v>0</v>
      </c>
      <c r="E102" s="909"/>
      <c r="F102" s="909"/>
      <c r="G102" s="909"/>
      <c r="H102" s="909"/>
      <c r="I102" s="909"/>
      <c r="J102" s="929"/>
      <c r="K102" s="929"/>
      <c r="L102" s="951"/>
      <c r="M102" s="951"/>
      <c r="N102" s="951"/>
      <c r="O102" s="951"/>
      <c r="P102" s="951"/>
      <c r="Q102" s="951"/>
    </row>
    <row r="103" spans="1:17" x14ac:dyDescent="0.2">
      <c r="A103" s="909"/>
      <c r="B103" s="932" t="s">
        <v>4022</v>
      </c>
      <c r="C103" s="859">
        <f>G156</f>
        <v>0</v>
      </c>
      <c r="D103" s="859">
        <f>H156</f>
        <v>0</v>
      </c>
      <c r="E103" s="1134"/>
      <c r="F103" s="909"/>
      <c r="G103" s="909"/>
      <c r="H103" s="909"/>
      <c r="I103" s="909"/>
      <c r="J103" s="929"/>
      <c r="K103" s="929"/>
      <c r="L103" s="951"/>
      <c r="M103" s="951"/>
      <c r="N103" s="951"/>
      <c r="O103" s="951"/>
      <c r="P103" s="951"/>
      <c r="Q103" s="951"/>
    </row>
    <row r="104" spans="1:17" x14ac:dyDescent="0.2">
      <c r="A104" s="909"/>
      <c r="B104" s="932" t="s">
        <v>3973</v>
      </c>
      <c r="C104" s="859">
        <f t="shared" ref="C104:D111" si="1">G157</f>
        <v>0</v>
      </c>
      <c r="D104" s="859">
        <f t="shared" si="1"/>
        <v>0</v>
      </c>
      <c r="E104" s="909"/>
      <c r="F104" s="909"/>
      <c r="G104" s="909"/>
      <c r="H104" s="909"/>
      <c r="I104" s="909"/>
      <c r="J104" s="929"/>
      <c r="K104" s="929"/>
      <c r="L104" s="951"/>
      <c r="M104" s="951"/>
      <c r="N104" s="951"/>
      <c r="O104" s="951"/>
      <c r="P104" s="951"/>
      <c r="Q104" s="951"/>
    </row>
    <row r="105" spans="1:17" x14ac:dyDescent="0.2">
      <c r="A105" s="909"/>
      <c r="B105" s="932" t="s">
        <v>3974</v>
      </c>
      <c r="C105" s="859">
        <f>G158</f>
        <v>0</v>
      </c>
      <c r="D105" s="859">
        <f t="shared" si="1"/>
        <v>0</v>
      </c>
      <c r="E105" s="909"/>
      <c r="F105" s="909"/>
      <c r="G105" s="909"/>
      <c r="H105" s="909"/>
      <c r="I105" s="909"/>
      <c r="J105" s="929"/>
      <c r="K105" s="929"/>
      <c r="L105" s="951"/>
      <c r="M105" s="951"/>
      <c r="N105" s="951"/>
      <c r="O105" s="951"/>
      <c r="P105" s="951"/>
      <c r="Q105" s="951"/>
    </row>
    <row r="106" spans="1:17" x14ac:dyDescent="0.2">
      <c r="A106" s="909"/>
      <c r="B106" s="932" t="s">
        <v>3975</v>
      </c>
      <c r="C106" s="859">
        <f t="shared" si="1"/>
        <v>0</v>
      </c>
      <c r="D106" s="859">
        <f t="shared" si="1"/>
        <v>0</v>
      </c>
      <c r="E106" s="909"/>
      <c r="F106" s="909"/>
      <c r="G106" s="909"/>
      <c r="H106" s="909"/>
      <c r="I106" s="909"/>
      <c r="J106" s="929"/>
      <c r="K106" s="929"/>
      <c r="L106" s="951"/>
      <c r="M106" s="951"/>
      <c r="N106" s="951"/>
      <c r="O106" s="951"/>
      <c r="P106" s="951"/>
      <c r="Q106" s="951"/>
    </row>
    <row r="107" spans="1:17" x14ac:dyDescent="0.2">
      <c r="A107" s="909"/>
      <c r="B107" s="932" t="s">
        <v>3976</v>
      </c>
      <c r="C107" s="859">
        <f t="shared" si="1"/>
        <v>0</v>
      </c>
      <c r="D107" s="859">
        <f t="shared" si="1"/>
        <v>0</v>
      </c>
      <c r="E107" s="909"/>
      <c r="F107" s="909"/>
      <c r="G107" s="909"/>
      <c r="H107" s="909"/>
      <c r="I107" s="909"/>
      <c r="J107" s="929"/>
      <c r="K107" s="929"/>
      <c r="L107" s="951"/>
      <c r="M107" s="951"/>
      <c r="N107" s="951"/>
      <c r="O107" s="951"/>
      <c r="P107" s="951"/>
      <c r="Q107" s="951"/>
    </row>
    <row r="108" spans="1:17" x14ac:dyDescent="0.2">
      <c r="A108" s="909"/>
      <c r="B108" s="932" t="s">
        <v>4020</v>
      </c>
      <c r="C108" s="859">
        <f t="shared" si="1"/>
        <v>0</v>
      </c>
      <c r="D108" s="859">
        <f t="shared" si="1"/>
        <v>0</v>
      </c>
      <c r="E108" s="909"/>
      <c r="F108" s="909"/>
      <c r="G108" s="909"/>
      <c r="H108" s="909"/>
      <c r="I108" s="909"/>
      <c r="J108" s="929"/>
      <c r="K108" s="929"/>
      <c r="L108" s="951"/>
      <c r="M108" s="951"/>
      <c r="N108" s="951"/>
      <c r="O108" s="951"/>
      <c r="P108" s="951"/>
      <c r="Q108" s="951"/>
    </row>
    <row r="109" spans="1:17" x14ac:dyDescent="0.2">
      <c r="A109" s="909"/>
      <c r="B109" s="932" t="s">
        <v>3977</v>
      </c>
      <c r="C109" s="859">
        <f t="shared" si="1"/>
        <v>0</v>
      </c>
      <c r="D109" s="859">
        <f t="shared" si="1"/>
        <v>0</v>
      </c>
      <c r="E109" s="1134"/>
      <c r="F109" s="909"/>
      <c r="G109" s="909"/>
      <c r="H109" s="909"/>
      <c r="I109" s="909"/>
      <c r="J109" s="929"/>
      <c r="K109" s="929"/>
      <c r="L109" s="951"/>
      <c r="M109" s="951"/>
      <c r="N109" s="951"/>
      <c r="O109" s="951"/>
      <c r="P109" s="951"/>
      <c r="Q109" s="951"/>
    </row>
    <row r="110" spans="1:17" x14ac:dyDescent="0.2">
      <c r="A110" s="909"/>
      <c r="B110" s="932" t="s">
        <v>3978</v>
      </c>
      <c r="C110" s="859">
        <f t="shared" si="1"/>
        <v>0</v>
      </c>
      <c r="D110" s="859">
        <f t="shared" si="1"/>
        <v>0</v>
      </c>
      <c r="E110" s="1134"/>
      <c r="F110" s="909"/>
      <c r="G110" s="909"/>
      <c r="H110" s="909"/>
      <c r="I110" s="909"/>
      <c r="J110" s="929"/>
      <c r="K110" s="929"/>
      <c r="L110" s="951"/>
      <c r="M110" s="951"/>
      <c r="N110" s="951"/>
      <c r="O110" s="951"/>
      <c r="P110" s="951"/>
      <c r="Q110" s="951"/>
    </row>
    <row r="111" spans="1:17" x14ac:dyDescent="0.2">
      <c r="A111" s="909"/>
      <c r="B111" s="932" t="s">
        <v>3979</v>
      </c>
      <c r="C111" s="859">
        <f t="shared" si="1"/>
        <v>0</v>
      </c>
      <c r="D111" s="859">
        <f t="shared" si="1"/>
        <v>0</v>
      </c>
      <c r="E111" s="1134"/>
      <c r="F111" s="909"/>
      <c r="G111" s="909"/>
      <c r="H111" s="909"/>
      <c r="I111" s="909"/>
      <c r="J111" s="929"/>
      <c r="K111" s="929"/>
      <c r="L111" s="951"/>
      <c r="M111" s="951"/>
      <c r="N111" s="951"/>
      <c r="O111" s="951"/>
      <c r="P111" s="951"/>
      <c r="Q111" s="951"/>
    </row>
    <row r="112" spans="1:17" x14ac:dyDescent="0.2">
      <c r="A112" s="909"/>
      <c r="B112" s="929" t="s">
        <v>4037</v>
      </c>
      <c r="C112" s="859">
        <f>G165</f>
        <v>0</v>
      </c>
      <c r="D112" s="859">
        <f>H165</f>
        <v>0</v>
      </c>
      <c r="E112" s="929"/>
      <c r="F112" s="909"/>
      <c r="G112" s="909"/>
      <c r="H112" s="909"/>
      <c r="I112" s="909"/>
      <c r="J112" s="929"/>
      <c r="K112" s="929"/>
      <c r="L112" s="951"/>
      <c r="M112" s="951"/>
      <c r="N112" s="951"/>
      <c r="O112" s="951"/>
      <c r="P112" s="951"/>
      <c r="Q112" s="951"/>
    </row>
    <row r="113" spans="1:17" x14ac:dyDescent="0.2">
      <c r="A113" s="909"/>
      <c r="B113" s="909" t="s">
        <v>4038</v>
      </c>
      <c r="C113" s="859">
        <f t="shared" ref="C113:D128" si="2">G166</f>
        <v>0</v>
      </c>
      <c r="D113" s="859">
        <f>H166</f>
        <v>0</v>
      </c>
      <c r="E113" s="929"/>
      <c r="F113" s="909"/>
      <c r="G113" s="909"/>
      <c r="H113" s="909"/>
      <c r="I113" s="909"/>
      <c r="J113" s="929"/>
      <c r="K113" s="929"/>
      <c r="L113" s="951"/>
      <c r="M113" s="951"/>
      <c r="N113" s="951"/>
      <c r="O113" s="951"/>
      <c r="P113" s="951"/>
      <c r="Q113" s="951"/>
    </row>
    <row r="114" spans="1:17" x14ac:dyDescent="0.2">
      <c r="A114" s="909"/>
      <c r="B114" s="909" t="s">
        <v>4039</v>
      </c>
      <c r="C114" s="859">
        <f t="shared" si="2"/>
        <v>0</v>
      </c>
      <c r="D114" s="859">
        <f t="shared" si="2"/>
        <v>0</v>
      </c>
      <c r="E114" s="1142"/>
      <c r="F114" s="909"/>
      <c r="G114" s="909"/>
      <c r="H114" s="909"/>
      <c r="I114" s="909"/>
      <c r="J114" s="929"/>
      <c r="K114" s="929"/>
      <c r="L114" s="951"/>
      <c r="M114" s="951"/>
      <c r="N114" s="951"/>
      <c r="O114" s="951"/>
      <c r="P114" s="951"/>
      <c r="Q114" s="951"/>
    </row>
    <row r="115" spans="1:17" x14ac:dyDescent="0.2">
      <c r="A115" s="909"/>
      <c r="B115" s="909" t="s">
        <v>4040</v>
      </c>
      <c r="C115" s="859">
        <f t="shared" si="2"/>
        <v>0</v>
      </c>
      <c r="D115" s="859">
        <f t="shared" si="2"/>
        <v>0</v>
      </c>
      <c r="E115" s="1142"/>
      <c r="F115" s="909"/>
      <c r="G115" s="909"/>
      <c r="H115" s="909"/>
      <c r="I115" s="909"/>
      <c r="J115" s="929"/>
      <c r="K115" s="929"/>
      <c r="L115" s="951"/>
      <c r="M115" s="951"/>
      <c r="N115" s="951"/>
      <c r="O115" s="951"/>
      <c r="P115" s="951"/>
      <c r="Q115" s="951"/>
    </row>
    <row r="116" spans="1:17" x14ac:dyDescent="0.2">
      <c r="A116" s="909"/>
      <c r="B116" s="909" t="s">
        <v>4041</v>
      </c>
      <c r="C116" s="859">
        <f t="shared" si="2"/>
        <v>0</v>
      </c>
      <c r="D116" s="859">
        <f t="shared" si="2"/>
        <v>0</v>
      </c>
      <c r="E116" s="929"/>
      <c r="F116" s="909"/>
      <c r="G116" s="909"/>
      <c r="H116" s="909"/>
      <c r="I116" s="909"/>
      <c r="J116" s="929"/>
      <c r="K116" s="929"/>
      <c r="L116" s="951"/>
      <c r="M116" s="951"/>
      <c r="N116" s="951"/>
      <c r="O116" s="951"/>
      <c r="P116" s="951"/>
      <c r="Q116" s="951"/>
    </row>
    <row r="117" spans="1:17" x14ac:dyDescent="0.2">
      <c r="A117" s="909"/>
      <c r="B117" s="909" t="s">
        <v>4042</v>
      </c>
      <c r="C117" s="859">
        <f t="shared" si="2"/>
        <v>0</v>
      </c>
      <c r="D117" s="859">
        <f t="shared" si="2"/>
        <v>0</v>
      </c>
      <c r="E117" s="929"/>
      <c r="F117" s="909"/>
      <c r="G117" s="909"/>
      <c r="H117" s="909"/>
      <c r="I117" s="909"/>
      <c r="J117" s="929"/>
      <c r="K117" s="929"/>
      <c r="L117" s="951"/>
      <c r="M117" s="951"/>
      <c r="N117" s="951"/>
      <c r="O117" s="951"/>
      <c r="P117" s="951"/>
      <c r="Q117" s="951"/>
    </row>
    <row r="118" spans="1:17" x14ac:dyDescent="0.2">
      <c r="A118" s="909"/>
      <c r="B118" s="909" t="s">
        <v>4043</v>
      </c>
      <c r="C118" s="859">
        <f t="shared" si="2"/>
        <v>0</v>
      </c>
      <c r="D118" s="859">
        <f t="shared" si="2"/>
        <v>0</v>
      </c>
      <c r="E118" s="929"/>
      <c r="F118" s="909"/>
      <c r="G118" s="909"/>
      <c r="H118" s="909"/>
      <c r="I118" s="909"/>
      <c r="J118" s="929"/>
      <c r="K118" s="929"/>
      <c r="L118" s="951"/>
      <c r="M118" s="951"/>
      <c r="N118" s="951"/>
      <c r="O118" s="951"/>
      <c r="P118" s="951"/>
      <c r="Q118" s="951"/>
    </row>
    <row r="119" spans="1:17" x14ac:dyDescent="0.2">
      <c r="A119" s="909"/>
      <c r="B119" s="909" t="s">
        <v>4044</v>
      </c>
      <c r="C119" s="859">
        <f t="shared" si="2"/>
        <v>0</v>
      </c>
      <c r="D119" s="859">
        <f t="shared" si="2"/>
        <v>0</v>
      </c>
      <c r="E119" s="929"/>
      <c r="F119" s="909"/>
      <c r="G119" s="909"/>
      <c r="H119" s="909"/>
      <c r="I119" s="909"/>
      <c r="J119" s="929"/>
      <c r="K119" s="929"/>
      <c r="L119" s="951"/>
      <c r="M119" s="951"/>
      <c r="N119" s="951"/>
      <c r="O119" s="951"/>
      <c r="P119" s="951"/>
      <c r="Q119" s="951"/>
    </row>
    <row r="120" spans="1:17" x14ac:dyDescent="0.2">
      <c r="A120" s="909"/>
      <c r="B120" s="909" t="s">
        <v>4045</v>
      </c>
      <c r="C120" s="859">
        <f t="shared" si="2"/>
        <v>0</v>
      </c>
      <c r="D120" s="859">
        <f t="shared" si="2"/>
        <v>0</v>
      </c>
      <c r="E120" s="929"/>
      <c r="F120" s="909"/>
      <c r="G120" s="909"/>
      <c r="H120" s="909"/>
      <c r="I120" s="909"/>
      <c r="J120" s="929"/>
      <c r="K120" s="929"/>
      <c r="L120" s="951"/>
      <c r="M120" s="951"/>
      <c r="N120" s="951"/>
      <c r="O120" s="951"/>
      <c r="P120" s="951"/>
      <c r="Q120" s="951"/>
    </row>
    <row r="121" spans="1:17" x14ac:dyDescent="0.2">
      <c r="A121" s="909"/>
      <c r="B121" s="929" t="s">
        <v>3662</v>
      </c>
      <c r="C121" s="859">
        <f t="shared" si="2"/>
        <v>0</v>
      </c>
      <c r="D121" s="859">
        <f t="shared" si="2"/>
        <v>0</v>
      </c>
      <c r="E121" s="929"/>
      <c r="F121" s="909"/>
      <c r="G121" s="909"/>
      <c r="H121" s="909"/>
      <c r="I121" s="909"/>
      <c r="J121" s="929"/>
      <c r="K121" s="929"/>
      <c r="L121" s="951"/>
      <c r="M121" s="951"/>
      <c r="N121" s="951"/>
      <c r="O121" s="951"/>
      <c r="P121" s="951"/>
      <c r="Q121" s="951"/>
    </row>
    <row r="122" spans="1:17" x14ac:dyDescent="0.2">
      <c r="A122" s="909"/>
      <c r="B122" s="929" t="s">
        <v>3663</v>
      </c>
      <c r="C122" s="859">
        <f t="shared" si="2"/>
        <v>0</v>
      </c>
      <c r="D122" s="859">
        <f t="shared" si="2"/>
        <v>0</v>
      </c>
      <c r="E122" s="929"/>
      <c r="F122" s="909"/>
      <c r="G122" s="909"/>
      <c r="H122" s="909"/>
      <c r="I122" s="909"/>
      <c r="J122" s="929"/>
      <c r="K122" s="929"/>
      <c r="L122" s="951"/>
      <c r="M122" s="951"/>
      <c r="N122" s="951"/>
      <c r="O122" s="951"/>
      <c r="P122" s="951"/>
      <c r="Q122" s="951"/>
    </row>
    <row r="123" spans="1:17" x14ac:dyDescent="0.2">
      <c r="A123" s="909"/>
      <c r="B123" s="929" t="s">
        <v>3664</v>
      </c>
      <c r="C123" s="859">
        <f t="shared" si="2"/>
        <v>0</v>
      </c>
      <c r="D123" s="859">
        <f t="shared" si="2"/>
        <v>0</v>
      </c>
      <c r="E123" s="929"/>
      <c r="F123" s="909"/>
      <c r="G123" s="909"/>
      <c r="H123" s="909"/>
      <c r="I123" s="909"/>
      <c r="J123" s="929"/>
      <c r="K123" s="929"/>
      <c r="L123" s="951"/>
      <c r="M123" s="951"/>
      <c r="N123" s="951"/>
      <c r="O123" s="951"/>
      <c r="P123" s="951"/>
      <c r="Q123" s="951"/>
    </row>
    <row r="124" spans="1:17" x14ac:dyDescent="0.2">
      <c r="A124" s="909"/>
      <c r="B124" s="929" t="s">
        <v>3665</v>
      </c>
      <c r="C124" s="859">
        <f t="shared" si="2"/>
        <v>0</v>
      </c>
      <c r="D124" s="859">
        <f t="shared" si="2"/>
        <v>0</v>
      </c>
      <c r="E124" s="929"/>
      <c r="F124" s="909"/>
      <c r="G124" s="909"/>
      <c r="H124" s="909"/>
      <c r="I124" s="909"/>
      <c r="J124" s="929"/>
      <c r="K124" s="929"/>
      <c r="L124" s="951"/>
      <c r="M124" s="951"/>
      <c r="N124" s="951"/>
      <c r="O124" s="951"/>
      <c r="P124" s="951"/>
      <c r="Q124" s="951"/>
    </row>
    <row r="125" spans="1:17" x14ac:dyDescent="0.2">
      <c r="A125" s="909"/>
      <c r="B125" s="929" t="s">
        <v>3666</v>
      </c>
      <c r="C125" s="859">
        <f t="shared" si="2"/>
        <v>0</v>
      </c>
      <c r="D125" s="859">
        <f t="shared" si="2"/>
        <v>0</v>
      </c>
      <c r="E125" s="929"/>
      <c r="F125" s="909"/>
      <c r="G125" s="909"/>
      <c r="H125" s="909"/>
      <c r="I125" s="909"/>
      <c r="J125" s="929"/>
      <c r="K125" s="929"/>
      <c r="L125" s="951"/>
      <c r="M125" s="951"/>
      <c r="N125" s="951"/>
      <c r="O125" s="951"/>
      <c r="P125" s="951"/>
      <c r="Q125" s="951"/>
    </row>
    <row r="126" spans="1:17" x14ac:dyDescent="0.2">
      <c r="A126" s="909"/>
      <c r="B126" s="929" t="s">
        <v>3667</v>
      </c>
      <c r="C126" s="859">
        <f t="shared" si="2"/>
        <v>0</v>
      </c>
      <c r="D126" s="859">
        <f t="shared" si="2"/>
        <v>0</v>
      </c>
      <c r="E126" s="929"/>
      <c r="F126" s="909"/>
      <c r="G126" s="909"/>
      <c r="H126" s="909"/>
      <c r="I126" s="909"/>
      <c r="J126" s="929"/>
      <c r="K126" s="929"/>
      <c r="L126" s="951"/>
      <c r="M126" s="951"/>
      <c r="N126" s="951"/>
      <c r="O126" s="951"/>
      <c r="P126" s="951"/>
      <c r="Q126" s="951"/>
    </row>
    <row r="127" spans="1:17" x14ac:dyDescent="0.2">
      <c r="A127" s="909"/>
      <c r="B127" s="929" t="s">
        <v>4021</v>
      </c>
      <c r="C127" s="859">
        <f t="shared" si="2"/>
        <v>0</v>
      </c>
      <c r="D127" s="859">
        <f t="shared" si="2"/>
        <v>0</v>
      </c>
      <c r="E127" s="929"/>
      <c r="F127" s="909"/>
      <c r="G127" s="909"/>
      <c r="H127" s="909"/>
      <c r="I127" s="909"/>
      <c r="J127" s="929"/>
      <c r="K127" s="929"/>
      <c r="L127" s="951"/>
      <c r="M127" s="951"/>
      <c r="N127" s="951"/>
      <c r="O127" s="951"/>
      <c r="P127" s="951"/>
      <c r="Q127" s="951"/>
    </row>
    <row r="128" spans="1:17" x14ac:dyDescent="0.2">
      <c r="A128" s="909"/>
      <c r="B128" s="929" t="s">
        <v>3986</v>
      </c>
      <c r="C128" s="859">
        <f t="shared" si="2"/>
        <v>0</v>
      </c>
      <c r="D128" s="859">
        <f t="shared" si="2"/>
        <v>0</v>
      </c>
      <c r="E128" s="929"/>
      <c r="F128" s="909"/>
      <c r="G128" s="909"/>
      <c r="H128" s="909"/>
      <c r="I128" s="909"/>
      <c r="J128" s="929"/>
      <c r="K128" s="929"/>
      <c r="L128" s="951"/>
      <c r="M128" s="951"/>
      <c r="N128" s="951"/>
      <c r="O128" s="951"/>
      <c r="P128" s="951"/>
      <c r="Q128" s="951"/>
    </row>
    <row r="129" spans="1:17" x14ac:dyDescent="0.2">
      <c r="A129" s="909"/>
      <c r="B129" s="929" t="s">
        <v>3670</v>
      </c>
      <c r="C129" s="859">
        <f t="shared" ref="C129:D131" si="3">G182</f>
        <v>0</v>
      </c>
      <c r="D129" s="859">
        <f t="shared" si="3"/>
        <v>0</v>
      </c>
      <c r="E129" s="929"/>
      <c r="F129" s="909"/>
      <c r="G129" s="909"/>
      <c r="H129" s="909"/>
      <c r="I129" s="909"/>
      <c r="J129" s="929"/>
      <c r="K129" s="929"/>
      <c r="L129" s="951"/>
      <c r="M129" s="951"/>
      <c r="N129" s="951"/>
      <c r="O129" s="951"/>
      <c r="P129" s="951"/>
      <c r="Q129" s="951"/>
    </row>
    <row r="130" spans="1:17" x14ac:dyDescent="0.2">
      <c r="A130" s="909"/>
      <c r="B130" s="932" t="s">
        <v>3596</v>
      </c>
      <c r="C130" s="859">
        <f t="shared" si="3"/>
        <v>0</v>
      </c>
      <c r="D130" s="859">
        <f t="shared" si="3"/>
        <v>0</v>
      </c>
      <c r="E130" s="909"/>
      <c r="F130" s="909"/>
      <c r="G130" s="909"/>
      <c r="H130" s="909"/>
      <c r="I130" s="909"/>
      <c r="J130" s="929"/>
      <c r="K130" s="929"/>
      <c r="L130" s="951"/>
      <c r="M130" s="951"/>
      <c r="N130" s="951"/>
      <c r="O130" s="951"/>
      <c r="P130" s="951"/>
      <c r="Q130" s="951"/>
    </row>
    <row r="131" spans="1:17" x14ac:dyDescent="0.2">
      <c r="A131" s="909"/>
      <c r="B131" s="932" t="s">
        <v>3597</v>
      </c>
      <c r="C131" s="859">
        <f t="shared" si="3"/>
        <v>0</v>
      </c>
      <c r="D131" s="859">
        <f t="shared" si="3"/>
        <v>0</v>
      </c>
      <c r="E131" s="909"/>
      <c r="F131" s="909"/>
      <c r="G131" s="909"/>
      <c r="H131" s="909"/>
      <c r="I131" s="909"/>
      <c r="J131" s="929"/>
      <c r="K131" s="929"/>
      <c r="L131" s="951"/>
      <c r="M131" s="951"/>
      <c r="N131" s="951"/>
      <c r="O131" s="951"/>
      <c r="P131" s="951"/>
      <c r="Q131" s="951"/>
    </row>
    <row r="132" spans="1:17" x14ac:dyDescent="0.2">
      <c r="A132" s="909"/>
      <c r="B132" s="932" t="s">
        <v>3599</v>
      </c>
      <c r="C132" s="859">
        <f t="shared" ref="C132:D135" si="4">G185</f>
        <v>0</v>
      </c>
      <c r="D132" s="859">
        <f t="shared" si="4"/>
        <v>0</v>
      </c>
      <c r="E132" s="909"/>
      <c r="F132" s="909"/>
      <c r="G132" s="909"/>
      <c r="H132" s="909"/>
      <c r="I132" s="909"/>
      <c r="J132" s="929"/>
      <c r="K132" s="929"/>
      <c r="L132" s="951"/>
      <c r="M132" s="951"/>
      <c r="N132" s="951"/>
      <c r="O132" s="951"/>
      <c r="P132" s="951"/>
      <c r="Q132" s="951"/>
    </row>
    <row r="133" spans="1:17" x14ac:dyDescent="0.2">
      <c r="A133" s="909"/>
      <c r="B133" s="932" t="s">
        <v>3601</v>
      </c>
      <c r="C133" s="859">
        <f t="shared" si="4"/>
        <v>0</v>
      </c>
      <c r="D133" s="859">
        <f t="shared" si="4"/>
        <v>0</v>
      </c>
      <c r="E133" s="909"/>
      <c r="F133" s="909"/>
      <c r="G133" s="909"/>
      <c r="H133" s="909"/>
      <c r="I133" s="909"/>
      <c r="J133" s="929"/>
      <c r="K133" s="929"/>
      <c r="L133" s="951"/>
      <c r="M133" s="951"/>
      <c r="N133" s="951"/>
      <c r="O133" s="951"/>
      <c r="P133" s="951"/>
      <c r="Q133" s="951"/>
    </row>
    <row r="134" spans="1:17" x14ac:dyDescent="0.2">
      <c r="A134" s="909"/>
      <c r="B134" s="932" t="s">
        <v>4079</v>
      </c>
      <c r="C134" s="859">
        <f t="shared" si="4"/>
        <v>0</v>
      </c>
      <c r="D134" s="859">
        <f t="shared" si="4"/>
        <v>0</v>
      </c>
      <c r="E134" s="909"/>
      <c r="F134" s="909"/>
      <c r="G134" s="909"/>
      <c r="H134" s="909"/>
      <c r="I134" s="909"/>
      <c r="J134" s="929"/>
      <c r="K134" s="929"/>
      <c r="L134" s="951"/>
      <c r="M134" s="951"/>
      <c r="N134" s="951"/>
      <c r="O134" s="951"/>
      <c r="P134" s="951"/>
      <c r="Q134" s="951"/>
    </row>
    <row r="135" spans="1:17" ht="25.5" x14ac:dyDescent="0.2">
      <c r="A135" s="909"/>
      <c r="B135" s="932" t="s">
        <v>3676</v>
      </c>
      <c r="C135" s="859">
        <f t="shared" si="4"/>
        <v>0</v>
      </c>
      <c r="D135" s="859">
        <f t="shared" si="4"/>
        <v>0</v>
      </c>
      <c r="E135" s="909"/>
      <c r="F135" s="909"/>
      <c r="G135" s="909"/>
      <c r="H135" s="909"/>
      <c r="I135" s="909"/>
      <c r="J135" s="929"/>
      <c r="K135" s="929"/>
      <c r="L135" s="951"/>
      <c r="M135" s="951"/>
      <c r="N135" s="951"/>
      <c r="O135" s="951"/>
      <c r="P135" s="951"/>
      <c r="Q135" s="951"/>
    </row>
    <row r="136" spans="1:17" ht="25.5" x14ac:dyDescent="0.2">
      <c r="A136" s="909"/>
      <c r="B136" s="1168" t="s">
        <v>4096</v>
      </c>
      <c r="C136" s="859"/>
      <c r="D136" s="859">
        <f>D189</f>
        <v>0</v>
      </c>
      <c r="E136" s="909"/>
      <c r="F136" s="909"/>
      <c r="G136" s="909"/>
      <c r="H136" s="909"/>
      <c r="I136" s="909"/>
      <c r="J136" s="929"/>
      <c r="K136" s="929"/>
      <c r="L136" s="951"/>
      <c r="M136" s="951"/>
      <c r="N136" s="951"/>
      <c r="O136" s="951"/>
      <c r="P136" s="951"/>
      <c r="Q136" s="951"/>
    </row>
    <row r="137" spans="1:17" x14ac:dyDescent="0.2">
      <c r="A137" s="909"/>
      <c r="B137" s="1168" t="s">
        <v>4097</v>
      </c>
      <c r="C137" s="859"/>
      <c r="D137" s="859">
        <f t="shared" ref="D137:D144" si="5">D190</f>
        <v>0</v>
      </c>
      <c r="E137" s="909"/>
      <c r="F137" s="909"/>
      <c r="G137" s="909"/>
      <c r="H137" s="909"/>
      <c r="I137" s="909"/>
      <c r="J137" s="929"/>
      <c r="K137" s="929"/>
      <c r="L137" s="951"/>
      <c r="M137" s="951"/>
      <c r="N137" s="951"/>
      <c r="O137" s="951"/>
      <c r="P137" s="951"/>
      <c r="Q137" s="951"/>
    </row>
    <row r="138" spans="1:17" x14ac:dyDescent="0.2">
      <c r="A138" s="909"/>
      <c r="B138" s="1168" t="s">
        <v>4098</v>
      </c>
      <c r="C138" s="859"/>
      <c r="D138" s="859">
        <f t="shared" si="5"/>
        <v>0</v>
      </c>
      <c r="E138" s="909"/>
      <c r="F138" s="909"/>
      <c r="G138" s="909"/>
      <c r="H138" s="909"/>
      <c r="I138" s="909"/>
      <c r="J138" s="929"/>
      <c r="K138" s="929"/>
      <c r="L138" s="951"/>
      <c r="M138" s="951"/>
      <c r="N138" s="951"/>
      <c r="O138" s="951"/>
      <c r="P138" s="951"/>
      <c r="Q138" s="951"/>
    </row>
    <row r="139" spans="1:17" ht="25.5" x14ac:dyDescent="0.2">
      <c r="A139" s="909"/>
      <c r="B139" s="1168" t="s">
        <v>4099</v>
      </c>
      <c r="C139" s="859"/>
      <c r="D139" s="859">
        <f t="shared" si="5"/>
        <v>0</v>
      </c>
      <c r="E139" s="909"/>
      <c r="F139" s="909"/>
      <c r="G139" s="909"/>
      <c r="H139" s="909"/>
      <c r="I139" s="909"/>
      <c r="J139" s="929"/>
      <c r="K139" s="929"/>
      <c r="L139" s="951"/>
      <c r="M139" s="951"/>
      <c r="N139" s="951"/>
      <c r="O139" s="951"/>
      <c r="P139" s="951"/>
      <c r="Q139" s="951"/>
    </row>
    <row r="140" spans="1:17" ht="25.5" x14ac:dyDescent="0.2">
      <c r="A140" s="909"/>
      <c r="B140" s="1168" t="s">
        <v>4100</v>
      </c>
      <c r="C140" s="859"/>
      <c r="D140" s="859">
        <f t="shared" si="5"/>
        <v>0</v>
      </c>
      <c r="E140" s="909"/>
      <c r="F140" s="909"/>
      <c r="G140" s="909"/>
      <c r="H140" s="909"/>
      <c r="I140" s="909"/>
      <c r="J140" s="929"/>
      <c r="K140" s="929"/>
      <c r="L140" s="951"/>
      <c r="M140" s="951"/>
      <c r="N140" s="951"/>
      <c r="O140" s="951"/>
      <c r="P140" s="951"/>
      <c r="Q140" s="951"/>
    </row>
    <row r="141" spans="1:17" x14ac:dyDescent="0.2">
      <c r="A141" s="909"/>
      <c r="B141" s="1168" t="s">
        <v>4101</v>
      </c>
      <c r="C141" s="859"/>
      <c r="D141" s="859">
        <f t="shared" si="5"/>
        <v>0</v>
      </c>
      <c r="E141" s="909"/>
      <c r="F141" s="909"/>
      <c r="G141" s="909"/>
      <c r="H141" s="909"/>
      <c r="I141" s="909"/>
      <c r="J141" s="929"/>
      <c r="K141" s="929"/>
      <c r="L141" s="951"/>
      <c r="M141" s="951"/>
      <c r="N141" s="951"/>
      <c r="O141" s="951"/>
      <c r="P141" s="951"/>
      <c r="Q141" s="951"/>
    </row>
    <row r="142" spans="1:17" ht="25.5" x14ac:dyDescent="0.2">
      <c r="A142" s="909"/>
      <c r="B142" s="1168" t="s">
        <v>4102</v>
      </c>
      <c r="C142" s="859"/>
      <c r="D142" s="859">
        <f t="shared" si="5"/>
        <v>0</v>
      </c>
      <c r="E142" s="909"/>
      <c r="F142" s="909"/>
      <c r="G142" s="909"/>
      <c r="H142" s="909"/>
      <c r="I142" s="909"/>
      <c r="J142" s="929"/>
      <c r="K142" s="929"/>
      <c r="L142" s="951"/>
      <c r="M142" s="951"/>
      <c r="N142" s="951"/>
      <c r="O142" s="951"/>
      <c r="P142" s="951"/>
      <c r="Q142" s="951"/>
    </row>
    <row r="143" spans="1:17" x14ac:dyDescent="0.2">
      <c r="A143" s="909"/>
      <c r="B143" s="1168" t="s">
        <v>4103</v>
      </c>
      <c r="C143" s="859"/>
      <c r="D143" s="859">
        <f t="shared" si="5"/>
        <v>0</v>
      </c>
      <c r="E143" s="909"/>
      <c r="F143" s="909"/>
      <c r="G143" s="909"/>
      <c r="H143" s="909"/>
      <c r="I143" s="909"/>
      <c r="J143" s="929"/>
      <c r="K143" s="929"/>
      <c r="L143" s="951"/>
      <c r="M143" s="951"/>
      <c r="N143" s="951"/>
      <c r="O143" s="951"/>
      <c r="P143" s="951"/>
      <c r="Q143" s="951"/>
    </row>
    <row r="144" spans="1:17" x14ac:dyDescent="0.2">
      <c r="A144" s="909"/>
      <c r="B144" s="1168" t="s">
        <v>4104</v>
      </c>
      <c r="C144" s="859"/>
      <c r="D144" s="859">
        <f t="shared" si="5"/>
        <v>0</v>
      </c>
      <c r="E144" s="909"/>
      <c r="F144" s="909"/>
      <c r="G144" s="909"/>
      <c r="H144" s="909"/>
      <c r="I144" s="909"/>
      <c r="J144" s="929"/>
      <c r="K144" s="929"/>
      <c r="L144" s="951"/>
      <c r="M144" s="951"/>
      <c r="N144" s="951"/>
      <c r="O144" s="951"/>
      <c r="P144" s="951"/>
      <c r="Q144" s="951"/>
    </row>
    <row r="145" spans="1:17" x14ac:dyDescent="0.2">
      <c r="A145" s="909"/>
      <c r="B145" s="932"/>
      <c r="C145" s="859"/>
      <c r="D145" s="859"/>
      <c r="E145" s="909"/>
      <c r="F145" s="909"/>
      <c r="G145" s="909"/>
      <c r="H145" s="909"/>
      <c r="I145" s="909"/>
      <c r="J145" s="929"/>
      <c r="K145" s="929"/>
      <c r="L145" s="951"/>
      <c r="M145" s="951"/>
      <c r="N145" s="951"/>
      <c r="O145" s="951"/>
      <c r="P145" s="951"/>
      <c r="Q145" s="951"/>
    </row>
    <row r="146" spans="1:17" ht="13.5" thickBot="1" x14ac:dyDescent="0.25">
      <c r="A146" s="909"/>
      <c r="B146" s="932"/>
      <c r="C146" s="861">
        <f>SUM(C101:C145)</f>
        <v>0</v>
      </c>
      <c r="D146" s="861">
        <f>SUM(D101:D145)</f>
        <v>0</v>
      </c>
      <c r="E146" s="909"/>
      <c r="F146" s="909"/>
      <c r="G146" s="909"/>
      <c r="H146" s="909"/>
      <c r="I146" s="909"/>
      <c r="J146" s="929"/>
      <c r="K146" s="929"/>
      <c r="L146" s="951"/>
      <c r="M146" s="951"/>
      <c r="N146" s="951"/>
      <c r="O146" s="951"/>
      <c r="P146" s="951"/>
      <c r="Q146" s="951"/>
    </row>
    <row r="147" spans="1:17" ht="13.5" thickTop="1" x14ac:dyDescent="0.2">
      <c r="A147" s="909"/>
      <c r="B147" s="909"/>
      <c r="C147" s="909"/>
      <c r="D147" s="909"/>
      <c r="E147" s="909"/>
      <c r="F147" s="909"/>
      <c r="G147" s="909"/>
      <c r="H147" s="909"/>
      <c r="I147" s="909"/>
      <c r="J147" s="929"/>
      <c r="K147" s="929"/>
      <c r="L147" s="951"/>
      <c r="M147" s="951"/>
      <c r="N147" s="951"/>
      <c r="O147" s="951"/>
      <c r="P147" s="951"/>
      <c r="Q147" s="951"/>
    </row>
    <row r="148" spans="1:17" x14ac:dyDescent="0.2">
      <c r="A148" s="909"/>
      <c r="B148" s="909"/>
      <c r="C148" s="909"/>
      <c r="D148" s="909"/>
      <c r="E148" s="909"/>
      <c r="F148" s="909"/>
      <c r="G148" s="909"/>
      <c r="H148" s="909"/>
      <c r="I148" s="909"/>
      <c r="J148" s="929"/>
      <c r="K148" s="929"/>
      <c r="L148" s="951"/>
      <c r="M148" s="951"/>
      <c r="N148" s="951"/>
      <c r="O148" s="951"/>
      <c r="P148" s="951"/>
      <c r="Q148" s="951"/>
    </row>
    <row r="149" spans="1:17" ht="23.25" customHeight="1" x14ac:dyDescent="0.2">
      <c r="A149" s="909"/>
      <c r="B149" s="933" t="s">
        <v>3638</v>
      </c>
      <c r="C149" s="933"/>
      <c r="D149" s="933"/>
      <c r="E149" s="933"/>
      <c r="F149" s="933"/>
      <c r="G149" s="933"/>
      <c r="H149" s="933"/>
      <c r="I149" s="909"/>
      <c r="J149" s="929"/>
      <c r="K149" s="929"/>
      <c r="L149" s="951"/>
      <c r="M149" s="951"/>
      <c r="N149" s="951"/>
      <c r="O149" s="951"/>
      <c r="P149" s="951"/>
      <c r="Q149" s="951"/>
    </row>
    <row r="150" spans="1:17" s="951" customFormat="1" ht="12.75" customHeight="1" x14ac:dyDescent="0.2">
      <c r="A150" s="929"/>
      <c r="B150" s="934"/>
      <c r="C150" s="934"/>
      <c r="D150" s="934"/>
      <c r="E150" s="934"/>
      <c r="F150" s="934"/>
      <c r="G150" s="934"/>
      <c r="H150" s="934"/>
      <c r="I150" s="929"/>
      <c r="J150" s="929"/>
      <c r="K150" s="1142"/>
    </row>
    <row r="151" spans="1:17" ht="18" x14ac:dyDescent="0.2">
      <c r="A151" s="909"/>
      <c r="C151" s="935"/>
      <c r="D151" s="936"/>
      <c r="E151" s="937"/>
      <c r="F151" s="934"/>
      <c r="G151" s="1655" t="s">
        <v>923</v>
      </c>
      <c r="H151" s="1656"/>
      <c r="I151" s="909"/>
      <c r="J151" s="929"/>
      <c r="K151" s="929"/>
      <c r="L151" s="951"/>
      <c r="M151" s="951"/>
      <c r="N151" s="951"/>
      <c r="O151" s="951"/>
      <c r="P151" s="951"/>
      <c r="Q151" s="951"/>
    </row>
    <row r="152" spans="1:17" x14ac:dyDescent="0.2">
      <c r="A152" s="909"/>
      <c r="B152" s="938"/>
      <c r="C152" s="767"/>
      <c r="D152" s="906"/>
      <c r="E152" s="939"/>
      <c r="F152" s="940"/>
      <c r="G152" s="941"/>
      <c r="H152" s="942"/>
      <c r="I152" s="909"/>
      <c r="J152" s="929"/>
      <c r="K152" s="929"/>
      <c r="L152" s="951"/>
      <c r="M152" s="951"/>
      <c r="N152" s="951"/>
      <c r="O152" s="951"/>
      <c r="P152" s="951"/>
      <c r="Q152" s="951"/>
    </row>
    <row r="153" spans="1:17" x14ac:dyDescent="0.2">
      <c r="A153" s="909"/>
      <c r="B153" s="938"/>
      <c r="C153" s="715" t="s">
        <v>517</v>
      </c>
      <c r="D153" s="907" t="s">
        <v>518</v>
      </c>
      <c r="E153" s="943" t="s">
        <v>2097</v>
      </c>
      <c r="F153" s="940"/>
      <c r="G153" s="944" t="s">
        <v>517</v>
      </c>
      <c r="H153" s="945" t="s">
        <v>518</v>
      </c>
      <c r="I153" s="909"/>
      <c r="J153" s="929"/>
      <c r="K153" s="929"/>
      <c r="L153" s="951"/>
      <c r="M153" s="951"/>
      <c r="N153" s="951"/>
      <c r="O153" s="951"/>
      <c r="P153" s="951"/>
      <c r="Q153" s="951"/>
    </row>
    <row r="154" spans="1:17" hidden="1" x14ac:dyDescent="0.2">
      <c r="A154" s="909"/>
      <c r="B154" s="953" t="s">
        <v>1117</v>
      </c>
      <c r="C154" s="771"/>
      <c r="D154" s="853"/>
      <c r="E154" s="870"/>
      <c r="F154" s="909"/>
      <c r="G154" s="871"/>
      <c r="H154" s="770"/>
      <c r="I154" s="909"/>
      <c r="J154" s="929"/>
      <c r="K154" s="929"/>
      <c r="L154" s="951"/>
      <c r="M154" s="951"/>
      <c r="N154" s="951"/>
      <c r="O154" s="951"/>
      <c r="P154" s="951"/>
      <c r="Q154" s="951"/>
    </row>
    <row r="155" spans="1:17" x14ac:dyDescent="0.2">
      <c r="A155" s="909"/>
      <c r="B155" s="932" t="s">
        <v>4094</v>
      </c>
      <c r="C155" s="771">
        <f>IF(D32-D31&lt;0,-(D32-D31)*D11,0)</f>
        <v>0</v>
      </c>
      <c r="D155" s="853">
        <f>IF(D32-D31&gt;0,(D32-D31)*D11,0)</f>
        <v>0</v>
      </c>
      <c r="E155" s="870">
        <f t="shared" ref="E155:E189" si="6">C155-D155</f>
        <v>0</v>
      </c>
      <c r="F155" s="909"/>
      <c r="G155" s="871">
        <f t="shared" ref="G155:G182" si="7">IF(E155&lt;0,0,E155)</f>
        <v>0</v>
      </c>
      <c r="H155" s="770">
        <f>IF(E155&gt;0,0,E155*-1)</f>
        <v>0</v>
      </c>
      <c r="I155" s="909"/>
      <c r="J155" s="1003"/>
      <c r="K155" s="929"/>
      <c r="L155" s="951"/>
      <c r="M155" s="951"/>
      <c r="N155" s="951"/>
      <c r="O155" s="951"/>
      <c r="P155" s="951"/>
      <c r="Q155" s="951"/>
    </row>
    <row r="156" spans="1:17" x14ac:dyDescent="0.2">
      <c r="A156" s="909"/>
      <c r="B156" s="932" t="s">
        <v>4022</v>
      </c>
      <c r="C156" s="771">
        <f t="shared" ref="C156:C164" si="8">IF($D$34&gt;0,$D$34*D16,0)</f>
        <v>0</v>
      </c>
      <c r="D156" s="853">
        <f t="shared" ref="D156:D164" si="9">IF($D$34&lt;0,-$D$34*D16,0)</f>
        <v>0</v>
      </c>
      <c r="E156" s="870">
        <f t="shared" si="6"/>
        <v>0</v>
      </c>
      <c r="F156" s="909"/>
      <c r="G156" s="871">
        <f t="shared" si="7"/>
        <v>0</v>
      </c>
      <c r="H156" s="770">
        <f>IF(E156&gt;0,0,E156*-1)</f>
        <v>0</v>
      </c>
      <c r="I156" s="995"/>
      <c r="J156" s="929"/>
      <c r="K156" s="929"/>
      <c r="L156" s="951"/>
      <c r="M156" s="951"/>
      <c r="N156" s="951"/>
      <c r="O156" s="951"/>
      <c r="P156" s="951"/>
      <c r="Q156" s="951"/>
    </row>
    <row r="157" spans="1:17" x14ac:dyDescent="0.2">
      <c r="A157" s="909"/>
      <c r="B157" s="932" t="s">
        <v>3973</v>
      </c>
      <c r="C157" s="771">
        <f t="shared" si="8"/>
        <v>0</v>
      </c>
      <c r="D157" s="853">
        <f t="shared" si="9"/>
        <v>0</v>
      </c>
      <c r="E157" s="870">
        <f t="shared" si="6"/>
        <v>0</v>
      </c>
      <c r="F157" s="909"/>
      <c r="G157" s="871">
        <f t="shared" si="7"/>
        <v>0</v>
      </c>
      <c r="H157" s="770">
        <f t="shared" ref="H157:H164" si="10">IF(E157&gt;0,0,E157*-1)</f>
        <v>0</v>
      </c>
      <c r="I157" s="909"/>
      <c r="J157" s="929"/>
      <c r="K157" s="929"/>
      <c r="L157" s="951"/>
      <c r="M157" s="951"/>
      <c r="N157" s="951"/>
      <c r="O157" s="951"/>
      <c r="P157" s="951"/>
      <c r="Q157" s="951"/>
    </row>
    <row r="158" spans="1:17" x14ac:dyDescent="0.2">
      <c r="A158" s="909"/>
      <c r="B158" s="932" t="s">
        <v>3974</v>
      </c>
      <c r="C158" s="771">
        <f t="shared" si="8"/>
        <v>0</v>
      </c>
      <c r="D158" s="853">
        <f t="shared" si="9"/>
        <v>0</v>
      </c>
      <c r="E158" s="870">
        <f t="shared" si="6"/>
        <v>0</v>
      </c>
      <c r="F158" s="909"/>
      <c r="G158" s="871">
        <f t="shared" si="7"/>
        <v>0</v>
      </c>
      <c r="H158" s="770">
        <f t="shared" si="10"/>
        <v>0</v>
      </c>
      <c r="I158" s="909"/>
      <c r="J158" s="929"/>
      <c r="K158" s="929"/>
      <c r="L158" s="951"/>
      <c r="M158" s="951"/>
      <c r="N158" s="951"/>
      <c r="O158" s="951"/>
      <c r="P158" s="951"/>
      <c r="Q158" s="951"/>
    </row>
    <row r="159" spans="1:17" x14ac:dyDescent="0.2">
      <c r="A159" s="909"/>
      <c r="B159" s="932" t="s">
        <v>3975</v>
      </c>
      <c r="C159" s="771">
        <f t="shared" si="8"/>
        <v>0</v>
      </c>
      <c r="D159" s="853">
        <f t="shared" si="9"/>
        <v>0</v>
      </c>
      <c r="E159" s="870">
        <f t="shared" si="6"/>
        <v>0</v>
      </c>
      <c r="F159" s="909"/>
      <c r="G159" s="871">
        <f t="shared" si="7"/>
        <v>0</v>
      </c>
      <c r="H159" s="770">
        <f t="shared" si="10"/>
        <v>0</v>
      </c>
      <c r="I159" s="909"/>
      <c r="J159" s="929"/>
      <c r="K159" s="929"/>
      <c r="L159" s="951"/>
      <c r="M159" s="951"/>
      <c r="N159" s="951"/>
      <c r="O159" s="951"/>
      <c r="P159" s="951"/>
      <c r="Q159" s="951"/>
    </row>
    <row r="160" spans="1:17" x14ac:dyDescent="0.2">
      <c r="A160" s="909"/>
      <c r="B160" s="932" t="s">
        <v>3976</v>
      </c>
      <c r="C160" s="771">
        <f t="shared" si="8"/>
        <v>0</v>
      </c>
      <c r="D160" s="853">
        <f t="shared" si="9"/>
        <v>0</v>
      </c>
      <c r="E160" s="870">
        <f t="shared" si="6"/>
        <v>0</v>
      </c>
      <c r="F160" s="909"/>
      <c r="G160" s="871">
        <f t="shared" si="7"/>
        <v>0</v>
      </c>
      <c r="H160" s="770">
        <f t="shared" si="10"/>
        <v>0</v>
      </c>
      <c r="I160" s="909"/>
      <c r="J160" s="929"/>
      <c r="K160" s="929"/>
      <c r="L160" s="951"/>
      <c r="M160" s="951"/>
      <c r="N160" s="951"/>
      <c r="O160" s="951"/>
      <c r="P160" s="951"/>
      <c r="Q160" s="951"/>
    </row>
    <row r="161" spans="1:17" x14ac:dyDescent="0.2">
      <c r="A161" s="909"/>
      <c r="B161" s="932" t="s">
        <v>4020</v>
      </c>
      <c r="C161" s="771">
        <f t="shared" si="8"/>
        <v>0</v>
      </c>
      <c r="D161" s="853">
        <f t="shared" si="9"/>
        <v>0</v>
      </c>
      <c r="E161" s="870">
        <f t="shared" si="6"/>
        <v>0</v>
      </c>
      <c r="F161" s="909"/>
      <c r="G161" s="871">
        <f t="shared" si="7"/>
        <v>0</v>
      </c>
      <c r="H161" s="770">
        <f t="shared" si="10"/>
        <v>0</v>
      </c>
      <c r="I161" s="909"/>
      <c r="J161" s="929"/>
      <c r="K161" s="929"/>
      <c r="L161" s="951"/>
      <c r="M161" s="951"/>
      <c r="N161" s="951"/>
      <c r="O161" s="951"/>
      <c r="P161" s="951"/>
      <c r="Q161" s="951"/>
    </row>
    <row r="162" spans="1:17" x14ac:dyDescent="0.2">
      <c r="A162" s="909"/>
      <c r="B162" s="932" t="s">
        <v>3977</v>
      </c>
      <c r="C162" s="771">
        <f t="shared" si="8"/>
        <v>0</v>
      </c>
      <c r="D162" s="853">
        <f t="shared" si="9"/>
        <v>0</v>
      </c>
      <c r="E162" s="870">
        <f t="shared" si="6"/>
        <v>0</v>
      </c>
      <c r="F162" s="909"/>
      <c r="G162" s="871">
        <f t="shared" si="7"/>
        <v>0</v>
      </c>
      <c r="H162" s="770">
        <f t="shared" si="10"/>
        <v>0</v>
      </c>
      <c r="I162" s="909"/>
      <c r="J162" s="929"/>
      <c r="K162" s="929"/>
      <c r="L162" s="951"/>
      <c r="M162" s="951"/>
      <c r="N162" s="951"/>
      <c r="O162" s="951"/>
      <c r="P162" s="951"/>
      <c r="Q162" s="951"/>
    </row>
    <row r="163" spans="1:17" x14ac:dyDescent="0.2">
      <c r="A163" s="909"/>
      <c r="B163" s="932" t="s">
        <v>3978</v>
      </c>
      <c r="C163" s="771">
        <f t="shared" si="8"/>
        <v>0</v>
      </c>
      <c r="D163" s="853">
        <f t="shared" si="9"/>
        <v>0</v>
      </c>
      <c r="E163" s="870">
        <f t="shared" si="6"/>
        <v>0</v>
      </c>
      <c r="F163" s="909"/>
      <c r="G163" s="871">
        <f t="shared" si="7"/>
        <v>0</v>
      </c>
      <c r="H163" s="770">
        <f t="shared" si="10"/>
        <v>0</v>
      </c>
      <c r="I163" s="909"/>
      <c r="J163" s="929"/>
      <c r="K163" s="929"/>
      <c r="L163" s="951"/>
      <c r="M163" s="951"/>
      <c r="N163" s="951"/>
      <c r="O163" s="951"/>
      <c r="P163" s="951"/>
      <c r="Q163" s="951"/>
    </row>
    <row r="164" spans="1:17" x14ac:dyDescent="0.2">
      <c r="A164" s="909"/>
      <c r="B164" s="932" t="s">
        <v>3979</v>
      </c>
      <c r="C164" s="771">
        <f t="shared" si="8"/>
        <v>0</v>
      </c>
      <c r="D164" s="853">
        <f t="shared" si="9"/>
        <v>0</v>
      </c>
      <c r="E164" s="870">
        <f t="shared" si="6"/>
        <v>0</v>
      </c>
      <c r="F164" s="909"/>
      <c r="G164" s="871">
        <f t="shared" si="7"/>
        <v>0</v>
      </c>
      <c r="H164" s="770">
        <f t="shared" si="10"/>
        <v>0</v>
      </c>
      <c r="I164" s="909"/>
      <c r="J164" s="929"/>
      <c r="K164" s="929"/>
      <c r="L164" s="951"/>
      <c r="M164" s="951"/>
      <c r="N164" s="951"/>
      <c r="O164" s="951"/>
      <c r="P164" s="951"/>
      <c r="Q164" s="951"/>
    </row>
    <row r="165" spans="1:17" x14ac:dyDescent="0.2">
      <c r="A165" s="909"/>
      <c r="B165" s="929" t="s">
        <v>4037</v>
      </c>
      <c r="C165" s="771">
        <f t="shared" ref="C165:C173" si="11">IF($D$44&lt;0,-$D$44*D16,0)</f>
        <v>0</v>
      </c>
      <c r="D165" s="853">
        <f t="shared" ref="D165:D173" si="12">IF($D$44&gt;0,$D$44*$D16,0)</f>
        <v>0</v>
      </c>
      <c r="E165" s="870">
        <f t="shared" si="6"/>
        <v>0</v>
      </c>
      <c r="F165" s="909"/>
      <c r="G165" s="871">
        <f t="shared" si="7"/>
        <v>0</v>
      </c>
      <c r="H165" s="853">
        <f>IF(E165&gt;0,0,-E165)</f>
        <v>0</v>
      </c>
      <c r="I165" s="909"/>
      <c r="J165" s="929"/>
      <c r="K165" s="929"/>
      <c r="L165" s="951"/>
      <c r="M165" s="951"/>
      <c r="N165" s="951"/>
      <c r="O165" s="951"/>
      <c r="P165" s="951"/>
      <c r="Q165" s="951"/>
    </row>
    <row r="166" spans="1:17" x14ac:dyDescent="0.2">
      <c r="A166" s="909"/>
      <c r="B166" s="909" t="s">
        <v>4038</v>
      </c>
      <c r="C166" s="771">
        <f t="shared" si="11"/>
        <v>0</v>
      </c>
      <c r="D166" s="853">
        <f t="shared" si="12"/>
        <v>0</v>
      </c>
      <c r="E166" s="870">
        <f t="shared" si="6"/>
        <v>0</v>
      </c>
      <c r="F166" s="909"/>
      <c r="G166" s="871">
        <f t="shared" si="7"/>
        <v>0</v>
      </c>
      <c r="H166" s="853">
        <f t="shared" ref="H166:H188" si="13">IF(E166&gt;0,0,-E166)</f>
        <v>0</v>
      </c>
      <c r="I166" s="909"/>
      <c r="J166" s="929"/>
      <c r="K166" s="929"/>
      <c r="L166" s="951"/>
      <c r="M166" s="951"/>
      <c r="N166" s="951"/>
      <c r="O166" s="951"/>
      <c r="P166" s="951"/>
      <c r="Q166" s="951"/>
    </row>
    <row r="167" spans="1:17" x14ac:dyDescent="0.2">
      <c r="A167" s="909"/>
      <c r="B167" s="909" t="s">
        <v>4039</v>
      </c>
      <c r="C167" s="771">
        <f t="shared" si="11"/>
        <v>0</v>
      </c>
      <c r="D167" s="853">
        <f t="shared" si="12"/>
        <v>0</v>
      </c>
      <c r="E167" s="870">
        <f t="shared" si="6"/>
        <v>0</v>
      </c>
      <c r="F167" s="909"/>
      <c r="G167" s="871">
        <f t="shared" si="7"/>
        <v>0</v>
      </c>
      <c r="H167" s="853">
        <f t="shared" si="13"/>
        <v>0</v>
      </c>
      <c r="I167" s="909"/>
      <c r="J167" s="929"/>
      <c r="K167" s="929"/>
      <c r="L167" s="951"/>
      <c r="M167" s="951"/>
      <c r="N167" s="951"/>
      <c r="O167" s="951"/>
      <c r="P167" s="951"/>
      <c r="Q167" s="951"/>
    </row>
    <row r="168" spans="1:17" x14ac:dyDescent="0.2">
      <c r="A168" s="909"/>
      <c r="B168" s="909" t="s">
        <v>4040</v>
      </c>
      <c r="C168" s="771">
        <f t="shared" si="11"/>
        <v>0</v>
      </c>
      <c r="D168" s="853">
        <f t="shared" si="12"/>
        <v>0</v>
      </c>
      <c r="E168" s="870">
        <f t="shared" si="6"/>
        <v>0</v>
      </c>
      <c r="F168" s="909"/>
      <c r="G168" s="871">
        <f t="shared" si="7"/>
        <v>0</v>
      </c>
      <c r="H168" s="853">
        <f t="shared" si="13"/>
        <v>0</v>
      </c>
      <c r="I168" s="909"/>
      <c r="J168" s="929"/>
      <c r="K168" s="929"/>
      <c r="L168" s="951"/>
      <c r="M168" s="951"/>
      <c r="N168" s="951"/>
      <c r="O168" s="951"/>
      <c r="P168" s="951"/>
      <c r="Q168" s="951"/>
    </row>
    <row r="169" spans="1:17" x14ac:dyDescent="0.2">
      <c r="A169" s="909"/>
      <c r="B169" s="909" t="s">
        <v>4041</v>
      </c>
      <c r="C169" s="771">
        <f t="shared" si="11"/>
        <v>0</v>
      </c>
      <c r="D169" s="853">
        <f t="shared" si="12"/>
        <v>0</v>
      </c>
      <c r="E169" s="870">
        <f t="shared" si="6"/>
        <v>0</v>
      </c>
      <c r="F169" s="909"/>
      <c r="G169" s="871">
        <f t="shared" si="7"/>
        <v>0</v>
      </c>
      <c r="H169" s="853">
        <f t="shared" si="13"/>
        <v>0</v>
      </c>
      <c r="I169" s="909"/>
      <c r="J169" s="929"/>
      <c r="K169" s="929"/>
      <c r="L169" s="951"/>
      <c r="M169" s="951"/>
      <c r="N169" s="951"/>
      <c r="O169" s="951"/>
      <c r="P169" s="951"/>
      <c r="Q169" s="951"/>
    </row>
    <row r="170" spans="1:17" x14ac:dyDescent="0.2">
      <c r="A170" s="909"/>
      <c r="B170" s="909" t="s">
        <v>4042</v>
      </c>
      <c r="C170" s="771">
        <f t="shared" si="11"/>
        <v>0</v>
      </c>
      <c r="D170" s="853">
        <f t="shared" si="12"/>
        <v>0</v>
      </c>
      <c r="E170" s="870">
        <f t="shared" si="6"/>
        <v>0</v>
      </c>
      <c r="F170" s="909"/>
      <c r="G170" s="871">
        <f t="shared" si="7"/>
        <v>0</v>
      </c>
      <c r="H170" s="853">
        <f t="shared" si="13"/>
        <v>0</v>
      </c>
      <c r="I170" s="909"/>
      <c r="J170" s="929"/>
      <c r="K170" s="929"/>
      <c r="L170" s="951"/>
      <c r="M170" s="951"/>
      <c r="N170" s="951"/>
      <c r="O170" s="951"/>
      <c r="P170" s="951"/>
      <c r="Q170" s="951"/>
    </row>
    <row r="171" spans="1:17" x14ac:dyDescent="0.2">
      <c r="A171" s="909"/>
      <c r="B171" s="909" t="s">
        <v>4043</v>
      </c>
      <c r="C171" s="771">
        <f t="shared" si="11"/>
        <v>0</v>
      </c>
      <c r="D171" s="853">
        <f t="shared" si="12"/>
        <v>0</v>
      </c>
      <c r="E171" s="870">
        <f t="shared" si="6"/>
        <v>0</v>
      </c>
      <c r="F171" s="909"/>
      <c r="G171" s="871">
        <f t="shared" si="7"/>
        <v>0</v>
      </c>
      <c r="H171" s="853">
        <f t="shared" si="13"/>
        <v>0</v>
      </c>
      <c r="I171" s="909"/>
      <c r="J171" s="929"/>
      <c r="K171" s="929"/>
      <c r="L171" s="951"/>
      <c r="M171" s="951"/>
      <c r="N171" s="951"/>
      <c r="O171" s="951"/>
      <c r="P171" s="951"/>
      <c r="Q171" s="951"/>
    </row>
    <row r="172" spans="1:17" x14ac:dyDescent="0.2">
      <c r="A172" s="909"/>
      <c r="B172" s="909" t="s">
        <v>4044</v>
      </c>
      <c r="C172" s="771">
        <f t="shared" si="11"/>
        <v>0</v>
      </c>
      <c r="D172" s="853">
        <f t="shared" si="12"/>
        <v>0</v>
      </c>
      <c r="E172" s="870">
        <f t="shared" si="6"/>
        <v>0</v>
      </c>
      <c r="F172" s="909"/>
      <c r="G172" s="871">
        <f t="shared" si="7"/>
        <v>0</v>
      </c>
      <c r="H172" s="853">
        <f t="shared" si="13"/>
        <v>0</v>
      </c>
      <c r="I172" s="909"/>
      <c r="J172" s="929"/>
      <c r="K172" s="929"/>
      <c r="L172" s="951"/>
      <c r="M172" s="951"/>
      <c r="N172" s="951"/>
      <c r="O172" s="951"/>
      <c r="P172" s="951"/>
      <c r="Q172" s="951"/>
    </row>
    <row r="173" spans="1:17" x14ac:dyDescent="0.2">
      <c r="A173" s="909"/>
      <c r="B173" s="909" t="s">
        <v>4045</v>
      </c>
      <c r="C173" s="771">
        <f t="shared" si="11"/>
        <v>0</v>
      </c>
      <c r="D173" s="853">
        <f t="shared" si="12"/>
        <v>0</v>
      </c>
      <c r="E173" s="870">
        <f t="shared" si="6"/>
        <v>0</v>
      </c>
      <c r="F173" s="909"/>
      <c r="G173" s="871">
        <f t="shared" si="7"/>
        <v>0</v>
      </c>
      <c r="H173" s="853">
        <f t="shared" si="13"/>
        <v>0</v>
      </c>
      <c r="I173" s="909"/>
      <c r="J173" s="929"/>
      <c r="K173" s="929"/>
      <c r="L173" s="951"/>
      <c r="M173" s="951"/>
      <c r="N173" s="951"/>
      <c r="O173" s="951"/>
      <c r="P173" s="951"/>
      <c r="Q173" s="951"/>
    </row>
    <row r="174" spans="1:17" x14ac:dyDescent="0.2">
      <c r="A174" s="909"/>
      <c r="B174" s="929" t="s">
        <v>3662</v>
      </c>
      <c r="C174" s="771">
        <f>IF($D$46&lt;0,-$D$46,0)</f>
        <v>0</v>
      </c>
      <c r="D174" s="853">
        <f t="shared" ref="D174:D182" si="14">IF($D$46&gt;0,$D$46*$D16,0)</f>
        <v>0</v>
      </c>
      <c r="E174" s="870">
        <f t="shared" si="6"/>
        <v>0</v>
      </c>
      <c r="F174" s="909"/>
      <c r="G174" s="871">
        <f t="shared" si="7"/>
        <v>0</v>
      </c>
      <c r="H174" s="853">
        <f t="shared" si="13"/>
        <v>0</v>
      </c>
      <c r="I174" s="909"/>
      <c r="J174" s="929"/>
      <c r="K174" s="929"/>
      <c r="L174" s="951"/>
      <c r="M174" s="951"/>
      <c r="N174" s="951"/>
      <c r="O174" s="951"/>
      <c r="P174" s="951"/>
      <c r="Q174" s="951"/>
    </row>
    <row r="175" spans="1:17" x14ac:dyDescent="0.2">
      <c r="A175" s="909"/>
      <c r="B175" s="929" t="s">
        <v>3663</v>
      </c>
      <c r="C175" s="771">
        <f t="shared" ref="C175:C182" si="15">IF($D$46&lt;0,-$D$46,0)</f>
        <v>0</v>
      </c>
      <c r="D175" s="853">
        <f t="shared" si="14"/>
        <v>0</v>
      </c>
      <c r="E175" s="870">
        <f t="shared" si="6"/>
        <v>0</v>
      </c>
      <c r="F175" s="909"/>
      <c r="G175" s="871">
        <f t="shared" si="7"/>
        <v>0</v>
      </c>
      <c r="H175" s="853">
        <f t="shared" si="13"/>
        <v>0</v>
      </c>
      <c r="I175" s="909"/>
      <c r="J175" s="929"/>
      <c r="K175" s="929"/>
      <c r="L175" s="951"/>
      <c r="M175" s="951"/>
      <c r="N175" s="951"/>
      <c r="O175" s="951"/>
      <c r="P175" s="951"/>
      <c r="Q175" s="951"/>
    </row>
    <row r="176" spans="1:17" x14ac:dyDescent="0.2">
      <c r="A176" s="909"/>
      <c r="B176" s="929" t="s">
        <v>3664</v>
      </c>
      <c r="C176" s="771">
        <f t="shared" si="15"/>
        <v>0</v>
      </c>
      <c r="D176" s="853">
        <f t="shared" si="14"/>
        <v>0</v>
      </c>
      <c r="E176" s="870">
        <f t="shared" si="6"/>
        <v>0</v>
      </c>
      <c r="F176" s="909"/>
      <c r="G176" s="871">
        <f t="shared" si="7"/>
        <v>0</v>
      </c>
      <c r="H176" s="853">
        <f t="shared" si="13"/>
        <v>0</v>
      </c>
      <c r="I176" s="909"/>
      <c r="J176" s="929"/>
      <c r="K176" s="929"/>
      <c r="L176" s="951"/>
      <c r="M176" s="951"/>
      <c r="N176" s="951"/>
      <c r="O176" s="951"/>
      <c r="P176" s="951"/>
      <c r="Q176" s="951"/>
    </row>
    <row r="177" spans="1:17" x14ac:dyDescent="0.2">
      <c r="A177" s="909"/>
      <c r="B177" s="929" t="s">
        <v>3665</v>
      </c>
      <c r="C177" s="771">
        <f t="shared" si="15"/>
        <v>0</v>
      </c>
      <c r="D177" s="853">
        <f t="shared" si="14"/>
        <v>0</v>
      </c>
      <c r="E177" s="870">
        <f t="shared" si="6"/>
        <v>0</v>
      </c>
      <c r="F177" s="909"/>
      <c r="G177" s="871">
        <f t="shared" si="7"/>
        <v>0</v>
      </c>
      <c r="H177" s="853">
        <f t="shared" si="13"/>
        <v>0</v>
      </c>
      <c r="I177" s="909"/>
      <c r="J177" s="929"/>
      <c r="K177" s="929"/>
      <c r="L177" s="951"/>
      <c r="M177" s="951"/>
      <c r="N177" s="951"/>
      <c r="O177" s="951"/>
      <c r="P177" s="951"/>
      <c r="Q177" s="951"/>
    </row>
    <row r="178" spans="1:17" x14ac:dyDescent="0.2">
      <c r="A178" s="909"/>
      <c r="B178" s="929" t="s">
        <v>3666</v>
      </c>
      <c r="C178" s="771">
        <f t="shared" si="15"/>
        <v>0</v>
      </c>
      <c r="D178" s="853">
        <f t="shared" si="14"/>
        <v>0</v>
      </c>
      <c r="E178" s="870">
        <f t="shared" si="6"/>
        <v>0</v>
      </c>
      <c r="F178" s="909"/>
      <c r="G178" s="871">
        <f t="shared" si="7"/>
        <v>0</v>
      </c>
      <c r="H178" s="853">
        <f t="shared" si="13"/>
        <v>0</v>
      </c>
      <c r="I178" s="909"/>
      <c r="J178" s="929"/>
      <c r="K178" s="929"/>
      <c r="L178" s="951"/>
      <c r="M178" s="951"/>
      <c r="N178" s="951"/>
      <c r="O178" s="951"/>
      <c r="P178" s="951"/>
      <c r="Q178" s="951"/>
    </row>
    <row r="179" spans="1:17" x14ac:dyDescent="0.2">
      <c r="A179" s="909"/>
      <c r="B179" s="929" t="s">
        <v>3667</v>
      </c>
      <c r="C179" s="771">
        <f t="shared" si="15"/>
        <v>0</v>
      </c>
      <c r="D179" s="853">
        <f t="shared" si="14"/>
        <v>0</v>
      </c>
      <c r="E179" s="870">
        <f t="shared" si="6"/>
        <v>0</v>
      </c>
      <c r="F179" s="909"/>
      <c r="G179" s="871">
        <f t="shared" si="7"/>
        <v>0</v>
      </c>
      <c r="H179" s="853">
        <f t="shared" si="13"/>
        <v>0</v>
      </c>
      <c r="I179" s="909"/>
      <c r="J179" s="929"/>
      <c r="K179" s="929"/>
      <c r="L179" s="951"/>
      <c r="M179" s="951"/>
      <c r="N179" s="951"/>
      <c r="O179" s="951"/>
      <c r="P179" s="951"/>
      <c r="Q179" s="951"/>
    </row>
    <row r="180" spans="1:17" x14ac:dyDescent="0.2">
      <c r="A180" s="909"/>
      <c r="B180" s="929" t="s">
        <v>4021</v>
      </c>
      <c r="C180" s="771">
        <f t="shared" si="15"/>
        <v>0</v>
      </c>
      <c r="D180" s="853">
        <f t="shared" si="14"/>
        <v>0</v>
      </c>
      <c r="E180" s="870">
        <f t="shared" si="6"/>
        <v>0</v>
      </c>
      <c r="F180" s="909"/>
      <c r="G180" s="871">
        <f t="shared" si="7"/>
        <v>0</v>
      </c>
      <c r="H180" s="853">
        <f t="shared" si="13"/>
        <v>0</v>
      </c>
      <c r="I180" s="909"/>
      <c r="J180" s="929"/>
      <c r="K180" s="929"/>
      <c r="L180" s="951"/>
      <c r="M180" s="951"/>
      <c r="N180" s="951"/>
      <c r="O180" s="951"/>
      <c r="P180" s="951"/>
      <c r="Q180" s="951"/>
    </row>
    <row r="181" spans="1:17" x14ac:dyDescent="0.2">
      <c r="A181" s="909"/>
      <c r="B181" s="929" t="s">
        <v>3986</v>
      </c>
      <c r="C181" s="771">
        <f t="shared" si="15"/>
        <v>0</v>
      </c>
      <c r="D181" s="853">
        <f t="shared" si="14"/>
        <v>0</v>
      </c>
      <c r="E181" s="870">
        <f t="shared" si="6"/>
        <v>0</v>
      </c>
      <c r="F181" s="909"/>
      <c r="G181" s="871">
        <f t="shared" si="7"/>
        <v>0</v>
      </c>
      <c r="H181" s="853">
        <f t="shared" si="13"/>
        <v>0</v>
      </c>
      <c r="I181" s="929"/>
      <c r="J181" s="909"/>
      <c r="K181" s="909"/>
    </row>
    <row r="182" spans="1:17" x14ac:dyDescent="0.2">
      <c r="A182" s="909"/>
      <c r="B182" s="929" t="s">
        <v>3670</v>
      </c>
      <c r="C182" s="771">
        <f t="shared" si="15"/>
        <v>0</v>
      </c>
      <c r="D182" s="853">
        <f t="shared" si="14"/>
        <v>0</v>
      </c>
      <c r="E182" s="870">
        <f t="shared" si="6"/>
        <v>0</v>
      </c>
      <c r="F182" s="909"/>
      <c r="G182" s="871">
        <f t="shared" si="7"/>
        <v>0</v>
      </c>
      <c r="H182" s="853">
        <f t="shared" si="13"/>
        <v>0</v>
      </c>
      <c r="I182" s="929"/>
      <c r="J182" s="909"/>
      <c r="K182" s="909"/>
    </row>
    <row r="183" spans="1:17" x14ac:dyDescent="0.2">
      <c r="A183" s="909"/>
      <c r="B183" s="932" t="s">
        <v>3596</v>
      </c>
      <c r="C183" s="771">
        <f>IF(D36&gt;0,D36*D25,0)</f>
        <v>0</v>
      </c>
      <c r="D183" s="853">
        <v>0</v>
      </c>
      <c r="E183" s="870">
        <f t="shared" si="6"/>
        <v>0</v>
      </c>
      <c r="F183" s="909"/>
      <c r="G183" s="871">
        <f t="shared" ref="G183:G188" si="16">IF(E183&lt;0,0,E183)</f>
        <v>0</v>
      </c>
      <c r="H183" s="853">
        <f t="shared" si="13"/>
        <v>0</v>
      </c>
      <c r="I183" s="996"/>
      <c r="J183" s="909"/>
      <c r="K183" s="909"/>
    </row>
    <row r="184" spans="1:17" x14ac:dyDescent="0.2">
      <c r="A184" s="909"/>
      <c r="B184" s="932" t="s">
        <v>3597</v>
      </c>
      <c r="C184" s="771">
        <f>IF(D37&gt;0,D37*D25,0)</f>
        <v>0</v>
      </c>
      <c r="D184" s="853">
        <v>0</v>
      </c>
      <c r="E184" s="870">
        <f t="shared" si="6"/>
        <v>0</v>
      </c>
      <c r="F184" s="909"/>
      <c r="G184" s="871">
        <f t="shared" si="16"/>
        <v>0</v>
      </c>
      <c r="H184" s="853">
        <f t="shared" si="13"/>
        <v>0</v>
      </c>
      <c r="I184" s="996"/>
      <c r="J184" s="909"/>
      <c r="K184" s="909"/>
    </row>
    <row r="185" spans="1:17" x14ac:dyDescent="0.2">
      <c r="A185" s="909"/>
      <c r="B185" s="932" t="s">
        <v>3599</v>
      </c>
      <c r="C185" s="771">
        <f>IF(D38&lt;0,-D38,0)</f>
        <v>0</v>
      </c>
      <c r="D185" s="853">
        <f>IF(D36&lt;0,-D36,0)*D25</f>
        <v>0</v>
      </c>
      <c r="E185" s="870">
        <f t="shared" si="6"/>
        <v>0</v>
      </c>
      <c r="F185" s="909"/>
      <c r="G185" s="871">
        <f t="shared" si="16"/>
        <v>0</v>
      </c>
      <c r="H185" s="853">
        <f t="shared" si="13"/>
        <v>0</v>
      </c>
      <c r="I185" s="909"/>
      <c r="J185" s="909"/>
      <c r="K185" s="909"/>
    </row>
    <row r="186" spans="1:17" x14ac:dyDescent="0.2">
      <c r="A186" s="909"/>
      <c r="B186" s="932" t="s">
        <v>3601</v>
      </c>
      <c r="C186" s="771">
        <f>IF(D39&lt;0,-D39,0)</f>
        <v>0</v>
      </c>
      <c r="D186" s="853">
        <f>IF(D37&lt;0,-D37,0)*D25</f>
        <v>0</v>
      </c>
      <c r="E186" s="870">
        <f t="shared" si="6"/>
        <v>0</v>
      </c>
      <c r="F186" s="909"/>
      <c r="G186" s="871">
        <f t="shared" si="16"/>
        <v>0</v>
      </c>
      <c r="H186" s="853">
        <f t="shared" si="13"/>
        <v>0</v>
      </c>
      <c r="I186" s="909"/>
      <c r="J186" s="909"/>
      <c r="K186" s="909"/>
    </row>
    <row r="187" spans="1:17" x14ac:dyDescent="0.2">
      <c r="A187" s="909"/>
      <c r="B187" s="932" t="s">
        <v>4095</v>
      </c>
      <c r="C187" s="771">
        <f>IF(D44&gt;0,D44*D25,0)</f>
        <v>0</v>
      </c>
      <c r="D187" s="853">
        <f>IF(D44&lt;0,(D44*D25),0)</f>
        <v>0</v>
      </c>
      <c r="E187" s="870">
        <f t="shared" si="6"/>
        <v>0</v>
      </c>
      <c r="F187" s="909"/>
      <c r="G187" s="871">
        <f t="shared" si="16"/>
        <v>0</v>
      </c>
      <c r="H187" s="853">
        <f t="shared" si="13"/>
        <v>0</v>
      </c>
      <c r="I187" s="909"/>
      <c r="J187" s="909"/>
      <c r="K187" s="909"/>
    </row>
    <row r="188" spans="1:17" ht="25.5" x14ac:dyDescent="0.2">
      <c r="A188" s="909"/>
      <c r="B188" s="932" t="s">
        <v>3676</v>
      </c>
      <c r="C188" s="771">
        <f>IF(D46&gt;0,D46*D25,0)</f>
        <v>0</v>
      </c>
      <c r="D188" s="853">
        <f>IF(D46&lt;0,D46*D25,0)</f>
        <v>0</v>
      </c>
      <c r="E188" s="870">
        <f t="shared" si="6"/>
        <v>0</v>
      </c>
      <c r="F188" s="909"/>
      <c r="G188" s="871">
        <f t="shared" si="16"/>
        <v>0</v>
      </c>
      <c r="H188" s="853">
        <f t="shared" si="13"/>
        <v>0</v>
      </c>
      <c r="I188" s="909"/>
      <c r="J188" s="909"/>
      <c r="K188" s="909"/>
    </row>
    <row r="189" spans="1:17" ht="25.5" x14ac:dyDescent="0.2">
      <c r="A189" s="909"/>
      <c r="B189" s="1168" t="s">
        <v>4096</v>
      </c>
      <c r="C189" s="771"/>
      <c r="D189" s="1167">
        <f>D$33*D16</f>
        <v>0</v>
      </c>
      <c r="E189" s="870">
        <f t="shared" si="6"/>
        <v>0</v>
      </c>
      <c r="F189" s="909"/>
      <c r="G189" s="871">
        <f t="shared" ref="G189" si="17">IF(E189&lt;0,0,E189)</f>
        <v>0</v>
      </c>
      <c r="H189" s="853">
        <f t="shared" ref="H189" si="18">IF(E189&gt;0,0,-E189)</f>
        <v>0</v>
      </c>
      <c r="I189" s="909"/>
      <c r="J189" s="909"/>
      <c r="K189" s="909"/>
    </row>
    <row r="190" spans="1:17" x14ac:dyDescent="0.2">
      <c r="A190" s="909"/>
      <c r="B190" s="1168" t="s">
        <v>4097</v>
      </c>
      <c r="C190" s="771"/>
      <c r="D190" s="1167">
        <f t="shared" ref="D190:D197" si="19">D$33*D17</f>
        <v>0</v>
      </c>
      <c r="E190" s="870">
        <f t="shared" ref="E190:E197" si="20">C190-D190</f>
        <v>0</v>
      </c>
      <c r="F190" s="909"/>
      <c r="G190" s="871">
        <f t="shared" ref="G190:G197" si="21">IF(E190&lt;0,0,E190)</f>
        <v>0</v>
      </c>
      <c r="H190" s="853">
        <f t="shared" ref="H190:H197" si="22">IF(E190&gt;0,0,-E190)</f>
        <v>0</v>
      </c>
      <c r="I190" s="909"/>
      <c r="J190" s="909"/>
      <c r="K190" s="909"/>
    </row>
    <row r="191" spans="1:17" x14ac:dyDescent="0.2">
      <c r="A191" s="909"/>
      <c r="B191" s="1168" t="s">
        <v>4098</v>
      </c>
      <c r="C191" s="771"/>
      <c r="D191" s="1167">
        <f t="shared" si="19"/>
        <v>0</v>
      </c>
      <c r="E191" s="870">
        <f t="shared" si="20"/>
        <v>0</v>
      </c>
      <c r="F191" s="909"/>
      <c r="G191" s="871">
        <f t="shared" si="21"/>
        <v>0</v>
      </c>
      <c r="H191" s="853">
        <f t="shared" si="22"/>
        <v>0</v>
      </c>
      <c r="I191" s="909"/>
      <c r="J191" s="909"/>
      <c r="K191" s="909"/>
    </row>
    <row r="192" spans="1:17" ht="25.5" x14ac:dyDescent="0.2">
      <c r="A192" s="909"/>
      <c r="B192" s="1168" t="s">
        <v>4099</v>
      </c>
      <c r="C192" s="771"/>
      <c r="D192" s="1167">
        <f t="shared" si="19"/>
        <v>0</v>
      </c>
      <c r="E192" s="870">
        <f t="shared" si="20"/>
        <v>0</v>
      </c>
      <c r="F192" s="909"/>
      <c r="G192" s="871">
        <f t="shared" si="21"/>
        <v>0</v>
      </c>
      <c r="H192" s="853">
        <f t="shared" si="22"/>
        <v>0</v>
      </c>
      <c r="I192" s="909"/>
      <c r="J192" s="909"/>
      <c r="K192" s="909"/>
    </row>
    <row r="193" spans="1:11" ht="25.5" x14ac:dyDescent="0.2">
      <c r="A193" s="909"/>
      <c r="B193" s="1168" t="s">
        <v>4100</v>
      </c>
      <c r="C193" s="771"/>
      <c r="D193" s="1167">
        <f t="shared" si="19"/>
        <v>0</v>
      </c>
      <c r="E193" s="870">
        <f t="shared" si="20"/>
        <v>0</v>
      </c>
      <c r="F193" s="909"/>
      <c r="G193" s="871">
        <f t="shared" si="21"/>
        <v>0</v>
      </c>
      <c r="H193" s="853">
        <f t="shared" si="22"/>
        <v>0</v>
      </c>
      <c r="I193" s="909"/>
      <c r="J193" s="909"/>
      <c r="K193" s="909"/>
    </row>
    <row r="194" spans="1:11" x14ac:dyDescent="0.2">
      <c r="A194" s="909"/>
      <c r="B194" s="1168" t="s">
        <v>4101</v>
      </c>
      <c r="C194" s="771"/>
      <c r="D194" s="1167">
        <f t="shared" si="19"/>
        <v>0</v>
      </c>
      <c r="E194" s="870">
        <f t="shared" si="20"/>
        <v>0</v>
      </c>
      <c r="F194" s="909"/>
      <c r="G194" s="871">
        <f t="shared" si="21"/>
        <v>0</v>
      </c>
      <c r="H194" s="853">
        <f t="shared" si="22"/>
        <v>0</v>
      </c>
      <c r="I194" s="909"/>
      <c r="J194" s="909"/>
      <c r="K194" s="909"/>
    </row>
    <row r="195" spans="1:11" ht="25.5" x14ac:dyDescent="0.2">
      <c r="A195" s="909"/>
      <c r="B195" s="1168" t="s">
        <v>4102</v>
      </c>
      <c r="C195" s="771"/>
      <c r="D195" s="1167">
        <f t="shared" si="19"/>
        <v>0</v>
      </c>
      <c r="E195" s="870">
        <f t="shared" si="20"/>
        <v>0</v>
      </c>
      <c r="F195" s="909"/>
      <c r="G195" s="871">
        <f t="shared" si="21"/>
        <v>0</v>
      </c>
      <c r="H195" s="853">
        <f t="shared" si="22"/>
        <v>0</v>
      </c>
      <c r="I195" s="909"/>
      <c r="J195" s="909"/>
      <c r="K195" s="909"/>
    </row>
    <row r="196" spans="1:11" x14ac:dyDescent="0.2">
      <c r="A196" s="909"/>
      <c r="B196" s="1168" t="s">
        <v>4103</v>
      </c>
      <c r="C196" s="771"/>
      <c r="D196" s="1167">
        <f t="shared" si="19"/>
        <v>0</v>
      </c>
      <c r="E196" s="870">
        <f t="shared" si="20"/>
        <v>0</v>
      </c>
      <c r="F196" s="909"/>
      <c r="G196" s="871">
        <f t="shared" si="21"/>
        <v>0</v>
      </c>
      <c r="H196" s="853">
        <f t="shared" si="22"/>
        <v>0</v>
      </c>
      <c r="I196" s="909"/>
      <c r="J196" s="909"/>
      <c r="K196" s="909"/>
    </row>
    <row r="197" spans="1:11" x14ac:dyDescent="0.2">
      <c r="A197" s="909"/>
      <c r="B197" s="1168" t="s">
        <v>4104</v>
      </c>
      <c r="C197" s="771"/>
      <c r="D197" s="1167">
        <f t="shared" si="19"/>
        <v>0</v>
      </c>
      <c r="E197" s="870">
        <f t="shared" si="20"/>
        <v>0</v>
      </c>
      <c r="F197" s="909"/>
      <c r="G197" s="871">
        <f t="shared" si="21"/>
        <v>0</v>
      </c>
      <c r="H197" s="853">
        <f t="shared" si="22"/>
        <v>0</v>
      </c>
      <c r="I197" s="909"/>
      <c r="J197" s="909"/>
      <c r="K197" s="909"/>
    </row>
    <row r="198" spans="1:11" x14ac:dyDescent="0.2">
      <c r="A198" s="909"/>
      <c r="B198" s="909"/>
      <c r="C198" s="946">
        <f>SUM(C154:C197)</f>
        <v>0</v>
      </c>
      <c r="D198" s="946">
        <f t="shared" ref="D198:E198" si="23">SUM(D154:D197)</f>
        <v>0</v>
      </c>
      <c r="E198" s="946">
        <f t="shared" si="23"/>
        <v>0</v>
      </c>
      <c r="F198" s="940"/>
      <c r="G198" s="946">
        <f t="shared" ref="G198:H198" si="24">SUM(G154:G197)</f>
        <v>0</v>
      </c>
      <c r="H198" s="946">
        <f t="shared" si="24"/>
        <v>0</v>
      </c>
      <c r="I198" s="909"/>
      <c r="J198" s="909"/>
      <c r="K198" s="909"/>
    </row>
    <row r="199" spans="1:11" x14ac:dyDescent="0.2">
      <c r="A199" s="909"/>
      <c r="B199" s="909"/>
      <c r="C199" s="909"/>
      <c r="D199" s="909"/>
      <c r="E199" s="909"/>
      <c r="F199" s="909"/>
      <c r="G199" s="909"/>
      <c r="H199" s="909"/>
      <c r="I199" s="909"/>
      <c r="J199" s="909"/>
      <c r="K199" s="909"/>
    </row>
    <row r="200" spans="1:11" x14ac:dyDescent="0.2">
      <c r="B200" s="924"/>
      <c r="C200" s="925"/>
      <c r="D200" s="924"/>
    </row>
    <row r="201" spans="1:11" x14ac:dyDescent="0.2">
      <c r="B201" s="925"/>
      <c r="C201" s="925"/>
      <c r="G201" s="924"/>
    </row>
    <row r="203" spans="1:11" x14ac:dyDescent="0.2">
      <c r="C203" s="925"/>
      <c r="D203" s="925"/>
    </row>
  </sheetData>
  <sheetProtection algorithmName="SHA-512" hashValue="5c2irLnlOmNyQMBBllOoWRbw5Jj5Y4+CEIT/1zz/D2cMZNTbWlX9o0Idisykm7JpLZY8YUoty9QqBfaePlB68w==" saltValue="Mq/sANS0oebKpWv3vAMTSA==" spinCount="100000" sheet="1" objects="1" scenarios="1"/>
  <mergeCells count="15">
    <mergeCell ref="A1:C1"/>
    <mergeCell ref="A4:C4"/>
    <mergeCell ref="B7:L7"/>
    <mergeCell ref="B28:E28"/>
    <mergeCell ref="B36:C36"/>
    <mergeCell ref="F36:K36"/>
    <mergeCell ref="B44:C44"/>
    <mergeCell ref="B46:C46"/>
    <mergeCell ref="G151:H151"/>
    <mergeCell ref="B37:C37"/>
    <mergeCell ref="F37:K37"/>
    <mergeCell ref="B38:C38"/>
    <mergeCell ref="F38:K38"/>
    <mergeCell ref="B39:C39"/>
    <mergeCell ref="F39:K39"/>
  </mergeCells>
  <conditionalFormatting sqref="M51:M53 M34:M40">
    <cfRule type="expression" dxfId="17" priority="6">
      <formula>#REF!=2</formula>
    </cfRule>
  </conditionalFormatting>
  <conditionalFormatting sqref="M41">
    <cfRule type="expression" dxfId="16" priority="5">
      <formula>#REF!=2</formula>
    </cfRule>
  </conditionalFormatting>
  <conditionalFormatting sqref="M42">
    <cfRule type="expression" dxfId="15" priority="4">
      <formula>#REF!=2</formula>
    </cfRule>
  </conditionalFormatting>
  <conditionalFormatting sqref="M43 M45:M48">
    <cfRule type="expression" dxfId="14" priority="3">
      <formula>#REF!=2</formula>
    </cfRule>
  </conditionalFormatting>
  <conditionalFormatting sqref="M49">
    <cfRule type="expression" dxfId="13" priority="2">
      <formula>#REF!=2</formula>
    </cfRule>
  </conditionalFormatting>
  <conditionalFormatting sqref="M50">
    <cfRule type="expression" dxfId="12" priority="1">
      <formula>#REF!=2</formula>
    </cfRule>
  </conditionalFormatting>
  <pageMargins left="0.25" right="0.25" top="0.75" bottom="0.75" header="0.3" footer="0.3"/>
  <pageSetup scale="2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P65"/>
  <sheetViews>
    <sheetView topLeftCell="A31" workbookViewId="0"/>
  </sheetViews>
  <sheetFormatPr defaultRowHeight="12.75" x14ac:dyDescent="0.2"/>
  <cols>
    <col min="1" max="1" width="4.42578125" customWidth="1"/>
    <col min="2" max="2" width="3.42578125" customWidth="1"/>
    <col min="6" max="6" width="11.28515625" customWidth="1"/>
    <col min="7" max="7" width="8.42578125" bestFit="1" customWidth="1"/>
    <col min="8" max="8" width="11.42578125" bestFit="1" customWidth="1"/>
    <col min="9" max="9" width="3.140625" customWidth="1"/>
    <col min="10" max="10" width="15.28515625" customWidth="1"/>
    <col min="11" max="11" width="1.140625" customWidth="1"/>
    <col min="12" max="12" width="15.28515625" customWidth="1"/>
    <col min="13" max="13" width="2.140625" customWidth="1"/>
    <col min="14" max="14" width="20.85546875" customWidth="1"/>
    <col min="15" max="15" width="0.85546875" customWidth="1"/>
    <col min="16" max="16" width="1.140625" customWidth="1"/>
  </cols>
  <sheetData>
    <row r="2" spans="1:16" ht="33.75" customHeight="1" x14ac:dyDescent="0.25">
      <c r="A2" s="1465" t="s">
        <v>977</v>
      </c>
      <c r="B2" s="1466"/>
      <c r="C2" s="1466"/>
      <c r="D2" s="1466"/>
      <c r="E2" s="1466"/>
      <c r="F2" s="1466"/>
      <c r="G2" s="1466"/>
      <c r="H2" s="1466"/>
      <c r="I2" s="1466"/>
      <c r="J2" s="1466"/>
      <c r="K2" s="1466"/>
      <c r="L2" s="1466"/>
      <c r="M2" s="1466"/>
      <c r="N2" s="1466"/>
      <c r="O2" s="1467"/>
    </row>
    <row r="3" spans="1:16" x14ac:dyDescent="0.2">
      <c r="H3" s="42"/>
    </row>
    <row r="4" spans="1:16" ht="69" customHeight="1" x14ac:dyDescent="0.2">
      <c r="B4" s="1387" t="s">
        <v>754</v>
      </c>
      <c r="C4" s="1469"/>
      <c r="D4" s="1469"/>
      <c r="E4" s="1469"/>
      <c r="F4" s="1469"/>
      <c r="G4" s="1469"/>
      <c r="H4" s="1469"/>
      <c r="I4" s="1469"/>
      <c r="J4" s="1469"/>
      <c r="K4" s="1469"/>
      <c r="L4" s="1469"/>
      <c r="M4" s="1469"/>
      <c r="N4" s="1469"/>
      <c r="O4" s="1469"/>
      <c r="P4" s="1469"/>
    </row>
    <row r="5" spans="1:16" ht="11.25" customHeight="1" x14ac:dyDescent="0.2">
      <c r="B5" s="34"/>
      <c r="C5" s="35"/>
      <c r="D5" s="35"/>
      <c r="E5" s="35"/>
      <c r="F5" s="35"/>
      <c r="G5" s="35"/>
      <c r="H5" s="35"/>
      <c r="I5" s="35"/>
      <c r="J5" s="35"/>
      <c r="K5" s="35"/>
      <c r="L5" s="35"/>
      <c r="M5" s="35"/>
      <c r="N5" s="35"/>
      <c r="O5" s="35"/>
      <c r="P5" s="35"/>
    </row>
    <row r="6" spans="1:16" ht="17.25" customHeight="1" x14ac:dyDescent="0.2">
      <c r="B6" s="1387" t="s">
        <v>741</v>
      </c>
      <c r="C6" s="1469"/>
      <c r="D6" s="1469"/>
      <c r="E6" s="1469"/>
      <c r="F6" s="1469"/>
      <c r="G6" s="1469"/>
      <c r="H6" s="1469"/>
      <c r="I6" s="1469"/>
      <c r="J6" s="1469"/>
      <c r="K6" s="1469"/>
      <c r="L6" s="1469"/>
      <c r="M6" s="1469"/>
      <c r="N6" s="1469"/>
      <c r="O6" s="35"/>
      <c r="P6" s="35"/>
    </row>
    <row r="7" spans="1:16" ht="4.5" customHeight="1" x14ac:dyDescent="0.2">
      <c r="B7" s="41"/>
      <c r="C7" s="35"/>
      <c r="D7" s="35"/>
      <c r="E7" s="35"/>
      <c r="F7" s="35"/>
      <c r="G7" s="35"/>
      <c r="H7" s="35"/>
      <c r="I7" s="35"/>
      <c r="J7" s="35"/>
      <c r="K7" s="35"/>
      <c r="L7" s="35"/>
      <c r="M7" s="35"/>
      <c r="N7" s="35"/>
      <c r="O7" s="35"/>
      <c r="P7" s="35"/>
    </row>
    <row r="8" spans="1:16" ht="12.75" customHeight="1" x14ac:dyDescent="0.2">
      <c r="A8" s="4"/>
      <c r="B8" s="41" t="s">
        <v>521</v>
      </c>
      <c r="C8" s="1401" t="s">
        <v>1152</v>
      </c>
      <c r="D8" s="1402"/>
      <c r="E8" s="1402"/>
      <c r="F8" s="1402"/>
      <c r="G8" s="1402"/>
      <c r="H8" s="1402"/>
      <c r="I8" s="1402"/>
      <c r="J8" s="1402"/>
      <c r="K8" s="1402"/>
      <c r="L8" s="1402"/>
      <c r="M8" s="1402"/>
      <c r="N8" s="1402"/>
      <c r="O8" s="35"/>
      <c r="P8" s="35"/>
    </row>
    <row r="9" spans="1:16" ht="14.25" customHeight="1" x14ac:dyDescent="0.2">
      <c r="A9" s="4"/>
      <c r="B9" s="41"/>
      <c r="C9" s="1402"/>
      <c r="D9" s="1402"/>
      <c r="E9" s="1402"/>
      <c r="F9" s="1402"/>
      <c r="G9" s="1402"/>
      <c r="H9" s="1402"/>
      <c r="I9" s="1402"/>
      <c r="J9" s="1402"/>
      <c r="K9" s="1402"/>
      <c r="L9" s="1402"/>
      <c r="M9" s="1402"/>
      <c r="N9" s="1402"/>
      <c r="O9" s="35"/>
      <c r="P9" s="35"/>
    </row>
    <row r="10" spans="1:16" ht="4.5" customHeight="1" x14ac:dyDescent="0.2">
      <c r="B10" s="41"/>
      <c r="C10" s="35"/>
      <c r="D10" s="35"/>
      <c r="E10" s="35"/>
      <c r="F10" s="35"/>
      <c r="G10" s="35"/>
      <c r="H10" s="35"/>
      <c r="I10" s="35"/>
      <c r="J10" s="35"/>
      <c r="K10" s="35"/>
      <c r="L10" s="35"/>
      <c r="M10" s="35"/>
      <c r="N10" s="35"/>
      <c r="O10" s="35"/>
      <c r="P10" s="35"/>
    </row>
    <row r="11" spans="1:16" ht="12.75" customHeight="1" x14ac:dyDescent="0.2">
      <c r="B11" s="41" t="s">
        <v>522</v>
      </c>
      <c r="C11" s="1401" t="s">
        <v>1153</v>
      </c>
      <c r="D11" s="1402"/>
      <c r="E11" s="1402"/>
      <c r="F11" s="1402"/>
      <c r="G11" s="1402"/>
      <c r="H11" s="1402"/>
      <c r="I11" s="1402"/>
      <c r="J11" s="1402"/>
      <c r="K11" s="1402"/>
      <c r="L11" s="1402"/>
      <c r="M11" s="1402"/>
      <c r="N11" s="1402"/>
      <c r="O11" s="35"/>
      <c r="P11" s="35"/>
    </row>
    <row r="12" spans="1:16" ht="12.75" customHeight="1" x14ac:dyDescent="0.2">
      <c r="B12" s="41"/>
      <c r="C12" s="1402"/>
      <c r="D12" s="1402"/>
      <c r="E12" s="1402"/>
      <c r="F12" s="1402"/>
      <c r="G12" s="1402"/>
      <c r="H12" s="1402"/>
      <c r="I12" s="1402"/>
      <c r="J12" s="1402"/>
      <c r="K12" s="1402"/>
      <c r="L12" s="1402"/>
      <c r="M12" s="1402"/>
      <c r="N12" s="1402"/>
      <c r="O12" s="35"/>
      <c r="P12" s="35"/>
    </row>
    <row r="13" spans="1:16" ht="4.5" customHeight="1" x14ac:dyDescent="0.2">
      <c r="B13" s="41"/>
      <c r="C13" s="34"/>
      <c r="D13" s="35"/>
      <c r="E13" s="35"/>
      <c r="F13" s="35"/>
      <c r="G13" s="35"/>
      <c r="H13" s="35"/>
      <c r="I13" s="35"/>
      <c r="J13" s="35"/>
      <c r="K13" s="35"/>
      <c r="L13" s="35"/>
      <c r="M13" s="35"/>
      <c r="N13" s="35"/>
      <c r="O13" s="35"/>
      <c r="P13" s="35"/>
    </row>
    <row r="14" spans="1:16" ht="12.75" customHeight="1" x14ac:dyDescent="0.2">
      <c r="B14" s="41" t="s">
        <v>523</v>
      </c>
      <c r="C14" s="1387" t="s">
        <v>888</v>
      </c>
      <c r="D14" s="1387"/>
      <c r="E14" s="1387"/>
      <c r="F14" s="1387"/>
      <c r="G14" s="1387"/>
      <c r="H14" s="1387"/>
      <c r="I14" s="1387"/>
      <c r="J14" s="1387"/>
      <c r="K14" s="1387"/>
      <c r="L14" s="1387"/>
      <c r="M14" s="1387"/>
      <c r="N14" s="1387"/>
      <c r="O14" s="35"/>
      <c r="P14" s="35"/>
    </row>
    <row r="15" spans="1:16" ht="26.25" customHeight="1" x14ac:dyDescent="0.2">
      <c r="B15" s="41"/>
      <c r="C15" s="1387"/>
      <c r="D15" s="1387"/>
      <c r="E15" s="1387"/>
      <c r="F15" s="1387"/>
      <c r="G15" s="1387"/>
      <c r="H15" s="1387"/>
      <c r="I15" s="1387"/>
      <c r="J15" s="1387"/>
      <c r="K15" s="1387"/>
      <c r="L15" s="1387"/>
      <c r="M15" s="1387"/>
      <c r="N15" s="1387"/>
      <c r="O15" s="35"/>
      <c r="P15" s="35"/>
    </row>
    <row r="16" spans="1:16" ht="4.5" customHeight="1" x14ac:dyDescent="0.2">
      <c r="B16" s="41"/>
      <c r="C16" s="34"/>
      <c r="D16" s="35"/>
      <c r="E16" s="35"/>
      <c r="F16" s="35"/>
      <c r="G16" s="35"/>
      <c r="H16" s="35"/>
      <c r="I16" s="35"/>
      <c r="J16" s="35"/>
      <c r="K16" s="35"/>
      <c r="L16" s="35"/>
      <c r="M16" s="35"/>
      <c r="N16" s="35"/>
      <c r="O16" s="35"/>
      <c r="P16" s="35"/>
    </row>
    <row r="17" spans="1:16" ht="12.75" customHeight="1" x14ac:dyDescent="0.2">
      <c r="B17" s="41" t="s">
        <v>549</v>
      </c>
      <c r="C17" s="1387" t="s">
        <v>346</v>
      </c>
      <c r="D17" s="1387"/>
      <c r="E17" s="1387"/>
      <c r="F17" s="1387"/>
      <c r="G17" s="1387"/>
      <c r="H17" s="1387"/>
      <c r="I17" s="1387"/>
      <c r="J17" s="1387"/>
      <c r="K17" s="1387"/>
      <c r="L17" s="1387"/>
      <c r="M17" s="1387"/>
      <c r="N17" s="1387"/>
      <c r="O17" s="35"/>
      <c r="P17" s="35"/>
    </row>
    <row r="18" spans="1:16" ht="25.5" customHeight="1" x14ac:dyDescent="0.2">
      <c r="B18" s="41"/>
      <c r="C18" s="1387"/>
      <c r="D18" s="1387"/>
      <c r="E18" s="1387"/>
      <c r="F18" s="1387"/>
      <c r="G18" s="1387"/>
      <c r="H18" s="1387"/>
      <c r="I18" s="1387"/>
      <c r="J18" s="1387"/>
      <c r="K18" s="1387"/>
      <c r="L18" s="1387"/>
      <c r="M18" s="1387"/>
      <c r="N18" s="1387"/>
      <c r="O18" s="35"/>
      <c r="P18" s="35"/>
    </row>
    <row r="19" spans="1:16" ht="12" customHeight="1" x14ac:dyDescent="0.2">
      <c r="B19" s="34"/>
      <c r="C19" s="35"/>
      <c r="D19" s="35"/>
      <c r="E19" s="35"/>
      <c r="F19" s="35"/>
      <c r="G19" s="35"/>
      <c r="H19" s="35"/>
      <c r="I19" s="35"/>
      <c r="J19" s="35"/>
      <c r="K19" s="35"/>
      <c r="L19" s="35"/>
      <c r="M19" s="35"/>
      <c r="N19" s="35"/>
      <c r="O19" s="35"/>
      <c r="P19" s="35"/>
    </row>
    <row r="20" spans="1:16" ht="25.5" customHeight="1" x14ac:dyDescent="0.2">
      <c r="A20" s="4" t="s">
        <v>547</v>
      </c>
      <c r="B20" s="1470" t="s">
        <v>1120</v>
      </c>
      <c r="C20" s="1471"/>
      <c r="D20" s="1471"/>
      <c r="E20" s="1471"/>
      <c r="F20" s="1471"/>
      <c r="G20" s="1471"/>
      <c r="H20" s="1471"/>
      <c r="I20" s="1471"/>
      <c r="J20" s="1471"/>
      <c r="K20" s="1471"/>
      <c r="L20" s="1471"/>
      <c r="M20" s="1471"/>
      <c r="N20" s="1472"/>
      <c r="O20" s="35"/>
      <c r="P20" s="35"/>
    </row>
    <row r="22" spans="1:16" x14ac:dyDescent="0.2">
      <c r="B22" s="53" t="s">
        <v>325</v>
      </c>
    </row>
    <row r="23" spans="1:16" ht="3" customHeight="1" x14ac:dyDescent="0.2"/>
    <row r="24" spans="1:16" ht="12" customHeight="1" x14ac:dyDescent="0.2">
      <c r="H24" s="3" t="s">
        <v>514</v>
      </c>
    </row>
    <row r="25" spans="1:16" x14ac:dyDescent="0.2">
      <c r="B25" t="s">
        <v>817</v>
      </c>
    </row>
    <row r="26" spans="1:16" x14ac:dyDescent="0.2">
      <c r="C26" s="13" t="s">
        <v>1075</v>
      </c>
      <c r="D26" s="13"/>
      <c r="E26" s="13"/>
      <c r="F26" s="13"/>
      <c r="G26" s="13"/>
      <c r="H26" s="347">
        <v>0</v>
      </c>
      <c r="J26" s="4"/>
    </row>
    <row r="27" spans="1:16" ht="6" customHeight="1" x14ac:dyDescent="0.2">
      <c r="H27" s="348"/>
    </row>
    <row r="28" spans="1:16" x14ac:dyDescent="0.2">
      <c r="C28" t="s">
        <v>818</v>
      </c>
      <c r="H28" s="349">
        <v>0</v>
      </c>
      <c r="J28" s="43"/>
    </row>
    <row r="29" spans="1:16" x14ac:dyDescent="0.2">
      <c r="H29" s="1"/>
    </row>
    <row r="30" spans="1:16" ht="13.5" thickBot="1" x14ac:dyDescent="0.25">
      <c r="H30" s="85">
        <f>SUM(H26:H29)</f>
        <v>0</v>
      </c>
    </row>
    <row r="31" spans="1:16" ht="13.5" thickTop="1" x14ac:dyDescent="0.2">
      <c r="H31" s="56"/>
      <c r="L31" s="119"/>
    </row>
    <row r="32" spans="1:16" x14ac:dyDescent="0.2">
      <c r="H32" s="1"/>
    </row>
    <row r="33" spans="1:14" x14ac:dyDescent="0.2">
      <c r="H33" s="1"/>
    </row>
    <row r="34" spans="1:14" ht="25.5" customHeight="1" x14ac:dyDescent="0.2">
      <c r="A34" s="4" t="s">
        <v>548</v>
      </c>
      <c r="B34" s="1476" t="s">
        <v>1154</v>
      </c>
      <c r="C34" s="1478"/>
      <c r="D34" s="1478"/>
      <c r="E34" s="1478"/>
      <c r="F34" s="1478"/>
      <c r="G34" s="1478"/>
      <c r="H34" s="1478"/>
      <c r="I34" s="1478"/>
      <c r="J34" s="1478"/>
      <c r="K34" s="1478"/>
      <c r="L34" s="1478"/>
      <c r="M34" s="1478"/>
      <c r="N34" s="1479"/>
    </row>
    <row r="35" spans="1:14" x14ac:dyDescent="0.2">
      <c r="H35" s="1"/>
    </row>
    <row r="36" spans="1:14" x14ac:dyDescent="0.2">
      <c r="B36" s="53" t="s">
        <v>325</v>
      </c>
      <c r="H36" s="1"/>
    </row>
    <row r="37" spans="1:14" ht="3.75" customHeight="1" x14ac:dyDescent="0.2">
      <c r="H37" s="1"/>
    </row>
    <row r="38" spans="1:14" x14ac:dyDescent="0.2">
      <c r="H38" s="3" t="s">
        <v>514</v>
      </c>
    </row>
    <row r="39" spans="1:14" x14ac:dyDescent="0.2">
      <c r="B39" t="s">
        <v>817</v>
      </c>
    </row>
    <row r="40" spans="1:14" x14ac:dyDescent="0.2">
      <c r="C40" s="13" t="s">
        <v>1076</v>
      </c>
      <c r="D40" s="13"/>
      <c r="E40" s="13"/>
      <c r="F40" s="13"/>
      <c r="G40" s="13"/>
      <c r="H40" s="347">
        <v>0</v>
      </c>
      <c r="J40" s="4"/>
    </row>
    <row r="41" spans="1:14" ht="6" customHeight="1" x14ac:dyDescent="0.2">
      <c r="H41" s="348"/>
    </row>
    <row r="42" spans="1:14" x14ac:dyDescent="0.2">
      <c r="C42" t="s">
        <v>901</v>
      </c>
      <c r="H42" s="349">
        <v>0</v>
      </c>
      <c r="J42" s="43"/>
    </row>
    <row r="43" spans="1:14" x14ac:dyDescent="0.2">
      <c r="H43" s="1"/>
    </row>
    <row r="44" spans="1:14" ht="13.5" thickBot="1" x14ac:dyDescent="0.25">
      <c r="H44" s="85">
        <f>SUM(H40:H43)</f>
        <v>0</v>
      </c>
    </row>
    <row r="45" spans="1:14" ht="13.5" thickTop="1" x14ac:dyDescent="0.2">
      <c r="H45" s="56"/>
    </row>
    <row r="46" spans="1:14" x14ac:dyDescent="0.2">
      <c r="H46" s="11"/>
    </row>
    <row r="48" spans="1:14" ht="25.5" customHeight="1" x14ac:dyDescent="0.2">
      <c r="A48" s="4" t="s">
        <v>816</v>
      </c>
      <c r="B48" s="1473" t="s">
        <v>298</v>
      </c>
      <c r="C48" s="1474"/>
      <c r="D48" s="1474"/>
      <c r="E48" s="1474"/>
      <c r="F48" s="1474"/>
      <c r="G48" s="1474"/>
      <c r="H48" s="1474"/>
      <c r="I48" s="1474"/>
      <c r="J48" s="1474"/>
      <c r="K48" s="1474"/>
      <c r="L48" s="1474"/>
      <c r="M48" s="1474"/>
      <c r="N48" s="1475"/>
    </row>
    <row r="49" spans="1:14" ht="12.75" customHeight="1" x14ac:dyDescent="0.2">
      <c r="A49" s="4"/>
      <c r="B49" s="44"/>
      <c r="C49" s="44"/>
      <c r="D49" s="44"/>
      <c r="E49" s="44"/>
      <c r="F49" s="44"/>
      <c r="G49" s="44"/>
      <c r="H49" s="44"/>
      <c r="I49" s="31"/>
      <c r="J49" s="31"/>
      <c r="K49" s="31"/>
      <c r="L49" s="31"/>
      <c r="M49" s="31"/>
      <c r="N49" s="31"/>
    </row>
    <row r="51" spans="1:14" x14ac:dyDescent="0.2">
      <c r="J51" s="49" t="s">
        <v>517</v>
      </c>
      <c r="K51" s="38"/>
      <c r="L51" s="49" t="s">
        <v>518</v>
      </c>
    </row>
    <row r="52" spans="1:14" ht="6" customHeight="1" x14ac:dyDescent="0.2">
      <c r="J52" s="38"/>
      <c r="K52" s="38"/>
      <c r="L52" s="38"/>
    </row>
    <row r="53" spans="1:14" x14ac:dyDescent="0.2">
      <c r="A53" s="141" t="s">
        <v>196</v>
      </c>
      <c r="B53" t="s">
        <v>578</v>
      </c>
      <c r="H53" s="36"/>
      <c r="I53" s="13"/>
      <c r="J53" s="252">
        <f>IF(H26&gt;=0,H26,"")</f>
        <v>0</v>
      </c>
      <c r="K53" s="93"/>
      <c r="L53" s="84" t="str">
        <f>IF(H26&lt;0,H26,"")</f>
        <v/>
      </c>
      <c r="N53" s="2"/>
    </row>
    <row r="54" spans="1:14" x14ac:dyDescent="0.2">
      <c r="A54" s="141"/>
      <c r="B54" t="s">
        <v>142</v>
      </c>
      <c r="H54" s="36"/>
      <c r="I54" s="13"/>
      <c r="J54" s="84">
        <f>IF(H28&gt;=0,H28,"")</f>
        <v>0</v>
      </c>
      <c r="K54" s="93"/>
      <c r="L54" s="84" t="str">
        <f>IF(H28&lt;0,H28,"")</f>
        <v/>
      </c>
      <c r="N54" s="2"/>
    </row>
    <row r="55" spans="1:14" x14ac:dyDescent="0.2">
      <c r="A55" s="141"/>
      <c r="C55" t="s">
        <v>978</v>
      </c>
      <c r="H55" s="36"/>
      <c r="I55" s="13"/>
      <c r="J55" s="84" t="str">
        <f>IF(H30&lt;0,H30,"")</f>
        <v/>
      </c>
      <c r="K55" s="93"/>
      <c r="L55" s="84">
        <f>IF(H30&gt;=0,H30,"")</f>
        <v>0</v>
      </c>
    </row>
    <row r="56" spans="1:14" ht="6" customHeight="1" x14ac:dyDescent="0.2">
      <c r="A56" s="141"/>
      <c r="H56" s="36"/>
      <c r="I56" s="13"/>
      <c r="J56" s="1"/>
      <c r="K56" s="93"/>
      <c r="L56" s="1"/>
    </row>
    <row r="57" spans="1:14" x14ac:dyDescent="0.2">
      <c r="A57" s="141" t="s">
        <v>197</v>
      </c>
      <c r="B57" s="13" t="s">
        <v>1077</v>
      </c>
      <c r="C57" s="13"/>
      <c r="D57" s="13"/>
      <c r="J57" s="84">
        <f>IF(H40&gt;=0,H40,"")</f>
        <v>0</v>
      </c>
      <c r="K57" s="93"/>
      <c r="L57" s="84" t="str">
        <f>IF(H40&lt;0,H40,"")</f>
        <v/>
      </c>
    </row>
    <row r="58" spans="1:14" x14ac:dyDescent="0.2">
      <c r="A58" s="141"/>
      <c r="B58" t="s">
        <v>142</v>
      </c>
      <c r="J58" s="84">
        <f>IF((H42-H28)&gt;=0,(H42-H28),"")</f>
        <v>0</v>
      </c>
      <c r="K58" s="93"/>
      <c r="L58" s="84" t="str">
        <f>IF((H42-H28)&lt;0,(H42-H28),"")</f>
        <v/>
      </c>
    </row>
    <row r="59" spans="1:14" x14ac:dyDescent="0.2">
      <c r="C59" t="s">
        <v>579</v>
      </c>
      <c r="J59" s="84" t="str">
        <f>IF((J57+J58)&lt;0,(J57+J58),"")</f>
        <v/>
      </c>
      <c r="K59" s="93"/>
      <c r="L59" s="84">
        <f>IF((J57+J58)&gt;=0,(J57+J58),"")</f>
        <v>0</v>
      </c>
    </row>
    <row r="60" spans="1:14" ht="12.75" customHeight="1" x14ac:dyDescent="0.2">
      <c r="J60" s="1"/>
      <c r="K60" s="93"/>
      <c r="L60" s="1"/>
    </row>
    <row r="61" spans="1:14" ht="13.5" thickBot="1" x14ac:dyDescent="0.25">
      <c r="J61" s="80">
        <f>SUM(J53:J60)</f>
        <v>0</v>
      </c>
      <c r="K61" s="10"/>
      <c r="L61" s="80">
        <f>SUM(L53:L60)</f>
        <v>0</v>
      </c>
    </row>
    <row r="62" spans="1:14" ht="13.5" thickTop="1" x14ac:dyDescent="0.2">
      <c r="K62" s="13"/>
    </row>
    <row r="63" spans="1:14" x14ac:dyDescent="0.2">
      <c r="B63" t="s">
        <v>520</v>
      </c>
      <c r="C63" t="s">
        <v>228</v>
      </c>
    </row>
    <row r="65" spans="2:2" x14ac:dyDescent="0.2">
      <c r="B65" s="19"/>
    </row>
  </sheetData>
  <sheetProtection algorithmName="SHA-512" hashValue="tFyhKkyjiWveQuy9Jh43RMuiJFYlxxGBqWVTfdl6WyD/8Gje294TirmDLmzGxbTBcaG7ZqmLKZE7UlBPKElHbw==" saltValue="t2En07jCjbn3T3+zPwp7YA==" spinCount="100000" sheet="1" objects="1" scenarios="1"/>
  <mergeCells count="10">
    <mergeCell ref="A2:O2"/>
    <mergeCell ref="B6:N6"/>
    <mergeCell ref="B4:P4"/>
    <mergeCell ref="C8:N9"/>
    <mergeCell ref="C17:N18"/>
    <mergeCell ref="B48:N48"/>
    <mergeCell ref="B20:N20"/>
    <mergeCell ref="B34:N34"/>
    <mergeCell ref="C11:N12"/>
    <mergeCell ref="C14:N15"/>
  </mergeCells>
  <phoneticPr fontId="17" type="noConversion"/>
  <printOptions horizontalCentered="1"/>
  <pageMargins left="0.5" right="0.45" top="0.72" bottom="0.71" header="0.5" footer="0.5"/>
  <pageSetup scale="75" orientation="portrait" r:id="rId1"/>
  <headerFooter alignWithMargins="0">
    <oddHeader>&amp;R&amp;"Arial,Bold"&amp;12Entry  B</oddHeader>
    <oddFooter>&amp;L&amp;8&amp;D - County model&amp;R&amp;P</oddFooter>
  </headerFooter>
  <rowBreaks count="1" manualBreakCount="1">
    <brk id="63" max="14"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Q203"/>
  <sheetViews>
    <sheetView workbookViewId="0">
      <selection activeCell="J42" sqref="J42"/>
    </sheetView>
  </sheetViews>
  <sheetFormatPr defaultColWidth="9.140625" defaultRowHeight="12.75" x14ac:dyDescent="0.2"/>
  <cols>
    <col min="1" max="1" width="9.140625" style="910" customWidth="1"/>
    <col min="2" max="2" width="66" style="910" customWidth="1"/>
    <col min="3" max="3" width="27.85546875" style="910" customWidth="1"/>
    <col min="4" max="4" width="16.85546875" style="910" customWidth="1"/>
    <col min="5" max="5" width="17.5703125" style="910" customWidth="1"/>
    <col min="6" max="6" width="9.140625" style="910"/>
    <col min="7" max="8" width="15" style="910" bestFit="1" customWidth="1"/>
    <col min="9" max="9" width="11" style="910" customWidth="1"/>
    <col min="10" max="10" width="9.140625" style="910" customWidth="1"/>
    <col min="11" max="11" width="15" style="910" bestFit="1" customWidth="1"/>
    <col min="12" max="12" width="16" style="910" bestFit="1" customWidth="1"/>
    <col min="13" max="13" width="9.140625" style="910" customWidth="1"/>
    <col min="14" max="14" width="16.5703125" style="910" customWidth="1"/>
    <col min="15" max="16" width="11.28515625" style="910" bestFit="1" customWidth="1"/>
    <col min="17" max="17" width="10.85546875" style="910" customWidth="1"/>
    <col min="18" max="16384" width="9.140625" style="910"/>
  </cols>
  <sheetData>
    <row r="1" spans="1:12" ht="15.75" x14ac:dyDescent="0.25">
      <c r="A1" s="1660" t="s">
        <v>3643</v>
      </c>
      <c r="B1" s="1661"/>
      <c r="C1" s="1662"/>
      <c r="D1" s="909"/>
      <c r="E1" s="909"/>
      <c r="F1" s="909"/>
      <c r="G1" s="909"/>
      <c r="H1" s="909"/>
      <c r="I1" s="909"/>
      <c r="J1" s="909"/>
      <c r="K1" s="909"/>
    </row>
    <row r="2" spans="1:12" x14ac:dyDescent="0.2">
      <c r="A2" s="909"/>
      <c r="B2" s="909"/>
      <c r="C2" s="909"/>
      <c r="D2" s="909"/>
      <c r="E2" s="909"/>
      <c r="F2" s="909"/>
      <c r="G2" s="909"/>
      <c r="H2" s="909"/>
      <c r="I2" s="909"/>
      <c r="J2" s="909"/>
      <c r="K2" s="909"/>
    </row>
    <row r="3" spans="1:12" x14ac:dyDescent="0.2">
      <c r="A3" s="909"/>
      <c r="B3" s="909"/>
      <c r="C3" s="909"/>
      <c r="D3" s="909"/>
      <c r="E3" s="909"/>
      <c r="F3" s="909"/>
      <c r="G3" s="909"/>
      <c r="H3" s="909"/>
      <c r="I3" s="909"/>
      <c r="J3" s="909"/>
      <c r="K3" s="909"/>
    </row>
    <row r="4" spans="1:12" ht="36" customHeight="1" x14ac:dyDescent="0.2">
      <c r="A4" s="1663" t="s">
        <v>4118</v>
      </c>
      <c r="B4" s="1664"/>
      <c r="C4" s="1664"/>
      <c r="D4" s="929"/>
      <c r="E4" s="909"/>
      <c r="F4" s="909"/>
      <c r="G4" s="909"/>
      <c r="H4" s="909"/>
      <c r="I4" s="909"/>
      <c r="J4" s="909"/>
      <c r="K4" s="909"/>
    </row>
    <row r="5" spans="1:12" ht="12.75" customHeight="1" x14ac:dyDescent="0.2">
      <c r="A5" s="909"/>
      <c r="B5" s="909"/>
      <c r="C5" s="909"/>
      <c r="D5" s="909"/>
      <c r="E5" s="909"/>
      <c r="F5" s="909"/>
      <c r="G5" s="909"/>
      <c r="H5" s="909"/>
      <c r="I5" s="909"/>
      <c r="J5" s="909"/>
      <c r="K5" s="909"/>
    </row>
    <row r="6" spans="1:12" ht="12.75" customHeight="1" x14ac:dyDescent="0.2">
      <c r="A6" s="909"/>
      <c r="B6" s="909"/>
      <c r="C6" s="909"/>
      <c r="D6" s="909"/>
      <c r="E6" s="909"/>
      <c r="F6" s="909"/>
      <c r="G6" s="909"/>
      <c r="H6" s="909"/>
      <c r="I6" s="909"/>
      <c r="J6" s="909"/>
      <c r="K6" s="909"/>
    </row>
    <row r="7" spans="1:12" ht="12.75" customHeight="1" x14ac:dyDescent="0.2">
      <c r="A7" s="911" t="s">
        <v>547</v>
      </c>
      <c r="B7" s="1665" t="s">
        <v>4080</v>
      </c>
      <c r="C7" s="1666"/>
      <c r="D7" s="1666"/>
      <c r="E7" s="1666"/>
      <c r="F7" s="1666"/>
      <c r="G7" s="1666"/>
      <c r="H7" s="1666"/>
      <c r="I7" s="1666"/>
      <c r="J7" s="1666"/>
      <c r="K7" s="1666"/>
      <c r="L7" s="1666"/>
    </row>
    <row r="8" spans="1:12" ht="12.75" customHeight="1" x14ac:dyDescent="0.2">
      <c r="A8" s="909"/>
      <c r="B8" s="909"/>
      <c r="C8" s="909"/>
      <c r="D8" s="909"/>
      <c r="E8" s="909"/>
      <c r="F8" s="909"/>
      <c r="G8" s="675"/>
      <c r="H8" s="675"/>
      <c r="I8" s="912"/>
      <c r="J8" s="675"/>
      <c r="K8" s="909"/>
      <c r="L8" s="675"/>
    </row>
    <row r="9" spans="1:12" ht="12.75" customHeight="1" x14ac:dyDescent="0.2">
      <c r="A9" s="909"/>
      <c r="B9" s="909" t="s">
        <v>3671</v>
      </c>
      <c r="C9" s="909"/>
      <c r="D9" s="675"/>
      <c r="E9" s="909"/>
      <c r="F9" s="675"/>
      <c r="H9" s="675"/>
      <c r="I9" s="675"/>
      <c r="J9" s="909"/>
    </row>
    <row r="10" spans="1:12" ht="12.75" customHeight="1" x14ac:dyDescent="0.2">
      <c r="A10" s="909"/>
      <c r="B10" s="909"/>
      <c r="C10" s="909"/>
      <c r="D10" s="731"/>
      <c r="E10" s="909"/>
      <c r="F10" s="675"/>
      <c r="H10" s="675"/>
      <c r="I10" s="1004"/>
      <c r="J10" s="1005"/>
    </row>
    <row r="11" spans="1:12" ht="12.75" customHeight="1" x14ac:dyDescent="0.2">
      <c r="A11" s="909"/>
      <c r="B11" s="913" t="s">
        <v>2060</v>
      </c>
      <c r="C11" s="909"/>
      <c r="D11" s="752">
        <v>0</v>
      </c>
      <c r="E11" s="909"/>
      <c r="F11" s="913"/>
      <c r="H11" s="675"/>
      <c r="I11" s="1005"/>
      <c r="J11" s="1005"/>
    </row>
    <row r="12" spans="1:12" ht="12.75" customHeight="1" x14ac:dyDescent="0.2">
      <c r="A12" s="909"/>
      <c r="B12" s="913" t="s">
        <v>4078</v>
      </c>
      <c r="C12" s="909"/>
      <c r="D12" s="752">
        <v>0</v>
      </c>
      <c r="E12" s="909" t="s">
        <v>3672</v>
      </c>
      <c r="F12" s="913"/>
      <c r="H12" s="675"/>
      <c r="I12" s="675"/>
      <c r="J12" s="909"/>
    </row>
    <row r="13" spans="1:12" ht="12.75" customHeight="1" x14ac:dyDescent="0.2">
      <c r="A13" s="909"/>
      <c r="B13" s="914" t="s">
        <v>2078</v>
      </c>
      <c r="C13" s="909"/>
      <c r="D13" s="708">
        <f>SUM(D11:D12)</f>
        <v>0</v>
      </c>
      <c r="E13" s="913" t="str">
        <f>IF(D13=1,"=100%","DOES NOT EQUAL 100%!!!")</f>
        <v>DOES NOT EQUAL 100%!!!</v>
      </c>
      <c r="H13" s="675"/>
      <c r="I13" s="675"/>
      <c r="J13" s="909"/>
    </row>
    <row r="14" spans="1:12" ht="12.75" customHeight="1" x14ac:dyDescent="0.2">
      <c r="A14" s="909"/>
      <c r="B14" s="915"/>
      <c r="C14" s="909"/>
      <c r="D14" s="916"/>
      <c r="E14" s="916"/>
      <c r="H14" s="675"/>
      <c r="I14" s="675"/>
      <c r="J14" s="909"/>
    </row>
    <row r="15" spans="1:12" ht="12.75" customHeight="1" x14ac:dyDescent="0.2">
      <c r="A15" s="909"/>
      <c r="B15" s="917" t="s">
        <v>3647</v>
      </c>
      <c r="C15" s="909"/>
      <c r="D15" s="916"/>
      <c r="E15" s="916"/>
      <c r="H15" s="675"/>
      <c r="I15" s="675"/>
      <c r="J15" s="909"/>
    </row>
    <row r="16" spans="1:12" ht="12.75" customHeight="1" x14ac:dyDescent="0.2">
      <c r="A16" s="909"/>
      <c r="B16" s="915" t="s">
        <v>2079</v>
      </c>
      <c r="C16" s="909"/>
      <c r="D16" s="752">
        <v>0</v>
      </c>
      <c r="E16" s="916"/>
      <c r="H16" s="675"/>
      <c r="I16" s="675"/>
      <c r="J16" s="909"/>
    </row>
    <row r="17" spans="1:11" ht="12.75" customHeight="1" x14ac:dyDescent="0.2">
      <c r="A17" s="909"/>
      <c r="B17" s="915" t="s">
        <v>2080</v>
      </c>
      <c r="C17" s="909"/>
      <c r="D17" s="752">
        <v>0</v>
      </c>
      <c r="E17" s="916"/>
      <c r="H17" s="675"/>
      <c r="I17" s="675"/>
      <c r="J17" s="909"/>
    </row>
    <row r="18" spans="1:11" ht="12.75" customHeight="1" x14ac:dyDescent="0.2">
      <c r="A18" s="909"/>
      <c r="B18" s="915" t="s">
        <v>2081</v>
      </c>
      <c r="C18" s="909"/>
      <c r="D18" s="752">
        <v>0</v>
      </c>
      <c r="E18" s="916"/>
      <c r="H18" s="675"/>
      <c r="I18" s="675"/>
      <c r="J18" s="909"/>
    </row>
    <row r="19" spans="1:11" ht="12.75" customHeight="1" x14ac:dyDescent="0.2">
      <c r="A19" s="909"/>
      <c r="B19" s="915" t="s">
        <v>2082</v>
      </c>
      <c r="C19" s="909"/>
      <c r="D19" s="752">
        <v>0</v>
      </c>
      <c r="E19" s="916"/>
      <c r="H19" s="675"/>
      <c r="I19" s="675"/>
      <c r="J19" s="909"/>
    </row>
    <row r="20" spans="1:11" ht="12.75" customHeight="1" x14ac:dyDescent="0.2">
      <c r="A20" s="909"/>
      <c r="B20" s="915" t="s">
        <v>2083</v>
      </c>
      <c r="C20" s="909"/>
      <c r="D20" s="752">
        <v>0</v>
      </c>
      <c r="E20" s="916"/>
      <c r="H20" s="675"/>
      <c r="I20" s="675"/>
      <c r="J20" s="909"/>
    </row>
    <row r="21" spans="1:11" ht="12.75" customHeight="1" x14ac:dyDescent="0.2">
      <c r="A21" s="909"/>
      <c r="B21" s="915" t="s">
        <v>2084</v>
      </c>
      <c r="C21" s="909"/>
      <c r="D21" s="752">
        <v>0</v>
      </c>
      <c r="E21" s="916"/>
      <c r="H21" s="675"/>
      <c r="I21" s="675"/>
      <c r="J21" s="909"/>
    </row>
    <row r="22" spans="1:11" ht="12.75" customHeight="1" x14ac:dyDescent="0.2">
      <c r="A22" s="909"/>
      <c r="B22" s="915" t="s">
        <v>2085</v>
      </c>
      <c r="C22" s="909"/>
      <c r="D22" s="752">
        <v>0</v>
      </c>
      <c r="E22" s="916"/>
      <c r="H22" s="675"/>
      <c r="I22" s="675"/>
      <c r="J22" s="909"/>
    </row>
    <row r="23" spans="1:11" ht="12.75" customHeight="1" x14ac:dyDescent="0.2">
      <c r="A23" s="909"/>
      <c r="B23" s="915" t="s">
        <v>2086</v>
      </c>
      <c r="C23" s="909"/>
      <c r="D23" s="752">
        <v>0</v>
      </c>
      <c r="E23" s="916"/>
      <c r="H23" s="956"/>
      <c r="I23" s="675"/>
      <c r="J23" s="909"/>
    </row>
    <row r="24" spans="1:11" ht="12.75" customHeight="1" x14ac:dyDescent="0.2">
      <c r="A24" s="909"/>
      <c r="B24" s="915" t="s">
        <v>2087</v>
      </c>
      <c r="C24" s="909"/>
      <c r="D24" s="752">
        <v>0</v>
      </c>
      <c r="E24" s="916"/>
      <c r="H24" s="956"/>
      <c r="I24" s="675"/>
      <c r="J24" s="909"/>
    </row>
    <row r="25" spans="1:11" ht="12.75" customHeight="1" x14ac:dyDescent="0.2">
      <c r="A25" s="909"/>
      <c r="B25" s="914" t="s">
        <v>3657</v>
      </c>
      <c r="C25" s="909"/>
      <c r="D25" s="708">
        <f>SUM(D16:D24)</f>
        <v>0</v>
      </c>
      <c r="E25" s="913" t="str">
        <f>IF(D25=D11,"Equals Governmental Activities","DOES NOT EQUAL Governmental Activities!!!")</f>
        <v>Equals Governmental Activities</v>
      </c>
      <c r="H25" s="675"/>
      <c r="I25" s="675"/>
      <c r="J25" s="909"/>
    </row>
    <row r="26" spans="1:11" ht="12.75" customHeight="1" x14ac:dyDescent="0.2">
      <c r="A26" s="909"/>
      <c r="B26" s="909"/>
      <c r="C26" s="909"/>
      <c r="D26" s="675"/>
      <c r="E26" s="909"/>
      <c r="F26" s="675"/>
      <c r="H26" s="675"/>
      <c r="I26" s="675"/>
      <c r="J26" s="909"/>
    </row>
    <row r="27" spans="1:11" x14ac:dyDescent="0.2">
      <c r="A27" s="909"/>
      <c r="B27" s="909"/>
      <c r="C27" s="909"/>
      <c r="D27" s="909"/>
      <c r="E27" s="909"/>
      <c r="F27" s="909"/>
      <c r="G27" s="909"/>
      <c r="H27" s="909"/>
      <c r="I27" s="909"/>
      <c r="J27" s="909"/>
      <c r="K27" s="909"/>
    </row>
    <row r="28" spans="1:11" ht="25.5" customHeight="1" x14ac:dyDescent="0.2">
      <c r="A28" s="911" t="s">
        <v>548</v>
      </c>
      <c r="B28" s="1667" t="s">
        <v>4063</v>
      </c>
      <c r="C28" s="1668"/>
      <c r="D28" s="1668"/>
      <c r="E28" s="1668"/>
      <c r="F28" s="909"/>
      <c r="G28" s="909"/>
      <c r="H28" s="909"/>
      <c r="I28" s="909"/>
      <c r="J28" s="909"/>
      <c r="K28" s="909"/>
    </row>
    <row r="29" spans="1:11" x14ac:dyDescent="0.2">
      <c r="A29" s="909"/>
      <c r="B29" s="909"/>
      <c r="C29" s="909"/>
      <c r="D29" s="909"/>
      <c r="E29" s="909"/>
      <c r="F29" s="909"/>
      <c r="G29" s="909"/>
      <c r="H29" s="909"/>
      <c r="I29" s="909"/>
      <c r="J29" s="909"/>
      <c r="K29" s="909"/>
    </row>
    <row r="30" spans="1:11" x14ac:dyDescent="0.2">
      <c r="A30" s="909"/>
      <c r="B30" s="909"/>
      <c r="C30" s="909"/>
      <c r="D30" s="909"/>
      <c r="E30" s="909"/>
      <c r="F30" s="909"/>
      <c r="G30" s="909"/>
      <c r="H30" s="909"/>
      <c r="I30" s="909"/>
      <c r="J30" s="909"/>
      <c r="K30" s="909"/>
    </row>
    <row r="31" spans="1:11" ht="14.25" x14ac:dyDescent="0.2">
      <c r="A31" s="909"/>
      <c r="B31" s="953" t="s">
        <v>4072</v>
      </c>
      <c r="C31" s="953"/>
      <c r="D31" s="1158"/>
      <c r="E31" s="926"/>
      <c r="F31" s="918"/>
      <c r="G31" s="918"/>
      <c r="H31" s="918"/>
      <c r="I31" s="918"/>
      <c r="J31" s="918"/>
      <c r="K31" s="919"/>
    </row>
    <row r="32" spans="1:11" ht="14.25" x14ac:dyDescent="0.2">
      <c r="A32" s="909"/>
      <c r="B32" s="953" t="s">
        <v>4073</v>
      </c>
      <c r="C32" s="953"/>
      <c r="D32" s="1158"/>
      <c r="E32" s="926"/>
      <c r="F32" s="918"/>
      <c r="G32" s="918"/>
      <c r="H32" s="918"/>
      <c r="I32" s="918"/>
      <c r="J32" s="918"/>
      <c r="K32" s="919"/>
    </row>
    <row r="33" spans="1:17" ht="14.25" x14ac:dyDescent="0.2">
      <c r="A33" s="909"/>
      <c r="B33" s="953" t="s">
        <v>4076</v>
      </c>
      <c r="C33" s="953"/>
      <c r="D33" s="1158"/>
      <c r="E33" s="926"/>
      <c r="F33" s="918"/>
      <c r="G33" s="918"/>
      <c r="H33" s="918"/>
      <c r="I33" s="918"/>
      <c r="J33" s="918"/>
      <c r="K33" s="919"/>
      <c r="M33" s="916"/>
    </row>
    <row r="34" spans="1:17" ht="14.25" x14ac:dyDescent="0.2">
      <c r="A34" s="909"/>
      <c r="B34" s="955" t="s">
        <v>3675</v>
      </c>
      <c r="C34" s="953"/>
      <c r="D34" s="1158"/>
      <c r="E34" s="920"/>
      <c r="F34" s="918"/>
      <c r="G34" s="918"/>
      <c r="H34" s="918"/>
      <c r="I34" s="918"/>
      <c r="J34" s="918"/>
      <c r="K34" s="919"/>
      <c r="M34" s="916"/>
    </row>
    <row r="35" spans="1:17" ht="14.25" customHeight="1" x14ac:dyDescent="0.2">
      <c r="A35" s="909"/>
      <c r="B35" s="955" t="s">
        <v>4066</v>
      </c>
      <c r="C35" s="953"/>
      <c r="D35" s="1158"/>
      <c r="E35" s="920"/>
      <c r="F35" s="918" t="s">
        <v>4785</v>
      </c>
      <c r="G35" s="918"/>
      <c r="H35" s="918"/>
      <c r="I35" s="918"/>
      <c r="J35" s="918"/>
      <c r="K35" s="919"/>
      <c r="M35" s="916"/>
    </row>
    <row r="36" spans="1:17" ht="36" customHeight="1" x14ac:dyDescent="0.2">
      <c r="A36" s="909"/>
      <c r="B36" s="1657" t="s">
        <v>4792</v>
      </c>
      <c r="C36" s="1657"/>
      <c r="D36" s="1158"/>
      <c r="E36" s="920"/>
      <c r="F36" s="1658"/>
      <c r="G36" s="1658"/>
      <c r="H36" s="1658"/>
      <c r="I36" s="1658"/>
      <c r="J36" s="1658"/>
      <c r="K36" s="1658"/>
      <c r="M36" s="916"/>
    </row>
    <row r="37" spans="1:17" ht="40.5" customHeight="1" x14ac:dyDescent="0.2">
      <c r="A37" s="909"/>
      <c r="B37" s="1657" t="s">
        <v>4794</v>
      </c>
      <c r="C37" s="1657"/>
      <c r="D37" s="1158"/>
      <c r="E37" s="920"/>
      <c r="F37" s="1658"/>
      <c r="G37" s="1658"/>
      <c r="H37" s="1658"/>
      <c r="I37" s="1658"/>
      <c r="J37" s="1658"/>
      <c r="K37" s="1658"/>
      <c r="M37" s="916"/>
    </row>
    <row r="38" spans="1:17" ht="14.25" customHeight="1" x14ac:dyDescent="0.2">
      <c r="A38" s="909"/>
      <c r="B38" s="1659" t="s">
        <v>3673</v>
      </c>
      <c r="C38" s="1659"/>
      <c r="D38" s="1158"/>
      <c r="E38" s="918"/>
      <c r="F38" s="1659"/>
      <c r="G38" s="1659"/>
      <c r="H38" s="1659"/>
      <c r="I38" s="1659"/>
      <c r="J38" s="1659"/>
      <c r="K38" s="1659"/>
      <c r="M38" s="916"/>
    </row>
    <row r="39" spans="1:17" ht="14.25" customHeight="1" x14ac:dyDescent="0.2">
      <c r="A39" s="909"/>
      <c r="B39" s="1659" t="s">
        <v>3674</v>
      </c>
      <c r="C39" s="1659"/>
      <c r="D39" s="1158"/>
      <c r="E39" s="918"/>
      <c r="F39" s="1659"/>
      <c r="G39" s="1659"/>
      <c r="H39" s="1659"/>
      <c r="I39" s="1659"/>
      <c r="J39" s="1659"/>
      <c r="K39" s="1659"/>
      <c r="M39" s="921"/>
    </row>
    <row r="40" spans="1:17" x14ac:dyDescent="0.2">
      <c r="A40" s="909"/>
      <c r="B40" s="909"/>
      <c r="C40" s="909"/>
      <c r="D40" s="909"/>
      <c r="E40" s="909"/>
      <c r="F40" s="909"/>
      <c r="G40" s="909"/>
      <c r="H40" s="909"/>
      <c r="I40" s="909"/>
      <c r="J40" s="909"/>
      <c r="K40" s="909"/>
      <c r="M40" s="916"/>
    </row>
    <row r="41" spans="1:17" ht="38.25" x14ac:dyDescent="0.2">
      <c r="A41" s="911" t="s">
        <v>816</v>
      </c>
      <c r="B41" s="922" t="s">
        <v>3980</v>
      </c>
      <c r="C41" s="909"/>
      <c r="D41" s="909"/>
      <c r="E41" s="909"/>
      <c r="F41" s="909"/>
      <c r="G41" s="909"/>
      <c r="H41" s="909"/>
      <c r="I41" s="909"/>
      <c r="J41" s="929"/>
      <c r="K41" s="929"/>
      <c r="L41" s="928"/>
      <c r="M41" s="923"/>
      <c r="N41" s="928"/>
      <c r="O41" s="951"/>
      <c r="P41" s="928"/>
      <c r="Q41" s="928"/>
    </row>
    <row r="42" spans="1:17" x14ac:dyDescent="0.2">
      <c r="A42" s="909"/>
      <c r="B42" s="909"/>
      <c r="C42" s="909"/>
      <c r="D42" s="909"/>
      <c r="E42" s="929"/>
      <c r="F42" s="909"/>
      <c r="G42" s="909"/>
      <c r="H42" s="909"/>
      <c r="I42" s="909"/>
      <c r="J42" s="929"/>
      <c r="K42" s="929"/>
      <c r="L42" s="928"/>
      <c r="M42" s="923"/>
      <c r="N42" s="928"/>
      <c r="O42" s="951"/>
      <c r="P42" s="928"/>
      <c r="Q42" s="928"/>
    </row>
    <row r="43" spans="1:17" x14ac:dyDescent="0.2">
      <c r="A43" s="909"/>
      <c r="B43" s="909"/>
      <c r="C43" s="909"/>
      <c r="D43" s="856"/>
      <c r="E43" s="929"/>
      <c r="F43" s="909"/>
      <c r="G43" s="909"/>
      <c r="H43" s="909"/>
      <c r="I43" s="909"/>
      <c r="J43" s="929"/>
      <c r="K43" s="929"/>
      <c r="L43" s="928"/>
      <c r="M43" s="916"/>
      <c r="N43" s="928"/>
      <c r="O43" s="951"/>
      <c r="P43" s="928"/>
      <c r="Q43" s="928"/>
    </row>
    <row r="44" spans="1:17" ht="27" customHeight="1" x14ac:dyDescent="0.2">
      <c r="A44" s="909"/>
      <c r="B44" s="1650" t="s">
        <v>4786</v>
      </c>
      <c r="C44" s="1650"/>
      <c r="D44" s="1159"/>
      <c r="E44" s="929"/>
      <c r="F44" s="909"/>
      <c r="G44" s="909"/>
      <c r="H44" s="909"/>
      <c r="I44" s="909"/>
      <c r="J44" s="929"/>
      <c r="K44" s="952"/>
      <c r="L44" s="928"/>
      <c r="M44" s="952"/>
      <c r="N44" s="928"/>
      <c r="O44" s="952"/>
      <c r="P44" s="928"/>
      <c r="Q44" s="928"/>
    </row>
    <row r="45" spans="1:17" x14ac:dyDescent="0.2">
      <c r="A45" s="909"/>
      <c r="B45" s="909"/>
      <c r="C45" s="909"/>
      <c r="D45" s="856"/>
      <c r="E45" s="929"/>
      <c r="F45" s="909"/>
      <c r="G45" s="909"/>
      <c r="H45" s="909"/>
      <c r="I45" s="909"/>
      <c r="J45" s="929"/>
      <c r="K45" s="929"/>
      <c r="L45" s="928"/>
      <c r="M45" s="916"/>
      <c r="N45" s="928"/>
      <c r="O45" s="951"/>
      <c r="P45" s="928"/>
      <c r="Q45" s="928"/>
    </row>
    <row r="46" spans="1:17" ht="29.25" customHeight="1" x14ac:dyDescent="0.2">
      <c r="A46" s="909"/>
      <c r="B46" s="1650" t="s">
        <v>4787</v>
      </c>
      <c r="C46" s="1650"/>
      <c r="D46" s="1159">
        <v>0</v>
      </c>
      <c r="E46" s="929"/>
      <c r="F46" s="909"/>
      <c r="G46" s="909"/>
      <c r="H46" s="909"/>
      <c r="I46" s="909"/>
      <c r="J46" s="929"/>
      <c r="K46" s="929"/>
      <c r="L46" s="928"/>
      <c r="M46" s="921"/>
      <c r="N46" s="928"/>
      <c r="O46" s="951"/>
      <c r="P46" s="928"/>
      <c r="Q46" s="928"/>
    </row>
    <row r="47" spans="1:17" x14ac:dyDescent="0.2">
      <c r="A47" s="909"/>
      <c r="B47" s="909"/>
      <c r="C47" s="909"/>
      <c r="D47" s="909"/>
      <c r="E47" s="929"/>
      <c r="F47" s="909"/>
      <c r="G47" s="909"/>
      <c r="H47" s="909"/>
      <c r="I47" s="909"/>
      <c r="J47" s="929"/>
      <c r="K47" s="929"/>
      <c r="L47" s="928"/>
      <c r="M47" s="921"/>
      <c r="N47" s="928"/>
      <c r="O47" s="951"/>
      <c r="P47" s="951"/>
      <c r="Q47" s="928"/>
    </row>
    <row r="48" spans="1:17" ht="12.75" hidden="1" customHeight="1" x14ac:dyDescent="0.2">
      <c r="A48" s="909"/>
      <c r="B48" s="909"/>
      <c r="C48" s="909"/>
      <c r="D48" s="909"/>
      <c r="E48" s="929"/>
      <c r="F48" s="909"/>
      <c r="G48" s="909"/>
      <c r="H48" s="909"/>
      <c r="I48" s="909"/>
      <c r="J48" s="929"/>
      <c r="K48" s="929"/>
      <c r="L48" s="928"/>
      <c r="M48" s="916"/>
      <c r="N48" s="951"/>
      <c r="O48" s="94"/>
      <c r="P48" s="94"/>
      <c r="Q48" s="951"/>
    </row>
    <row r="49" spans="1:17" ht="14.25" hidden="1" customHeight="1" x14ac:dyDescent="0.2">
      <c r="A49" s="909"/>
      <c r="B49" s="918" t="s">
        <v>4074</v>
      </c>
      <c r="C49" s="918"/>
      <c r="D49" s="918"/>
      <c r="E49" s="957"/>
      <c r="F49" s="918"/>
      <c r="G49" s="918"/>
      <c r="H49" s="918"/>
      <c r="I49" s="918"/>
      <c r="J49" s="957"/>
      <c r="K49" s="928"/>
      <c r="L49" s="951"/>
      <c r="M49" s="923"/>
      <c r="N49" s="951"/>
      <c r="O49" s="94"/>
      <c r="P49" s="94"/>
      <c r="Q49" s="951"/>
    </row>
    <row r="50" spans="1:17" ht="14.25" hidden="1" customHeight="1" x14ac:dyDescent="0.2">
      <c r="A50" s="909"/>
      <c r="B50" s="918" t="s">
        <v>3645</v>
      </c>
      <c r="C50" s="918"/>
      <c r="D50" s="918"/>
      <c r="E50" s="918"/>
      <c r="F50" s="918"/>
      <c r="G50" s="918"/>
      <c r="H50" s="918"/>
      <c r="I50" s="918"/>
      <c r="J50" s="957"/>
      <c r="K50" s="928"/>
      <c r="L50" s="997"/>
      <c r="M50" s="923"/>
      <c r="N50" s="951"/>
      <c r="O50" s="94"/>
      <c r="P50" s="94"/>
      <c r="Q50" s="951"/>
    </row>
    <row r="51" spans="1:17" ht="14.25" hidden="1" customHeight="1" x14ac:dyDescent="0.2">
      <c r="A51" s="909"/>
      <c r="B51" s="918" t="s">
        <v>3644</v>
      </c>
      <c r="C51" s="918"/>
      <c r="D51" s="918"/>
      <c r="E51" s="918"/>
      <c r="F51" s="918"/>
      <c r="G51" s="918"/>
      <c r="H51" s="918"/>
      <c r="I51" s="918"/>
      <c r="J51" s="957"/>
      <c r="K51" s="928"/>
      <c r="L51" s="951"/>
      <c r="M51" s="916"/>
      <c r="N51" s="951"/>
      <c r="O51" s="94"/>
      <c r="P51" s="94"/>
      <c r="Q51" s="951"/>
    </row>
    <row r="52" spans="1:17" ht="14.25" hidden="1" customHeight="1" x14ac:dyDescent="0.2">
      <c r="A52" s="909"/>
      <c r="B52" s="918" t="s">
        <v>3622</v>
      </c>
      <c r="C52" s="918"/>
      <c r="D52" s="918"/>
      <c r="E52" s="918"/>
      <c r="F52" s="918"/>
      <c r="G52" s="918"/>
      <c r="H52" s="918"/>
      <c r="I52" s="918"/>
      <c r="J52" s="957"/>
      <c r="K52" s="928"/>
      <c r="L52" s="998"/>
      <c r="M52" s="916"/>
      <c r="N52" s="951"/>
      <c r="O52" s="94"/>
      <c r="P52" s="94"/>
      <c r="Q52" s="951"/>
    </row>
    <row r="53" spans="1:17" ht="14.25" hidden="1" customHeight="1" x14ac:dyDescent="0.2">
      <c r="A53" s="909"/>
      <c r="B53" s="918" t="s">
        <v>3623</v>
      </c>
      <c r="C53" s="918"/>
      <c r="D53" s="918"/>
      <c r="E53" s="918"/>
      <c r="F53" s="918"/>
      <c r="G53" s="918"/>
      <c r="H53" s="918"/>
      <c r="I53" s="918"/>
      <c r="J53" s="999"/>
      <c r="K53" s="928"/>
      <c r="L53" s="928"/>
      <c r="M53" s="916"/>
      <c r="N53" s="951"/>
      <c r="O53" s="94"/>
      <c r="P53" s="94"/>
      <c r="Q53" s="951"/>
    </row>
    <row r="54" spans="1:17" ht="14.25" hidden="1" customHeight="1" x14ac:dyDescent="0.2">
      <c r="A54" s="909"/>
      <c r="B54" s="918" t="s">
        <v>3624</v>
      </c>
      <c r="C54" s="918"/>
      <c r="D54" s="918"/>
      <c r="E54" s="918"/>
      <c r="F54" s="918"/>
      <c r="G54" s="918"/>
      <c r="H54" s="918"/>
      <c r="I54" s="918"/>
      <c r="J54" s="957"/>
      <c r="K54" s="928"/>
      <c r="L54" s="951"/>
      <c r="M54" s="951"/>
      <c r="N54" s="951"/>
      <c r="O54" s="94"/>
      <c r="P54" s="94"/>
      <c r="Q54" s="951"/>
    </row>
    <row r="55" spans="1:17" ht="14.25" hidden="1" customHeight="1" x14ac:dyDescent="0.2">
      <c r="A55" s="909"/>
      <c r="B55" s="918" t="s">
        <v>3625</v>
      </c>
      <c r="C55" s="918"/>
      <c r="D55" s="918"/>
      <c r="E55" s="918"/>
      <c r="F55" s="918"/>
      <c r="G55" s="918"/>
      <c r="H55" s="918"/>
      <c r="I55" s="918"/>
      <c r="J55" s="957"/>
      <c r="K55" s="928"/>
      <c r="L55" s="94"/>
      <c r="M55" s="951"/>
      <c r="N55" s="951"/>
      <c r="O55" s="94"/>
      <c r="P55" s="94"/>
      <c r="Q55" s="951"/>
    </row>
    <row r="56" spans="1:17" ht="14.25" hidden="1" customHeight="1" x14ac:dyDescent="0.2">
      <c r="A56" s="909"/>
      <c r="B56" s="918" t="s">
        <v>3626</v>
      </c>
      <c r="C56" s="918"/>
      <c r="D56" s="918"/>
      <c r="E56" s="918"/>
      <c r="F56" s="918"/>
      <c r="G56" s="918"/>
      <c r="H56" s="918"/>
      <c r="I56" s="918"/>
      <c r="J56" s="957"/>
      <c r="K56" s="928"/>
      <c r="L56" s="951"/>
      <c r="M56" s="951"/>
      <c r="N56" s="951"/>
      <c r="O56" s="94"/>
      <c r="P56" s="94"/>
      <c r="Q56" s="951"/>
    </row>
    <row r="57" spans="1:17" ht="14.25" hidden="1" customHeight="1" x14ac:dyDescent="0.2">
      <c r="A57" s="909"/>
      <c r="B57" s="918" t="s">
        <v>3627</v>
      </c>
      <c r="C57" s="918"/>
      <c r="D57" s="918"/>
      <c r="E57" s="918"/>
      <c r="F57" s="918"/>
      <c r="G57" s="918"/>
      <c r="H57" s="918"/>
      <c r="I57" s="918"/>
      <c r="J57" s="957"/>
      <c r="K57" s="928"/>
      <c r="L57" s="997"/>
      <c r="M57" s="951"/>
      <c r="N57" s="951"/>
      <c r="O57" s="94"/>
      <c r="P57" s="94"/>
      <c r="Q57" s="951"/>
    </row>
    <row r="58" spans="1:17" ht="14.25" hidden="1" customHeight="1" x14ac:dyDescent="0.2">
      <c r="A58" s="909"/>
      <c r="B58" s="918" t="s">
        <v>3628</v>
      </c>
      <c r="C58" s="918"/>
      <c r="D58" s="918"/>
      <c r="E58" s="918"/>
      <c r="F58" s="918"/>
      <c r="G58" s="918"/>
      <c r="H58" s="918"/>
      <c r="I58" s="918"/>
      <c r="J58" s="957"/>
      <c r="K58" s="928"/>
      <c r="L58" s="997"/>
      <c r="M58" s="951"/>
      <c r="N58" s="951"/>
      <c r="O58" s="94"/>
      <c r="P58" s="94"/>
      <c r="Q58" s="951"/>
    </row>
    <row r="59" spans="1:17" ht="14.25" hidden="1" customHeight="1" x14ac:dyDescent="0.2">
      <c r="A59" s="909"/>
      <c r="B59" s="918" t="s">
        <v>3629</v>
      </c>
      <c r="C59" s="918"/>
      <c r="D59" s="918"/>
      <c r="E59" s="918"/>
      <c r="F59" s="918"/>
      <c r="G59" s="918"/>
      <c r="H59" s="918"/>
      <c r="I59" s="918"/>
      <c r="J59" s="957"/>
      <c r="K59" s="928"/>
      <c r="L59" s="93"/>
      <c r="M59" s="951"/>
      <c r="N59" s="951"/>
      <c r="O59" s="94"/>
      <c r="P59" s="94"/>
      <c r="Q59" s="951"/>
    </row>
    <row r="60" spans="1:17" ht="14.25" hidden="1" customHeight="1" x14ac:dyDescent="0.2">
      <c r="A60" s="909"/>
      <c r="B60" s="918" t="s">
        <v>3659</v>
      </c>
      <c r="C60" s="918"/>
      <c r="D60" s="918"/>
      <c r="E60" s="918"/>
      <c r="F60" s="918"/>
      <c r="G60" s="918"/>
      <c r="H60" s="918"/>
      <c r="I60" s="918"/>
      <c r="J60" s="957"/>
      <c r="K60" s="928"/>
      <c r="L60" s="997"/>
      <c r="M60" s="951"/>
      <c r="N60" s="951"/>
      <c r="O60" s="94"/>
      <c r="P60" s="94"/>
      <c r="Q60" s="951"/>
    </row>
    <row r="61" spans="1:17" ht="14.25" hidden="1" customHeight="1" x14ac:dyDescent="0.2">
      <c r="A61" s="909"/>
      <c r="B61" s="918" t="s">
        <v>3661</v>
      </c>
      <c r="C61" s="918"/>
      <c r="D61" s="918"/>
      <c r="E61" s="918"/>
      <c r="F61" s="918"/>
      <c r="G61" s="918"/>
      <c r="H61" s="918"/>
      <c r="I61" s="918"/>
      <c r="J61" s="957"/>
      <c r="K61" s="928"/>
      <c r="L61" s="997"/>
      <c r="M61" s="951"/>
      <c r="N61" s="951"/>
      <c r="O61" s="94"/>
      <c r="P61" s="94"/>
      <c r="Q61" s="951"/>
    </row>
    <row r="62" spans="1:17" ht="14.25" hidden="1" customHeight="1" x14ac:dyDescent="0.2">
      <c r="A62" s="909"/>
      <c r="B62" s="918" t="s">
        <v>3658</v>
      </c>
      <c r="C62" s="918"/>
      <c r="D62" s="918"/>
      <c r="E62" s="918"/>
      <c r="F62" s="918"/>
      <c r="G62" s="918"/>
      <c r="H62" s="918"/>
      <c r="I62" s="918"/>
      <c r="J62" s="957"/>
      <c r="K62" s="928"/>
      <c r="L62" s="951"/>
      <c r="M62" s="951"/>
      <c r="N62" s="951"/>
      <c r="O62" s="94"/>
      <c r="P62" s="94"/>
      <c r="Q62" s="951"/>
    </row>
    <row r="63" spans="1:17" ht="14.25" hidden="1" customHeight="1" x14ac:dyDescent="0.2">
      <c r="A63" s="909"/>
      <c r="B63" s="918" t="s">
        <v>3660</v>
      </c>
      <c r="C63" s="918"/>
      <c r="D63" s="918"/>
      <c r="E63" s="918"/>
      <c r="F63" s="918"/>
      <c r="G63" s="918"/>
      <c r="H63" s="918"/>
      <c r="I63" s="918"/>
      <c r="J63" s="957"/>
      <c r="K63" s="928"/>
      <c r="L63" s="951"/>
      <c r="M63" s="951"/>
      <c r="N63" s="951"/>
      <c r="O63" s="94"/>
      <c r="P63" s="94"/>
      <c r="Q63" s="951"/>
    </row>
    <row r="64" spans="1:17" ht="14.25" hidden="1" customHeight="1" x14ac:dyDescent="0.2">
      <c r="A64" s="909"/>
      <c r="C64" s="918"/>
      <c r="D64" s="918"/>
      <c r="E64" s="918"/>
      <c r="F64" s="918"/>
      <c r="G64" s="918"/>
      <c r="H64" s="918"/>
      <c r="I64" s="918"/>
      <c r="J64" s="957"/>
      <c r="K64" s="928"/>
      <c r="L64" s="951"/>
      <c r="M64" s="951"/>
      <c r="N64" s="951"/>
      <c r="O64" s="94"/>
      <c r="P64" s="94"/>
      <c r="Q64" s="951"/>
    </row>
    <row r="65" spans="1:17" ht="14.25" hidden="1" customHeight="1" x14ac:dyDescent="0.2">
      <c r="A65" s="909"/>
      <c r="C65" s="918"/>
      <c r="D65" s="918"/>
      <c r="E65" s="918"/>
      <c r="F65" s="918"/>
      <c r="G65" s="918"/>
      <c r="H65" s="918"/>
      <c r="I65" s="918"/>
      <c r="J65" s="957"/>
      <c r="K65" s="928"/>
      <c r="L65" s="928"/>
      <c r="M65" s="951"/>
      <c r="N65" s="951"/>
      <c r="O65" s="94"/>
      <c r="P65" s="94"/>
      <c r="Q65" s="951"/>
    </row>
    <row r="66" spans="1:17" ht="14.25" hidden="1" customHeight="1" x14ac:dyDescent="0.2">
      <c r="A66" s="909"/>
      <c r="B66" s="918" t="s">
        <v>3630</v>
      </c>
      <c r="C66" s="918"/>
      <c r="D66" s="918"/>
      <c r="E66" s="918"/>
      <c r="F66" s="918"/>
      <c r="G66" s="918"/>
      <c r="H66" s="918"/>
      <c r="I66" s="954"/>
      <c r="J66" s="957"/>
      <c r="K66" s="928"/>
      <c r="L66" s="1000"/>
      <c r="M66" s="951"/>
      <c r="N66" s="951"/>
      <c r="O66" s="94"/>
      <c r="P66" s="94"/>
      <c r="Q66" s="951"/>
    </row>
    <row r="67" spans="1:17" ht="14.25" hidden="1" customHeight="1" x14ac:dyDescent="0.2">
      <c r="A67" s="909"/>
      <c r="B67" s="918"/>
      <c r="C67" s="918" t="s">
        <v>3631</v>
      </c>
      <c r="D67" s="918"/>
      <c r="E67" s="918"/>
      <c r="F67" s="918"/>
      <c r="G67" s="918"/>
      <c r="H67" s="918"/>
      <c r="I67" s="918"/>
      <c r="J67" s="957"/>
      <c r="K67" s="1001"/>
      <c r="L67" s="94"/>
      <c r="M67" s="951"/>
      <c r="N67" s="951"/>
      <c r="O67" s="94"/>
      <c r="P67" s="94"/>
      <c r="Q67" s="951"/>
    </row>
    <row r="68" spans="1:17" ht="14.25" hidden="1" customHeight="1" x14ac:dyDescent="0.2">
      <c r="A68" s="909"/>
      <c r="B68" s="918"/>
      <c r="C68" s="918"/>
      <c r="D68" s="918"/>
      <c r="E68" s="918"/>
      <c r="F68" s="918"/>
      <c r="G68" s="918"/>
      <c r="H68" s="918"/>
      <c r="I68" s="918"/>
      <c r="J68" s="957"/>
      <c r="K68" s="1002"/>
      <c r="L68" s="998"/>
      <c r="M68" s="951"/>
      <c r="N68" s="951"/>
      <c r="O68" s="94"/>
      <c r="P68" s="94"/>
      <c r="Q68" s="951"/>
    </row>
    <row r="69" spans="1:17" ht="14.25" hidden="1" customHeight="1" x14ac:dyDescent="0.2">
      <c r="A69" s="909"/>
      <c r="B69" s="918"/>
      <c r="C69" s="918"/>
      <c r="D69" s="918"/>
      <c r="E69" s="918"/>
      <c r="F69" s="918"/>
      <c r="G69" s="918"/>
      <c r="H69" s="918"/>
      <c r="I69" s="918"/>
      <c r="J69" s="957"/>
      <c r="K69" s="1002"/>
      <c r="L69" s="951"/>
      <c r="M69" s="951"/>
      <c r="N69" s="951"/>
      <c r="O69" s="94"/>
      <c r="P69" s="94"/>
      <c r="Q69" s="951"/>
    </row>
    <row r="70" spans="1:17" ht="14.25" hidden="1" customHeight="1" x14ac:dyDescent="0.2">
      <c r="A70" s="909"/>
      <c r="B70" s="918"/>
      <c r="C70" s="918"/>
      <c r="D70" s="918"/>
      <c r="E70" s="918"/>
      <c r="F70" s="918"/>
      <c r="G70" s="918"/>
      <c r="H70" s="918"/>
      <c r="I70" s="918"/>
      <c r="J70" s="957"/>
      <c r="K70" s="1002"/>
      <c r="L70" s="951"/>
      <c r="M70" s="951"/>
      <c r="N70" s="929"/>
      <c r="O70" s="94"/>
      <c r="P70" s="94"/>
      <c r="Q70" s="951"/>
    </row>
    <row r="71" spans="1:17" ht="28.5" hidden="1" customHeight="1" x14ac:dyDescent="0.2">
      <c r="A71" s="909"/>
      <c r="B71" s="927" t="s">
        <v>3632</v>
      </c>
      <c r="C71" s="918"/>
      <c r="D71" s="918"/>
      <c r="E71" s="918"/>
      <c r="F71" s="918"/>
      <c r="G71" s="918"/>
      <c r="H71" s="918"/>
      <c r="I71" s="918"/>
      <c r="J71" s="957"/>
      <c r="K71" s="928"/>
      <c r="L71" s="951"/>
      <c r="M71" s="951"/>
      <c r="N71" s="951"/>
      <c r="O71" s="94"/>
      <c r="P71" s="94"/>
      <c r="Q71" s="951"/>
    </row>
    <row r="72" spans="1:17" ht="14.25" hidden="1" customHeight="1" x14ac:dyDescent="0.2">
      <c r="A72" s="909"/>
      <c r="B72" s="947" t="s">
        <v>3648</v>
      </c>
      <c r="C72" s="918"/>
      <c r="D72" s="918"/>
      <c r="E72" s="918"/>
      <c r="F72" s="918"/>
      <c r="G72" s="918"/>
      <c r="H72" s="918"/>
      <c r="I72" s="918"/>
      <c r="J72" s="957"/>
      <c r="K72" s="928"/>
      <c r="L72" s="997"/>
      <c r="M72" s="951"/>
      <c r="N72" s="951"/>
      <c r="O72" s="94"/>
      <c r="P72" s="94"/>
      <c r="Q72" s="951"/>
    </row>
    <row r="73" spans="1:17" ht="14.25" hidden="1" customHeight="1" x14ac:dyDescent="0.2">
      <c r="A73" s="909"/>
      <c r="B73" s="948" t="s">
        <v>3649</v>
      </c>
      <c r="C73" s="918"/>
      <c r="D73" s="918"/>
      <c r="E73" s="918"/>
      <c r="F73" s="918"/>
      <c r="G73" s="918"/>
      <c r="H73" s="918"/>
      <c r="I73" s="918"/>
      <c r="J73" s="957"/>
      <c r="K73" s="928"/>
      <c r="L73" s="997"/>
      <c r="M73" s="951"/>
      <c r="N73" s="951"/>
      <c r="O73" s="94"/>
      <c r="P73" s="94"/>
      <c r="Q73" s="951"/>
    </row>
    <row r="74" spans="1:17" ht="14.25" hidden="1" customHeight="1" x14ac:dyDescent="0.2">
      <c r="A74" s="909"/>
      <c r="B74" s="948" t="s">
        <v>3650</v>
      </c>
      <c r="C74" s="918"/>
      <c r="D74" s="918"/>
      <c r="E74" s="918"/>
      <c r="F74" s="918"/>
      <c r="G74" s="918"/>
      <c r="H74" s="918"/>
      <c r="I74" s="918"/>
      <c r="J74" s="957"/>
      <c r="K74" s="928"/>
      <c r="L74" s="997"/>
      <c r="M74" s="951"/>
      <c r="N74" s="951"/>
      <c r="O74" s="94"/>
      <c r="P74" s="94"/>
      <c r="Q74" s="951"/>
    </row>
    <row r="75" spans="1:17" ht="14.25" hidden="1" customHeight="1" x14ac:dyDescent="0.2">
      <c r="A75" s="909"/>
      <c r="B75" s="948" t="s">
        <v>3651</v>
      </c>
      <c r="C75" s="918"/>
      <c r="D75" s="918"/>
      <c r="E75" s="918"/>
      <c r="F75" s="918"/>
      <c r="G75" s="918"/>
      <c r="H75" s="918"/>
      <c r="I75" s="918"/>
      <c r="J75" s="957"/>
      <c r="K75" s="928"/>
      <c r="L75" s="997"/>
      <c r="M75" s="951"/>
      <c r="N75" s="951"/>
      <c r="O75" s="94"/>
      <c r="P75" s="94"/>
      <c r="Q75" s="951"/>
    </row>
    <row r="76" spans="1:17" ht="14.25" hidden="1" customHeight="1" x14ac:dyDescent="0.2">
      <c r="A76" s="909"/>
      <c r="B76" s="948" t="s">
        <v>3652</v>
      </c>
      <c r="C76" s="918"/>
      <c r="D76" s="918"/>
      <c r="E76" s="918"/>
      <c r="F76" s="918"/>
      <c r="G76" s="918"/>
      <c r="H76" s="918"/>
      <c r="I76" s="918"/>
      <c r="J76" s="957"/>
      <c r="K76" s="928"/>
      <c r="L76" s="997"/>
      <c r="M76" s="951"/>
      <c r="N76" s="951"/>
      <c r="O76" s="94"/>
      <c r="P76" s="94"/>
      <c r="Q76" s="951"/>
    </row>
    <row r="77" spans="1:17" ht="14.25" hidden="1" customHeight="1" x14ac:dyDescent="0.2">
      <c r="A77" s="909"/>
      <c r="B77" s="948" t="s">
        <v>3653</v>
      </c>
      <c r="C77" s="918"/>
      <c r="D77" s="918"/>
      <c r="E77" s="918"/>
      <c r="F77" s="918"/>
      <c r="G77" s="918"/>
      <c r="H77" s="918"/>
      <c r="I77" s="918"/>
      <c r="J77" s="957"/>
      <c r="K77" s="928"/>
      <c r="L77" s="997"/>
      <c r="M77" s="951"/>
      <c r="N77" s="951"/>
      <c r="O77" s="94"/>
      <c r="P77" s="94"/>
      <c r="Q77" s="951"/>
    </row>
    <row r="78" spans="1:17" ht="14.25" hidden="1" customHeight="1" x14ac:dyDescent="0.2">
      <c r="A78" s="909"/>
      <c r="B78" s="948" t="s">
        <v>3654</v>
      </c>
      <c r="C78" s="918"/>
      <c r="D78" s="918"/>
      <c r="E78" s="918"/>
      <c r="F78" s="918"/>
      <c r="G78" s="918"/>
      <c r="H78" s="918"/>
      <c r="I78" s="918"/>
      <c r="J78" s="957"/>
      <c r="K78" s="928"/>
      <c r="L78" s="997"/>
      <c r="M78" s="951"/>
      <c r="N78" s="951"/>
      <c r="O78" s="94"/>
      <c r="P78" s="94"/>
      <c r="Q78" s="951"/>
    </row>
    <row r="79" spans="1:17" ht="14.25" hidden="1" customHeight="1" x14ac:dyDescent="0.2">
      <c r="A79" s="909"/>
      <c r="B79" s="948" t="s">
        <v>3655</v>
      </c>
      <c r="C79" s="918"/>
      <c r="D79" s="918"/>
      <c r="E79" s="918"/>
      <c r="F79" s="918"/>
      <c r="G79" s="918"/>
      <c r="H79" s="918"/>
      <c r="I79" s="918"/>
      <c r="J79" s="957"/>
      <c r="K79" s="928"/>
      <c r="L79" s="997"/>
      <c r="M79" s="951"/>
      <c r="N79" s="951"/>
      <c r="O79" s="94"/>
      <c r="P79" s="94"/>
      <c r="Q79" s="951"/>
    </row>
    <row r="80" spans="1:17" ht="14.25" hidden="1" customHeight="1" x14ac:dyDescent="0.2">
      <c r="A80" s="909"/>
      <c r="B80" s="948" t="s">
        <v>3656</v>
      </c>
      <c r="C80" s="918"/>
      <c r="D80" s="918"/>
      <c r="E80" s="918"/>
      <c r="F80" s="918"/>
      <c r="G80" s="918"/>
      <c r="H80" s="918"/>
      <c r="I80" s="918"/>
      <c r="J80" s="957"/>
      <c r="K80" s="928"/>
      <c r="L80" s="997"/>
      <c r="M80" s="951"/>
      <c r="N80" s="951"/>
      <c r="O80" s="94"/>
      <c r="P80" s="94"/>
      <c r="Q80" s="951"/>
    </row>
    <row r="81" spans="1:17" ht="14.25" hidden="1" customHeight="1" x14ac:dyDescent="0.2">
      <c r="A81" s="909"/>
      <c r="B81" s="909"/>
      <c r="C81" s="918"/>
      <c r="D81" s="918"/>
      <c r="E81" s="918"/>
      <c r="F81" s="918"/>
      <c r="G81" s="918"/>
      <c r="H81" s="918"/>
      <c r="I81" s="918"/>
      <c r="J81" s="957"/>
      <c r="K81" s="928"/>
      <c r="L81" s="928"/>
      <c r="M81" s="951"/>
      <c r="N81" s="951"/>
      <c r="O81" s="94"/>
      <c r="P81" s="94"/>
      <c r="Q81" s="951"/>
    </row>
    <row r="82" spans="1:17" ht="14.25" hidden="1" customHeight="1" x14ac:dyDescent="0.2">
      <c r="A82" s="909"/>
      <c r="B82" s="918"/>
      <c r="C82" s="918" t="s">
        <v>3633</v>
      </c>
      <c r="D82" s="918"/>
      <c r="E82" s="918"/>
      <c r="F82" s="918"/>
      <c r="G82" s="918"/>
      <c r="H82" s="918"/>
      <c r="I82" s="918"/>
      <c r="J82" s="957"/>
      <c r="K82" s="928"/>
      <c r="L82" s="951"/>
      <c r="M82" s="951"/>
      <c r="N82" s="951"/>
      <c r="O82" s="94"/>
      <c r="P82" s="94"/>
      <c r="Q82" s="951"/>
    </row>
    <row r="83" spans="1:17" ht="28.5" hidden="1" customHeight="1" x14ac:dyDescent="0.2">
      <c r="A83" s="909"/>
      <c r="B83" s="920" t="s">
        <v>3646</v>
      </c>
      <c r="C83" s="918"/>
      <c r="D83" s="918"/>
      <c r="E83" s="918"/>
      <c r="F83" s="918"/>
      <c r="G83" s="918"/>
      <c r="H83" s="918"/>
      <c r="I83" s="918"/>
      <c r="J83" s="957"/>
      <c r="K83" s="928"/>
      <c r="L83" s="951"/>
      <c r="M83" s="951"/>
      <c r="N83" s="951"/>
      <c r="O83" s="928"/>
      <c r="P83" s="951"/>
      <c r="Q83" s="951"/>
    </row>
    <row r="84" spans="1:17" ht="14.25" hidden="1" customHeight="1" x14ac:dyDescent="0.2">
      <c r="A84" s="909"/>
      <c r="B84" s="947" t="s">
        <v>3662</v>
      </c>
      <c r="C84" s="918"/>
      <c r="D84" s="918"/>
      <c r="E84" s="918"/>
      <c r="F84" s="918"/>
      <c r="G84" s="918"/>
      <c r="H84" s="918"/>
      <c r="I84" s="918"/>
      <c r="J84" s="957"/>
      <c r="K84" s="928"/>
      <c r="L84" s="997"/>
      <c r="M84" s="951"/>
      <c r="N84" s="951"/>
      <c r="O84" s="951"/>
      <c r="P84" s="928"/>
      <c r="Q84" s="951"/>
    </row>
    <row r="85" spans="1:17" ht="14.25" hidden="1" customHeight="1" x14ac:dyDescent="0.2">
      <c r="A85" s="909"/>
      <c r="B85" s="947" t="s">
        <v>3663</v>
      </c>
      <c r="C85" s="918"/>
      <c r="D85" s="918"/>
      <c r="E85" s="918"/>
      <c r="F85" s="918"/>
      <c r="G85" s="918"/>
      <c r="H85" s="918"/>
      <c r="I85" s="918"/>
      <c r="J85" s="957"/>
      <c r="K85" s="928"/>
      <c r="L85" s="997"/>
      <c r="M85" s="951"/>
      <c r="N85" s="951"/>
      <c r="O85" s="951"/>
      <c r="P85" s="951"/>
      <c r="Q85" s="951"/>
    </row>
    <row r="86" spans="1:17" ht="14.25" hidden="1" customHeight="1" x14ac:dyDescent="0.2">
      <c r="A86" s="909"/>
      <c r="B86" s="947" t="s">
        <v>3664</v>
      </c>
      <c r="C86" s="918"/>
      <c r="D86" s="918"/>
      <c r="E86" s="918"/>
      <c r="F86" s="918"/>
      <c r="G86" s="918"/>
      <c r="H86" s="918"/>
      <c r="I86" s="918"/>
      <c r="J86" s="957"/>
      <c r="K86" s="928"/>
      <c r="L86" s="997"/>
      <c r="M86" s="951"/>
      <c r="N86" s="951"/>
      <c r="O86" s="951"/>
      <c r="P86" s="951"/>
      <c r="Q86" s="951"/>
    </row>
    <row r="87" spans="1:17" ht="14.25" hidden="1" customHeight="1" x14ac:dyDescent="0.2">
      <c r="A87" s="909"/>
      <c r="B87" s="947" t="s">
        <v>3665</v>
      </c>
      <c r="C87" s="918"/>
      <c r="D87" s="918"/>
      <c r="E87" s="918"/>
      <c r="F87" s="918"/>
      <c r="G87" s="918"/>
      <c r="H87" s="918"/>
      <c r="I87" s="918"/>
      <c r="J87" s="957"/>
      <c r="K87" s="928"/>
      <c r="L87" s="997"/>
      <c r="M87" s="951"/>
      <c r="N87" s="951"/>
      <c r="O87" s="951"/>
      <c r="P87" s="951"/>
      <c r="Q87" s="951"/>
    </row>
    <row r="88" spans="1:17" ht="14.25" hidden="1" customHeight="1" x14ac:dyDescent="0.2">
      <c r="A88" s="909"/>
      <c r="B88" s="947" t="s">
        <v>3666</v>
      </c>
      <c r="C88" s="918"/>
      <c r="D88" s="918"/>
      <c r="E88" s="918"/>
      <c r="F88" s="918"/>
      <c r="G88" s="918"/>
      <c r="H88" s="918"/>
      <c r="I88" s="918"/>
      <c r="J88" s="957"/>
      <c r="K88" s="928"/>
      <c r="L88" s="997"/>
      <c r="M88" s="951"/>
      <c r="N88" s="951"/>
      <c r="O88" s="951"/>
      <c r="P88" s="951"/>
      <c r="Q88" s="951"/>
    </row>
    <row r="89" spans="1:17" ht="14.25" hidden="1" customHeight="1" x14ac:dyDescent="0.2">
      <c r="A89" s="909"/>
      <c r="B89" s="947" t="s">
        <v>3667</v>
      </c>
      <c r="C89" s="918"/>
      <c r="D89" s="918"/>
      <c r="E89" s="918"/>
      <c r="F89" s="918"/>
      <c r="G89" s="918"/>
      <c r="H89" s="918"/>
      <c r="I89" s="918"/>
      <c r="J89" s="957"/>
      <c r="K89" s="928"/>
      <c r="L89" s="997"/>
      <c r="M89" s="951"/>
      <c r="N89" s="951"/>
      <c r="O89" s="951"/>
      <c r="P89" s="951"/>
      <c r="Q89" s="951"/>
    </row>
    <row r="90" spans="1:17" ht="14.25" hidden="1" customHeight="1" x14ac:dyDescent="0.2">
      <c r="A90" s="909"/>
      <c r="B90" s="947" t="s">
        <v>3668</v>
      </c>
      <c r="C90" s="918"/>
      <c r="D90" s="918"/>
      <c r="E90" s="918"/>
      <c r="F90" s="918"/>
      <c r="G90" s="918"/>
      <c r="H90" s="918"/>
      <c r="I90" s="918"/>
      <c r="J90" s="957"/>
      <c r="K90" s="928"/>
      <c r="L90" s="997"/>
      <c r="M90" s="951"/>
      <c r="N90" s="951"/>
      <c r="O90" s="951"/>
      <c r="P90" s="951"/>
      <c r="Q90" s="951"/>
    </row>
    <row r="91" spans="1:17" ht="14.25" hidden="1" customHeight="1" x14ac:dyDescent="0.2">
      <c r="A91" s="909"/>
      <c r="B91" s="947" t="s">
        <v>3669</v>
      </c>
      <c r="C91" s="918"/>
      <c r="D91" s="918"/>
      <c r="E91" s="918"/>
      <c r="F91" s="918"/>
      <c r="G91" s="918"/>
      <c r="H91" s="918"/>
      <c r="I91" s="918"/>
      <c r="J91" s="957"/>
      <c r="K91" s="928"/>
      <c r="L91" s="997"/>
      <c r="M91" s="951"/>
      <c r="N91" s="951"/>
      <c r="O91" s="951"/>
      <c r="P91" s="951"/>
      <c r="Q91" s="951"/>
    </row>
    <row r="92" spans="1:17" ht="14.25" hidden="1" customHeight="1" x14ac:dyDescent="0.2">
      <c r="A92" s="909"/>
      <c r="B92" s="947" t="s">
        <v>3670</v>
      </c>
      <c r="C92" s="918"/>
      <c r="D92" s="918"/>
      <c r="E92" s="918"/>
      <c r="F92" s="918"/>
      <c r="G92" s="918"/>
      <c r="H92" s="918"/>
      <c r="I92" s="918"/>
      <c r="J92" s="957"/>
      <c r="K92" s="928"/>
      <c r="L92" s="997"/>
      <c r="M92" s="951"/>
      <c r="N92" s="951"/>
      <c r="O92" s="951"/>
      <c r="P92" s="951"/>
      <c r="Q92" s="951"/>
    </row>
    <row r="93" spans="1:17" ht="14.25" hidden="1" customHeight="1" x14ac:dyDescent="0.2">
      <c r="A93" s="909"/>
      <c r="B93" s="918"/>
      <c r="C93" s="918" t="s">
        <v>3635</v>
      </c>
      <c r="D93" s="918"/>
      <c r="E93" s="918"/>
      <c r="F93" s="918"/>
      <c r="G93" s="918"/>
      <c r="H93" s="918"/>
      <c r="I93" s="918"/>
      <c r="J93" s="957"/>
      <c r="K93" s="928"/>
      <c r="L93" s="928"/>
      <c r="M93" s="951"/>
      <c r="N93" s="951"/>
      <c r="O93" s="951"/>
      <c r="P93" s="951"/>
      <c r="Q93" s="951"/>
    </row>
    <row r="94" spans="1:17" ht="12.75" hidden="1" customHeight="1" x14ac:dyDescent="0.2">
      <c r="A94" s="909"/>
      <c r="B94" s="909"/>
      <c r="C94" s="909"/>
      <c r="D94" s="909"/>
      <c r="E94" s="909"/>
      <c r="F94" s="909"/>
      <c r="G94" s="909"/>
      <c r="H94" s="909"/>
      <c r="I94" s="909"/>
      <c r="J94" s="929"/>
      <c r="K94" s="929"/>
      <c r="L94" s="951"/>
      <c r="M94" s="951"/>
      <c r="N94" s="951"/>
      <c r="O94" s="951"/>
      <c r="P94" s="951"/>
      <c r="Q94" s="951"/>
    </row>
    <row r="95" spans="1:17" x14ac:dyDescent="0.2">
      <c r="A95" s="909"/>
      <c r="B95" s="909"/>
      <c r="C95" s="909"/>
      <c r="D95" s="909"/>
      <c r="E95" s="909"/>
      <c r="F95" s="909"/>
      <c r="G95" s="909"/>
      <c r="H95" s="909"/>
      <c r="I95" s="909"/>
      <c r="J95" s="929"/>
      <c r="K95" s="929"/>
      <c r="L95" s="951"/>
      <c r="M95" s="951"/>
      <c r="N95" s="951"/>
      <c r="O95" s="951"/>
      <c r="P95" s="951"/>
      <c r="Q95" s="951"/>
    </row>
    <row r="96" spans="1:17" x14ac:dyDescent="0.2">
      <c r="A96" s="909"/>
      <c r="B96" s="909"/>
      <c r="C96" s="909"/>
      <c r="D96" s="909"/>
      <c r="E96" s="909"/>
      <c r="F96" s="909"/>
      <c r="G96" s="909"/>
      <c r="H96" s="909"/>
      <c r="I96" s="909"/>
      <c r="J96" s="929"/>
      <c r="K96" s="929"/>
      <c r="L96" s="951"/>
      <c r="M96" s="951"/>
      <c r="N96" s="951"/>
      <c r="O96" s="951"/>
      <c r="P96" s="951"/>
      <c r="Q96" s="951"/>
    </row>
    <row r="97" spans="1:17" x14ac:dyDescent="0.2">
      <c r="A97" s="930" t="s">
        <v>822</v>
      </c>
      <c r="B97" s="1169" t="s">
        <v>4077</v>
      </c>
      <c r="C97" s="1170"/>
      <c r="D97" s="1170"/>
      <c r="E97" s="1170"/>
      <c r="F97" s="1170"/>
      <c r="G97" s="1170"/>
      <c r="H97" s="1170"/>
      <c r="I97" s="931"/>
      <c r="J97" s="929"/>
      <c r="K97" s="929"/>
      <c r="L97" s="951"/>
      <c r="M97" s="951"/>
      <c r="N97" s="951"/>
      <c r="O97" s="951"/>
      <c r="P97" s="951"/>
      <c r="Q97" s="951"/>
    </row>
    <row r="98" spans="1:17" x14ac:dyDescent="0.2">
      <c r="A98" s="909"/>
      <c r="B98" s="909"/>
      <c r="C98" s="909"/>
      <c r="D98" s="909"/>
      <c r="E98" s="909"/>
      <c r="F98" s="909"/>
      <c r="G98" s="909"/>
      <c r="H98" s="909"/>
      <c r="I98" s="909"/>
      <c r="J98" s="929"/>
      <c r="K98" s="929"/>
      <c r="L98" s="951"/>
      <c r="M98" s="951"/>
      <c r="N98" s="951"/>
      <c r="O98" s="951"/>
      <c r="P98" s="951"/>
      <c r="Q98" s="951"/>
    </row>
    <row r="99" spans="1:17" x14ac:dyDescent="0.2">
      <c r="A99" s="909"/>
      <c r="B99" s="909"/>
      <c r="C99" s="909"/>
      <c r="D99" s="909"/>
      <c r="E99" s="909"/>
      <c r="F99" s="909"/>
      <c r="G99" s="909"/>
      <c r="H99" s="909"/>
      <c r="I99" s="909"/>
      <c r="J99" s="929"/>
      <c r="K99" s="929"/>
      <c r="L99" s="951"/>
      <c r="M99" s="951"/>
      <c r="N99" s="951"/>
      <c r="O99" s="951"/>
      <c r="P99" s="951"/>
      <c r="Q99" s="951"/>
    </row>
    <row r="100" spans="1:17" x14ac:dyDescent="0.2">
      <c r="A100" s="909"/>
      <c r="B100" s="932"/>
      <c r="C100" s="766" t="s">
        <v>2056</v>
      </c>
      <c r="D100" s="766" t="s">
        <v>2057</v>
      </c>
      <c r="E100" s="909"/>
      <c r="F100" s="909"/>
      <c r="G100" s="909"/>
      <c r="H100" s="909"/>
      <c r="I100" s="909"/>
      <c r="J100" s="929"/>
      <c r="K100" s="929"/>
      <c r="L100" s="951"/>
      <c r="M100" s="951"/>
      <c r="N100" s="951"/>
      <c r="O100" s="951"/>
      <c r="P100" s="951"/>
      <c r="Q100" s="951"/>
    </row>
    <row r="101" spans="1:17" hidden="1" x14ac:dyDescent="0.2">
      <c r="A101" s="909"/>
      <c r="B101" s="953" t="s">
        <v>1117</v>
      </c>
      <c r="C101" s="859"/>
      <c r="D101" s="859"/>
      <c r="E101" s="909"/>
      <c r="F101" s="909"/>
      <c r="G101" s="909"/>
      <c r="H101" s="909"/>
      <c r="I101" s="909"/>
      <c r="J101" s="929"/>
      <c r="K101" s="929"/>
      <c r="L101" s="951"/>
      <c r="M101" s="951"/>
      <c r="N101" s="951"/>
      <c r="O101" s="951"/>
      <c r="P101" s="951"/>
      <c r="Q101" s="951"/>
    </row>
    <row r="102" spans="1:17" x14ac:dyDescent="0.2">
      <c r="A102" s="909"/>
      <c r="B102" s="932" t="s">
        <v>4094</v>
      </c>
      <c r="C102" s="859">
        <f t="shared" ref="C102" si="0">G155</f>
        <v>0</v>
      </c>
      <c r="D102" s="859">
        <f>H155</f>
        <v>0</v>
      </c>
      <c r="E102" s="909"/>
      <c r="F102" s="909"/>
      <c r="G102" s="909"/>
      <c r="H102" s="909"/>
      <c r="I102" s="909"/>
      <c r="J102" s="929"/>
      <c r="K102" s="929"/>
      <c r="L102" s="951"/>
      <c r="M102" s="951"/>
      <c r="N102" s="951"/>
      <c r="O102" s="951"/>
      <c r="P102" s="951"/>
      <c r="Q102" s="951"/>
    </row>
    <row r="103" spans="1:17" x14ac:dyDescent="0.2">
      <c r="A103" s="909"/>
      <c r="B103" s="932" t="s">
        <v>4022</v>
      </c>
      <c r="C103" s="859">
        <f>G156</f>
        <v>0</v>
      </c>
      <c r="D103" s="859">
        <f>H156</f>
        <v>0</v>
      </c>
      <c r="E103" s="1134"/>
      <c r="F103" s="909"/>
      <c r="G103" s="909"/>
      <c r="H103" s="909"/>
      <c r="I103" s="909"/>
      <c r="J103" s="929"/>
      <c r="K103" s="929"/>
      <c r="L103" s="951"/>
      <c r="M103" s="951"/>
      <c r="N103" s="951"/>
      <c r="O103" s="951"/>
      <c r="P103" s="951"/>
      <c r="Q103" s="951"/>
    </row>
    <row r="104" spans="1:17" x14ac:dyDescent="0.2">
      <c r="A104" s="909"/>
      <c r="B104" s="932" t="s">
        <v>3973</v>
      </c>
      <c r="C104" s="859">
        <f t="shared" ref="C104:D111" si="1">G157</f>
        <v>0</v>
      </c>
      <c r="D104" s="859">
        <f t="shared" si="1"/>
        <v>0</v>
      </c>
      <c r="E104" s="909"/>
      <c r="F104" s="909"/>
      <c r="G104" s="909"/>
      <c r="H104" s="909"/>
      <c r="I104" s="909"/>
      <c r="J104" s="929"/>
      <c r="K104" s="929"/>
      <c r="L104" s="951"/>
      <c r="M104" s="951"/>
      <c r="N104" s="951"/>
      <c r="O104" s="951"/>
      <c r="P104" s="951"/>
      <c r="Q104" s="951"/>
    </row>
    <row r="105" spans="1:17" x14ac:dyDescent="0.2">
      <c r="A105" s="909"/>
      <c r="B105" s="932" t="s">
        <v>3974</v>
      </c>
      <c r="C105" s="859">
        <f>G158</f>
        <v>0</v>
      </c>
      <c r="D105" s="859">
        <f t="shared" si="1"/>
        <v>0</v>
      </c>
      <c r="E105" s="909"/>
      <c r="F105" s="909"/>
      <c r="G105" s="909"/>
      <c r="H105" s="909"/>
      <c r="I105" s="909"/>
      <c r="J105" s="929"/>
      <c r="K105" s="929"/>
      <c r="L105" s="951"/>
      <c r="M105" s="951"/>
      <c r="N105" s="951"/>
      <c r="O105" s="951"/>
      <c r="P105" s="951"/>
      <c r="Q105" s="951"/>
    </row>
    <row r="106" spans="1:17" x14ac:dyDescent="0.2">
      <c r="A106" s="909"/>
      <c r="B106" s="932" t="s">
        <v>3975</v>
      </c>
      <c r="C106" s="859">
        <f t="shared" si="1"/>
        <v>0</v>
      </c>
      <c r="D106" s="859">
        <f t="shared" si="1"/>
        <v>0</v>
      </c>
      <c r="E106" s="909"/>
      <c r="F106" s="909"/>
      <c r="G106" s="909"/>
      <c r="H106" s="909"/>
      <c r="I106" s="909"/>
      <c r="J106" s="929"/>
      <c r="K106" s="929"/>
      <c r="L106" s="951"/>
      <c r="M106" s="951"/>
      <c r="N106" s="951"/>
      <c r="O106" s="951"/>
      <c r="P106" s="951"/>
      <c r="Q106" s="951"/>
    </row>
    <row r="107" spans="1:17" x14ac:dyDescent="0.2">
      <c r="A107" s="909"/>
      <c r="B107" s="932" t="s">
        <v>3976</v>
      </c>
      <c r="C107" s="859">
        <f t="shared" si="1"/>
        <v>0</v>
      </c>
      <c r="D107" s="859">
        <f t="shared" si="1"/>
        <v>0</v>
      </c>
      <c r="E107" s="909"/>
      <c r="F107" s="909"/>
      <c r="G107" s="909"/>
      <c r="H107" s="909"/>
      <c r="I107" s="909"/>
      <c r="J107" s="929"/>
      <c r="K107" s="929"/>
      <c r="L107" s="951"/>
      <c r="M107" s="951"/>
      <c r="N107" s="951"/>
      <c r="O107" s="951"/>
      <c r="P107" s="951"/>
      <c r="Q107" s="951"/>
    </row>
    <row r="108" spans="1:17" x14ac:dyDescent="0.2">
      <c r="A108" s="909"/>
      <c r="B108" s="932" t="s">
        <v>4020</v>
      </c>
      <c r="C108" s="859">
        <f t="shared" si="1"/>
        <v>0</v>
      </c>
      <c r="D108" s="859">
        <f t="shared" si="1"/>
        <v>0</v>
      </c>
      <c r="E108" s="909"/>
      <c r="F108" s="909"/>
      <c r="G108" s="909"/>
      <c r="H108" s="909"/>
      <c r="I108" s="909"/>
      <c r="J108" s="929"/>
      <c r="K108" s="929"/>
      <c r="L108" s="951"/>
      <c r="M108" s="951"/>
      <c r="N108" s="951"/>
      <c r="O108" s="951"/>
      <c r="P108" s="951"/>
      <c r="Q108" s="951"/>
    </row>
    <row r="109" spans="1:17" x14ac:dyDescent="0.2">
      <c r="A109" s="909"/>
      <c r="B109" s="932" t="s">
        <v>3977</v>
      </c>
      <c r="C109" s="859">
        <f t="shared" si="1"/>
        <v>0</v>
      </c>
      <c r="D109" s="859">
        <f t="shared" si="1"/>
        <v>0</v>
      </c>
      <c r="E109" s="1134"/>
      <c r="F109" s="909"/>
      <c r="G109" s="909"/>
      <c r="H109" s="909"/>
      <c r="I109" s="909"/>
      <c r="J109" s="929"/>
      <c r="K109" s="929"/>
      <c r="L109" s="951"/>
      <c r="M109" s="951"/>
      <c r="N109" s="951"/>
      <c r="O109" s="951"/>
      <c r="P109" s="951"/>
      <c r="Q109" s="951"/>
    </row>
    <row r="110" spans="1:17" x14ac:dyDescent="0.2">
      <c r="A110" s="909"/>
      <c r="B110" s="932" t="s">
        <v>3978</v>
      </c>
      <c r="C110" s="859">
        <f t="shared" si="1"/>
        <v>0</v>
      </c>
      <c r="D110" s="859">
        <f t="shared" si="1"/>
        <v>0</v>
      </c>
      <c r="E110" s="1134"/>
      <c r="F110" s="909"/>
      <c r="G110" s="909"/>
      <c r="H110" s="909"/>
      <c r="I110" s="909"/>
      <c r="J110" s="929"/>
      <c r="K110" s="929"/>
      <c r="L110" s="951"/>
      <c r="M110" s="951"/>
      <c r="N110" s="951"/>
      <c r="O110" s="951"/>
      <c r="P110" s="951"/>
      <c r="Q110" s="951"/>
    </row>
    <row r="111" spans="1:17" x14ac:dyDescent="0.2">
      <c r="A111" s="909"/>
      <c r="B111" s="932" t="s">
        <v>3979</v>
      </c>
      <c r="C111" s="859">
        <f t="shared" si="1"/>
        <v>0</v>
      </c>
      <c r="D111" s="859">
        <f t="shared" si="1"/>
        <v>0</v>
      </c>
      <c r="E111" s="1134"/>
      <c r="F111" s="909"/>
      <c r="G111" s="909"/>
      <c r="H111" s="909"/>
      <c r="I111" s="909"/>
      <c r="J111" s="929"/>
      <c r="K111" s="929"/>
      <c r="L111" s="951"/>
      <c r="M111" s="951"/>
      <c r="N111" s="951"/>
      <c r="O111" s="951"/>
      <c r="P111" s="951"/>
      <c r="Q111" s="951"/>
    </row>
    <row r="112" spans="1:17" x14ac:dyDescent="0.2">
      <c r="A112" s="909"/>
      <c r="B112" s="929" t="s">
        <v>4037</v>
      </c>
      <c r="C112" s="859">
        <f>G165</f>
        <v>0</v>
      </c>
      <c r="D112" s="859">
        <f>H165</f>
        <v>0</v>
      </c>
      <c r="E112" s="929"/>
      <c r="F112" s="909"/>
      <c r="G112" s="909"/>
      <c r="H112" s="909"/>
      <c r="I112" s="909"/>
      <c r="J112" s="929"/>
      <c r="K112" s="929"/>
      <c r="L112" s="951"/>
      <c r="M112" s="951"/>
      <c r="N112" s="951"/>
      <c r="O112" s="951"/>
      <c r="P112" s="951"/>
      <c r="Q112" s="951"/>
    </row>
    <row r="113" spans="1:17" x14ac:dyDescent="0.2">
      <c r="A113" s="909"/>
      <c r="B113" s="909" t="s">
        <v>4038</v>
      </c>
      <c r="C113" s="859">
        <f t="shared" ref="C113:D128" si="2">G166</f>
        <v>0</v>
      </c>
      <c r="D113" s="859">
        <f>H166</f>
        <v>0</v>
      </c>
      <c r="E113" s="929"/>
      <c r="F113" s="909"/>
      <c r="G113" s="909"/>
      <c r="H113" s="909"/>
      <c r="I113" s="909"/>
      <c r="J113" s="929"/>
      <c r="K113" s="929"/>
      <c r="L113" s="951"/>
      <c r="M113" s="951"/>
      <c r="N113" s="951"/>
      <c r="O113" s="951"/>
      <c r="P113" s="951"/>
      <c r="Q113" s="951"/>
    </row>
    <row r="114" spans="1:17" x14ac:dyDescent="0.2">
      <c r="A114" s="909"/>
      <c r="B114" s="909" t="s">
        <v>4039</v>
      </c>
      <c r="C114" s="859">
        <f t="shared" si="2"/>
        <v>0</v>
      </c>
      <c r="D114" s="859">
        <f t="shared" si="2"/>
        <v>0</v>
      </c>
      <c r="E114" s="1142"/>
      <c r="F114" s="909"/>
      <c r="G114" s="909"/>
      <c r="H114" s="909"/>
      <c r="I114" s="909"/>
      <c r="J114" s="929"/>
      <c r="K114" s="929"/>
      <c r="L114" s="951"/>
      <c r="M114" s="951"/>
      <c r="N114" s="951"/>
      <c r="O114" s="951"/>
      <c r="P114" s="951"/>
      <c r="Q114" s="951"/>
    </row>
    <row r="115" spans="1:17" x14ac:dyDescent="0.2">
      <c r="A115" s="909"/>
      <c r="B115" s="909" t="s">
        <v>4040</v>
      </c>
      <c r="C115" s="859">
        <f t="shared" si="2"/>
        <v>0</v>
      </c>
      <c r="D115" s="859">
        <f t="shared" si="2"/>
        <v>0</v>
      </c>
      <c r="E115" s="1142"/>
      <c r="F115" s="909"/>
      <c r="G115" s="909"/>
      <c r="H115" s="909"/>
      <c r="I115" s="909"/>
      <c r="J115" s="929"/>
      <c r="K115" s="929"/>
      <c r="L115" s="951"/>
      <c r="M115" s="951"/>
      <c r="N115" s="951"/>
      <c r="O115" s="951"/>
      <c r="P115" s="951"/>
      <c r="Q115" s="951"/>
    </row>
    <row r="116" spans="1:17" x14ac:dyDescent="0.2">
      <c r="A116" s="909"/>
      <c r="B116" s="909" t="s">
        <v>4041</v>
      </c>
      <c r="C116" s="859">
        <f t="shared" si="2"/>
        <v>0</v>
      </c>
      <c r="D116" s="859">
        <f t="shared" si="2"/>
        <v>0</v>
      </c>
      <c r="E116" s="929"/>
      <c r="F116" s="909"/>
      <c r="G116" s="909"/>
      <c r="H116" s="909"/>
      <c r="I116" s="909"/>
      <c r="J116" s="929"/>
      <c r="K116" s="929"/>
      <c r="L116" s="951"/>
      <c r="M116" s="951"/>
      <c r="N116" s="951"/>
      <c r="O116" s="951"/>
      <c r="P116" s="951"/>
      <c r="Q116" s="951"/>
    </row>
    <row r="117" spans="1:17" x14ac:dyDescent="0.2">
      <c r="A117" s="909"/>
      <c r="B117" s="909" t="s">
        <v>4042</v>
      </c>
      <c r="C117" s="859">
        <f t="shared" si="2"/>
        <v>0</v>
      </c>
      <c r="D117" s="859">
        <f t="shared" si="2"/>
        <v>0</v>
      </c>
      <c r="E117" s="929"/>
      <c r="F117" s="909"/>
      <c r="G117" s="909"/>
      <c r="H117" s="909"/>
      <c r="I117" s="909"/>
      <c r="J117" s="929"/>
      <c r="K117" s="929"/>
      <c r="L117" s="951"/>
      <c r="M117" s="951"/>
      <c r="N117" s="951"/>
      <c r="O117" s="951"/>
      <c r="P117" s="951"/>
      <c r="Q117" s="951"/>
    </row>
    <row r="118" spans="1:17" x14ac:dyDescent="0.2">
      <c r="A118" s="909"/>
      <c r="B118" s="909" t="s">
        <v>4043</v>
      </c>
      <c r="C118" s="859">
        <f t="shared" si="2"/>
        <v>0</v>
      </c>
      <c r="D118" s="859">
        <f t="shared" si="2"/>
        <v>0</v>
      </c>
      <c r="E118" s="929"/>
      <c r="F118" s="909"/>
      <c r="G118" s="909"/>
      <c r="H118" s="909"/>
      <c r="I118" s="909"/>
      <c r="J118" s="929"/>
      <c r="K118" s="929"/>
      <c r="L118" s="951"/>
      <c r="M118" s="951"/>
      <c r="N118" s="951"/>
      <c r="O118" s="951"/>
      <c r="P118" s="951"/>
      <c r="Q118" s="951"/>
    </row>
    <row r="119" spans="1:17" x14ac:dyDescent="0.2">
      <c r="A119" s="909"/>
      <c r="B119" s="909" t="s">
        <v>4044</v>
      </c>
      <c r="C119" s="859">
        <f t="shared" si="2"/>
        <v>0</v>
      </c>
      <c r="D119" s="859">
        <f t="shared" si="2"/>
        <v>0</v>
      </c>
      <c r="E119" s="929"/>
      <c r="F119" s="909"/>
      <c r="G119" s="909"/>
      <c r="H119" s="909"/>
      <c r="I119" s="909"/>
      <c r="J119" s="929"/>
      <c r="K119" s="929"/>
      <c r="L119" s="951"/>
      <c r="M119" s="951"/>
      <c r="N119" s="951"/>
      <c r="O119" s="951"/>
      <c r="P119" s="951"/>
      <c r="Q119" s="951"/>
    </row>
    <row r="120" spans="1:17" x14ac:dyDescent="0.2">
      <c r="A120" s="909"/>
      <c r="B120" s="909" t="s">
        <v>4045</v>
      </c>
      <c r="C120" s="859">
        <f t="shared" si="2"/>
        <v>0</v>
      </c>
      <c r="D120" s="859">
        <f t="shared" si="2"/>
        <v>0</v>
      </c>
      <c r="E120" s="929"/>
      <c r="F120" s="909"/>
      <c r="G120" s="909"/>
      <c r="H120" s="909"/>
      <c r="I120" s="909"/>
      <c r="J120" s="929"/>
      <c r="K120" s="929"/>
      <c r="L120" s="951"/>
      <c r="M120" s="951"/>
      <c r="N120" s="951"/>
      <c r="O120" s="951"/>
      <c r="P120" s="951"/>
      <c r="Q120" s="951"/>
    </row>
    <row r="121" spans="1:17" x14ac:dyDescent="0.2">
      <c r="A121" s="909"/>
      <c r="B121" s="929" t="s">
        <v>3662</v>
      </c>
      <c r="C121" s="859">
        <f t="shared" si="2"/>
        <v>0</v>
      </c>
      <c r="D121" s="859">
        <f t="shared" si="2"/>
        <v>0</v>
      </c>
      <c r="E121" s="929"/>
      <c r="F121" s="909"/>
      <c r="G121" s="909"/>
      <c r="H121" s="909"/>
      <c r="I121" s="909"/>
      <c r="J121" s="929"/>
      <c r="K121" s="929"/>
      <c r="L121" s="951"/>
      <c r="M121" s="951"/>
      <c r="N121" s="951"/>
      <c r="O121" s="951"/>
      <c r="P121" s="951"/>
      <c r="Q121" s="951"/>
    </row>
    <row r="122" spans="1:17" x14ac:dyDescent="0.2">
      <c r="A122" s="909"/>
      <c r="B122" s="929" t="s">
        <v>3663</v>
      </c>
      <c r="C122" s="859">
        <f t="shared" si="2"/>
        <v>0</v>
      </c>
      <c r="D122" s="859">
        <f t="shared" si="2"/>
        <v>0</v>
      </c>
      <c r="E122" s="929"/>
      <c r="F122" s="909"/>
      <c r="G122" s="909"/>
      <c r="H122" s="909"/>
      <c r="I122" s="909"/>
      <c r="J122" s="929"/>
      <c r="K122" s="929"/>
      <c r="L122" s="951"/>
      <c r="M122" s="951"/>
      <c r="N122" s="951"/>
      <c r="O122" s="951"/>
      <c r="P122" s="951"/>
      <c r="Q122" s="951"/>
    </row>
    <row r="123" spans="1:17" x14ac:dyDescent="0.2">
      <c r="A123" s="909"/>
      <c r="B123" s="929" t="s">
        <v>3664</v>
      </c>
      <c r="C123" s="859">
        <f t="shared" si="2"/>
        <v>0</v>
      </c>
      <c r="D123" s="859">
        <f t="shared" si="2"/>
        <v>0</v>
      </c>
      <c r="E123" s="929"/>
      <c r="F123" s="909"/>
      <c r="G123" s="909"/>
      <c r="H123" s="909"/>
      <c r="I123" s="909"/>
      <c r="J123" s="929"/>
      <c r="K123" s="929"/>
      <c r="L123" s="951"/>
      <c r="M123" s="951"/>
      <c r="N123" s="951"/>
      <c r="O123" s="951"/>
      <c r="P123" s="951"/>
      <c r="Q123" s="951"/>
    </row>
    <row r="124" spans="1:17" x14ac:dyDescent="0.2">
      <c r="A124" s="909"/>
      <c r="B124" s="929" t="s">
        <v>3665</v>
      </c>
      <c r="C124" s="859">
        <f t="shared" si="2"/>
        <v>0</v>
      </c>
      <c r="D124" s="859">
        <f t="shared" si="2"/>
        <v>0</v>
      </c>
      <c r="E124" s="929"/>
      <c r="F124" s="909"/>
      <c r="G124" s="909"/>
      <c r="H124" s="909"/>
      <c r="I124" s="909"/>
      <c r="J124" s="929"/>
      <c r="K124" s="929"/>
      <c r="L124" s="951"/>
      <c r="M124" s="951"/>
      <c r="N124" s="951"/>
      <c r="O124" s="951"/>
      <c r="P124" s="951"/>
      <c r="Q124" s="951"/>
    </row>
    <row r="125" spans="1:17" x14ac:dyDescent="0.2">
      <c r="A125" s="909"/>
      <c r="B125" s="929" t="s">
        <v>3666</v>
      </c>
      <c r="C125" s="859">
        <f t="shared" si="2"/>
        <v>0</v>
      </c>
      <c r="D125" s="859">
        <f t="shared" si="2"/>
        <v>0</v>
      </c>
      <c r="E125" s="929"/>
      <c r="F125" s="909"/>
      <c r="G125" s="909"/>
      <c r="H125" s="909"/>
      <c r="I125" s="909"/>
      <c r="J125" s="929"/>
      <c r="K125" s="929"/>
      <c r="L125" s="951"/>
      <c r="M125" s="951"/>
      <c r="N125" s="951"/>
      <c r="O125" s="951"/>
      <c r="P125" s="951"/>
      <c r="Q125" s="951"/>
    </row>
    <row r="126" spans="1:17" x14ac:dyDescent="0.2">
      <c r="A126" s="909"/>
      <c r="B126" s="929" t="s">
        <v>3667</v>
      </c>
      <c r="C126" s="859">
        <f t="shared" si="2"/>
        <v>0</v>
      </c>
      <c r="D126" s="859">
        <f t="shared" si="2"/>
        <v>0</v>
      </c>
      <c r="E126" s="929"/>
      <c r="F126" s="909"/>
      <c r="G126" s="909"/>
      <c r="H126" s="909"/>
      <c r="I126" s="909"/>
      <c r="J126" s="929"/>
      <c r="K126" s="929"/>
      <c r="L126" s="951"/>
      <c r="M126" s="951"/>
      <c r="N126" s="951"/>
      <c r="O126" s="951"/>
      <c r="P126" s="951"/>
      <c r="Q126" s="951"/>
    </row>
    <row r="127" spans="1:17" x14ac:dyDescent="0.2">
      <c r="A127" s="909"/>
      <c r="B127" s="929" t="s">
        <v>4021</v>
      </c>
      <c r="C127" s="859">
        <f t="shared" si="2"/>
        <v>0</v>
      </c>
      <c r="D127" s="859">
        <f t="shared" si="2"/>
        <v>0</v>
      </c>
      <c r="E127" s="929"/>
      <c r="F127" s="909"/>
      <c r="G127" s="909"/>
      <c r="H127" s="909"/>
      <c r="I127" s="909"/>
      <c r="J127" s="929"/>
      <c r="K127" s="929"/>
      <c r="L127" s="951"/>
      <c r="M127" s="951"/>
      <c r="N127" s="951"/>
      <c r="O127" s="951"/>
      <c r="P127" s="951"/>
      <c r="Q127" s="951"/>
    </row>
    <row r="128" spans="1:17" x14ac:dyDescent="0.2">
      <c r="A128" s="909"/>
      <c r="B128" s="929" t="s">
        <v>3986</v>
      </c>
      <c r="C128" s="859">
        <f t="shared" si="2"/>
        <v>0</v>
      </c>
      <c r="D128" s="859">
        <f t="shared" si="2"/>
        <v>0</v>
      </c>
      <c r="E128" s="929"/>
      <c r="F128" s="909"/>
      <c r="G128" s="909"/>
      <c r="H128" s="909"/>
      <c r="I128" s="909"/>
      <c r="J128" s="929"/>
      <c r="K128" s="929"/>
      <c r="L128" s="951"/>
      <c r="M128" s="951"/>
      <c r="N128" s="951"/>
      <c r="O128" s="951"/>
      <c r="P128" s="951"/>
      <c r="Q128" s="951"/>
    </row>
    <row r="129" spans="1:17" x14ac:dyDescent="0.2">
      <c r="A129" s="909"/>
      <c r="B129" s="929" t="s">
        <v>3670</v>
      </c>
      <c r="C129" s="859">
        <f t="shared" ref="C129:D135" si="3">G182</f>
        <v>0</v>
      </c>
      <c r="D129" s="859">
        <f t="shared" si="3"/>
        <v>0</v>
      </c>
      <c r="E129" s="929"/>
      <c r="F129" s="909"/>
      <c r="G129" s="909"/>
      <c r="H129" s="909"/>
      <c r="I129" s="909"/>
      <c r="J129" s="929"/>
      <c r="K129" s="929"/>
      <c r="L129" s="951"/>
      <c r="M129" s="951"/>
      <c r="N129" s="951"/>
      <c r="O129" s="951"/>
      <c r="P129" s="951"/>
      <c r="Q129" s="951"/>
    </row>
    <row r="130" spans="1:17" x14ac:dyDescent="0.2">
      <c r="A130" s="909"/>
      <c r="B130" s="932" t="s">
        <v>3596</v>
      </c>
      <c r="C130" s="859">
        <f t="shared" si="3"/>
        <v>0</v>
      </c>
      <c r="D130" s="859">
        <f t="shared" si="3"/>
        <v>0</v>
      </c>
      <c r="E130" s="909"/>
      <c r="F130" s="909"/>
      <c r="G130" s="909"/>
      <c r="H130" s="909"/>
      <c r="I130" s="909"/>
      <c r="J130" s="929"/>
      <c r="K130" s="929"/>
      <c r="L130" s="951"/>
      <c r="M130" s="951"/>
      <c r="N130" s="951"/>
      <c r="O130" s="951"/>
      <c r="P130" s="951"/>
      <c r="Q130" s="951"/>
    </row>
    <row r="131" spans="1:17" x14ac:dyDescent="0.2">
      <c r="A131" s="909"/>
      <c r="B131" s="932" t="s">
        <v>3597</v>
      </c>
      <c r="C131" s="859">
        <f t="shared" si="3"/>
        <v>0</v>
      </c>
      <c r="D131" s="859">
        <f t="shared" si="3"/>
        <v>0</v>
      </c>
      <c r="E131" s="909"/>
      <c r="F131" s="909"/>
      <c r="G131" s="909"/>
      <c r="H131" s="909"/>
      <c r="I131" s="909"/>
      <c r="J131" s="929"/>
      <c r="K131" s="929"/>
      <c r="L131" s="951"/>
      <c r="M131" s="951"/>
      <c r="N131" s="951"/>
      <c r="O131" s="951"/>
      <c r="P131" s="951"/>
      <c r="Q131" s="951"/>
    </row>
    <row r="132" spans="1:17" x14ac:dyDescent="0.2">
      <c r="A132" s="909"/>
      <c r="B132" s="932" t="s">
        <v>3599</v>
      </c>
      <c r="C132" s="859">
        <f t="shared" si="3"/>
        <v>0</v>
      </c>
      <c r="D132" s="859">
        <f t="shared" si="3"/>
        <v>0</v>
      </c>
      <c r="E132" s="909"/>
      <c r="F132" s="909"/>
      <c r="G132" s="909"/>
      <c r="H132" s="909"/>
      <c r="I132" s="909"/>
      <c r="J132" s="929"/>
      <c r="K132" s="929"/>
      <c r="L132" s="951"/>
      <c r="M132" s="951"/>
      <c r="N132" s="951"/>
      <c r="O132" s="951"/>
      <c r="P132" s="951"/>
      <c r="Q132" s="951"/>
    </row>
    <row r="133" spans="1:17" x14ac:dyDescent="0.2">
      <c r="A133" s="909"/>
      <c r="B133" s="932" t="s">
        <v>3601</v>
      </c>
      <c r="C133" s="859">
        <f t="shared" si="3"/>
        <v>0</v>
      </c>
      <c r="D133" s="859">
        <f t="shared" si="3"/>
        <v>0</v>
      </c>
      <c r="E133" s="909"/>
      <c r="F133" s="909"/>
      <c r="G133" s="909"/>
      <c r="H133" s="909"/>
      <c r="I133" s="909"/>
      <c r="J133" s="929"/>
      <c r="K133" s="929"/>
      <c r="L133" s="951"/>
      <c r="M133" s="951"/>
      <c r="N133" s="951"/>
      <c r="O133" s="951"/>
      <c r="P133" s="951"/>
      <c r="Q133" s="951"/>
    </row>
    <row r="134" spans="1:17" x14ac:dyDescent="0.2">
      <c r="A134" s="909"/>
      <c r="B134" s="932" t="s">
        <v>4079</v>
      </c>
      <c r="C134" s="859">
        <f t="shared" si="3"/>
        <v>0</v>
      </c>
      <c r="D134" s="859">
        <f t="shared" si="3"/>
        <v>0</v>
      </c>
      <c r="E134" s="909"/>
      <c r="F134" s="909"/>
      <c r="G134" s="909"/>
      <c r="H134" s="909"/>
      <c r="I134" s="909"/>
      <c r="J134" s="929"/>
      <c r="K134" s="929"/>
      <c r="L134" s="951"/>
      <c r="M134" s="951"/>
      <c r="N134" s="951"/>
      <c r="O134" s="951"/>
      <c r="P134" s="951"/>
      <c r="Q134" s="951"/>
    </row>
    <row r="135" spans="1:17" ht="25.5" x14ac:dyDescent="0.2">
      <c r="A135" s="909"/>
      <c r="B135" s="932" t="s">
        <v>3676</v>
      </c>
      <c r="C135" s="859">
        <f t="shared" si="3"/>
        <v>0</v>
      </c>
      <c r="D135" s="859">
        <f t="shared" si="3"/>
        <v>0</v>
      </c>
      <c r="E135" s="909"/>
      <c r="F135" s="909"/>
      <c r="G135" s="909"/>
      <c r="H135" s="909"/>
      <c r="I135" s="909"/>
      <c r="J135" s="929"/>
      <c r="K135" s="929"/>
      <c r="L135" s="951"/>
      <c r="M135" s="951"/>
      <c r="N135" s="951"/>
      <c r="O135" s="951"/>
      <c r="P135" s="951"/>
      <c r="Q135" s="951"/>
    </row>
    <row r="136" spans="1:17" ht="25.5" x14ac:dyDescent="0.2">
      <c r="A136" s="909"/>
      <c r="B136" s="1168" t="s">
        <v>4096</v>
      </c>
      <c r="C136" s="859"/>
      <c r="D136" s="859">
        <f>D189</f>
        <v>0</v>
      </c>
      <c r="E136" s="909"/>
      <c r="F136" s="909"/>
      <c r="G136" s="909"/>
      <c r="H136" s="909"/>
      <c r="I136" s="909"/>
      <c r="J136" s="929"/>
      <c r="K136" s="929"/>
      <c r="L136" s="951"/>
      <c r="M136" s="951"/>
      <c r="N136" s="951"/>
      <c r="O136" s="951"/>
      <c r="P136" s="951"/>
      <c r="Q136" s="951"/>
    </row>
    <row r="137" spans="1:17" x14ac:dyDescent="0.2">
      <c r="A137" s="909"/>
      <c r="B137" s="1168" t="s">
        <v>4097</v>
      </c>
      <c r="C137" s="859"/>
      <c r="D137" s="859">
        <f t="shared" ref="D137:D144" si="4">D190</f>
        <v>0</v>
      </c>
      <c r="E137" s="909"/>
      <c r="F137" s="909"/>
      <c r="G137" s="909"/>
      <c r="H137" s="909"/>
      <c r="I137" s="909"/>
      <c r="J137" s="929"/>
      <c r="K137" s="929"/>
      <c r="L137" s="951"/>
      <c r="M137" s="951"/>
      <c r="N137" s="951"/>
      <c r="O137" s="951"/>
      <c r="P137" s="951"/>
      <c r="Q137" s="951"/>
    </row>
    <row r="138" spans="1:17" x14ac:dyDescent="0.2">
      <c r="A138" s="909"/>
      <c r="B138" s="1168" t="s">
        <v>4098</v>
      </c>
      <c r="C138" s="859"/>
      <c r="D138" s="859">
        <f t="shared" si="4"/>
        <v>0</v>
      </c>
      <c r="E138" s="909"/>
      <c r="F138" s="909"/>
      <c r="G138" s="909"/>
      <c r="H138" s="909"/>
      <c r="I138" s="909"/>
      <c r="J138" s="929"/>
      <c r="K138" s="929"/>
      <c r="L138" s="951"/>
      <c r="M138" s="951"/>
      <c r="N138" s="951"/>
      <c r="O138" s="951"/>
      <c r="P138" s="951"/>
      <c r="Q138" s="951"/>
    </row>
    <row r="139" spans="1:17" ht="25.5" x14ac:dyDescent="0.2">
      <c r="A139" s="909"/>
      <c r="B139" s="1168" t="s">
        <v>4099</v>
      </c>
      <c r="C139" s="859"/>
      <c r="D139" s="859">
        <f t="shared" si="4"/>
        <v>0</v>
      </c>
      <c r="E139" s="909"/>
      <c r="F139" s="909"/>
      <c r="G139" s="909"/>
      <c r="H139" s="909"/>
      <c r="I139" s="909"/>
      <c r="J139" s="929"/>
      <c r="K139" s="929"/>
      <c r="L139" s="951"/>
      <c r="M139" s="951"/>
      <c r="N139" s="951"/>
      <c r="O139" s="951"/>
      <c r="P139" s="951"/>
      <c r="Q139" s="951"/>
    </row>
    <row r="140" spans="1:17" ht="25.5" x14ac:dyDescent="0.2">
      <c r="A140" s="909"/>
      <c r="B140" s="1168" t="s">
        <v>4100</v>
      </c>
      <c r="C140" s="859"/>
      <c r="D140" s="859">
        <f t="shared" si="4"/>
        <v>0</v>
      </c>
      <c r="E140" s="909"/>
      <c r="F140" s="909"/>
      <c r="G140" s="909"/>
      <c r="H140" s="909"/>
      <c r="I140" s="909"/>
      <c r="J140" s="929"/>
      <c r="K140" s="929"/>
      <c r="L140" s="951"/>
      <c r="M140" s="951"/>
      <c r="N140" s="951"/>
      <c r="O140" s="951"/>
      <c r="P140" s="951"/>
      <c r="Q140" s="951"/>
    </row>
    <row r="141" spans="1:17" x14ac:dyDescent="0.2">
      <c r="A141" s="909"/>
      <c r="B141" s="1168" t="s">
        <v>4101</v>
      </c>
      <c r="C141" s="859"/>
      <c r="D141" s="859">
        <f t="shared" si="4"/>
        <v>0</v>
      </c>
      <c r="E141" s="909"/>
      <c r="F141" s="909"/>
      <c r="G141" s="909"/>
      <c r="H141" s="909"/>
      <c r="I141" s="909"/>
      <c r="J141" s="929"/>
      <c r="K141" s="929"/>
      <c r="L141" s="951"/>
      <c r="M141" s="951"/>
      <c r="N141" s="951"/>
      <c r="O141" s="951"/>
      <c r="P141" s="951"/>
      <c r="Q141" s="951"/>
    </row>
    <row r="142" spans="1:17" ht="25.5" x14ac:dyDescent="0.2">
      <c r="A142" s="909"/>
      <c r="B142" s="1168" t="s">
        <v>4102</v>
      </c>
      <c r="C142" s="859"/>
      <c r="D142" s="859">
        <f t="shared" si="4"/>
        <v>0</v>
      </c>
      <c r="E142" s="909"/>
      <c r="F142" s="909"/>
      <c r="G142" s="909"/>
      <c r="H142" s="909"/>
      <c r="I142" s="909"/>
      <c r="J142" s="929"/>
      <c r="K142" s="929"/>
      <c r="L142" s="951"/>
      <c r="M142" s="951"/>
      <c r="N142" s="951"/>
      <c r="O142" s="951"/>
      <c r="P142" s="951"/>
      <c r="Q142" s="951"/>
    </row>
    <row r="143" spans="1:17" x14ac:dyDescent="0.2">
      <c r="A143" s="909"/>
      <c r="B143" s="1168" t="s">
        <v>4103</v>
      </c>
      <c r="C143" s="859"/>
      <c r="D143" s="859">
        <f t="shared" si="4"/>
        <v>0</v>
      </c>
      <c r="E143" s="909"/>
      <c r="F143" s="909"/>
      <c r="G143" s="909"/>
      <c r="H143" s="909"/>
      <c r="I143" s="909"/>
      <c r="J143" s="929"/>
      <c r="K143" s="929"/>
      <c r="L143" s="951"/>
      <c r="M143" s="951"/>
      <c r="N143" s="951"/>
      <c r="O143" s="951"/>
      <c r="P143" s="951"/>
      <c r="Q143" s="951"/>
    </row>
    <row r="144" spans="1:17" x14ac:dyDescent="0.2">
      <c r="A144" s="909"/>
      <c r="B144" s="1168" t="s">
        <v>4104</v>
      </c>
      <c r="C144" s="859"/>
      <c r="D144" s="859">
        <f t="shared" si="4"/>
        <v>0</v>
      </c>
      <c r="E144" s="909"/>
      <c r="F144" s="909"/>
      <c r="G144" s="909"/>
      <c r="H144" s="909"/>
      <c r="I144" s="909"/>
      <c r="J144" s="929"/>
      <c r="K144" s="929"/>
      <c r="L144" s="951"/>
      <c r="M144" s="951"/>
      <c r="N144" s="951"/>
      <c r="O144" s="951"/>
      <c r="P144" s="951"/>
      <c r="Q144" s="951"/>
    </row>
    <row r="145" spans="1:17" x14ac:dyDescent="0.2">
      <c r="A145" s="909"/>
      <c r="B145" s="932"/>
      <c r="C145" s="859"/>
      <c r="D145" s="859"/>
      <c r="E145" s="909"/>
      <c r="F145" s="909"/>
      <c r="G145" s="909"/>
      <c r="H145" s="909"/>
      <c r="I145" s="909"/>
      <c r="J145" s="929"/>
      <c r="K145" s="929"/>
      <c r="L145" s="951"/>
      <c r="M145" s="951"/>
      <c r="N145" s="951"/>
      <c r="O145" s="951"/>
      <c r="P145" s="951"/>
      <c r="Q145" s="951"/>
    </row>
    <row r="146" spans="1:17" ht="13.5" thickBot="1" x14ac:dyDescent="0.25">
      <c r="A146" s="909"/>
      <c r="B146" s="932"/>
      <c r="C146" s="861">
        <f>SUM(C101:C145)</f>
        <v>0</v>
      </c>
      <c r="D146" s="861">
        <f>SUM(D101:D145)</f>
        <v>0</v>
      </c>
      <c r="E146" s="909"/>
      <c r="F146" s="909"/>
      <c r="G146" s="909"/>
      <c r="H146" s="909"/>
      <c r="I146" s="909"/>
      <c r="J146" s="929"/>
      <c r="K146" s="929"/>
      <c r="L146" s="951"/>
      <c r="M146" s="951"/>
      <c r="N146" s="951"/>
      <c r="O146" s="951"/>
      <c r="P146" s="951"/>
      <c r="Q146" s="951"/>
    </row>
    <row r="147" spans="1:17" ht="13.5" thickTop="1" x14ac:dyDescent="0.2">
      <c r="A147" s="909"/>
      <c r="B147" s="909"/>
      <c r="C147" s="909"/>
      <c r="D147" s="909"/>
      <c r="E147" s="909"/>
      <c r="F147" s="909"/>
      <c r="G147" s="909"/>
      <c r="H147" s="909"/>
      <c r="I147" s="909"/>
      <c r="J147" s="929"/>
      <c r="K147" s="929"/>
      <c r="L147" s="951"/>
      <c r="M147" s="951"/>
      <c r="N147" s="951"/>
      <c r="O147" s="951"/>
      <c r="P147" s="951"/>
      <c r="Q147" s="951"/>
    </row>
    <row r="148" spans="1:17" x14ac:dyDescent="0.2">
      <c r="A148" s="909"/>
      <c r="B148" s="909"/>
      <c r="C148" s="909"/>
      <c r="D148" s="909"/>
      <c r="E148" s="909"/>
      <c r="F148" s="909"/>
      <c r="G148" s="909"/>
      <c r="H148" s="909"/>
      <c r="I148" s="909"/>
      <c r="J148" s="929"/>
      <c r="K148" s="929"/>
      <c r="L148" s="951"/>
      <c r="M148" s="951"/>
      <c r="N148" s="951"/>
      <c r="O148" s="951"/>
      <c r="P148" s="951"/>
      <c r="Q148" s="951"/>
    </row>
    <row r="149" spans="1:17" ht="23.25" customHeight="1" x14ac:dyDescent="0.2">
      <c r="A149" s="909"/>
      <c r="B149" s="933" t="s">
        <v>3638</v>
      </c>
      <c r="C149" s="933"/>
      <c r="D149" s="933"/>
      <c r="E149" s="933"/>
      <c r="F149" s="933"/>
      <c r="G149" s="933"/>
      <c r="H149" s="933"/>
      <c r="I149" s="909"/>
      <c r="J149" s="929"/>
      <c r="K149" s="929"/>
      <c r="L149" s="951"/>
      <c r="M149" s="951"/>
      <c r="N149" s="951"/>
      <c r="O149" s="951"/>
      <c r="P149" s="951"/>
      <c r="Q149" s="951"/>
    </row>
    <row r="150" spans="1:17" s="951" customFormat="1" ht="12.75" customHeight="1" x14ac:dyDescent="0.2">
      <c r="A150" s="929"/>
      <c r="B150" s="934"/>
      <c r="C150" s="934"/>
      <c r="D150" s="934"/>
      <c r="E150" s="934"/>
      <c r="F150" s="934"/>
      <c r="G150" s="934"/>
      <c r="H150" s="934"/>
      <c r="I150" s="929"/>
      <c r="J150" s="929"/>
      <c r="K150" s="1142"/>
    </row>
    <row r="151" spans="1:17" ht="18" x14ac:dyDescent="0.2">
      <c r="A151" s="909"/>
      <c r="C151" s="935"/>
      <c r="D151" s="936"/>
      <c r="E151" s="937"/>
      <c r="F151" s="934"/>
      <c r="G151" s="1655" t="s">
        <v>923</v>
      </c>
      <c r="H151" s="1656"/>
      <c r="I151" s="909"/>
      <c r="J151" s="929"/>
      <c r="K151" s="929"/>
      <c r="L151" s="951"/>
      <c r="M151" s="951"/>
      <c r="N151" s="951"/>
      <c r="O151" s="951"/>
      <c r="P151" s="951"/>
      <c r="Q151" s="951"/>
    </row>
    <row r="152" spans="1:17" x14ac:dyDescent="0.2">
      <c r="A152" s="909"/>
      <c r="B152" s="938"/>
      <c r="C152" s="767"/>
      <c r="D152" s="906"/>
      <c r="E152" s="939"/>
      <c r="F152" s="940"/>
      <c r="G152" s="941"/>
      <c r="H152" s="942"/>
      <c r="I152" s="909"/>
      <c r="J152" s="929"/>
      <c r="K152" s="929"/>
      <c r="L152" s="951"/>
      <c r="M152" s="951"/>
      <c r="N152" s="951"/>
      <c r="O152" s="951"/>
      <c r="P152" s="951"/>
      <c r="Q152" s="951"/>
    </row>
    <row r="153" spans="1:17" x14ac:dyDescent="0.2">
      <c r="A153" s="909"/>
      <c r="B153" s="938"/>
      <c r="C153" s="715" t="s">
        <v>517</v>
      </c>
      <c r="D153" s="907" t="s">
        <v>518</v>
      </c>
      <c r="E153" s="943" t="s">
        <v>2097</v>
      </c>
      <c r="F153" s="940"/>
      <c r="G153" s="944" t="s">
        <v>517</v>
      </c>
      <c r="H153" s="945" t="s">
        <v>518</v>
      </c>
      <c r="I153" s="909"/>
      <c r="J153" s="929"/>
      <c r="K153" s="929"/>
      <c r="L153" s="951"/>
      <c r="M153" s="951"/>
      <c r="N153" s="951"/>
      <c r="O153" s="951"/>
      <c r="P153" s="951"/>
      <c r="Q153" s="951"/>
    </row>
    <row r="154" spans="1:17" hidden="1" x14ac:dyDescent="0.2">
      <c r="A154" s="909"/>
      <c r="B154" s="953" t="s">
        <v>1117</v>
      </c>
      <c r="C154" s="771"/>
      <c r="D154" s="853"/>
      <c r="E154" s="870">
        <f t="shared" ref="E154:E197" si="5">C154-D154</f>
        <v>0</v>
      </c>
      <c r="F154" s="909"/>
      <c r="G154" s="871">
        <f t="shared" ref="G154:G197" si="6">IF(E154&lt;0,0,E154)</f>
        <v>0</v>
      </c>
      <c r="H154" s="770">
        <f t="shared" ref="H154" si="7">IF(E154&gt;0,0,E154*-1)</f>
        <v>0</v>
      </c>
      <c r="I154" s="909"/>
      <c r="J154" s="929"/>
      <c r="K154" s="929"/>
      <c r="L154" s="951"/>
      <c r="M154" s="951"/>
      <c r="N154" s="951"/>
      <c r="O154" s="951"/>
      <c r="P154" s="951"/>
      <c r="Q154" s="951"/>
    </row>
    <row r="155" spans="1:17" x14ac:dyDescent="0.2">
      <c r="A155" s="909"/>
      <c r="B155" s="932" t="s">
        <v>4075</v>
      </c>
      <c r="C155" s="771">
        <f>IF(D32-D31&lt;0,-(D32-D31)*D11,0)</f>
        <v>0</v>
      </c>
      <c r="D155" s="853">
        <f>IF(D32-D31&gt;0,(D32-D31)*D11,0)</f>
        <v>0</v>
      </c>
      <c r="E155" s="870">
        <f t="shared" si="5"/>
        <v>0</v>
      </c>
      <c r="F155" s="909"/>
      <c r="G155" s="871">
        <f t="shared" si="6"/>
        <v>0</v>
      </c>
      <c r="H155" s="770">
        <f>IF(E155&gt;0,0,E155*-1)</f>
        <v>0</v>
      </c>
      <c r="I155" s="909"/>
      <c r="J155" s="1003"/>
      <c r="K155" s="929"/>
      <c r="L155" s="951"/>
      <c r="M155" s="951"/>
      <c r="N155" s="951"/>
      <c r="O155" s="951"/>
      <c r="P155" s="951"/>
      <c r="Q155" s="951"/>
    </row>
    <row r="156" spans="1:17" x14ac:dyDescent="0.2">
      <c r="A156" s="909"/>
      <c r="B156" s="932" t="s">
        <v>4022</v>
      </c>
      <c r="C156" s="771">
        <f t="shared" ref="C156:C164" si="8">IF($D$34&gt;0,$D$34*D16,0)</f>
        <v>0</v>
      </c>
      <c r="D156" s="853">
        <f t="shared" ref="D156:D164" si="9">IF($D$34&lt;0,-$D$34*D16,0)</f>
        <v>0</v>
      </c>
      <c r="E156" s="870">
        <f t="shared" si="5"/>
        <v>0</v>
      </c>
      <c r="F156" s="909"/>
      <c r="G156" s="871">
        <f t="shared" si="6"/>
        <v>0</v>
      </c>
      <c r="H156" s="770">
        <f>IF(E156&gt;0,0,E156*-1)</f>
        <v>0</v>
      </c>
      <c r="I156" s="995"/>
      <c r="J156" s="929"/>
      <c r="K156" s="929"/>
      <c r="L156" s="951"/>
      <c r="M156" s="951"/>
      <c r="N156" s="951"/>
      <c r="O156" s="951"/>
      <c r="P156" s="951"/>
      <c r="Q156" s="951"/>
    </row>
    <row r="157" spans="1:17" x14ac:dyDescent="0.2">
      <c r="A157" s="909"/>
      <c r="B157" s="932" t="s">
        <v>3973</v>
      </c>
      <c r="C157" s="771">
        <f t="shared" si="8"/>
        <v>0</v>
      </c>
      <c r="D157" s="853">
        <f t="shared" si="9"/>
        <v>0</v>
      </c>
      <c r="E157" s="870">
        <f t="shared" si="5"/>
        <v>0</v>
      </c>
      <c r="F157" s="909"/>
      <c r="G157" s="871">
        <f t="shared" si="6"/>
        <v>0</v>
      </c>
      <c r="H157" s="770">
        <f t="shared" ref="H157:H164" si="10">IF(E157&gt;0,0,E157*-1)</f>
        <v>0</v>
      </c>
      <c r="I157" s="909"/>
      <c r="J157" s="929"/>
      <c r="K157" s="929"/>
      <c r="L157" s="951"/>
      <c r="M157" s="951"/>
      <c r="N157" s="951"/>
      <c r="O157" s="951"/>
      <c r="P157" s="951"/>
      <c r="Q157" s="951"/>
    </row>
    <row r="158" spans="1:17" x14ac:dyDescent="0.2">
      <c r="A158" s="909"/>
      <c r="B158" s="932" t="s">
        <v>3974</v>
      </c>
      <c r="C158" s="771">
        <f t="shared" si="8"/>
        <v>0</v>
      </c>
      <c r="D158" s="853">
        <f t="shared" si="9"/>
        <v>0</v>
      </c>
      <c r="E158" s="870">
        <f t="shared" si="5"/>
        <v>0</v>
      </c>
      <c r="F158" s="909"/>
      <c r="G158" s="871">
        <f t="shared" si="6"/>
        <v>0</v>
      </c>
      <c r="H158" s="770">
        <f t="shared" si="10"/>
        <v>0</v>
      </c>
      <c r="I158" s="909"/>
      <c r="J158" s="929"/>
      <c r="K158" s="929"/>
      <c r="L158" s="951"/>
      <c r="M158" s="951"/>
      <c r="N158" s="951"/>
      <c r="O158" s="951"/>
      <c r="P158" s="951"/>
      <c r="Q158" s="951"/>
    </row>
    <row r="159" spans="1:17" x14ac:dyDescent="0.2">
      <c r="A159" s="909"/>
      <c r="B159" s="932" t="s">
        <v>3975</v>
      </c>
      <c r="C159" s="771">
        <f t="shared" si="8"/>
        <v>0</v>
      </c>
      <c r="D159" s="853">
        <f t="shared" si="9"/>
        <v>0</v>
      </c>
      <c r="E159" s="870">
        <f t="shared" si="5"/>
        <v>0</v>
      </c>
      <c r="F159" s="909"/>
      <c r="G159" s="871">
        <f t="shared" si="6"/>
        <v>0</v>
      </c>
      <c r="H159" s="770">
        <f t="shared" si="10"/>
        <v>0</v>
      </c>
      <c r="I159" s="909"/>
      <c r="J159" s="929"/>
      <c r="K159" s="929"/>
      <c r="L159" s="951"/>
      <c r="M159" s="951"/>
      <c r="N159" s="951"/>
      <c r="O159" s="951"/>
      <c r="P159" s="951"/>
      <c r="Q159" s="951"/>
    </row>
    <row r="160" spans="1:17" x14ac:dyDescent="0.2">
      <c r="A160" s="909"/>
      <c r="B160" s="932" t="s">
        <v>3976</v>
      </c>
      <c r="C160" s="771">
        <f t="shared" si="8"/>
        <v>0</v>
      </c>
      <c r="D160" s="853">
        <f t="shared" si="9"/>
        <v>0</v>
      </c>
      <c r="E160" s="870">
        <f t="shared" si="5"/>
        <v>0</v>
      </c>
      <c r="F160" s="909"/>
      <c r="G160" s="871">
        <f t="shared" si="6"/>
        <v>0</v>
      </c>
      <c r="H160" s="770">
        <f t="shared" si="10"/>
        <v>0</v>
      </c>
      <c r="I160" s="909"/>
      <c r="J160" s="929"/>
      <c r="K160" s="929"/>
      <c r="L160" s="951"/>
      <c r="M160" s="951"/>
      <c r="N160" s="951"/>
      <c r="O160" s="951"/>
      <c r="P160" s="951"/>
      <c r="Q160" s="951"/>
    </row>
    <row r="161" spans="1:17" x14ac:dyDescent="0.2">
      <c r="A161" s="909"/>
      <c r="B161" s="932" t="s">
        <v>4020</v>
      </c>
      <c r="C161" s="771">
        <f t="shared" si="8"/>
        <v>0</v>
      </c>
      <c r="D161" s="853">
        <f t="shared" si="9"/>
        <v>0</v>
      </c>
      <c r="E161" s="870">
        <f t="shared" si="5"/>
        <v>0</v>
      </c>
      <c r="F161" s="909"/>
      <c r="G161" s="871">
        <f t="shared" si="6"/>
        <v>0</v>
      </c>
      <c r="H161" s="770">
        <f t="shared" si="10"/>
        <v>0</v>
      </c>
      <c r="I161" s="909"/>
      <c r="J161" s="929"/>
      <c r="K161" s="929"/>
      <c r="L161" s="951"/>
      <c r="M161" s="951"/>
      <c r="N161" s="951"/>
      <c r="O161" s="951"/>
      <c r="P161" s="951"/>
      <c r="Q161" s="951"/>
    </row>
    <row r="162" spans="1:17" x14ac:dyDescent="0.2">
      <c r="A162" s="909"/>
      <c r="B162" s="932" t="s">
        <v>3977</v>
      </c>
      <c r="C162" s="771">
        <f t="shared" si="8"/>
        <v>0</v>
      </c>
      <c r="D162" s="853">
        <f t="shared" si="9"/>
        <v>0</v>
      </c>
      <c r="E162" s="870">
        <f t="shared" si="5"/>
        <v>0</v>
      </c>
      <c r="F162" s="909"/>
      <c r="G162" s="871">
        <f t="shared" si="6"/>
        <v>0</v>
      </c>
      <c r="H162" s="770">
        <f t="shared" si="10"/>
        <v>0</v>
      </c>
      <c r="I162" s="909"/>
      <c r="J162" s="929"/>
      <c r="K162" s="929"/>
      <c r="L162" s="951"/>
      <c r="M162" s="951"/>
      <c r="N162" s="951"/>
      <c r="O162" s="951"/>
      <c r="P162" s="951"/>
      <c r="Q162" s="951"/>
    </row>
    <row r="163" spans="1:17" x14ac:dyDescent="0.2">
      <c r="A163" s="909"/>
      <c r="B163" s="932" t="s">
        <v>3978</v>
      </c>
      <c r="C163" s="771">
        <f t="shared" si="8"/>
        <v>0</v>
      </c>
      <c r="D163" s="853">
        <f t="shared" si="9"/>
        <v>0</v>
      </c>
      <c r="E163" s="870">
        <f t="shared" si="5"/>
        <v>0</v>
      </c>
      <c r="F163" s="909"/>
      <c r="G163" s="871">
        <f t="shared" si="6"/>
        <v>0</v>
      </c>
      <c r="H163" s="770">
        <f t="shared" si="10"/>
        <v>0</v>
      </c>
      <c r="I163" s="909"/>
      <c r="J163" s="929"/>
      <c r="K163" s="929"/>
      <c r="L163" s="951"/>
      <c r="M163" s="951"/>
      <c r="N163" s="951"/>
      <c r="O163" s="951"/>
      <c r="P163" s="951"/>
      <c r="Q163" s="951"/>
    </row>
    <row r="164" spans="1:17" x14ac:dyDescent="0.2">
      <c r="A164" s="909"/>
      <c r="B164" s="932" t="s">
        <v>3979</v>
      </c>
      <c r="C164" s="771">
        <f t="shared" si="8"/>
        <v>0</v>
      </c>
      <c r="D164" s="853">
        <f t="shared" si="9"/>
        <v>0</v>
      </c>
      <c r="E164" s="870">
        <f t="shared" si="5"/>
        <v>0</v>
      </c>
      <c r="F164" s="909"/>
      <c r="G164" s="871">
        <f t="shared" si="6"/>
        <v>0</v>
      </c>
      <c r="H164" s="770">
        <f t="shared" si="10"/>
        <v>0</v>
      </c>
      <c r="I164" s="909"/>
      <c r="J164" s="929"/>
      <c r="K164" s="929"/>
      <c r="L164" s="951"/>
      <c r="M164" s="951"/>
      <c r="N164" s="951"/>
      <c r="O164" s="951"/>
      <c r="P164" s="951"/>
      <c r="Q164" s="951"/>
    </row>
    <row r="165" spans="1:17" x14ac:dyDescent="0.2">
      <c r="A165" s="909"/>
      <c r="B165" s="929" t="s">
        <v>4037</v>
      </c>
      <c r="C165" s="771">
        <f t="shared" ref="C165:C173" si="11">IF($D$44&lt;0,-$D$44*D16,0)</f>
        <v>0</v>
      </c>
      <c r="D165" s="853">
        <f t="shared" ref="D165:D173" si="12">IF($D$44&gt;0,$D$44*$D16,0)</f>
        <v>0</v>
      </c>
      <c r="E165" s="870">
        <f t="shared" si="5"/>
        <v>0</v>
      </c>
      <c r="F165" s="909"/>
      <c r="G165" s="871">
        <f t="shared" si="6"/>
        <v>0</v>
      </c>
      <c r="H165" s="853">
        <f>IF(E165&gt;0,0,-E165)</f>
        <v>0</v>
      </c>
      <c r="I165" s="909"/>
      <c r="J165" s="929"/>
      <c r="K165" s="929"/>
      <c r="L165" s="951"/>
      <c r="M165" s="951"/>
      <c r="N165" s="951"/>
      <c r="O165" s="951"/>
      <c r="P165" s="951"/>
      <c r="Q165" s="951"/>
    </row>
    <row r="166" spans="1:17" x14ac:dyDescent="0.2">
      <c r="A166" s="909"/>
      <c r="B166" s="909" t="s">
        <v>4038</v>
      </c>
      <c r="C166" s="771">
        <f t="shared" si="11"/>
        <v>0</v>
      </c>
      <c r="D166" s="853">
        <f t="shared" si="12"/>
        <v>0</v>
      </c>
      <c r="E166" s="870">
        <f t="shared" si="5"/>
        <v>0</v>
      </c>
      <c r="F166" s="909"/>
      <c r="G166" s="871">
        <f t="shared" si="6"/>
        <v>0</v>
      </c>
      <c r="H166" s="853">
        <f t="shared" ref="H166:H197" si="13">IF(E166&gt;0,0,-E166)</f>
        <v>0</v>
      </c>
      <c r="I166" s="909"/>
      <c r="J166" s="929"/>
      <c r="K166" s="929"/>
      <c r="L166" s="951"/>
      <c r="M166" s="951"/>
      <c r="N166" s="951"/>
      <c r="O166" s="951"/>
      <c r="P166" s="951"/>
      <c r="Q166" s="951"/>
    </row>
    <row r="167" spans="1:17" x14ac:dyDescent="0.2">
      <c r="A167" s="909"/>
      <c r="B167" s="909" t="s">
        <v>4039</v>
      </c>
      <c r="C167" s="771">
        <f t="shared" si="11"/>
        <v>0</v>
      </c>
      <c r="D167" s="853">
        <f t="shared" si="12"/>
        <v>0</v>
      </c>
      <c r="E167" s="870">
        <f t="shared" si="5"/>
        <v>0</v>
      </c>
      <c r="F167" s="909"/>
      <c r="G167" s="871">
        <f t="shared" si="6"/>
        <v>0</v>
      </c>
      <c r="H167" s="853">
        <f t="shared" si="13"/>
        <v>0</v>
      </c>
      <c r="I167" s="909"/>
      <c r="J167" s="929"/>
      <c r="K167" s="929"/>
      <c r="L167" s="951"/>
      <c r="M167" s="951"/>
      <c r="N167" s="951"/>
      <c r="O167" s="951"/>
      <c r="P167" s="951"/>
      <c r="Q167" s="951"/>
    </row>
    <row r="168" spans="1:17" x14ac:dyDescent="0.2">
      <c r="A168" s="909"/>
      <c r="B168" s="909" t="s">
        <v>4040</v>
      </c>
      <c r="C168" s="771">
        <f t="shared" si="11"/>
        <v>0</v>
      </c>
      <c r="D168" s="853">
        <f t="shared" si="12"/>
        <v>0</v>
      </c>
      <c r="E168" s="870">
        <f t="shared" si="5"/>
        <v>0</v>
      </c>
      <c r="F168" s="909"/>
      <c r="G168" s="871">
        <f t="shared" si="6"/>
        <v>0</v>
      </c>
      <c r="H168" s="853">
        <f t="shared" si="13"/>
        <v>0</v>
      </c>
      <c r="I168" s="909"/>
      <c r="J168" s="929"/>
      <c r="K168" s="929"/>
      <c r="L168" s="951"/>
      <c r="M168" s="951"/>
      <c r="N168" s="951"/>
      <c r="O168" s="951"/>
      <c r="P168" s="951"/>
      <c r="Q168" s="951"/>
    </row>
    <row r="169" spans="1:17" x14ac:dyDescent="0.2">
      <c r="A169" s="909"/>
      <c r="B169" s="909" t="s">
        <v>4041</v>
      </c>
      <c r="C169" s="771">
        <f t="shared" si="11"/>
        <v>0</v>
      </c>
      <c r="D169" s="853">
        <f t="shared" si="12"/>
        <v>0</v>
      </c>
      <c r="E169" s="870">
        <f t="shared" si="5"/>
        <v>0</v>
      </c>
      <c r="F169" s="909"/>
      <c r="G169" s="871">
        <f t="shared" si="6"/>
        <v>0</v>
      </c>
      <c r="H169" s="853">
        <f t="shared" si="13"/>
        <v>0</v>
      </c>
      <c r="I169" s="909"/>
      <c r="J169" s="929"/>
      <c r="K169" s="929"/>
      <c r="L169" s="951"/>
      <c r="M169" s="951"/>
      <c r="N169" s="951"/>
      <c r="O169" s="951"/>
      <c r="P169" s="951"/>
      <c r="Q169" s="951"/>
    </row>
    <row r="170" spans="1:17" x14ac:dyDescent="0.2">
      <c r="A170" s="909"/>
      <c r="B170" s="909" t="s">
        <v>4042</v>
      </c>
      <c r="C170" s="771">
        <f t="shared" si="11"/>
        <v>0</v>
      </c>
      <c r="D170" s="853">
        <f t="shared" si="12"/>
        <v>0</v>
      </c>
      <c r="E170" s="870">
        <f t="shared" si="5"/>
        <v>0</v>
      </c>
      <c r="F170" s="909"/>
      <c r="G170" s="871">
        <f t="shared" si="6"/>
        <v>0</v>
      </c>
      <c r="H170" s="853">
        <f t="shared" si="13"/>
        <v>0</v>
      </c>
      <c r="I170" s="909"/>
      <c r="J170" s="929"/>
      <c r="K170" s="929"/>
      <c r="L170" s="951"/>
      <c r="M170" s="951"/>
      <c r="N170" s="951"/>
      <c r="O170" s="951"/>
      <c r="P170" s="951"/>
      <c r="Q170" s="951"/>
    </row>
    <row r="171" spans="1:17" x14ac:dyDescent="0.2">
      <c r="A171" s="909"/>
      <c r="B171" s="909" t="s">
        <v>4043</v>
      </c>
      <c r="C171" s="771">
        <f t="shared" si="11"/>
        <v>0</v>
      </c>
      <c r="D171" s="853">
        <f t="shared" si="12"/>
        <v>0</v>
      </c>
      <c r="E171" s="870">
        <f t="shared" si="5"/>
        <v>0</v>
      </c>
      <c r="F171" s="909"/>
      <c r="G171" s="871">
        <f t="shared" si="6"/>
        <v>0</v>
      </c>
      <c r="H171" s="853">
        <f t="shared" si="13"/>
        <v>0</v>
      </c>
      <c r="I171" s="909"/>
      <c r="J171" s="929"/>
      <c r="K171" s="929"/>
      <c r="L171" s="951"/>
      <c r="M171" s="951"/>
      <c r="N171" s="951"/>
      <c r="O171" s="951"/>
      <c r="P171" s="951"/>
      <c r="Q171" s="951"/>
    </row>
    <row r="172" spans="1:17" x14ac:dyDescent="0.2">
      <c r="A172" s="909"/>
      <c r="B172" s="909" t="s">
        <v>4044</v>
      </c>
      <c r="C172" s="771">
        <f t="shared" si="11"/>
        <v>0</v>
      </c>
      <c r="D172" s="853">
        <f t="shared" si="12"/>
        <v>0</v>
      </c>
      <c r="E172" s="870">
        <f t="shared" si="5"/>
        <v>0</v>
      </c>
      <c r="F172" s="909"/>
      <c r="G172" s="871">
        <f t="shared" si="6"/>
        <v>0</v>
      </c>
      <c r="H172" s="853">
        <f t="shared" si="13"/>
        <v>0</v>
      </c>
      <c r="I172" s="909"/>
      <c r="J172" s="929"/>
      <c r="K172" s="929"/>
      <c r="L172" s="951"/>
      <c r="M172" s="951"/>
      <c r="N172" s="951"/>
      <c r="O172" s="951"/>
      <c r="P172" s="951"/>
      <c r="Q172" s="951"/>
    </row>
    <row r="173" spans="1:17" x14ac:dyDescent="0.2">
      <c r="A173" s="909"/>
      <c r="B173" s="909" t="s">
        <v>4045</v>
      </c>
      <c r="C173" s="771">
        <f t="shared" si="11"/>
        <v>0</v>
      </c>
      <c r="D173" s="853">
        <f t="shared" si="12"/>
        <v>0</v>
      </c>
      <c r="E173" s="870">
        <f t="shared" si="5"/>
        <v>0</v>
      </c>
      <c r="F173" s="909"/>
      <c r="G173" s="871">
        <f t="shared" si="6"/>
        <v>0</v>
      </c>
      <c r="H173" s="853">
        <f t="shared" si="13"/>
        <v>0</v>
      </c>
      <c r="I173" s="909"/>
      <c r="J173" s="929"/>
      <c r="K173" s="929"/>
      <c r="L173" s="951"/>
      <c r="M173" s="951"/>
      <c r="N173" s="951"/>
      <c r="O173" s="951"/>
      <c r="P173" s="951"/>
      <c r="Q173" s="951"/>
    </row>
    <row r="174" spans="1:17" x14ac:dyDescent="0.2">
      <c r="A174" s="909"/>
      <c r="B174" s="929" t="s">
        <v>3662</v>
      </c>
      <c r="C174" s="771">
        <f>IF($D$46&lt;0,-$D$46,0)</f>
        <v>0</v>
      </c>
      <c r="D174" s="853">
        <f t="shared" ref="D174:D182" si="14">IF($D$46&gt;0,$D$46*$D16,0)</f>
        <v>0</v>
      </c>
      <c r="E174" s="870">
        <f t="shared" si="5"/>
        <v>0</v>
      </c>
      <c r="F174" s="909"/>
      <c r="G174" s="871">
        <f t="shared" si="6"/>
        <v>0</v>
      </c>
      <c r="H174" s="853">
        <f t="shared" si="13"/>
        <v>0</v>
      </c>
      <c r="I174" s="909"/>
      <c r="J174" s="929"/>
      <c r="K174" s="929"/>
      <c r="L174" s="951"/>
      <c r="M174" s="951"/>
      <c r="N174" s="951"/>
      <c r="O174" s="951"/>
      <c r="P174" s="951"/>
      <c r="Q174" s="951"/>
    </row>
    <row r="175" spans="1:17" x14ac:dyDescent="0.2">
      <c r="A175" s="909"/>
      <c r="B175" s="929" t="s">
        <v>3663</v>
      </c>
      <c r="C175" s="771">
        <f t="shared" ref="C175:C182" si="15">IF($D$46&lt;0,-$D$46,0)</f>
        <v>0</v>
      </c>
      <c r="D175" s="853">
        <f t="shared" si="14"/>
        <v>0</v>
      </c>
      <c r="E175" s="870">
        <f t="shared" si="5"/>
        <v>0</v>
      </c>
      <c r="F175" s="909"/>
      <c r="G175" s="871">
        <f t="shared" si="6"/>
        <v>0</v>
      </c>
      <c r="H175" s="853">
        <f t="shared" si="13"/>
        <v>0</v>
      </c>
      <c r="I175" s="909"/>
      <c r="J175" s="929"/>
      <c r="K175" s="929"/>
      <c r="L175" s="951"/>
      <c r="M175" s="951"/>
      <c r="N175" s="951"/>
      <c r="O175" s="951"/>
      <c r="P175" s="951"/>
      <c r="Q175" s="951"/>
    </row>
    <row r="176" spans="1:17" x14ac:dyDescent="0.2">
      <c r="A176" s="909"/>
      <c r="B176" s="929" t="s">
        <v>3664</v>
      </c>
      <c r="C176" s="771">
        <f t="shared" si="15"/>
        <v>0</v>
      </c>
      <c r="D176" s="853">
        <f t="shared" si="14"/>
        <v>0</v>
      </c>
      <c r="E176" s="870">
        <f t="shared" si="5"/>
        <v>0</v>
      </c>
      <c r="F176" s="909"/>
      <c r="G176" s="871">
        <f t="shared" si="6"/>
        <v>0</v>
      </c>
      <c r="H176" s="853">
        <f t="shared" si="13"/>
        <v>0</v>
      </c>
      <c r="I176" s="909"/>
      <c r="J176" s="929"/>
      <c r="K176" s="929"/>
      <c r="L176" s="951"/>
      <c r="M176" s="951"/>
      <c r="N176" s="951"/>
      <c r="O176" s="951"/>
      <c r="P176" s="951"/>
      <c r="Q176" s="951"/>
    </row>
    <row r="177" spans="1:17" x14ac:dyDescent="0.2">
      <c r="A177" s="909"/>
      <c r="B177" s="929" t="s">
        <v>3665</v>
      </c>
      <c r="C177" s="771">
        <f t="shared" si="15"/>
        <v>0</v>
      </c>
      <c r="D177" s="853">
        <f t="shared" si="14"/>
        <v>0</v>
      </c>
      <c r="E177" s="870">
        <f t="shared" si="5"/>
        <v>0</v>
      </c>
      <c r="F177" s="909"/>
      <c r="G177" s="871">
        <f t="shared" si="6"/>
        <v>0</v>
      </c>
      <c r="H177" s="853">
        <f t="shared" si="13"/>
        <v>0</v>
      </c>
      <c r="I177" s="909"/>
      <c r="J177" s="929"/>
      <c r="K177" s="929"/>
      <c r="L177" s="951"/>
      <c r="M177" s="951"/>
      <c r="N177" s="951"/>
      <c r="O177" s="951"/>
      <c r="P177" s="951"/>
      <c r="Q177" s="951"/>
    </row>
    <row r="178" spans="1:17" x14ac:dyDescent="0.2">
      <c r="A178" s="909"/>
      <c r="B178" s="929" t="s">
        <v>3666</v>
      </c>
      <c r="C178" s="771">
        <f t="shared" si="15"/>
        <v>0</v>
      </c>
      <c r="D178" s="853">
        <f t="shared" si="14"/>
        <v>0</v>
      </c>
      <c r="E178" s="870">
        <f t="shared" si="5"/>
        <v>0</v>
      </c>
      <c r="F178" s="909"/>
      <c r="G178" s="871">
        <f t="shared" si="6"/>
        <v>0</v>
      </c>
      <c r="H178" s="853">
        <f t="shared" si="13"/>
        <v>0</v>
      </c>
      <c r="I178" s="909"/>
      <c r="J178" s="929"/>
      <c r="K178" s="929"/>
      <c r="L178" s="951"/>
      <c r="M178" s="951"/>
      <c r="N178" s="951"/>
      <c r="O178" s="951"/>
      <c r="P178" s="951"/>
      <c r="Q178" s="951"/>
    </row>
    <row r="179" spans="1:17" x14ac:dyDescent="0.2">
      <c r="A179" s="909"/>
      <c r="B179" s="929" t="s">
        <v>3667</v>
      </c>
      <c r="C179" s="771">
        <f t="shared" si="15"/>
        <v>0</v>
      </c>
      <c r="D179" s="853">
        <f t="shared" si="14"/>
        <v>0</v>
      </c>
      <c r="E179" s="870">
        <f t="shared" si="5"/>
        <v>0</v>
      </c>
      <c r="F179" s="909"/>
      <c r="G179" s="871">
        <f t="shared" si="6"/>
        <v>0</v>
      </c>
      <c r="H179" s="853">
        <f t="shared" si="13"/>
        <v>0</v>
      </c>
      <c r="I179" s="909"/>
      <c r="J179" s="929"/>
      <c r="K179" s="929"/>
      <c r="L179" s="951"/>
      <c r="M179" s="951"/>
      <c r="N179" s="951"/>
      <c r="O179" s="951"/>
      <c r="P179" s="951"/>
      <c r="Q179" s="951"/>
    </row>
    <row r="180" spans="1:17" x14ac:dyDescent="0.2">
      <c r="A180" s="909"/>
      <c r="B180" s="929" t="s">
        <v>4021</v>
      </c>
      <c r="C180" s="771">
        <f t="shared" si="15"/>
        <v>0</v>
      </c>
      <c r="D180" s="853">
        <f t="shared" si="14"/>
        <v>0</v>
      </c>
      <c r="E180" s="870">
        <f t="shared" si="5"/>
        <v>0</v>
      </c>
      <c r="F180" s="909"/>
      <c r="G180" s="871">
        <f t="shared" si="6"/>
        <v>0</v>
      </c>
      <c r="H180" s="853">
        <f t="shared" si="13"/>
        <v>0</v>
      </c>
      <c r="I180" s="909"/>
      <c r="J180" s="929"/>
      <c r="K180" s="929"/>
      <c r="L180" s="951"/>
      <c r="M180" s="951"/>
      <c r="N180" s="951"/>
      <c r="O180" s="951"/>
      <c r="P180" s="951"/>
      <c r="Q180" s="951"/>
    </row>
    <row r="181" spans="1:17" x14ac:dyDescent="0.2">
      <c r="A181" s="909"/>
      <c r="B181" s="929" t="s">
        <v>3986</v>
      </c>
      <c r="C181" s="771">
        <f t="shared" si="15"/>
        <v>0</v>
      </c>
      <c r="D181" s="853">
        <f t="shared" si="14"/>
        <v>0</v>
      </c>
      <c r="E181" s="870">
        <f t="shared" si="5"/>
        <v>0</v>
      </c>
      <c r="F181" s="909"/>
      <c r="G181" s="871">
        <f t="shared" si="6"/>
        <v>0</v>
      </c>
      <c r="H181" s="853">
        <f t="shared" si="13"/>
        <v>0</v>
      </c>
      <c r="I181" s="929"/>
      <c r="J181" s="909"/>
      <c r="K181" s="909"/>
    </row>
    <row r="182" spans="1:17" x14ac:dyDescent="0.2">
      <c r="A182" s="909"/>
      <c r="B182" s="929" t="s">
        <v>3670</v>
      </c>
      <c r="C182" s="771">
        <f t="shared" si="15"/>
        <v>0</v>
      </c>
      <c r="D182" s="853">
        <f t="shared" si="14"/>
        <v>0</v>
      </c>
      <c r="E182" s="870">
        <f t="shared" si="5"/>
        <v>0</v>
      </c>
      <c r="F182" s="909"/>
      <c r="G182" s="871">
        <f t="shared" si="6"/>
        <v>0</v>
      </c>
      <c r="H182" s="853">
        <f t="shared" si="13"/>
        <v>0</v>
      </c>
      <c r="I182" s="929"/>
      <c r="J182" s="909"/>
      <c r="K182" s="909"/>
    </row>
    <row r="183" spans="1:17" x14ac:dyDescent="0.2">
      <c r="A183" s="909"/>
      <c r="B183" s="932" t="s">
        <v>3596</v>
      </c>
      <c r="C183" s="771">
        <f>IF(D36&gt;0,D36*D25,0)</f>
        <v>0</v>
      </c>
      <c r="D183" s="853">
        <v>0</v>
      </c>
      <c r="E183" s="870">
        <f t="shared" si="5"/>
        <v>0</v>
      </c>
      <c r="F183" s="909"/>
      <c r="G183" s="871">
        <f t="shared" si="6"/>
        <v>0</v>
      </c>
      <c r="H183" s="853">
        <f t="shared" si="13"/>
        <v>0</v>
      </c>
      <c r="I183" s="996"/>
      <c r="J183" s="909"/>
      <c r="K183" s="909"/>
    </row>
    <row r="184" spans="1:17" x14ac:dyDescent="0.2">
      <c r="A184" s="909"/>
      <c r="B184" s="932" t="s">
        <v>3597</v>
      </c>
      <c r="C184" s="771">
        <f>IF(D37&gt;0,D37*D25,0)</f>
        <v>0</v>
      </c>
      <c r="D184" s="853">
        <v>0</v>
      </c>
      <c r="E184" s="870">
        <f t="shared" si="5"/>
        <v>0</v>
      </c>
      <c r="F184" s="909"/>
      <c r="G184" s="871">
        <f t="shared" si="6"/>
        <v>0</v>
      </c>
      <c r="H184" s="853">
        <f t="shared" si="13"/>
        <v>0</v>
      </c>
      <c r="I184" s="996"/>
      <c r="J184" s="909"/>
      <c r="K184" s="909"/>
    </row>
    <row r="185" spans="1:17" x14ac:dyDescent="0.2">
      <c r="A185" s="909"/>
      <c r="B185" s="932" t="s">
        <v>3599</v>
      </c>
      <c r="C185" s="771">
        <f>IF(D38&lt;0,-D38,0)</f>
        <v>0</v>
      </c>
      <c r="D185" s="853">
        <f>IF(D36&lt;0,-D36,0)*D25</f>
        <v>0</v>
      </c>
      <c r="E185" s="870">
        <f t="shared" si="5"/>
        <v>0</v>
      </c>
      <c r="F185" s="909"/>
      <c r="G185" s="871">
        <f t="shared" si="6"/>
        <v>0</v>
      </c>
      <c r="H185" s="853">
        <f t="shared" si="13"/>
        <v>0</v>
      </c>
      <c r="I185" s="909"/>
      <c r="J185" s="909"/>
      <c r="K185" s="909"/>
    </row>
    <row r="186" spans="1:17" x14ac:dyDescent="0.2">
      <c r="A186" s="909"/>
      <c r="B186" s="932" t="s">
        <v>3601</v>
      </c>
      <c r="C186" s="771">
        <f>IF(D39&lt;0,-D39,0)</f>
        <v>0</v>
      </c>
      <c r="D186" s="853">
        <f>IF(D37&lt;0,-D37,0)*D25</f>
        <v>0</v>
      </c>
      <c r="E186" s="870">
        <f t="shared" si="5"/>
        <v>0</v>
      </c>
      <c r="F186" s="909"/>
      <c r="G186" s="871">
        <f t="shared" si="6"/>
        <v>0</v>
      </c>
      <c r="H186" s="853">
        <f t="shared" si="13"/>
        <v>0</v>
      </c>
      <c r="I186" s="909"/>
      <c r="J186" s="909"/>
      <c r="K186" s="909"/>
    </row>
    <row r="187" spans="1:17" x14ac:dyDescent="0.2">
      <c r="A187" s="909"/>
      <c r="B187" s="932" t="s">
        <v>4095</v>
      </c>
      <c r="C187" s="771">
        <f>IF(D44&gt;0,D44*D25,0)</f>
        <v>0</v>
      </c>
      <c r="D187" s="853">
        <f>IF(D44&lt;0,(D44*D25),0)</f>
        <v>0</v>
      </c>
      <c r="E187" s="870">
        <f t="shared" si="5"/>
        <v>0</v>
      </c>
      <c r="F187" s="909"/>
      <c r="G187" s="871">
        <f t="shared" si="6"/>
        <v>0</v>
      </c>
      <c r="H187" s="853">
        <f t="shared" si="13"/>
        <v>0</v>
      </c>
      <c r="I187" s="909"/>
      <c r="J187" s="909"/>
      <c r="K187" s="909"/>
    </row>
    <row r="188" spans="1:17" ht="25.5" x14ac:dyDescent="0.2">
      <c r="A188" s="909"/>
      <c r="B188" s="932" t="s">
        <v>3676</v>
      </c>
      <c r="C188" s="771">
        <f>IF(D46&gt;0,D46*D25,0)</f>
        <v>0</v>
      </c>
      <c r="D188" s="853">
        <f>IF(D46&lt;0,D46*D25,0)</f>
        <v>0</v>
      </c>
      <c r="E188" s="870">
        <f t="shared" si="5"/>
        <v>0</v>
      </c>
      <c r="F188" s="909"/>
      <c r="G188" s="871">
        <f t="shared" si="6"/>
        <v>0</v>
      </c>
      <c r="H188" s="853">
        <f t="shared" si="13"/>
        <v>0</v>
      </c>
      <c r="I188" s="909"/>
      <c r="J188" s="909"/>
      <c r="K188" s="909"/>
    </row>
    <row r="189" spans="1:17" ht="25.5" x14ac:dyDescent="0.2">
      <c r="A189" s="909"/>
      <c r="B189" s="1168" t="s">
        <v>4096</v>
      </c>
      <c r="C189" s="771"/>
      <c r="D189" s="1167">
        <f>D$33*D16</f>
        <v>0</v>
      </c>
      <c r="E189" s="870">
        <f t="shared" si="5"/>
        <v>0</v>
      </c>
      <c r="F189" s="909"/>
      <c r="G189" s="871">
        <f t="shared" si="6"/>
        <v>0</v>
      </c>
      <c r="H189" s="853">
        <f t="shared" si="13"/>
        <v>0</v>
      </c>
      <c r="I189" s="909"/>
      <c r="J189" s="909"/>
      <c r="K189" s="909"/>
    </row>
    <row r="190" spans="1:17" x14ac:dyDescent="0.2">
      <c r="A190" s="909"/>
      <c r="B190" s="1168" t="s">
        <v>4097</v>
      </c>
      <c r="C190" s="771"/>
      <c r="D190" s="1167">
        <f t="shared" ref="D190:D197" si="16">D$33*D17</f>
        <v>0</v>
      </c>
      <c r="E190" s="870">
        <f t="shared" si="5"/>
        <v>0</v>
      </c>
      <c r="F190" s="909"/>
      <c r="G190" s="871">
        <f t="shared" si="6"/>
        <v>0</v>
      </c>
      <c r="H190" s="853">
        <f t="shared" si="13"/>
        <v>0</v>
      </c>
      <c r="I190" s="909"/>
      <c r="J190" s="909"/>
      <c r="K190" s="909"/>
    </row>
    <row r="191" spans="1:17" x14ac:dyDescent="0.2">
      <c r="A191" s="909"/>
      <c r="B191" s="1168" t="s">
        <v>4098</v>
      </c>
      <c r="C191" s="771"/>
      <c r="D191" s="1167">
        <f t="shared" si="16"/>
        <v>0</v>
      </c>
      <c r="E191" s="870">
        <f t="shared" si="5"/>
        <v>0</v>
      </c>
      <c r="F191" s="909"/>
      <c r="G191" s="871">
        <f t="shared" si="6"/>
        <v>0</v>
      </c>
      <c r="H191" s="853">
        <f t="shared" si="13"/>
        <v>0</v>
      </c>
      <c r="I191" s="909"/>
      <c r="J191" s="909"/>
      <c r="K191" s="909"/>
    </row>
    <row r="192" spans="1:17" ht="25.5" x14ac:dyDescent="0.2">
      <c r="A192" s="909"/>
      <c r="B192" s="1168" t="s">
        <v>4099</v>
      </c>
      <c r="C192" s="771"/>
      <c r="D192" s="1167">
        <f t="shared" si="16"/>
        <v>0</v>
      </c>
      <c r="E192" s="870">
        <f t="shared" si="5"/>
        <v>0</v>
      </c>
      <c r="F192" s="909"/>
      <c r="G192" s="871">
        <f t="shared" si="6"/>
        <v>0</v>
      </c>
      <c r="H192" s="853">
        <f t="shared" si="13"/>
        <v>0</v>
      </c>
      <c r="I192" s="909"/>
      <c r="J192" s="909"/>
      <c r="K192" s="909"/>
    </row>
    <row r="193" spans="1:11" ht="25.5" x14ac:dyDescent="0.2">
      <c r="A193" s="909"/>
      <c r="B193" s="1168" t="s">
        <v>4100</v>
      </c>
      <c r="C193" s="771"/>
      <c r="D193" s="1167">
        <f t="shared" si="16"/>
        <v>0</v>
      </c>
      <c r="E193" s="870">
        <f t="shared" si="5"/>
        <v>0</v>
      </c>
      <c r="F193" s="909"/>
      <c r="G193" s="871">
        <f t="shared" si="6"/>
        <v>0</v>
      </c>
      <c r="H193" s="853">
        <f t="shared" si="13"/>
        <v>0</v>
      </c>
      <c r="I193" s="909"/>
      <c r="J193" s="909"/>
      <c r="K193" s="909"/>
    </row>
    <row r="194" spans="1:11" x14ac:dyDescent="0.2">
      <c r="A194" s="909"/>
      <c r="B194" s="1168" t="s">
        <v>4101</v>
      </c>
      <c r="C194" s="771"/>
      <c r="D194" s="1167">
        <f t="shared" si="16"/>
        <v>0</v>
      </c>
      <c r="E194" s="870">
        <f t="shared" si="5"/>
        <v>0</v>
      </c>
      <c r="F194" s="909"/>
      <c r="G194" s="871">
        <f t="shared" si="6"/>
        <v>0</v>
      </c>
      <c r="H194" s="853">
        <f t="shared" si="13"/>
        <v>0</v>
      </c>
      <c r="I194" s="909"/>
      <c r="J194" s="909"/>
      <c r="K194" s="909"/>
    </row>
    <row r="195" spans="1:11" ht="25.5" x14ac:dyDescent="0.2">
      <c r="A195" s="909"/>
      <c r="B195" s="1168" t="s">
        <v>4102</v>
      </c>
      <c r="C195" s="771"/>
      <c r="D195" s="1167">
        <f t="shared" si="16"/>
        <v>0</v>
      </c>
      <c r="E195" s="870">
        <f t="shared" si="5"/>
        <v>0</v>
      </c>
      <c r="F195" s="909"/>
      <c r="G195" s="871">
        <f t="shared" si="6"/>
        <v>0</v>
      </c>
      <c r="H195" s="853">
        <f t="shared" si="13"/>
        <v>0</v>
      </c>
      <c r="I195" s="909"/>
      <c r="J195" s="909"/>
      <c r="K195" s="909"/>
    </row>
    <row r="196" spans="1:11" x14ac:dyDescent="0.2">
      <c r="A196" s="909"/>
      <c r="B196" s="1168" t="s">
        <v>4103</v>
      </c>
      <c r="C196" s="771"/>
      <c r="D196" s="1167">
        <f t="shared" si="16"/>
        <v>0</v>
      </c>
      <c r="E196" s="870">
        <f t="shared" si="5"/>
        <v>0</v>
      </c>
      <c r="F196" s="909"/>
      <c r="G196" s="871">
        <f t="shared" si="6"/>
        <v>0</v>
      </c>
      <c r="H196" s="853">
        <f t="shared" si="13"/>
        <v>0</v>
      </c>
      <c r="I196" s="909"/>
      <c r="J196" s="909"/>
      <c r="K196" s="909"/>
    </row>
    <row r="197" spans="1:11" x14ac:dyDescent="0.2">
      <c r="A197" s="909"/>
      <c r="B197" s="1168" t="s">
        <v>4104</v>
      </c>
      <c r="C197" s="771"/>
      <c r="D197" s="1167">
        <f t="shared" si="16"/>
        <v>0</v>
      </c>
      <c r="E197" s="870">
        <f t="shared" si="5"/>
        <v>0</v>
      </c>
      <c r="F197" s="909"/>
      <c r="G197" s="871">
        <f t="shared" si="6"/>
        <v>0</v>
      </c>
      <c r="H197" s="853">
        <f t="shared" si="13"/>
        <v>0</v>
      </c>
      <c r="I197" s="909"/>
      <c r="J197" s="909"/>
      <c r="K197" s="909"/>
    </row>
    <row r="198" spans="1:11" x14ac:dyDescent="0.2">
      <c r="A198" s="909"/>
      <c r="B198" s="909"/>
      <c r="C198" s="946">
        <f>SUM(C154:C197)</f>
        <v>0</v>
      </c>
      <c r="D198" s="946">
        <f t="shared" ref="D198:E198" si="17">SUM(D154:D197)</f>
        <v>0</v>
      </c>
      <c r="E198" s="946">
        <f t="shared" si="17"/>
        <v>0</v>
      </c>
      <c r="F198" s="940"/>
      <c r="G198" s="946">
        <f t="shared" ref="G198:H198" si="18">SUM(G154:G197)</f>
        <v>0</v>
      </c>
      <c r="H198" s="946">
        <f t="shared" si="18"/>
        <v>0</v>
      </c>
      <c r="I198" s="909"/>
      <c r="J198" s="909"/>
      <c r="K198" s="909"/>
    </row>
    <row r="199" spans="1:11" x14ac:dyDescent="0.2">
      <c r="A199" s="909"/>
      <c r="B199" s="909"/>
      <c r="C199" s="909"/>
      <c r="D199" s="909"/>
      <c r="E199" s="909"/>
      <c r="F199" s="909"/>
      <c r="G199" s="909"/>
      <c r="H199" s="909"/>
      <c r="I199" s="909"/>
      <c r="J199" s="909"/>
      <c r="K199" s="909"/>
    </row>
    <row r="200" spans="1:11" x14ac:dyDescent="0.2">
      <c r="B200" s="924"/>
      <c r="C200" s="925"/>
      <c r="D200" s="924"/>
    </row>
    <row r="201" spans="1:11" x14ac:dyDescent="0.2">
      <c r="B201" s="925"/>
      <c r="C201" s="925"/>
      <c r="G201" s="924"/>
    </row>
    <row r="203" spans="1:11" x14ac:dyDescent="0.2">
      <c r="C203" s="925"/>
      <c r="D203" s="925"/>
    </row>
  </sheetData>
  <sheetProtection algorithmName="SHA-512" hashValue="f4wIkfN9GVfoIeYuVkw4BszC616zR/W4nJKFXK0DhTIZQsZwHInX35ue100msv/WsEyWoAQA8vuqSSrecpdMVw==" saltValue="o0VX7gm7czoYrXV7q7IS3w==" spinCount="100000" sheet="1" objects="1" scenarios="1"/>
  <mergeCells count="15">
    <mergeCell ref="G151:H151"/>
    <mergeCell ref="A1:C1"/>
    <mergeCell ref="A4:C4"/>
    <mergeCell ref="B7:L7"/>
    <mergeCell ref="B28:E28"/>
    <mergeCell ref="B36:C36"/>
    <mergeCell ref="F36:K36"/>
    <mergeCell ref="B44:C44"/>
    <mergeCell ref="B46:C46"/>
    <mergeCell ref="B37:C37"/>
    <mergeCell ref="F37:K37"/>
    <mergeCell ref="B38:C38"/>
    <mergeCell ref="F38:K38"/>
    <mergeCell ref="B39:C39"/>
    <mergeCell ref="F39:K39"/>
  </mergeCells>
  <conditionalFormatting sqref="M51:M53 M34:M40">
    <cfRule type="expression" dxfId="11" priority="6">
      <formula>#REF!=2</formula>
    </cfRule>
  </conditionalFormatting>
  <conditionalFormatting sqref="M41">
    <cfRule type="expression" dxfId="10" priority="5">
      <formula>#REF!=2</formula>
    </cfRule>
  </conditionalFormatting>
  <conditionalFormatting sqref="M42">
    <cfRule type="expression" dxfId="9" priority="4">
      <formula>#REF!=2</formula>
    </cfRule>
  </conditionalFormatting>
  <conditionalFormatting sqref="M43 M45:M48">
    <cfRule type="expression" dxfId="8" priority="3">
      <formula>#REF!=2</formula>
    </cfRule>
  </conditionalFormatting>
  <conditionalFormatting sqref="M49">
    <cfRule type="expression" dxfId="7" priority="2">
      <formula>#REF!=2</formula>
    </cfRule>
  </conditionalFormatting>
  <conditionalFormatting sqref="M50">
    <cfRule type="expression" dxfId="6" priority="1">
      <formula>#REF!=2</formula>
    </cfRule>
  </conditionalFormatting>
  <pageMargins left="0.7" right="0.7" top="0.75" bottom="0.75" header="0.3" footer="0.3"/>
  <pageSetup orientation="portrait" horizontalDpi="1200" verticalDpi="1200"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Q203"/>
  <sheetViews>
    <sheetView topLeftCell="A8" workbookViewId="0">
      <selection activeCell="I41" sqref="I41"/>
    </sheetView>
  </sheetViews>
  <sheetFormatPr defaultColWidth="9.140625" defaultRowHeight="12.75" x14ac:dyDescent="0.2"/>
  <cols>
    <col min="1" max="1" width="9.140625" style="910" customWidth="1"/>
    <col min="2" max="2" width="66" style="910" customWidth="1"/>
    <col min="3" max="3" width="27.85546875" style="910" customWidth="1"/>
    <col min="4" max="4" width="16.85546875" style="910" customWidth="1"/>
    <col min="5" max="5" width="17.5703125" style="910" customWidth="1"/>
    <col min="6" max="6" width="9.140625" style="910"/>
    <col min="7" max="8" width="15" style="910" bestFit="1" customWidth="1"/>
    <col min="9" max="9" width="11" style="910" customWidth="1"/>
    <col min="10" max="10" width="9.140625" style="910" customWidth="1"/>
    <col min="11" max="11" width="15" style="910" bestFit="1" customWidth="1"/>
    <col min="12" max="12" width="16" style="910" bestFit="1" customWidth="1"/>
    <col min="13" max="13" width="9.140625" style="910" customWidth="1"/>
    <col min="14" max="14" width="16.5703125" style="910" customWidth="1"/>
    <col min="15" max="16" width="11.28515625" style="910" bestFit="1" customWidth="1"/>
    <col min="17" max="17" width="10.85546875" style="910" customWidth="1"/>
    <col min="18" max="16384" width="9.140625" style="910"/>
  </cols>
  <sheetData>
    <row r="1" spans="1:12" ht="15.75" x14ac:dyDescent="0.25">
      <c r="A1" s="1660" t="s">
        <v>3643</v>
      </c>
      <c r="B1" s="1661"/>
      <c r="C1" s="1662"/>
      <c r="D1" s="909"/>
      <c r="E1" s="909"/>
      <c r="F1" s="909"/>
      <c r="G1" s="909"/>
      <c r="H1" s="909"/>
      <c r="I1" s="909"/>
      <c r="J1" s="909"/>
      <c r="K1" s="909"/>
    </row>
    <row r="2" spans="1:12" x14ac:dyDescent="0.2">
      <c r="A2" s="909"/>
      <c r="B2" s="909"/>
      <c r="C2" s="909"/>
      <c r="D2" s="909"/>
      <c r="E2" s="909"/>
      <c r="F2" s="909"/>
      <c r="G2" s="909"/>
      <c r="H2" s="909"/>
      <c r="I2" s="909"/>
      <c r="J2" s="909"/>
      <c r="K2" s="909"/>
    </row>
    <row r="3" spans="1:12" x14ac:dyDescent="0.2">
      <c r="A3" s="909"/>
      <c r="B3" s="909"/>
      <c r="C3" s="909"/>
      <c r="D3" s="909"/>
      <c r="E3" s="909"/>
      <c r="F3" s="909"/>
      <c r="G3" s="909"/>
      <c r="H3" s="909"/>
      <c r="I3" s="909"/>
      <c r="J3" s="909"/>
      <c r="K3" s="909"/>
    </row>
    <row r="4" spans="1:12" ht="39.75" customHeight="1" x14ac:dyDescent="0.2">
      <c r="A4" s="1663" t="s">
        <v>4118</v>
      </c>
      <c r="B4" s="1664"/>
      <c r="C4" s="1664"/>
      <c r="D4" s="929"/>
      <c r="E4" s="909"/>
      <c r="F4" s="909"/>
      <c r="G4" s="909"/>
      <c r="H4" s="909"/>
      <c r="I4" s="909"/>
      <c r="J4" s="909"/>
      <c r="K4" s="909"/>
    </row>
    <row r="5" spans="1:12" ht="12.75" customHeight="1" x14ac:dyDescent="0.2">
      <c r="A5" s="909"/>
      <c r="B5" s="909"/>
      <c r="C5" s="909"/>
      <c r="D5" s="909"/>
      <c r="E5" s="909"/>
      <c r="F5" s="909"/>
      <c r="G5" s="909"/>
      <c r="H5" s="909"/>
      <c r="I5" s="909"/>
      <c r="J5" s="909"/>
      <c r="K5" s="909"/>
    </row>
    <row r="6" spans="1:12" ht="12.75" customHeight="1" x14ac:dyDescent="0.2">
      <c r="A6" s="909"/>
      <c r="B6" s="909"/>
      <c r="C6" s="909"/>
      <c r="D6" s="909"/>
      <c r="E6" s="909"/>
      <c r="F6" s="909"/>
      <c r="G6" s="909"/>
      <c r="H6" s="909"/>
      <c r="I6" s="909"/>
      <c r="J6" s="909"/>
      <c r="K6" s="909"/>
    </row>
    <row r="7" spans="1:12" ht="12.75" customHeight="1" x14ac:dyDescent="0.2">
      <c r="A7" s="911" t="s">
        <v>547</v>
      </c>
      <c r="B7" s="1665" t="s">
        <v>4080</v>
      </c>
      <c r="C7" s="1666"/>
      <c r="D7" s="1666"/>
      <c r="E7" s="1666"/>
      <c r="F7" s="1666"/>
      <c r="G7" s="1666"/>
      <c r="H7" s="1666"/>
      <c r="I7" s="1666"/>
      <c r="J7" s="1666"/>
      <c r="K7" s="1666"/>
      <c r="L7" s="1666"/>
    </row>
    <row r="8" spans="1:12" ht="12.75" customHeight="1" x14ac:dyDescent="0.2">
      <c r="A8" s="909"/>
      <c r="B8" s="909"/>
      <c r="C8" s="909"/>
      <c r="D8" s="909"/>
      <c r="E8" s="909"/>
      <c r="F8" s="909"/>
      <c r="G8" s="675"/>
      <c r="H8" s="675"/>
      <c r="I8" s="912"/>
      <c r="J8" s="675"/>
      <c r="K8" s="909"/>
      <c r="L8" s="675"/>
    </row>
    <row r="9" spans="1:12" ht="12.75" customHeight="1" x14ac:dyDescent="0.2">
      <c r="A9" s="909"/>
      <c r="B9" s="909" t="s">
        <v>3671</v>
      </c>
      <c r="C9" s="909"/>
      <c r="D9" s="675"/>
      <c r="E9" s="909"/>
      <c r="F9" s="675"/>
      <c r="H9" s="675"/>
      <c r="I9" s="675"/>
      <c r="J9" s="909"/>
    </row>
    <row r="10" spans="1:12" ht="12.75" customHeight="1" x14ac:dyDescent="0.2">
      <c r="A10" s="909"/>
      <c r="B10" s="909"/>
      <c r="C10" s="909"/>
      <c r="D10" s="731"/>
      <c r="E10" s="909"/>
      <c r="F10" s="675"/>
      <c r="H10" s="675"/>
      <c r="I10" s="1004"/>
      <c r="J10" s="1005"/>
    </row>
    <row r="11" spans="1:12" ht="12.75" customHeight="1" x14ac:dyDescent="0.2">
      <c r="A11" s="909"/>
      <c r="B11" s="913" t="s">
        <v>2060</v>
      </c>
      <c r="C11" s="909"/>
      <c r="D11" s="752">
        <v>0</v>
      </c>
      <c r="E11" s="909"/>
      <c r="F11" s="913"/>
      <c r="H11" s="675"/>
      <c r="I11" s="1005"/>
      <c r="J11" s="1005"/>
    </row>
    <row r="12" spans="1:12" ht="12.75" customHeight="1" x14ac:dyDescent="0.2">
      <c r="A12" s="909"/>
      <c r="B12" s="913" t="s">
        <v>4078</v>
      </c>
      <c r="C12" s="909"/>
      <c r="D12" s="752">
        <v>0</v>
      </c>
      <c r="E12" s="909" t="s">
        <v>3672</v>
      </c>
      <c r="F12" s="913"/>
      <c r="H12" s="675"/>
      <c r="I12" s="675"/>
      <c r="J12" s="909"/>
    </row>
    <row r="13" spans="1:12" ht="12.75" customHeight="1" x14ac:dyDescent="0.2">
      <c r="A13" s="909"/>
      <c r="B13" s="914" t="s">
        <v>2078</v>
      </c>
      <c r="C13" s="909"/>
      <c r="D13" s="708">
        <f>SUM(D11:D12)</f>
        <v>0</v>
      </c>
      <c r="E13" s="913" t="str">
        <f>IF(D13=1,"=100%","DOES NOT EQUAL 100%!!!")</f>
        <v>DOES NOT EQUAL 100%!!!</v>
      </c>
      <c r="H13" s="675"/>
      <c r="I13" s="675"/>
      <c r="J13" s="909"/>
    </row>
    <row r="14" spans="1:12" ht="12.75" customHeight="1" x14ac:dyDescent="0.2">
      <c r="A14" s="909"/>
      <c r="B14" s="915"/>
      <c r="C14" s="909"/>
      <c r="D14" s="916"/>
      <c r="E14" s="916"/>
      <c r="H14" s="675"/>
      <c r="I14" s="675"/>
      <c r="J14" s="909"/>
    </row>
    <row r="15" spans="1:12" ht="12.75" customHeight="1" x14ac:dyDescent="0.2">
      <c r="A15" s="909"/>
      <c r="B15" s="917" t="s">
        <v>3647</v>
      </c>
      <c r="C15" s="909"/>
      <c r="D15" s="916"/>
      <c r="E15" s="916"/>
      <c r="H15" s="675"/>
      <c r="I15" s="675"/>
      <c r="J15" s="909"/>
    </row>
    <row r="16" spans="1:12" ht="12.75" customHeight="1" x14ac:dyDescent="0.2">
      <c r="A16" s="909"/>
      <c r="B16" s="915" t="s">
        <v>2079</v>
      </c>
      <c r="C16" s="909"/>
      <c r="D16" s="752">
        <v>0</v>
      </c>
      <c r="E16" s="916"/>
      <c r="H16" s="675"/>
      <c r="I16" s="675"/>
      <c r="J16" s="909"/>
    </row>
    <row r="17" spans="1:11" ht="12.75" customHeight="1" x14ac:dyDescent="0.2">
      <c r="A17" s="909"/>
      <c r="B17" s="915" t="s">
        <v>2080</v>
      </c>
      <c r="C17" s="909"/>
      <c r="D17" s="752">
        <v>0</v>
      </c>
      <c r="E17" s="916"/>
      <c r="H17" s="675"/>
      <c r="I17" s="675"/>
      <c r="J17" s="909"/>
    </row>
    <row r="18" spans="1:11" ht="12.75" customHeight="1" x14ac:dyDescent="0.2">
      <c r="A18" s="909"/>
      <c r="B18" s="915" t="s">
        <v>2081</v>
      </c>
      <c r="C18" s="909"/>
      <c r="D18" s="752">
        <v>0</v>
      </c>
      <c r="E18" s="916"/>
      <c r="H18" s="675"/>
      <c r="I18" s="675"/>
      <c r="J18" s="909"/>
    </row>
    <row r="19" spans="1:11" ht="12.75" customHeight="1" x14ac:dyDescent="0.2">
      <c r="A19" s="909"/>
      <c r="B19" s="915" t="s">
        <v>2082</v>
      </c>
      <c r="C19" s="909"/>
      <c r="D19" s="752">
        <v>0</v>
      </c>
      <c r="E19" s="916"/>
      <c r="H19" s="675"/>
      <c r="I19" s="675"/>
      <c r="J19" s="909"/>
    </row>
    <row r="20" spans="1:11" ht="12.75" customHeight="1" x14ac:dyDescent="0.2">
      <c r="A20" s="909"/>
      <c r="B20" s="915" t="s">
        <v>2083</v>
      </c>
      <c r="C20" s="909"/>
      <c r="D20" s="752">
        <v>0</v>
      </c>
      <c r="E20" s="916"/>
      <c r="H20" s="675"/>
      <c r="I20" s="675"/>
      <c r="J20" s="909"/>
    </row>
    <row r="21" spans="1:11" ht="12.75" customHeight="1" x14ac:dyDescent="0.2">
      <c r="A21" s="909"/>
      <c r="B21" s="915" t="s">
        <v>2084</v>
      </c>
      <c r="C21" s="909"/>
      <c r="D21" s="752">
        <v>0</v>
      </c>
      <c r="E21" s="916"/>
      <c r="H21" s="675"/>
      <c r="I21" s="675"/>
      <c r="J21" s="909"/>
    </row>
    <row r="22" spans="1:11" ht="12.75" customHeight="1" x14ac:dyDescent="0.2">
      <c r="A22" s="909"/>
      <c r="B22" s="915" t="s">
        <v>2085</v>
      </c>
      <c r="C22" s="909"/>
      <c r="D22" s="752">
        <v>0</v>
      </c>
      <c r="E22" s="916"/>
      <c r="H22" s="675"/>
      <c r="I22" s="675"/>
      <c r="J22" s="909"/>
    </row>
    <row r="23" spans="1:11" ht="12.75" customHeight="1" x14ac:dyDescent="0.2">
      <c r="A23" s="909"/>
      <c r="B23" s="915" t="s">
        <v>2086</v>
      </c>
      <c r="C23" s="909"/>
      <c r="D23" s="752">
        <v>0</v>
      </c>
      <c r="E23" s="916"/>
      <c r="H23" s="956"/>
      <c r="I23" s="675"/>
      <c r="J23" s="909"/>
    </row>
    <row r="24" spans="1:11" ht="12.75" customHeight="1" x14ac:dyDescent="0.2">
      <c r="A24" s="909"/>
      <c r="B24" s="915" t="s">
        <v>2087</v>
      </c>
      <c r="C24" s="909"/>
      <c r="D24" s="752">
        <v>0</v>
      </c>
      <c r="E24" s="916"/>
      <c r="H24" s="956"/>
      <c r="I24" s="675"/>
      <c r="J24" s="909"/>
    </row>
    <row r="25" spans="1:11" ht="12.75" customHeight="1" x14ac:dyDescent="0.2">
      <c r="A25" s="909"/>
      <c r="B25" s="914" t="s">
        <v>3657</v>
      </c>
      <c r="C25" s="909"/>
      <c r="D25" s="708">
        <f>SUM(D16:D24)</f>
        <v>0</v>
      </c>
      <c r="E25" s="913" t="str">
        <f>IF(D25=D11,"Equals Governmental Activities","DOES NOT EQUAL Governmental Activities!!!")</f>
        <v>Equals Governmental Activities</v>
      </c>
      <c r="H25" s="675"/>
      <c r="I25" s="675"/>
      <c r="J25" s="909"/>
    </row>
    <row r="26" spans="1:11" ht="12.75" customHeight="1" x14ac:dyDescent="0.2">
      <c r="A26" s="909"/>
      <c r="B26" s="909"/>
      <c r="C26" s="909"/>
      <c r="D26" s="675"/>
      <c r="E26" s="909"/>
      <c r="F26" s="675"/>
      <c r="H26" s="675"/>
      <c r="I26" s="675"/>
      <c r="J26" s="909"/>
    </row>
    <row r="27" spans="1:11" x14ac:dyDescent="0.2">
      <c r="A27" s="909"/>
      <c r="B27" s="909"/>
      <c r="C27" s="909"/>
      <c r="D27" s="909"/>
      <c r="E27" s="909"/>
      <c r="F27" s="909"/>
      <c r="G27" s="909"/>
      <c r="H27" s="909"/>
      <c r="I27" s="909"/>
      <c r="J27" s="909"/>
      <c r="K27" s="909"/>
    </row>
    <row r="28" spans="1:11" ht="25.5" customHeight="1" x14ac:dyDescent="0.2">
      <c r="A28" s="911" t="s">
        <v>548</v>
      </c>
      <c r="B28" s="1667" t="s">
        <v>4063</v>
      </c>
      <c r="C28" s="1668"/>
      <c r="D28" s="1668"/>
      <c r="E28" s="1668"/>
      <c r="F28" s="909"/>
      <c r="G28" s="909"/>
      <c r="H28" s="909"/>
      <c r="I28" s="909"/>
      <c r="J28" s="909"/>
      <c r="K28" s="909"/>
    </row>
    <row r="29" spans="1:11" x14ac:dyDescent="0.2">
      <c r="A29" s="909"/>
      <c r="B29" s="909"/>
      <c r="C29" s="909"/>
      <c r="D29" s="909"/>
      <c r="E29" s="909"/>
      <c r="F29" s="909"/>
      <c r="G29" s="909"/>
      <c r="H29" s="909"/>
      <c r="I29" s="909"/>
      <c r="J29" s="909"/>
      <c r="K29" s="909"/>
    </row>
    <row r="30" spans="1:11" x14ac:dyDescent="0.2">
      <c r="A30" s="909"/>
      <c r="B30" s="909"/>
      <c r="C30" s="909"/>
      <c r="D30" s="909"/>
      <c r="E30" s="909"/>
      <c r="F30" s="909"/>
      <c r="G30" s="909"/>
      <c r="H30" s="909"/>
      <c r="I30" s="909"/>
      <c r="J30" s="909"/>
      <c r="K30" s="909"/>
    </row>
    <row r="31" spans="1:11" ht="14.25" x14ac:dyDescent="0.2">
      <c r="A31" s="909"/>
      <c r="B31" s="953" t="s">
        <v>4072</v>
      </c>
      <c r="C31" s="953"/>
      <c r="D31" s="1158"/>
      <c r="E31" s="926"/>
      <c r="F31" s="918"/>
      <c r="G31" s="918"/>
      <c r="H31" s="918"/>
      <c r="I31" s="918"/>
      <c r="J31" s="918"/>
      <c r="K31" s="919"/>
    </row>
    <row r="32" spans="1:11" ht="14.25" x14ac:dyDescent="0.2">
      <c r="A32" s="909"/>
      <c r="B32" s="953" t="s">
        <v>4073</v>
      </c>
      <c r="C32" s="953"/>
      <c r="D32" s="1158"/>
      <c r="E32" s="926"/>
      <c r="F32" s="918"/>
      <c r="G32" s="918"/>
      <c r="H32" s="918"/>
      <c r="I32" s="918"/>
      <c r="J32" s="918"/>
      <c r="K32" s="919"/>
    </row>
    <row r="33" spans="1:17" ht="14.25" x14ac:dyDescent="0.2">
      <c r="A33" s="909"/>
      <c r="B33" s="953" t="s">
        <v>4076</v>
      </c>
      <c r="C33" s="953"/>
      <c r="D33" s="1158"/>
      <c r="E33" s="926"/>
      <c r="F33" s="918"/>
      <c r="G33" s="918"/>
      <c r="H33" s="918"/>
      <c r="I33" s="918"/>
      <c r="J33" s="918"/>
      <c r="K33" s="919"/>
      <c r="M33" s="916"/>
    </row>
    <row r="34" spans="1:17" ht="14.25" x14ac:dyDescent="0.2">
      <c r="A34" s="909"/>
      <c r="B34" s="955" t="s">
        <v>3675</v>
      </c>
      <c r="C34" s="953"/>
      <c r="D34" s="1158"/>
      <c r="E34" s="920"/>
      <c r="F34" s="918"/>
      <c r="G34" s="918"/>
      <c r="H34" s="918"/>
      <c r="I34" s="918"/>
      <c r="J34" s="918"/>
      <c r="K34" s="919"/>
      <c r="M34" s="916"/>
    </row>
    <row r="35" spans="1:17" ht="14.25" customHeight="1" x14ac:dyDescent="0.2">
      <c r="A35" s="909"/>
      <c r="B35" s="955" t="s">
        <v>4066</v>
      </c>
      <c r="C35" s="953"/>
      <c r="D35" s="1158"/>
      <c r="E35" s="920"/>
      <c r="F35" s="918" t="s">
        <v>4785</v>
      </c>
      <c r="G35" s="918"/>
      <c r="H35" s="918"/>
      <c r="I35" s="918"/>
      <c r="J35" s="918"/>
      <c r="K35" s="919"/>
      <c r="M35" s="916"/>
    </row>
    <row r="36" spans="1:17" ht="39.75" customHeight="1" x14ac:dyDescent="0.2">
      <c r="A36" s="909"/>
      <c r="B36" s="1657" t="s">
        <v>4793</v>
      </c>
      <c r="C36" s="1657"/>
      <c r="D36" s="1158"/>
      <c r="E36" s="920"/>
      <c r="F36" s="1658"/>
      <c r="G36" s="1658"/>
      <c r="H36" s="1658"/>
      <c r="I36" s="1658"/>
      <c r="J36" s="1658"/>
      <c r="K36" s="1658"/>
      <c r="M36" s="916"/>
    </row>
    <row r="37" spans="1:17" ht="45.75" customHeight="1" x14ac:dyDescent="0.2">
      <c r="A37" s="909"/>
      <c r="B37" s="1657" t="s">
        <v>4791</v>
      </c>
      <c r="C37" s="1657"/>
      <c r="D37" s="1158"/>
      <c r="E37" s="920"/>
      <c r="F37" s="1658"/>
      <c r="G37" s="1658"/>
      <c r="H37" s="1658"/>
      <c r="I37" s="1658"/>
      <c r="J37" s="1658"/>
      <c r="K37" s="1658"/>
      <c r="M37" s="916"/>
    </row>
    <row r="38" spans="1:17" ht="14.25" customHeight="1" x14ac:dyDescent="0.2">
      <c r="A38" s="909"/>
      <c r="B38" s="1659" t="s">
        <v>3673</v>
      </c>
      <c r="C38" s="1659"/>
      <c r="D38" s="1158"/>
      <c r="E38" s="918"/>
      <c r="F38" s="1659"/>
      <c r="G38" s="1659"/>
      <c r="H38" s="1659"/>
      <c r="I38" s="1659"/>
      <c r="J38" s="1659"/>
      <c r="K38" s="1659"/>
      <c r="M38" s="916"/>
    </row>
    <row r="39" spans="1:17" ht="14.25" customHeight="1" x14ac:dyDescent="0.2">
      <c r="A39" s="909"/>
      <c r="B39" s="1659" t="s">
        <v>3674</v>
      </c>
      <c r="C39" s="1659"/>
      <c r="D39" s="1158"/>
      <c r="E39" s="918"/>
      <c r="F39" s="1659"/>
      <c r="G39" s="1659"/>
      <c r="H39" s="1659"/>
      <c r="I39" s="1659"/>
      <c r="J39" s="1659"/>
      <c r="K39" s="1659"/>
      <c r="M39" s="921"/>
    </row>
    <row r="40" spans="1:17" x14ac:dyDescent="0.2">
      <c r="A40" s="909"/>
      <c r="B40" s="909"/>
      <c r="C40" s="909"/>
      <c r="D40" s="909"/>
      <c r="E40" s="909"/>
      <c r="F40" s="909"/>
      <c r="G40" s="909"/>
      <c r="H40" s="909"/>
      <c r="I40" s="909"/>
      <c r="J40" s="909"/>
      <c r="K40" s="909"/>
      <c r="M40" s="916"/>
    </row>
    <row r="41" spans="1:17" ht="38.25" x14ac:dyDescent="0.2">
      <c r="A41" s="911" t="s">
        <v>816</v>
      </c>
      <c r="B41" s="922" t="s">
        <v>3980</v>
      </c>
      <c r="C41" s="909"/>
      <c r="D41" s="909"/>
      <c r="E41" s="909"/>
      <c r="F41" s="909"/>
      <c r="G41" s="909"/>
      <c r="H41" s="909"/>
      <c r="I41" s="909"/>
      <c r="J41" s="929"/>
      <c r="K41" s="929"/>
      <c r="L41" s="928"/>
      <c r="M41" s="923"/>
      <c r="N41" s="928"/>
      <c r="O41" s="951"/>
      <c r="P41" s="928"/>
      <c r="Q41" s="928"/>
    </row>
    <row r="42" spans="1:17" x14ac:dyDescent="0.2">
      <c r="A42" s="909"/>
      <c r="B42" s="909"/>
      <c r="C42" s="909"/>
      <c r="D42" s="909"/>
      <c r="E42" s="929"/>
      <c r="F42" s="909"/>
      <c r="G42" s="909"/>
      <c r="H42" s="909"/>
      <c r="I42" s="909"/>
      <c r="J42" s="929"/>
      <c r="K42" s="929"/>
      <c r="L42" s="928"/>
      <c r="M42" s="923"/>
      <c r="N42" s="928"/>
      <c r="O42" s="951"/>
      <c r="P42" s="928"/>
      <c r="Q42" s="928"/>
    </row>
    <row r="43" spans="1:17" x14ac:dyDescent="0.2">
      <c r="A43" s="909"/>
      <c r="B43" s="909"/>
      <c r="C43" s="909"/>
      <c r="D43" s="856"/>
      <c r="E43" s="929"/>
      <c r="F43" s="909"/>
      <c r="G43" s="909"/>
      <c r="H43" s="909"/>
      <c r="I43" s="909"/>
      <c r="J43" s="929"/>
      <c r="K43" s="929"/>
      <c r="L43" s="928"/>
      <c r="M43" s="916"/>
      <c r="N43" s="928"/>
      <c r="O43" s="951"/>
      <c r="P43" s="928"/>
      <c r="Q43" s="928"/>
    </row>
    <row r="44" spans="1:17" ht="27" customHeight="1" x14ac:dyDescent="0.2">
      <c r="A44" s="909"/>
      <c r="B44" s="1650" t="s">
        <v>4786</v>
      </c>
      <c r="C44" s="1650"/>
      <c r="D44" s="1159"/>
      <c r="E44" s="929"/>
      <c r="F44" s="909"/>
      <c r="G44" s="909"/>
      <c r="H44" s="909"/>
      <c r="I44" s="909"/>
      <c r="J44" s="929"/>
      <c r="K44" s="952"/>
      <c r="L44" s="928"/>
      <c r="M44" s="952"/>
      <c r="N44" s="928"/>
      <c r="O44" s="952"/>
      <c r="P44" s="928"/>
      <c r="Q44" s="928"/>
    </row>
    <row r="45" spans="1:17" x14ac:dyDescent="0.2">
      <c r="A45" s="909"/>
      <c r="B45" s="909"/>
      <c r="C45" s="909"/>
      <c r="D45" s="856"/>
      <c r="E45" s="929"/>
      <c r="F45" s="909"/>
      <c r="G45" s="909"/>
      <c r="H45" s="909"/>
      <c r="I45" s="909"/>
      <c r="J45" s="929"/>
      <c r="K45" s="929"/>
      <c r="L45" s="928"/>
      <c r="M45" s="916"/>
      <c r="N45" s="928"/>
      <c r="O45" s="951"/>
      <c r="P45" s="928"/>
      <c r="Q45" s="928"/>
    </row>
    <row r="46" spans="1:17" ht="29.25" customHeight="1" x14ac:dyDescent="0.2">
      <c r="A46" s="909"/>
      <c r="B46" s="1650" t="s">
        <v>4787</v>
      </c>
      <c r="C46" s="1650"/>
      <c r="D46" s="1159">
        <v>0</v>
      </c>
      <c r="E46" s="929"/>
      <c r="F46" s="909"/>
      <c r="G46" s="909"/>
      <c r="H46" s="909"/>
      <c r="I46" s="909"/>
      <c r="J46" s="929"/>
      <c r="K46" s="929"/>
      <c r="L46" s="928"/>
      <c r="M46" s="921"/>
      <c r="N46" s="928"/>
      <c r="O46" s="951"/>
      <c r="P46" s="928"/>
      <c r="Q46" s="928"/>
    </row>
    <row r="47" spans="1:17" x14ac:dyDescent="0.2">
      <c r="A47" s="909"/>
      <c r="B47" s="909"/>
      <c r="C47" s="909"/>
      <c r="D47" s="909"/>
      <c r="E47" s="929"/>
      <c r="F47" s="909"/>
      <c r="G47" s="909"/>
      <c r="H47" s="909"/>
      <c r="I47" s="909"/>
      <c r="J47" s="929"/>
      <c r="K47" s="929"/>
      <c r="L47" s="928"/>
      <c r="M47" s="921"/>
      <c r="N47" s="928"/>
      <c r="O47" s="951"/>
      <c r="P47" s="951"/>
      <c r="Q47" s="928"/>
    </row>
    <row r="48" spans="1:17" ht="12.75" hidden="1" customHeight="1" x14ac:dyDescent="0.2">
      <c r="A48" s="909"/>
      <c r="B48" s="909"/>
      <c r="C48" s="909"/>
      <c r="D48" s="909"/>
      <c r="E48" s="929"/>
      <c r="F48" s="909"/>
      <c r="G48" s="909"/>
      <c r="H48" s="909"/>
      <c r="I48" s="909"/>
      <c r="J48" s="929"/>
      <c r="K48" s="929"/>
      <c r="L48" s="928"/>
      <c r="M48" s="916"/>
      <c r="N48" s="951"/>
      <c r="O48" s="94"/>
      <c r="P48" s="94"/>
      <c r="Q48" s="951"/>
    </row>
    <row r="49" spans="1:17" ht="14.25" hidden="1" customHeight="1" x14ac:dyDescent="0.2">
      <c r="A49" s="909"/>
      <c r="B49" s="918" t="s">
        <v>4074</v>
      </c>
      <c r="C49" s="918"/>
      <c r="D49" s="918"/>
      <c r="E49" s="957"/>
      <c r="F49" s="918"/>
      <c r="G49" s="918"/>
      <c r="H49" s="918"/>
      <c r="I49" s="918"/>
      <c r="J49" s="957"/>
      <c r="K49" s="928"/>
      <c r="L49" s="951"/>
      <c r="M49" s="923"/>
      <c r="N49" s="951"/>
      <c r="O49" s="94"/>
      <c r="P49" s="94"/>
      <c r="Q49" s="951"/>
    </row>
    <row r="50" spans="1:17" ht="14.25" hidden="1" customHeight="1" x14ac:dyDescent="0.2">
      <c r="A50" s="909"/>
      <c r="B50" s="918" t="s">
        <v>3645</v>
      </c>
      <c r="C50" s="918"/>
      <c r="D50" s="918"/>
      <c r="E50" s="918"/>
      <c r="F50" s="918"/>
      <c r="G50" s="918"/>
      <c r="H50" s="918"/>
      <c r="I50" s="918"/>
      <c r="J50" s="957"/>
      <c r="K50" s="928"/>
      <c r="L50" s="997"/>
      <c r="M50" s="923"/>
      <c r="N50" s="951"/>
      <c r="O50" s="94"/>
      <c r="P50" s="94"/>
      <c r="Q50" s="951"/>
    </row>
    <row r="51" spans="1:17" ht="14.25" hidden="1" customHeight="1" x14ac:dyDescent="0.2">
      <c r="A51" s="909"/>
      <c r="B51" s="918" t="s">
        <v>3644</v>
      </c>
      <c r="C51" s="918"/>
      <c r="D51" s="918"/>
      <c r="E51" s="918"/>
      <c r="F51" s="918"/>
      <c r="G51" s="918"/>
      <c r="H51" s="918"/>
      <c r="I51" s="918"/>
      <c r="J51" s="957"/>
      <c r="K51" s="928"/>
      <c r="L51" s="951"/>
      <c r="M51" s="916"/>
      <c r="N51" s="951"/>
      <c r="O51" s="94"/>
      <c r="P51" s="94"/>
      <c r="Q51" s="951"/>
    </row>
    <row r="52" spans="1:17" ht="14.25" hidden="1" customHeight="1" x14ac:dyDescent="0.2">
      <c r="A52" s="909"/>
      <c r="B52" s="918" t="s">
        <v>3622</v>
      </c>
      <c r="C52" s="918"/>
      <c r="D52" s="918"/>
      <c r="E52" s="918"/>
      <c r="F52" s="918"/>
      <c r="G52" s="918"/>
      <c r="H52" s="918"/>
      <c r="I52" s="918"/>
      <c r="J52" s="957"/>
      <c r="K52" s="928"/>
      <c r="L52" s="998"/>
      <c r="M52" s="916"/>
      <c r="N52" s="951"/>
      <c r="O52" s="94"/>
      <c r="P52" s="94"/>
      <c r="Q52" s="951"/>
    </row>
    <row r="53" spans="1:17" ht="14.25" hidden="1" customHeight="1" x14ac:dyDescent="0.2">
      <c r="A53" s="909"/>
      <c r="B53" s="918" t="s">
        <v>3623</v>
      </c>
      <c r="C53" s="918"/>
      <c r="D53" s="918"/>
      <c r="E53" s="918"/>
      <c r="F53" s="918"/>
      <c r="G53" s="918"/>
      <c r="H53" s="918"/>
      <c r="I53" s="918"/>
      <c r="J53" s="999"/>
      <c r="K53" s="928"/>
      <c r="L53" s="928"/>
      <c r="M53" s="916"/>
      <c r="N53" s="951"/>
      <c r="O53" s="94"/>
      <c r="P53" s="94"/>
      <c r="Q53" s="951"/>
    </row>
    <row r="54" spans="1:17" ht="14.25" hidden="1" customHeight="1" x14ac:dyDescent="0.2">
      <c r="A54" s="909"/>
      <c r="B54" s="918" t="s">
        <v>3624</v>
      </c>
      <c r="C54" s="918"/>
      <c r="D54" s="918"/>
      <c r="E54" s="918"/>
      <c r="F54" s="918"/>
      <c r="G54" s="918"/>
      <c r="H54" s="918"/>
      <c r="I54" s="918"/>
      <c r="J54" s="957"/>
      <c r="K54" s="928"/>
      <c r="L54" s="951"/>
      <c r="M54" s="951"/>
      <c r="N54" s="951"/>
      <c r="O54" s="94"/>
      <c r="P54" s="94"/>
      <c r="Q54" s="951"/>
    </row>
    <row r="55" spans="1:17" ht="14.25" hidden="1" customHeight="1" x14ac:dyDescent="0.2">
      <c r="A55" s="909"/>
      <c r="B55" s="918" t="s">
        <v>3625</v>
      </c>
      <c r="C55" s="918"/>
      <c r="D55" s="918"/>
      <c r="E55" s="918"/>
      <c r="F55" s="918"/>
      <c r="G55" s="918"/>
      <c r="H55" s="918"/>
      <c r="I55" s="918"/>
      <c r="J55" s="957"/>
      <c r="K55" s="928"/>
      <c r="L55" s="94"/>
      <c r="M55" s="951"/>
      <c r="N55" s="951"/>
      <c r="O55" s="94"/>
      <c r="P55" s="94"/>
      <c r="Q55" s="951"/>
    </row>
    <row r="56" spans="1:17" ht="14.25" hidden="1" customHeight="1" x14ac:dyDescent="0.2">
      <c r="A56" s="909"/>
      <c r="B56" s="918" t="s">
        <v>3626</v>
      </c>
      <c r="C56" s="918"/>
      <c r="D56" s="918"/>
      <c r="E56" s="918"/>
      <c r="F56" s="918"/>
      <c r="G56" s="918"/>
      <c r="H56" s="918"/>
      <c r="I56" s="918"/>
      <c r="J56" s="957"/>
      <c r="K56" s="928"/>
      <c r="L56" s="951"/>
      <c r="M56" s="951"/>
      <c r="N56" s="951"/>
      <c r="O56" s="94"/>
      <c r="P56" s="94"/>
      <c r="Q56" s="951"/>
    </row>
    <row r="57" spans="1:17" ht="14.25" hidden="1" customHeight="1" x14ac:dyDescent="0.2">
      <c r="A57" s="909"/>
      <c r="B57" s="918" t="s">
        <v>3627</v>
      </c>
      <c r="C57" s="918"/>
      <c r="D57" s="918"/>
      <c r="E57" s="918"/>
      <c r="F57" s="918"/>
      <c r="G57" s="918"/>
      <c r="H57" s="918"/>
      <c r="I57" s="918"/>
      <c r="J57" s="957"/>
      <c r="K57" s="928"/>
      <c r="L57" s="997"/>
      <c r="M57" s="951"/>
      <c r="N57" s="951"/>
      <c r="O57" s="94"/>
      <c r="P57" s="94"/>
      <c r="Q57" s="951"/>
    </row>
    <row r="58" spans="1:17" ht="14.25" hidden="1" customHeight="1" x14ac:dyDescent="0.2">
      <c r="A58" s="909"/>
      <c r="B58" s="918" t="s">
        <v>3628</v>
      </c>
      <c r="C58" s="918"/>
      <c r="D58" s="918"/>
      <c r="E58" s="918"/>
      <c r="F58" s="918"/>
      <c r="G58" s="918"/>
      <c r="H58" s="918"/>
      <c r="I58" s="918"/>
      <c r="J58" s="957"/>
      <c r="K58" s="928"/>
      <c r="L58" s="997"/>
      <c r="M58" s="951"/>
      <c r="N58" s="951"/>
      <c r="O58" s="94"/>
      <c r="P58" s="94"/>
      <c r="Q58" s="951"/>
    </row>
    <row r="59" spans="1:17" ht="14.25" hidden="1" customHeight="1" x14ac:dyDescent="0.2">
      <c r="A59" s="909"/>
      <c r="B59" s="918" t="s">
        <v>3629</v>
      </c>
      <c r="C59" s="918"/>
      <c r="D59" s="918"/>
      <c r="E59" s="918"/>
      <c r="F59" s="918"/>
      <c r="G59" s="918"/>
      <c r="H59" s="918"/>
      <c r="I59" s="918"/>
      <c r="J59" s="957"/>
      <c r="K59" s="928"/>
      <c r="L59" s="93"/>
      <c r="M59" s="951"/>
      <c r="N59" s="951"/>
      <c r="O59" s="94"/>
      <c r="P59" s="94"/>
      <c r="Q59" s="951"/>
    </row>
    <row r="60" spans="1:17" ht="14.25" hidden="1" customHeight="1" x14ac:dyDescent="0.2">
      <c r="A60" s="909"/>
      <c r="B60" s="918" t="s">
        <v>3659</v>
      </c>
      <c r="C60" s="918"/>
      <c r="D60" s="918"/>
      <c r="E60" s="918"/>
      <c r="F60" s="918"/>
      <c r="G60" s="918"/>
      <c r="H60" s="918"/>
      <c r="I60" s="918"/>
      <c r="J60" s="957"/>
      <c r="K60" s="928"/>
      <c r="L60" s="997"/>
      <c r="M60" s="951"/>
      <c r="N60" s="951"/>
      <c r="O60" s="94"/>
      <c r="P60" s="94"/>
      <c r="Q60" s="951"/>
    </row>
    <row r="61" spans="1:17" ht="14.25" hidden="1" customHeight="1" x14ac:dyDescent="0.2">
      <c r="A61" s="909"/>
      <c r="B61" s="918" t="s">
        <v>3661</v>
      </c>
      <c r="C61" s="918"/>
      <c r="D61" s="918"/>
      <c r="E61" s="918"/>
      <c r="F61" s="918"/>
      <c r="G61" s="918"/>
      <c r="H61" s="918"/>
      <c r="I61" s="918"/>
      <c r="J61" s="957"/>
      <c r="K61" s="928"/>
      <c r="L61" s="997"/>
      <c r="M61" s="951"/>
      <c r="N61" s="951"/>
      <c r="O61" s="94"/>
      <c r="P61" s="94"/>
      <c r="Q61" s="951"/>
    </row>
    <row r="62" spans="1:17" ht="14.25" hidden="1" customHeight="1" x14ac:dyDescent="0.2">
      <c r="A62" s="909"/>
      <c r="B62" s="918" t="s">
        <v>3658</v>
      </c>
      <c r="C62" s="918"/>
      <c r="D62" s="918"/>
      <c r="E62" s="918"/>
      <c r="F62" s="918"/>
      <c r="G62" s="918"/>
      <c r="H62" s="918"/>
      <c r="I62" s="918"/>
      <c r="J62" s="957"/>
      <c r="K62" s="928"/>
      <c r="L62" s="951"/>
      <c r="M62" s="951"/>
      <c r="N62" s="951"/>
      <c r="O62" s="94"/>
      <c r="P62" s="94"/>
      <c r="Q62" s="951"/>
    </row>
    <row r="63" spans="1:17" ht="14.25" hidden="1" customHeight="1" x14ac:dyDescent="0.2">
      <c r="A63" s="909"/>
      <c r="B63" s="918" t="s">
        <v>3660</v>
      </c>
      <c r="C63" s="918"/>
      <c r="D63" s="918"/>
      <c r="E63" s="918"/>
      <c r="F63" s="918"/>
      <c r="G63" s="918"/>
      <c r="H63" s="918"/>
      <c r="I63" s="918"/>
      <c r="J63" s="957"/>
      <c r="K63" s="928"/>
      <c r="L63" s="951"/>
      <c r="M63" s="951"/>
      <c r="N63" s="951"/>
      <c r="O63" s="94"/>
      <c r="P63" s="94"/>
      <c r="Q63" s="951"/>
    </row>
    <row r="64" spans="1:17" ht="14.25" hidden="1" customHeight="1" x14ac:dyDescent="0.2">
      <c r="A64" s="909"/>
      <c r="C64" s="918"/>
      <c r="D64" s="918"/>
      <c r="E64" s="918"/>
      <c r="F64" s="918"/>
      <c r="G64" s="918"/>
      <c r="H64" s="918"/>
      <c r="I64" s="918"/>
      <c r="J64" s="957"/>
      <c r="K64" s="928"/>
      <c r="L64" s="951"/>
      <c r="M64" s="951"/>
      <c r="N64" s="951"/>
      <c r="O64" s="94"/>
      <c r="P64" s="94"/>
      <c r="Q64" s="951"/>
    </row>
    <row r="65" spans="1:17" ht="14.25" hidden="1" customHeight="1" x14ac:dyDescent="0.2">
      <c r="A65" s="909"/>
      <c r="C65" s="918"/>
      <c r="D65" s="918"/>
      <c r="E65" s="918"/>
      <c r="F65" s="918"/>
      <c r="G65" s="918"/>
      <c r="H65" s="918"/>
      <c r="I65" s="918"/>
      <c r="J65" s="957"/>
      <c r="K65" s="928"/>
      <c r="L65" s="928"/>
      <c r="M65" s="951"/>
      <c r="N65" s="951"/>
      <c r="O65" s="94"/>
      <c r="P65" s="94"/>
      <c r="Q65" s="951"/>
    </row>
    <row r="66" spans="1:17" ht="14.25" hidden="1" customHeight="1" x14ac:dyDescent="0.2">
      <c r="A66" s="909"/>
      <c r="B66" s="918" t="s">
        <v>3630</v>
      </c>
      <c r="C66" s="918"/>
      <c r="D66" s="918"/>
      <c r="E66" s="918"/>
      <c r="F66" s="918"/>
      <c r="G66" s="918"/>
      <c r="H66" s="918"/>
      <c r="I66" s="954"/>
      <c r="J66" s="957"/>
      <c r="K66" s="928"/>
      <c r="L66" s="1000"/>
      <c r="M66" s="951"/>
      <c r="N66" s="951"/>
      <c r="O66" s="94"/>
      <c r="P66" s="94"/>
      <c r="Q66" s="951"/>
    </row>
    <row r="67" spans="1:17" ht="14.25" hidden="1" customHeight="1" x14ac:dyDescent="0.2">
      <c r="A67" s="909"/>
      <c r="B67" s="918"/>
      <c r="C67" s="918" t="s">
        <v>3631</v>
      </c>
      <c r="D67" s="918"/>
      <c r="E67" s="918"/>
      <c r="F67" s="918"/>
      <c r="G67" s="918"/>
      <c r="H67" s="918"/>
      <c r="I67" s="918"/>
      <c r="J67" s="957"/>
      <c r="K67" s="1001"/>
      <c r="L67" s="94"/>
      <c r="M67" s="951"/>
      <c r="N67" s="951"/>
      <c r="O67" s="94"/>
      <c r="P67" s="94"/>
      <c r="Q67" s="951"/>
    </row>
    <row r="68" spans="1:17" ht="14.25" hidden="1" customHeight="1" x14ac:dyDescent="0.2">
      <c r="A68" s="909"/>
      <c r="B68" s="918"/>
      <c r="C68" s="918"/>
      <c r="D68" s="918"/>
      <c r="E68" s="918"/>
      <c r="F68" s="918"/>
      <c r="G68" s="918"/>
      <c r="H68" s="918"/>
      <c r="I68" s="918"/>
      <c r="J68" s="957"/>
      <c r="K68" s="1002"/>
      <c r="L68" s="998"/>
      <c r="M68" s="951"/>
      <c r="N68" s="951"/>
      <c r="O68" s="94"/>
      <c r="P68" s="94"/>
      <c r="Q68" s="951"/>
    </row>
    <row r="69" spans="1:17" ht="14.25" hidden="1" customHeight="1" x14ac:dyDescent="0.2">
      <c r="A69" s="909"/>
      <c r="B69" s="918"/>
      <c r="C69" s="918"/>
      <c r="D69" s="918"/>
      <c r="E69" s="918"/>
      <c r="F69" s="918"/>
      <c r="G69" s="918"/>
      <c r="H69" s="918"/>
      <c r="I69" s="918"/>
      <c r="J69" s="957"/>
      <c r="K69" s="1002"/>
      <c r="L69" s="951"/>
      <c r="M69" s="951"/>
      <c r="N69" s="951"/>
      <c r="O69" s="94"/>
      <c r="P69" s="94"/>
      <c r="Q69" s="951"/>
    </row>
    <row r="70" spans="1:17" ht="14.25" hidden="1" customHeight="1" x14ac:dyDescent="0.2">
      <c r="A70" s="909"/>
      <c r="B70" s="918"/>
      <c r="C70" s="918"/>
      <c r="D70" s="918"/>
      <c r="E70" s="918"/>
      <c r="F70" s="918"/>
      <c r="G70" s="918"/>
      <c r="H70" s="918"/>
      <c r="I70" s="918"/>
      <c r="J70" s="957"/>
      <c r="K70" s="1002"/>
      <c r="L70" s="951"/>
      <c r="M70" s="951"/>
      <c r="N70" s="929"/>
      <c r="O70" s="94"/>
      <c r="P70" s="94"/>
      <c r="Q70" s="951"/>
    </row>
    <row r="71" spans="1:17" ht="28.5" hidden="1" customHeight="1" x14ac:dyDescent="0.2">
      <c r="A71" s="909"/>
      <c r="B71" s="927" t="s">
        <v>3632</v>
      </c>
      <c r="C71" s="918"/>
      <c r="D71" s="918"/>
      <c r="E71" s="918"/>
      <c r="F71" s="918"/>
      <c r="G71" s="918"/>
      <c r="H71" s="918"/>
      <c r="I71" s="918"/>
      <c r="J71" s="957"/>
      <c r="K71" s="928"/>
      <c r="L71" s="951"/>
      <c r="M71" s="951"/>
      <c r="N71" s="951"/>
      <c r="O71" s="94"/>
      <c r="P71" s="94"/>
      <c r="Q71" s="951"/>
    </row>
    <row r="72" spans="1:17" ht="14.25" hidden="1" customHeight="1" x14ac:dyDescent="0.2">
      <c r="A72" s="909"/>
      <c r="B72" s="947" t="s">
        <v>3648</v>
      </c>
      <c r="C72" s="918"/>
      <c r="D72" s="918"/>
      <c r="E72" s="918"/>
      <c r="F72" s="918"/>
      <c r="G72" s="918"/>
      <c r="H72" s="918"/>
      <c r="I72" s="918"/>
      <c r="J72" s="957"/>
      <c r="K72" s="928"/>
      <c r="L72" s="997"/>
      <c r="M72" s="951"/>
      <c r="N72" s="951"/>
      <c r="O72" s="94"/>
      <c r="P72" s="94"/>
      <c r="Q72" s="951"/>
    </row>
    <row r="73" spans="1:17" ht="14.25" hidden="1" customHeight="1" x14ac:dyDescent="0.2">
      <c r="A73" s="909"/>
      <c r="B73" s="948" t="s">
        <v>3649</v>
      </c>
      <c r="C73" s="918"/>
      <c r="D73" s="918"/>
      <c r="E73" s="918"/>
      <c r="F73" s="918"/>
      <c r="G73" s="918"/>
      <c r="H73" s="918"/>
      <c r="I73" s="918"/>
      <c r="J73" s="957"/>
      <c r="K73" s="928"/>
      <c r="L73" s="997"/>
      <c r="M73" s="951"/>
      <c r="N73" s="951"/>
      <c r="O73" s="94"/>
      <c r="P73" s="94"/>
      <c r="Q73" s="951"/>
    </row>
    <row r="74" spans="1:17" ht="14.25" hidden="1" customHeight="1" x14ac:dyDescent="0.2">
      <c r="A74" s="909"/>
      <c r="B74" s="948" t="s">
        <v>3650</v>
      </c>
      <c r="C74" s="918"/>
      <c r="D74" s="918"/>
      <c r="E74" s="918"/>
      <c r="F74" s="918"/>
      <c r="G74" s="918"/>
      <c r="H74" s="918"/>
      <c r="I74" s="918"/>
      <c r="J74" s="957"/>
      <c r="K74" s="928"/>
      <c r="L74" s="997"/>
      <c r="M74" s="951"/>
      <c r="N74" s="951"/>
      <c r="O74" s="94"/>
      <c r="P74" s="94"/>
      <c r="Q74" s="951"/>
    </row>
    <row r="75" spans="1:17" ht="14.25" hidden="1" customHeight="1" x14ac:dyDescent="0.2">
      <c r="A75" s="909"/>
      <c r="B75" s="948" t="s">
        <v>3651</v>
      </c>
      <c r="C75" s="918"/>
      <c r="D75" s="918"/>
      <c r="E75" s="918"/>
      <c r="F75" s="918"/>
      <c r="G75" s="918"/>
      <c r="H75" s="918"/>
      <c r="I75" s="918"/>
      <c r="J75" s="957"/>
      <c r="K75" s="928"/>
      <c r="L75" s="997"/>
      <c r="M75" s="951"/>
      <c r="N75" s="951"/>
      <c r="O75" s="94"/>
      <c r="P75" s="94"/>
      <c r="Q75" s="951"/>
    </row>
    <row r="76" spans="1:17" ht="14.25" hidden="1" customHeight="1" x14ac:dyDescent="0.2">
      <c r="A76" s="909"/>
      <c r="B76" s="948" t="s">
        <v>3652</v>
      </c>
      <c r="C76" s="918"/>
      <c r="D76" s="918"/>
      <c r="E76" s="918"/>
      <c r="F76" s="918"/>
      <c r="G76" s="918"/>
      <c r="H76" s="918"/>
      <c r="I76" s="918"/>
      <c r="J76" s="957"/>
      <c r="K76" s="928"/>
      <c r="L76" s="997"/>
      <c r="M76" s="951"/>
      <c r="N76" s="951"/>
      <c r="O76" s="94"/>
      <c r="P76" s="94"/>
      <c r="Q76" s="951"/>
    </row>
    <row r="77" spans="1:17" ht="14.25" hidden="1" customHeight="1" x14ac:dyDescent="0.2">
      <c r="A77" s="909"/>
      <c r="B77" s="948" t="s">
        <v>3653</v>
      </c>
      <c r="C77" s="918"/>
      <c r="D77" s="918"/>
      <c r="E77" s="918"/>
      <c r="F77" s="918"/>
      <c r="G77" s="918"/>
      <c r="H77" s="918"/>
      <c r="I77" s="918"/>
      <c r="J77" s="957"/>
      <c r="K77" s="928"/>
      <c r="L77" s="997"/>
      <c r="M77" s="951"/>
      <c r="N77" s="951"/>
      <c r="O77" s="94"/>
      <c r="P77" s="94"/>
      <c r="Q77" s="951"/>
    </row>
    <row r="78" spans="1:17" ht="14.25" hidden="1" customHeight="1" x14ac:dyDescent="0.2">
      <c r="A78" s="909"/>
      <c r="B78" s="948" t="s">
        <v>3654</v>
      </c>
      <c r="C78" s="918"/>
      <c r="D78" s="918"/>
      <c r="E78" s="918"/>
      <c r="F78" s="918"/>
      <c r="G78" s="918"/>
      <c r="H78" s="918"/>
      <c r="I78" s="918"/>
      <c r="J78" s="957"/>
      <c r="K78" s="928"/>
      <c r="L78" s="997"/>
      <c r="M78" s="951"/>
      <c r="N78" s="951"/>
      <c r="O78" s="94"/>
      <c r="P78" s="94"/>
      <c r="Q78" s="951"/>
    </row>
    <row r="79" spans="1:17" ht="14.25" hidden="1" customHeight="1" x14ac:dyDescent="0.2">
      <c r="A79" s="909"/>
      <c r="B79" s="948" t="s">
        <v>3655</v>
      </c>
      <c r="C79" s="918"/>
      <c r="D79" s="918"/>
      <c r="E79" s="918"/>
      <c r="F79" s="918"/>
      <c r="G79" s="918"/>
      <c r="H79" s="918"/>
      <c r="I79" s="918"/>
      <c r="J79" s="957"/>
      <c r="K79" s="928"/>
      <c r="L79" s="997"/>
      <c r="M79" s="951"/>
      <c r="N79" s="951"/>
      <c r="O79" s="94"/>
      <c r="P79" s="94"/>
      <c r="Q79" s="951"/>
    </row>
    <row r="80" spans="1:17" ht="14.25" hidden="1" customHeight="1" x14ac:dyDescent="0.2">
      <c r="A80" s="909"/>
      <c r="B80" s="948" t="s">
        <v>3656</v>
      </c>
      <c r="C80" s="918"/>
      <c r="D80" s="918"/>
      <c r="E80" s="918"/>
      <c r="F80" s="918"/>
      <c r="G80" s="918"/>
      <c r="H80" s="918"/>
      <c r="I80" s="918"/>
      <c r="J80" s="957"/>
      <c r="K80" s="928"/>
      <c r="L80" s="997"/>
      <c r="M80" s="951"/>
      <c r="N80" s="951"/>
      <c r="O80" s="94"/>
      <c r="P80" s="94"/>
      <c r="Q80" s="951"/>
    </row>
    <row r="81" spans="1:17" ht="14.25" hidden="1" customHeight="1" x14ac:dyDescent="0.2">
      <c r="A81" s="909"/>
      <c r="B81" s="909"/>
      <c r="C81" s="918"/>
      <c r="D81" s="918"/>
      <c r="E81" s="918"/>
      <c r="F81" s="918"/>
      <c r="G81" s="918"/>
      <c r="H81" s="918"/>
      <c r="I81" s="918"/>
      <c r="J81" s="957"/>
      <c r="K81" s="928"/>
      <c r="L81" s="928"/>
      <c r="M81" s="951"/>
      <c r="N81" s="951"/>
      <c r="O81" s="94"/>
      <c r="P81" s="94"/>
      <c r="Q81" s="951"/>
    </row>
    <row r="82" spans="1:17" ht="14.25" hidden="1" customHeight="1" x14ac:dyDescent="0.2">
      <c r="A82" s="909"/>
      <c r="B82" s="918"/>
      <c r="C82" s="918" t="s">
        <v>3633</v>
      </c>
      <c r="D82" s="918"/>
      <c r="E82" s="918"/>
      <c r="F82" s="918"/>
      <c r="G82" s="918"/>
      <c r="H82" s="918"/>
      <c r="I82" s="918"/>
      <c r="J82" s="957"/>
      <c r="K82" s="928"/>
      <c r="L82" s="951"/>
      <c r="M82" s="951"/>
      <c r="N82" s="951"/>
      <c r="O82" s="94"/>
      <c r="P82" s="94"/>
      <c r="Q82" s="951"/>
    </row>
    <row r="83" spans="1:17" ht="28.5" hidden="1" customHeight="1" x14ac:dyDescent="0.2">
      <c r="A83" s="909"/>
      <c r="B83" s="920" t="s">
        <v>3646</v>
      </c>
      <c r="C83" s="918"/>
      <c r="D83" s="918"/>
      <c r="E83" s="918"/>
      <c r="F83" s="918"/>
      <c r="G83" s="918"/>
      <c r="H83" s="918"/>
      <c r="I83" s="918"/>
      <c r="J83" s="957"/>
      <c r="K83" s="928"/>
      <c r="L83" s="951"/>
      <c r="M83" s="951"/>
      <c r="N83" s="951"/>
      <c r="O83" s="928"/>
      <c r="P83" s="951"/>
      <c r="Q83" s="951"/>
    </row>
    <row r="84" spans="1:17" ht="14.25" hidden="1" customHeight="1" x14ac:dyDescent="0.2">
      <c r="A84" s="909"/>
      <c r="B84" s="947" t="s">
        <v>3662</v>
      </c>
      <c r="C84" s="918"/>
      <c r="D84" s="918"/>
      <c r="E84" s="918"/>
      <c r="F84" s="918"/>
      <c r="G84" s="918"/>
      <c r="H84" s="918"/>
      <c r="I84" s="918"/>
      <c r="J84" s="957"/>
      <c r="K84" s="928"/>
      <c r="L84" s="997"/>
      <c r="M84" s="951"/>
      <c r="N84" s="951"/>
      <c r="O84" s="951"/>
      <c r="P84" s="928"/>
      <c r="Q84" s="951"/>
    </row>
    <row r="85" spans="1:17" ht="14.25" hidden="1" customHeight="1" x14ac:dyDescent="0.2">
      <c r="A85" s="909"/>
      <c r="B85" s="947" t="s">
        <v>3663</v>
      </c>
      <c r="C85" s="918"/>
      <c r="D85" s="918"/>
      <c r="E85" s="918"/>
      <c r="F85" s="918"/>
      <c r="G85" s="918"/>
      <c r="H85" s="918"/>
      <c r="I85" s="918"/>
      <c r="J85" s="957"/>
      <c r="K85" s="928"/>
      <c r="L85" s="997"/>
      <c r="M85" s="951"/>
      <c r="N85" s="951"/>
      <c r="O85" s="951"/>
      <c r="P85" s="951"/>
      <c r="Q85" s="951"/>
    </row>
    <row r="86" spans="1:17" ht="14.25" hidden="1" customHeight="1" x14ac:dyDescent="0.2">
      <c r="A86" s="909"/>
      <c r="B86" s="947" t="s">
        <v>3664</v>
      </c>
      <c r="C86" s="918"/>
      <c r="D86" s="918"/>
      <c r="E86" s="918"/>
      <c r="F86" s="918"/>
      <c r="G86" s="918"/>
      <c r="H86" s="918"/>
      <c r="I86" s="918"/>
      <c r="J86" s="957"/>
      <c r="K86" s="928"/>
      <c r="L86" s="997"/>
      <c r="M86" s="951"/>
      <c r="N86" s="951"/>
      <c r="O86" s="951"/>
      <c r="P86" s="951"/>
      <c r="Q86" s="951"/>
    </row>
    <row r="87" spans="1:17" ht="14.25" hidden="1" customHeight="1" x14ac:dyDescent="0.2">
      <c r="A87" s="909"/>
      <c r="B87" s="947" t="s">
        <v>3665</v>
      </c>
      <c r="C87" s="918"/>
      <c r="D87" s="918"/>
      <c r="E87" s="918"/>
      <c r="F87" s="918"/>
      <c r="G87" s="918"/>
      <c r="H87" s="918"/>
      <c r="I87" s="918"/>
      <c r="J87" s="957"/>
      <c r="K87" s="928"/>
      <c r="L87" s="997"/>
      <c r="M87" s="951"/>
      <c r="N87" s="951"/>
      <c r="O87" s="951"/>
      <c r="P87" s="951"/>
      <c r="Q87" s="951"/>
    </row>
    <row r="88" spans="1:17" ht="14.25" hidden="1" customHeight="1" x14ac:dyDescent="0.2">
      <c r="A88" s="909"/>
      <c r="B88" s="947" t="s">
        <v>3666</v>
      </c>
      <c r="C88" s="918"/>
      <c r="D88" s="918"/>
      <c r="E88" s="918"/>
      <c r="F88" s="918"/>
      <c r="G88" s="918"/>
      <c r="H88" s="918"/>
      <c r="I88" s="918"/>
      <c r="J88" s="957"/>
      <c r="K88" s="928"/>
      <c r="L88" s="997"/>
      <c r="M88" s="951"/>
      <c r="N88" s="951"/>
      <c r="O88" s="951"/>
      <c r="P88" s="951"/>
      <c r="Q88" s="951"/>
    </row>
    <row r="89" spans="1:17" ht="14.25" hidden="1" customHeight="1" x14ac:dyDescent="0.2">
      <c r="A89" s="909"/>
      <c r="B89" s="947" t="s">
        <v>3667</v>
      </c>
      <c r="C89" s="918"/>
      <c r="D89" s="918"/>
      <c r="E89" s="918"/>
      <c r="F89" s="918"/>
      <c r="G89" s="918"/>
      <c r="H89" s="918"/>
      <c r="I89" s="918"/>
      <c r="J89" s="957"/>
      <c r="K89" s="928"/>
      <c r="L89" s="997"/>
      <c r="M89" s="951"/>
      <c r="N89" s="951"/>
      <c r="O89" s="951"/>
      <c r="P89" s="951"/>
      <c r="Q89" s="951"/>
    </row>
    <row r="90" spans="1:17" ht="14.25" hidden="1" customHeight="1" x14ac:dyDescent="0.2">
      <c r="A90" s="909"/>
      <c r="B90" s="947" t="s">
        <v>3668</v>
      </c>
      <c r="C90" s="918"/>
      <c r="D90" s="918"/>
      <c r="E90" s="918"/>
      <c r="F90" s="918"/>
      <c r="G90" s="918"/>
      <c r="H90" s="918"/>
      <c r="I90" s="918"/>
      <c r="J90" s="957"/>
      <c r="K90" s="928"/>
      <c r="L90" s="997"/>
      <c r="M90" s="951"/>
      <c r="N90" s="951"/>
      <c r="O90" s="951"/>
      <c r="P90" s="951"/>
      <c r="Q90" s="951"/>
    </row>
    <row r="91" spans="1:17" ht="14.25" hidden="1" customHeight="1" x14ac:dyDescent="0.2">
      <c r="A91" s="909"/>
      <c r="B91" s="947" t="s">
        <v>3669</v>
      </c>
      <c r="C91" s="918"/>
      <c r="D91" s="918"/>
      <c r="E91" s="918"/>
      <c r="F91" s="918"/>
      <c r="G91" s="918"/>
      <c r="H91" s="918"/>
      <c r="I91" s="918"/>
      <c r="J91" s="957"/>
      <c r="K91" s="928"/>
      <c r="L91" s="997"/>
      <c r="M91" s="951"/>
      <c r="N91" s="951"/>
      <c r="O91" s="951"/>
      <c r="P91" s="951"/>
      <c r="Q91" s="951"/>
    </row>
    <row r="92" spans="1:17" ht="14.25" hidden="1" customHeight="1" x14ac:dyDescent="0.2">
      <c r="A92" s="909"/>
      <c r="B92" s="947" t="s">
        <v>3670</v>
      </c>
      <c r="C92" s="918"/>
      <c r="D92" s="918"/>
      <c r="E92" s="918"/>
      <c r="F92" s="918"/>
      <c r="G92" s="918"/>
      <c r="H92" s="918"/>
      <c r="I92" s="918"/>
      <c r="J92" s="957"/>
      <c r="K92" s="928"/>
      <c r="L92" s="997"/>
      <c r="M92" s="951"/>
      <c r="N92" s="951"/>
      <c r="O92" s="951"/>
      <c r="P92" s="951"/>
      <c r="Q92" s="951"/>
    </row>
    <row r="93" spans="1:17" ht="14.25" hidden="1" customHeight="1" x14ac:dyDescent="0.2">
      <c r="A93" s="909"/>
      <c r="B93" s="918"/>
      <c r="C93" s="918" t="s">
        <v>3635</v>
      </c>
      <c r="D93" s="918"/>
      <c r="E93" s="918"/>
      <c r="F93" s="918"/>
      <c r="G93" s="918"/>
      <c r="H93" s="918"/>
      <c r="I93" s="918"/>
      <c r="J93" s="957"/>
      <c r="K93" s="928"/>
      <c r="L93" s="928"/>
      <c r="M93" s="951"/>
      <c r="N93" s="951"/>
      <c r="O93" s="951"/>
      <c r="P93" s="951"/>
      <c r="Q93" s="951"/>
    </row>
    <row r="94" spans="1:17" ht="12.75" hidden="1" customHeight="1" x14ac:dyDescent="0.2">
      <c r="A94" s="909"/>
      <c r="B94" s="909"/>
      <c r="C94" s="909"/>
      <c r="D94" s="909"/>
      <c r="E94" s="909"/>
      <c r="F94" s="909"/>
      <c r="G94" s="909"/>
      <c r="H94" s="909"/>
      <c r="I94" s="909"/>
      <c r="J94" s="929"/>
      <c r="K94" s="929"/>
      <c r="L94" s="951"/>
      <c r="M94" s="951"/>
      <c r="N94" s="951"/>
      <c r="O94" s="951"/>
      <c r="P94" s="951"/>
      <c r="Q94" s="951"/>
    </row>
    <row r="95" spans="1:17" x14ac:dyDescent="0.2">
      <c r="A95" s="909"/>
      <c r="B95" s="909"/>
      <c r="C95" s="909"/>
      <c r="D95" s="909"/>
      <c r="E95" s="909"/>
      <c r="F95" s="909"/>
      <c r="G95" s="909"/>
      <c r="H95" s="909"/>
      <c r="I95" s="909"/>
      <c r="J95" s="929"/>
      <c r="K95" s="929"/>
      <c r="L95" s="951"/>
      <c r="M95" s="951"/>
      <c r="N95" s="951"/>
      <c r="O95" s="951"/>
      <c r="P95" s="951"/>
      <c r="Q95" s="951"/>
    </row>
    <row r="96" spans="1:17" x14ac:dyDescent="0.2">
      <c r="A96" s="909"/>
      <c r="B96" s="909"/>
      <c r="C96" s="909"/>
      <c r="D96" s="909"/>
      <c r="E96" s="909"/>
      <c r="F96" s="909"/>
      <c r="G96" s="909"/>
      <c r="H96" s="909"/>
      <c r="I96" s="909"/>
      <c r="J96" s="929"/>
      <c r="K96" s="929"/>
      <c r="L96" s="951"/>
      <c r="M96" s="951"/>
      <c r="N96" s="951"/>
      <c r="O96" s="951"/>
      <c r="P96" s="951"/>
      <c r="Q96" s="951"/>
    </row>
    <row r="97" spans="1:17" x14ac:dyDescent="0.2">
      <c r="A97" s="930" t="s">
        <v>822</v>
      </c>
      <c r="B97" s="1169" t="s">
        <v>4077</v>
      </c>
      <c r="C97" s="1170"/>
      <c r="D97" s="1170"/>
      <c r="E97" s="1170"/>
      <c r="F97" s="1170"/>
      <c r="G97" s="1170"/>
      <c r="H97" s="1170"/>
      <c r="I97" s="931"/>
      <c r="J97" s="929"/>
      <c r="K97" s="929"/>
      <c r="L97" s="951"/>
      <c r="M97" s="951"/>
      <c r="N97" s="951"/>
      <c r="O97" s="951"/>
      <c r="P97" s="951"/>
      <c r="Q97" s="951"/>
    </row>
    <row r="98" spans="1:17" x14ac:dyDescent="0.2">
      <c r="A98" s="909"/>
      <c r="B98" s="909"/>
      <c r="C98" s="909"/>
      <c r="D98" s="909"/>
      <c r="E98" s="909"/>
      <c r="F98" s="909"/>
      <c r="G98" s="909"/>
      <c r="H98" s="909"/>
      <c r="I98" s="909"/>
      <c r="J98" s="929"/>
      <c r="K98" s="929"/>
      <c r="L98" s="951"/>
      <c r="M98" s="951"/>
      <c r="N98" s="951"/>
      <c r="O98" s="951"/>
      <c r="P98" s="951"/>
      <c r="Q98" s="951"/>
    </row>
    <row r="99" spans="1:17" x14ac:dyDescent="0.2">
      <c r="A99" s="909"/>
      <c r="B99" s="909"/>
      <c r="C99" s="909"/>
      <c r="D99" s="909"/>
      <c r="E99" s="909"/>
      <c r="F99" s="909"/>
      <c r="G99" s="909"/>
      <c r="H99" s="909"/>
      <c r="I99" s="909"/>
      <c r="J99" s="929"/>
      <c r="K99" s="929"/>
      <c r="L99" s="951"/>
      <c r="M99" s="951"/>
      <c r="N99" s="951"/>
      <c r="O99" s="951"/>
      <c r="P99" s="951"/>
      <c r="Q99" s="951"/>
    </row>
    <row r="100" spans="1:17" x14ac:dyDescent="0.2">
      <c r="A100" s="909"/>
      <c r="B100" s="932"/>
      <c r="C100" s="766" t="s">
        <v>2056</v>
      </c>
      <c r="D100" s="766" t="s">
        <v>2057</v>
      </c>
      <c r="E100" s="909"/>
      <c r="F100" s="909"/>
      <c r="G100" s="909"/>
      <c r="H100" s="909"/>
      <c r="I100" s="909"/>
      <c r="J100" s="929"/>
      <c r="K100" s="929"/>
      <c r="L100" s="951"/>
      <c r="M100" s="951"/>
      <c r="N100" s="951"/>
      <c r="O100" s="951"/>
      <c r="P100" s="951"/>
      <c r="Q100" s="951"/>
    </row>
    <row r="101" spans="1:17" hidden="1" x14ac:dyDescent="0.2">
      <c r="A101" s="909"/>
      <c r="B101" s="953" t="s">
        <v>1117</v>
      </c>
      <c r="C101" s="859"/>
      <c r="D101" s="859"/>
      <c r="E101" s="909"/>
      <c r="F101" s="909"/>
      <c r="G101" s="909"/>
      <c r="H101" s="909"/>
      <c r="I101" s="909"/>
      <c r="J101" s="929"/>
      <c r="K101" s="929"/>
      <c r="L101" s="951"/>
      <c r="M101" s="951"/>
      <c r="N101" s="951"/>
      <c r="O101" s="951"/>
      <c r="P101" s="951"/>
      <c r="Q101" s="951"/>
    </row>
    <row r="102" spans="1:17" x14ac:dyDescent="0.2">
      <c r="A102" s="909"/>
      <c r="B102" s="932" t="s">
        <v>4094</v>
      </c>
      <c r="C102" s="859">
        <f t="shared" ref="C102" si="0">G155</f>
        <v>0</v>
      </c>
      <c r="D102" s="859">
        <f>H155</f>
        <v>0</v>
      </c>
      <c r="E102" s="909"/>
      <c r="F102" s="909"/>
      <c r="G102" s="909"/>
      <c r="H102" s="909"/>
      <c r="I102" s="909"/>
      <c r="J102" s="929"/>
      <c r="K102" s="929"/>
      <c r="L102" s="951"/>
      <c r="M102" s="951"/>
      <c r="N102" s="951"/>
      <c r="O102" s="951"/>
      <c r="P102" s="951"/>
      <c r="Q102" s="951"/>
    </row>
    <row r="103" spans="1:17" x14ac:dyDescent="0.2">
      <c r="A103" s="909"/>
      <c r="B103" s="932" t="s">
        <v>4022</v>
      </c>
      <c r="C103" s="859">
        <f>G156</f>
        <v>0</v>
      </c>
      <c r="D103" s="859">
        <f>H156</f>
        <v>0</v>
      </c>
      <c r="E103" s="1134"/>
      <c r="F103" s="909"/>
      <c r="G103" s="909"/>
      <c r="H103" s="909"/>
      <c r="I103" s="909"/>
      <c r="J103" s="929"/>
      <c r="K103" s="929"/>
      <c r="L103" s="951"/>
      <c r="M103" s="951"/>
      <c r="N103" s="951"/>
      <c r="O103" s="951"/>
      <c r="P103" s="951"/>
      <c r="Q103" s="951"/>
    </row>
    <row r="104" spans="1:17" x14ac:dyDescent="0.2">
      <c r="A104" s="909"/>
      <c r="B104" s="932" t="s">
        <v>3973</v>
      </c>
      <c r="C104" s="859">
        <f t="shared" ref="C104:D111" si="1">G157</f>
        <v>0</v>
      </c>
      <c r="D104" s="859">
        <f t="shared" si="1"/>
        <v>0</v>
      </c>
      <c r="E104" s="909"/>
      <c r="F104" s="909"/>
      <c r="G104" s="909"/>
      <c r="H104" s="909"/>
      <c r="I104" s="909"/>
      <c r="J104" s="929"/>
      <c r="K104" s="929"/>
      <c r="L104" s="951"/>
      <c r="M104" s="951"/>
      <c r="N104" s="951"/>
      <c r="O104" s="951"/>
      <c r="P104" s="951"/>
      <c r="Q104" s="951"/>
    </row>
    <row r="105" spans="1:17" x14ac:dyDescent="0.2">
      <c r="A105" s="909"/>
      <c r="B105" s="932" t="s">
        <v>3974</v>
      </c>
      <c r="C105" s="859">
        <f>G158</f>
        <v>0</v>
      </c>
      <c r="D105" s="859">
        <f t="shared" si="1"/>
        <v>0</v>
      </c>
      <c r="E105" s="909"/>
      <c r="F105" s="909"/>
      <c r="G105" s="909"/>
      <c r="H105" s="909"/>
      <c r="I105" s="909"/>
      <c r="J105" s="929"/>
      <c r="K105" s="929"/>
      <c r="L105" s="951"/>
      <c r="M105" s="951"/>
      <c r="N105" s="951"/>
      <c r="O105" s="951"/>
      <c r="P105" s="951"/>
      <c r="Q105" s="951"/>
    </row>
    <row r="106" spans="1:17" x14ac:dyDescent="0.2">
      <c r="A106" s="909"/>
      <c r="B106" s="932" t="s">
        <v>3975</v>
      </c>
      <c r="C106" s="859">
        <f t="shared" si="1"/>
        <v>0</v>
      </c>
      <c r="D106" s="859">
        <f t="shared" si="1"/>
        <v>0</v>
      </c>
      <c r="E106" s="909"/>
      <c r="F106" s="909"/>
      <c r="G106" s="909"/>
      <c r="H106" s="909"/>
      <c r="I106" s="909"/>
      <c r="J106" s="929"/>
      <c r="K106" s="929"/>
      <c r="L106" s="951"/>
      <c r="M106" s="951"/>
      <c r="N106" s="951"/>
      <c r="O106" s="951"/>
      <c r="P106" s="951"/>
      <c r="Q106" s="951"/>
    </row>
    <row r="107" spans="1:17" x14ac:dyDescent="0.2">
      <c r="A107" s="909"/>
      <c r="B107" s="932" t="s">
        <v>3976</v>
      </c>
      <c r="C107" s="859">
        <f t="shared" si="1"/>
        <v>0</v>
      </c>
      <c r="D107" s="859">
        <f t="shared" si="1"/>
        <v>0</v>
      </c>
      <c r="E107" s="909"/>
      <c r="F107" s="909"/>
      <c r="G107" s="909"/>
      <c r="H107" s="909"/>
      <c r="I107" s="909"/>
      <c r="J107" s="929"/>
      <c r="K107" s="929"/>
      <c r="L107" s="951"/>
      <c r="M107" s="951"/>
      <c r="N107" s="951"/>
      <c r="O107" s="951"/>
      <c r="P107" s="951"/>
      <c r="Q107" s="951"/>
    </row>
    <row r="108" spans="1:17" x14ac:dyDescent="0.2">
      <c r="A108" s="909"/>
      <c r="B108" s="932" t="s">
        <v>4020</v>
      </c>
      <c r="C108" s="859">
        <f t="shared" si="1"/>
        <v>0</v>
      </c>
      <c r="D108" s="859">
        <f t="shared" si="1"/>
        <v>0</v>
      </c>
      <c r="E108" s="909"/>
      <c r="F108" s="909"/>
      <c r="G108" s="909"/>
      <c r="H108" s="909"/>
      <c r="I108" s="909"/>
      <c r="J108" s="929"/>
      <c r="K108" s="929"/>
      <c r="L108" s="951"/>
      <c r="M108" s="951"/>
      <c r="N108" s="951"/>
      <c r="O108" s="951"/>
      <c r="P108" s="951"/>
      <c r="Q108" s="951"/>
    </row>
    <row r="109" spans="1:17" x14ac:dyDescent="0.2">
      <c r="A109" s="909"/>
      <c r="B109" s="932" t="s">
        <v>3977</v>
      </c>
      <c r="C109" s="859">
        <f t="shared" si="1"/>
        <v>0</v>
      </c>
      <c r="D109" s="859">
        <f t="shared" si="1"/>
        <v>0</v>
      </c>
      <c r="E109" s="1134"/>
      <c r="F109" s="909"/>
      <c r="G109" s="909"/>
      <c r="H109" s="909"/>
      <c r="I109" s="909"/>
      <c r="J109" s="929"/>
      <c r="K109" s="929"/>
      <c r="L109" s="951"/>
      <c r="M109" s="951"/>
      <c r="N109" s="951"/>
      <c r="O109" s="951"/>
      <c r="P109" s="951"/>
      <c r="Q109" s="951"/>
    </row>
    <row r="110" spans="1:17" x14ac:dyDescent="0.2">
      <c r="A110" s="909"/>
      <c r="B110" s="932" t="s">
        <v>3978</v>
      </c>
      <c r="C110" s="859">
        <f t="shared" si="1"/>
        <v>0</v>
      </c>
      <c r="D110" s="859">
        <f t="shared" si="1"/>
        <v>0</v>
      </c>
      <c r="E110" s="1134"/>
      <c r="F110" s="909"/>
      <c r="G110" s="909"/>
      <c r="H110" s="909"/>
      <c r="I110" s="909"/>
      <c r="J110" s="929"/>
      <c r="K110" s="929"/>
      <c r="L110" s="951"/>
      <c r="M110" s="951"/>
      <c r="N110" s="951"/>
      <c r="O110" s="951"/>
      <c r="P110" s="951"/>
      <c r="Q110" s="951"/>
    </row>
    <row r="111" spans="1:17" x14ac:dyDescent="0.2">
      <c r="A111" s="909"/>
      <c r="B111" s="932" t="s">
        <v>3979</v>
      </c>
      <c r="C111" s="859">
        <f t="shared" si="1"/>
        <v>0</v>
      </c>
      <c r="D111" s="859">
        <f t="shared" si="1"/>
        <v>0</v>
      </c>
      <c r="E111" s="1134"/>
      <c r="F111" s="909"/>
      <c r="G111" s="909"/>
      <c r="H111" s="909"/>
      <c r="I111" s="909"/>
      <c r="J111" s="929"/>
      <c r="K111" s="929"/>
      <c r="L111" s="951"/>
      <c r="M111" s="951"/>
      <c r="N111" s="951"/>
      <c r="O111" s="951"/>
      <c r="P111" s="951"/>
      <c r="Q111" s="951"/>
    </row>
    <row r="112" spans="1:17" x14ac:dyDescent="0.2">
      <c r="A112" s="909"/>
      <c r="B112" s="929" t="s">
        <v>4037</v>
      </c>
      <c r="C112" s="859">
        <f>G165</f>
        <v>0</v>
      </c>
      <c r="D112" s="859">
        <f>H165</f>
        <v>0</v>
      </c>
      <c r="E112" s="929"/>
      <c r="F112" s="909"/>
      <c r="G112" s="909"/>
      <c r="H112" s="909"/>
      <c r="I112" s="909"/>
      <c r="J112" s="929"/>
      <c r="K112" s="929"/>
      <c r="L112" s="951"/>
      <c r="M112" s="951"/>
      <c r="N112" s="951"/>
      <c r="O112" s="951"/>
      <c r="P112" s="951"/>
      <c r="Q112" s="951"/>
    </row>
    <row r="113" spans="1:17" x14ac:dyDescent="0.2">
      <c r="A113" s="909"/>
      <c r="B113" s="909" t="s">
        <v>4038</v>
      </c>
      <c r="C113" s="859">
        <f t="shared" ref="C113:D128" si="2">G166</f>
        <v>0</v>
      </c>
      <c r="D113" s="859">
        <f>H166</f>
        <v>0</v>
      </c>
      <c r="E113" s="929"/>
      <c r="F113" s="909"/>
      <c r="G113" s="909"/>
      <c r="H113" s="909"/>
      <c r="I113" s="909"/>
      <c r="J113" s="929"/>
      <c r="K113" s="929"/>
      <c r="L113" s="951"/>
      <c r="M113" s="951"/>
      <c r="N113" s="951"/>
      <c r="O113" s="951"/>
      <c r="P113" s="951"/>
      <c r="Q113" s="951"/>
    </row>
    <row r="114" spans="1:17" x14ac:dyDescent="0.2">
      <c r="A114" s="909"/>
      <c r="B114" s="909" t="s">
        <v>4039</v>
      </c>
      <c r="C114" s="859">
        <f t="shared" si="2"/>
        <v>0</v>
      </c>
      <c r="D114" s="859">
        <f t="shared" si="2"/>
        <v>0</v>
      </c>
      <c r="E114" s="1142"/>
      <c r="F114" s="909"/>
      <c r="G114" s="909"/>
      <c r="H114" s="909"/>
      <c r="I114" s="909"/>
      <c r="J114" s="929"/>
      <c r="K114" s="929"/>
      <c r="L114" s="951"/>
      <c r="M114" s="951"/>
      <c r="N114" s="951"/>
      <c r="O114" s="951"/>
      <c r="P114" s="951"/>
      <c r="Q114" s="951"/>
    </row>
    <row r="115" spans="1:17" x14ac:dyDescent="0.2">
      <c r="A115" s="909"/>
      <c r="B115" s="909" t="s">
        <v>4040</v>
      </c>
      <c r="C115" s="859">
        <f t="shared" si="2"/>
        <v>0</v>
      </c>
      <c r="D115" s="859">
        <f t="shared" si="2"/>
        <v>0</v>
      </c>
      <c r="E115" s="1142"/>
      <c r="F115" s="909"/>
      <c r="G115" s="909"/>
      <c r="H115" s="909"/>
      <c r="I115" s="909"/>
      <c r="J115" s="929"/>
      <c r="K115" s="929"/>
      <c r="L115" s="951"/>
      <c r="M115" s="951"/>
      <c r="N115" s="951"/>
      <c r="O115" s="951"/>
      <c r="P115" s="951"/>
      <c r="Q115" s="951"/>
    </row>
    <row r="116" spans="1:17" x14ac:dyDescent="0.2">
      <c r="A116" s="909"/>
      <c r="B116" s="909" t="s">
        <v>4041</v>
      </c>
      <c r="C116" s="859">
        <f t="shared" si="2"/>
        <v>0</v>
      </c>
      <c r="D116" s="859">
        <f t="shared" si="2"/>
        <v>0</v>
      </c>
      <c r="E116" s="929"/>
      <c r="F116" s="909"/>
      <c r="G116" s="909"/>
      <c r="H116" s="909"/>
      <c r="I116" s="909"/>
      <c r="J116" s="929"/>
      <c r="K116" s="929"/>
      <c r="L116" s="951"/>
      <c r="M116" s="951"/>
      <c r="N116" s="951"/>
      <c r="O116" s="951"/>
      <c r="P116" s="951"/>
      <c r="Q116" s="951"/>
    </row>
    <row r="117" spans="1:17" x14ac:dyDescent="0.2">
      <c r="A117" s="909"/>
      <c r="B117" s="909" t="s">
        <v>4042</v>
      </c>
      <c r="C117" s="859">
        <f t="shared" si="2"/>
        <v>0</v>
      </c>
      <c r="D117" s="859">
        <f t="shared" si="2"/>
        <v>0</v>
      </c>
      <c r="E117" s="929"/>
      <c r="F117" s="909"/>
      <c r="G117" s="909"/>
      <c r="H117" s="909"/>
      <c r="I117" s="909"/>
      <c r="J117" s="929"/>
      <c r="K117" s="929"/>
      <c r="L117" s="951"/>
      <c r="M117" s="951"/>
      <c r="N117" s="951"/>
      <c r="O117" s="951"/>
      <c r="P117" s="951"/>
      <c r="Q117" s="951"/>
    </row>
    <row r="118" spans="1:17" x14ac:dyDescent="0.2">
      <c r="A118" s="909"/>
      <c r="B118" s="909" t="s">
        <v>4043</v>
      </c>
      <c r="C118" s="859">
        <f t="shared" si="2"/>
        <v>0</v>
      </c>
      <c r="D118" s="859">
        <f t="shared" si="2"/>
        <v>0</v>
      </c>
      <c r="E118" s="929"/>
      <c r="F118" s="909"/>
      <c r="G118" s="909"/>
      <c r="H118" s="909"/>
      <c r="I118" s="909"/>
      <c r="J118" s="929"/>
      <c r="K118" s="929"/>
      <c r="L118" s="951"/>
      <c r="M118" s="951"/>
      <c r="N118" s="951"/>
      <c r="O118" s="951"/>
      <c r="P118" s="951"/>
      <c r="Q118" s="951"/>
    </row>
    <row r="119" spans="1:17" x14ac:dyDescent="0.2">
      <c r="A119" s="909"/>
      <c r="B119" s="909" t="s">
        <v>4044</v>
      </c>
      <c r="C119" s="859">
        <f t="shared" si="2"/>
        <v>0</v>
      </c>
      <c r="D119" s="859">
        <f t="shared" si="2"/>
        <v>0</v>
      </c>
      <c r="E119" s="929"/>
      <c r="F119" s="909"/>
      <c r="G119" s="909"/>
      <c r="H119" s="909"/>
      <c r="I119" s="909"/>
      <c r="J119" s="929"/>
      <c r="K119" s="929"/>
      <c r="L119" s="951"/>
      <c r="M119" s="951"/>
      <c r="N119" s="951"/>
      <c r="O119" s="951"/>
      <c r="P119" s="951"/>
      <c r="Q119" s="951"/>
    </row>
    <row r="120" spans="1:17" x14ac:dyDescent="0.2">
      <c r="A120" s="909"/>
      <c r="B120" s="909" t="s">
        <v>4045</v>
      </c>
      <c r="C120" s="859">
        <f t="shared" si="2"/>
        <v>0</v>
      </c>
      <c r="D120" s="859">
        <f t="shared" si="2"/>
        <v>0</v>
      </c>
      <c r="E120" s="929"/>
      <c r="F120" s="909"/>
      <c r="G120" s="909"/>
      <c r="H120" s="909"/>
      <c r="I120" s="909"/>
      <c r="J120" s="929"/>
      <c r="K120" s="929"/>
      <c r="L120" s="951"/>
      <c r="M120" s="951"/>
      <c r="N120" s="951"/>
      <c r="O120" s="951"/>
      <c r="P120" s="951"/>
      <c r="Q120" s="951"/>
    </row>
    <row r="121" spans="1:17" x14ac:dyDescent="0.2">
      <c r="A121" s="909"/>
      <c r="B121" s="929" t="s">
        <v>3662</v>
      </c>
      <c r="C121" s="859">
        <f t="shared" si="2"/>
        <v>0</v>
      </c>
      <c r="D121" s="859">
        <f t="shared" si="2"/>
        <v>0</v>
      </c>
      <c r="E121" s="929"/>
      <c r="F121" s="909"/>
      <c r="G121" s="909"/>
      <c r="H121" s="909"/>
      <c r="I121" s="909"/>
      <c r="J121" s="929"/>
      <c r="K121" s="929"/>
      <c r="L121" s="951"/>
      <c r="M121" s="951"/>
      <c r="N121" s="951"/>
      <c r="O121" s="951"/>
      <c r="P121" s="951"/>
      <c r="Q121" s="951"/>
    </row>
    <row r="122" spans="1:17" x14ac:dyDescent="0.2">
      <c r="A122" s="909"/>
      <c r="B122" s="929" t="s">
        <v>3663</v>
      </c>
      <c r="C122" s="859">
        <f t="shared" si="2"/>
        <v>0</v>
      </c>
      <c r="D122" s="859">
        <f t="shared" si="2"/>
        <v>0</v>
      </c>
      <c r="E122" s="929"/>
      <c r="F122" s="909"/>
      <c r="G122" s="909"/>
      <c r="H122" s="909"/>
      <c r="I122" s="909"/>
      <c r="J122" s="929"/>
      <c r="K122" s="929"/>
      <c r="L122" s="951"/>
      <c r="M122" s="951"/>
      <c r="N122" s="951"/>
      <c r="O122" s="951"/>
      <c r="P122" s="951"/>
      <c r="Q122" s="951"/>
    </row>
    <row r="123" spans="1:17" x14ac:dyDescent="0.2">
      <c r="A123" s="909"/>
      <c r="B123" s="929" t="s">
        <v>3664</v>
      </c>
      <c r="C123" s="859">
        <f t="shared" si="2"/>
        <v>0</v>
      </c>
      <c r="D123" s="859">
        <f t="shared" si="2"/>
        <v>0</v>
      </c>
      <c r="E123" s="929"/>
      <c r="F123" s="909"/>
      <c r="G123" s="909"/>
      <c r="H123" s="909"/>
      <c r="I123" s="909"/>
      <c r="J123" s="929"/>
      <c r="K123" s="929"/>
      <c r="L123" s="951"/>
      <c r="M123" s="951"/>
      <c r="N123" s="951"/>
      <c r="O123" s="951"/>
      <c r="P123" s="951"/>
      <c r="Q123" s="951"/>
    </row>
    <row r="124" spans="1:17" x14ac:dyDescent="0.2">
      <c r="A124" s="909"/>
      <c r="B124" s="929" t="s">
        <v>3665</v>
      </c>
      <c r="C124" s="859">
        <f t="shared" si="2"/>
        <v>0</v>
      </c>
      <c r="D124" s="859">
        <f t="shared" si="2"/>
        <v>0</v>
      </c>
      <c r="E124" s="929"/>
      <c r="F124" s="909"/>
      <c r="G124" s="909"/>
      <c r="H124" s="909"/>
      <c r="I124" s="909"/>
      <c r="J124" s="929"/>
      <c r="K124" s="929"/>
      <c r="L124" s="951"/>
      <c r="M124" s="951"/>
      <c r="N124" s="951"/>
      <c r="O124" s="951"/>
      <c r="P124" s="951"/>
      <c r="Q124" s="951"/>
    </row>
    <row r="125" spans="1:17" x14ac:dyDescent="0.2">
      <c r="A125" s="909"/>
      <c r="B125" s="929" t="s">
        <v>3666</v>
      </c>
      <c r="C125" s="859">
        <f t="shared" si="2"/>
        <v>0</v>
      </c>
      <c r="D125" s="859">
        <f t="shared" si="2"/>
        <v>0</v>
      </c>
      <c r="E125" s="929"/>
      <c r="F125" s="909"/>
      <c r="G125" s="909"/>
      <c r="H125" s="909"/>
      <c r="I125" s="909"/>
      <c r="J125" s="929"/>
      <c r="K125" s="929"/>
      <c r="L125" s="951"/>
      <c r="M125" s="951"/>
      <c r="N125" s="951"/>
      <c r="O125" s="951"/>
      <c r="P125" s="951"/>
      <c r="Q125" s="951"/>
    </row>
    <row r="126" spans="1:17" x14ac:dyDescent="0.2">
      <c r="A126" s="909"/>
      <c r="B126" s="929" t="s">
        <v>3667</v>
      </c>
      <c r="C126" s="859">
        <f t="shared" si="2"/>
        <v>0</v>
      </c>
      <c r="D126" s="859">
        <f t="shared" si="2"/>
        <v>0</v>
      </c>
      <c r="E126" s="929"/>
      <c r="F126" s="909"/>
      <c r="G126" s="909"/>
      <c r="H126" s="909"/>
      <c r="I126" s="909"/>
      <c r="J126" s="929"/>
      <c r="K126" s="929"/>
      <c r="L126" s="951"/>
      <c r="M126" s="951"/>
      <c r="N126" s="951"/>
      <c r="O126" s="951"/>
      <c r="P126" s="951"/>
      <c r="Q126" s="951"/>
    </row>
    <row r="127" spans="1:17" x14ac:dyDescent="0.2">
      <c r="A127" s="909"/>
      <c r="B127" s="929" t="s">
        <v>4021</v>
      </c>
      <c r="C127" s="859">
        <f t="shared" si="2"/>
        <v>0</v>
      </c>
      <c r="D127" s="859">
        <f t="shared" si="2"/>
        <v>0</v>
      </c>
      <c r="E127" s="929"/>
      <c r="F127" s="909"/>
      <c r="G127" s="909"/>
      <c r="H127" s="909"/>
      <c r="I127" s="909"/>
      <c r="J127" s="929"/>
      <c r="K127" s="929"/>
      <c r="L127" s="951"/>
      <c r="M127" s="951"/>
      <c r="N127" s="951"/>
      <c r="O127" s="951"/>
      <c r="P127" s="951"/>
      <c r="Q127" s="951"/>
    </row>
    <row r="128" spans="1:17" x14ac:dyDescent="0.2">
      <c r="A128" s="909"/>
      <c r="B128" s="929" t="s">
        <v>3986</v>
      </c>
      <c r="C128" s="859">
        <f t="shared" si="2"/>
        <v>0</v>
      </c>
      <c r="D128" s="859">
        <f t="shared" si="2"/>
        <v>0</v>
      </c>
      <c r="E128" s="929"/>
      <c r="F128" s="909"/>
      <c r="G128" s="909"/>
      <c r="H128" s="909"/>
      <c r="I128" s="909"/>
      <c r="J128" s="929"/>
      <c r="K128" s="929"/>
      <c r="L128" s="951"/>
      <c r="M128" s="951"/>
      <c r="N128" s="951"/>
      <c r="O128" s="951"/>
      <c r="P128" s="951"/>
      <c r="Q128" s="951"/>
    </row>
    <row r="129" spans="1:17" x14ac:dyDescent="0.2">
      <c r="A129" s="909"/>
      <c r="B129" s="929" t="s">
        <v>3670</v>
      </c>
      <c r="C129" s="859">
        <f t="shared" ref="C129:D135" si="3">G182</f>
        <v>0</v>
      </c>
      <c r="D129" s="859">
        <f t="shared" si="3"/>
        <v>0</v>
      </c>
      <c r="E129" s="929"/>
      <c r="F129" s="909"/>
      <c r="G129" s="909"/>
      <c r="H129" s="909"/>
      <c r="I129" s="909"/>
      <c r="J129" s="929"/>
      <c r="K129" s="929"/>
      <c r="L129" s="951"/>
      <c r="M129" s="951"/>
      <c r="N129" s="951"/>
      <c r="O129" s="951"/>
      <c r="P129" s="951"/>
      <c r="Q129" s="951"/>
    </row>
    <row r="130" spans="1:17" x14ac:dyDescent="0.2">
      <c r="A130" s="909"/>
      <c r="B130" s="932" t="s">
        <v>3596</v>
      </c>
      <c r="C130" s="859">
        <f t="shared" si="3"/>
        <v>0</v>
      </c>
      <c r="D130" s="859">
        <f t="shared" si="3"/>
        <v>0</v>
      </c>
      <c r="E130" s="909"/>
      <c r="F130" s="909"/>
      <c r="G130" s="909"/>
      <c r="H130" s="909"/>
      <c r="I130" s="909"/>
      <c r="J130" s="929"/>
      <c r="K130" s="929"/>
      <c r="L130" s="951"/>
      <c r="M130" s="951"/>
      <c r="N130" s="951"/>
      <c r="O130" s="951"/>
      <c r="P130" s="951"/>
      <c r="Q130" s="951"/>
    </row>
    <row r="131" spans="1:17" x14ac:dyDescent="0.2">
      <c r="A131" s="909"/>
      <c r="B131" s="932" t="s">
        <v>3597</v>
      </c>
      <c r="C131" s="859">
        <f t="shared" si="3"/>
        <v>0</v>
      </c>
      <c r="D131" s="859">
        <f t="shared" si="3"/>
        <v>0</v>
      </c>
      <c r="E131" s="909"/>
      <c r="F131" s="909"/>
      <c r="G131" s="909"/>
      <c r="H131" s="909"/>
      <c r="I131" s="909"/>
      <c r="J131" s="929"/>
      <c r="K131" s="929"/>
      <c r="L131" s="951"/>
      <c r="M131" s="951"/>
      <c r="N131" s="951"/>
      <c r="O131" s="951"/>
      <c r="P131" s="951"/>
      <c r="Q131" s="951"/>
    </row>
    <row r="132" spans="1:17" x14ac:dyDescent="0.2">
      <c r="A132" s="909"/>
      <c r="B132" s="932" t="s">
        <v>3599</v>
      </c>
      <c r="C132" s="859">
        <f t="shared" si="3"/>
        <v>0</v>
      </c>
      <c r="D132" s="859">
        <f t="shared" si="3"/>
        <v>0</v>
      </c>
      <c r="E132" s="909"/>
      <c r="F132" s="909"/>
      <c r="G132" s="909"/>
      <c r="H132" s="909"/>
      <c r="I132" s="909"/>
      <c r="J132" s="929"/>
      <c r="K132" s="929"/>
      <c r="L132" s="951"/>
      <c r="M132" s="951"/>
      <c r="N132" s="951"/>
      <c r="O132" s="951"/>
      <c r="P132" s="951"/>
      <c r="Q132" s="951"/>
    </row>
    <row r="133" spans="1:17" x14ac:dyDescent="0.2">
      <c r="A133" s="909"/>
      <c r="B133" s="932" t="s">
        <v>3601</v>
      </c>
      <c r="C133" s="859">
        <f t="shared" si="3"/>
        <v>0</v>
      </c>
      <c r="D133" s="859">
        <f t="shared" si="3"/>
        <v>0</v>
      </c>
      <c r="E133" s="909"/>
      <c r="F133" s="909"/>
      <c r="G133" s="909"/>
      <c r="H133" s="909"/>
      <c r="I133" s="909"/>
      <c r="J133" s="929"/>
      <c r="K133" s="929"/>
      <c r="L133" s="951"/>
      <c r="M133" s="951"/>
      <c r="N133" s="951"/>
      <c r="O133" s="951"/>
      <c r="P133" s="951"/>
      <c r="Q133" s="951"/>
    </row>
    <row r="134" spans="1:17" x14ac:dyDescent="0.2">
      <c r="A134" s="909"/>
      <c r="B134" s="932" t="s">
        <v>4079</v>
      </c>
      <c r="C134" s="859">
        <f t="shared" si="3"/>
        <v>0</v>
      </c>
      <c r="D134" s="859">
        <f t="shared" si="3"/>
        <v>0</v>
      </c>
      <c r="E134" s="909"/>
      <c r="F134" s="909"/>
      <c r="G134" s="909"/>
      <c r="H134" s="909"/>
      <c r="I134" s="909"/>
      <c r="J134" s="929"/>
      <c r="K134" s="929"/>
      <c r="L134" s="951"/>
      <c r="M134" s="951"/>
      <c r="N134" s="951"/>
      <c r="O134" s="951"/>
      <c r="P134" s="951"/>
      <c r="Q134" s="951"/>
    </row>
    <row r="135" spans="1:17" ht="25.5" x14ac:dyDescent="0.2">
      <c r="A135" s="909"/>
      <c r="B135" s="932" t="s">
        <v>3676</v>
      </c>
      <c r="C135" s="859">
        <f t="shared" si="3"/>
        <v>0</v>
      </c>
      <c r="D135" s="859">
        <f t="shared" si="3"/>
        <v>0</v>
      </c>
      <c r="E135" s="909"/>
      <c r="F135" s="909"/>
      <c r="G135" s="909"/>
      <c r="H135" s="909"/>
      <c r="I135" s="909"/>
      <c r="J135" s="929"/>
      <c r="K135" s="929"/>
      <c r="L135" s="951"/>
      <c r="M135" s="951"/>
      <c r="N135" s="951"/>
      <c r="O135" s="951"/>
      <c r="P135" s="951"/>
      <c r="Q135" s="951"/>
    </row>
    <row r="136" spans="1:17" ht="25.5" x14ac:dyDescent="0.2">
      <c r="A136" s="909"/>
      <c r="B136" s="1168" t="s">
        <v>4096</v>
      </c>
      <c r="C136" s="859"/>
      <c r="D136" s="859">
        <f>D189</f>
        <v>0</v>
      </c>
      <c r="E136" s="909"/>
      <c r="F136" s="909"/>
      <c r="G136" s="909"/>
      <c r="H136" s="909"/>
      <c r="I136" s="909"/>
      <c r="J136" s="929"/>
      <c r="K136" s="929"/>
      <c r="L136" s="951"/>
      <c r="M136" s="951"/>
      <c r="N136" s="951"/>
      <c r="O136" s="951"/>
      <c r="P136" s="951"/>
      <c r="Q136" s="951"/>
    </row>
    <row r="137" spans="1:17" x14ac:dyDescent="0.2">
      <c r="A137" s="909"/>
      <c r="B137" s="1168" t="s">
        <v>4097</v>
      </c>
      <c r="C137" s="859"/>
      <c r="D137" s="859">
        <f t="shared" ref="D137:D144" si="4">D190</f>
        <v>0</v>
      </c>
      <c r="E137" s="909"/>
      <c r="F137" s="909"/>
      <c r="G137" s="909"/>
      <c r="H137" s="909"/>
      <c r="I137" s="909"/>
      <c r="J137" s="929"/>
      <c r="K137" s="929"/>
      <c r="L137" s="951"/>
      <c r="M137" s="951"/>
      <c r="N137" s="951"/>
      <c r="O137" s="951"/>
      <c r="P137" s="951"/>
      <c r="Q137" s="951"/>
    </row>
    <row r="138" spans="1:17" x14ac:dyDescent="0.2">
      <c r="A138" s="909"/>
      <c r="B138" s="1168" t="s">
        <v>4098</v>
      </c>
      <c r="C138" s="859"/>
      <c r="D138" s="859">
        <f t="shared" si="4"/>
        <v>0</v>
      </c>
      <c r="E138" s="909"/>
      <c r="F138" s="909"/>
      <c r="G138" s="909"/>
      <c r="H138" s="909"/>
      <c r="I138" s="909"/>
      <c r="J138" s="929"/>
      <c r="K138" s="929"/>
      <c r="L138" s="951"/>
      <c r="M138" s="951"/>
      <c r="N138" s="951"/>
      <c r="O138" s="951"/>
      <c r="P138" s="951"/>
      <c r="Q138" s="951"/>
    </row>
    <row r="139" spans="1:17" ht="25.5" x14ac:dyDescent="0.2">
      <c r="A139" s="909"/>
      <c r="B139" s="1168" t="s">
        <v>4099</v>
      </c>
      <c r="C139" s="859"/>
      <c r="D139" s="859">
        <f t="shared" si="4"/>
        <v>0</v>
      </c>
      <c r="E139" s="909"/>
      <c r="F139" s="909"/>
      <c r="G139" s="909"/>
      <c r="H139" s="909"/>
      <c r="I139" s="909"/>
      <c r="J139" s="929"/>
      <c r="K139" s="929"/>
      <c r="L139" s="951"/>
      <c r="M139" s="951"/>
      <c r="N139" s="951"/>
      <c r="O139" s="951"/>
      <c r="P139" s="951"/>
      <c r="Q139" s="951"/>
    </row>
    <row r="140" spans="1:17" ht="25.5" x14ac:dyDescent="0.2">
      <c r="A140" s="909"/>
      <c r="B140" s="1168" t="s">
        <v>4100</v>
      </c>
      <c r="C140" s="859"/>
      <c r="D140" s="859">
        <f t="shared" si="4"/>
        <v>0</v>
      </c>
      <c r="E140" s="909"/>
      <c r="F140" s="909"/>
      <c r="G140" s="909"/>
      <c r="H140" s="909"/>
      <c r="I140" s="909"/>
      <c r="J140" s="929"/>
      <c r="K140" s="929"/>
      <c r="L140" s="951"/>
      <c r="M140" s="951"/>
      <c r="N140" s="951"/>
      <c r="O140" s="951"/>
      <c r="P140" s="951"/>
      <c r="Q140" s="951"/>
    </row>
    <row r="141" spans="1:17" x14ac:dyDescent="0.2">
      <c r="A141" s="909"/>
      <c r="B141" s="1168" t="s">
        <v>4101</v>
      </c>
      <c r="C141" s="859"/>
      <c r="D141" s="859">
        <f t="shared" si="4"/>
        <v>0</v>
      </c>
      <c r="E141" s="909"/>
      <c r="F141" s="909"/>
      <c r="G141" s="909"/>
      <c r="H141" s="909"/>
      <c r="I141" s="909"/>
      <c r="J141" s="929"/>
      <c r="K141" s="929"/>
      <c r="L141" s="951"/>
      <c r="M141" s="951"/>
      <c r="N141" s="951"/>
      <c r="O141" s="951"/>
      <c r="P141" s="951"/>
      <c r="Q141" s="951"/>
    </row>
    <row r="142" spans="1:17" ht="25.5" x14ac:dyDescent="0.2">
      <c r="A142" s="909"/>
      <c r="B142" s="1168" t="s">
        <v>4102</v>
      </c>
      <c r="C142" s="859"/>
      <c r="D142" s="859">
        <f t="shared" si="4"/>
        <v>0</v>
      </c>
      <c r="E142" s="909"/>
      <c r="F142" s="909"/>
      <c r="G142" s="909"/>
      <c r="H142" s="909"/>
      <c r="I142" s="909"/>
      <c r="J142" s="929"/>
      <c r="K142" s="929"/>
      <c r="L142" s="951"/>
      <c r="M142" s="951"/>
      <c r="N142" s="951"/>
      <c r="O142" s="951"/>
      <c r="P142" s="951"/>
      <c r="Q142" s="951"/>
    </row>
    <row r="143" spans="1:17" x14ac:dyDescent="0.2">
      <c r="A143" s="909"/>
      <c r="B143" s="1168" t="s">
        <v>4103</v>
      </c>
      <c r="C143" s="859"/>
      <c r="D143" s="859">
        <f t="shared" si="4"/>
        <v>0</v>
      </c>
      <c r="E143" s="909"/>
      <c r="F143" s="909"/>
      <c r="G143" s="909"/>
      <c r="H143" s="909"/>
      <c r="I143" s="909"/>
      <c r="J143" s="929"/>
      <c r="K143" s="929"/>
      <c r="L143" s="951"/>
      <c r="M143" s="951"/>
      <c r="N143" s="951"/>
      <c r="O143" s="951"/>
      <c r="P143" s="951"/>
      <c r="Q143" s="951"/>
    </row>
    <row r="144" spans="1:17" x14ac:dyDescent="0.2">
      <c r="A144" s="909"/>
      <c r="B144" s="1168" t="s">
        <v>4104</v>
      </c>
      <c r="C144" s="859"/>
      <c r="D144" s="859">
        <f t="shared" si="4"/>
        <v>0</v>
      </c>
      <c r="E144" s="909"/>
      <c r="F144" s="909"/>
      <c r="G144" s="909"/>
      <c r="H144" s="909"/>
      <c r="I144" s="909"/>
      <c r="J144" s="929"/>
      <c r="K144" s="929"/>
      <c r="L144" s="951"/>
      <c r="M144" s="951"/>
      <c r="N144" s="951"/>
      <c r="O144" s="951"/>
      <c r="P144" s="951"/>
      <c r="Q144" s="951"/>
    </row>
    <row r="145" spans="1:17" x14ac:dyDescent="0.2">
      <c r="A145" s="909"/>
      <c r="B145" s="932"/>
      <c r="C145" s="859"/>
      <c r="D145" s="859"/>
      <c r="E145" s="909"/>
      <c r="F145" s="909"/>
      <c r="G145" s="909"/>
      <c r="H145" s="909"/>
      <c r="I145" s="909"/>
      <c r="J145" s="929"/>
      <c r="K145" s="929"/>
      <c r="L145" s="951"/>
      <c r="M145" s="951"/>
      <c r="N145" s="951"/>
      <c r="O145" s="951"/>
      <c r="P145" s="951"/>
      <c r="Q145" s="951"/>
    </row>
    <row r="146" spans="1:17" ht="13.5" thickBot="1" x14ac:dyDescent="0.25">
      <c r="A146" s="909"/>
      <c r="B146" s="932"/>
      <c r="C146" s="861">
        <f>SUM(C101:C145)</f>
        <v>0</v>
      </c>
      <c r="D146" s="861">
        <f>SUM(D101:D145)</f>
        <v>0</v>
      </c>
      <c r="E146" s="909"/>
      <c r="F146" s="909"/>
      <c r="G146" s="909"/>
      <c r="H146" s="909"/>
      <c r="I146" s="909"/>
      <c r="J146" s="929"/>
      <c r="K146" s="929"/>
      <c r="L146" s="951"/>
      <c r="M146" s="951"/>
      <c r="N146" s="951"/>
      <c r="O146" s="951"/>
      <c r="P146" s="951"/>
      <c r="Q146" s="951"/>
    </row>
    <row r="147" spans="1:17" ht="13.5" thickTop="1" x14ac:dyDescent="0.2">
      <c r="A147" s="909"/>
      <c r="B147" s="909"/>
      <c r="C147" s="909"/>
      <c r="D147" s="909"/>
      <c r="E147" s="909"/>
      <c r="F147" s="909"/>
      <c r="G147" s="909"/>
      <c r="H147" s="909"/>
      <c r="I147" s="909"/>
      <c r="J147" s="929"/>
      <c r="K147" s="929"/>
      <c r="L147" s="951"/>
      <c r="M147" s="951"/>
      <c r="N147" s="951"/>
      <c r="O147" s="951"/>
      <c r="P147" s="951"/>
      <c r="Q147" s="951"/>
    </row>
    <row r="148" spans="1:17" x14ac:dyDescent="0.2">
      <c r="A148" s="909"/>
      <c r="B148" s="909"/>
      <c r="C148" s="909"/>
      <c r="D148" s="909"/>
      <c r="E148" s="909"/>
      <c r="F148" s="909"/>
      <c r="G148" s="909"/>
      <c r="H148" s="909"/>
      <c r="I148" s="909"/>
      <c r="J148" s="929"/>
      <c r="K148" s="929"/>
      <c r="L148" s="951"/>
      <c r="M148" s="951"/>
      <c r="N148" s="951"/>
      <c r="O148" s="951"/>
      <c r="P148" s="951"/>
      <c r="Q148" s="951"/>
    </row>
    <row r="149" spans="1:17" ht="23.25" customHeight="1" x14ac:dyDescent="0.2">
      <c r="A149" s="909"/>
      <c r="B149" s="933" t="s">
        <v>3638</v>
      </c>
      <c r="C149" s="933"/>
      <c r="D149" s="933"/>
      <c r="E149" s="933"/>
      <c r="F149" s="933"/>
      <c r="G149" s="933"/>
      <c r="H149" s="933"/>
      <c r="I149" s="909"/>
      <c r="J149" s="929"/>
      <c r="K149" s="929"/>
      <c r="L149" s="951"/>
      <c r="M149" s="951"/>
      <c r="N149" s="951"/>
      <c r="O149" s="951"/>
      <c r="P149" s="951"/>
      <c r="Q149" s="951"/>
    </row>
    <row r="150" spans="1:17" s="951" customFormat="1" ht="12.75" customHeight="1" x14ac:dyDescent="0.2">
      <c r="A150" s="929"/>
      <c r="B150" s="934"/>
      <c r="C150" s="934"/>
      <c r="D150" s="934"/>
      <c r="E150" s="934"/>
      <c r="F150" s="934"/>
      <c r="G150" s="934"/>
      <c r="H150" s="934"/>
      <c r="I150" s="929"/>
      <c r="J150" s="929"/>
      <c r="K150" s="1142"/>
    </row>
    <row r="151" spans="1:17" ht="18" x14ac:dyDescent="0.2">
      <c r="A151" s="909"/>
      <c r="C151" s="935"/>
      <c r="D151" s="936"/>
      <c r="E151" s="937"/>
      <c r="F151" s="934"/>
      <c r="G151" s="1655" t="s">
        <v>923</v>
      </c>
      <c r="H151" s="1656"/>
      <c r="I151" s="909"/>
      <c r="J151" s="929"/>
      <c r="K151" s="929"/>
      <c r="L151" s="951"/>
      <c r="M151" s="951"/>
      <c r="N151" s="951"/>
      <c r="O151" s="951"/>
      <c r="P151" s="951"/>
      <c r="Q151" s="951"/>
    </row>
    <row r="152" spans="1:17" x14ac:dyDescent="0.2">
      <c r="A152" s="909"/>
      <c r="B152" s="938"/>
      <c r="C152" s="767"/>
      <c r="D152" s="906"/>
      <c r="E152" s="939"/>
      <c r="F152" s="940"/>
      <c r="G152" s="941"/>
      <c r="H152" s="942"/>
      <c r="I152" s="909"/>
      <c r="J152" s="929"/>
      <c r="K152" s="929"/>
      <c r="L152" s="951"/>
      <c r="M152" s="951"/>
      <c r="N152" s="951"/>
      <c r="O152" s="951"/>
      <c r="P152" s="951"/>
      <c r="Q152" s="951"/>
    </row>
    <row r="153" spans="1:17" x14ac:dyDescent="0.2">
      <c r="A153" s="909"/>
      <c r="B153" s="938"/>
      <c r="C153" s="715" t="s">
        <v>517</v>
      </c>
      <c r="D153" s="907" t="s">
        <v>518</v>
      </c>
      <c r="E153" s="943" t="s">
        <v>2097</v>
      </c>
      <c r="F153" s="940"/>
      <c r="G153" s="944" t="s">
        <v>517</v>
      </c>
      <c r="H153" s="945" t="s">
        <v>518</v>
      </c>
      <c r="I153" s="909"/>
      <c r="J153" s="929"/>
      <c r="K153" s="929"/>
      <c r="L153" s="951"/>
      <c r="M153" s="951"/>
      <c r="N153" s="951"/>
      <c r="O153" s="951"/>
      <c r="P153" s="951"/>
      <c r="Q153" s="951"/>
    </row>
    <row r="154" spans="1:17" hidden="1" x14ac:dyDescent="0.2">
      <c r="A154" s="909"/>
      <c r="B154" s="953" t="s">
        <v>1117</v>
      </c>
      <c r="C154" s="771"/>
      <c r="D154" s="853"/>
      <c r="E154" s="870">
        <f t="shared" ref="E154:E197" si="5">C154-D154</f>
        <v>0</v>
      </c>
      <c r="F154" s="909"/>
      <c r="G154" s="871">
        <f t="shared" ref="G154:G197" si="6">IF(E154&lt;0,0,E154)</f>
        <v>0</v>
      </c>
      <c r="H154" s="770">
        <f t="shared" ref="H154" si="7">IF(E154&gt;0,0,E154*-1)</f>
        <v>0</v>
      </c>
      <c r="I154" s="909"/>
      <c r="J154" s="929"/>
      <c r="K154" s="929"/>
      <c r="L154" s="951"/>
      <c r="M154" s="951"/>
      <c r="N154" s="951"/>
      <c r="O154" s="951"/>
      <c r="P154" s="951"/>
      <c r="Q154" s="951"/>
    </row>
    <row r="155" spans="1:17" x14ac:dyDescent="0.2">
      <c r="A155" s="909"/>
      <c r="B155" s="932" t="s">
        <v>4075</v>
      </c>
      <c r="C155" s="771">
        <f>IF(D32-D31&lt;0,-(D32-D31)*D11,0)</f>
        <v>0</v>
      </c>
      <c r="D155" s="853">
        <f>IF(D32-D31&gt;0,(D32-D31)*D11,0)</f>
        <v>0</v>
      </c>
      <c r="E155" s="870">
        <f t="shared" si="5"/>
        <v>0</v>
      </c>
      <c r="F155" s="909"/>
      <c r="G155" s="871">
        <f t="shared" si="6"/>
        <v>0</v>
      </c>
      <c r="H155" s="770">
        <f>IF(E155&gt;0,0,E155*-1)</f>
        <v>0</v>
      </c>
      <c r="I155" s="909"/>
      <c r="J155" s="1003"/>
      <c r="K155" s="929"/>
      <c r="L155" s="951"/>
      <c r="M155" s="951"/>
      <c r="N155" s="951"/>
      <c r="O155" s="951"/>
      <c r="P155" s="951"/>
      <c r="Q155" s="951"/>
    </row>
    <row r="156" spans="1:17" x14ac:dyDescent="0.2">
      <c r="A156" s="909"/>
      <c r="B156" s="932" t="s">
        <v>4022</v>
      </c>
      <c r="C156" s="771">
        <f t="shared" ref="C156:C164" si="8">IF($D$34&gt;0,$D$34*D16,0)</f>
        <v>0</v>
      </c>
      <c r="D156" s="853">
        <f t="shared" ref="D156:D164" si="9">IF($D$34&lt;0,-$D$34*D16,0)</f>
        <v>0</v>
      </c>
      <c r="E156" s="870">
        <f t="shared" si="5"/>
        <v>0</v>
      </c>
      <c r="F156" s="909"/>
      <c r="G156" s="871">
        <f t="shared" si="6"/>
        <v>0</v>
      </c>
      <c r="H156" s="770">
        <f>IF(E156&gt;0,0,E156*-1)</f>
        <v>0</v>
      </c>
      <c r="I156" s="995"/>
      <c r="J156" s="929"/>
      <c r="K156" s="929"/>
      <c r="L156" s="951"/>
      <c r="M156" s="951"/>
      <c r="N156" s="951"/>
      <c r="O156" s="951"/>
      <c r="P156" s="951"/>
      <c r="Q156" s="951"/>
    </row>
    <row r="157" spans="1:17" x14ac:dyDescent="0.2">
      <c r="A157" s="909"/>
      <c r="B157" s="932" t="s">
        <v>3973</v>
      </c>
      <c r="C157" s="771">
        <f t="shared" si="8"/>
        <v>0</v>
      </c>
      <c r="D157" s="853">
        <f t="shared" si="9"/>
        <v>0</v>
      </c>
      <c r="E157" s="870">
        <f t="shared" si="5"/>
        <v>0</v>
      </c>
      <c r="F157" s="909"/>
      <c r="G157" s="871">
        <f t="shared" si="6"/>
        <v>0</v>
      </c>
      <c r="H157" s="770">
        <f t="shared" ref="H157:H164" si="10">IF(E157&gt;0,0,E157*-1)</f>
        <v>0</v>
      </c>
      <c r="I157" s="909"/>
      <c r="J157" s="929"/>
      <c r="K157" s="929"/>
      <c r="L157" s="951"/>
      <c r="M157" s="951"/>
      <c r="N157" s="951"/>
      <c r="O157" s="951"/>
      <c r="P157" s="951"/>
      <c r="Q157" s="951"/>
    </row>
    <row r="158" spans="1:17" x14ac:dyDescent="0.2">
      <c r="A158" s="909"/>
      <c r="B158" s="932" t="s">
        <v>3974</v>
      </c>
      <c r="C158" s="771">
        <f t="shared" si="8"/>
        <v>0</v>
      </c>
      <c r="D158" s="853">
        <f t="shared" si="9"/>
        <v>0</v>
      </c>
      <c r="E158" s="870">
        <f t="shared" si="5"/>
        <v>0</v>
      </c>
      <c r="F158" s="909"/>
      <c r="G158" s="871">
        <f t="shared" si="6"/>
        <v>0</v>
      </c>
      <c r="H158" s="770">
        <f t="shared" si="10"/>
        <v>0</v>
      </c>
      <c r="I158" s="909"/>
      <c r="J158" s="929"/>
      <c r="K158" s="929"/>
      <c r="L158" s="951"/>
      <c r="M158" s="951"/>
      <c r="N158" s="951"/>
      <c r="O158" s="951"/>
      <c r="P158" s="951"/>
      <c r="Q158" s="951"/>
    </row>
    <row r="159" spans="1:17" x14ac:dyDescent="0.2">
      <c r="A159" s="909"/>
      <c r="B159" s="932" t="s">
        <v>3975</v>
      </c>
      <c r="C159" s="771">
        <f t="shared" si="8"/>
        <v>0</v>
      </c>
      <c r="D159" s="853">
        <f t="shared" si="9"/>
        <v>0</v>
      </c>
      <c r="E159" s="870">
        <f t="shared" si="5"/>
        <v>0</v>
      </c>
      <c r="F159" s="909"/>
      <c r="G159" s="871">
        <f t="shared" si="6"/>
        <v>0</v>
      </c>
      <c r="H159" s="770">
        <f t="shared" si="10"/>
        <v>0</v>
      </c>
      <c r="I159" s="909"/>
      <c r="J159" s="929"/>
      <c r="K159" s="929"/>
      <c r="L159" s="951"/>
      <c r="M159" s="951"/>
      <c r="N159" s="951"/>
      <c r="O159" s="951"/>
      <c r="P159" s="951"/>
      <c r="Q159" s="951"/>
    </row>
    <row r="160" spans="1:17" x14ac:dyDescent="0.2">
      <c r="A160" s="909"/>
      <c r="B160" s="932" t="s">
        <v>3976</v>
      </c>
      <c r="C160" s="771">
        <f t="shared" si="8"/>
        <v>0</v>
      </c>
      <c r="D160" s="853">
        <f t="shared" si="9"/>
        <v>0</v>
      </c>
      <c r="E160" s="870">
        <f t="shared" si="5"/>
        <v>0</v>
      </c>
      <c r="F160" s="909"/>
      <c r="G160" s="871">
        <f t="shared" si="6"/>
        <v>0</v>
      </c>
      <c r="H160" s="770">
        <f t="shared" si="10"/>
        <v>0</v>
      </c>
      <c r="I160" s="909"/>
      <c r="J160" s="929"/>
      <c r="K160" s="929"/>
      <c r="L160" s="951"/>
      <c r="M160" s="951"/>
      <c r="N160" s="951"/>
      <c r="O160" s="951"/>
      <c r="P160" s="951"/>
      <c r="Q160" s="951"/>
    </row>
    <row r="161" spans="1:17" x14ac:dyDescent="0.2">
      <c r="A161" s="909"/>
      <c r="B161" s="932" t="s">
        <v>4020</v>
      </c>
      <c r="C161" s="771">
        <f t="shared" si="8"/>
        <v>0</v>
      </c>
      <c r="D161" s="853">
        <f t="shared" si="9"/>
        <v>0</v>
      </c>
      <c r="E161" s="870">
        <f t="shared" si="5"/>
        <v>0</v>
      </c>
      <c r="F161" s="909"/>
      <c r="G161" s="871">
        <f t="shared" si="6"/>
        <v>0</v>
      </c>
      <c r="H161" s="770">
        <f t="shared" si="10"/>
        <v>0</v>
      </c>
      <c r="I161" s="909"/>
      <c r="J161" s="929"/>
      <c r="K161" s="929"/>
      <c r="L161" s="951"/>
      <c r="M161" s="951"/>
      <c r="N161" s="951"/>
      <c r="O161" s="951"/>
      <c r="P161" s="951"/>
      <c r="Q161" s="951"/>
    </row>
    <row r="162" spans="1:17" x14ac:dyDescent="0.2">
      <c r="A162" s="909"/>
      <c r="B162" s="932" t="s">
        <v>3977</v>
      </c>
      <c r="C162" s="771">
        <f t="shared" si="8"/>
        <v>0</v>
      </c>
      <c r="D162" s="853">
        <f t="shared" si="9"/>
        <v>0</v>
      </c>
      <c r="E162" s="870">
        <f t="shared" si="5"/>
        <v>0</v>
      </c>
      <c r="F162" s="909"/>
      <c r="G162" s="871">
        <f t="shared" si="6"/>
        <v>0</v>
      </c>
      <c r="H162" s="770">
        <f t="shared" si="10"/>
        <v>0</v>
      </c>
      <c r="I162" s="909"/>
      <c r="J162" s="929"/>
      <c r="K162" s="929"/>
      <c r="L162" s="951"/>
      <c r="M162" s="951"/>
      <c r="N162" s="951"/>
      <c r="O162" s="951"/>
      <c r="P162" s="951"/>
      <c r="Q162" s="951"/>
    </row>
    <row r="163" spans="1:17" x14ac:dyDescent="0.2">
      <c r="A163" s="909"/>
      <c r="B163" s="932" t="s">
        <v>3978</v>
      </c>
      <c r="C163" s="771">
        <f t="shared" si="8"/>
        <v>0</v>
      </c>
      <c r="D163" s="853">
        <f t="shared" si="9"/>
        <v>0</v>
      </c>
      <c r="E163" s="870">
        <f t="shared" si="5"/>
        <v>0</v>
      </c>
      <c r="F163" s="909"/>
      <c r="G163" s="871">
        <f t="shared" si="6"/>
        <v>0</v>
      </c>
      <c r="H163" s="770">
        <f t="shared" si="10"/>
        <v>0</v>
      </c>
      <c r="I163" s="909"/>
      <c r="J163" s="929"/>
      <c r="K163" s="929"/>
      <c r="L163" s="951"/>
      <c r="M163" s="951"/>
      <c r="N163" s="951"/>
      <c r="O163" s="951"/>
      <c r="P163" s="951"/>
      <c r="Q163" s="951"/>
    </row>
    <row r="164" spans="1:17" x14ac:dyDescent="0.2">
      <c r="A164" s="909"/>
      <c r="B164" s="932" t="s">
        <v>3979</v>
      </c>
      <c r="C164" s="771">
        <f t="shared" si="8"/>
        <v>0</v>
      </c>
      <c r="D164" s="853">
        <f t="shared" si="9"/>
        <v>0</v>
      </c>
      <c r="E164" s="870">
        <f t="shared" si="5"/>
        <v>0</v>
      </c>
      <c r="F164" s="909"/>
      <c r="G164" s="871">
        <f t="shared" si="6"/>
        <v>0</v>
      </c>
      <c r="H164" s="770">
        <f t="shared" si="10"/>
        <v>0</v>
      </c>
      <c r="I164" s="909"/>
      <c r="J164" s="929"/>
      <c r="K164" s="929"/>
      <c r="L164" s="951"/>
      <c r="M164" s="951"/>
      <c r="N164" s="951"/>
      <c r="O164" s="951"/>
      <c r="P164" s="951"/>
      <c r="Q164" s="951"/>
    </row>
    <row r="165" spans="1:17" x14ac:dyDescent="0.2">
      <c r="A165" s="909"/>
      <c r="B165" s="929" t="s">
        <v>4037</v>
      </c>
      <c r="C165" s="771">
        <f t="shared" ref="C165:C173" si="11">IF($D$44&lt;0,-$D$44*D16,0)</f>
        <v>0</v>
      </c>
      <c r="D165" s="853">
        <f t="shared" ref="D165:D173" si="12">IF($D$44&gt;0,$D$44*$D16,0)</f>
        <v>0</v>
      </c>
      <c r="E165" s="870">
        <f t="shared" si="5"/>
        <v>0</v>
      </c>
      <c r="F165" s="909"/>
      <c r="G165" s="871">
        <f t="shared" si="6"/>
        <v>0</v>
      </c>
      <c r="H165" s="853">
        <f>IF(E165&gt;0,0,-E165)</f>
        <v>0</v>
      </c>
      <c r="I165" s="909"/>
      <c r="J165" s="929"/>
      <c r="K165" s="929"/>
      <c r="L165" s="951"/>
      <c r="M165" s="951"/>
      <c r="N165" s="951"/>
      <c r="O165" s="951"/>
      <c r="P165" s="951"/>
      <c r="Q165" s="951"/>
    </row>
    <row r="166" spans="1:17" x14ac:dyDescent="0.2">
      <c r="A166" s="909"/>
      <c r="B166" s="909" t="s">
        <v>4038</v>
      </c>
      <c r="C166" s="771">
        <f t="shared" si="11"/>
        <v>0</v>
      </c>
      <c r="D166" s="853">
        <f t="shared" si="12"/>
        <v>0</v>
      </c>
      <c r="E166" s="870">
        <f t="shared" si="5"/>
        <v>0</v>
      </c>
      <c r="F166" s="909"/>
      <c r="G166" s="871">
        <f t="shared" si="6"/>
        <v>0</v>
      </c>
      <c r="H166" s="853">
        <f t="shared" ref="H166:H197" si="13">IF(E166&gt;0,0,-E166)</f>
        <v>0</v>
      </c>
      <c r="I166" s="909"/>
      <c r="J166" s="929"/>
      <c r="K166" s="929"/>
      <c r="L166" s="951"/>
      <c r="M166" s="951"/>
      <c r="N166" s="951"/>
      <c r="O166" s="951"/>
      <c r="P166" s="951"/>
      <c r="Q166" s="951"/>
    </row>
    <row r="167" spans="1:17" x14ac:dyDescent="0.2">
      <c r="A167" s="909"/>
      <c r="B167" s="909" t="s">
        <v>4039</v>
      </c>
      <c r="C167" s="771">
        <f t="shared" si="11"/>
        <v>0</v>
      </c>
      <c r="D167" s="853">
        <f t="shared" si="12"/>
        <v>0</v>
      </c>
      <c r="E167" s="870">
        <f t="shared" si="5"/>
        <v>0</v>
      </c>
      <c r="F167" s="909"/>
      <c r="G167" s="871">
        <f t="shared" si="6"/>
        <v>0</v>
      </c>
      <c r="H167" s="853">
        <f t="shared" si="13"/>
        <v>0</v>
      </c>
      <c r="I167" s="909"/>
      <c r="J167" s="929"/>
      <c r="K167" s="929"/>
      <c r="L167" s="951"/>
      <c r="M167" s="951"/>
      <c r="N167" s="951"/>
      <c r="O167" s="951"/>
      <c r="P167" s="951"/>
      <c r="Q167" s="951"/>
    </row>
    <row r="168" spans="1:17" x14ac:dyDescent="0.2">
      <c r="A168" s="909"/>
      <c r="B168" s="909" t="s">
        <v>4040</v>
      </c>
      <c r="C168" s="771">
        <f t="shared" si="11"/>
        <v>0</v>
      </c>
      <c r="D168" s="853">
        <f t="shared" si="12"/>
        <v>0</v>
      </c>
      <c r="E168" s="870">
        <f t="shared" si="5"/>
        <v>0</v>
      </c>
      <c r="F168" s="909"/>
      <c r="G168" s="871">
        <f t="shared" si="6"/>
        <v>0</v>
      </c>
      <c r="H168" s="853">
        <f t="shared" si="13"/>
        <v>0</v>
      </c>
      <c r="I168" s="909"/>
      <c r="J168" s="929"/>
      <c r="K168" s="929"/>
      <c r="L168" s="951"/>
      <c r="M168" s="951"/>
      <c r="N168" s="951"/>
      <c r="O168" s="951"/>
      <c r="P168" s="951"/>
      <c r="Q168" s="951"/>
    </row>
    <row r="169" spans="1:17" x14ac:dyDescent="0.2">
      <c r="A169" s="909"/>
      <c r="B169" s="909" t="s">
        <v>4041</v>
      </c>
      <c r="C169" s="771">
        <f t="shared" si="11"/>
        <v>0</v>
      </c>
      <c r="D169" s="853">
        <f t="shared" si="12"/>
        <v>0</v>
      </c>
      <c r="E169" s="870">
        <f t="shared" si="5"/>
        <v>0</v>
      </c>
      <c r="F169" s="909"/>
      <c r="G169" s="871">
        <f t="shared" si="6"/>
        <v>0</v>
      </c>
      <c r="H169" s="853">
        <f t="shared" si="13"/>
        <v>0</v>
      </c>
      <c r="I169" s="909"/>
      <c r="J169" s="929"/>
      <c r="K169" s="929"/>
      <c r="L169" s="951"/>
      <c r="M169" s="951"/>
      <c r="N169" s="951"/>
      <c r="O169" s="951"/>
      <c r="P169" s="951"/>
      <c r="Q169" s="951"/>
    </row>
    <row r="170" spans="1:17" x14ac:dyDescent="0.2">
      <c r="A170" s="909"/>
      <c r="B170" s="909" t="s">
        <v>4042</v>
      </c>
      <c r="C170" s="771">
        <f t="shared" si="11"/>
        <v>0</v>
      </c>
      <c r="D170" s="853">
        <f t="shared" si="12"/>
        <v>0</v>
      </c>
      <c r="E170" s="870">
        <f t="shared" si="5"/>
        <v>0</v>
      </c>
      <c r="F170" s="909"/>
      <c r="G170" s="871">
        <f t="shared" si="6"/>
        <v>0</v>
      </c>
      <c r="H170" s="853">
        <f t="shared" si="13"/>
        <v>0</v>
      </c>
      <c r="I170" s="909"/>
      <c r="J170" s="929"/>
      <c r="K170" s="929"/>
      <c r="L170" s="951"/>
      <c r="M170" s="951"/>
      <c r="N170" s="951"/>
      <c r="O170" s="951"/>
      <c r="P170" s="951"/>
      <c r="Q170" s="951"/>
    </row>
    <row r="171" spans="1:17" x14ac:dyDescent="0.2">
      <c r="A171" s="909"/>
      <c r="B171" s="909" t="s">
        <v>4043</v>
      </c>
      <c r="C171" s="771">
        <f t="shared" si="11"/>
        <v>0</v>
      </c>
      <c r="D171" s="853">
        <f t="shared" si="12"/>
        <v>0</v>
      </c>
      <c r="E171" s="870">
        <f t="shared" si="5"/>
        <v>0</v>
      </c>
      <c r="F171" s="909"/>
      <c r="G171" s="871">
        <f t="shared" si="6"/>
        <v>0</v>
      </c>
      <c r="H171" s="853">
        <f t="shared" si="13"/>
        <v>0</v>
      </c>
      <c r="I171" s="909"/>
      <c r="J171" s="929"/>
      <c r="K171" s="929"/>
      <c r="L171" s="951"/>
      <c r="M171" s="951"/>
      <c r="N171" s="951"/>
      <c r="O171" s="951"/>
      <c r="P171" s="951"/>
      <c r="Q171" s="951"/>
    </row>
    <row r="172" spans="1:17" x14ac:dyDescent="0.2">
      <c r="A172" s="909"/>
      <c r="B172" s="909" t="s">
        <v>4044</v>
      </c>
      <c r="C172" s="771">
        <f t="shared" si="11"/>
        <v>0</v>
      </c>
      <c r="D172" s="853">
        <f t="shared" si="12"/>
        <v>0</v>
      </c>
      <c r="E172" s="870">
        <f t="shared" si="5"/>
        <v>0</v>
      </c>
      <c r="F172" s="909"/>
      <c r="G172" s="871">
        <f t="shared" si="6"/>
        <v>0</v>
      </c>
      <c r="H172" s="853">
        <f t="shared" si="13"/>
        <v>0</v>
      </c>
      <c r="I172" s="909"/>
      <c r="J172" s="929"/>
      <c r="K172" s="929"/>
      <c r="L172" s="951"/>
      <c r="M172" s="951"/>
      <c r="N172" s="951"/>
      <c r="O172" s="951"/>
      <c r="P172" s="951"/>
      <c r="Q172" s="951"/>
    </row>
    <row r="173" spans="1:17" x14ac:dyDescent="0.2">
      <c r="A173" s="909"/>
      <c r="B173" s="909" t="s">
        <v>4045</v>
      </c>
      <c r="C173" s="771">
        <f t="shared" si="11"/>
        <v>0</v>
      </c>
      <c r="D173" s="853">
        <f t="shared" si="12"/>
        <v>0</v>
      </c>
      <c r="E173" s="870">
        <f t="shared" si="5"/>
        <v>0</v>
      </c>
      <c r="F173" s="909"/>
      <c r="G173" s="871">
        <f t="shared" si="6"/>
        <v>0</v>
      </c>
      <c r="H173" s="853">
        <f t="shared" si="13"/>
        <v>0</v>
      </c>
      <c r="I173" s="909"/>
      <c r="J173" s="929"/>
      <c r="K173" s="929"/>
      <c r="L173" s="951"/>
      <c r="M173" s="951"/>
      <c r="N173" s="951"/>
      <c r="O173" s="951"/>
      <c r="P173" s="951"/>
      <c r="Q173" s="951"/>
    </row>
    <row r="174" spans="1:17" x14ac:dyDescent="0.2">
      <c r="A174" s="909"/>
      <c r="B174" s="929" t="s">
        <v>3662</v>
      </c>
      <c r="C174" s="771">
        <f>IF($D$46&lt;0,-$D$46,0)</f>
        <v>0</v>
      </c>
      <c r="D174" s="853">
        <f t="shared" ref="D174:D182" si="14">IF($D$46&gt;0,$D$46*$D16,0)</f>
        <v>0</v>
      </c>
      <c r="E174" s="870">
        <f t="shared" si="5"/>
        <v>0</v>
      </c>
      <c r="F174" s="909"/>
      <c r="G174" s="871">
        <f t="shared" si="6"/>
        <v>0</v>
      </c>
      <c r="H174" s="853">
        <f t="shared" si="13"/>
        <v>0</v>
      </c>
      <c r="I174" s="909"/>
      <c r="J174" s="929"/>
      <c r="K174" s="929"/>
      <c r="L174" s="951"/>
      <c r="M174" s="951"/>
      <c r="N174" s="951"/>
      <c r="O174" s="951"/>
      <c r="P174" s="951"/>
      <c r="Q174" s="951"/>
    </row>
    <row r="175" spans="1:17" x14ac:dyDescent="0.2">
      <c r="A175" s="909"/>
      <c r="B175" s="929" t="s">
        <v>3663</v>
      </c>
      <c r="C175" s="771">
        <f t="shared" ref="C175:C182" si="15">IF($D$46&lt;0,-$D$46,0)</f>
        <v>0</v>
      </c>
      <c r="D175" s="853">
        <f t="shared" si="14"/>
        <v>0</v>
      </c>
      <c r="E175" s="870">
        <f t="shared" si="5"/>
        <v>0</v>
      </c>
      <c r="F175" s="909"/>
      <c r="G175" s="871">
        <f t="shared" si="6"/>
        <v>0</v>
      </c>
      <c r="H175" s="853">
        <f t="shared" si="13"/>
        <v>0</v>
      </c>
      <c r="I175" s="909"/>
      <c r="J175" s="929"/>
      <c r="K175" s="929"/>
      <c r="L175" s="951"/>
      <c r="M175" s="951"/>
      <c r="N175" s="951"/>
      <c r="O175" s="951"/>
      <c r="P175" s="951"/>
      <c r="Q175" s="951"/>
    </row>
    <row r="176" spans="1:17" x14ac:dyDescent="0.2">
      <c r="A176" s="909"/>
      <c r="B176" s="929" t="s">
        <v>3664</v>
      </c>
      <c r="C176" s="771">
        <f t="shared" si="15"/>
        <v>0</v>
      </c>
      <c r="D176" s="853">
        <f t="shared" si="14"/>
        <v>0</v>
      </c>
      <c r="E176" s="870">
        <f t="shared" si="5"/>
        <v>0</v>
      </c>
      <c r="F176" s="909"/>
      <c r="G176" s="871">
        <f t="shared" si="6"/>
        <v>0</v>
      </c>
      <c r="H176" s="853">
        <f t="shared" si="13"/>
        <v>0</v>
      </c>
      <c r="I176" s="909"/>
      <c r="J176" s="929"/>
      <c r="K176" s="929"/>
      <c r="L176" s="951"/>
      <c r="M176" s="951"/>
      <c r="N176" s="951"/>
      <c r="O176" s="951"/>
      <c r="P176" s="951"/>
      <c r="Q176" s="951"/>
    </row>
    <row r="177" spans="1:17" x14ac:dyDescent="0.2">
      <c r="A177" s="909"/>
      <c r="B177" s="929" t="s">
        <v>3665</v>
      </c>
      <c r="C177" s="771">
        <f t="shared" si="15"/>
        <v>0</v>
      </c>
      <c r="D177" s="853">
        <f t="shared" si="14"/>
        <v>0</v>
      </c>
      <c r="E177" s="870">
        <f t="shared" si="5"/>
        <v>0</v>
      </c>
      <c r="F177" s="909"/>
      <c r="G177" s="871">
        <f t="shared" si="6"/>
        <v>0</v>
      </c>
      <c r="H177" s="853">
        <f t="shared" si="13"/>
        <v>0</v>
      </c>
      <c r="I177" s="909"/>
      <c r="J177" s="929"/>
      <c r="K177" s="929"/>
      <c r="L177" s="951"/>
      <c r="M177" s="951"/>
      <c r="N177" s="951"/>
      <c r="O177" s="951"/>
      <c r="P177" s="951"/>
      <c r="Q177" s="951"/>
    </row>
    <row r="178" spans="1:17" x14ac:dyDescent="0.2">
      <c r="A178" s="909"/>
      <c r="B178" s="929" t="s">
        <v>3666</v>
      </c>
      <c r="C178" s="771">
        <f t="shared" si="15"/>
        <v>0</v>
      </c>
      <c r="D178" s="853">
        <f t="shared" si="14"/>
        <v>0</v>
      </c>
      <c r="E178" s="870">
        <f t="shared" si="5"/>
        <v>0</v>
      </c>
      <c r="F178" s="909"/>
      <c r="G178" s="871">
        <f t="shared" si="6"/>
        <v>0</v>
      </c>
      <c r="H178" s="853">
        <f t="shared" si="13"/>
        <v>0</v>
      </c>
      <c r="I178" s="909"/>
      <c r="J178" s="929"/>
      <c r="K178" s="929"/>
      <c r="L178" s="951"/>
      <c r="M178" s="951"/>
      <c r="N178" s="951"/>
      <c r="O178" s="951"/>
      <c r="P178" s="951"/>
      <c r="Q178" s="951"/>
    </row>
    <row r="179" spans="1:17" x14ac:dyDescent="0.2">
      <c r="A179" s="909"/>
      <c r="B179" s="929" t="s">
        <v>3667</v>
      </c>
      <c r="C179" s="771">
        <f t="shared" si="15"/>
        <v>0</v>
      </c>
      <c r="D179" s="853">
        <f t="shared" si="14"/>
        <v>0</v>
      </c>
      <c r="E179" s="870">
        <f t="shared" si="5"/>
        <v>0</v>
      </c>
      <c r="F179" s="909"/>
      <c r="G179" s="871">
        <f t="shared" si="6"/>
        <v>0</v>
      </c>
      <c r="H179" s="853">
        <f t="shared" si="13"/>
        <v>0</v>
      </c>
      <c r="I179" s="909"/>
      <c r="J179" s="929"/>
      <c r="K179" s="929"/>
      <c r="L179" s="951"/>
      <c r="M179" s="951"/>
      <c r="N179" s="951"/>
      <c r="O179" s="951"/>
      <c r="P179" s="951"/>
      <c r="Q179" s="951"/>
    </row>
    <row r="180" spans="1:17" x14ac:dyDescent="0.2">
      <c r="A180" s="909"/>
      <c r="B180" s="929" t="s">
        <v>4021</v>
      </c>
      <c r="C180" s="771">
        <f t="shared" si="15"/>
        <v>0</v>
      </c>
      <c r="D180" s="853">
        <f t="shared" si="14"/>
        <v>0</v>
      </c>
      <c r="E180" s="870">
        <f t="shared" si="5"/>
        <v>0</v>
      </c>
      <c r="F180" s="909"/>
      <c r="G180" s="871">
        <f t="shared" si="6"/>
        <v>0</v>
      </c>
      <c r="H180" s="853">
        <f t="shared" si="13"/>
        <v>0</v>
      </c>
      <c r="I180" s="909"/>
      <c r="J180" s="929"/>
      <c r="K180" s="929"/>
      <c r="L180" s="951"/>
      <c r="M180" s="951"/>
      <c r="N180" s="951"/>
      <c r="O180" s="951"/>
      <c r="P180" s="951"/>
      <c r="Q180" s="951"/>
    </row>
    <row r="181" spans="1:17" x14ac:dyDescent="0.2">
      <c r="A181" s="909"/>
      <c r="B181" s="929" t="s">
        <v>3986</v>
      </c>
      <c r="C181" s="771">
        <f t="shared" si="15"/>
        <v>0</v>
      </c>
      <c r="D181" s="853">
        <f t="shared" si="14"/>
        <v>0</v>
      </c>
      <c r="E181" s="870">
        <f t="shared" si="5"/>
        <v>0</v>
      </c>
      <c r="F181" s="909"/>
      <c r="G181" s="871">
        <f t="shared" si="6"/>
        <v>0</v>
      </c>
      <c r="H181" s="853">
        <f t="shared" si="13"/>
        <v>0</v>
      </c>
      <c r="I181" s="929"/>
      <c r="J181" s="909"/>
      <c r="K181" s="909"/>
    </row>
    <row r="182" spans="1:17" x14ac:dyDescent="0.2">
      <c r="A182" s="909"/>
      <c r="B182" s="929" t="s">
        <v>3670</v>
      </c>
      <c r="C182" s="771">
        <f t="shared" si="15"/>
        <v>0</v>
      </c>
      <c r="D182" s="853">
        <f t="shared" si="14"/>
        <v>0</v>
      </c>
      <c r="E182" s="870">
        <f t="shared" si="5"/>
        <v>0</v>
      </c>
      <c r="F182" s="909"/>
      <c r="G182" s="871">
        <f t="shared" si="6"/>
        <v>0</v>
      </c>
      <c r="H182" s="853">
        <f t="shared" si="13"/>
        <v>0</v>
      </c>
      <c r="I182" s="929"/>
      <c r="J182" s="909"/>
      <c r="K182" s="909"/>
    </row>
    <row r="183" spans="1:17" x14ac:dyDescent="0.2">
      <c r="A183" s="909"/>
      <c r="B183" s="932" t="s">
        <v>3596</v>
      </c>
      <c r="C183" s="771">
        <f>IF(D36&gt;0,D36*D25,0)</f>
        <v>0</v>
      </c>
      <c r="D183" s="853">
        <v>0</v>
      </c>
      <c r="E183" s="870">
        <f t="shared" si="5"/>
        <v>0</v>
      </c>
      <c r="F183" s="909"/>
      <c r="G183" s="871">
        <f t="shared" si="6"/>
        <v>0</v>
      </c>
      <c r="H183" s="853">
        <f t="shared" si="13"/>
        <v>0</v>
      </c>
      <c r="I183" s="996"/>
      <c r="J183" s="909"/>
      <c r="K183" s="909"/>
    </row>
    <row r="184" spans="1:17" x14ac:dyDescent="0.2">
      <c r="A184" s="909"/>
      <c r="B184" s="932" t="s">
        <v>3597</v>
      </c>
      <c r="C184" s="771">
        <f>IF(D37&gt;0,D37*D25,0)</f>
        <v>0</v>
      </c>
      <c r="D184" s="853">
        <v>0</v>
      </c>
      <c r="E184" s="870">
        <f t="shared" si="5"/>
        <v>0</v>
      </c>
      <c r="F184" s="909"/>
      <c r="G184" s="871">
        <f t="shared" si="6"/>
        <v>0</v>
      </c>
      <c r="H184" s="853">
        <f t="shared" si="13"/>
        <v>0</v>
      </c>
      <c r="I184" s="996"/>
      <c r="J184" s="909"/>
      <c r="K184" s="909"/>
    </row>
    <row r="185" spans="1:17" x14ac:dyDescent="0.2">
      <c r="A185" s="909"/>
      <c r="B185" s="932" t="s">
        <v>3599</v>
      </c>
      <c r="C185" s="771">
        <f>IF(D38&lt;0,-D38,0)</f>
        <v>0</v>
      </c>
      <c r="D185" s="853">
        <f>IF(D36&lt;0,-D36,0)*D25</f>
        <v>0</v>
      </c>
      <c r="E185" s="870">
        <f t="shared" si="5"/>
        <v>0</v>
      </c>
      <c r="F185" s="909"/>
      <c r="G185" s="871">
        <f t="shared" si="6"/>
        <v>0</v>
      </c>
      <c r="H185" s="853">
        <f t="shared" si="13"/>
        <v>0</v>
      </c>
      <c r="I185" s="909"/>
      <c r="J185" s="909"/>
      <c r="K185" s="909"/>
    </row>
    <row r="186" spans="1:17" x14ac:dyDescent="0.2">
      <c r="A186" s="909"/>
      <c r="B186" s="932" t="s">
        <v>3601</v>
      </c>
      <c r="C186" s="771">
        <f>IF(D39&lt;0,-D39,0)</f>
        <v>0</v>
      </c>
      <c r="D186" s="853">
        <f>IF(D37&lt;0,-D37,0)*D25</f>
        <v>0</v>
      </c>
      <c r="E186" s="870">
        <f t="shared" si="5"/>
        <v>0</v>
      </c>
      <c r="F186" s="909"/>
      <c r="G186" s="871">
        <f t="shared" si="6"/>
        <v>0</v>
      </c>
      <c r="H186" s="853">
        <f t="shared" si="13"/>
        <v>0</v>
      </c>
      <c r="I186" s="909"/>
      <c r="J186" s="909"/>
      <c r="K186" s="909"/>
    </row>
    <row r="187" spans="1:17" x14ac:dyDescent="0.2">
      <c r="A187" s="909"/>
      <c r="B187" s="932" t="s">
        <v>4095</v>
      </c>
      <c r="C187" s="771">
        <f>IF(D44&gt;0,D44*D25,0)</f>
        <v>0</v>
      </c>
      <c r="D187" s="853">
        <f>IF(D44&lt;0,(D44*D25),0)</f>
        <v>0</v>
      </c>
      <c r="E187" s="870">
        <f t="shared" si="5"/>
        <v>0</v>
      </c>
      <c r="F187" s="909"/>
      <c r="G187" s="871">
        <f t="shared" si="6"/>
        <v>0</v>
      </c>
      <c r="H187" s="853">
        <f t="shared" si="13"/>
        <v>0</v>
      </c>
      <c r="I187" s="909"/>
      <c r="J187" s="909"/>
      <c r="K187" s="909"/>
    </row>
    <row r="188" spans="1:17" ht="25.5" x14ac:dyDescent="0.2">
      <c r="A188" s="909"/>
      <c r="B188" s="932" t="s">
        <v>3676</v>
      </c>
      <c r="C188" s="771">
        <f>IF(D46&gt;0,D46*D25,0)</f>
        <v>0</v>
      </c>
      <c r="D188" s="853">
        <f>IF(D46&lt;0,D46*D25,0)</f>
        <v>0</v>
      </c>
      <c r="E188" s="870">
        <f t="shared" si="5"/>
        <v>0</v>
      </c>
      <c r="F188" s="909"/>
      <c r="G188" s="871">
        <f t="shared" si="6"/>
        <v>0</v>
      </c>
      <c r="H188" s="853">
        <f t="shared" si="13"/>
        <v>0</v>
      </c>
      <c r="I188" s="909"/>
      <c r="J188" s="909"/>
      <c r="K188" s="909"/>
    </row>
    <row r="189" spans="1:17" ht="25.5" x14ac:dyDescent="0.2">
      <c r="A189" s="909"/>
      <c r="B189" s="1168" t="s">
        <v>4096</v>
      </c>
      <c r="C189" s="771"/>
      <c r="D189" s="1167">
        <f>D$33*D16</f>
        <v>0</v>
      </c>
      <c r="E189" s="870">
        <f t="shared" si="5"/>
        <v>0</v>
      </c>
      <c r="F189" s="909"/>
      <c r="G189" s="871">
        <f t="shared" si="6"/>
        <v>0</v>
      </c>
      <c r="H189" s="853">
        <f t="shared" si="13"/>
        <v>0</v>
      </c>
      <c r="I189" s="909"/>
      <c r="J189" s="909"/>
      <c r="K189" s="909"/>
    </row>
    <row r="190" spans="1:17" x14ac:dyDescent="0.2">
      <c r="A190" s="909"/>
      <c r="B190" s="1168" t="s">
        <v>4097</v>
      </c>
      <c r="C190" s="771"/>
      <c r="D190" s="1167">
        <f t="shared" ref="D190:D197" si="16">D$33*D17</f>
        <v>0</v>
      </c>
      <c r="E190" s="870">
        <f t="shared" si="5"/>
        <v>0</v>
      </c>
      <c r="F190" s="909"/>
      <c r="G190" s="871">
        <f t="shared" si="6"/>
        <v>0</v>
      </c>
      <c r="H190" s="853">
        <f t="shared" si="13"/>
        <v>0</v>
      </c>
      <c r="I190" s="909"/>
      <c r="J190" s="909"/>
      <c r="K190" s="909"/>
    </row>
    <row r="191" spans="1:17" x14ac:dyDescent="0.2">
      <c r="A191" s="909"/>
      <c r="B191" s="1168" t="s">
        <v>4098</v>
      </c>
      <c r="C191" s="771"/>
      <c r="D191" s="1167">
        <f t="shared" si="16"/>
        <v>0</v>
      </c>
      <c r="E191" s="870">
        <f t="shared" si="5"/>
        <v>0</v>
      </c>
      <c r="F191" s="909"/>
      <c r="G191" s="871">
        <f t="shared" si="6"/>
        <v>0</v>
      </c>
      <c r="H191" s="853">
        <f t="shared" si="13"/>
        <v>0</v>
      </c>
      <c r="I191" s="909"/>
      <c r="J191" s="909"/>
      <c r="K191" s="909"/>
    </row>
    <row r="192" spans="1:17" ht="25.5" x14ac:dyDescent="0.2">
      <c r="A192" s="909"/>
      <c r="B192" s="1168" t="s">
        <v>4099</v>
      </c>
      <c r="C192" s="771"/>
      <c r="D192" s="1167">
        <f t="shared" si="16"/>
        <v>0</v>
      </c>
      <c r="E192" s="870">
        <f t="shared" si="5"/>
        <v>0</v>
      </c>
      <c r="F192" s="909"/>
      <c r="G192" s="871">
        <f t="shared" si="6"/>
        <v>0</v>
      </c>
      <c r="H192" s="853">
        <f t="shared" si="13"/>
        <v>0</v>
      </c>
      <c r="I192" s="909"/>
      <c r="J192" s="909"/>
      <c r="K192" s="909"/>
    </row>
    <row r="193" spans="1:11" ht="25.5" x14ac:dyDescent="0.2">
      <c r="A193" s="909"/>
      <c r="B193" s="1168" t="s">
        <v>4100</v>
      </c>
      <c r="C193" s="771"/>
      <c r="D193" s="1167">
        <f t="shared" si="16"/>
        <v>0</v>
      </c>
      <c r="E193" s="870">
        <f t="shared" si="5"/>
        <v>0</v>
      </c>
      <c r="F193" s="909"/>
      <c r="G193" s="871">
        <f t="shared" si="6"/>
        <v>0</v>
      </c>
      <c r="H193" s="853">
        <f t="shared" si="13"/>
        <v>0</v>
      </c>
      <c r="I193" s="909"/>
      <c r="J193" s="909"/>
      <c r="K193" s="909"/>
    </row>
    <row r="194" spans="1:11" x14ac:dyDescent="0.2">
      <c r="A194" s="909"/>
      <c r="B194" s="1168" t="s">
        <v>4101</v>
      </c>
      <c r="C194" s="771"/>
      <c r="D194" s="1167">
        <f t="shared" si="16"/>
        <v>0</v>
      </c>
      <c r="E194" s="870">
        <f t="shared" si="5"/>
        <v>0</v>
      </c>
      <c r="F194" s="909"/>
      <c r="G194" s="871">
        <f t="shared" si="6"/>
        <v>0</v>
      </c>
      <c r="H194" s="853">
        <f t="shared" si="13"/>
        <v>0</v>
      </c>
      <c r="I194" s="909"/>
      <c r="J194" s="909"/>
      <c r="K194" s="909"/>
    </row>
    <row r="195" spans="1:11" ht="25.5" x14ac:dyDescent="0.2">
      <c r="A195" s="909"/>
      <c r="B195" s="1168" t="s">
        <v>4102</v>
      </c>
      <c r="C195" s="771"/>
      <c r="D195" s="1167">
        <f t="shared" si="16"/>
        <v>0</v>
      </c>
      <c r="E195" s="870">
        <f t="shared" si="5"/>
        <v>0</v>
      </c>
      <c r="F195" s="909"/>
      <c r="G195" s="871">
        <f t="shared" si="6"/>
        <v>0</v>
      </c>
      <c r="H195" s="853">
        <f t="shared" si="13"/>
        <v>0</v>
      </c>
      <c r="I195" s="909"/>
      <c r="J195" s="909"/>
      <c r="K195" s="909"/>
    </row>
    <row r="196" spans="1:11" x14ac:dyDescent="0.2">
      <c r="A196" s="909"/>
      <c r="B196" s="1168" t="s">
        <v>4103</v>
      </c>
      <c r="C196" s="771"/>
      <c r="D196" s="1167">
        <f t="shared" si="16"/>
        <v>0</v>
      </c>
      <c r="E196" s="870">
        <f t="shared" si="5"/>
        <v>0</v>
      </c>
      <c r="F196" s="909"/>
      <c r="G196" s="871">
        <f t="shared" si="6"/>
        <v>0</v>
      </c>
      <c r="H196" s="853">
        <f t="shared" si="13"/>
        <v>0</v>
      </c>
      <c r="I196" s="909"/>
      <c r="J196" s="909"/>
      <c r="K196" s="909"/>
    </row>
    <row r="197" spans="1:11" x14ac:dyDescent="0.2">
      <c r="A197" s="909"/>
      <c r="B197" s="1168" t="s">
        <v>4104</v>
      </c>
      <c r="C197" s="771"/>
      <c r="D197" s="1167">
        <f t="shared" si="16"/>
        <v>0</v>
      </c>
      <c r="E197" s="870">
        <f t="shared" si="5"/>
        <v>0</v>
      </c>
      <c r="F197" s="909"/>
      <c r="G197" s="871">
        <f t="shared" si="6"/>
        <v>0</v>
      </c>
      <c r="H197" s="853">
        <f t="shared" si="13"/>
        <v>0</v>
      </c>
      <c r="I197" s="909"/>
      <c r="J197" s="909"/>
      <c r="K197" s="909"/>
    </row>
    <row r="198" spans="1:11" x14ac:dyDescent="0.2">
      <c r="A198" s="909"/>
      <c r="B198" s="909"/>
      <c r="C198" s="946">
        <f>SUM(C154:C197)</f>
        <v>0</v>
      </c>
      <c r="D198" s="946">
        <f t="shared" ref="D198:E198" si="17">SUM(D154:D197)</f>
        <v>0</v>
      </c>
      <c r="E198" s="946">
        <f t="shared" si="17"/>
        <v>0</v>
      </c>
      <c r="F198" s="940"/>
      <c r="G198" s="946">
        <f t="shared" ref="G198:H198" si="18">SUM(G154:G197)</f>
        <v>0</v>
      </c>
      <c r="H198" s="946">
        <f t="shared" si="18"/>
        <v>0</v>
      </c>
      <c r="I198" s="909"/>
      <c r="J198" s="909"/>
      <c r="K198" s="909"/>
    </row>
    <row r="199" spans="1:11" x14ac:dyDescent="0.2">
      <c r="A199" s="909"/>
      <c r="B199" s="909"/>
      <c r="C199" s="909"/>
      <c r="D199" s="909"/>
      <c r="E199" s="909"/>
      <c r="F199" s="909"/>
      <c r="G199" s="909"/>
      <c r="H199" s="909"/>
      <c r="I199" s="909"/>
      <c r="J199" s="909"/>
      <c r="K199" s="909"/>
    </row>
    <row r="200" spans="1:11" x14ac:dyDescent="0.2">
      <c r="B200" s="924"/>
      <c r="C200" s="925"/>
      <c r="D200" s="924"/>
    </row>
    <row r="201" spans="1:11" x14ac:dyDescent="0.2">
      <c r="B201" s="925"/>
      <c r="C201" s="925"/>
      <c r="G201" s="924"/>
    </row>
    <row r="203" spans="1:11" x14ac:dyDescent="0.2">
      <c r="C203" s="925"/>
      <c r="D203" s="925"/>
    </row>
  </sheetData>
  <sheetProtection algorithmName="SHA-512" hashValue="sD+/Ejx9b7epEMacyVFR4RXAgRtlRzoqCLxu8Q6HEhz6HW4U2l+reRSYTyA7HoPghwylUyyIgqHA9VGsTqnLZQ==" saltValue="41A7eflJmEu6ba3Ck3T1cw==" spinCount="100000" sheet="1" objects="1" scenarios="1"/>
  <mergeCells count="15">
    <mergeCell ref="G151:H151"/>
    <mergeCell ref="A1:C1"/>
    <mergeCell ref="A4:C4"/>
    <mergeCell ref="B7:L7"/>
    <mergeCell ref="B28:E28"/>
    <mergeCell ref="B36:C36"/>
    <mergeCell ref="F36:K36"/>
    <mergeCell ref="B44:C44"/>
    <mergeCell ref="B46:C46"/>
    <mergeCell ref="B37:C37"/>
    <mergeCell ref="F37:K37"/>
    <mergeCell ref="B38:C38"/>
    <mergeCell ref="F38:K38"/>
    <mergeCell ref="B39:C39"/>
    <mergeCell ref="F39:K39"/>
  </mergeCells>
  <conditionalFormatting sqref="M51:M53 M34:M40">
    <cfRule type="expression" dxfId="5" priority="6">
      <formula>#REF!=2</formula>
    </cfRule>
  </conditionalFormatting>
  <conditionalFormatting sqref="M41">
    <cfRule type="expression" dxfId="4" priority="5">
      <formula>#REF!=2</formula>
    </cfRule>
  </conditionalFormatting>
  <conditionalFormatting sqref="M42">
    <cfRule type="expression" dxfId="3" priority="4">
      <formula>#REF!=2</formula>
    </cfRule>
  </conditionalFormatting>
  <conditionalFormatting sqref="M43 M45:M48">
    <cfRule type="expression" dxfId="2" priority="3">
      <formula>#REF!=2</formula>
    </cfRule>
  </conditionalFormatting>
  <conditionalFormatting sqref="M49">
    <cfRule type="expression" dxfId="1" priority="2">
      <formula>#REF!=2</formula>
    </cfRule>
  </conditionalFormatting>
  <conditionalFormatting sqref="M50">
    <cfRule type="expression" dxfId="0" priority="1">
      <formula>#REF!=2</formula>
    </cfRule>
  </conditionalFormatting>
  <pageMargins left="0.7" right="0.7" top="0.75" bottom="0.75" header="0.3" footer="0.3"/>
  <pageSetup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61"/>
  <sheetViews>
    <sheetView topLeftCell="A17" zoomScale="90" zoomScaleNormal="90" workbookViewId="0">
      <selection activeCell="D20" sqref="D20"/>
    </sheetView>
  </sheetViews>
  <sheetFormatPr defaultColWidth="9.140625" defaultRowHeight="15" x14ac:dyDescent="0.25"/>
  <cols>
    <col min="1" max="1" width="62.7109375" style="1074" customWidth="1"/>
    <col min="2" max="2" width="27.5703125" style="1073" bestFit="1" customWidth="1"/>
    <col min="3" max="3" width="10.5703125" style="1074" bestFit="1" customWidth="1"/>
    <col min="4" max="4" width="14.140625" style="1074" customWidth="1"/>
    <col min="5" max="5" width="14.28515625" style="1074" bestFit="1" customWidth="1"/>
    <col min="6" max="6" width="12.140625" style="1074" bestFit="1" customWidth="1"/>
    <col min="7" max="7" width="9.140625" style="1074"/>
    <col min="8" max="8" width="18" style="1074" bestFit="1" customWidth="1"/>
    <col min="9" max="9" width="0" style="1074" hidden="1" customWidth="1"/>
    <col min="10" max="16384" width="9.140625" style="1074"/>
  </cols>
  <sheetData>
    <row r="1" spans="1:8" x14ac:dyDescent="0.25">
      <c r="A1" s="1072"/>
    </row>
    <row r="2" spans="1:8" hidden="1" x14ac:dyDescent="0.25">
      <c r="A2" s="1074" t="s">
        <v>3989</v>
      </c>
      <c r="B2" s="1073">
        <v>1640551</v>
      </c>
      <c r="C2" s="1074" t="s">
        <v>3990</v>
      </c>
    </row>
    <row r="3" spans="1:8" hidden="1" x14ac:dyDescent="0.25">
      <c r="B3" s="1073">
        <f>4251807*C7</f>
        <v>212590</v>
      </c>
      <c r="E3" s="1075">
        <v>5.0000000000000002E-5</v>
      </c>
    </row>
    <row r="4" spans="1:8" hidden="1" x14ac:dyDescent="0.25">
      <c r="E4" s="1075"/>
      <c r="H4" s="1073"/>
    </row>
    <row r="5" spans="1:8" x14ac:dyDescent="0.25">
      <c r="B5" s="1669" t="s">
        <v>3991</v>
      </c>
      <c r="C5" s="1669"/>
      <c r="D5" s="1669"/>
      <c r="E5" s="1669"/>
      <c r="H5" s="1073"/>
    </row>
    <row r="6" spans="1:8" x14ac:dyDescent="0.25">
      <c r="B6" s="1073" t="s">
        <v>3992</v>
      </c>
      <c r="C6" s="1074">
        <v>2.3223349021710099E-3</v>
      </c>
      <c r="D6" s="1074" t="s">
        <v>3993</v>
      </c>
      <c r="E6" s="1075"/>
      <c r="H6" s="1073"/>
    </row>
    <row r="7" spans="1:8" x14ac:dyDescent="0.25">
      <c r="B7" s="1073" t="s">
        <v>3994</v>
      </c>
      <c r="C7" s="1074">
        <f>0.05</f>
        <v>0.05</v>
      </c>
      <c r="E7" s="686"/>
      <c r="H7" s="1073"/>
    </row>
    <row r="8" spans="1:8" x14ac:dyDescent="0.25">
      <c r="B8" s="1073" t="s">
        <v>3994</v>
      </c>
      <c r="C8" s="1074">
        <v>0.45</v>
      </c>
      <c r="E8" s="1075"/>
      <c r="H8" s="1073"/>
    </row>
    <row r="9" spans="1:8" x14ac:dyDescent="0.25">
      <c r="A9" s="1076" t="s">
        <v>4017</v>
      </c>
      <c r="B9" s="1077"/>
    </row>
    <row r="10" spans="1:8" x14ac:dyDescent="0.25">
      <c r="A10" s="1076" t="s">
        <v>3995</v>
      </c>
      <c r="B10" s="1077"/>
    </row>
    <row r="11" spans="1:8" x14ac:dyDescent="0.25">
      <c r="A11" s="1078" t="s">
        <v>3996</v>
      </c>
      <c r="B11" s="1077">
        <f>1730233169*C7*C6</f>
        <v>200909</v>
      </c>
    </row>
    <row r="12" spans="1:8" x14ac:dyDescent="0.25">
      <c r="A12" s="1078" t="s">
        <v>3997</v>
      </c>
      <c r="B12" s="1077">
        <f>1349102482*C6*C7*C8*8</f>
        <v>563952</v>
      </c>
    </row>
    <row r="13" spans="1:8" x14ac:dyDescent="0.25">
      <c r="A13" s="1078" t="s">
        <v>3998</v>
      </c>
      <c r="B13" s="1077">
        <f>-482796535*C6*C7</f>
        <v>-56061</v>
      </c>
      <c r="E13" s="1079"/>
    </row>
    <row r="14" spans="1:8" x14ac:dyDescent="0.25">
      <c r="A14" s="1078" t="s">
        <v>3999</v>
      </c>
      <c r="B14" s="1077">
        <f>-119874189*C6*C7*C8</f>
        <v>-6264</v>
      </c>
      <c r="E14" s="1080"/>
    </row>
    <row r="15" spans="1:8" x14ac:dyDescent="0.25">
      <c r="A15" s="1078" t="s">
        <v>4000</v>
      </c>
      <c r="B15" s="1077">
        <f>8760448396*C7*C8*C6</f>
        <v>457756</v>
      </c>
      <c r="E15" s="1080"/>
    </row>
    <row r="16" spans="1:8" x14ac:dyDescent="0.25">
      <c r="A16" s="1078" t="s">
        <v>4001</v>
      </c>
      <c r="B16" s="1077">
        <f>-864083622*$C$6*$C$8*0.086*10</f>
        <v>-776590</v>
      </c>
    </row>
    <row r="17" spans="1:9" x14ac:dyDescent="0.25">
      <c r="A17" s="1076" t="s">
        <v>4002</v>
      </c>
      <c r="B17" s="1077">
        <f>SUM(B11:B16)</f>
        <v>383702</v>
      </c>
    </row>
    <row r="18" spans="1:9" x14ac:dyDescent="0.25">
      <c r="A18" s="1076" t="s">
        <v>4003</v>
      </c>
      <c r="B18" s="1077">
        <f>34204505523*C6*C7*C8</f>
        <v>1787272</v>
      </c>
    </row>
    <row r="19" spans="1:9" x14ac:dyDescent="0.25">
      <c r="A19" s="1076" t="s">
        <v>4004</v>
      </c>
      <c r="B19" s="1077">
        <f>SUM(B17:B18)</f>
        <v>2170974</v>
      </c>
    </row>
    <row r="20" spans="1:9" x14ac:dyDescent="0.25">
      <c r="A20" s="1078"/>
      <c r="B20" s="1077"/>
    </row>
    <row r="21" spans="1:9" x14ac:dyDescent="0.25">
      <c r="A21" s="1076" t="s">
        <v>4005</v>
      </c>
      <c r="B21" s="1077"/>
    </row>
    <row r="22" spans="1:9" x14ac:dyDescent="0.25">
      <c r="A22" s="1078" t="s">
        <v>4006</v>
      </c>
      <c r="B22" s="1077">
        <f>880612500*C6*C8</f>
        <v>920285</v>
      </c>
    </row>
    <row r="23" spans="1:9" x14ac:dyDescent="0.25">
      <c r="A23" s="1078" t="s">
        <v>4007</v>
      </c>
      <c r="B23" s="1077">
        <f>7878692*C8*C6</f>
        <v>8234</v>
      </c>
    </row>
    <row r="24" spans="1:9" x14ac:dyDescent="0.25">
      <c r="A24" s="1078" t="s">
        <v>4008</v>
      </c>
      <c r="B24" s="1077">
        <f>B16</f>
        <v>-776590</v>
      </c>
    </row>
    <row r="25" spans="1:9" x14ac:dyDescent="0.25">
      <c r="A25" s="1078" t="s">
        <v>4009</v>
      </c>
      <c r="B25" s="1077">
        <f>-518980*C6*0.15</f>
        <v>-181</v>
      </c>
    </row>
    <row r="26" spans="1:9" x14ac:dyDescent="0.25">
      <c r="A26" s="1076" t="s">
        <v>4010</v>
      </c>
      <c r="B26" s="1077">
        <f>SUM(B22:B25)</f>
        <v>151748</v>
      </c>
    </row>
    <row r="27" spans="1:9" x14ac:dyDescent="0.25">
      <c r="A27" s="1076" t="s">
        <v>4011</v>
      </c>
      <c r="B27" s="1077">
        <f>1050012433*C6*C7*C8*10</f>
        <v>548658</v>
      </c>
    </row>
    <row r="28" spans="1:9" x14ac:dyDescent="0.25">
      <c r="A28" s="1076" t="s">
        <v>4012</v>
      </c>
      <c r="B28" s="1077">
        <f>SUM(B26:B27)</f>
        <v>700406</v>
      </c>
    </row>
    <row r="29" spans="1:9" x14ac:dyDescent="0.25">
      <c r="A29" s="1076"/>
      <c r="B29" s="1077"/>
    </row>
    <row r="30" spans="1:9" x14ac:dyDescent="0.25">
      <c r="A30" s="1076" t="s">
        <v>4013</v>
      </c>
      <c r="B30" s="1077">
        <f>B19-B28</f>
        <v>1470568</v>
      </c>
    </row>
    <row r="31" spans="1:9" x14ac:dyDescent="0.25">
      <c r="A31" s="1078"/>
      <c r="B31" s="1077"/>
      <c r="I31" s="1073">
        <f>ROUND(12184938*C6*C8*C7,0)</f>
        <v>637</v>
      </c>
    </row>
    <row r="32" spans="1:9" x14ac:dyDescent="0.25">
      <c r="A32" s="1076" t="s">
        <v>4014</v>
      </c>
      <c r="B32" s="1081">
        <f>B28/B19</f>
        <v>0.3226</v>
      </c>
    </row>
    <row r="33" spans="1:7" x14ac:dyDescent="0.25">
      <c r="A33" s="1076" t="s">
        <v>4015</v>
      </c>
      <c r="B33" s="1077">
        <v>12937340</v>
      </c>
    </row>
    <row r="34" spans="1:7" x14ac:dyDescent="0.25">
      <c r="A34" s="1076" t="s">
        <v>4016</v>
      </c>
      <c r="B34" s="1081">
        <f>B30/B33</f>
        <v>0.1137</v>
      </c>
    </row>
    <row r="36" spans="1:7" x14ac:dyDescent="0.25">
      <c r="A36" s="1082">
        <v>2018</v>
      </c>
      <c r="B36" s="1083"/>
      <c r="E36" s="1670" t="s">
        <v>4018</v>
      </c>
      <c r="F36" s="1671"/>
      <c r="G36" s="1671"/>
    </row>
    <row r="37" spans="1:7" x14ac:dyDescent="0.25">
      <c r="A37" s="1084" t="s">
        <v>3995</v>
      </c>
      <c r="B37" s="1083"/>
      <c r="D37" s="1075"/>
      <c r="E37" s="1071"/>
      <c r="F37" s="1073">
        <f>11392332878*C6*C7*C8</f>
        <v>595278</v>
      </c>
    </row>
    <row r="38" spans="1:7" x14ac:dyDescent="0.25">
      <c r="A38" s="1085" t="s">
        <v>3996</v>
      </c>
      <c r="B38" s="1083">
        <f>2650983801*C6*C7</f>
        <v>307824</v>
      </c>
      <c r="C38" s="1086"/>
      <c r="E38" s="1071"/>
      <c r="F38" s="1071"/>
    </row>
    <row r="39" spans="1:7" x14ac:dyDescent="0.25">
      <c r="A39" s="1085" t="s">
        <v>3997</v>
      </c>
      <c r="B39" s="1083">
        <f>1332873995*C6*C8*C7*8</f>
        <v>557168</v>
      </c>
      <c r="C39" s="1086"/>
      <c r="D39" s="1087"/>
      <c r="E39" s="1071">
        <v>2019</v>
      </c>
      <c r="F39" s="1073">
        <f>2279075824*$C$6*$C$7*$C$8</f>
        <v>119087</v>
      </c>
    </row>
    <row r="40" spans="1:7" x14ac:dyDescent="0.25">
      <c r="A40" s="1085" t="s">
        <v>3998</v>
      </c>
      <c r="B40" s="1083">
        <v>0</v>
      </c>
      <c r="C40" s="1086"/>
      <c r="E40" s="1071">
        <v>2020</v>
      </c>
      <c r="F40" s="1073">
        <f>2279075824*$C$6*$C$7*$C$8</f>
        <v>119087</v>
      </c>
    </row>
    <row r="41" spans="1:7" x14ac:dyDescent="0.25">
      <c r="A41" s="1085" t="s">
        <v>3999</v>
      </c>
      <c r="B41" s="1083">
        <f>-2350861287*C7*C8*C6</f>
        <v>-122838</v>
      </c>
      <c r="C41" s="1086"/>
      <c r="E41" s="1071">
        <v>2021</v>
      </c>
      <c r="F41" s="1073">
        <f>2279075824*$C$6*$C$7*$C$8</f>
        <v>119087</v>
      </c>
    </row>
    <row r="42" spans="1:7" x14ac:dyDescent="0.25">
      <c r="A42" s="1085" t="s">
        <v>4000</v>
      </c>
      <c r="B42" s="1083">
        <f>-9029286652*C8*C7*C6</f>
        <v>-471803</v>
      </c>
      <c r="C42" s="1088"/>
      <c r="E42" s="1071">
        <v>2022</v>
      </c>
      <c r="F42" s="1073">
        <f>2279075824*$C$6*$C$7*$C$8</f>
        <v>119087</v>
      </c>
    </row>
    <row r="43" spans="1:7" x14ac:dyDescent="0.25">
      <c r="A43" s="1085" t="s">
        <v>4001</v>
      </c>
      <c r="B43" s="1089">
        <f>-9029286652*C6*C8*0.086</f>
        <v>-811501</v>
      </c>
      <c r="C43" s="1088"/>
      <c r="E43" s="1071">
        <v>2023</v>
      </c>
      <c r="F43" s="1073">
        <f>2276029582*$C$6*$C$7*$C$8</f>
        <v>118928</v>
      </c>
    </row>
    <row r="44" spans="1:7" x14ac:dyDescent="0.25">
      <c r="A44" s="1084" t="s">
        <v>4002</v>
      </c>
      <c r="B44" s="1090">
        <f>SUM(B38:B43)</f>
        <v>-541150</v>
      </c>
      <c r="C44" s="1091"/>
      <c r="D44" s="1091"/>
    </row>
    <row r="45" spans="1:7" x14ac:dyDescent="0.25">
      <c r="A45" s="1084" t="s">
        <v>4003</v>
      </c>
      <c r="B45" s="1089">
        <f>B19</f>
        <v>2170974</v>
      </c>
      <c r="C45" s="1088"/>
      <c r="D45" s="1091"/>
    </row>
    <row r="46" spans="1:7" ht="15.75" thickBot="1" x14ac:dyDescent="0.3">
      <c r="A46" s="1084" t="s">
        <v>4004</v>
      </c>
      <c r="B46" s="1092">
        <f>B44+B45</f>
        <v>1629824</v>
      </c>
      <c r="C46" s="1091"/>
      <c r="D46" s="1091"/>
    </row>
    <row r="47" spans="1:7" ht="15.75" thickTop="1" x14ac:dyDescent="0.25">
      <c r="A47" s="1085"/>
      <c r="B47" s="1083"/>
      <c r="C47" s="1088"/>
      <c r="D47" s="1093"/>
    </row>
    <row r="48" spans="1:7" x14ac:dyDescent="0.25">
      <c r="A48" s="1084" t="s">
        <v>4005</v>
      </c>
      <c r="B48" s="1083"/>
      <c r="C48" s="1088"/>
      <c r="D48" s="1093"/>
    </row>
    <row r="49" spans="1:5" x14ac:dyDescent="0.25">
      <c r="A49" s="1085" t="s">
        <v>4006</v>
      </c>
      <c r="B49" s="1083">
        <f>950812690*C6*C8</f>
        <v>993647</v>
      </c>
      <c r="C49" s="1094"/>
      <c r="D49" s="1091"/>
      <c r="E49" s="1080"/>
    </row>
    <row r="50" spans="1:5" x14ac:dyDescent="0.25">
      <c r="A50" s="1085" t="s">
        <v>4007</v>
      </c>
      <c r="B50" s="1083">
        <f>94131980*C6*C8</f>
        <v>98373</v>
      </c>
      <c r="C50" s="1088"/>
      <c r="D50" s="1091"/>
    </row>
    <row r="51" spans="1:5" x14ac:dyDescent="0.25">
      <c r="A51" s="1085" t="s">
        <v>4008</v>
      </c>
      <c r="B51" s="1083">
        <f>B43</f>
        <v>-811501</v>
      </c>
      <c r="C51" s="1088"/>
      <c r="D51" s="1091"/>
    </row>
    <row r="52" spans="1:5" x14ac:dyDescent="0.25">
      <c r="A52" s="1085" t="s">
        <v>4009</v>
      </c>
      <c r="B52" s="1089">
        <f>ROUND(-489904*C6*0.15,0)+1</f>
        <v>-170</v>
      </c>
      <c r="C52" s="1088"/>
      <c r="D52" s="1091"/>
    </row>
    <row r="53" spans="1:5" x14ac:dyDescent="0.25">
      <c r="A53" s="1084" t="s">
        <v>4010</v>
      </c>
      <c r="B53" s="1083">
        <f>SUM(B49:B52)</f>
        <v>280349</v>
      </c>
      <c r="C53" s="1095"/>
      <c r="D53" s="1091"/>
    </row>
    <row r="54" spans="1:5" x14ac:dyDescent="0.25">
      <c r="A54" s="1084" t="s">
        <v>4011</v>
      </c>
      <c r="B54" s="1089">
        <f>B28</f>
        <v>700406</v>
      </c>
      <c r="C54" s="1095"/>
      <c r="D54" s="1093"/>
    </row>
    <row r="55" spans="1:5" ht="15.75" thickBot="1" x14ac:dyDescent="0.3">
      <c r="A55" s="1084" t="s">
        <v>4012</v>
      </c>
      <c r="B55" s="1096">
        <f>SUM(B53:B54)</f>
        <v>980755</v>
      </c>
      <c r="C55" s="1095"/>
      <c r="D55" s="1091"/>
    </row>
    <row r="56" spans="1:5" ht="15.75" thickTop="1" x14ac:dyDescent="0.25">
      <c r="A56" s="1084"/>
      <c r="B56" s="1083"/>
      <c r="C56" s="1093"/>
      <c r="D56" s="1093"/>
    </row>
    <row r="57" spans="1:5" x14ac:dyDescent="0.25">
      <c r="A57" s="1084" t="s">
        <v>4013</v>
      </c>
      <c r="B57" s="1083">
        <f>B46-B55</f>
        <v>649069</v>
      </c>
      <c r="C57" s="1097"/>
      <c r="D57" s="1091"/>
    </row>
    <row r="58" spans="1:5" x14ac:dyDescent="0.25">
      <c r="A58" s="1085"/>
      <c r="B58" s="1083"/>
      <c r="C58" s="1093"/>
      <c r="D58" s="1093"/>
    </row>
    <row r="59" spans="1:5" x14ac:dyDescent="0.25">
      <c r="A59" s="1084" t="s">
        <v>4014</v>
      </c>
      <c r="B59" s="1098">
        <f>B55/B46</f>
        <v>0.6018</v>
      </c>
      <c r="C59" s="1099"/>
      <c r="D59" s="1099"/>
    </row>
    <row r="60" spans="1:5" x14ac:dyDescent="0.25">
      <c r="A60" s="1084" t="s">
        <v>4015</v>
      </c>
      <c r="B60" s="1083">
        <f>16365112000*C6*0.38</f>
        <v>14442003</v>
      </c>
      <c r="C60" s="1100"/>
      <c r="D60" s="1073"/>
    </row>
    <row r="61" spans="1:5" x14ac:dyDescent="0.25">
      <c r="A61" s="1084" t="s">
        <v>4016</v>
      </c>
      <c r="B61" s="1098">
        <f>B46/B60</f>
        <v>0.1129</v>
      </c>
      <c r="C61" s="1101"/>
      <c r="D61" s="1101"/>
    </row>
  </sheetData>
  <mergeCells count="2">
    <mergeCell ref="B5:E5"/>
    <mergeCell ref="E36:G3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F298"/>
  <sheetViews>
    <sheetView topLeftCell="A246" workbookViewId="0"/>
  </sheetViews>
  <sheetFormatPr defaultRowHeight="12.75" x14ac:dyDescent="0.2"/>
  <cols>
    <col min="1" max="1" width="1.5703125" customWidth="1"/>
    <col min="2" max="2" width="4.42578125" customWidth="1"/>
    <col min="3" max="3" width="3.42578125" customWidth="1"/>
    <col min="7" max="7" width="11.28515625" customWidth="1"/>
    <col min="8" max="8" width="9.28515625" customWidth="1"/>
    <col min="9" max="9" width="12.85546875" customWidth="1"/>
    <col min="10" max="10" width="3.140625" customWidth="1"/>
    <col min="11" max="11" width="15.28515625" customWidth="1"/>
    <col min="12" max="12" width="1.140625" customWidth="1"/>
    <col min="13" max="13" width="15.28515625" customWidth="1"/>
    <col min="14" max="14" width="3" customWidth="1"/>
    <col min="15" max="15" width="18.140625" bestFit="1" customWidth="1"/>
    <col min="16" max="16" width="0.85546875" customWidth="1"/>
    <col min="17" max="17" width="10.7109375" customWidth="1"/>
    <col min="18" max="22" width="10.28515625" bestFit="1" customWidth="1"/>
    <col min="23" max="26" width="9.28515625" bestFit="1" customWidth="1"/>
    <col min="27" max="28" width="9.28515625" customWidth="1"/>
    <col min="29" max="30" width="10.28515625" bestFit="1" customWidth="1"/>
    <col min="31" max="31" width="8.7109375" bestFit="1" customWidth="1"/>
  </cols>
  <sheetData>
    <row r="2" spans="2:18" ht="33.75" customHeight="1" x14ac:dyDescent="0.25">
      <c r="B2" s="1465" t="s">
        <v>582</v>
      </c>
      <c r="C2" s="1466"/>
      <c r="D2" s="1466"/>
      <c r="E2" s="1466"/>
      <c r="F2" s="1466"/>
      <c r="G2" s="1466"/>
      <c r="H2" s="1466"/>
      <c r="I2" s="1466"/>
      <c r="J2" s="1466"/>
      <c r="K2" s="1466"/>
      <c r="L2" s="1466"/>
      <c r="M2" s="1466"/>
      <c r="N2" s="1466"/>
      <c r="O2" s="1467"/>
      <c r="P2" s="61"/>
      <c r="Q2" s="14"/>
      <c r="R2" s="14"/>
    </row>
    <row r="3" spans="2:18" x14ac:dyDescent="0.2">
      <c r="I3" s="42"/>
    </row>
    <row r="4" spans="2:18" ht="67.5" customHeight="1" x14ac:dyDescent="0.2">
      <c r="C4" s="1401" t="s">
        <v>1121</v>
      </c>
      <c r="D4" s="1402"/>
      <c r="E4" s="1402"/>
      <c r="F4" s="1402"/>
      <c r="G4" s="1402"/>
      <c r="H4" s="1402"/>
      <c r="I4" s="1402"/>
      <c r="J4" s="1402"/>
      <c r="K4" s="1402"/>
      <c r="L4" s="1402"/>
      <c r="M4" s="1402"/>
      <c r="N4" s="1402"/>
      <c r="O4" s="1402"/>
      <c r="P4" s="35"/>
      <c r="Q4" s="35"/>
    </row>
    <row r="5" spans="2:18" ht="4.5" customHeight="1" x14ac:dyDescent="0.2">
      <c r="C5" s="34"/>
      <c r="D5" s="35"/>
      <c r="E5" s="35"/>
      <c r="F5" s="35"/>
      <c r="G5" s="35"/>
      <c r="H5" s="35"/>
      <c r="I5" s="35"/>
      <c r="J5" s="35"/>
      <c r="K5" s="35"/>
      <c r="L5" s="35"/>
      <c r="M5" s="35"/>
      <c r="N5" s="35"/>
      <c r="O5" s="35"/>
      <c r="P5" s="35"/>
      <c r="Q5" s="35"/>
    </row>
    <row r="6" spans="2:18" ht="37.5" customHeight="1" x14ac:dyDescent="0.2">
      <c r="C6" s="1468" t="s">
        <v>1122</v>
      </c>
      <c r="D6" s="1387"/>
      <c r="E6" s="1387"/>
      <c r="F6" s="1387"/>
      <c r="G6" s="1387"/>
      <c r="H6" s="1387"/>
      <c r="I6" s="1387"/>
      <c r="J6" s="1387"/>
      <c r="K6" s="1387"/>
      <c r="L6" s="1387"/>
      <c r="M6" s="1387"/>
      <c r="N6" s="1387"/>
      <c r="O6" s="1387"/>
      <c r="P6" s="35"/>
      <c r="Q6" s="35"/>
    </row>
    <row r="7" spans="2:18" ht="11.25" customHeight="1" x14ac:dyDescent="0.2">
      <c r="C7" s="34"/>
      <c r="D7" s="34"/>
      <c r="E7" s="34"/>
      <c r="F7" s="34"/>
      <c r="G7" s="34"/>
      <c r="H7" s="34"/>
      <c r="I7" s="34"/>
      <c r="J7" s="34"/>
      <c r="K7" s="34"/>
      <c r="L7" s="34"/>
      <c r="M7" s="34"/>
      <c r="N7" s="34"/>
      <c r="O7" s="34"/>
      <c r="P7" s="35"/>
      <c r="Q7" s="35"/>
    </row>
    <row r="8" spans="2:18" ht="17.25" customHeight="1" x14ac:dyDescent="0.2">
      <c r="C8" s="1387" t="s">
        <v>153</v>
      </c>
      <c r="D8" s="1469"/>
      <c r="E8" s="1469"/>
      <c r="F8" s="1469"/>
      <c r="G8" s="1469"/>
      <c r="H8" s="1469"/>
      <c r="I8" s="1469"/>
      <c r="J8" s="1469"/>
      <c r="K8" s="1469"/>
      <c r="L8" s="1469"/>
      <c r="M8" s="1469"/>
      <c r="N8" s="1469"/>
      <c r="O8" s="1469"/>
      <c r="P8" s="35"/>
      <c r="Q8" s="35"/>
    </row>
    <row r="9" spans="2:18" ht="4.5" customHeight="1" x14ac:dyDescent="0.2">
      <c r="C9" s="41"/>
      <c r="D9" s="35"/>
      <c r="E9" s="35"/>
      <c r="F9" s="35"/>
      <c r="G9" s="35"/>
      <c r="H9" s="35"/>
      <c r="I9" s="35"/>
      <c r="J9" s="35"/>
      <c r="K9" s="35"/>
      <c r="L9" s="35"/>
      <c r="M9" s="35"/>
      <c r="N9" s="35"/>
      <c r="O9" s="35"/>
      <c r="P9" s="35"/>
      <c r="Q9" s="35"/>
    </row>
    <row r="10" spans="2:18" ht="12" customHeight="1" x14ac:dyDescent="0.2">
      <c r="B10" s="4"/>
      <c r="C10" s="41" t="s">
        <v>521</v>
      </c>
      <c r="D10" s="1401" t="s">
        <v>1123</v>
      </c>
      <c r="E10" s="1402"/>
      <c r="F10" s="1402"/>
      <c r="G10" s="1402"/>
      <c r="H10" s="1402"/>
      <c r="I10" s="1402"/>
      <c r="J10" s="1402"/>
      <c r="K10" s="1402"/>
      <c r="L10" s="1402"/>
      <c r="M10" s="1402"/>
      <c r="N10" s="1402"/>
      <c r="O10" s="1402"/>
      <c r="P10" s="35"/>
      <c r="Q10" s="35"/>
    </row>
    <row r="11" spans="2:18" ht="12.75" customHeight="1" x14ac:dyDescent="0.2">
      <c r="B11" s="4"/>
      <c r="C11" s="41"/>
      <c r="D11" s="1402"/>
      <c r="E11" s="1402"/>
      <c r="F11" s="1402"/>
      <c r="G11" s="1402"/>
      <c r="H11" s="1402"/>
      <c r="I11" s="1402"/>
      <c r="J11" s="1402"/>
      <c r="K11" s="1402"/>
      <c r="L11" s="1402"/>
      <c r="M11" s="1402"/>
      <c r="N11" s="1402"/>
      <c r="O11" s="1402"/>
      <c r="P11" s="35"/>
      <c r="Q11" s="35"/>
    </row>
    <row r="12" spans="2:18" ht="4.5" customHeight="1" x14ac:dyDescent="0.2">
      <c r="C12" s="41"/>
      <c r="D12" s="35"/>
      <c r="E12" s="35"/>
      <c r="F12" s="35"/>
      <c r="G12" s="35"/>
      <c r="H12" s="35"/>
      <c r="I12" s="35"/>
      <c r="J12" s="35"/>
      <c r="K12" s="35"/>
      <c r="L12" s="35"/>
      <c r="M12" s="35"/>
      <c r="N12" s="35"/>
      <c r="O12" s="35"/>
      <c r="P12" s="35"/>
      <c r="Q12" s="35"/>
    </row>
    <row r="13" spans="2:18" ht="12.75" customHeight="1" x14ac:dyDescent="0.2">
      <c r="C13" s="41" t="s">
        <v>522</v>
      </c>
      <c r="D13" s="1401" t="s">
        <v>1124</v>
      </c>
      <c r="E13" s="1402"/>
      <c r="F13" s="1402"/>
      <c r="G13" s="1402"/>
      <c r="H13" s="1402"/>
      <c r="I13" s="1402"/>
      <c r="J13" s="1402"/>
      <c r="K13" s="1402"/>
      <c r="L13" s="1402"/>
      <c r="M13" s="1402"/>
      <c r="N13" s="1402"/>
      <c r="O13" s="1402"/>
      <c r="P13" s="35"/>
      <c r="Q13" s="35"/>
    </row>
    <row r="14" spans="2:18" ht="11.25" customHeight="1" x14ac:dyDescent="0.2">
      <c r="C14" s="41"/>
      <c r="D14" s="1402"/>
      <c r="E14" s="1402"/>
      <c r="F14" s="1402"/>
      <c r="G14" s="1402"/>
      <c r="H14" s="1402"/>
      <c r="I14" s="1402"/>
      <c r="J14" s="1402"/>
      <c r="K14" s="1402"/>
      <c r="L14" s="1402"/>
      <c r="M14" s="1402"/>
      <c r="N14" s="1402"/>
      <c r="O14" s="1402"/>
      <c r="P14" s="35"/>
      <c r="Q14" s="35"/>
    </row>
    <row r="15" spans="2:18" ht="4.5" customHeight="1" x14ac:dyDescent="0.2">
      <c r="C15" s="41"/>
      <c r="D15" s="34"/>
      <c r="E15" s="35"/>
      <c r="F15" s="35"/>
      <c r="G15" s="35"/>
      <c r="H15" s="35"/>
      <c r="I15" s="35"/>
      <c r="J15" s="35"/>
      <c r="K15" s="35"/>
      <c r="L15" s="35"/>
      <c r="M15" s="35"/>
      <c r="N15" s="35"/>
      <c r="O15" s="35"/>
      <c r="P15" s="35"/>
      <c r="Q15" s="35"/>
    </row>
    <row r="16" spans="2:18" ht="12.75" customHeight="1" x14ac:dyDescent="0.2">
      <c r="C16" s="41" t="s">
        <v>523</v>
      </c>
      <c r="D16" s="1387" t="s">
        <v>405</v>
      </c>
      <c r="E16" s="1387"/>
      <c r="F16" s="1387"/>
      <c r="G16" s="1387"/>
      <c r="H16" s="1387"/>
      <c r="I16" s="1387"/>
      <c r="J16" s="1387"/>
      <c r="K16" s="1387"/>
      <c r="L16" s="1387"/>
      <c r="M16" s="1387"/>
      <c r="N16" s="1387"/>
      <c r="O16" s="1387"/>
      <c r="P16" s="35"/>
      <c r="Q16" s="35"/>
    </row>
    <row r="17" spans="2:17" ht="11.25" customHeight="1" x14ac:dyDescent="0.2">
      <c r="C17" s="41"/>
      <c r="D17" s="1387"/>
      <c r="E17" s="1387"/>
      <c r="F17" s="1387"/>
      <c r="G17" s="1387"/>
      <c r="H17" s="1387"/>
      <c r="I17" s="1387"/>
      <c r="J17" s="1387"/>
      <c r="K17" s="1387"/>
      <c r="L17" s="1387"/>
      <c r="M17" s="1387"/>
      <c r="N17" s="1387"/>
      <c r="O17" s="1387"/>
      <c r="P17" s="35"/>
      <c r="Q17" s="35"/>
    </row>
    <row r="18" spans="2:17" ht="4.5" customHeight="1" x14ac:dyDescent="0.2">
      <c r="C18" s="41"/>
      <c r="D18" s="34"/>
      <c r="E18" s="35"/>
      <c r="F18" s="35"/>
      <c r="G18" s="35"/>
      <c r="H18" s="35"/>
      <c r="I18" s="35"/>
      <c r="J18" s="35"/>
      <c r="K18" s="35"/>
      <c r="L18" s="35"/>
      <c r="M18" s="35"/>
      <c r="N18" s="35"/>
      <c r="O18" s="35"/>
      <c r="P18" s="35"/>
      <c r="Q18" s="35"/>
    </row>
    <row r="19" spans="2:17" ht="12.75" customHeight="1" x14ac:dyDescent="0.2">
      <c r="C19" s="41" t="s">
        <v>549</v>
      </c>
      <c r="D19" s="1387" t="s">
        <v>254</v>
      </c>
      <c r="E19" s="1387"/>
      <c r="F19" s="1387"/>
      <c r="G19" s="1387"/>
      <c r="H19" s="1387"/>
      <c r="I19" s="1387"/>
      <c r="J19" s="1387"/>
      <c r="K19" s="1387"/>
      <c r="L19" s="1387"/>
      <c r="M19" s="1387"/>
      <c r="N19" s="1387"/>
      <c r="O19" s="1387"/>
      <c r="P19" s="35"/>
      <c r="Q19" s="35"/>
    </row>
    <row r="20" spans="2:17" ht="12" customHeight="1" x14ac:dyDescent="0.2">
      <c r="C20" s="34"/>
      <c r="D20" s="1387"/>
      <c r="E20" s="1387"/>
      <c r="F20" s="1387"/>
      <c r="G20" s="1387"/>
      <c r="H20" s="1387"/>
      <c r="I20" s="1387"/>
      <c r="J20" s="1387"/>
      <c r="K20" s="1387"/>
      <c r="L20" s="1387"/>
      <c r="M20" s="1387"/>
      <c r="N20" s="1387"/>
      <c r="O20" s="1387"/>
      <c r="P20" s="35"/>
      <c r="Q20" s="35"/>
    </row>
    <row r="21" spans="2:17" ht="12" customHeight="1" x14ac:dyDescent="0.2">
      <c r="C21" s="34"/>
      <c r="D21" s="34"/>
      <c r="E21" s="35"/>
      <c r="F21" s="35"/>
      <c r="G21" s="35"/>
      <c r="H21" s="35"/>
      <c r="I21" s="35"/>
      <c r="J21" s="35"/>
      <c r="K21" s="35"/>
      <c r="L21" s="35"/>
      <c r="M21" s="35"/>
      <c r="N21" s="35"/>
      <c r="O21" s="35"/>
      <c r="P21" s="35"/>
      <c r="Q21" s="35"/>
    </row>
    <row r="22" spans="2:17" ht="25.5" customHeight="1" x14ac:dyDescent="0.2">
      <c r="B22" s="4" t="s">
        <v>547</v>
      </c>
      <c r="C22" s="1470" t="s">
        <v>1125</v>
      </c>
      <c r="D22" s="1471"/>
      <c r="E22" s="1471"/>
      <c r="F22" s="1471"/>
      <c r="G22" s="1471"/>
      <c r="H22" s="1471"/>
      <c r="I22" s="1471"/>
      <c r="J22" s="1471"/>
      <c r="K22" s="1471"/>
      <c r="L22" s="1471"/>
      <c r="M22" s="1471"/>
      <c r="N22" s="1471"/>
      <c r="O22" s="1472"/>
      <c r="P22" s="35"/>
      <c r="Q22" s="35"/>
    </row>
    <row r="24" spans="2:17" ht="12" customHeight="1" x14ac:dyDescent="0.2">
      <c r="M24" s="3" t="s">
        <v>514</v>
      </c>
    </row>
    <row r="26" spans="2:17" ht="12.75" customHeight="1" x14ac:dyDescent="0.2">
      <c r="C26" s="39" t="s">
        <v>521</v>
      </c>
      <c r="D26" s="1401" t="s">
        <v>1126</v>
      </c>
      <c r="E26" s="1402"/>
      <c r="F26" s="1402"/>
      <c r="G26" s="1402"/>
      <c r="H26" s="1402"/>
      <c r="I26" s="1402"/>
      <c r="J26" s="1402"/>
      <c r="K26" s="1402"/>
      <c r="M26" s="1480"/>
    </row>
    <row r="27" spans="2:17" ht="14.25" customHeight="1" x14ac:dyDescent="0.2">
      <c r="C27" s="39"/>
      <c r="D27" s="1402"/>
      <c r="E27" s="1402"/>
      <c r="F27" s="1402"/>
      <c r="G27" s="1402"/>
      <c r="H27" s="1402"/>
      <c r="I27" s="1402"/>
      <c r="J27" s="1402"/>
      <c r="K27" s="1402"/>
      <c r="M27" s="1480"/>
    </row>
    <row r="28" spans="2:17" ht="6" customHeight="1" x14ac:dyDescent="0.2">
      <c r="M28" s="348"/>
    </row>
    <row r="29" spans="2:17" ht="12.75" customHeight="1" x14ac:dyDescent="0.2">
      <c r="C29" s="39" t="s">
        <v>522</v>
      </c>
      <c r="D29" s="1401" t="s">
        <v>1127</v>
      </c>
      <c r="E29" s="1402"/>
      <c r="F29" s="1402"/>
      <c r="G29" s="1402"/>
      <c r="H29" s="1402"/>
      <c r="I29" s="1402"/>
      <c r="J29" s="1402"/>
      <c r="K29" s="1402"/>
      <c r="M29" s="1481"/>
    </row>
    <row r="30" spans="2:17" x14ac:dyDescent="0.2">
      <c r="D30" s="1402"/>
      <c r="E30" s="1402"/>
      <c r="F30" s="1402"/>
      <c r="G30" s="1402"/>
      <c r="H30" s="1402"/>
      <c r="I30" s="1402"/>
      <c r="J30" s="1402"/>
      <c r="K30" s="1402"/>
      <c r="M30" s="1481"/>
    </row>
    <row r="31" spans="2:17" x14ac:dyDescent="0.2">
      <c r="I31" s="56"/>
    </row>
    <row r="32" spans="2:17" x14ac:dyDescent="0.2">
      <c r="I32" s="1"/>
    </row>
    <row r="33" spans="2:15" ht="25.5" customHeight="1" x14ac:dyDescent="0.2">
      <c r="B33" s="4" t="s">
        <v>548</v>
      </c>
      <c r="C33" s="1476" t="s">
        <v>755</v>
      </c>
      <c r="D33" s="1478"/>
      <c r="E33" s="1478"/>
      <c r="F33" s="1478"/>
      <c r="G33" s="1478"/>
      <c r="H33" s="1478"/>
      <c r="I33" s="1478"/>
      <c r="J33" s="1478"/>
      <c r="K33" s="1478"/>
      <c r="L33" s="1478"/>
      <c r="M33" s="1478"/>
      <c r="N33" s="1478"/>
      <c r="O33" s="1479"/>
    </row>
    <row r="34" spans="2:15" x14ac:dyDescent="0.2">
      <c r="I34" s="1"/>
    </row>
    <row r="35" spans="2:15" x14ac:dyDescent="0.2">
      <c r="M35" s="3" t="s">
        <v>514</v>
      </c>
    </row>
    <row r="37" spans="2:15" ht="12.75" customHeight="1" x14ac:dyDescent="0.2">
      <c r="C37" s="39" t="s">
        <v>521</v>
      </c>
      <c r="D37" s="1401" t="s">
        <v>1128</v>
      </c>
      <c r="E37" s="1402"/>
      <c r="F37" s="1402"/>
      <c r="G37" s="1402"/>
      <c r="H37" s="1402"/>
      <c r="I37" s="1402"/>
      <c r="J37" s="1402"/>
      <c r="K37" s="1402"/>
      <c r="M37" s="1480"/>
    </row>
    <row r="38" spans="2:15" ht="12" customHeight="1" x14ac:dyDescent="0.2">
      <c r="C38" s="39"/>
      <c r="D38" s="1402"/>
      <c r="E38" s="1402"/>
      <c r="F38" s="1402"/>
      <c r="G38" s="1402"/>
      <c r="H38" s="1402"/>
      <c r="I38" s="1402"/>
      <c r="J38" s="1402"/>
      <c r="K38" s="1402"/>
      <c r="M38" s="1480"/>
    </row>
    <row r="39" spans="2:15" ht="6" customHeight="1" x14ac:dyDescent="0.2">
      <c r="M39" s="348"/>
    </row>
    <row r="40" spans="2:15" ht="11.25" customHeight="1" x14ac:dyDescent="0.2">
      <c r="C40" s="39" t="s">
        <v>522</v>
      </c>
      <c r="D40" s="1401" t="s">
        <v>1129</v>
      </c>
      <c r="E40" s="1402"/>
      <c r="F40" s="1402"/>
      <c r="G40" s="1402"/>
      <c r="H40" s="1402"/>
      <c r="I40" s="1402"/>
      <c r="J40" s="1402"/>
      <c r="K40" s="1402"/>
      <c r="M40" s="1481"/>
    </row>
    <row r="41" spans="2:15" x14ac:dyDescent="0.2">
      <c r="D41" s="1402"/>
      <c r="E41" s="1402"/>
      <c r="F41" s="1402"/>
      <c r="G41" s="1402"/>
      <c r="H41" s="1402"/>
      <c r="I41" s="1402"/>
      <c r="J41" s="1402"/>
      <c r="K41" s="1402"/>
      <c r="M41" s="1481"/>
    </row>
    <row r="42" spans="2:15" x14ac:dyDescent="0.2">
      <c r="I42" s="56"/>
    </row>
    <row r="43" spans="2:15" x14ac:dyDescent="0.2">
      <c r="I43" s="56"/>
    </row>
    <row r="44" spans="2:15" ht="25.5" customHeight="1" x14ac:dyDescent="0.2">
      <c r="B44" s="4" t="s">
        <v>816</v>
      </c>
      <c r="C44" s="1473" t="s">
        <v>562</v>
      </c>
      <c r="D44" s="1474"/>
      <c r="E44" s="1474"/>
      <c r="F44" s="1474"/>
      <c r="G44" s="1474"/>
      <c r="H44" s="1474"/>
      <c r="I44" s="1474"/>
      <c r="J44" s="1474"/>
      <c r="K44" s="1474"/>
      <c r="L44" s="1474"/>
      <c r="M44" s="1474"/>
      <c r="N44" s="1474"/>
      <c r="O44" s="1475"/>
    </row>
    <row r="45" spans="2:15" x14ac:dyDescent="0.2">
      <c r="I45" s="56"/>
    </row>
    <row r="46" spans="2:15" x14ac:dyDescent="0.2">
      <c r="M46" s="3" t="s">
        <v>514</v>
      </c>
    </row>
    <row r="48" spans="2:15" ht="12.75" customHeight="1" x14ac:dyDescent="0.2">
      <c r="C48" s="39" t="s">
        <v>521</v>
      </c>
      <c r="D48" s="1401" t="s">
        <v>1130</v>
      </c>
      <c r="E48" s="1402"/>
      <c r="F48" s="1402"/>
      <c r="G48" s="1402"/>
      <c r="H48" s="1402"/>
      <c r="I48" s="1402"/>
      <c r="J48" s="1402"/>
      <c r="K48" s="1402"/>
      <c r="M48" s="1480"/>
    </row>
    <row r="49" spans="2:15" ht="13.5" customHeight="1" x14ac:dyDescent="0.2">
      <c r="C49" s="39"/>
      <c r="D49" s="1402"/>
      <c r="E49" s="1402"/>
      <c r="F49" s="1402"/>
      <c r="G49" s="1402"/>
      <c r="H49" s="1402"/>
      <c r="I49" s="1402"/>
      <c r="J49" s="1402"/>
      <c r="K49" s="1402"/>
      <c r="M49" s="1480"/>
    </row>
    <row r="50" spans="2:15" ht="6" customHeight="1" x14ac:dyDescent="0.2">
      <c r="M50" s="348"/>
    </row>
    <row r="51" spans="2:15" ht="12.75" customHeight="1" x14ac:dyDescent="0.2">
      <c r="C51" s="39" t="s">
        <v>522</v>
      </c>
      <c r="D51" s="1401" t="s">
        <v>1131</v>
      </c>
      <c r="E51" s="1402"/>
      <c r="F51" s="1402"/>
      <c r="G51" s="1402"/>
      <c r="H51" s="1402"/>
      <c r="I51" s="1402"/>
      <c r="J51" s="1402"/>
      <c r="K51" s="1402"/>
      <c r="M51" s="1481"/>
    </row>
    <row r="52" spans="2:15" x14ac:dyDescent="0.2">
      <c r="D52" s="1402"/>
      <c r="E52" s="1402"/>
      <c r="F52" s="1402"/>
      <c r="G52" s="1402"/>
      <c r="H52" s="1402"/>
      <c r="I52" s="1402"/>
      <c r="J52" s="1402"/>
      <c r="K52" s="1402"/>
      <c r="M52" s="1481"/>
    </row>
    <row r="53" spans="2:15" x14ac:dyDescent="0.2">
      <c r="I53" s="56"/>
    </row>
    <row r="54" spans="2:15" x14ac:dyDescent="0.2">
      <c r="I54" s="56"/>
    </row>
    <row r="55" spans="2:15" ht="25.5" customHeight="1" x14ac:dyDescent="0.2">
      <c r="B55" s="4" t="s">
        <v>822</v>
      </c>
      <c r="C55" s="1473" t="s">
        <v>1134</v>
      </c>
      <c r="D55" s="1474"/>
      <c r="E55" s="1474"/>
      <c r="F55" s="1474"/>
      <c r="G55" s="1474"/>
      <c r="H55" s="1474"/>
      <c r="I55" s="1474"/>
      <c r="J55" s="1474"/>
      <c r="K55" s="1474"/>
      <c r="L55" s="1474"/>
      <c r="M55" s="1474"/>
      <c r="N55" s="1474"/>
      <c r="O55" s="1475"/>
    </row>
    <row r="56" spans="2:15" x14ac:dyDescent="0.2">
      <c r="I56" s="56"/>
    </row>
    <row r="57" spans="2:15" x14ac:dyDescent="0.2">
      <c r="M57" s="3" t="s">
        <v>514</v>
      </c>
    </row>
    <row r="59" spans="2:15" ht="12.75" customHeight="1" x14ac:dyDescent="0.2">
      <c r="C59" s="39" t="s">
        <v>521</v>
      </c>
      <c r="D59" s="1401" t="s">
        <v>1135</v>
      </c>
      <c r="E59" s="1402"/>
      <c r="F59" s="1402"/>
      <c r="G59" s="1402"/>
      <c r="H59" s="1402"/>
      <c r="I59" s="1402"/>
      <c r="J59" s="1402"/>
      <c r="K59" s="1402"/>
      <c r="M59" s="1480"/>
    </row>
    <row r="60" spans="2:15" ht="13.5" customHeight="1" x14ac:dyDescent="0.2">
      <c r="C60" s="39"/>
      <c r="D60" s="1402"/>
      <c r="E60" s="1402"/>
      <c r="F60" s="1402"/>
      <c r="G60" s="1402"/>
      <c r="H60" s="1402"/>
      <c r="I60" s="1402"/>
      <c r="J60" s="1402"/>
      <c r="K60" s="1402"/>
      <c r="M60" s="1480"/>
    </row>
    <row r="61" spans="2:15" ht="6" customHeight="1" x14ac:dyDescent="0.2">
      <c r="M61" s="348"/>
    </row>
    <row r="62" spans="2:15" ht="13.5" customHeight="1" x14ac:dyDescent="0.2">
      <c r="C62" s="39" t="s">
        <v>522</v>
      </c>
      <c r="D62" s="1401" t="s">
        <v>1136</v>
      </c>
      <c r="E62" s="1402"/>
      <c r="F62" s="1402"/>
      <c r="G62" s="1402"/>
      <c r="H62" s="1402"/>
      <c r="I62" s="1402"/>
      <c r="J62" s="1402"/>
      <c r="K62" s="1402"/>
      <c r="M62" s="1481"/>
    </row>
    <row r="63" spans="2:15" x14ac:dyDescent="0.2">
      <c r="D63" s="1402"/>
      <c r="E63" s="1402"/>
      <c r="F63" s="1402"/>
      <c r="G63" s="1402"/>
      <c r="H63" s="1402"/>
      <c r="I63" s="1402"/>
      <c r="J63" s="1402"/>
      <c r="K63" s="1402"/>
      <c r="M63" s="1481"/>
    </row>
    <row r="64" spans="2:15" x14ac:dyDescent="0.2">
      <c r="I64" s="56"/>
    </row>
    <row r="65" spans="2:15" x14ac:dyDescent="0.2">
      <c r="I65" s="56"/>
    </row>
    <row r="66" spans="2:15" ht="25.5" customHeight="1" x14ac:dyDescent="0.2">
      <c r="B66" s="4" t="s">
        <v>838</v>
      </c>
      <c r="C66" s="1473" t="s">
        <v>563</v>
      </c>
      <c r="D66" s="1474"/>
      <c r="E66" s="1474"/>
      <c r="F66" s="1474"/>
      <c r="G66" s="1474"/>
      <c r="H66" s="1474"/>
      <c r="I66" s="1474"/>
      <c r="J66" s="1474"/>
      <c r="K66" s="1474"/>
      <c r="L66" s="1474"/>
      <c r="M66" s="1474"/>
      <c r="N66" s="1474"/>
      <c r="O66" s="1475"/>
    </row>
    <row r="67" spans="2:15" x14ac:dyDescent="0.2">
      <c r="I67" s="56"/>
    </row>
    <row r="68" spans="2:15" x14ac:dyDescent="0.2">
      <c r="M68" s="3" t="s">
        <v>514</v>
      </c>
    </row>
    <row r="70" spans="2:15" x14ac:dyDescent="0.2">
      <c r="C70" s="39" t="s">
        <v>521</v>
      </c>
      <c r="D70" s="1401" t="s">
        <v>1132</v>
      </c>
      <c r="E70" s="1402"/>
      <c r="F70" s="1402"/>
      <c r="G70" s="1402"/>
      <c r="H70" s="1402"/>
      <c r="I70" s="1402"/>
      <c r="J70" s="1402"/>
      <c r="K70" s="1402"/>
      <c r="M70" s="1480"/>
    </row>
    <row r="71" spans="2:15" x14ac:dyDescent="0.2">
      <c r="C71" s="39"/>
      <c r="D71" s="1402"/>
      <c r="E71" s="1402"/>
      <c r="F71" s="1402"/>
      <c r="G71" s="1402"/>
      <c r="H71" s="1402"/>
      <c r="I71" s="1402"/>
      <c r="J71" s="1402"/>
      <c r="K71" s="1402"/>
      <c r="M71" s="1480"/>
    </row>
    <row r="72" spans="2:15" x14ac:dyDescent="0.2">
      <c r="D72" s="13"/>
      <c r="E72" s="13"/>
      <c r="F72" s="13"/>
      <c r="G72" s="13"/>
      <c r="H72" s="13"/>
      <c r="I72" s="13"/>
      <c r="J72" s="13"/>
      <c r="K72" s="13"/>
      <c r="M72" s="348"/>
    </row>
    <row r="73" spans="2:15" x14ac:dyDescent="0.2">
      <c r="C73" s="39" t="s">
        <v>522</v>
      </c>
      <c r="D73" s="1401" t="s">
        <v>1133</v>
      </c>
      <c r="E73" s="1402"/>
      <c r="F73" s="1402"/>
      <c r="G73" s="1402"/>
      <c r="H73" s="1402"/>
      <c r="I73" s="1402"/>
      <c r="J73" s="1402"/>
      <c r="K73" s="1402"/>
      <c r="M73" s="1481"/>
    </row>
    <row r="74" spans="2:15" x14ac:dyDescent="0.2">
      <c r="D74" s="1402"/>
      <c r="E74" s="1402"/>
      <c r="F74" s="1402"/>
      <c r="G74" s="1402"/>
      <c r="H74" s="1402"/>
      <c r="I74" s="1402"/>
      <c r="J74" s="1402"/>
      <c r="K74" s="1402"/>
      <c r="M74" s="1481"/>
    </row>
    <row r="75" spans="2:15" x14ac:dyDescent="0.2">
      <c r="I75" s="56"/>
    </row>
    <row r="76" spans="2:15" ht="36.75" customHeight="1" x14ac:dyDescent="0.2">
      <c r="B76" s="4" t="s">
        <v>729</v>
      </c>
      <c r="C76" s="1476" t="s">
        <v>242</v>
      </c>
      <c r="D76" s="1474"/>
      <c r="E76" s="1474"/>
      <c r="F76" s="1474"/>
      <c r="G76" s="1474"/>
      <c r="H76" s="1474"/>
      <c r="I76" s="1474"/>
      <c r="J76" s="1474"/>
      <c r="K76" s="1474"/>
      <c r="L76" s="1474"/>
      <c r="M76" s="1474"/>
      <c r="N76" s="1474"/>
      <c r="O76" s="1475"/>
    </row>
    <row r="77" spans="2:15" ht="6.75" customHeight="1" x14ac:dyDescent="0.2">
      <c r="I77" s="56"/>
    </row>
    <row r="78" spans="2:15" x14ac:dyDescent="0.2">
      <c r="M78" s="3" t="s">
        <v>514</v>
      </c>
    </row>
    <row r="79" spans="2:15" ht="12.75" customHeight="1" x14ac:dyDescent="0.2">
      <c r="C79" s="39" t="s">
        <v>521</v>
      </c>
      <c r="D79" s="1401" t="s">
        <v>1114</v>
      </c>
      <c r="E79" s="1402"/>
      <c r="F79" s="1402"/>
      <c r="G79" s="1402"/>
      <c r="H79" s="1402"/>
      <c r="I79" s="1402"/>
      <c r="J79" s="1402"/>
      <c r="K79" s="1402"/>
      <c r="M79" s="1482">
        <v>0</v>
      </c>
    </row>
    <row r="80" spans="2:15" ht="12" customHeight="1" x14ac:dyDescent="0.2">
      <c r="C80" s="39"/>
      <c r="D80" s="1402"/>
      <c r="E80" s="1402"/>
      <c r="F80" s="1402"/>
      <c r="G80" s="1402"/>
      <c r="H80" s="1402"/>
      <c r="I80" s="1402"/>
      <c r="J80" s="1402"/>
      <c r="K80" s="1402"/>
      <c r="M80" s="1480"/>
    </row>
    <row r="81" spans="3:14" ht="6" customHeight="1" x14ac:dyDescent="0.2">
      <c r="M81" s="348"/>
    </row>
    <row r="82" spans="3:14" ht="14.25" customHeight="1" x14ac:dyDescent="0.2">
      <c r="C82" s="39" t="s">
        <v>522</v>
      </c>
      <c r="D82" s="1387" t="s">
        <v>229</v>
      </c>
      <c r="E82" s="1387"/>
      <c r="F82" s="1387"/>
      <c r="G82" s="1387"/>
      <c r="H82" s="1387"/>
      <c r="I82" s="1387"/>
      <c r="J82" s="1387"/>
      <c r="K82" s="1387"/>
      <c r="M82" s="349">
        <v>0</v>
      </c>
      <c r="N82" s="90" t="s">
        <v>338</v>
      </c>
    </row>
    <row r="83" spans="3:14" ht="6.75" customHeight="1" x14ac:dyDescent="0.2">
      <c r="C83" s="39"/>
      <c r="D83" s="34"/>
      <c r="E83" s="34"/>
      <c r="F83" s="34"/>
      <c r="G83" s="34"/>
      <c r="H83" s="34"/>
      <c r="I83" s="34"/>
      <c r="J83" s="34"/>
      <c r="K83" s="34"/>
      <c r="M83" s="93"/>
      <c r="N83" s="90"/>
    </row>
    <row r="84" spans="3:14" ht="13.5" customHeight="1" x14ac:dyDescent="0.2">
      <c r="C84" s="39" t="s">
        <v>523</v>
      </c>
      <c r="D84" s="1387" t="s">
        <v>1011</v>
      </c>
      <c r="E84" s="1387"/>
      <c r="F84" s="1387"/>
      <c r="G84" s="1387"/>
      <c r="H84" s="1387"/>
      <c r="I84" s="1387"/>
      <c r="J84" s="1387"/>
      <c r="K84" s="1387"/>
      <c r="M84" s="93"/>
      <c r="N84" s="90"/>
    </row>
    <row r="85" spans="3:14" ht="11.25" customHeight="1" x14ac:dyDescent="0.2">
      <c r="C85" s="39"/>
      <c r="D85" s="1387"/>
      <c r="E85" s="1387"/>
      <c r="F85" s="1387"/>
      <c r="G85" s="1387"/>
      <c r="H85" s="1387"/>
      <c r="I85" s="1387"/>
      <c r="J85" s="1387"/>
      <c r="K85" s="1387"/>
      <c r="M85" s="93"/>
      <c r="N85" s="90"/>
    </row>
    <row r="86" spans="3:14" ht="12.75" customHeight="1" x14ac:dyDescent="0.2">
      <c r="C86" s="39"/>
      <c r="D86" s="34"/>
      <c r="E86" s="34"/>
      <c r="F86" s="34"/>
      <c r="G86" s="34"/>
      <c r="H86" s="34"/>
      <c r="I86" s="34"/>
      <c r="J86" s="34"/>
      <c r="K86" s="89" t="s">
        <v>514</v>
      </c>
      <c r="M86" s="93"/>
      <c r="N86" s="90"/>
    </row>
    <row r="87" spans="3:14" ht="12.75" customHeight="1" x14ac:dyDescent="0.2">
      <c r="C87" s="39"/>
      <c r="D87" s="34"/>
      <c r="E87" s="34"/>
      <c r="F87" t="s">
        <v>191</v>
      </c>
      <c r="K87" s="344"/>
      <c r="M87" s="246"/>
      <c r="N87" s="90"/>
    </row>
    <row r="88" spans="3:14" ht="12.75" customHeight="1" x14ac:dyDescent="0.2">
      <c r="C88" s="39"/>
      <c r="D88" s="34"/>
      <c r="E88" s="34"/>
      <c r="F88" t="s">
        <v>216</v>
      </c>
      <c r="K88" s="344"/>
      <c r="M88" s="246"/>
      <c r="N88" s="90"/>
    </row>
    <row r="89" spans="3:14" ht="12.75" customHeight="1" x14ac:dyDescent="0.2">
      <c r="C89" s="39"/>
      <c r="D89" s="34"/>
      <c r="E89" s="34"/>
      <c r="F89" t="s">
        <v>831</v>
      </c>
      <c r="K89" s="344"/>
      <c r="M89" s="93"/>
      <c r="N89" s="90"/>
    </row>
    <row r="90" spans="3:14" ht="12.75" customHeight="1" x14ac:dyDescent="0.2">
      <c r="C90" s="39"/>
      <c r="D90" s="34"/>
      <c r="E90" s="34"/>
      <c r="F90" t="s">
        <v>820</v>
      </c>
      <c r="K90" s="344"/>
      <c r="M90" s="93"/>
      <c r="N90" s="90"/>
    </row>
    <row r="91" spans="3:14" ht="12.75" customHeight="1" x14ac:dyDescent="0.2">
      <c r="C91" s="39"/>
      <c r="D91" s="34"/>
      <c r="E91" s="34"/>
      <c r="F91" t="s">
        <v>174</v>
      </c>
      <c r="K91" s="344"/>
      <c r="M91" s="93"/>
      <c r="N91" s="90"/>
    </row>
    <row r="92" spans="3:14" ht="12.75" customHeight="1" x14ac:dyDescent="0.2">
      <c r="C92" s="39"/>
      <c r="D92" s="34"/>
      <c r="E92" s="34"/>
      <c r="F92" s="354" t="s">
        <v>740</v>
      </c>
      <c r="K92" s="344"/>
      <c r="M92" s="1483" t="str">
        <f>IF(K93=M82," ","Recheck numbers. Entry is out of balance.")</f>
        <v xml:space="preserve"> </v>
      </c>
      <c r="N92" s="90"/>
    </row>
    <row r="93" spans="3:14" ht="21.75" customHeight="1" thickBot="1" x14ac:dyDescent="0.25">
      <c r="C93" s="39"/>
      <c r="D93" s="34"/>
      <c r="E93" s="34"/>
      <c r="J93" s="90" t="s">
        <v>338</v>
      </c>
      <c r="K93" s="75">
        <f>SUM(K87:K92)</f>
        <v>0</v>
      </c>
      <c r="M93" s="1483"/>
      <c r="N93" s="90"/>
    </row>
    <row r="94" spans="3:14" ht="12.75" customHeight="1" thickTop="1" x14ac:dyDescent="0.2">
      <c r="C94" s="39"/>
      <c r="D94" s="34"/>
      <c r="E94" s="34"/>
      <c r="F94" s="34"/>
      <c r="G94" s="34"/>
      <c r="H94" s="34"/>
      <c r="I94" s="34"/>
      <c r="J94" s="34"/>
      <c r="K94" s="34"/>
      <c r="M94" s="93"/>
      <c r="N94" s="90"/>
    </row>
    <row r="95" spans="3:14" ht="13.5" customHeight="1" x14ac:dyDescent="0.2">
      <c r="C95" s="39" t="s">
        <v>549</v>
      </c>
      <c r="D95" s="1402" t="s">
        <v>1078</v>
      </c>
      <c r="E95" s="1402"/>
      <c r="F95" s="1402"/>
      <c r="G95" s="1402"/>
      <c r="H95" s="1402"/>
      <c r="I95" s="1402"/>
      <c r="J95" s="1402"/>
      <c r="K95" s="1402"/>
      <c r="M95" s="1481">
        <v>0</v>
      </c>
    </row>
    <row r="96" spans="3:14" ht="12" customHeight="1" x14ac:dyDescent="0.2">
      <c r="C96" s="39"/>
      <c r="D96" s="1402"/>
      <c r="E96" s="1402"/>
      <c r="F96" s="1402"/>
      <c r="G96" s="1402"/>
      <c r="H96" s="1402"/>
      <c r="I96" s="1402"/>
      <c r="J96" s="1402"/>
      <c r="K96" s="1402"/>
      <c r="M96" s="1481"/>
    </row>
    <row r="97" spans="3:15" ht="5.25" customHeight="1" x14ac:dyDescent="0.2">
      <c r="C97" s="39"/>
      <c r="D97" s="34"/>
      <c r="E97" s="34"/>
      <c r="F97" s="34"/>
      <c r="G97" s="34"/>
      <c r="H97" s="34"/>
      <c r="I97" s="34"/>
      <c r="J97" s="34"/>
      <c r="K97" s="34"/>
      <c r="M97" s="30"/>
      <c r="N97" s="90"/>
    </row>
    <row r="98" spans="3:15" ht="15.75" customHeight="1" thickBot="1" x14ac:dyDescent="0.25">
      <c r="C98" s="39"/>
      <c r="D98" s="34"/>
      <c r="E98" s="34"/>
      <c r="F98" s="34"/>
      <c r="H98" s="34"/>
      <c r="I98" s="35" t="s">
        <v>944</v>
      </c>
      <c r="J98" s="34"/>
      <c r="K98" s="34"/>
      <c r="M98" s="92">
        <f>M79+M82-M95</f>
        <v>0</v>
      </c>
      <c r="N98" s="90" t="s">
        <v>339</v>
      </c>
    </row>
    <row r="99" spans="3:15" ht="12.75" customHeight="1" thickTop="1" x14ac:dyDescent="0.2">
      <c r="C99" s="39"/>
      <c r="D99" s="34"/>
      <c r="E99" s="34"/>
      <c r="F99" s="34"/>
      <c r="G99" s="34"/>
      <c r="H99" s="34"/>
      <c r="I99" s="34"/>
      <c r="J99" s="34"/>
      <c r="K99" s="34"/>
      <c r="M99" s="93"/>
      <c r="N99" s="90"/>
    </row>
    <row r="100" spans="3:15" ht="12.75" customHeight="1" x14ac:dyDescent="0.2">
      <c r="C100" s="39" t="s">
        <v>550</v>
      </c>
      <c r="D100" s="1387" t="s">
        <v>1026</v>
      </c>
      <c r="E100" s="1387"/>
      <c r="F100" s="1387"/>
      <c r="G100" s="1387"/>
      <c r="H100" s="1387"/>
      <c r="I100" s="1387"/>
      <c r="J100" s="1387"/>
      <c r="K100" s="1387"/>
    </row>
    <row r="101" spans="3:15" ht="24.75" customHeight="1" x14ac:dyDescent="0.2">
      <c r="C101" s="39"/>
      <c r="D101" s="1387"/>
      <c r="E101" s="1387"/>
      <c r="F101" s="1387"/>
      <c r="G101" s="1387"/>
      <c r="H101" s="1387"/>
      <c r="I101" s="1387"/>
      <c r="J101" s="1387"/>
      <c r="K101" s="1387"/>
    </row>
    <row r="102" spans="3:15" x14ac:dyDescent="0.2">
      <c r="C102" s="39"/>
      <c r="D102" s="34"/>
      <c r="E102" s="34"/>
      <c r="F102" s="34"/>
      <c r="G102" s="34"/>
      <c r="H102" s="34"/>
      <c r="I102" s="34"/>
      <c r="J102" s="34"/>
      <c r="K102" s="89" t="s">
        <v>514</v>
      </c>
    </row>
    <row r="103" spans="3:15" x14ac:dyDescent="0.2">
      <c r="C103" s="39"/>
      <c r="F103" t="s">
        <v>191</v>
      </c>
      <c r="K103" s="344"/>
    </row>
    <row r="104" spans="3:15" x14ac:dyDescent="0.2">
      <c r="C104" s="39"/>
      <c r="F104" t="s">
        <v>216</v>
      </c>
      <c r="K104" s="344"/>
    </row>
    <row r="105" spans="3:15" x14ac:dyDescent="0.2">
      <c r="C105" s="39"/>
      <c r="F105" t="s">
        <v>831</v>
      </c>
      <c r="K105" s="344">
        <v>0</v>
      </c>
    </row>
    <row r="106" spans="3:15" x14ac:dyDescent="0.2">
      <c r="C106" s="39"/>
      <c r="F106" t="s">
        <v>820</v>
      </c>
      <c r="K106" s="344"/>
    </row>
    <row r="107" spans="3:15" ht="12.75" customHeight="1" x14ac:dyDescent="0.2">
      <c r="C107" s="39"/>
      <c r="F107" t="s">
        <v>174</v>
      </c>
      <c r="K107" s="344"/>
      <c r="M107" s="1477" t="str">
        <f>IF(K109=M98," ","Recheck numbers in steps 1-4. Entry is out of balance")</f>
        <v xml:space="preserve"> </v>
      </c>
    </row>
    <row r="108" spans="3:15" ht="12.75" customHeight="1" x14ac:dyDescent="0.2">
      <c r="C108" s="39"/>
      <c r="F108" s="354" t="s">
        <v>740</v>
      </c>
      <c r="K108" s="344"/>
      <c r="M108" s="1477"/>
    </row>
    <row r="109" spans="3:15" ht="18" customHeight="1" thickBot="1" x14ac:dyDescent="0.4">
      <c r="C109" s="39"/>
      <c r="J109" s="90" t="s">
        <v>339</v>
      </c>
      <c r="K109" s="75">
        <f>SUM(K103:K108)</f>
        <v>0</v>
      </c>
      <c r="M109" s="1477"/>
      <c r="N109" s="122"/>
      <c r="O109" s="122"/>
    </row>
    <row r="110" spans="3:15" ht="6.75" customHeight="1" thickTop="1" x14ac:dyDescent="0.35">
      <c r="C110" s="39"/>
      <c r="J110" s="90"/>
      <c r="K110" s="47"/>
      <c r="M110" s="146"/>
      <c r="N110" s="122"/>
      <c r="O110" s="122"/>
    </row>
    <row r="111" spans="3:15" x14ac:dyDescent="0.2">
      <c r="D111" s="223" t="s">
        <v>600</v>
      </c>
      <c r="I111" s="11"/>
    </row>
    <row r="112" spans="3:15" x14ac:dyDescent="0.2">
      <c r="I112" s="11"/>
    </row>
    <row r="113" spans="2:15" ht="36.75" customHeight="1" x14ac:dyDescent="0.2">
      <c r="B113" s="4" t="s">
        <v>730</v>
      </c>
      <c r="C113" s="1476" t="s">
        <v>564</v>
      </c>
      <c r="D113" s="1474"/>
      <c r="E113" s="1474"/>
      <c r="F113" s="1474"/>
      <c r="G113" s="1474"/>
      <c r="H113" s="1474"/>
      <c r="I113" s="1474"/>
      <c r="J113" s="1474"/>
      <c r="K113" s="1474"/>
      <c r="L113" s="1474"/>
      <c r="M113" s="1474"/>
      <c r="N113" s="1474"/>
      <c r="O113" s="1475"/>
    </row>
    <row r="114" spans="2:15" ht="3" customHeight="1" x14ac:dyDescent="0.2">
      <c r="B114" s="4"/>
      <c r="C114" s="273"/>
      <c r="D114" s="44"/>
      <c r="E114" s="44"/>
      <c r="F114" s="44"/>
      <c r="G114" s="44"/>
      <c r="H114" s="44"/>
      <c r="I114" s="44"/>
      <c r="J114" s="44"/>
      <c r="K114" s="44"/>
      <c r="L114" s="44"/>
      <c r="M114" s="44"/>
      <c r="N114" s="44"/>
      <c r="O114" s="44"/>
    </row>
    <row r="115" spans="2:15" x14ac:dyDescent="0.2">
      <c r="M115" s="3" t="s">
        <v>514</v>
      </c>
    </row>
    <row r="116" spans="2:15" ht="12.75" customHeight="1" x14ac:dyDescent="0.2">
      <c r="C116" s="39" t="s">
        <v>521</v>
      </c>
      <c r="D116" s="1401" t="s">
        <v>1114</v>
      </c>
      <c r="E116" s="1402"/>
      <c r="F116" s="1402"/>
      <c r="G116" s="1402"/>
      <c r="H116" s="1402"/>
      <c r="I116" s="1402"/>
      <c r="J116" s="1402"/>
      <c r="K116" s="1402"/>
      <c r="M116" s="1480"/>
    </row>
    <row r="117" spans="2:15" ht="14.25" customHeight="1" x14ac:dyDescent="0.2">
      <c r="C117" s="39"/>
      <c r="D117" s="1402"/>
      <c r="E117" s="1402"/>
      <c r="F117" s="1402"/>
      <c r="G117" s="1402"/>
      <c r="H117" s="1402"/>
      <c r="I117" s="1402"/>
      <c r="J117" s="1402"/>
      <c r="K117" s="1402"/>
      <c r="M117" s="1480"/>
    </row>
    <row r="118" spans="2:15" ht="6.75" customHeight="1" x14ac:dyDescent="0.2">
      <c r="C118" s="39"/>
      <c r="D118" s="34"/>
      <c r="E118" s="34"/>
      <c r="F118" s="34"/>
      <c r="G118" s="34"/>
      <c r="H118" s="34"/>
      <c r="I118" s="34"/>
      <c r="J118" s="34"/>
      <c r="K118" s="34"/>
      <c r="M118" s="351"/>
    </row>
    <row r="119" spans="2:15" ht="18.75" customHeight="1" x14ac:dyDescent="0.2">
      <c r="C119" s="39" t="s">
        <v>522</v>
      </c>
      <c r="D119" s="1387" t="s">
        <v>980</v>
      </c>
      <c r="E119" s="1387"/>
      <c r="F119" s="1387"/>
      <c r="G119" s="1387"/>
      <c r="H119" s="1387"/>
      <c r="I119" s="1387"/>
      <c r="J119" s="1387"/>
      <c r="K119" s="1387"/>
      <c r="M119" s="350"/>
    </row>
    <row r="120" spans="2:15" ht="12.75" customHeight="1" x14ac:dyDescent="0.2">
      <c r="C120" s="39"/>
      <c r="D120" s="34"/>
      <c r="E120" s="34"/>
      <c r="F120" s="34"/>
      <c r="G120" s="34"/>
      <c r="H120" s="34"/>
      <c r="I120" s="34"/>
      <c r="J120" s="34"/>
      <c r="K120" s="34"/>
      <c r="M120" s="219"/>
      <c r="N120" s="90"/>
    </row>
    <row r="121" spans="2:15" ht="12.75" customHeight="1" x14ac:dyDescent="0.2">
      <c r="C121" s="39" t="s">
        <v>523</v>
      </c>
      <c r="D121" s="1387" t="s">
        <v>979</v>
      </c>
      <c r="E121" s="1387"/>
      <c r="F121" s="1387"/>
      <c r="G121" s="1387"/>
      <c r="H121" s="1387"/>
      <c r="I121" s="1387"/>
      <c r="J121" s="1387"/>
      <c r="K121" s="1387"/>
      <c r="M121" s="219"/>
      <c r="N121" s="90"/>
    </row>
    <row r="122" spans="2:15" ht="12.75" customHeight="1" x14ac:dyDescent="0.2">
      <c r="C122" s="39"/>
      <c r="D122" s="1387"/>
      <c r="E122" s="1387"/>
      <c r="F122" s="1387"/>
      <c r="G122" s="1387"/>
      <c r="H122" s="1387"/>
      <c r="I122" s="1387"/>
      <c r="J122" s="1387"/>
      <c r="K122" s="1387"/>
      <c r="M122" s="219"/>
      <c r="N122" s="90"/>
    </row>
    <row r="123" spans="2:15" ht="12.75" customHeight="1" x14ac:dyDescent="0.2">
      <c r="C123" s="39"/>
      <c r="D123" s="34"/>
      <c r="E123" s="34"/>
      <c r="F123" s="34"/>
      <c r="G123" s="34"/>
      <c r="H123" s="34"/>
      <c r="I123" s="34"/>
      <c r="J123" s="34"/>
      <c r="K123" s="89" t="s">
        <v>514</v>
      </c>
      <c r="M123" s="134"/>
      <c r="N123" s="90"/>
    </row>
    <row r="124" spans="2:15" ht="12.75" customHeight="1" x14ac:dyDescent="0.2">
      <c r="C124" s="39"/>
      <c r="D124" s="34"/>
      <c r="E124" s="34"/>
      <c r="F124" t="s">
        <v>191</v>
      </c>
      <c r="K124" s="344"/>
      <c r="M124" s="134"/>
      <c r="N124" s="90"/>
    </row>
    <row r="125" spans="2:15" ht="12.75" customHeight="1" x14ac:dyDescent="0.2">
      <c r="C125" s="39"/>
      <c r="D125" s="34"/>
      <c r="E125" s="34"/>
      <c r="F125" t="s">
        <v>216</v>
      </c>
      <c r="K125" s="344"/>
      <c r="M125" s="134"/>
      <c r="N125" s="90"/>
    </row>
    <row r="126" spans="2:15" ht="12.75" customHeight="1" x14ac:dyDescent="0.2">
      <c r="C126" s="39"/>
      <c r="D126" s="34"/>
      <c r="E126" s="34"/>
      <c r="F126" t="s">
        <v>831</v>
      </c>
      <c r="K126" s="344"/>
      <c r="M126" s="134"/>
      <c r="N126" s="90"/>
    </row>
    <row r="127" spans="2:15" ht="12.75" customHeight="1" x14ac:dyDescent="0.2">
      <c r="C127" s="39"/>
      <c r="D127" s="34"/>
      <c r="E127" s="34"/>
      <c r="F127" t="s">
        <v>820</v>
      </c>
      <c r="K127" s="344"/>
      <c r="M127" s="134"/>
      <c r="N127" s="90"/>
    </row>
    <row r="128" spans="2:15" ht="12.75" customHeight="1" x14ac:dyDescent="0.2">
      <c r="C128" s="39"/>
      <c r="D128" s="34"/>
      <c r="E128" s="34"/>
      <c r="F128" t="s">
        <v>174</v>
      </c>
      <c r="K128" s="344"/>
      <c r="M128" s="1493" t="str">
        <f>IF(K130=M119," ","Recheck numbers. Entry is out of balance.")</f>
        <v xml:space="preserve"> </v>
      </c>
      <c r="N128" s="90"/>
    </row>
    <row r="129" spans="3:14" ht="12.75" customHeight="1" x14ac:dyDescent="0.2">
      <c r="C129" s="39"/>
      <c r="D129" s="34"/>
      <c r="E129" s="34"/>
      <c r="F129" s="354" t="s">
        <v>740</v>
      </c>
      <c r="K129" s="344"/>
      <c r="M129" s="1493"/>
      <c r="N129" s="90"/>
    </row>
    <row r="130" spans="3:14" ht="18" customHeight="1" thickBot="1" x14ac:dyDescent="0.25">
      <c r="C130" s="39"/>
      <c r="D130" s="34"/>
      <c r="E130" s="34"/>
      <c r="J130" s="90" t="s">
        <v>474</v>
      </c>
      <c r="K130" s="75">
        <f>SUM(K124:K129)</f>
        <v>0</v>
      </c>
      <c r="M130" s="1493"/>
      <c r="N130" s="90"/>
    </row>
    <row r="131" spans="3:14" ht="12.75" customHeight="1" thickTop="1" x14ac:dyDescent="0.2">
      <c r="C131" s="39"/>
      <c r="D131" s="34"/>
      <c r="E131" s="34"/>
      <c r="F131" s="34"/>
      <c r="G131" s="34"/>
      <c r="H131" s="34"/>
      <c r="I131" s="34"/>
      <c r="J131" s="34"/>
      <c r="K131" s="34"/>
      <c r="M131" s="134"/>
      <c r="N131" s="90"/>
    </row>
    <row r="132" spans="3:14" ht="12.75" customHeight="1" x14ac:dyDescent="0.2">
      <c r="C132" s="39" t="s">
        <v>549</v>
      </c>
      <c r="D132" s="1401" t="s">
        <v>1078</v>
      </c>
      <c r="E132" s="1402"/>
      <c r="F132" s="1402"/>
      <c r="G132" s="1402"/>
      <c r="H132" s="1402"/>
      <c r="I132" s="1402"/>
      <c r="J132" s="1402"/>
      <c r="K132" s="1402"/>
      <c r="M132" s="1481"/>
    </row>
    <row r="133" spans="3:14" ht="13.5" customHeight="1" x14ac:dyDescent="0.2">
      <c r="C133" s="39"/>
      <c r="D133" s="1402"/>
      <c r="E133" s="1402"/>
      <c r="F133" s="1402"/>
      <c r="G133" s="1402"/>
      <c r="H133" s="1402"/>
      <c r="I133" s="1402"/>
      <c r="J133" s="1402"/>
      <c r="K133" s="1402"/>
      <c r="M133" s="1481"/>
    </row>
    <row r="134" spans="3:14" ht="5.25" customHeight="1" x14ac:dyDescent="0.2">
      <c r="M134" s="1"/>
    </row>
    <row r="135" spans="3:14" ht="15.75" customHeight="1" thickBot="1" x14ac:dyDescent="0.25">
      <c r="I135" s="35" t="s">
        <v>944</v>
      </c>
      <c r="M135" s="92">
        <f>M116+M119-M132</f>
        <v>0</v>
      </c>
      <c r="N135" s="90" t="s">
        <v>193</v>
      </c>
    </row>
    <row r="136" spans="3:14" ht="12.75" customHeight="1" thickTop="1" x14ac:dyDescent="0.2">
      <c r="M136" s="1"/>
    </row>
    <row r="137" spans="3:14" ht="12.75" customHeight="1" x14ac:dyDescent="0.2">
      <c r="C137" s="39" t="s">
        <v>550</v>
      </c>
      <c r="D137" s="1387" t="s">
        <v>10</v>
      </c>
      <c r="E137" s="1387"/>
      <c r="F137" s="1387"/>
      <c r="G137" s="1387"/>
      <c r="H137" s="1387"/>
      <c r="I137" s="1387"/>
      <c r="J137" s="1387"/>
      <c r="K137" s="1387"/>
      <c r="M137" s="88"/>
    </row>
    <row r="138" spans="3:14" ht="24" customHeight="1" x14ac:dyDescent="0.2">
      <c r="C138" s="39"/>
      <c r="D138" s="1387"/>
      <c r="E138" s="1387"/>
      <c r="F138" s="1387"/>
      <c r="G138" s="1387"/>
      <c r="H138" s="1387"/>
      <c r="I138" s="1387"/>
      <c r="J138" s="1387"/>
      <c r="K138" s="1387"/>
      <c r="M138" s="88"/>
    </row>
    <row r="139" spans="3:14" ht="12.75" customHeight="1" x14ac:dyDescent="0.2">
      <c r="C139" s="39"/>
      <c r="D139" s="34"/>
      <c r="E139" s="34"/>
      <c r="F139" s="34"/>
      <c r="G139" s="34"/>
      <c r="H139" s="34"/>
      <c r="I139" s="34"/>
      <c r="J139" s="34"/>
      <c r="K139" s="89" t="s">
        <v>514</v>
      </c>
      <c r="M139" s="88"/>
    </row>
    <row r="140" spans="3:14" x14ac:dyDescent="0.2">
      <c r="C140" s="39"/>
      <c r="F140" t="s">
        <v>191</v>
      </c>
      <c r="K140" s="344"/>
      <c r="M140" s="88"/>
    </row>
    <row r="141" spans="3:14" x14ac:dyDescent="0.2">
      <c r="C141" s="39"/>
      <c r="F141" t="s">
        <v>1010</v>
      </c>
      <c r="K141" s="344"/>
      <c r="M141" s="88"/>
    </row>
    <row r="142" spans="3:14" x14ac:dyDescent="0.2">
      <c r="C142" s="39"/>
      <c r="F142" t="s">
        <v>831</v>
      </c>
      <c r="K142" s="344"/>
      <c r="M142" s="88"/>
    </row>
    <row r="143" spans="3:14" x14ac:dyDescent="0.2">
      <c r="C143" s="39"/>
      <c r="F143" t="s">
        <v>192</v>
      </c>
      <c r="K143" s="344"/>
      <c r="M143" s="88"/>
    </row>
    <row r="144" spans="3:14" ht="12.75" customHeight="1" x14ac:dyDescent="0.25">
      <c r="C144" s="39"/>
      <c r="F144" t="s">
        <v>174</v>
      </c>
      <c r="K144" s="344"/>
      <c r="M144" s="140"/>
    </row>
    <row r="145" spans="2:15" ht="12.75" customHeight="1" x14ac:dyDescent="0.2">
      <c r="C145" s="39"/>
      <c r="F145" s="354" t="s">
        <v>740</v>
      </c>
      <c r="K145" s="344"/>
      <c r="M145" s="1489" t="str">
        <f>IF(K146=M135," ","Recheck numbers in steps 1-4. Entry is out of balance.")</f>
        <v xml:space="preserve"> </v>
      </c>
    </row>
    <row r="146" spans="2:15" ht="30.75" customHeight="1" thickBot="1" x14ac:dyDescent="0.3">
      <c r="C146" s="39"/>
      <c r="J146" s="90" t="s">
        <v>193</v>
      </c>
      <c r="K146" s="75">
        <f>SUM(K140:K145)</f>
        <v>0</v>
      </c>
      <c r="M146" s="1489"/>
      <c r="N146" s="140"/>
      <c r="O146" s="140"/>
    </row>
    <row r="147" spans="2:15" ht="5.25" customHeight="1" thickTop="1" x14ac:dyDescent="0.2">
      <c r="I147" s="11"/>
    </row>
    <row r="148" spans="2:15" x14ac:dyDescent="0.2">
      <c r="D148" s="223" t="s">
        <v>600</v>
      </c>
      <c r="I148" s="11"/>
    </row>
    <row r="149" spans="2:15" x14ac:dyDescent="0.2">
      <c r="I149" s="11"/>
    </row>
    <row r="150" spans="2:15" ht="26.25" customHeight="1" x14ac:dyDescent="0.2">
      <c r="B150" s="4" t="s">
        <v>800</v>
      </c>
      <c r="C150" s="1476" t="s">
        <v>297</v>
      </c>
      <c r="D150" s="1478"/>
      <c r="E150" s="1478"/>
      <c r="F150" s="1478"/>
      <c r="G150" s="1478"/>
      <c r="H150" s="1478"/>
      <c r="I150" s="1478"/>
      <c r="J150" s="1478"/>
      <c r="K150" s="1478"/>
      <c r="L150" s="1478"/>
      <c r="M150" s="1478"/>
      <c r="N150" s="1478"/>
      <c r="O150" s="1479"/>
    </row>
    <row r="151" spans="2:15" x14ac:dyDescent="0.2">
      <c r="I151" s="11"/>
    </row>
    <row r="152" spans="2:15" ht="27" customHeight="1" x14ac:dyDescent="0.2">
      <c r="C152" s="1492" t="s">
        <v>1012</v>
      </c>
      <c r="D152" s="1492"/>
      <c r="E152" s="1492"/>
      <c r="F152" s="1492"/>
      <c r="G152" s="1492"/>
      <c r="H152" s="1492"/>
      <c r="I152" s="1492"/>
      <c r="J152" s="1492"/>
      <c r="K152" s="1492"/>
      <c r="L152" s="1492"/>
      <c r="M152" s="1492"/>
      <c r="N152" s="1492"/>
      <c r="O152" s="1492"/>
    </row>
    <row r="153" spans="2:15" x14ac:dyDescent="0.2">
      <c r="M153" s="3" t="s">
        <v>514</v>
      </c>
    </row>
    <row r="155" spans="2:15" ht="14.25" customHeight="1" x14ac:dyDescent="0.2">
      <c r="C155" s="39" t="s">
        <v>521</v>
      </c>
      <c r="D155" s="1401" t="s">
        <v>1115</v>
      </c>
      <c r="E155" s="1402"/>
      <c r="F155" s="1402"/>
      <c r="G155" s="1402"/>
      <c r="H155" s="1402"/>
      <c r="I155" s="1402"/>
      <c r="J155" s="1402"/>
      <c r="K155" s="1402"/>
      <c r="L155" s="1402"/>
      <c r="M155" s="1480"/>
      <c r="N155" s="90" t="s">
        <v>11</v>
      </c>
      <c r="O155" s="2"/>
    </row>
    <row r="156" spans="2:15" ht="36.75" customHeight="1" x14ac:dyDescent="0.2">
      <c r="C156" s="39"/>
      <c r="D156" s="1402"/>
      <c r="E156" s="1402"/>
      <c r="F156" s="1402"/>
      <c r="G156" s="1402"/>
      <c r="H156" s="1402"/>
      <c r="I156" s="1402"/>
      <c r="J156" s="1402"/>
      <c r="K156" s="1402"/>
      <c r="L156" s="1402"/>
      <c r="M156" s="1480"/>
      <c r="N156" s="90"/>
      <c r="O156" s="2"/>
    </row>
    <row r="157" spans="2:15" ht="37.5" customHeight="1" x14ac:dyDescent="0.2">
      <c r="D157" s="34"/>
      <c r="E157" s="34"/>
      <c r="F157" s="34"/>
      <c r="G157" s="34"/>
      <c r="H157" s="139" t="s">
        <v>945</v>
      </c>
      <c r="I157" s="138" t="s">
        <v>966</v>
      </c>
      <c r="J157" s="34"/>
      <c r="K157" s="138" t="s">
        <v>1007</v>
      </c>
      <c r="M157" s="138" t="s">
        <v>73</v>
      </c>
    </row>
    <row r="158" spans="2:15" ht="12.75" customHeight="1" x14ac:dyDescent="0.2">
      <c r="D158" s="34"/>
      <c r="E158" s="34"/>
      <c r="F158" s="34"/>
      <c r="G158" s="34"/>
      <c r="H158" s="34"/>
      <c r="I158" s="137" t="s">
        <v>514</v>
      </c>
      <c r="J158" s="136"/>
      <c r="K158" s="137" t="s">
        <v>514</v>
      </c>
      <c r="M158" s="137" t="s">
        <v>514</v>
      </c>
    </row>
    <row r="159" spans="2:15" ht="12.75" customHeight="1" x14ac:dyDescent="0.2">
      <c r="D159" s="141" t="s">
        <v>191</v>
      </c>
      <c r="I159" s="344"/>
      <c r="K159" s="344"/>
      <c r="M159" s="344"/>
    </row>
    <row r="160" spans="2:15" ht="12.75" customHeight="1" x14ac:dyDescent="0.2">
      <c r="D160" s="141" t="s">
        <v>1009</v>
      </c>
      <c r="I160" s="344"/>
      <c r="K160" s="344"/>
      <c r="M160" s="344"/>
    </row>
    <row r="161" spans="3:15" ht="12.75" customHeight="1" x14ac:dyDescent="0.2">
      <c r="D161" s="141" t="s">
        <v>1010</v>
      </c>
      <c r="I161" s="344"/>
      <c r="K161" s="344"/>
      <c r="M161" s="344"/>
    </row>
    <row r="162" spans="3:15" ht="12.75" customHeight="1" x14ac:dyDescent="0.2">
      <c r="D162" s="141" t="s">
        <v>831</v>
      </c>
      <c r="I162" s="344"/>
      <c r="K162" s="344"/>
      <c r="M162" s="344"/>
    </row>
    <row r="163" spans="3:15" ht="12.75" customHeight="1" x14ac:dyDescent="0.2">
      <c r="D163" s="141" t="s">
        <v>192</v>
      </c>
      <c r="I163" s="344"/>
      <c r="K163" s="344"/>
      <c r="M163" s="344"/>
    </row>
    <row r="164" spans="3:15" ht="12.75" customHeight="1" x14ac:dyDescent="0.2">
      <c r="D164" s="141" t="s">
        <v>217</v>
      </c>
      <c r="I164" s="344"/>
      <c r="K164" s="344"/>
      <c r="M164" s="344"/>
    </row>
    <row r="165" spans="3:15" ht="12.75" customHeight="1" x14ac:dyDescent="0.2">
      <c r="D165" s="141" t="s">
        <v>308</v>
      </c>
      <c r="I165" s="344"/>
      <c r="K165" s="344"/>
      <c r="M165" s="344"/>
      <c r="O165" s="1388" t="str">
        <f>IF(O169=M155," ","Recheck numbers. Entry is out of balance.")</f>
        <v xml:space="preserve"> </v>
      </c>
    </row>
    <row r="166" spans="3:15" ht="12.75" customHeight="1" x14ac:dyDescent="0.2">
      <c r="D166" s="141" t="s">
        <v>174</v>
      </c>
      <c r="I166" s="344"/>
      <c r="K166" s="344"/>
      <c r="M166" s="344"/>
      <c r="O166" s="1388"/>
    </row>
    <row r="167" spans="3:15" ht="12.75" customHeight="1" x14ac:dyDescent="0.2">
      <c r="D167" s="378" t="s">
        <v>740</v>
      </c>
      <c r="I167" s="344"/>
      <c r="K167" s="344"/>
      <c r="M167" s="344"/>
      <c r="O167" s="1388"/>
    </row>
    <row r="168" spans="3:15" ht="12.75" customHeight="1" x14ac:dyDescent="0.2">
      <c r="D168" s="141" t="s">
        <v>867</v>
      </c>
      <c r="F168" s="6"/>
      <c r="G168" s="6"/>
      <c r="H168" s="344"/>
      <c r="I168" s="77" t="s">
        <v>837</v>
      </c>
      <c r="K168" s="77" t="s">
        <v>837</v>
      </c>
      <c r="M168" s="77" t="s">
        <v>837</v>
      </c>
    </row>
    <row r="169" spans="3:15" ht="15.75" customHeight="1" thickBot="1" x14ac:dyDescent="0.25">
      <c r="H169" s="75">
        <f>SUM(H168)</f>
        <v>0</v>
      </c>
      <c r="I169" s="75">
        <f>SUM(I159:I167)</f>
        <v>0</v>
      </c>
      <c r="K169" s="75">
        <f>SUM(K159:K167)</f>
        <v>0</v>
      </c>
      <c r="M169" s="75">
        <f>SUM(M159:M167)</f>
        <v>0</v>
      </c>
      <c r="N169" s="90" t="s">
        <v>11</v>
      </c>
      <c r="O169" s="87">
        <f>H169+I169+K169+M169</f>
        <v>0</v>
      </c>
    </row>
    <row r="170" spans="3:15" ht="12.75" customHeight="1" thickTop="1" x14ac:dyDescent="0.2">
      <c r="H170" s="47"/>
      <c r="I170" s="47"/>
      <c r="J170" s="13"/>
      <c r="K170" s="47"/>
      <c r="L170" s="13"/>
      <c r="M170" s="47"/>
      <c r="N170" s="159"/>
      <c r="O170" s="10"/>
    </row>
    <row r="171" spans="3:15" ht="12.75" customHeight="1" x14ac:dyDescent="0.2">
      <c r="C171" s="53" t="s">
        <v>971</v>
      </c>
    </row>
    <row r="172" spans="3:15" ht="12.75" customHeight="1" x14ac:dyDescent="0.2">
      <c r="C172" s="53"/>
    </row>
    <row r="173" spans="3:15" ht="12.75" customHeight="1" x14ac:dyDescent="0.2">
      <c r="M173" s="1"/>
    </row>
    <row r="174" spans="3:15" ht="12.75" customHeight="1" x14ac:dyDescent="0.2">
      <c r="C174" s="39" t="s">
        <v>522</v>
      </c>
      <c r="D174" s="1401" t="s">
        <v>1116</v>
      </c>
      <c r="E174" s="1402"/>
      <c r="F174" s="1402"/>
      <c r="G174" s="1402"/>
      <c r="H174" s="1402"/>
      <c r="I174" s="1402"/>
      <c r="J174" s="1402"/>
      <c r="K174" s="1402"/>
      <c r="M174" s="1481"/>
      <c r="O174" s="2"/>
    </row>
    <row r="175" spans="3:15" ht="39" customHeight="1" x14ac:dyDescent="0.2">
      <c r="C175" s="39"/>
      <c r="D175" s="1402"/>
      <c r="E175" s="1402"/>
      <c r="F175" s="1402"/>
      <c r="G175" s="1402"/>
      <c r="H175" s="1402"/>
      <c r="I175" s="1402"/>
      <c r="J175" s="1402"/>
      <c r="K175" s="1402"/>
      <c r="M175" s="1481"/>
      <c r="N175" s="90" t="s">
        <v>12</v>
      </c>
      <c r="O175" s="2"/>
    </row>
    <row r="176" spans="3:15" x14ac:dyDescent="0.2">
      <c r="M176" s="1"/>
    </row>
    <row r="177" spans="3:16" ht="12.75" customHeight="1" x14ac:dyDescent="0.2">
      <c r="C177" s="39" t="s">
        <v>523</v>
      </c>
      <c r="D177" s="1387" t="s">
        <v>796</v>
      </c>
      <c r="E177" s="1387"/>
      <c r="F177" s="1387"/>
      <c r="G177" s="1387"/>
      <c r="H177" s="1387"/>
      <c r="I177" s="1387"/>
      <c r="J177" s="1387"/>
      <c r="K177" s="1387"/>
    </row>
    <row r="178" spans="3:16" ht="12.75" customHeight="1" x14ac:dyDescent="0.2">
      <c r="C178" s="39"/>
      <c r="D178" s="1387"/>
      <c r="E178" s="1387"/>
      <c r="F178" s="1387"/>
      <c r="G178" s="1387"/>
      <c r="H178" s="1387"/>
      <c r="I178" s="1387"/>
      <c r="J178" s="1387"/>
      <c r="K178" s="1387"/>
    </row>
    <row r="179" spans="3:16" ht="35.25" customHeight="1" x14ac:dyDescent="0.2">
      <c r="C179" s="39"/>
      <c r="D179" s="34"/>
      <c r="E179" s="34"/>
      <c r="F179" s="34"/>
      <c r="G179" s="34"/>
      <c r="H179" s="139" t="s">
        <v>945</v>
      </c>
      <c r="I179" s="138" t="s">
        <v>966</v>
      </c>
      <c r="J179" s="34"/>
      <c r="K179" s="138" t="s">
        <v>1007</v>
      </c>
      <c r="M179" s="138" t="s">
        <v>73</v>
      </c>
    </row>
    <row r="180" spans="3:16" x14ac:dyDescent="0.2">
      <c r="C180" s="39"/>
      <c r="D180" s="34"/>
      <c r="E180" s="34"/>
      <c r="F180" s="34"/>
      <c r="G180" s="34"/>
      <c r="H180" s="34"/>
      <c r="I180" s="137" t="s">
        <v>514</v>
      </c>
      <c r="J180" s="136"/>
      <c r="K180" s="137" t="s">
        <v>514</v>
      </c>
      <c r="M180" s="137" t="s">
        <v>514</v>
      </c>
    </row>
    <row r="181" spans="3:16" x14ac:dyDescent="0.2">
      <c r="C181" s="39"/>
      <c r="D181" s="141" t="s">
        <v>191</v>
      </c>
      <c r="I181" s="344"/>
      <c r="K181" s="344"/>
      <c r="M181" s="344"/>
    </row>
    <row r="182" spans="3:16" x14ac:dyDescent="0.2">
      <c r="C182" s="39"/>
      <c r="D182" s="141" t="s">
        <v>1009</v>
      </c>
      <c r="I182" s="344"/>
      <c r="K182" s="344"/>
      <c r="M182" s="344"/>
    </row>
    <row r="183" spans="3:16" x14ac:dyDescent="0.2">
      <c r="C183" s="39"/>
      <c r="D183" s="141" t="s">
        <v>1010</v>
      </c>
      <c r="I183" s="344"/>
      <c r="K183" s="344"/>
      <c r="M183" s="344"/>
    </row>
    <row r="184" spans="3:16" x14ac:dyDescent="0.2">
      <c r="C184" s="39"/>
      <c r="D184" s="141" t="s">
        <v>831</v>
      </c>
      <c r="I184" s="344"/>
      <c r="K184" s="344"/>
      <c r="M184" s="344"/>
    </row>
    <row r="185" spans="3:16" x14ac:dyDescent="0.2">
      <c r="C185" s="39"/>
      <c r="D185" s="141" t="s">
        <v>192</v>
      </c>
      <c r="I185" s="344"/>
      <c r="K185" s="344"/>
      <c r="M185" s="344"/>
    </row>
    <row r="186" spans="3:16" x14ac:dyDescent="0.2">
      <c r="C186" s="39"/>
      <c r="D186" s="141" t="s">
        <v>217</v>
      </c>
      <c r="I186" s="344"/>
      <c r="K186" s="344"/>
      <c r="M186" s="344"/>
      <c r="O186" t="s">
        <v>50</v>
      </c>
    </row>
    <row r="187" spans="3:16" x14ac:dyDescent="0.2">
      <c r="C187" s="39"/>
      <c r="D187" s="141" t="s">
        <v>308</v>
      </c>
      <c r="I187" s="344"/>
      <c r="K187" s="344"/>
      <c r="M187" s="344"/>
      <c r="O187" s="1388" t="str">
        <f>IF(O191=M174," ","Recheck numbers in steps 2 &amp; 3. Entry is out of balance.")</f>
        <v xml:space="preserve"> </v>
      </c>
    </row>
    <row r="188" spans="3:16" x14ac:dyDescent="0.2">
      <c r="C188" s="39"/>
      <c r="D188" s="141" t="s">
        <v>174</v>
      </c>
      <c r="I188" s="344"/>
      <c r="K188" s="344"/>
      <c r="M188" s="344"/>
      <c r="O188" s="1388"/>
      <c r="P188" s="157"/>
    </row>
    <row r="189" spans="3:16" ht="13.5" customHeight="1" x14ac:dyDescent="0.2">
      <c r="C189" s="39"/>
      <c r="D189" s="378" t="s">
        <v>740</v>
      </c>
      <c r="I189" s="344"/>
      <c r="K189" s="344"/>
      <c r="M189" s="344"/>
      <c r="O189" s="1388"/>
      <c r="P189" s="157"/>
    </row>
    <row r="190" spans="3:16" x14ac:dyDescent="0.2">
      <c r="C190" s="39"/>
      <c r="D190" s="141" t="s">
        <v>867</v>
      </c>
      <c r="F190" s="6"/>
      <c r="G190" s="6"/>
      <c r="H190" s="344"/>
      <c r="I190" s="77" t="s">
        <v>837</v>
      </c>
      <c r="K190" s="77" t="s">
        <v>837</v>
      </c>
      <c r="M190" s="77" t="s">
        <v>837</v>
      </c>
      <c r="O190" s="157"/>
      <c r="P190" s="157"/>
    </row>
    <row r="191" spans="3:16" ht="15.75" customHeight="1" thickBot="1" x14ac:dyDescent="0.25">
      <c r="C191" s="39"/>
      <c r="H191" s="75">
        <f>SUM(H190)</f>
        <v>0</v>
      </c>
      <c r="I191" s="75">
        <f>SUM(I181:I189)</f>
        <v>0</v>
      </c>
      <c r="K191" s="75">
        <f>SUM(K181:K189)</f>
        <v>0</v>
      </c>
      <c r="L191" s="47">
        <f>SUM(L181:L189)</f>
        <v>0</v>
      </c>
      <c r="M191" s="75">
        <f>SUM(M181:M189)</f>
        <v>0</v>
      </c>
      <c r="N191" s="135" t="s">
        <v>12</v>
      </c>
      <c r="O191" s="87">
        <f>H191+I191+K191+M191</f>
        <v>0</v>
      </c>
    </row>
    <row r="192" spans="3:16" ht="15" customHeight="1" thickTop="1" x14ac:dyDescent="0.2">
      <c r="C192" s="39"/>
      <c r="H192" s="47"/>
      <c r="I192" s="47"/>
      <c r="J192" s="13"/>
      <c r="K192" s="47"/>
      <c r="L192" s="47"/>
      <c r="M192" s="47"/>
      <c r="N192" s="142"/>
      <c r="O192" s="10"/>
    </row>
    <row r="193" spans="2:15" ht="15.75" customHeight="1" x14ac:dyDescent="0.2">
      <c r="C193" s="53" t="s">
        <v>971</v>
      </c>
      <c r="H193" s="47"/>
      <c r="I193" s="47"/>
      <c r="J193" s="13"/>
      <c r="K193" s="47"/>
      <c r="L193" s="13"/>
      <c r="M193" s="47"/>
      <c r="N193" s="142"/>
      <c r="O193" s="10"/>
    </row>
    <row r="194" spans="2:15" ht="15.75" customHeight="1" x14ac:dyDescent="0.2">
      <c r="C194" s="53"/>
      <c r="H194" s="47"/>
      <c r="I194" s="47"/>
      <c r="J194" s="13"/>
      <c r="K194" s="47"/>
      <c r="L194" s="13"/>
      <c r="M194" s="47"/>
      <c r="N194" s="142"/>
      <c r="O194" s="10"/>
    </row>
    <row r="195" spans="2:15" ht="25.5" customHeight="1" x14ac:dyDescent="0.2">
      <c r="B195" s="318" t="s">
        <v>1014</v>
      </c>
      <c r="C195" s="1473" t="s">
        <v>927</v>
      </c>
      <c r="D195" s="1490"/>
      <c r="E195" s="1490"/>
      <c r="F195" s="1490"/>
      <c r="G195" s="1490"/>
      <c r="H195" s="1490"/>
      <c r="I195" s="1490"/>
      <c r="J195" s="1490"/>
      <c r="K195" s="1490"/>
      <c r="L195" s="1490"/>
      <c r="M195" s="1490"/>
      <c r="N195" s="1490"/>
      <c r="O195" s="1491"/>
    </row>
    <row r="196" spans="2:15" ht="15.75" customHeight="1" x14ac:dyDescent="0.2">
      <c r="C196" s="53"/>
      <c r="H196" s="47"/>
      <c r="I196" s="47"/>
      <c r="J196" s="13"/>
      <c r="K196" s="47"/>
      <c r="L196" s="13"/>
      <c r="M196" s="47"/>
      <c r="N196" s="142"/>
      <c r="O196" s="10"/>
    </row>
    <row r="197" spans="2:15" ht="18" customHeight="1" x14ac:dyDescent="0.2">
      <c r="C197" s="199" t="s">
        <v>521</v>
      </c>
      <c r="D197" t="s">
        <v>802</v>
      </c>
      <c r="H197" s="47"/>
      <c r="I197" s="47"/>
      <c r="J197" s="13"/>
      <c r="K197" s="342"/>
      <c r="L197" s="13"/>
      <c r="M197" s="47"/>
      <c r="N197" s="142"/>
      <c r="O197" s="10"/>
    </row>
    <row r="198" spans="2:15" ht="6" customHeight="1" x14ac:dyDescent="0.2">
      <c r="C198" s="197"/>
      <c r="H198" s="47"/>
      <c r="I198" s="47"/>
      <c r="J198" s="13"/>
      <c r="K198" s="339"/>
      <c r="L198" s="13"/>
      <c r="M198" s="47"/>
      <c r="N198" s="142"/>
      <c r="O198" s="10"/>
    </row>
    <row r="199" spans="2:15" ht="17.25" customHeight="1" x14ac:dyDescent="0.2">
      <c r="C199" s="199" t="s">
        <v>522</v>
      </c>
      <c r="D199" t="s">
        <v>795</v>
      </c>
      <c r="H199" s="47"/>
      <c r="I199" s="47"/>
      <c r="J199" s="13"/>
      <c r="K199" s="342"/>
      <c r="L199" s="13"/>
      <c r="M199" s="47"/>
      <c r="N199" s="142"/>
      <c r="O199" s="10"/>
    </row>
    <row r="200" spans="2:15" ht="4.5" customHeight="1" x14ac:dyDescent="0.2">
      <c r="C200" s="53"/>
      <c r="H200" s="47"/>
      <c r="I200" s="47"/>
      <c r="J200" s="13"/>
      <c r="K200" s="47"/>
      <c r="L200" s="13"/>
      <c r="M200" s="47"/>
      <c r="N200" s="142"/>
      <c r="O200" s="10"/>
    </row>
    <row r="201" spans="2:15" ht="12.75" customHeight="1" x14ac:dyDescent="0.2">
      <c r="C201" s="53"/>
      <c r="D201" s="2" t="s">
        <v>804</v>
      </c>
      <c r="H201" s="47"/>
      <c r="I201" s="47"/>
      <c r="J201" s="13"/>
      <c r="K201" s="47"/>
      <c r="L201" s="13"/>
      <c r="M201" s="47"/>
      <c r="N201" s="142"/>
      <c r="O201" s="10"/>
    </row>
    <row r="202" spans="2:15" ht="12.75" customHeight="1" x14ac:dyDescent="0.2">
      <c r="C202" s="53"/>
      <c r="H202" s="47"/>
      <c r="I202" s="47"/>
      <c r="J202" s="13"/>
      <c r="K202" s="47"/>
      <c r="L202" s="13"/>
      <c r="M202" s="47"/>
      <c r="N202" s="142"/>
      <c r="O202" s="10"/>
    </row>
    <row r="203" spans="2:15" ht="7.5" customHeight="1" x14ac:dyDescent="0.2"/>
    <row r="204" spans="2:15" ht="25.5" customHeight="1" x14ac:dyDescent="0.2">
      <c r="B204" s="4" t="s">
        <v>801</v>
      </c>
      <c r="C204" s="1473" t="s">
        <v>13</v>
      </c>
      <c r="D204" s="1474"/>
      <c r="E204" s="1474"/>
      <c r="F204" s="1474"/>
      <c r="G204" s="1474"/>
      <c r="H204" s="1474"/>
      <c r="I204" s="1474"/>
      <c r="J204" s="1474"/>
      <c r="K204" s="1474"/>
      <c r="L204" s="1474"/>
      <c r="M204" s="1474"/>
      <c r="N204" s="1474"/>
      <c r="O204" s="1475"/>
    </row>
    <row r="205" spans="2:15" ht="6.75" customHeight="1" x14ac:dyDescent="0.2">
      <c r="B205" s="4"/>
      <c r="C205" s="44"/>
      <c r="D205" s="44"/>
      <c r="E205" s="44"/>
      <c r="F205" s="44"/>
      <c r="G205" s="44"/>
      <c r="H205" s="44"/>
      <c r="I205" s="44"/>
      <c r="J205" s="31"/>
      <c r="K205" s="31"/>
      <c r="L205" s="31"/>
      <c r="M205" s="31"/>
      <c r="N205" s="31"/>
      <c r="O205" s="31"/>
    </row>
    <row r="206" spans="2:15" x14ac:dyDescent="0.2">
      <c r="K206" s="49" t="s">
        <v>517</v>
      </c>
      <c r="L206" s="38"/>
      <c r="M206" s="49" t="s">
        <v>518</v>
      </c>
    </row>
    <row r="207" spans="2:15" x14ac:dyDescent="0.2">
      <c r="B207" t="s">
        <v>198</v>
      </c>
      <c r="C207" t="s">
        <v>778</v>
      </c>
      <c r="K207" s="238">
        <f t="shared" ref="K207:K215" si="0">AE257</f>
        <v>0</v>
      </c>
      <c r="L207" s="38"/>
      <c r="M207" s="237"/>
    </row>
    <row r="208" spans="2:15" x14ac:dyDescent="0.2">
      <c r="C208" s="651" t="s">
        <v>1074</v>
      </c>
      <c r="D208" s="13"/>
      <c r="E208" s="13"/>
      <c r="I208" s="1"/>
      <c r="J208" s="13"/>
      <c r="K208" s="84">
        <f t="shared" si="0"/>
        <v>0</v>
      </c>
      <c r="L208" s="93"/>
      <c r="M208" s="84">
        <f t="shared" ref="M208:M215" si="1">AF258</f>
        <v>0</v>
      </c>
    </row>
    <row r="209" spans="3:13" x14ac:dyDescent="0.2">
      <c r="C209" s="141" t="s">
        <v>731</v>
      </c>
      <c r="D209" s="141"/>
      <c r="E209" s="141"/>
      <c r="F209" s="141"/>
      <c r="I209" s="1"/>
      <c r="J209" s="13"/>
      <c r="K209" s="84">
        <f t="shared" si="0"/>
        <v>0</v>
      </c>
      <c r="L209" s="93"/>
      <c r="M209" s="84">
        <f t="shared" si="1"/>
        <v>0</v>
      </c>
    </row>
    <row r="210" spans="3:13" x14ac:dyDescent="0.2">
      <c r="C210" s="141" t="s">
        <v>733</v>
      </c>
      <c r="D210" s="141"/>
      <c r="E210" s="141"/>
      <c r="F210" s="141"/>
      <c r="I210" s="1"/>
      <c r="J210" s="13"/>
      <c r="K210" s="84">
        <f t="shared" si="0"/>
        <v>0</v>
      </c>
      <c r="L210" s="93"/>
      <c r="M210" s="84">
        <f t="shared" si="1"/>
        <v>0</v>
      </c>
    </row>
    <row r="211" spans="3:13" x14ac:dyDescent="0.2">
      <c r="C211" s="141" t="s">
        <v>732</v>
      </c>
      <c r="D211" s="141"/>
      <c r="E211" s="141"/>
      <c r="F211" s="141"/>
      <c r="I211" s="1"/>
      <c r="J211" s="13"/>
      <c r="K211" s="84">
        <f t="shared" si="0"/>
        <v>0</v>
      </c>
      <c r="L211" s="93"/>
      <c r="M211" s="84">
        <f t="shared" si="1"/>
        <v>0</v>
      </c>
    </row>
    <row r="212" spans="3:13" x14ac:dyDescent="0.2">
      <c r="C212" s="141" t="s">
        <v>329</v>
      </c>
      <c r="D212" s="141"/>
      <c r="E212" s="141"/>
      <c r="F212" s="141"/>
      <c r="I212" s="1"/>
      <c r="J212" s="13"/>
      <c r="K212" s="84">
        <f t="shared" si="0"/>
        <v>0</v>
      </c>
      <c r="L212" s="93"/>
      <c r="M212" s="84">
        <f t="shared" si="1"/>
        <v>0</v>
      </c>
    </row>
    <row r="213" spans="3:13" ht="12.75" customHeight="1" x14ac:dyDescent="0.2">
      <c r="C213" s="141" t="s">
        <v>728</v>
      </c>
      <c r="D213" s="141"/>
      <c r="E213" s="141"/>
      <c r="F213" s="141"/>
      <c r="I213" s="1"/>
      <c r="J213" s="13"/>
      <c r="K213" s="84">
        <f t="shared" si="0"/>
        <v>0</v>
      </c>
      <c r="L213" s="93"/>
      <c r="M213" s="84">
        <f t="shared" si="1"/>
        <v>0</v>
      </c>
    </row>
    <row r="214" spans="3:13" x14ac:dyDescent="0.2">
      <c r="C214" s="141" t="s">
        <v>928</v>
      </c>
      <c r="D214" s="141"/>
      <c r="E214" s="141"/>
      <c r="F214" s="141"/>
      <c r="K214" s="84">
        <f t="shared" si="0"/>
        <v>0</v>
      </c>
      <c r="L214" s="93"/>
      <c r="M214" s="84">
        <f t="shared" si="1"/>
        <v>0</v>
      </c>
    </row>
    <row r="215" spans="3:13" x14ac:dyDescent="0.2">
      <c r="C215" s="141" t="s">
        <v>904</v>
      </c>
      <c r="D215" s="141"/>
      <c r="E215" s="141"/>
      <c r="F215" s="141"/>
      <c r="K215" s="84">
        <f t="shared" si="0"/>
        <v>0</v>
      </c>
      <c r="L215" s="93"/>
      <c r="M215" s="84">
        <f t="shared" si="1"/>
        <v>0</v>
      </c>
    </row>
    <row r="216" spans="3:13" ht="5.25" customHeight="1" x14ac:dyDescent="0.2">
      <c r="C216" s="141"/>
      <c r="D216" s="141"/>
      <c r="E216" s="141"/>
      <c r="F216" s="141"/>
      <c r="K216" s="84"/>
      <c r="L216" s="93"/>
      <c r="M216" s="84"/>
    </row>
    <row r="217" spans="3:13" x14ac:dyDescent="0.2">
      <c r="C217" s="141" t="s">
        <v>331</v>
      </c>
      <c r="E217" s="141"/>
      <c r="F217" s="141"/>
      <c r="K217" s="78">
        <f>AE268</f>
        <v>0</v>
      </c>
      <c r="L217" s="13"/>
      <c r="M217" s="78">
        <f>AF268</f>
        <v>0</v>
      </c>
    </row>
    <row r="218" spans="3:13" ht="12.75" customHeight="1" x14ac:dyDescent="0.2">
      <c r="C218" s="141" t="s">
        <v>332</v>
      </c>
      <c r="E218" s="141"/>
      <c r="F218" s="141"/>
      <c r="K218" s="78">
        <f t="shared" ref="K218:K225" si="2">AE269</f>
        <v>0</v>
      </c>
      <c r="L218" s="13"/>
      <c r="M218" s="78">
        <f>AF269</f>
        <v>0</v>
      </c>
    </row>
    <row r="219" spans="3:13" ht="12.75" customHeight="1" x14ac:dyDescent="0.2">
      <c r="C219" s="141" t="s">
        <v>333</v>
      </c>
      <c r="E219" s="141"/>
      <c r="F219" s="141"/>
      <c r="K219" s="78">
        <f t="shared" si="2"/>
        <v>0</v>
      </c>
      <c r="L219" s="13"/>
      <c r="M219" s="78">
        <f t="shared" ref="M219:M225" si="3">AF270</f>
        <v>0</v>
      </c>
    </row>
    <row r="220" spans="3:13" ht="12.75" customHeight="1" x14ac:dyDescent="0.2">
      <c r="C220" s="141" t="s">
        <v>334</v>
      </c>
      <c r="E220" s="141"/>
      <c r="F220" s="141"/>
      <c r="K220" s="78">
        <f t="shared" si="2"/>
        <v>0</v>
      </c>
      <c r="L220" s="13"/>
      <c r="M220" s="78">
        <f t="shared" si="3"/>
        <v>0</v>
      </c>
    </row>
    <row r="221" spans="3:13" ht="12.75" customHeight="1" x14ac:dyDescent="0.2">
      <c r="C221" s="141" t="s">
        <v>335</v>
      </c>
      <c r="E221" s="141"/>
      <c r="F221" s="141"/>
      <c r="K221" s="78">
        <f t="shared" si="2"/>
        <v>0</v>
      </c>
      <c r="L221" s="13"/>
      <c r="M221" s="78">
        <f t="shared" si="3"/>
        <v>0</v>
      </c>
    </row>
    <row r="222" spans="3:13" ht="12.75" customHeight="1" x14ac:dyDescent="0.2">
      <c r="C222" s="141" t="s">
        <v>336</v>
      </c>
      <c r="E222" s="141"/>
      <c r="F222" s="141"/>
      <c r="K222" s="78">
        <f t="shared" si="2"/>
        <v>0</v>
      </c>
      <c r="L222" s="13"/>
      <c r="M222" s="78">
        <f t="shared" si="3"/>
        <v>0</v>
      </c>
    </row>
    <row r="223" spans="3:13" ht="12.75" customHeight="1" x14ac:dyDescent="0.2">
      <c r="C223" s="141" t="s">
        <v>337</v>
      </c>
      <c r="E223" s="141"/>
      <c r="F223" s="141"/>
      <c r="K223" s="78">
        <f t="shared" si="2"/>
        <v>0</v>
      </c>
      <c r="L223" s="13"/>
      <c r="M223" s="78">
        <f t="shared" si="3"/>
        <v>0</v>
      </c>
    </row>
    <row r="224" spans="3:13" ht="12.75" customHeight="1" x14ac:dyDescent="0.2">
      <c r="C224" s="141" t="s">
        <v>175</v>
      </c>
      <c r="E224" s="141"/>
      <c r="F224" s="141"/>
      <c r="K224" s="78">
        <f t="shared" si="2"/>
        <v>0</v>
      </c>
      <c r="L224" s="13"/>
      <c r="M224" s="78">
        <f t="shared" si="3"/>
        <v>0</v>
      </c>
    </row>
    <row r="225" spans="3:13" x14ac:dyDescent="0.2">
      <c r="C225" s="378" t="s">
        <v>303</v>
      </c>
      <c r="E225" s="141"/>
      <c r="F225" s="141"/>
      <c r="K225" s="78">
        <f t="shared" si="2"/>
        <v>0</v>
      </c>
      <c r="L225" s="13"/>
      <c r="M225" s="78">
        <f t="shared" si="3"/>
        <v>0</v>
      </c>
    </row>
    <row r="226" spans="3:13" ht="2.25" customHeight="1" x14ac:dyDescent="0.2">
      <c r="C226" s="141"/>
      <c r="D226" s="141"/>
      <c r="E226" s="141"/>
      <c r="F226" s="141"/>
      <c r="K226" s="79"/>
      <c r="L226" s="13"/>
      <c r="M226" s="78"/>
    </row>
    <row r="227" spans="3:13" x14ac:dyDescent="0.2">
      <c r="C227" s="141" t="s">
        <v>74</v>
      </c>
      <c r="E227" s="141"/>
      <c r="F227" s="141"/>
      <c r="K227" s="78">
        <f>AE278</f>
        <v>0</v>
      </c>
      <c r="L227" s="13"/>
      <c r="M227" s="78">
        <f>AF278</f>
        <v>0</v>
      </c>
    </row>
    <row r="228" spans="3:13" x14ac:dyDescent="0.2">
      <c r="C228" s="141" t="s">
        <v>475</v>
      </c>
      <c r="E228" s="141"/>
      <c r="F228" s="141"/>
      <c r="K228" s="78">
        <f t="shared" ref="K228:K235" si="4">AE279</f>
        <v>0</v>
      </c>
      <c r="L228" s="13"/>
      <c r="M228" s="78">
        <f>AF279</f>
        <v>0</v>
      </c>
    </row>
    <row r="229" spans="3:13" x14ac:dyDescent="0.2">
      <c r="C229" s="141" t="s">
        <v>75</v>
      </c>
      <c r="E229" s="141"/>
      <c r="F229" s="141"/>
      <c r="K229" s="78">
        <f t="shared" si="4"/>
        <v>0</v>
      </c>
      <c r="L229" s="13"/>
      <c r="M229" s="78">
        <f t="shared" ref="M229:M235" si="5">AF280</f>
        <v>0</v>
      </c>
    </row>
    <row r="230" spans="3:13" x14ac:dyDescent="0.2">
      <c r="C230" s="141" t="s">
        <v>76</v>
      </c>
      <c r="E230" s="141"/>
      <c r="F230" s="141"/>
      <c r="K230" s="78">
        <f t="shared" si="4"/>
        <v>0</v>
      </c>
      <c r="L230" s="13"/>
      <c r="M230" s="78">
        <f t="shared" si="5"/>
        <v>0</v>
      </c>
    </row>
    <row r="231" spans="3:13" x14ac:dyDescent="0.2">
      <c r="C231" s="141" t="s">
        <v>77</v>
      </c>
      <c r="E231" s="141"/>
      <c r="F231" s="141"/>
      <c r="K231" s="78">
        <f t="shared" si="4"/>
        <v>0</v>
      </c>
      <c r="L231" s="13"/>
      <c r="M231" s="78">
        <f t="shared" si="5"/>
        <v>0</v>
      </c>
    </row>
    <row r="232" spans="3:13" x14ac:dyDescent="0.2">
      <c r="C232" s="141" t="s">
        <v>78</v>
      </c>
      <c r="E232" s="141"/>
      <c r="F232" s="141"/>
      <c r="K232" s="78">
        <f t="shared" si="4"/>
        <v>0</v>
      </c>
      <c r="L232" s="13"/>
      <c r="M232" s="78">
        <f t="shared" si="5"/>
        <v>0</v>
      </c>
    </row>
    <row r="233" spans="3:13" x14ac:dyDescent="0.2">
      <c r="C233" s="141" t="s">
        <v>943</v>
      </c>
      <c r="E233" s="141"/>
      <c r="F233" s="141"/>
      <c r="K233" s="78">
        <f t="shared" si="4"/>
        <v>0</v>
      </c>
      <c r="L233" s="13"/>
      <c r="M233" s="78">
        <f t="shared" si="5"/>
        <v>0</v>
      </c>
    </row>
    <row r="234" spans="3:13" x14ac:dyDescent="0.2">
      <c r="C234" s="141" t="s">
        <v>176</v>
      </c>
      <c r="E234" s="141"/>
      <c r="F234" s="141"/>
      <c r="K234" s="78">
        <f t="shared" si="4"/>
        <v>0</v>
      </c>
      <c r="L234" s="13"/>
      <c r="M234" s="78">
        <f t="shared" si="5"/>
        <v>0</v>
      </c>
    </row>
    <row r="235" spans="3:13" x14ac:dyDescent="0.2">
      <c r="C235" s="378" t="s">
        <v>304</v>
      </c>
      <c r="E235" s="141"/>
      <c r="F235" s="141"/>
      <c r="K235" s="78">
        <f t="shared" si="4"/>
        <v>0</v>
      </c>
      <c r="L235" s="13"/>
      <c r="M235" s="78">
        <f t="shared" si="5"/>
        <v>0</v>
      </c>
    </row>
    <row r="236" spans="3:13" ht="2.25" customHeight="1" x14ac:dyDescent="0.2">
      <c r="C236" s="141"/>
      <c r="D236" s="141"/>
      <c r="E236" s="141"/>
      <c r="F236" s="141"/>
      <c r="K236" s="79"/>
      <c r="L236" s="13"/>
      <c r="M236" s="78"/>
    </row>
    <row r="237" spans="3:13" x14ac:dyDescent="0.2">
      <c r="C237" s="141" t="s">
        <v>473</v>
      </c>
      <c r="E237" s="141"/>
      <c r="F237" s="141"/>
      <c r="K237" s="78">
        <f>AE288</f>
        <v>0</v>
      </c>
      <c r="L237" s="13"/>
      <c r="M237" s="78">
        <f>AF288</f>
        <v>0</v>
      </c>
    </row>
    <row r="238" spans="3:13" x14ac:dyDescent="0.2">
      <c r="C238" s="141" t="s">
        <v>340</v>
      </c>
      <c r="E238" s="141"/>
      <c r="F238" s="141"/>
      <c r="K238" s="78">
        <f t="shared" ref="K238:K245" si="6">AE289</f>
        <v>0</v>
      </c>
      <c r="L238" s="13"/>
      <c r="M238" s="78">
        <f t="shared" ref="M238:M245" si="7">AF289</f>
        <v>0</v>
      </c>
    </row>
    <row r="239" spans="3:13" x14ac:dyDescent="0.2">
      <c r="C239" s="141" t="s">
        <v>341</v>
      </c>
      <c r="E239" s="141"/>
      <c r="F239" s="141"/>
      <c r="K239" s="78">
        <f t="shared" si="6"/>
        <v>0</v>
      </c>
      <c r="L239" s="13"/>
      <c r="M239" s="78">
        <f t="shared" si="7"/>
        <v>0</v>
      </c>
    </row>
    <row r="240" spans="3:13" x14ac:dyDescent="0.2">
      <c r="C240" s="141" t="s">
        <v>422</v>
      </c>
      <c r="E240" s="141"/>
      <c r="F240" s="141"/>
      <c r="K240" s="78">
        <f t="shared" si="6"/>
        <v>0</v>
      </c>
      <c r="L240" s="13"/>
      <c r="M240" s="78">
        <f t="shared" si="7"/>
        <v>0</v>
      </c>
    </row>
    <row r="241" spans="2:32" x14ac:dyDescent="0.2">
      <c r="C241" s="141" t="s">
        <v>423</v>
      </c>
      <c r="E241" s="141"/>
      <c r="F241" s="141"/>
      <c r="K241" s="78">
        <f t="shared" si="6"/>
        <v>0</v>
      </c>
      <c r="L241" s="13"/>
      <c r="M241" s="78">
        <f t="shared" si="7"/>
        <v>0</v>
      </c>
    </row>
    <row r="242" spans="2:32" x14ac:dyDescent="0.2">
      <c r="C242" s="141" t="s">
        <v>899</v>
      </c>
      <c r="E242" s="141"/>
      <c r="F242" s="141"/>
      <c r="K242" s="78">
        <f t="shared" si="6"/>
        <v>0</v>
      </c>
      <c r="L242" s="13"/>
      <c r="M242" s="78">
        <f t="shared" si="7"/>
        <v>0</v>
      </c>
    </row>
    <row r="243" spans="2:32" x14ac:dyDescent="0.2">
      <c r="C243" s="141" t="s">
        <v>900</v>
      </c>
      <c r="E243" s="141"/>
      <c r="F243" s="141"/>
      <c r="K243" s="78">
        <f t="shared" si="6"/>
        <v>0</v>
      </c>
      <c r="L243" s="13"/>
      <c r="M243" s="78">
        <f t="shared" si="7"/>
        <v>0</v>
      </c>
    </row>
    <row r="244" spans="2:32" x14ac:dyDescent="0.2">
      <c r="C244" s="141" t="s">
        <v>177</v>
      </c>
      <c r="E244" s="141"/>
      <c r="F244" s="141"/>
      <c r="K244" s="78">
        <f t="shared" si="6"/>
        <v>0</v>
      </c>
      <c r="L244" s="13"/>
      <c r="M244" s="78">
        <f t="shared" si="7"/>
        <v>0</v>
      </c>
    </row>
    <row r="245" spans="2:32" x14ac:dyDescent="0.2">
      <c r="C245" s="378" t="s">
        <v>305</v>
      </c>
      <c r="E245" s="141"/>
      <c r="F245" s="141"/>
      <c r="K245" s="78">
        <f t="shared" si="6"/>
        <v>0</v>
      </c>
      <c r="L245" s="13"/>
      <c r="M245" s="78">
        <f t="shared" si="7"/>
        <v>0</v>
      </c>
    </row>
    <row r="246" spans="2:32" x14ac:dyDescent="0.2">
      <c r="C246" s="141"/>
      <c r="D246" t="s">
        <v>805</v>
      </c>
      <c r="E246" s="141"/>
      <c r="F246" s="141"/>
      <c r="K246" s="78">
        <f>AE266</f>
        <v>0</v>
      </c>
      <c r="L246" s="13"/>
      <c r="M246" s="78">
        <f>AF266</f>
        <v>0</v>
      </c>
    </row>
    <row r="247" spans="2:32" ht="13.5" thickBot="1" x14ac:dyDescent="0.25">
      <c r="K247" s="80">
        <f>SUM(K207:K246)</f>
        <v>0</v>
      </c>
      <c r="L247" s="10"/>
      <c r="M247" s="80">
        <f>SUM(M207:M246)</f>
        <v>0</v>
      </c>
    </row>
    <row r="248" spans="2:32" ht="13.5" thickTop="1" x14ac:dyDescent="0.2"/>
    <row r="249" spans="2:32" x14ac:dyDescent="0.2">
      <c r="C249" s="223" t="s">
        <v>600</v>
      </c>
      <c r="D249" s="2"/>
      <c r="E249" s="2"/>
      <c r="F249" s="2"/>
      <c r="G249" s="2"/>
      <c r="H249" s="2"/>
      <c r="I249" s="2"/>
      <c r="J249" s="2"/>
      <c r="K249" s="2"/>
      <c r="L249" s="2"/>
      <c r="M249" s="2"/>
    </row>
    <row r="252" spans="2:32" x14ac:dyDescent="0.2">
      <c r="B252" s="1486" t="s">
        <v>330</v>
      </c>
      <c r="C252" s="1487"/>
      <c r="D252" s="1487"/>
      <c r="E252" s="1487"/>
      <c r="F252" s="1487"/>
      <c r="G252" s="1487"/>
      <c r="H252" s="1487"/>
      <c r="I252" s="1487"/>
      <c r="J252" s="1487"/>
      <c r="K252" s="1487"/>
      <c r="L252" s="1487"/>
      <c r="M252" s="1487"/>
      <c r="N252" s="1487"/>
      <c r="O252" s="1487"/>
      <c r="P252" s="1487"/>
      <c r="Q252" s="1487"/>
      <c r="R252" s="1487"/>
      <c r="S252" s="1487"/>
      <c r="T252" s="1487"/>
      <c r="U252" s="1487"/>
      <c r="V252" s="1487"/>
      <c r="W252" s="1487"/>
      <c r="X252" s="1487"/>
      <c r="Y252" s="1487"/>
      <c r="Z252" s="1487"/>
      <c r="AA252" s="1487"/>
      <c r="AB252" s="1487"/>
      <c r="AC252" s="1487"/>
      <c r="AD252" s="1487"/>
    </row>
    <row r="253" spans="2:32" x14ac:dyDescent="0.2">
      <c r="B253" s="1486"/>
      <c r="C253" s="1487"/>
      <c r="D253" s="1487"/>
      <c r="E253" s="1487"/>
      <c r="F253" s="1487"/>
      <c r="G253" s="1487"/>
      <c r="H253" s="1487"/>
      <c r="I253" s="1487"/>
      <c r="J253" s="1487"/>
      <c r="K253" s="1487"/>
      <c r="L253" s="1487"/>
      <c r="M253" s="1487"/>
      <c r="N253" s="1487"/>
      <c r="O253" s="1487"/>
      <c r="P253" s="1487"/>
      <c r="Q253" s="1487"/>
      <c r="R253" s="1487"/>
      <c r="S253" s="1487"/>
      <c r="T253" s="1487"/>
      <c r="U253" s="1487"/>
      <c r="V253" s="1487"/>
      <c r="W253" s="1487"/>
      <c r="X253" s="1487"/>
      <c r="Y253" s="1487"/>
      <c r="Z253" s="1487"/>
      <c r="AA253" s="1487"/>
      <c r="AB253" s="1487"/>
      <c r="AC253" s="1487"/>
      <c r="AD253" s="1487"/>
    </row>
    <row r="255" spans="2:32" x14ac:dyDescent="0.2">
      <c r="I255" s="1484" t="s">
        <v>299</v>
      </c>
      <c r="J255" s="1488"/>
      <c r="K255" s="1485"/>
      <c r="M255" s="1484" t="s">
        <v>709</v>
      </c>
      <c r="N255" s="1488"/>
      <c r="O255" s="1485"/>
      <c r="Q255" s="1484" t="s">
        <v>710</v>
      </c>
      <c r="R255" s="1485"/>
      <c r="S255" s="1484" t="s">
        <v>711</v>
      </c>
      <c r="T255" s="1485"/>
      <c r="U255" s="1484" t="s">
        <v>300</v>
      </c>
      <c r="V255" s="1485"/>
      <c r="W255" s="1484" t="s">
        <v>301</v>
      </c>
      <c r="X255" s="1485"/>
      <c r="Y255" s="1484" t="s">
        <v>302</v>
      </c>
      <c r="Z255" s="1485"/>
      <c r="AA255" s="1484" t="s">
        <v>324</v>
      </c>
      <c r="AB255" s="1485"/>
      <c r="AC255" s="1484" t="s">
        <v>803</v>
      </c>
      <c r="AD255" s="1485"/>
      <c r="AE255" s="1484" t="s">
        <v>923</v>
      </c>
      <c r="AF255" s="1485"/>
    </row>
    <row r="256" spans="2:32" x14ac:dyDescent="0.2">
      <c r="I256" s="71" t="s">
        <v>517</v>
      </c>
      <c r="J256" s="143"/>
      <c r="K256" s="72" t="s">
        <v>518</v>
      </c>
      <c r="L256" s="35"/>
      <c r="M256" s="71" t="s">
        <v>517</v>
      </c>
      <c r="N256" s="3"/>
      <c r="O256" s="72" t="s">
        <v>518</v>
      </c>
      <c r="P256" s="35"/>
      <c r="Q256" s="71" t="s">
        <v>517</v>
      </c>
      <c r="R256" s="112" t="s">
        <v>518</v>
      </c>
      <c r="S256" s="71" t="s">
        <v>517</v>
      </c>
      <c r="T256" s="112" t="s">
        <v>518</v>
      </c>
      <c r="U256" s="69" t="s">
        <v>875</v>
      </c>
      <c r="V256" s="69" t="s">
        <v>518</v>
      </c>
      <c r="W256" s="71" t="s">
        <v>517</v>
      </c>
      <c r="X256" s="112" t="s">
        <v>518</v>
      </c>
      <c r="Y256" s="71" t="s">
        <v>517</v>
      </c>
      <c r="Z256" s="112" t="s">
        <v>518</v>
      </c>
      <c r="AA256" s="71" t="s">
        <v>517</v>
      </c>
      <c r="AB256" s="112" t="s">
        <v>518</v>
      </c>
      <c r="AC256" s="69" t="s">
        <v>875</v>
      </c>
      <c r="AD256" s="69" t="s">
        <v>518</v>
      </c>
      <c r="AE256" s="111" t="s">
        <v>875</v>
      </c>
      <c r="AF256" s="112" t="s">
        <v>518</v>
      </c>
    </row>
    <row r="257" spans="2:32" x14ac:dyDescent="0.2">
      <c r="B257" t="s">
        <v>198</v>
      </c>
      <c r="C257" t="s">
        <v>778</v>
      </c>
      <c r="AC257" s="145">
        <f>K199</f>
        <v>0</v>
      </c>
      <c r="AE257" s="145">
        <f>I257+M257+Q257+S257+U257+W257+Y257+AA257+AC257</f>
        <v>0</v>
      </c>
    </row>
    <row r="258" spans="2:32" x14ac:dyDescent="0.2">
      <c r="C258" s="651" t="s">
        <v>1074</v>
      </c>
      <c r="D258" s="13"/>
      <c r="E258" s="13"/>
      <c r="I258" s="144">
        <f>M29</f>
        <v>0</v>
      </c>
      <c r="J258" s="144"/>
      <c r="K258" s="144"/>
      <c r="L258" s="36"/>
      <c r="M258" s="144">
        <f>M40</f>
        <v>0</v>
      </c>
      <c r="N258" s="144"/>
      <c r="O258" s="144"/>
      <c r="P258" s="36"/>
      <c r="Q258" s="48">
        <f>M51</f>
        <v>0</v>
      </c>
      <c r="R258" s="145"/>
      <c r="S258" s="48">
        <f>M62</f>
        <v>0</v>
      </c>
      <c r="T258" s="145"/>
      <c r="U258" s="145">
        <f>M73</f>
        <v>0</v>
      </c>
      <c r="V258" s="145"/>
      <c r="W258" s="48">
        <f>M79+M82</f>
        <v>0</v>
      </c>
      <c r="X258" s="145">
        <f>M98</f>
        <v>0</v>
      </c>
      <c r="Y258" s="48">
        <f>M116+M119</f>
        <v>0</v>
      </c>
      <c r="Z258" s="145">
        <f>M135</f>
        <v>0</v>
      </c>
      <c r="AA258" s="48">
        <f>M174</f>
        <v>0</v>
      </c>
      <c r="AB258" s="145"/>
      <c r="AD258" s="145"/>
      <c r="AE258" s="145">
        <f t="shared" ref="AE258:AE296" si="8">I258+M258+Q258+S258+U258+W258+Y258+AA258+AC258</f>
        <v>0</v>
      </c>
      <c r="AF258" s="145">
        <f>K258+O258+R258+T258+V258+X258+Z258+AB258+AD258</f>
        <v>0</v>
      </c>
    </row>
    <row r="259" spans="2:32" x14ac:dyDescent="0.2">
      <c r="C259" s="141" t="s">
        <v>731</v>
      </c>
      <c r="D259" s="141"/>
      <c r="E259" s="141"/>
      <c r="F259" s="141"/>
      <c r="I259" s="36"/>
      <c r="J259" s="36"/>
      <c r="K259" s="36"/>
      <c r="L259" s="36"/>
      <c r="M259" s="36"/>
      <c r="N259" s="36"/>
      <c r="O259" s="36"/>
      <c r="P259" s="36"/>
      <c r="Q259" s="36"/>
      <c r="R259" s="36"/>
      <c r="S259" s="36"/>
      <c r="T259" s="36"/>
      <c r="U259" s="36"/>
      <c r="V259" s="36"/>
      <c r="W259" s="36"/>
      <c r="X259" s="36"/>
      <c r="Y259" s="36"/>
      <c r="Z259" s="36"/>
      <c r="AA259" s="36"/>
      <c r="AB259" s="36"/>
      <c r="AC259" s="36"/>
      <c r="AD259" s="36"/>
      <c r="AE259" s="145">
        <f t="shared" si="8"/>
        <v>0</v>
      </c>
      <c r="AF259" s="145">
        <f t="shared" ref="AF259:AF296" si="9">K259+O259+R259+T259+V259+X259+Z259+AB259+AD259</f>
        <v>0</v>
      </c>
    </row>
    <row r="260" spans="2:32" x14ac:dyDescent="0.2">
      <c r="C260" s="141" t="s">
        <v>733</v>
      </c>
      <c r="D260" s="141"/>
      <c r="E260" s="141"/>
      <c r="F260" s="141"/>
      <c r="I260" s="36">
        <f>M26</f>
        <v>0</v>
      </c>
      <c r="J260" s="36"/>
      <c r="K260" s="36">
        <f>M29</f>
        <v>0</v>
      </c>
      <c r="L260" s="36"/>
      <c r="M260" s="36">
        <f>M37</f>
        <v>0</v>
      </c>
      <c r="N260" s="36"/>
      <c r="O260" s="36">
        <f>M40</f>
        <v>0</v>
      </c>
      <c r="P260" s="36"/>
      <c r="Q260" s="36"/>
      <c r="R260" s="36"/>
      <c r="S260" s="36">
        <f>M59</f>
        <v>0</v>
      </c>
      <c r="T260" s="36">
        <f>M62</f>
        <v>0</v>
      </c>
      <c r="U260" s="36">
        <f>M70</f>
        <v>0</v>
      </c>
      <c r="V260" s="36">
        <f>M73</f>
        <v>0</v>
      </c>
      <c r="W260" s="36"/>
      <c r="X260" s="36"/>
      <c r="Y260" s="36"/>
      <c r="Z260" s="36"/>
      <c r="AA260" s="36"/>
      <c r="AB260" s="36"/>
      <c r="AC260" s="36"/>
      <c r="AD260" s="36"/>
      <c r="AE260" s="145">
        <f t="shared" si="8"/>
        <v>0</v>
      </c>
      <c r="AF260" s="145">
        <f t="shared" si="9"/>
        <v>0</v>
      </c>
    </row>
    <row r="261" spans="2:32" x14ac:dyDescent="0.2">
      <c r="C261" s="141" t="s">
        <v>732</v>
      </c>
      <c r="D261" s="141"/>
      <c r="E261" s="141"/>
      <c r="F261" s="141"/>
      <c r="I261" s="36"/>
      <c r="J261" s="36"/>
      <c r="K261" s="36"/>
      <c r="L261" s="36"/>
      <c r="M261" s="36"/>
      <c r="N261" s="36"/>
      <c r="O261" s="36"/>
      <c r="P261" s="36"/>
      <c r="R261" s="36"/>
      <c r="S261" s="36"/>
      <c r="T261" s="36"/>
      <c r="U261" s="36"/>
      <c r="V261" s="36"/>
      <c r="W261" s="36"/>
      <c r="X261" s="36"/>
      <c r="Y261" s="36"/>
      <c r="Z261" s="36"/>
      <c r="AA261" s="36"/>
      <c r="AB261" s="36"/>
      <c r="AC261" s="36"/>
      <c r="AD261" s="36"/>
      <c r="AE261" s="145">
        <f t="shared" si="8"/>
        <v>0</v>
      </c>
      <c r="AF261" s="145">
        <f t="shared" si="9"/>
        <v>0</v>
      </c>
    </row>
    <row r="262" spans="2:32" x14ac:dyDescent="0.2">
      <c r="C262" s="141" t="s">
        <v>329</v>
      </c>
      <c r="D262" s="141"/>
      <c r="E262" s="141"/>
      <c r="F262" s="141"/>
      <c r="I262" s="36"/>
      <c r="J262" s="36"/>
      <c r="K262" s="36"/>
      <c r="L262" s="36"/>
      <c r="M262" s="36"/>
      <c r="N262" s="36"/>
      <c r="O262" s="36"/>
      <c r="P262" s="36"/>
      <c r="Q262" s="36"/>
      <c r="R262" s="36"/>
      <c r="S262" s="36"/>
      <c r="T262" s="36"/>
      <c r="U262" s="36"/>
      <c r="V262" s="36"/>
      <c r="W262" s="36"/>
      <c r="X262" s="36"/>
      <c r="Y262" s="36"/>
      <c r="Z262" s="36"/>
      <c r="AA262" s="36"/>
      <c r="AB262" s="36"/>
      <c r="AC262" s="36"/>
      <c r="AD262" s="36"/>
      <c r="AE262" s="145">
        <f t="shared" si="8"/>
        <v>0</v>
      </c>
      <c r="AF262" s="145">
        <f t="shared" si="9"/>
        <v>0</v>
      </c>
    </row>
    <row r="263" spans="2:32" x14ac:dyDescent="0.2">
      <c r="C263" s="141" t="s">
        <v>728</v>
      </c>
      <c r="D263" s="141"/>
      <c r="E263" s="141"/>
      <c r="F263" s="141"/>
      <c r="I263" s="36"/>
      <c r="J263" s="36"/>
      <c r="K263" s="36"/>
      <c r="L263" s="36"/>
      <c r="M263" s="36"/>
      <c r="N263" s="36"/>
      <c r="O263" s="36"/>
      <c r="P263" s="36"/>
      <c r="Q263" s="36"/>
      <c r="R263" s="36"/>
      <c r="S263" s="36"/>
      <c r="T263" s="36"/>
      <c r="U263" s="36"/>
      <c r="V263" s="36"/>
      <c r="W263" s="36"/>
      <c r="X263" s="36"/>
      <c r="Y263" s="36"/>
      <c r="Z263" s="36"/>
      <c r="AA263" s="36"/>
      <c r="AB263" s="36"/>
      <c r="AC263" s="36"/>
      <c r="AD263" s="36"/>
      <c r="AE263" s="145">
        <f t="shared" si="8"/>
        <v>0</v>
      </c>
      <c r="AF263" s="145">
        <f t="shared" si="9"/>
        <v>0</v>
      </c>
    </row>
    <row r="264" spans="2:32" x14ac:dyDescent="0.2">
      <c r="C264" s="141" t="s">
        <v>928</v>
      </c>
      <c r="D264" s="141"/>
      <c r="E264" s="141"/>
      <c r="F264" s="141"/>
      <c r="I264" s="36"/>
      <c r="J264" s="36"/>
      <c r="K264" s="36"/>
      <c r="L264" s="36"/>
      <c r="M264" s="36"/>
      <c r="N264" s="36"/>
      <c r="O264" s="36"/>
      <c r="P264" s="36"/>
      <c r="Q264" s="36"/>
      <c r="R264" s="36"/>
      <c r="S264" s="36"/>
      <c r="T264" s="36"/>
      <c r="U264" s="36"/>
      <c r="V264" s="36"/>
      <c r="W264" s="36"/>
      <c r="X264" s="36"/>
      <c r="Y264" s="36"/>
      <c r="Z264" s="36"/>
      <c r="AA264" s="36">
        <f>H168</f>
        <v>0</v>
      </c>
      <c r="AB264" s="36">
        <f>H190</f>
        <v>0</v>
      </c>
      <c r="AC264" s="36"/>
      <c r="AD264" s="36"/>
      <c r="AE264" s="145">
        <f t="shared" si="8"/>
        <v>0</v>
      </c>
      <c r="AF264" s="145">
        <f t="shared" si="9"/>
        <v>0</v>
      </c>
    </row>
    <row r="265" spans="2:32" x14ac:dyDescent="0.2">
      <c r="C265" s="141" t="s">
        <v>904</v>
      </c>
      <c r="D265" s="141"/>
      <c r="E265" s="141"/>
      <c r="F265" s="141"/>
      <c r="I265" s="36"/>
      <c r="J265" s="36"/>
      <c r="K265" s="36"/>
      <c r="L265" s="36"/>
      <c r="M265" s="36"/>
      <c r="N265" s="36"/>
      <c r="O265" s="36"/>
      <c r="P265" s="36"/>
      <c r="Q265" s="36"/>
      <c r="R265" s="36"/>
      <c r="S265" s="36"/>
      <c r="T265" s="36"/>
      <c r="U265" s="36"/>
      <c r="V265" s="36"/>
      <c r="W265" s="36"/>
      <c r="X265" s="36"/>
      <c r="Y265" s="36"/>
      <c r="Z265" s="36"/>
      <c r="AA265" s="36"/>
      <c r="AB265" s="36"/>
      <c r="AC265" s="36">
        <f>K197</f>
        <v>0</v>
      </c>
      <c r="AD265" s="36">
        <f>K199</f>
        <v>0</v>
      </c>
      <c r="AE265" s="145">
        <f t="shared" si="8"/>
        <v>0</v>
      </c>
      <c r="AF265" s="145">
        <f t="shared" si="9"/>
        <v>0</v>
      </c>
    </row>
    <row r="266" spans="2:32" x14ac:dyDescent="0.2">
      <c r="C266" s="141" t="s">
        <v>978</v>
      </c>
      <c r="E266" s="141"/>
      <c r="F266" s="141"/>
      <c r="I266" s="36"/>
      <c r="J266" s="36"/>
      <c r="K266" s="36">
        <f>M26</f>
        <v>0</v>
      </c>
      <c r="L266" s="36"/>
      <c r="M266" s="36"/>
      <c r="N266" s="36"/>
      <c r="O266" s="36">
        <f>M37</f>
        <v>0</v>
      </c>
      <c r="P266" s="36"/>
      <c r="Q266" s="36"/>
      <c r="R266" s="36">
        <f>M48</f>
        <v>0</v>
      </c>
      <c r="S266" s="36"/>
      <c r="T266" s="36">
        <f>M59</f>
        <v>0</v>
      </c>
      <c r="U266" s="36"/>
      <c r="V266" s="36">
        <f>M70</f>
        <v>0</v>
      </c>
      <c r="W266" s="36"/>
      <c r="X266" s="36">
        <f>M79</f>
        <v>0</v>
      </c>
      <c r="Y266" s="36"/>
      <c r="Z266" s="36">
        <f>M116</f>
        <v>0</v>
      </c>
      <c r="AA266" s="36"/>
      <c r="AB266" s="36">
        <f>M155</f>
        <v>0</v>
      </c>
      <c r="AC266" s="36"/>
      <c r="AD266" s="36">
        <f>K197</f>
        <v>0</v>
      </c>
      <c r="AE266" s="145">
        <f t="shared" si="8"/>
        <v>0</v>
      </c>
      <c r="AF266" s="145">
        <f t="shared" si="9"/>
        <v>0</v>
      </c>
    </row>
    <row r="267" spans="2:32" x14ac:dyDescent="0.2">
      <c r="C267" s="141"/>
      <c r="D267" s="141"/>
      <c r="E267" s="141"/>
      <c r="F267" s="141"/>
      <c r="I267" s="36"/>
      <c r="J267" s="36"/>
      <c r="K267" s="36"/>
      <c r="L267" s="36"/>
      <c r="M267" s="36"/>
      <c r="N267" s="36"/>
      <c r="O267" s="36"/>
      <c r="P267" s="36"/>
      <c r="Q267" s="36"/>
      <c r="R267" s="36"/>
      <c r="S267" s="36"/>
      <c r="T267" s="36"/>
      <c r="U267" s="36"/>
      <c r="V267" s="36"/>
      <c r="W267" s="36"/>
      <c r="X267" s="36"/>
      <c r="Y267" s="36"/>
      <c r="Z267" s="36"/>
      <c r="AA267" s="36"/>
      <c r="AB267" s="36"/>
      <c r="AC267" s="36"/>
      <c r="AD267" s="36"/>
      <c r="AE267" s="145">
        <f t="shared" si="8"/>
        <v>0</v>
      </c>
      <c r="AF267" s="145">
        <f t="shared" si="9"/>
        <v>0</v>
      </c>
    </row>
    <row r="268" spans="2:32" x14ac:dyDescent="0.2">
      <c r="C268" s="141" t="s">
        <v>331</v>
      </c>
      <c r="E268" s="141"/>
      <c r="F268" s="141"/>
      <c r="I268" s="36"/>
      <c r="J268" s="36"/>
      <c r="K268" s="36"/>
      <c r="L268" s="36"/>
      <c r="M268" s="36"/>
      <c r="N268" s="36"/>
      <c r="O268" s="36"/>
      <c r="P268" s="36"/>
      <c r="Q268" s="36"/>
      <c r="R268" s="36"/>
      <c r="S268" s="36"/>
      <c r="T268" s="36"/>
      <c r="U268" s="36"/>
      <c r="V268" s="36"/>
      <c r="W268" s="36"/>
      <c r="X268" s="36"/>
      <c r="Y268" s="36">
        <f>K140</f>
        <v>0</v>
      </c>
      <c r="Z268" s="36">
        <f>K124</f>
        <v>0</v>
      </c>
      <c r="AA268" s="36">
        <f>I159</f>
        <v>0</v>
      </c>
      <c r="AB268" s="36">
        <f>I181</f>
        <v>0</v>
      </c>
      <c r="AC268" s="36"/>
      <c r="AD268" s="36"/>
      <c r="AE268" s="145">
        <f t="shared" si="8"/>
        <v>0</v>
      </c>
      <c r="AF268" s="145">
        <f t="shared" si="9"/>
        <v>0</v>
      </c>
    </row>
    <row r="269" spans="2:32" x14ac:dyDescent="0.2">
      <c r="C269" s="141" t="s">
        <v>332</v>
      </c>
      <c r="E269" s="141"/>
      <c r="F269" s="141"/>
      <c r="I269" s="36"/>
      <c r="J269" s="36"/>
      <c r="K269" s="36"/>
      <c r="L269" s="36"/>
      <c r="M269" s="36"/>
      <c r="N269" s="36"/>
      <c r="O269" s="36"/>
      <c r="P269" s="36"/>
      <c r="Q269" s="36"/>
      <c r="R269" s="36"/>
      <c r="S269" s="36"/>
      <c r="T269" s="36"/>
      <c r="U269" s="36"/>
      <c r="V269" s="36"/>
      <c r="W269" s="36"/>
      <c r="X269" s="36"/>
      <c r="Y269" s="36"/>
      <c r="Z269" s="36"/>
      <c r="AA269" s="36">
        <f t="shared" ref="AA269:AA276" si="10">I160</f>
        <v>0</v>
      </c>
      <c r="AB269" s="36">
        <f t="shared" ref="AB269:AB276" si="11">I182</f>
        <v>0</v>
      </c>
      <c r="AC269" s="36"/>
      <c r="AD269" s="36"/>
      <c r="AE269" s="145">
        <f t="shared" si="8"/>
        <v>0</v>
      </c>
      <c r="AF269" s="145">
        <f t="shared" si="9"/>
        <v>0</v>
      </c>
    </row>
    <row r="270" spans="2:32" x14ac:dyDescent="0.2">
      <c r="C270" s="141" t="s">
        <v>333</v>
      </c>
      <c r="E270" s="141"/>
      <c r="F270" s="141"/>
      <c r="I270" s="36"/>
      <c r="J270" s="36"/>
      <c r="K270" s="36"/>
      <c r="L270" s="36"/>
      <c r="M270" s="36"/>
      <c r="N270" s="36"/>
      <c r="O270" s="36"/>
      <c r="P270" s="36"/>
      <c r="Q270" s="36"/>
      <c r="R270" s="36"/>
      <c r="S270" s="36"/>
      <c r="T270" s="36"/>
      <c r="U270" s="36"/>
      <c r="V270" s="36"/>
      <c r="W270" s="36"/>
      <c r="X270" s="36"/>
      <c r="Y270" s="36">
        <f>K141</f>
        <v>0</v>
      </c>
      <c r="Z270" s="36">
        <f>K125</f>
        <v>0</v>
      </c>
      <c r="AA270" s="36">
        <f t="shared" si="10"/>
        <v>0</v>
      </c>
      <c r="AB270" s="36">
        <f t="shared" si="11"/>
        <v>0</v>
      </c>
      <c r="AC270" s="36"/>
      <c r="AD270" s="36"/>
      <c r="AE270" s="145">
        <f t="shared" si="8"/>
        <v>0</v>
      </c>
      <c r="AF270" s="145">
        <f t="shared" si="9"/>
        <v>0</v>
      </c>
    </row>
    <row r="271" spans="2:32" x14ac:dyDescent="0.2">
      <c r="C271" s="141" t="s">
        <v>334</v>
      </c>
      <c r="E271" s="141"/>
      <c r="F271" s="141"/>
      <c r="I271" s="36"/>
      <c r="J271" s="36"/>
      <c r="K271" s="36"/>
      <c r="L271" s="36"/>
      <c r="M271" s="36"/>
      <c r="N271" s="36"/>
      <c r="O271" s="36"/>
      <c r="P271" s="36"/>
      <c r="Q271" s="36"/>
      <c r="R271" s="36"/>
      <c r="S271" s="36"/>
      <c r="T271" s="36"/>
      <c r="U271" s="36"/>
      <c r="V271" s="36"/>
      <c r="W271" s="36"/>
      <c r="X271" s="36"/>
      <c r="Y271" s="36">
        <f>K142</f>
        <v>0</v>
      </c>
      <c r="Z271" s="36">
        <f>K126</f>
        <v>0</v>
      </c>
      <c r="AA271" s="36">
        <f t="shared" si="10"/>
        <v>0</v>
      </c>
      <c r="AB271" s="36">
        <f t="shared" si="11"/>
        <v>0</v>
      </c>
      <c r="AC271" s="36"/>
      <c r="AD271" s="36"/>
      <c r="AE271" s="145">
        <f t="shared" si="8"/>
        <v>0</v>
      </c>
      <c r="AF271" s="145">
        <f t="shared" si="9"/>
        <v>0</v>
      </c>
    </row>
    <row r="272" spans="2:32" x14ac:dyDescent="0.2">
      <c r="C272" s="141" t="s">
        <v>335</v>
      </c>
      <c r="E272" s="141"/>
      <c r="F272" s="141"/>
      <c r="I272" s="36"/>
      <c r="J272" s="36"/>
      <c r="K272" s="36"/>
      <c r="L272" s="36"/>
      <c r="M272" s="36"/>
      <c r="N272" s="36"/>
      <c r="O272" s="36"/>
      <c r="P272" s="36"/>
      <c r="Q272" s="36"/>
      <c r="R272" s="36"/>
      <c r="S272" s="36"/>
      <c r="T272" s="36"/>
      <c r="U272" s="36"/>
      <c r="V272" s="36"/>
      <c r="W272" s="36"/>
      <c r="X272" s="36"/>
      <c r="Y272" s="36">
        <f>K143</f>
        <v>0</v>
      </c>
      <c r="Z272" s="36">
        <f>K127</f>
        <v>0</v>
      </c>
      <c r="AA272" s="36">
        <f t="shared" si="10"/>
        <v>0</v>
      </c>
      <c r="AB272" s="36">
        <f t="shared" si="11"/>
        <v>0</v>
      </c>
      <c r="AC272" s="36"/>
      <c r="AD272" s="36"/>
      <c r="AE272" s="145">
        <f t="shared" si="8"/>
        <v>0</v>
      </c>
      <c r="AF272" s="145">
        <f t="shared" si="9"/>
        <v>0</v>
      </c>
    </row>
    <row r="273" spans="3:32" x14ac:dyDescent="0.2">
      <c r="C273" s="141" t="s">
        <v>336</v>
      </c>
      <c r="E273" s="141"/>
      <c r="F273" s="141"/>
      <c r="I273" s="36"/>
      <c r="J273" s="36"/>
      <c r="K273" s="36"/>
      <c r="L273" s="36"/>
      <c r="M273" s="36"/>
      <c r="N273" s="36"/>
      <c r="O273" s="36"/>
      <c r="P273" s="36"/>
      <c r="Q273" s="36"/>
      <c r="R273" s="36"/>
      <c r="S273" s="36"/>
      <c r="T273" s="36"/>
      <c r="U273" s="36"/>
      <c r="V273" s="36"/>
      <c r="W273" s="36"/>
      <c r="X273" s="36"/>
      <c r="Y273" s="36"/>
      <c r="Z273" s="36"/>
      <c r="AA273" s="36">
        <f t="shared" si="10"/>
        <v>0</v>
      </c>
      <c r="AB273" s="36">
        <f t="shared" si="11"/>
        <v>0</v>
      </c>
      <c r="AC273" s="36"/>
      <c r="AD273" s="36"/>
      <c r="AE273" s="145">
        <f t="shared" si="8"/>
        <v>0</v>
      </c>
      <c r="AF273" s="145">
        <f t="shared" si="9"/>
        <v>0</v>
      </c>
    </row>
    <row r="274" spans="3:32" x14ac:dyDescent="0.2">
      <c r="C274" s="141" t="s">
        <v>337</v>
      </c>
      <c r="E274" s="141"/>
      <c r="F274" s="141"/>
      <c r="I274" s="36"/>
      <c r="J274" s="36"/>
      <c r="K274" s="36"/>
      <c r="L274" s="36"/>
      <c r="M274" s="36"/>
      <c r="N274" s="36"/>
      <c r="O274" s="36"/>
      <c r="P274" s="36"/>
      <c r="Q274" s="36"/>
      <c r="R274" s="36"/>
      <c r="S274" s="36"/>
      <c r="T274" s="36"/>
      <c r="U274" s="36"/>
      <c r="V274" s="36"/>
      <c r="W274" s="36"/>
      <c r="X274" s="36"/>
      <c r="Y274" s="36"/>
      <c r="Z274" s="36"/>
      <c r="AA274" s="36">
        <f t="shared" si="10"/>
        <v>0</v>
      </c>
      <c r="AB274" s="36">
        <f t="shared" si="11"/>
        <v>0</v>
      </c>
      <c r="AC274" s="36"/>
      <c r="AD274" s="36"/>
      <c r="AE274" s="145">
        <f t="shared" si="8"/>
        <v>0</v>
      </c>
      <c r="AF274" s="145">
        <f t="shared" si="9"/>
        <v>0</v>
      </c>
    </row>
    <row r="275" spans="3:32" x14ac:dyDescent="0.2">
      <c r="C275" s="141" t="s">
        <v>175</v>
      </c>
      <c r="E275" s="141"/>
      <c r="F275" s="141"/>
      <c r="I275" s="36"/>
      <c r="J275" s="36"/>
      <c r="K275" s="36"/>
      <c r="L275" s="36"/>
      <c r="M275" s="36"/>
      <c r="N275" s="36"/>
      <c r="O275" s="36"/>
      <c r="P275" s="36"/>
      <c r="Q275" s="36"/>
      <c r="R275" s="36"/>
      <c r="S275" s="36"/>
      <c r="T275" s="36"/>
      <c r="U275" s="36"/>
      <c r="V275" s="36"/>
      <c r="W275" s="36"/>
      <c r="X275" s="36"/>
      <c r="Y275" s="36">
        <f>K144</f>
        <v>0</v>
      </c>
      <c r="Z275" s="36">
        <f>K128</f>
        <v>0</v>
      </c>
      <c r="AA275" s="36">
        <f t="shared" si="10"/>
        <v>0</v>
      </c>
      <c r="AB275" s="36">
        <f t="shared" si="11"/>
        <v>0</v>
      </c>
      <c r="AC275" s="36"/>
      <c r="AD275" s="36"/>
      <c r="AE275" s="145">
        <f t="shared" si="8"/>
        <v>0</v>
      </c>
      <c r="AF275" s="145">
        <f t="shared" si="9"/>
        <v>0</v>
      </c>
    </row>
    <row r="276" spans="3:32" x14ac:dyDescent="0.2">
      <c r="C276" s="378" t="s">
        <v>303</v>
      </c>
      <c r="E276" s="141"/>
      <c r="F276" s="141"/>
      <c r="I276" s="36"/>
      <c r="J276" s="36"/>
      <c r="K276" s="36"/>
      <c r="L276" s="36"/>
      <c r="M276" s="36"/>
      <c r="N276" s="36"/>
      <c r="O276" s="36"/>
      <c r="P276" s="36"/>
      <c r="Q276" s="36"/>
      <c r="R276" s="36"/>
      <c r="S276" s="36"/>
      <c r="T276" s="36"/>
      <c r="U276" s="36"/>
      <c r="V276" s="36"/>
      <c r="W276" s="36"/>
      <c r="X276" s="36"/>
      <c r="Y276" s="36">
        <f>K145</f>
        <v>0</v>
      </c>
      <c r="Z276" s="36">
        <f>K129</f>
        <v>0</v>
      </c>
      <c r="AA276" s="36">
        <f t="shared" si="10"/>
        <v>0</v>
      </c>
      <c r="AB276" s="36">
        <f t="shared" si="11"/>
        <v>0</v>
      </c>
      <c r="AC276" s="36"/>
      <c r="AD276" s="36"/>
      <c r="AE276" s="145">
        <f t="shared" si="8"/>
        <v>0</v>
      </c>
      <c r="AF276" s="145">
        <f t="shared" si="9"/>
        <v>0</v>
      </c>
    </row>
    <row r="277" spans="3:32" x14ac:dyDescent="0.2">
      <c r="C277" s="141"/>
      <c r="D277" s="141"/>
      <c r="E277" s="141"/>
      <c r="F277" s="141"/>
      <c r="I277" s="36"/>
      <c r="J277" s="36"/>
      <c r="K277" s="36"/>
      <c r="L277" s="36"/>
      <c r="M277" s="36"/>
      <c r="N277" s="36"/>
      <c r="O277" s="36"/>
      <c r="P277" s="36"/>
      <c r="Q277" s="36"/>
      <c r="R277" s="36"/>
      <c r="S277" s="36"/>
      <c r="T277" s="36"/>
      <c r="U277" s="36"/>
      <c r="V277" s="36"/>
      <c r="W277" s="36"/>
      <c r="X277" s="36"/>
      <c r="Y277" s="36"/>
      <c r="Z277" s="36"/>
      <c r="AA277" s="36"/>
      <c r="AB277" s="36"/>
      <c r="AC277" s="36"/>
      <c r="AD277" s="36"/>
      <c r="AE277" s="145">
        <f t="shared" si="8"/>
        <v>0</v>
      </c>
      <c r="AF277" s="145">
        <f t="shared" si="9"/>
        <v>0</v>
      </c>
    </row>
    <row r="278" spans="3:32" x14ac:dyDescent="0.2">
      <c r="C278" s="141" t="s">
        <v>74</v>
      </c>
      <c r="E278" s="141"/>
      <c r="F278" s="141"/>
      <c r="I278" s="36"/>
      <c r="J278" s="36"/>
      <c r="K278" s="36"/>
      <c r="L278" s="36"/>
      <c r="M278" s="36"/>
      <c r="N278" s="36"/>
      <c r="O278" s="36"/>
      <c r="P278" s="36"/>
      <c r="Q278" s="36"/>
      <c r="R278" s="36"/>
      <c r="S278" s="36"/>
      <c r="T278" s="36"/>
      <c r="U278" s="36"/>
      <c r="V278" s="36"/>
      <c r="W278" s="36"/>
      <c r="X278" s="36"/>
      <c r="Y278" s="36"/>
      <c r="Z278" s="36"/>
      <c r="AA278" s="36">
        <f>K159</f>
        <v>0</v>
      </c>
      <c r="AB278" s="36">
        <f>K181</f>
        <v>0</v>
      </c>
      <c r="AC278" s="36"/>
      <c r="AD278" s="36"/>
      <c r="AE278" s="145">
        <f t="shared" si="8"/>
        <v>0</v>
      </c>
      <c r="AF278" s="145">
        <f t="shared" si="9"/>
        <v>0</v>
      </c>
    </row>
    <row r="279" spans="3:32" x14ac:dyDescent="0.2">
      <c r="C279" s="141" t="s">
        <v>475</v>
      </c>
      <c r="E279" s="141"/>
      <c r="F279" s="141"/>
      <c r="I279" s="36"/>
      <c r="J279" s="36"/>
      <c r="K279" s="36"/>
      <c r="L279" s="36"/>
      <c r="M279" s="36"/>
      <c r="N279" s="36"/>
      <c r="O279" s="36"/>
      <c r="P279" s="36"/>
      <c r="Q279" s="36">
        <f>M48</f>
        <v>0</v>
      </c>
      <c r="R279" s="36">
        <f>M51</f>
        <v>0</v>
      </c>
      <c r="S279" s="36"/>
      <c r="T279" s="36"/>
      <c r="U279" s="36"/>
      <c r="V279" s="36"/>
      <c r="W279" s="36"/>
      <c r="X279" s="36"/>
      <c r="Y279" s="36"/>
      <c r="Z279" s="36"/>
      <c r="AA279" s="36">
        <f t="shared" ref="AA279:AA286" si="12">K160</f>
        <v>0</v>
      </c>
      <c r="AB279" s="36">
        <f t="shared" ref="AB279:AB286" si="13">K182</f>
        <v>0</v>
      </c>
      <c r="AC279" s="36"/>
      <c r="AD279" s="36"/>
      <c r="AE279" s="145">
        <f t="shared" si="8"/>
        <v>0</v>
      </c>
      <c r="AF279" s="145">
        <f t="shared" si="9"/>
        <v>0</v>
      </c>
    </row>
    <row r="280" spans="3:32" x14ac:dyDescent="0.2">
      <c r="C280" s="141" t="s">
        <v>75</v>
      </c>
      <c r="E280" s="141"/>
      <c r="F280" s="141"/>
      <c r="I280" s="36"/>
      <c r="J280" s="36"/>
      <c r="K280" s="36"/>
      <c r="L280" s="36"/>
      <c r="M280" s="36"/>
      <c r="N280" s="36"/>
      <c r="O280" s="36"/>
      <c r="P280" s="36"/>
      <c r="Q280" s="36"/>
      <c r="R280" s="36"/>
      <c r="S280" s="36"/>
      <c r="T280" s="36"/>
      <c r="U280" s="36"/>
      <c r="V280" s="36"/>
      <c r="W280" s="36"/>
      <c r="X280" s="36"/>
      <c r="Y280" s="36"/>
      <c r="Z280" s="36"/>
      <c r="AA280" s="36">
        <f t="shared" si="12"/>
        <v>0</v>
      </c>
      <c r="AB280" s="36">
        <f t="shared" si="13"/>
        <v>0</v>
      </c>
      <c r="AC280" s="36"/>
      <c r="AD280" s="36"/>
      <c r="AE280" s="145">
        <f t="shared" si="8"/>
        <v>0</v>
      </c>
      <c r="AF280" s="145">
        <f t="shared" si="9"/>
        <v>0</v>
      </c>
    </row>
    <row r="281" spans="3:32" x14ac:dyDescent="0.2">
      <c r="C281" s="141" t="s">
        <v>76</v>
      </c>
      <c r="E281" s="141"/>
      <c r="F281" s="141"/>
      <c r="I281" s="36"/>
      <c r="J281" s="36"/>
      <c r="K281" s="36"/>
      <c r="L281" s="36"/>
      <c r="M281" s="36"/>
      <c r="N281" s="36"/>
      <c r="O281" s="36"/>
      <c r="P281" s="36"/>
      <c r="Q281" s="36"/>
      <c r="R281" s="36"/>
      <c r="S281" s="36"/>
      <c r="T281" s="36"/>
      <c r="U281" s="36"/>
      <c r="V281" s="36"/>
      <c r="W281" s="36"/>
      <c r="X281" s="36"/>
      <c r="Y281" s="36"/>
      <c r="Z281" s="36"/>
      <c r="AA281" s="36">
        <f t="shared" si="12"/>
        <v>0</v>
      </c>
      <c r="AB281" s="36">
        <f t="shared" si="13"/>
        <v>0</v>
      </c>
      <c r="AC281" s="36"/>
      <c r="AD281" s="36"/>
      <c r="AE281" s="145">
        <f t="shared" si="8"/>
        <v>0</v>
      </c>
      <c r="AF281" s="145">
        <f t="shared" si="9"/>
        <v>0</v>
      </c>
    </row>
    <row r="282" spans="3:32" x14ac:dyDescent="0.2">
      <c r="C282" s="141" t="s">
        <v>77</v>
      </c>
      <c r="E282" s="141"/>
      <c r="F282" s="141"/>
      <c r="I282" s="36"/>
      <c r="J282" s="36"/>
      <c r="K282" s="36"/>
      <c r="L282" s="36"/>
      <c r="M282" s="36"/>
      <c r="N282" s="36"/>
      <c r="O282" s="36"/>
      <c r="P282" s="36"/>
      <c r="Q282" s="36"/>
      <c r="R282" s="36"/>
      <c r="S282" s="36"/>
      <c r="T282" s="36"/>
      <c r="U282" s="36"/>
      <c r="V282" s="36"/>
      <c r="W282" s="36"/>
      <c r="X282" s="36"/>
      <c r="Y282" s="36"/>
      <c r="Z282" s="36"/>
      <c r="AA282" s="36">
        <f t="shared" si="12"/>
        <v>0</v>
      </c>
      <c r="AB282" s="36">
        <f t="shared" si="13"/>
        <v>0</v>
      </c>
      <c r="AC282" s="36"/>
      <c r="AD282" s="36"/>
      <c r="AE282" s="145">
        <f t="shared" si="8"/>
        <v>0</v>
      </c>
      <c r="AF282" s="145">
        <f t="shared" si="9"/>
        <v>0</v>
      </c>
    </row>
    <row r="283" spans="3:32" x14ac:dyDescent="0.2">
      <c r="C283" s="141" t="s">
        <v>78</v>
      </c>
      <c r="E283" s="141"/>
      <c r="F283" s="141"/>
      <c r="I283" s="36"/>
      <c r="J283" s="36"/>
      <c r="K283" s="36"/>
      <c r="L283" s="36"/>
      <c r="M283" s="36"/>
      <c r="N283" s="36"/>
      <c r="O283" s="36"/>
      <c r="P283" s="36"/>
      <c r="Q283" s="36"/>
      <c r="R283" s="36"/>
      <c r="S283" s="36"/>
      <c r="T283" s="36"/>
      <c r="U283" s="36"/>
      <c r="V283" s="36"/>
      <c r="W283" s="36"/>
      <c r="X283" s="36"/>
      <c r="Y283" s="36"/>
      <c r="Z283" s="36"/>
      <c r="AA283" s="36">
        <f t="shared" si="12"/>
        <v>0</v>
      </c>
      <c r="AB283" s="36">
        <f t="shared" si="13"/>
        <v>0</v>
      </c>
      <c r="AC283" s="36"/>
      <c r="AD283" s="36"/>
      <c r="AE283" s="145">
        <f t="shared" si="8"/>
        <v>0</v>
      </c>
      <c r="AF283" s="145">
        <f t="shared" si="9"/>
        <v>0</v>
      </c>
    </row>
    <row r="284" spans="3:32" x14ac:dyDescent="0.2">
      <c r="C284" s="141" t="s">
        <v>943</v>
      </c>
      <c r="E284" s="141"/>
      <c r="F284" s="141"/>
      <c r="I284" s="36"/>
      <c r="J284" s="36"/>
      <c r="K284" s="36"/>
      <c r="L284" s="36"/>
      <c r="M284" s="36"/>
      <c r="N284" s="36"/>
      <c r="O284" s="36"/>
      <c r="P284" s="36"/>
      <c r="Q284" s="36"/>
      <c r="R284" s="36"/>
      <c r="S284" s="36"/>
      <c r="T284" s="36"/>
      <c r="U284" s="36"/>
      <c r="V284" s="36"/>
      <c r="W284" s="36"/>
      <c r="X284" s="36"/>
      <c r="Y284" s="36"/>
      <c r="Z284" s="36"/>
      <c r="AA284" s="36">
        <f t="shared" si="12"/>
        <v>0</v>
      </c>
      <c r="AB284" s="36">
        <f t="shared" si="13"/>
        <v>0</v>
      </c>
      <c r="AC284" s="36"/>
      <c r="AD284" s="36"/>
      <c r="AE284" s="145">
        <f t="shared" si="8"/>
        <v>0</v>
      </c>
      <c r="AF284" s="145">
        <f t="shared" si="9"/>
        <v>0</v>
      </c>
    </row>
    <row r="285" spans="3:32" x14ac:dyDescent="0.2">
      <c r="C285" s="141" t="s">
        <v>176</v>
      </c>
      <c r="E285" s="141"/>
      <c r="F285" s="141"/>
      <c r="I285" s="36"/>
      <c r="J285" s="36"/>
      <c r="K285" s="36"/>
      <c r="L285" s="36"/>
      <c r="M285" s="36"/>
      <c r="N285" s="36"/>
      <c r="O285" s="36"/>
      <c r="P285" s="36"/>
      <c r="Q285" s="36"/>
      <c r="R285" s="36"/>
      <c r="S285" s="36"/>
      <c r="T285" s="36"/>
      <c r="U285" s="36"/>
      <c r="V285" s="36"/>
      <c r="W285" s="36"/>
      <c r="X285" s="36"/>
      <c r="Y285" s="36"/>
      <c r="Z285" s="36"/>
      <c r="AA285" s="36">
        <f t="shared" si="12"/>
        <v>0</v>
      </c>
      <c r="AB285" s="36">
        <f t="shared" si="13"/>
        <v>0</v>
      </c>
      <c r="AC285" s="36"/>
      <c r="AD285" s="36"/>
      <c r="AE285" s="145">
        <f t="shared" si="8"/>
        <v>0</v>
      </c>
      <c r="AF285" s="145">
        <f t="shared" si="9"/>
        <v>0</v>
      </c>
    </row>
    <row r="286" spans="3:32" x14ac:dyDescent="0.2">
      <c r="C286" s="378" t="s">
        <v>304</v>
      </c>
      <c r="E286" s="141"/>
      <c r="F286" s="141"/>
      <c r="I286" s="36"/>
      <c r="J286" s="36"/>
      <c r="K286" s="36"/>
      <c r="L286" s="36"/>
      <c r="M286" s="36"/>
      <c r="N286" s="36"/>
      <c r="O286" s="36"/>
      <c r="P286" s="36"/>
      <c r="Q286" s="36"/>
      <c r="R286" s="36"/>
      <c r="S286" s="36"/>
      <c r="T286" s="36"/>
      <c r="U286" s="36"/>
      <c r="V286" s="36"/>
      <c r="W286" s="36"/>
      <c r="X286" s="36"/>
      <c r="Y286" s="36"/>
      <c r="Z286" s="36"/>
      <c r="AA286" s="36">
        <f t="shared" si="12"/>
        <v>0</v>
      </c>
      <c r="AB286" s="36">
        <f t="shared" si="13"/>
        <v>0</v>
      </c>
      <c r="AC286" s="36"/>
      <c r="AD286" s="36"/>
      <c r="AE286" s="145">
        <f t="shared" si="8"/>
        <v>0</v>
      </c>
      <c r="AF286" s="145">
        <f t="shared" si="9"/>
        <v>0</v>
      </c>
    </row>
    <row r="287" spans="3:32" x14ac:dyDescent="0.2">
      <c r="C287" s="141"/>
      <c r="D287" s="141"/>
      <c r="E287" s="141"/>
      <c r="F287" s="141"/>
      <c r="I287" s="36"/>
      <c r="J287" s="36"/>
      <c r="K287" s="36"/>
      <c r="L287" s="36"/>
      <c r="M287" s="36"/>
      <c r="N287" s="36"/>
      <c r="O287" s="36"/>
      <c r="P287" s="36"/>
      <c r="Q287" s="36"/>
      <c r="R287" s="36"/>
      <c r="S287" s="36"/>
      <c r="T287" s="36"/>
      <c r="U287" s="36"/>
      <c r="V287" s="36"/>
      <c r="W287" s="36"/>
      <c r="X287" s="36"/>
      <c r="Y287" s="36"/>
      <c r="Z287" s="36"/>
      <c r="AA287" s="36"/>
      <c r="AB287" s="36"/>
      <c r="AC287" s="36"/>
      <c r="AD287" s="36"/>
      <c r="AE287" s="145">
        <f t="shared" si="8"/>
        <v>0</v>
      </c>
      <c r="AF287" s="145">
        <f t="shared" si="9"/>
        <v>0</v>
      </c>
    </row>
    <row r="288" spans="3:32" x14ac:dyDescent="0.2">
      <c r="C288" s="141" t="s">
        <v>473</v>
      </c>
      <c r="E288" s="141"/>
      <c r="F288" s="141"/>
      <c r="I288" s="36"/>
      <c r="J288" s="36"/>
      <c r="K288" s="36"/>
      <c r="L288" s="36"/>
      <c r="M288" s="36"/>
      <c r="N288" s="36"/>
      <c r="O288" s="36"/>
      <c r="P288" s="36"/>
      <c r="Q288" s="36"/>
      <c r="R288" s="36"/>
      <c r="S288" s="36"/>
      <c r="T288" s="36"/>
      <c r="U288" s="36"/>
      <c r="V288" s="36"/>
      <c r="W288" s="36">
        <f>K103</f>
        <v>0</v>
      </c>
      <c r="X288" s="36">
        <f>K87</f>
        <v>0</v>
      </c>
      <c r="Y288" s="36"/>
      <c r="Z288" s="36"/>
      <c r="AA288" s="36">
        <f>M159</f>
        <v>0</v>
      </c>
      <c r="AB288" s="36">
        <f>M181</f>
        <v>0</v>
      </c>
      <c r="AC288" s="36"/>
      <c r="AD288" s="36"/>
      <c r="AE288" s="145">
        <f t="shared" si="8"/>
        <v>0</v>
      </c>
      <c r="AF288" s="145">
        <f t="shared" si="9"/>
        <v>0</v>
      </c>
    </row>
    <row r="289" spans="3:32" x14ac:dyDescent="0.2">
      <c r="C289" s="141" t="s">
        <v>340</v>
      </c>
      <c r="E289" s="141"/>
      <c r="F289" s="141"/>
      <c r="I289" s="36"/>
      <c r="J289" s="36"/>
      <c r="K289" s="36"/>
      <c r="L289" s="36"/>
      <c r="M289" s="36"/>
      <c r="N289" s="36"/>
      <c r="O289" s="36"/>
      <c r="P289" s="36"/>
      <c r="Q289" s="36"/>
      <c r="R289" s="36"/>
      <c r="S289" s="36"/>
      <c r="T289" s="36"/>
      <c r="U289" s="36"/>
      <c r="V289" s="36"/>
      <c r="W289" s="36"/>
      <c r="X289" s="36"/>
      <c r="Y289" s="36"/>
      <c r="Z289" s="36"/>
      <c r="AA289" s="36">
        <f t="shared" ref="AA289:AA296" si="14">M160</f>
        <v>0</v>
      </c>
      <c r="AB289" s="36">
        <f t="shared" ref="AB289:AB296" si="15">M182</f>
        <v>0</v>
      </c>
      <c r="AC289" s="36"/>
      <c r="AD289" s="36"/>
      <c r="AE289" s="145">
        <f t="shared" si="8"/>
        <v>0</v>
      </c>
      <c r="AF289" s="145">
        <f t="shared" si="9"/>
        <v>0</v>
      </c>
    </row>
    <row r="290" spans="3:32" x14ac:dyDescent="0.2">
      <c r="C290" s="141" t="s">
        <v>341</v>
      </c>
      <c r="E290" s="141"/>
      <c r="F290" s="141"/>
      <c r="I290" s="36"/>
      <c r="J290" s="36"/>
      <c r="K290" s="36"/>
      <c r="L290" s="36"/>
      <c r="M290" s="36"/>
      <c r="N290" s="36"/>
      <c r="O290" s="36"/>
      <c r="P290" s="36"/>
      <c r="Q290" s="36"/>
      <c r="R290" s="36"/>
      <c r="S290" s="36"/>
      <c r="T290" s="36"/>
      <c r="U290" s="36"/>
      <c r="V290" s="36"/>
      <c r="W290" s="36">
        <f>K104</f>
        <v>0</v>
      </c>
      <c r="X290" s="36">
        <f>K88</f>
        <v>0</v>
      </c>
      <c r="Y290" s="36"/>
      <c r="Z290" s="36"/>
      <c r="AA290" s="36">
        <f t="shared" si="14"/>
        <v>0</v>
      </c>
      <c r="AB290" s="36">
        <f t="shared" si="15"/>
        <v>0</v>
      </c>
      <c r="AC290" s="36"/>
      <c r="AD290" s="36"/>
      <c r="AE290" s="145">
        <f t="shared" si="8"/>
        <v>0</v>
      </c>
      <c r="AF290" s="145">
        <f t="shared" si="9"/>
        <v>0</v>
      </c>
    </row>
    <row r="291" spans="3:32" x14ac:dyDescent="0.2">
      <c r="C291" s="141" t="s">
        <v>422</v>
      </c>
      <c r="E291" s="141"/>
      <c r="F291" s="141"/>
      <c r="I291" s="36"/>
      <c r="J291" s="36"/>
      <c r="K291" s="36"/>
      <c r="L291" s="36"/>
      <c r="M291" s="36"/>
      <c r="N291" s="36"/>
      <c r="O291" s="36"/>
      <c r="P291" s="36"/>
      <c r="Q291" s="36"/>
      <c r="R291" s="36"/>
      <c r="S291" s="36"/>
      <c r="T291" s="36"/>
      <c r="U291" s="36"/>
      <c r="V291" s="36"/>
      <c r="W291" s="36">
        <f>K105</f>
        <v>0</v>
      </c>
      <c r="X291" s="36">
        <f>K89</f>
        <v>0</v>
      </c>
      <c r="Y291" s="36"/>
      <c r="Z291" s="36"/>
      <c r="AA291" s="36">
        <f t="shared" si="14"/>
        <v>0</v>
      </c>
      <c r="AB291" s="36">
        <f t="shared" si="15"/>
        <v>0</v>
      </c>
      <c r="AC291" s="36"/>
      <c r="AD291" s="36"/>
      <c r="AE291" s="145">
        <f t="shared" si="8"/>
        <v>0</v>
      </c>
      <c r="AF291" s="145">
        <f t="shared" si="9"/>
        <v>0</v>
      </c>
    </row>
    <row r="292" spans="3:32" x14ac:dyDescent="0.2">
      <c r="C292" s="141" t="s">
        <v>423</v>
      </c>
      <c r="E292" s="141"/>
      <c r="F292" s="141"/>
      <c r="I292" s="36"/>
      <c r="J292" s="36"/>
      <c r="K292" s="36"/>
      <c r="L292" s="36"/>
      <c r="M292" s="36"/>
      <c r="N292" s="36"/>
      <c r="O292" s="36"/>
      <c r="P292" s="36"/>
      <c r="Q292" s="36"/>
      <c r="R292" s="36"/>
      <c r="S292" s="36"/>
      <c r="T292" s="36"/>
      <c r="U292" s="36"/>
      <c r="V292" s="36"/>
      <c r="W292" s="36">
        <f>K106</f>
        <v>0</v>
      </c>
      <c r="X292" s="36">
        <f>K90</f>
        <v>0</v>
      </c>
      <c r="Y292" s="36"/>
      <c r="Z292" s="36"/>
      <c r="AA292" s="36">
        <f t="shared" si="14"/>
        <v>0</v>
      </c>
      <c r="AB292" s="36">
        <f t="shared" si="15"/>
        <v>0</v>
      </c>
      <c r="AC292" s="36"/>
      <c r="AD292" s="36"/>
      <c r="AE292" s="145">
        <f t="shared" si="8"/>
        <v>0</v>
      </c>
      <c r="AF292" s="145">
        <f t="shared" si="9"/>
        <v>0</v>
      </c>
    </row>
    <row r="293" spans="3:32" x14ac:dyDescent="0.2">
      <c r="C293" s="141" t="s">
        <v>899</v>
      </c>
      <c r="E293" s="141"/>
      <c r="F293" s="141"/>
      <c r="I293" s="36"/>
      <c r="J293" s="36"/>
      <c r="K293" s="36"/>
      <c r="L293" s="36"/>
      <c r="M293" s="36"/>
      <c r="N293" s="36"/>
      <c r="O293" s="36"/>
      <c r="P293" s="36"/>
      <c r="Q293" s="36"/>
      <c r="R293" s="36"/>
      <c r="S293" s="36"/>
      <c r="T293" s="36"/>
      <c r="U293" s="36"/>
      <c r="V293" s="36"/>
      <c r="W293" s="36"/>
      <c r="X293" s="36"/>
      <c r="Y293" s="36"/>
      <c r="Z293" s="36"/>
      <c r="AA293" s="36">
        <f t="shared" si="14"/>
        <v>0</v>
      </c>
      <c r="AB293" s="36">
        <f t="shared" si="15"/>
        <v>0</v>
      </c>
      <c r="AC293" s="36"/>
      <c r="AD293" s="36"/>
      <c r="AE293" s="145">
        <f t="shared" si="8"/>
        <v>0</v>
      </c>
      <c r="AF293" s="145">
        <f t="shared" si="9"/>
        <v>0</v>
      </c>
    </row>
    <row r="294" spans="3:32" x14ac:dyDescent="0.2">
      <c r="C294" s="141" t="s">
        <v>900</v>
      </c>
      <c r="E294" s="141"/>
      <c r="F294" s="141"/>
      <c r="I294" s="36"/>
      <c r="J294" s="36"/>
      <c r="K294" s="36"/>
      <c r="L294" s="36"/>
      <c r="M294" s="36"/>
      <c r="N294" s="36"/>
      <c r="O294" s="36"/>
      <c r="P294" s="36"/>
      <c r="Q294" s="36"/>
      <c r="R294" s="36"/>
      <c r="S294" s="36"/>
      <c r="T294" s="36"/>
      <c r="U294" s="36"/>
      <c r="V294" s="36"/>
      <c r="W294" s="36"/>
      <c r="X294" s="36"/>
      <c r="Y294" s="36"/>
      <c r="Z294" s="36"/>
      <c r="AA294" s="36">
        <f t="shared" si="14"/>
        <v>0</v>
      </c>
      <c r="AB294" s="36">
        <f t="shared" si="15"/>
        <v>0</v>
      </c>
      <c r="AC294" s="36"/>
      <c r="AD294" s="36"/>
      <c r="AE294" s="145">
        <f t="shared" si="8"/>
        <v>0</v>
      </c>
      <c r="AF294" s="145">
        <f t="shared" si="9"/>
        <v>0</v>
      </c>
    </row>
    <row r="295" spans="3:32" x14ac:dyDescent="0.2">
      <c r="C295" s="141" t="s">
        <v>177</v>
      </c>
      <c r="E295" s="141"/>
      <c r="F295" s="141"/>
      <c r="I295" s="36"/>
      <c r="J295" s="36"/>
      <c r="K295" s="36"/>
      <c r="L295" s="36"/>
      <c r="M295" s="36"/>
      <c r="N295" s="36"/>
      <c r="O295" s="36"/>
      <c r="P295" s="36"/>
      <c r="Q295" s="36"/>
      <c r="R295" s="36"/>
      <c r="S295" s="36"/>
      <c r="T295" s="36"/>
      <c r="U295" s="36"/>
      <c r="V295" s="36"/>
      <c r="W295" s="36">
        <f>K107</f>
        <v>0</v>
      </c>
      <c r="X295" s="36">
        <f>K91</f>
        <v>0</v>
      </c>
      <c r="Y295" s="36"/>
      <c r="Z295" s="36"/>
      <c r="AA295" s="36">
        <f t="shared" si="14"/>
        <v>0</v>
      </c>
      <c r="AB295" s="36">
        <f t="shared" si="15"/>
        <v>0</v>
      </c>
      <c r="AC295" s="36"/>
      <c r="AD295" s="36"/>
      <c r="AE295" s="145">
        <f t="shared" si="8"/>
        <v>0</v>
      </c>
      <c r="AF295" s="145">
        <f t="shared" si="9"/>
        <v>0</v>
      </c>
    </row>
    <row r="296" spans="3:32" x14ac:dyDescent="0.2">
      <c r="C296" s="378" t="s">
        <v>305</v>
      </c>
      <c r="E296" s="141"/>
      <c r="F296" s="141"/>
      <c r="I296" s="36"/>
      <c r="J296" s="36"/>
      <c r="K296" s="36"/>
      <c r="L296" s="36"/>
      <c r="M296" s="36"/>
      <c r="N296" s="36"/>
      <c r="O296" s="36"/>
      <c r="P296" s="36"/>
      <c r="Q296" s="36"/>
      <c r="R296" s="36"/>
      <c r="S296" s="36"/>
      <c r="T296" s="36"/>
      <c r="U296" s="36"/>
      <c r="V296" s="36"/>
      <c r="W296" s="36">
        <f>K108</f>
        <v>0</v>
      </c>
      <c r="X296" s="36">
        <f>K92</f>
        <v>0</v>
      </c>
      <c r="Y296" s="36"/>
      <c r="Z296" s="36"/>
      <c r="AA296" s="36">
        <f t="shared" si="14"/>
        <v>0</v>
      </c>
      <c r="AB296" s="36">
        <f t="shared" si="15"/>
        <v>0</v>
      </c>
      <c r="AC296" s="36"/>
      <c r="AD296" s="36"/>
      <c r="AE296" s="145">
        <f t="shared" si="8"/>
        <v>0</v>
      </c>
      <c r="AF296" s="145">
        <f t="shared" si="9"/>
        <v>0</v>
      </c>
    </row>
    <row r="297" spans="3:32" ht="13.5" thickBot="1" x14ac:dyDescent="0.25">
      <c r="I297" s="37">
        <f>SUM(I258:I294)</f>
        <v>0</v>
      </c>
      <c r="J297" s="36"/>
      <c r="K297" s="37">
        <f>SUM(K258:K294)</f>
        <v>0</v>
      </c>
      <c r="L297" s="37">
        <f>SUM(L259:L294)</f>
        <v>0</v>
      </c>
      <c r="M297" s="37">
        <f>SUM(M258:M294)</f>
        <v>0</v>
      </c>
      <c r="N297" s="48"/>
      <c r="O297" s="37">
        <f>SUM(O258:O294)</f>
        <v>0</v>
      </c>
      <c r="P297" s="48"/>
      <c r="Q297" s="37">
        <f t="shared" ref="Q297:V297" si="16">SUM(Q258:Q294)</f>
        <v>0</v>
      </c>
      <c r="R297" s="37">
        <f t="shared" si="16"/>
        <v>0</v>
      </c>
      <c r="S297" s="37">
        <f t="shared" si="16"/>
        <v>0</v>
      </c>
      <c r="T297" s="37">
        <f t="shared" si="16"/>
        <v>0</v>
      </c>
      <c r="U297" s="37">
        <f t="shared" si="16"/>
        <v>0</v>
      </c>
      <c r="V297" s="37">
        <f t="shared" si="16"/>
        <v>0</v>
      </c>
      <c r="W297" s="37">
        <f t="shared" ref="W297:AB297" si="17">SUM(W258:W296)</f>
        <v>0</v>
      </c>
      <c r="X297" s="37">
        <f t="shared" si="17"/>
        <v>0</v>
      </c>
      <c r="Y297" s="37">
        <f t="shared" si="17"/>
        <v>0</v>
      </c>
      <c r="Z297" s="37">
        <f t="shared" si="17"/>
        <v>0</v>
      </c>
      <c r="AA297" s="37">
        <f t="shared" si="17"/>
        <v>0</v>
      </c>
      <c r="AB297" s="37">
        <f t="shared" si="17"/>
        <v>0</v>
      </c>
      <c r="AC297" s="37">
        <f>SUM(AC257:AC296)</f>
        <v>0</v>
      </c>
      <c r="AD297" s="37">
        <f>SUM(AD258:AD296)</f>
        <v>0</v>
      </c>
      <c r="AE297" s="37">
        <f>SUM(AE257:AE296)</f>
        <v>0</v>
      </c>
      <c r="AF297" s="37">
        <f>SUM(AF257:AF296)</f>
        <v>0</v>
      </c>
    </row>
    <row r="298" spans="3:32" ht="13.5" thickTop="1" x14ac:dyDescent="0.2"/>
  </sheetData>
  <sheetProtection algorithmName="SHA-512" hashValue="HpAX1GKBM9h6e0msY0Qypvi76blGYA0Qo5bynKSJRJCUaMMpECS6YTsYRKUuw78i7mIK1oEcchpzZHLd4M+BYw==" saltValue="njUkHeXYAKfLhXKso44pgw==" spinCount="100000" sheet="1" objects="1" scenarios="1"/>
  <mergeCells count="75">
    <mergeCell ref="C195:O195"/>
    <mergeCell ref="D26:K27"/>
    <mergeCell ref="D29:K30"/>
    <mergeCell ref="C76:O76"/>
    <mergeCell ref="D51:K52"/>
    <mergeCell ref="M51:M52"/>
    <mergeCell ref="M59:M60"/>
    <mergeCell ref="C66:O66"/>
    <mergeCell ref="O187:O189"/>
    <mergeCell ref="D119:K119"/>
    <mergeCell ref="M116:M117"/>
    <mergeCell ref="C152:O152"/>
    <mergeCell ref="O165:O167"/>
    <mergeCell ref="M128:M130"/>
    <mergeCell ref="D137:K138"/>
    <mergeCell ref="D121:K122"/>
    <mergeCell ref="C4:O4"/>
    <mergeCell ref="B2:O2"/>
    <mergeCell ref="C8:O8"/>
    <mergeCell ref="C22:O22"/>
    <mergeCell ref="D10:O11"/>
    <mergeCell ref="D13:O14"/>
    <mergeCell ref="D16:O17"/>
    <mergeCell ref="D19:O20"/>
    <mergeCell ref="C6:O6"/>
    <mergeCell ref="AE255:AF255"/>
    <mergeCell ref="S255:T255"/>
    <mergeCell ref="W255:X255"/>
    <mergeCell ref="Y255:Z255"/>
    <mergeCell ref="AA255:AB255"/>
    <mergeCell ref="AC255:AD255"/>
    <mergeCell ref="U255:V255"/>
    <mergeCell ref="Q255:R255"/>
    <mergeCell ref="B252:AD253"/>
    <mergeCell ref="D174:K175"/>
    <mergeCell ref="D48:K49"/>
    <mergeCell ref="M48:M49"/>
    <mergeCell ref="I255:K255"/>
    <mergeCell ref="D62:K63"/>
    <mergeCell ref="M174:M175"/>
    <mergeCell ref="D177:K178"/>
    <mergeCell ref="D155:L156"/>
    <mergeCell ref="M155:M156"/>
    <mergeCell ref="M145:M146"/>
    <mergeCell ref="M255:O255"/>
    <mergeCell ref="M107:M109"/>
    <mergeCell ref="C204:O204"/>
    <mergeCell ref="C150:O150"/>
    <mergeCell ref="C55:O55"/>
    <mergeCell ref="D59:K60"/>
    <mergeCell ref="C33:O33"/>
    <mergeCell ref="C44:O44"/>
    <mergeCell ref="M95:M96"/>
    <mergeCell ref="M73:M74"/>
    <mergeCell ref="M29:M30"/>
    <mergeCell ref="D37:K38"/>
    <mergeCell ref="M37:M38"/>
    <mergeCell ref="D40:K41"/>
    <mergeCell ref="M40:M41"/>
    <mergeCell ref="M26:M27"/>
    <mergeCell ref="D132:K133"/>
    <mergeCell ref="M132:M133"/>
    <mergeCell ref="D116:K117"/>
    <mergeCell ref="M62:M63"/>
    <mergeCell ref="D79:K80"/>
    <mergeCell ref="M79:M80"/>
    <mergeCell ref="M92:M93"/>
    <mergeCell ref="C113:O113"/>
    <mergeCell ref="D70:K71"/>
    <mergeCell ref="D100:K101"/>
    <mergeCell ref="M70:M71"/>
    <mergeCell ref="D82:K82"/>
    <mergeCell ref="D84:K85"/>
    <mergeCell ref="D95:K96"/>
    <mergeCell ref="D73:K74"/>
  </mergeCells>
  <phoneticPr fontId="17" type="noConversion"/>
  <printOptions horizontalCentered="1"/>
  <pageMargins left="0.5" right="0.45" top="0.64" bottom="0.63" header="0.5" footer="0.5"/>
  <pageSetup scale="65" orientation="portrait" r:id="rId1"/>
  <headerFooter alignWithMargins="0">
    <oddHeader>&amp;R&amp;"Arial,Bold"&amp;12Entry C</oddHeader>
    <oddFooter>&amp;L&amp;8&amp;D - County model&amp;R  &amp;P</oddFooter>
  </headerFooter>
  <rowBreaks count="4" manualBreakCount="4">
    <brk id="74" min="1" max="15" man="1"/>
    <brk id="148" min="1" max="15" man="1"/>
    <brk id="202" min="1" max="15" man="1"/>
    <brk id="250" min="1" max="1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72"/>
  <sheetViews>
    <sheetView workbookViewId="0">
      <selection activeCell="R100" sqref="R100"/>
    </sheetView>
  </sheetViews>
  <sheetFormatPr defaultRowHeight="12.75" x14ac:dyDescent="0.2"/>
  <cols>
    <col min="1" max="1" width="3.5703125" customWidth="1"/>
    <col min="2" max="2" width="3.28515625" customWidth="1"/>
    <col min="3" max="3" width="18.140625" customWidth="1"/>
    <col min="7" max="7" width="12.140625" bestFit="1" customWidth="1"/>
    <col min="8" max="8" width="1.140625" customWidth="1"/>
    <col min="9" max="9" width="12.7109375" customWidth="1"/>
    <col min="10" max="10" width="13.7109375" customWidth="1"/>
    <col min="11" max="11" width="1.42578125" customWidth="1"/>
    <col min="12" max="12" width="13.7109375" customWidth="1"/>
    <col min="13" max="13" width="11" customWidth="1"/>
    <col min="14" max="14" width="13" customWidth="1"/>
    <col min="15" max="15" width="1.5703125" customWidth="1"/>
    <col min="16" max="16" width="1.7109375" customWidth="1"/>
  </cols>
  <sheetData>
    <row r="1" spans="1:16" ht="7.5" customHeight="1" x14ac:dyDescent="0.2"/>
    <row r="2" spans="1:16" ht="34.5" customHeight="1" x14ac:dyDescent="0.25">
      <c r="A2" s="1465" t="s">
        <v>166</v>
      </c>
      <c r="B2" s="1466"/>
      <c r="C2" s="1466"/>
      <c r="D2" s="1466"/>
      <c r="E2" s="1466"/>
      <c r="F2" s="1466"/>
      <c r="G2" s="1466"/>
      <c r="H2" s="1466"/>
      <c r="I2" s="1466"/>
      <c r="J2" s="1466"/>
      <c r="K2" s="1466"/>
      <c r="L2" s="1466"/>
      <c r="M2" s="1466"/>
      <c r="N2" s="1467"/>
      <c r="O2" s="61"/>
      <c r="P2" s="14"/>
    </row>
    <row r="3" spans="1:16" ht="8.25" customHeight="1" x14ac:dyDescent="0.2"/>
    <row r="4" spans="1:16" ht="90" customHeight="1" x14ac:dyDescent="0.2">
      <c r="B4" s="1468" t="s">
        <v>1137</v>
      </c>
      <c r="C4" s="1387"/>
      <c r="D4" s="1387"/>
      <c r="E4" s="1387"/>
      <c r="F4" s="1387"/>
      <c r="G4" s="1387"/>
      <c r="H4" s="1387"/>
      <c r="I4" s="1387"/>
      <c r="J4" s="1387"/>
      <c r="K4" s="1387"/>
      <c r="L4" s="1387"/>
      <c r="M4" s="1387"/>
      <c r="N4" s="1387"/>
      <c r="O4" s="34"/>
    </row>
    <row r="5" spans="1:16" ht="3.75" customHeight="1" x14ac:dyDescent="0.2">
      <c r="B5" s="34"/>
      <c r="C5" s="34"/>
      <c r="D5" s="34"/>
      <c r="E5" s="34"/>
      <c r="F5" s="34"/>
      <c r="G5" s="34"/>
      <c r="H5" s="34"/>
      <c r="I5" s="34"/>
      <c r="J5" s="34"/>
      <c r="K5" s="34"/>
      <c r="L5" s="34"/>
      <c r="M5" s="34"/>
      <c r="N5" s="34"/>
      <c r="O5" s="34"/>
    </row>
    <row r="6" spans="1:16" ht="64.5" customHeight="1" x14ac:dyDescent="0.2">
      <c r="B6" s="1387" t="s">
        <v>525</v>
      </c>
      <c r="C6" s="1387"/>
      <c r="D6" s="1387"/>
      <c r="E6" s="1387"/>
      <c r="F6" s="1387"/>
      <c r="G6" s="1387"/>
      <c r="H6" s="1387"/>
      <c r="I6" s="1387"/>
      <c r="J6" s="1387"/>
      <c r="K6" s="1387"/>
      <c r="L6" s="1387"/>
      <c r="M6" s="1387"/>
      <c r="N6" s="1387"/>
      <c r="O6" s="34"/>
    </row>
    <row r="7" spans="1:16" ht="4.5" customHeight="1" x14ac:dyDescent="0.2"/>
    <row r="8" spans="1:16" ht="53.25" customHeight="1" x14ac:dyDescent="0.2">
      <c r="B8" s="1468" t="s">
        <v>1138</v>
      </c>
      <c r="C8" s="1387"/>
      <c r="D8" s="1387"/>
      <c r="E8" s="1387"/>
      <c r="F8" s="1387"/>
      <c r="G8" s="1387"/>
      <c r="H8" s="1387"/>
      <c r="I8" s="1387"/>
      <c r="J8" s="1387"/>
      <c r="K8" s="1387"/>
      <c r="L8" s="1387"/>
      <c r="M8" s="1387"/>
      <c r="N8" s="1387"/>
      <c r="O8" s="34"/>
    </row>
    <row r="9" spans="1:16" ht="5.25" customHeight="1" x14ac:dyDescent="0.2"/>
    <row r="10" spans="1:16" ht="12.75" customHeight="1" x14ac:dyDescent="0.2">
      <c r="B10" s="39" t="s">
        <v>521</v>
      </c>
      <c r="C10" s="1387" t="s">
        <v>752</v>
      </c>
      <c r="D10" s="1387"/>
      <c r="E10" s="1387"/>
      <c r="F10" s="1387"/>
      <c r="G10" s="1387"/>
      <c r="H10" s="1387"/>
      <c r="I10" s="1387"/>
      <c r="J10" s="1387"/>
      <c r="K10" s="1387"/>
      <c r="L10" s="1387"/>
      <c r="M10" s="1387"/>
      <c r="N10" s="1387"/>
      <c r="O10" s="34"/>
    </row>
    <row r="11" spans="1:16" ht="12" customHeight="1" x14ac:dyDescent="0.2">
      <c r="B11" s="39"/>
      <c r="C11" s="1387"/>
      <c r="D11" s="1387"/>
      <c r="E11" s="1387"/>
      <c r="F11" s="1387"/>
      <c r="G11" s="1387"/>
      <c r="H11" s="1387"/>
      <c r="I11" s="1387"/>
      <c r="J11" s="1387"/>
      <c r="K11" s="1387"/>
      <c r="L11" s="1387"/>
      <c r="M11" s="1387"/>
      <c r="N11" s="1387"/>
      <c r="O11" s="34"/>
    </row>
    <row r="12" spans="1:16" ht="6" customHeight="1" x14ac:dyDescent="0.2"/>
    <row r="13" spans="1:16" ht="16.5" customHeight="1" x14ac:dyDescent="0.2">
      <c r="B13" s="39" t="s">
        <v>522</v>
      </c>
      <c r="C13" s="1392" t="s">
        <v>270</v>
      </c>
      <c r="D13" s="1392"/>
      <c r="E13" s="1392"/>
      <c r="F13" s="1392"/>
      <c r="G13" s="1392"/>
      <c r="H13" s="1392"/>
      <c r="I13" s="1392"/>
      <c r="J13" s="1392"/>
      <c r="K13" s="1392"/>
      <c r="L13" s="1392"/>
      <c r="M13" s="1392"/>
      <c r="N13" s="1392"/>
      <c r="O13" s="1392"/>
    </row>
    <row r="14" spans="1:16" ht="5.25" customHeight="1" x14ac:dyDescent="0.2"/>
    <row r="15" spans="1:16" x14ac:dyDescent="0.2">
      <c r="B15" s="39" t="s">
        <v>523</v>
      </c>
      <c r="C15" s="1392" t="s">
        <v>271</v>
      </c>
      <c r="D15" s="1392"/>
      <c r="E15" s="1392"/>
      <c r="F15" s="1392"/>
      <c r="G15" s="1392"/>
      <c r="H15" s="1392"/>
      <c r="I15" s="1392"/>
      <c r="J15" s="1392"/>
      <c r="K15" s="1392"/>
      <c r="L15" s="1392"/>
      <c r="M15" s="1392"/>
      <c r="N15" s="1392"/>
      <c r="O15" s="1392"/>
    </row>
    <row r="16" spans="1:16" ht="12" customHeight="1" x14ac:dyDescent="0.2"/>
    <row r="17" spans="1:15" ht="25.5" customHeight="1" x14ac:dyDescent="0.2">
      <c r="A17" s="4" t="s">
        <v>547</v>
      </c>
      <c r="B17" s="1494" t="s">
        <v>902</v>
      </c>
      <c r="C17" s="1495"/>
      <c r="D17" s="1495"/>
      <c r="E17" s="1495"/>
      <c r="F17" s="1495"/>
      <c r="G17" s="1495"/>
      <c r="H17" s="1495"/>
      <c r="I17" s="1495"/>
      <c r="J17" s="1495"/>
      <c r="K17" s="1495"/>
      <c r="L17" s="1495"/>
      <c r="M17" s="1495"/>
      <c r="N17" s="1496"/>
      <c r="O17" s="52"/>
    </row>
    <row r="18" spans="1:15" ht="6.75" customHeight="1" x14ac:dyDescent="0.2"/>
    <row r="19" spans="1:15" x14ac:dyDescent="0.2">
      <c r="G19" s="45" t="s">
        <v>1030</v>
      </c>
    </row>
    <row r="20" spans="1:15" x14ac:dyDescent="0.2">
      <c r="G20" s="45" t="s">
        <v>833</v>
      </c>
    </row>
    <row r="21" spans="1:15" x14ac:dyDescent="0.2">
      <c r="G21" s="3" t="s">
        <v>1031</v>
      </c>
    </row>
    <row r="22" spans="1:15" ht="5.25" customHeight="1" x14ac:dyDescent="0.2">
      <c r="G22" s="46"/>
    </row>
    <row r="23" spans="1:15" x14ac:dyDescent="0.2">
      <c r="C23" t="s">
        <v>920</v>
      </c>
      <c r="G23" s="344">
        <v>0</v>
      </c>
    </row>
    <row r="24" spans="1:15" x14ac:dyDescent="0.2">
      <c r="C24" t="s">
        <v>1009</v>
      </c>
      <c r="G24" s="344">
        <v>0</v>
      </c>
    </row>
    <row r="25" spans="1:15" x14ac:dyDescent="0.2">
      <c r="C25" t="s">
        <v>1010</v>
      </c>
      <c r="G25" s="344">
        <v>0</v>
      </c>
    </row>
    <row r="26" spans="1:15" x14ac:dyDescent="0.2">
      <c r="C26" t="s">
        <v>831</v>
      </c>
      <c r="G26" s="344">
        <v>0</v>
      </c>
    </row>
    <row r="27" spans="1:15" x14ac:dyDescent="0.2">
      <c r="C27" s="13" t="s">
        <v>309</v>
      </c>
      <c r="G27" s="344">
        <v>0</v>
      </c>
      <c r="J27" s="281"/>
    </row>
    <row r="28" spans="1:15" x14ac:dyDescent="0.2">
      <c r="C28" t="s">
        <v>820</v>
      </c>
      <c r="G28" s="344">
        <v>0</v>
      </c>
    </row>
    <row r="29" spans="1:15" x14ac:dyDescent="0.2">
      <c r="C29" t="s">
        <v>1028</v>
      </c>
      <c r="G29" s="344">
        <v>0</v>
      </c>
    </row>
    <row r="30" spans="1:15" x14ac:dyDescent="0.2">
      <c r="C30" t="s">
        <v>174</v>
      </c>
      <c r="G30" s="344">
        <v>0</v>
      </c>
    </row>
    <row r="31" spans="1:15" x14ac:dyDescent="0.2">
      <c r="C31" s="354" t="s">
        <v>740</v>
      </c>
      <c r="G31" s="344">
        <v>0</v>
      </c>
    </row>
    <row r="32" spans="1:15" x14ac:dyDescent="0.2">
      <c r="C32" t="s">
        <v>1029</v>
      </c>
      <c r="G32" s="344">
        <v>0</v>
      </c>
    </row>
    <row r="33" spans="1:15" x14ac:dyDescent="0.2">
      <c r="G33" s="36"/>
    </row>
    <row r="34" spans="1:15" ht="13.5" thickBot="1" x14ac:dyDescent="0.25">
      <c r="G34" s="75">
        <f>SUM(G23:G32)</f>
        <v>0</v>
      </c>
    </row>
    <row r="35" spans="1:15" ht="13.5" thickTop="1" x14ac:dyDescent="0.2"/>
    <row r="36" spans="1:15" ht="25.5" customHeight="1" x14ac:dyDescent="0.2">
      <c r="A36" s="4" t="s">
        <v>548</v>
      </c>
      <c r="B36" s="1473" t="s">
        <v>903</v>
      </c>
      <c r="C36" s="1474"/>
      <c r="D36" s="1474"/>
      <c r="E36" s="1474"/>
      <c r="F36" s="1474"/>
      <c r="G36" s="1474"/>
      <c r="H36" s="1474"/>
      <c r="I36" s="1474"/>
      <c r="J36" s="1474"/>
      <c r="K36" s="1474"/>
      <c r="L36" s="1474"/>
      <c r="M36" s="1474"/>
      <c r="N36" s="1475"/>
      <c r="O36" s="62"/>
    </row>
    <row r="37" spans="1:15" ht="8.25" customHeight="1" x14ac:dyDescent="0.2"/>
    <row r="38" spans="1:15" x14ac:dyDescent="0.2">
      <c r="G38" s="46" t="s">
        <v>1030</v>
      </c>
    </row>
    <row r="39" spans="1:15" x14ac:dyDescent="0.2">
      <c r="G39" s="3" t="s">
        <v>833</v>
      </c>
      <c r="M39" s="36"/>
    </row>
    <row r="40" spans="1:15" ht="4.5" customHeight="1" x14ac:dyDescent="0.2">
      <c r="G40" s="46"/>
      <c r="M40" s="36"/>
    </row>
    <row r="41" spans="1:15" x14ac:dyDescent="0.2">
      <c r="C41" s="133" t="s">
        <v>827</v>
      </c>
      <c r="D41" s="14"/>
      <c r="G41" s="352">
        <v>0</v>
      </c>
      <c r="M41" s="36"/>
      <c r="O41" s="36"/>
    </row>
    <row r="42" spans="1:15" x14ac:dyDescent="0.2">
      <c r="C42" s="13" t="s">
        <v>846</v>
      </c>
      <c r="G42" s="352">
        <v>0</v>
      </c>
      <c r="M42" s="36"/>
      <c r="O42" s="36"/>
    </row>
    <row r="43" spans="1:15" x14ac:dyDescent="0.2">
      <c r="C43" s="13" t="s">
        <v>824</v>
      </c>
      <c r="G43" s="352">
        <v>0</v>
      </c>
      <c r="M43" s="36"/>
      <c r="O43" s="36"/>
    </row>
    <row r="44" spans="1:15" x14ac:dyDescent="0.2">
      <c r="C44" s="13" t="s">
        <v>847</v>
      </c>
      <c r="G44" s="352">
        <v>0</v>
      </c>
      <c r="M44" s="36"/>
      <c r="O44" s="36"/>
    </row>
    <row r="45" spans="1:15" x14ac:dyDescent="0.2">
      <c r="C45" s="13" t="s">
        <v>825</v>
      </c>
      <c r="G45" s="352">
        <v>0</v>
      </c>
      <c r="O45" s="36"/>
    </row>
    <row r="46" spans="1:15" x14ac:dyDescent="0.2">
      <c r="C46" s="644" t="s">
        <v>1058</v>
      </c>
      <c r="G46" s="344">
        <v>0</v>
      </c>
      <c r="O46" s="36"/>
    </row>
    <row r="47" spans="1:15" x14ac:dyDescent="0.2">
      <c r="C47" s="644" t="s">
        <v>913</v>
      </c>
      <c r="G47" s="344">
        <v>0</v>
      </c>
    </row>
    <row r="48" spans="1:15" ht="17.25" thickBot="1" x14ac:dyDescent="0.4">
      <c r="G48" s="75">
        <f>SUM(G41:G47)</f>
        <v>0</v>
      </c>
      <c r="I48" s="58" t="str">
        <f>IF(G34=G48," ","Recheck numbers in sections A and B. Entry is out of balance.")</f>
        <v xml:space="preserve"> </v>
      </c>
    </row>
    <row r="49" spans="1:15" ht="13.5" thickTop="1" x14ac:dyDescent="0.2"/>
    <row r="50" spans="1:15" ht="26.25" customHeight="1" x14ac:dyDescent="0.2">
      <c r="A50" s="4" t="s">
        <v>816</v>
      </c>
      <c r="B50" s="1473" t="s">
        <v>534</v>
      </c>
      <c r="C50" s="1474"/>
      <c r="D50" s="1474"/>
      <c r="E50" s="1474"/>
      <c r="F50" s="1474"/>
      <c r="G50" s="1474"/>
      <c r="H50" s="1474"/>
      <c r="I50" s="1474"/>
      <c r="J50" s="1474"/>
      <c r="K50" s="1474"/>
      <c r="L50" s="1474"/>
      <c r="M50" s="1474"/>
      <c r="N50" s="1475"/>
      <c r="O50" s="62"/>
    </row>
    <row r="51" spans="1:15" ht="8.25" customHeight="1" x14ac:dyDescent="0.2"/>
    <row r="52" spans="1:15" x14ac:dyDescent="0.2">
      <c r="J52" s="49" t="s">
        <v>517</v>
      </c>
      <c r="K52" s="57"/>
      <c r="L52" s="49" t="s">
        <v>518</v>
      </c>
    </row>
    <row r="53" spans="1:15" ht="6.75" customHeight="1" x14ac:dyDescent="0.2">
      <c r="J53" s="57"/>
      <c r="K53" s="57"/>
      <c r="L53" s="57"/>
    </row>
    <row r="54" spans="1:15" x14ac:dyDescent="0.2">
      <c r="A54" s="141" t="s">
        <v>199</v>
      </c>
      <c r="B54" t="s">
        <v>920</v>
      </c>
      <c r="J54" s="78">
        <f t="shared" ref="J54:J63" si="0">G23</f>
        <v>0</v>
      </c>
      <c r="K54" s="13"/>
      <c r="L54" s="79"/>
    </row>
    <row r="55" spans="1:15" x14ac:dyDescent="0.2">
      <c r="B55" t="s">
        <v>1009</v>
      </c>
      <c r="J55" s="78">
        <f t="shared" si="0"/>
        <v>0</v>
      </c>
      <c r="K55" s="13"/>
      <c r="L55" s="79"/>
    </row>
    <row r="56" spans="1:15" x14ac:dyDescent="0.2">
      <c r="B56" t="s">
        <v>1010</v>
      </c>
      <c r="J56" s="78">
        <f t="shared" si="0"/>
        <v>0</v>
      </c>
      <c r="K56" s="13"/>
      <c r="L56" s="79"/>
    </row>
    <row r="57" spans="1:15" x14ac:dyDescent="0.2">
      <c r="B57" t="s">
        <v>831</v>
      </c>
      <c r="J57" s="78">
        <f t="shared" si="0"/>
        <v>0</v>
      </c>
      <c r="K57" s="13"/>
      <c r="L57" s="79"/>
    </row>
    <row r="58" spans="1:15" x14ac:dyDescent="0.2">
      <c r="B58" t="s">
        <v>309</v>
      </c>
      <c r="J58" s="78">
        <f t="shared" si="0"/>
        <v>0</v>
      </c>
      <c r="K58" s="13"/>
      <c r="L58" s="79"/>
    </row>
    <row r="59" spans="1:15" x14ac:dyDescent="0.2">
      <c r="B59" t="s">
        <v>820</v>
      </c>
      <c r="J59" s="78">
        <f t="shared" si="0"/>
        <v>0</v>
      </c>
      <c r="K59" s="13"/>
      <c r="L59" s="79"/>
    </row>
    <row r="60" spans="1:15" x14ac:dyDescent="0.2">
      <c r="B60" t="s">
        <v>1028</v>
      </c>
      <c r="J60" s="78">
        <f t="shared" si="0"/>
        <v>0</v>
      </c>
      <c r="K60" s="13"/>
      <c r="L60" s="79"/>
    </row>
    <row r="61" spans="1:15" x14ac:dyDescent="0.2">
      <c r="B61" t="s">
        <v>174</v>
      </c>
      <c r="J61" s="78">
        <f t="shared" si="0"/>
        <v>0</v>
      </c>
      <c r="K61" s="13"/>
      <c r="L61" s="79"/>
    </row>
    <row r="62" spans="1:15" x14ac:dyDescent="0.2">
      <c r="B62" s="354" t="s">
        <v>740</v>
      </c>
      <c r="J62" s="78">
        <f t="shared" si="0"/>
        <v>0</v>
      </c>
      <c r="K62" s="13"/>
      <c r="L62" s="79"/>
    </row>
    <row r="63" spans="1:15" x14ac:dyDescent="0.2">
      <c r="B63" t="s">
        <v>1029</v>
      </c>
      <c r="J63" s="78">
        <f t="shared" si="0"/>
        <v>0</v>
      </c>
      <c r="K63" s="13"/>
      <c r="L63" s="79"/>
    </row>
    <row r="64" spans="1:15" x14ac:dyDescent="0.2">
      <c r="C64" s="22" t="s">
        <v>500</v>
      </c>
      <c r="J64" s="79"/>
      <c r="K64" s="13"/>
      <c r="L64" s="78">
        <f t="shared" ref="L64:L70" si="1">G41</f>
        <v>0</v>
      </c>
    </row>
    <row r="65" spans="3:14" x14ac:dyDescent="0.2">
      <c r="C65" s="13" t="s">
        <v>135</v>
      </c>
      <c r="J65" s="79"/>
      <c r="K65" s="13"/>
      <c r="L65" s="78">
        <f t="shared" si="1"/>
        <v>0</v>
      </c>
    </row>
    <row r="66" spans="3:14" x14ac:dyDescent="0.2">
      <c r="C66" s="13" t="s">
        <v>136</v>
      </c>
      <c r="J66" s="79"/>
      <c r="K66" s="13"/>
      <c r="L66" s="78">
        <f t="shared" si="1"/>
        <v>0</v>
      </c>
    </row>
    <row r="67" spans="3:14" x14ac:dyDescent="0.2">
      <c r="C67" s="13" t="s">
        <v>865</v>
      </c>
      <c r="J67" s="79"/>
      <c r="K67" s="13"/>
      <c r="L67" s="78">
        <f t="shared" si="1"/>
        <v>0</v>
      </c>
    </row>
    <row r="68" spans="3:14" x14ac:dyDescent="0.2">
      <c r="C68" s="13" t="s">
        <v>137</v>
      </c>
      <c r="J68" s="79"/>
      <c r="K68" s="13"/>
      <c r="L68" s="78">
        <f t="shared" si="1"/>
        <v>0</v>
      </c>
    </row>
    <row r="69" spans="3:14" x14ac:dyDescent="0.2">
      <c r="C69" s="375" t="s">
        <v>556</v>
      </c>
      <c r="J69" s="79"/>
      <c r="K69" s="13"/>
      <c r="L69" s="78">
        <f t="shared" si="1"/>
        <v>0</v>
      </c>
    </row>
    <row r="70" spans="3:14" x14ac:dyDescent="0.2">
      <c r="C70" s="375" t="s">
        <v>557</v>
      </c>
      <c r="J70" s="79"/>
      <c r="K70" s="13"/>
      <c r="L70" s="78">
        <f t="shared" si="1"/>
        <v>0</v>
      </c>
    </row>
    <row r="71" spans="3:14" ht="13.5" thickBot="1" x14ac:dyDescent="0.25">
      <c r="J71" s="80">
        <f>SUM(J54:J70)</f>
        <v>0</v>
      </c>
      <c r="K71" s="13"/>
      <c r="L71" s="80">
        <f>SUM(L64:L70)</f>
        <v>0</v>
      </c>
      <c r="N71" s="14"/>
    </row>
    <row r="72" spans="3:14" ht="13.5" thickTop="1" x14ac:dyDescent="0.2">
      <c r="K72" s="13"/>
    </row>
  </sheetData>
  <sheetProtection algorithmName="SHA-512" hashValue="M49+J1Hgi8u7FZ71x5hbjjdQkldJSy+osai5ql6XMaL/i+XSS2cQ2G8Bpv7iUTuVa2yFQpK58bEqEyVJK1eNFw==" saltValue="/sWoXFDaQ6wnSlIkTfIyow==" spinCount="100000" sheet="1" objects="1" scenarios="1"/>
  <mergeCells count="10">
    <mergeCell ref="C10:N11"/>
    <mergeCell ref="B50:N50"/>
    <mergeCell ref="A2:N2"/>
    <mergeCell ref="B4:N4"/>
    <mergeCell ref="B6:N6"/>
    <mergeCell ref="B8:N8"/>
    <mergeCell ref="C13:O13"/>
    <mergeCell ref="C15:O15"/>
    <mergeCell ref="B17:N17"/>
    <mergeCell ref="B36:N36"/>
  </mergeCells>
  <phoneticPr fontId="17" type="noConversion"/>
  <printOptions horizontalCentered="1"/>
  <pageMargins left="0.36" right="0.48" top="0.78" bottom="0.69" header="0.5" footer="0.5"/>
  <pageSetup scale="66" orientation="portrait" r:id="rId1"/>
  <headerFooter alignWithMargins="0">
    <oddHeader>&amp;R&amp;"Arial,Bold"&amp;12Entry  D</oddHeader>
    <oddFooter>&amp;L&amp;8&amp;D - County model&amp;R&amp;P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2"/>
  <sheetViews>
    <sheetView topLeftCell="A41" zoomScaleNormal="100" workbookViewId="0"/>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42578125" bestFit="1" customWidth="1"/>
    <col min="8" max="8" width="1.42578125" style="36" customWidth="1"/>
    <col min="10" max="10" width="10.42578125" bestFit="1" customWidth="1"/>
    <col min="12" max="12" width="11.5703125" bestFit="1" customWidth="1"/>
    <col min="13" max="13" width="1.7109375" customWidth="1"/>
    <col min="14" max="14" width="11.28515625" bestFit="1" customWidth="1"/>
    <col min="15" max="15" width="10" bestFit="1" customWidth="1"/>
    <col min="16" max="16" width="1.7109375" customWidth="1"/>
    <col min="17" max="17" width="0.7109375" customWidth="1"/>
  </cols>
  <sheetData>
    <row r="1" spans="1:16" ht="7.5" customHeight="1" x14ac:dyDescent="0.2"/>
    <row r="2" spans="1:16" ht="33.75" customHeight="1" x14ac:dyDescent="0.25">
      <c r="A2" s="1465" t="s">
        <v>819</v>
      </c>
      <c r="B2" s="1466"/>
      <c r="C2" s="1466"/>
      <c r="D2" s="1466"/>
      <c r="E2" s="1466"/>
      <c r="F2" s="1466"/>
      <c r="G2" s="1466"/>
      <c r="H2" s="1466"/>
      <c r="I2" s="1466"/>
      <c r="J2" s="1466"/>
      <c r="K2" s="1466"/>
      <c r="L2" s="1466"/>
      <c r="M2" s="1466"/>
      <c r="N2" s="1466"/>
      <c r="O2" s="1466"/>
      <c r="P2" s="1467"/>
    </row>
    <row r="3" spans="1:16" ht="3.75" customHeight="1" x14ac:dyDescent="0.2"/>
    <row r="4" spans="1:16" ht="69.75" customHeight="1" x14ac:dyDescent="0.2">
      <c r="B4" s="1387" t="s">
        <v>159</v>
      </c>
      <c r="C4" s="1387"/>
      <c r="D4" s="1387"/>
      <c r="E4" s="1387"/>
      <c r="F4" s="1387"/>
      <c r="G4" s="1387"/>
      <c r="H4" s="1387"/>
      <c r="I4" s="1387"/>
      <c r="J4" s="1387"/>
      <c r="K4" s="1387"/>
      <c r="L4" s="1387"/>
      <c r="M4" s="1387"/>
      <c r="N4" s="1387"/>
      <c r="O4" s="1387"/>
      <c r="P4" s="1387"/>
    </row>
    <row r="5" spans="1:16" ht="3.75" customHeight="1" x14ac:dyDescent="0.2"/>
    <row r="6" spans="1:16" ht="66.75" customHeight="1" x14ac:dyDescent="0.2">
      <c r="B6" s="1401" t="s">
        <v>1113</v>
      </c>
      <c r="C6" s="1402"/>
      <c r="D6" s="1402"/>
      <c r="E6" s="1402"/>
      <c r="F6" s="1402"/>
      <c r="G6" s="1402"/>
      <c r="H6" s="1402"/>
      <c r="I6" s="1402"/>
      <c r="J6" s="1402"/>
      <c r="K6" s="1402"/>
      <c r="L6" s="1402"/>
      <c r="M6" s="1402"/>
      <c r="N6" s="1402"/>
      <c r="O6" s="1402"/>
      <c r="P6" s="1402"/>
    </row>
    <row r="7" spans="1:16" ht="3.75" customHeight="1" x14ac:dyDescent="0.2">
      <c r="B7" s="34"/>
      <c r="C7" s="34"/>
      <c r="D7" s="34"/>
      <c r="E7" s="34"/>
      <c r="F7" s="34"/>
      <c r="G7" s="34"/>
      <c r="H7" s="34"/>
      <c r="I7" s="34"/>
      <c r="J7" s="34"/>
      <c r="K7" s="34"/>
      <c r="L7" s="34"/>
      <c r="M7" s="34"/>
      <c r="N7" s="34"/>
      <c r="O7" s="34"/>
      <c r="P7" s="34"/>
    </row>
    <row r="8" spans="1:16" ht="27" customHeight="1" x14ac:dyDescent="0.2">
      <c r="B8" s="1387" t="s">
        <v>89</v>
      </c>
      <c r="C8" s="1387"/>
      <c r="D8" s="1387"/>
      <c r="E8" s="1387"/>
      <c r="F8" s="1387"/>
      <c r="G8" s="1387"/>
      <c r="H8" s="1387"/>
      <c r="I8" s="1387"/>
      <c r="J8" s="1387"/>
      <c r="K8" s="1387"/>
      <c r="L8" s="1387"/>
      <c r="M8" s="1387"/>
      <c r="N8" s="1387"/>
      <c r="O8" s="1387"/>
      <c r="P8" s="1387"/>
    </row>
    <row r="9" spans="1:16" ht="9" customHeight="1" x14ac:dyDescent="0.2"/>
    <row r="10" spans="1:16" ht="12.75" customHeight="1" x14ac:dyDescent="0.2">
      <c r="B10" s="39" t="s">
        <v>521</v>
      </c>
      <c r="C10" s="1387" t="s">
        <v>403</v>
      </c>
      <c r="D10" s="1387"/>
      <c r="E10" s="1387"/>
      <c r="F10" s="1387"/>
      <c r="G10" s="1387"/>
      <c r="H10" s="1387"/>
      <c r="I10" s="1387"/>
      <c r="J10" s="1387"/>
      <c r="K10" s="1387"/>
      <c r="L10" s="1387"/>
      <c r="M10" s="1387"/>
      <c r="N10" s="1387"/>
      <c r="O10" s="1387"/>
      <c r="P10" s="34"/>
    </row>
    <row r="11" spans="1:16" ht="37.5" customHeight="1" x14ac:dyDescent="0.2">
      <c r="B11" s="39"/>
      <c r="C11" s="1387"/>
      <c r="D11" s="1387"/>
      <c r="E11" s="1387"/>
      <c r="F11" s="1387"/>
      <c r="G11" s="1387"/>
      <c r="H11" s="1387"/>
      <c r="I11" s="1387"/>
      <c r="J11" s="1387"/>
      <c r="K11" s="1387"/>
      <c r="L11" s="1387"/>
      <c r="M11" s="1387"/>
      <c r="N11" s="1387"/>
      <c r="O11" s="1387"/>
      <c r="P11" s="34"/>
    </row>
    <row r="12" spans="1:16" ht="5.25" customHeight="1" x14ac:dyDescent="0.2">
      <c r="B12" s="39"/>
      <c r="C12" s="34"/>
      <c r="D12" s="34"/>
      <c r="E12" s="34"/>
      <c r="F12" s="34"/>
      <c r="G12" s="34"/>
      <c r="H12" s="34"/>
      <c r="I12" s="34"/>
      <c r="J12" s="34"/>
      <c r="K12" s="34"/>
      <c r="L12" s="34"/>
      <c r="M12" s="34"/>
      <c r="N12" s="34"/>
      <c r="O12" s="34"/>
      <c r="P12" s="34"/>
    </row>
    <row r="13" spans="1:16" ht="12.75" customHeight="1" x14ac:dyDescent="0.2">
      <c r="B13" s="39" t="s">
        <v>522</v>
      </c>
      <c r="C13" s="1387" t="s">
        <v>117</v>
      </c>
      <c r="D13" s="1387"/>
      <c r="E13" s="1387"/>
      <c r="F13" s="1387"/>
      <c r="G13" s="1387"/>
      <c r="H13" s="1387"/>
      <c r="I13" s="1387"/>
      <c r="J13" s="1387"/>
      <c r="K13" s="1387"/>
      <c r="L13" s="1387"/>
      <c r="M13" s="1387"/>
      <c r="N13" s="1387"/>
      <c r="O13" s="1387"/>
    </row>
    <row r="14" spans="1:16" ht="12" customHeight="1" x14ac:dyDescent="0.2">
      <c r="B14" s="39"/>
      <c r="C14" s="1387"/>
      <c r="D14" s="1387"/>
      <c r="E14" s="1387"/>
      <c r="F14" s="1387"/>
      <c r="G14" s="1387"/>
      <c r="H14" s="1387"/>
      <c r="I14" s="1387"/>
      <c r="J14" s="1387"/>
      <c r="K14" s="1387"/>
      <c r="L14" s="1387"/>
      <c r="M14" s="1387"/>
      <c r="N14" s="1387"/>
      <c r="O14" s="1387"/>
    </row>
    <row r="15" spans="1:16" ht="5.25" customHeight="1" x14ac:dyDescent="0.2">
      <c r="B15" s="39"/>
    </row>
    <row r="16" spans="1:16" x14ac:dyDescent="0.2">
      <c r="B16" s="39" t="s">
        <v>821</v>
      </c>
      <c r="C16" t="s">
        <v>116</v>
      </c>
    </row>
    <row r="17" spans="1:16" ht="4.5" customHeight="1" x14ac:dyDescent="0.2"/>
    <row r="18" spans="1:16" ht="25.5" customHeight="1" x14ac:dyDescent="0.2">
      <c r="A18" s="4" t="s">
        <v>547</v>
      </c>
      <c r="B18" s="1476" t="s">
        <v>751</v>
      </c>
      <c r="C18" s="1478"/>
      <c r="D18" s="1478"/>
      <c r="E18" s="1478"/>
      <c r="F18" s="1478"/>
      <c r="G18" s="1478"/>
      <c r="H18" s="1478"/>
      <c r="I18" s="1478"/>
      <c r="J18" s="1478"/>
      <c r="K18" s="1478"/>
      <c r="L18" s="1478"/>
      <c r="M18" s="1478"/>
      <c r="N18" s="1478"/>
      <c r="O18" s="1478"/>
      <c r="P18" s="1479"/>
    </row>
    <row r="19" spans="1:16" ht="3" customHeight="1" x14ac:dyDescent="0.2">
      <c r="B19" s="44"/>
      <c r="C19" s="31"/>
      <c r="D19" s="31"/>
      <c r="E19" s="31"/>
      <c r="F19" s="31"/>
      <c r="G19" s="31"/>
      <c r="H19" s="47"/>
      <c r="I19" s="31"/>
      <c r="J19" s="31"/>
      <c r="K19" s="31"/>
      <c r="L19" s="31"/>
      <c r="M19" s="31"/>
      <c r="N19" s="31"/>
    </row>
    <row r="20" spans="1:16" x14ac:dyDescent="0.2">
      <c r="G20" s="3" t="s">
        <v>514</v>
      </c>
      <c r="H20"/>
    </row>
    <row r="21" spans="1:16" ht="3" customHeight="1" x14ac:dyDescent="0.2">
      <c r="H21"/>
    </row>
    <row r="22" spans="1:16" x14ac:dyDescent="0.2">
      <c r="C22" t="s">
        <v>920</v>
      </c>
      <c r="G22" s="344">
        <v>0</v>
      </c>
      <c r="H22"/>
    </row>
    <row r="23" spans="1:16" x14ac:dyDescent="0.2">
      <c r="C23" t="s">
        <v>1009</v>
      </c>
      <c r="G23" s="344">
        <v>0</v>
      </c>
      <c r="H23"/>
    </row>
    <row r="24" spans="1:16" x14ac:dyDescent="0.2">
      <c r="C24" t="s">
        <v>1010</v>
      </c>
      <c r="G24" s="344">
        <v>0</v>
      </c>
      <c r="H24"/>
    </row>
    <row r="25" spans="1:16" x14ac:dyDescent="0.2">
      <c r="C25" t="s">
        <v>831</v>
      </c>
      <c r="G25" s="344">
        <v>0</v>
      </c>
      <c r="H25"/>
    </row>
    <row r="26" spans="1:16" ht="12.75" customHeight="1" x14ac:dyDescent="0.2">
      <c r="C26" t="s">
        <v>820</v>
      </c>
      <c r="G26" s="344">
        <v>0</v>
      </c>
      <c r="H26"/>
      <c r="J26" s="1492" t="s">
        <v>599</v>
      </c>
      <c r="K26" s="1492"/>
      <c r="L26" s="1492"/>
      <c r="M26" s="1492"/>
      <c r="N26" s="1492"/>
      <c r="O26" s="1492"/>
    </row>
    <row r="27" spans="1:16" x14ac:dyDescent="0.2">
      <c r="C27" t="s">
        <v>309</v>
      </c>
      <c r="G27" s="344">
        <v>0</v>
      </c>
      <c r="H27"/>
      <c r="J27" s="1492"/>
      <c r="K27" s="1492"/>
      <c r="L27" s="1492"/>
      <c r="M27" s="1492"/>
      <c r="N27" s="1492"/>
      <c r="O27" s="1492"/>
    </row>
    <row r="28" spans="1:16" x14ac:dyDescent="0.2">
      <c r="C28" t="s">
        <v>269</v>
      </c>
      <c r="G28" s="342">
        <v>0</v>
      </c>
      <c r="H28"/>
      <c r="J28" s="1492"/>
      <c r="K28" s="1492"/>
      <c r="L28" s="1492"/>
      <c r="M28" s="1492"/>
      <c r="N28" s="1492"/>
      <c r="O28" s="1492"/>
    </row>
    <row r="29" spans="1:16" x14ac:dyDescent="0.2">
      <c r="C29" t="s">
        <v>912</v>
      </c>
      <c r="G29" s="342">
        <v>0</v>
      </c>
      <c r="H29"/>
      <c r="J29" s="34"/>
      <c r="K29" s="34"/>
      <c r="L29" s="34"/>
      <c r="M29" s="34"/>
      <c r="N29" s="34"/>
      <c r="O29" s="34"/>
    </row>
    <row r="30" spans="1:16" x14ac:dyDescent="0.2">
      <c r="C30" t="s">
        <v>174</v>
      </c>
      <c r="G30" s="342"/>
      <c r="H30"/>
    </row>
    <row r="31" spans="1:16" x14ac:dyDescent="0.2">
      <c r="C31" s="354" t="s">
        <v>740</v>
      </c>
      <c r="G31" s="353"/>
      <c r="H31"/>
    </row>
    <row r="32" spans="1:16" ht="13.5" thickBot="1" x14ac:dyDescent="0.25">
      <c r="G32" s="86">
        <f>SUM(G22:G31)</f>
        <v>0</v>
      </c>
      <c r="H32"/>
    </row>
    <row r="33" spans="1:16" ht="5.25" customHeight="1" thickTop="1" x14ac:dyDescent="0.2">
      <c r="H33"/>
    </row>
    <row r="34" spans="1:16" x14ac:dyDescent="0.2">
      <c r="H34"/>
    </row>
    <row r="35" spans="1:16" ht="25.5" customHeight="1" x14ac:dyDescent="0.2">
      <c r="A35" s="4" t="s">
        <v>548</v>
      </c>
      <c r="B35" s="1473" t="s">
        <v>789</v>
      </c>
      <c r="C35" s="1474"/>
      <c r="D35" s="1474"/>
      <c r="E35" s="1474"/>
      <c r="F35" s="1474"/>
      <c r="G35" s="1474"/>
      <c r="H35" s="1474"/>
      <c r="I35" s="1474"/>
      <c r="J35" s="1474"/>
      <c r="K35" s="1474"/>
      <c r="L35" s="1474"/>
      <c r="M35" s="1474"/>
      <c r="N35" s="1474"/>
      <c r="O35" s="1474"/>
      <c r="P35" s="1475"/>
    </row>
    <row r="36" spans="1:16" x14ac:dyDescent="0.2">
      <c r="G36" s="3" t="s">
        <v>514</v>
      </c>
      <c r="H36" s="48"/>
      <c r="I36" s="48"/>
      <c r="J36" s="48"/>
      <c r="K36" s="48"/>
      <c r="L36" s="48"/>
      <c r="N36" s="48"/>
    </row>
    <row r="37" spans="1:16" ht="3" customHeight="1" x14ac:dyDescent="0.2">
      <c r="H37" s="48"/>
      <c r="I37" s="48"/>
      <c r="J37" s="48"/>
      <c r="K37" s="48"/>
      <c r="L37" s="48"/>
      <c r="N37" s="48"/>
    </row>
    <row r="38" spans="1:16" x14ac:dyDescent="0.2">
      <c r="C38" t="s">
        <v>826</v>
      </c>
      <c r="G38" s="342">
        <v>0</v>
      </c>
      <c r="H38" s="48"/>
      <c r="I38" s="48"/>
      <c r="J38" s="48"/>
      <c r="K38" s="48"/>
      <c r="L38" s="48"/>
    </row>
    <row r="39" spans="1:16" x14ac:dyDescent="0.2">
      <c r="C39" t="s">
        <v>839</v>
      </c>
      <c r="G39" s="342">
        <v>0</v>
      </c>
      <c r="H39" s="48"/>
      <c r="I39" s="48"/>
      <c r="J39" s="48"/>
      <c r="K39" s="48"/>
      <c r="L39" s="48"/>
    </row>
    <row r="40" spans="1:16" ht="12" customHeight="1" x14ac:dyDescent="0.2">
      <c r="C40" t="s">
        <v>827</v>
      </c>
      <c r="G40" s="342">
        <v>0</v>
      </c>
      <c r="H40" s="48"/>
      <c r="I40" s="48"/>
      <c r="J40" s="1492" t="s">
        <v>601</v>
      </c>
      <c r="K40" s="1492"/>
      <c r="L40" s="1492"/>
      <c r="M40" s="1492"/>
      <c r="N40" s="1492"/>
      <c r="O40" s="1492"/>
    </row>
    <row r="41" spans="1:16" x14ac:dyDescent="0.2">
      <c r="C41" t="s">
        <v>828</v>
      </c>
      <c r="G41" s="342">
        <v>0</v>
      </c>
      <c r="H41" s="48"/>
      <c r="I41" s="48"/>
      <c r="J41" s="1492"/>
      <c r="K41" s="1492"/>
      <c r="L41" s="1492"/>
      <c r="M41" s="1492"/>
      <c r="N41" s="1492"/>
      <c r="O41" s="1492"/>
    </row>
    <row r="42" spans="1:16" x14ac:dyDescent="0.2">
      <c r="C42" t="s">
        <v>824</v>
      </c>
      <c r="G42" s="342">
        <v>0</v>
      </c>
      <c r="H42" s="48"/>
      <c r="I42" s="48"/>
      <c r="J42" s="1492"/>
      <c r="K42" s="1492"/>
      <c r="L42" s="1492"/>
      <c r="M42" s="1492"/>
      <c r="N42" s="1492"/>
      <c r="O42" s="1492"/>
    </row>
    <row r="43" spans="1:16" x14ac:dyDescent="0.2">
      <c r="C43" t="s">
        <v>823</v>
      </c>
      <c r="G43" s="342">
        <v>0</v>
      </c>
      <c r="H43" s="48"/>
      <c r="I43" s="48"/>
      <c r="J43" s="48"/>
      <c r="K43" s="48"/>
      <c r="L43" s="48"/>
    </row>
    <row r="44" spans="1:16" x14ac:dyDescent="0.2">
      <c r="C44" t="s">
        <v>790</v>
      </c>
      <c r="G44" s="342">
        <v>0</v>
      </c>
      <c r="H44" s="48"/>
      <c r="I44" s="48"/>
      <c r="J44" s="48"/>
      <c r="K44" s="48"/>
      <c r="L44" s="48"/>
    </row>
    <row r="45" spans="1:16" x14ac:dyDescent="0.2">
      <c r="C45" s="354" t="s">
        <v>913</v>
      </c>
      <c r="G45" s="342">
        <v>0</v>
      </c>
      <c r="H45" s="48"/>
      <c r="I45" s="48"/>
      <c r="J45" s="48"/>
      <c r="K45" s="48"/>
      <c r="L45" s="48"/>
    </row>
    <row r="46" spans="1:16" x14ac:dyDescent="0.2">
      <c r="C46" s="354" t="s">
        <v>914</v>
      </c>
      <c r="G46" s="353"/>
      <c r="H46" s="48"/>
      <c r="I46" s="48"/>
      <c r="J46" s="48"/>
      <c r="K46" s="48"/>
      <c r="L46" s="48"/>
    </row>
    <row r="47" spans="1:16" ht="17.25" thickBot="1" x14ac:dyDescent="0.4">
      <c r="G47" s="87">
        <f>SUM(G38:G46)</f>
        <v>0</v>
      </c>
      <c r="H47" s="48"/>
      <c r="I47" s="63" t="str">
        <f>IF(G32=G47," ","Recheck numbers in Section A or B. Entry is out of balance.")</f>
        <v xml:space="preserve"> </v>
      </c>
      <c r="J47" s="48"/>
      <c r="K47" s="48"/>
      <c r="L47" s="48"/>
      <c r="N47" s="48"/>
    </row>
    <row r="48" spans="1:16" ht="13.5" thickTop="1" x14ac:dyDescent="0.2">
      <c r="G48" s="12"/>
      <c r="H48" s="48"/>
      <c r="I48" s="48"/>
      <c r="J48" s="48"/>
      <c r="K48" s="48"/>
      <c r="L48" s="48"/>
      <c r="N48" s="48"/>
    </row>
    <row r="49" spans="1:16" ht="25.5" customHeight="1" x14ac:dyDescent="0.2">
      <c r="A49" s="4" t="s">
        <v>816</v>
      </c>
      <c r="B49" s="1494" t="s">
        <v>535</v>
      </c>
      <c r="C49" s="1495"/>
      <c r="D49" s="1495"/>
      <c r="E49" s="1495"/>
      <c r="F49" s="1495"/>
      <c r="G49" s="1495"/>
      <c r="H49" s="1495"/>
      <c r="I49" s="1495"/>
      <c r="J49" s="1495"/>
      <c r="K49" s="1495"/>
      <c r="L49" s="1495"/>
      <c r="M49" s="1495"/>
      <c r="N49" s="1495"/>
      <c r="O49" s="1496"/>
      <c r="P49" s="52"/>
    </row>
    <row r="50" spans="1:16" x14ac:dyDescent="0.2">
      <c r="L50" s="49" t="s">
        <v>517</v>
      </c>
      <c r="M50" s="45"/>
      <c r="N50" s="49" t="s">
        <v>518</v>
      </c>
    </row>
    <row r="51" spans="1:16" ht="3" customHeight="1" x14ac:dyDescent="0.2"/>
    <row r="52" spans="1:16" ht="12.75" customHeight="1" x14ac:dyDescent="0.2">
      <c r="D52" t="s">
        <v>415</v>
      </c>
      <c r="E52" t="s">
        <v>826</v>
      </c>
      <c r="L52" s="83">
        <f xml:space="preserve">    G38</f>
        <v>0</v>
      </c>
      <c r="M52" s="13"/>
      <c r="N52" s="83"/>
    </row>
    <row r="53" spans="1:16" x14ac:dyDescent="0.2">
      <c r="E53" t="s">
        <v>829</v>
      </c>
      <c r="L53" s="83">
        <f t="shared" ref="L53:L58" si="0">G39</f>
        <v>0</v>
      </c>
      <c r="M53" s="13"/>
      <c r="N53" s="83"/>
    </row>
    <row r="54" spans="1:16" x14ac:dyDescent="0.2">
      <c r="E54" t="s">
        <v>827</v>
      </c>
      <c r="L54" s="83">
        <f t="shared" si="0"/>
        <v>0</v>
      </c>
      <c r="M54" s="13"/>
      <c r="N54" s="83"/>
    </row>
    <row r="55" spans="1:16" x14ac:dyDescent="0.2">
      <c r="E55" t="s">
        <v>828</v>
      </c>
      <c r="L55" s="83">
        <f t="shared" si="0"/>
        <v>0</v>
      </c>
      <c r="M55" s="13"/>
      <c r="N55" s="83"/>
    </row>
    <row r="56" spans="1:16" x14ac:dyDescent="0.2">
      <c r="E56" t="s">
        <v>824</v>
      </c>
      <c r="L56" s="83">
        <f t="shared" si="0"/>
        <v>0</v>
      </c>
      <c r="M56" s="13"/>
      <c r="N56" s="83"/>
    </row>
    <row r="57" spans="1:16" x14ac:dyDescent="0.2">
      <c r="E57" t="s">
        <v>823</v>
      </c>
      <c r="L57" s="83">
        <f t="shared" si="0"/>
        <v>0</v>
      </c>
      <c r="M57" s="13"/>
      <c r="N57" s="83"/>
    </row>
    <row r="58" spans="1:16" x14ac:dyDescent="0.2">
      <c r="E58" t="s">
        <v>825</v>
      </c>
      <c r="L58" s="83">
        <f t="shared" si="0"/>
        <v>0</v>
      </c>
      <c r="M58" s="13"/>
      <c r="N58" s="83"/>
    </row>
    <row r="59" spans="1:16" x14ac:dyDescent="0.2">
      <c r="E59" s="354" t="s">
        <v>913</v>
      </c>
      <c r="L59" s="83">
        <f>G45</f>
        <v>0</v>
      </c>
      <c r="M59" s="13"/>
      <c r="N59" s="83"/>
    </row>
    <row r="60" spans="1:16" x14ac:dyDescent="0.2">
      <c r="E60" s="354" t="s">
        <v>914</v>
      </c>
      <c r="L60" s="83">
        <f>G46</f>
        <v>0</v>
      </c>
      <c r="M60" s="13"/>
      <c r="N60" s="83"/>
    </row>
    <row r="61" spans="1:16" x14ac:dyDescent="0.2">
      <c r="F61" t="s">
        <v>920</v>
      </c>
      <c r="L61" s="83"/>
      <c r="M61" s="13"/>
      <c r="N61" s="83">
        <f t="shared" ref="N61:N70" si="1">G22</f>
        <v>0</v>
      </c>
    </row>
    <row r="62" spans="1:16" x14ac:dyDescent="0.2">
      <c r="F62" t="s">
        <v>1009</v>
      </c>
      <c r="L62" s="83"/>
      <c r="M62" s="13"/>
      <c r="N62" s="83">
        <f t="shared" si="1"/>
        <v>0</v>
      </c>
    </row>
    <row r="63" spans="1:16" x14ac:dyDescent="0.2">
      <c r="F63" t="s">
        <v>1010</v>
      </c>
      <c r="L63" s="83"/>
      <c r="M63" s="13"/>
      <c r="N63" s="83">
        <f t="shared" si="1"/>
        <v>0</v>
      </c>
    </row>
    <row r="64" spans="1:16" x14ac:dyDescent="0.2">
      <c r="F64" t="s">
        <v>830</v>
      </c>
      <c r="L64" s="83"/>
      <c r="M64" s="13"/>
      <c r="N64" s="83">
        <f t="shared" si="1"/>
        <v>0</v>
      </c>
    </row>
    <row r="65" spans="3:14" x14ac:dyDescent="0.2">
      <c r="F65" t="s">
        <v>185</v>
      </c>
      <c r="L65" s="83"/>
      <c r="M65" s="13"/>
      <c r="N65" s="83">
        <f t="shared" si="1"/>
        <v>0</v>
      </c>
    </row>
    <row r="66" spans="3:14" x14ac:dyDescent="0.2">
      <c r="F66" t="s">
        <v>268</v>
      </c>
      <c r="L66" s="83"/>
      <c r="M66" s="13"/>
      <c r="N66" s="83">
        <f t="shared" si="1"/>
        <v>0</v>
      </c>
    </row>
    <row r="67" spans="3:14" x14ac:dyDescent="0.2">
      <c r="F67" t="s">
        <v>131</v>
      </c>
      <c r="L67" s="83"/>
      <c r="M67" s="13"/>
      <c r="N67" s="83">
        <f t="shared" si="1"/>
        <v>0</v>
      </c>
    </row>
    <row r="68" spans="3:14" x14ac:dyDescent="0.2">
      <c r="F68" t="s">
        <v>132</v>
      </c>
      <c r="L68" s="83"/>
      <c r="M68" s="13"/>
      <c r="N68" s="83">
        <f t="shared" si="1"/>
        <v>0</v>
      </c>
    </row>
    <row r="69" spans="3:14" x14ac:dyDescent="0.2">
      <c r="F69" t="s">
        <v>174</v>
      </c>
      <c r="L69" s="83"/>
      <c r="M69" s="13"/>
      <c r="N69" s="83">
        <f t="shared" si="1"/>
        <v>0</v>
      </c>
    </row>
    <row r="70" spans="3:14" x14ac:dyDescent="0.2">
      <c r="C70" s="43"/>
      <c r="F70" s="354" t="s">
        <v>740</v>
      </c>
      <c r="L70" s="79"/>
      <c r="N70" s="78">
        <f t="shared" si="1"/>
        <v>0</v>
      </c>
    </row>
    <row r="71" spans="3:14" ht="13.5" thickBot="1" x14ac:dyDescent="0.25">
      <c r="L71" s="75">
        <f>SUM(L52:L69)</f>
        <v>0</v>
      </c>
      <c r="M71" s="13"/>
      <c r="N71" s="75">
        <f>SUM(N52:N70)</f>
        <v>0</v>
      </c>
    </row>
    <row r="72" spans="3:14" ht="13.5" thickTop="1" x14ac:dyDescent="0.2"/>
  </sheetData>
  <sheetProtection algorithmName="SHA-512" hashValue="CdMJfA2px+vFNo2xNgULzDUc3xrhhx7rUsanPB/9FAdQAm2XqCCszPD+PE+Qh+5F9Wx2BZDRiqBFs3TneHgMUw==" saltValue="/IQMAMfA2e+teWOfLoRp8w==" spinCount="100000" sheet="1" objects="1" scenarios="1"/>
  <mergeCells count="11">
    <mergeCell ref="B6:P6"/>
    <mergeCell ref="A2:P2"/>
    <mergeCell ref="B4:P4"/>
    <mergeCell ref="B8:P8"/>
    <mergeCell ref="B35:P35"/>
    <mergeCell ref="J40:O42"/>
    <mergeCell ref="B49:O49"/>
    <mergeCell ref="C13:O14"/>
    <mergeCell ref="J26:O28"/>
    <mergeCell ref="C10:O11"/>
    <mergeCell ref="B18:P18"/>
  </mergeCells>
  <phoneticPr fontId="17" type="noConversion"/>
  <printOptions horizontalCentered="1"/>
  <pageMargins left="0.36" right="0.37" top="0.65" bottom="0.5" header="0.5" footer="0.5"/>
  <pageSetup scale="68" orientation="portrait" r:id="rId1"/>
  <headerFooter alignWithMargins="0">
    <oddHeader>&amp;R&amp;"Arial,Bold"&amp;12Entry E</oddHeader>
    <oddFooter>&amp;L&amp;8&amp;D - County model&amp;R&amp;P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J367"/>
  <sheetViews>
    <sheetView topLeftCell="A66" zoomScaleNormal="100" workbookViewId="0">
      <selection activeCell="O34" sqref="O34:O35"/>
    </sheetView>
  </sheetViews>
  <sheetFormatPr defaultRowHeight="12.75" x14ac:dyDescent="0.2"/>
  <cols>
    <col min="1" max="1" width="3.140625" customWidth="1"/>
    <col min="2" max="2" width="2.42578125" customWidth="1"/>
    <col min="3" max="3" width="2.5703125" customWidth="1"/>
    <col min="5" max="5" width="3.140625" customWidth="1"/>
    <col min="6" max="6" width="11.28515625" customWidth="1"/>
    <col min="7" max="7" width="10" bestFit="1" customWidth="1"/>
    <col min="8" max="9" width="10" customWidth="1"/>
    <col min="10" max="10" width="6.28515625" customWidth="1"/>
    <col min="11" max="11" width="7" customWidth="1"/>
    <col min="12" max="12" width="10" customWidth="1"/>
    <col min="13" max="13" width="13.140625" customWidth="1"/>
    <col min="14" max="14" width="1.28515625" customWidth="1"/>
    <col min="15" max="15" width="13.28515625" bestFit="1" customWidth="1"/>
    <col min="16" max="16" width="10.85546875" bestFit="1" customWidth="1"/>
    <col min="17" max="17" width="14.28515625" bestFit="1" customWidth="1"/>
    <col min="18" max="19" width="14.5703125" bestFit="1" customWidth="1"/>
    <col min="20" max="20" width="14.140625" customWidth="1"/>
    <col min="21" max="21" width="2.85546875" customWidth="1"/>
    <col min="22" max="23" width="11.42578125" bestFit="1" customWidth="1"/>
    <col min="24" max="25" width="11.5703125" bestFit="1" customWidth="1"/>
    <col min="26" max="27" width="11.5703125" customWidth="1"/>
    <col min="28" max="29" width="11.42578125" bestFit="1" customWidth="1"/>
  </cols>
  <sheetData>
    <row r="1" spans="1:20" ht="6" customHeight="1" x14ac:dyDescent="0.2"/>
    <row r="2" spans="1:20" ht="29.25" customHeight="1" x14ac:dyDescent="0.25">
      <c r="A2" s="1465" t="s">
        <v>832</v>
      </c>
      <c r="B2" s="1466"/>
      <c r="C2" s="1466"/>
      <c r="D2" s="1466"/>
      <c r="E2" s="1466"/>
      <c r="F2" s="1466"/>
      <c r="G2" s="1466"/>
      <c r="H2" s="1466"/>
      <c r="I2" s="1466"/>
      <c r="J2" s="1466"/>
      <c r="K2" s="1466"/>
      <c r="L2" s="1466"/>
      <c r="M2" s="1466"/>
      <c r="N2" s="1466"/>
      <c r="O2" s="1466"/>
      <c r="P2" s="1466"/>
      <c r="Q2" s="1466"/>
      <c r="R2" s="1466"/>
      <c r="S2" s="1466"/>
      <c r="T2" s="1467"/>
    </row>
    <row r="3" spans="1:20" ht="4.5" customHeight="1" x14ac:dyDescent="0.2">
      <c r="B3" s="1402"/>
      <c r="C3" s="1402"/>
      <c r="D3" s="1402"/>
      <c r="E3" s="1402"/>
      <c r="F3" s="1402"/>
      <c r="G3" s="1402"/>
      <c r="H3" s="1402"/>
      <c r="I3" s="1402"/>
      <c r="J3" s="1402"/>
      <c r="K3" s="1402"/>
      <c r="L3" s="1402"/>
      <c r="M3" s="1402"/>
      <c r="N3" s="1402"/>
    </row>
    <row r="4" spans="1:20" ht="51" customHeight="1" x14ac:dyDescent="0.2">
      <c r="B4" s="1468" t="s">
        <v>1020</v>
      </c>
      <c r="C4" s="1387"/>
      <c r="D4" s="1387"/>
      <c r="E4" s="1387"/>
      <c r="F4" s="1387"/>
      <c r="G4" s="1387"/>
      <c r="H4" s="1387"/>
      <c r="I4" s="1387"/>
      <c r="J4" s="1387"/>
      <c r="K4" s="1387"/>
      <c r="L4" s="1387"/>
      <c r="M4" s="1387"/>
      <c r="N4" s="1387"/>
      <c r="O4" s="1387"/>
      <c r="P4" s="1387"/>
      <c r="Q4" s="1387"/>
      <c r="R4" s="1387"/>
      <c r="S4" s="1387"/>
      <c r="T4" s="1387"/>
    </row>
    <row r="5" spans="1:20" ht="3.75" customHeight="1" x14ac:dyDescent="0.2">
      <c r="J5" s="2"/>
      <c r="K5" s="2"/>
    </row>
    <row r="6" spans="1:20" ht="12.75" customHeight="1" x14ac:dyDescent="0.2">
      <c r="A6" s="4"/>
      <c r="B6" s="39" t="s">
        <v>521</v>
      </c>
      <c r="C6" s="1387" t="s">
        <v>716</v>
      </c>
      <c r="D6" s="1387"/>
      <c r="E6" s="1387"/>
      <c r="F6" s="1387"/>
      <c r="G6" s="1387"/>
      <c r="H6" s="1387"/>
      <c r="I6" s="1387"/>
      <c r="J6" s="1387"/>
      <c r="K6" s="1387"/>
      <c r="L6" s="1387"/>
      <c r="M6" s="1387"/>
      <c r="N6" s="1387"/>
      <c r="O6" s="1387"/>
      <c r="P6" s="1387"/>
      <c r="Q6" s="1387"/>
      <c r="R6" s="1387"/>
      <c r="S6" s="1387"/>
      <c r="T6" s="1387"/>
    </row>
    <row r="7" spans="1:20" ht="12.75" customHeight="1" x14ac:dyDescent="0.2">
      <c r="A7" s="4"/>
      <c r="B7" s="39"/>
      <c r="C7" s="1387"/>
      <c r="D7" s="1387"/>
      <c r="E7" s="1387"/>
      <c r="F7" s="1387"/>
      <c r="G7" s="1387"/>
      <c r="H7" s="1387"/>
      <c r="I7" s="1387"/>
      <c r="J7" s="1387"/>
      <c r="K7" s="1387"/>
      <c r="L7" s="1387"/>
      <c r="M7" s="1387"/>
      <c r="N7" s="1387"/>
      <c r="O7" s="1387"/>
      <c r="P7" s="1387"/>
      <c r="Q7" s="1387"/>
      <c r="R7" s="1387"/>
      <c r="S7" s="1387"/>
      <c r="T7" s="1387"/>
    </row>
    <row r="8" spans="1:20" ht="4.5" customHeight="1" x14ac:dyDescent="0.2">
      <c r="A8" s="4"/>
    </row>
    <row r="9" spans="1:20" ht="12.75" customHeight="1" x14ac:dyDescent="0.2">
      <c r="A9" s="4"/>
      <c r="B9" s="39" t="s">
        <v>522</v>
      </c>
      <c r="C9" s="1387" t="s">
        <v>719</v>
      </c>
      <c r="D9" s="1387"/>
      <c r="E9" s="1387"/>
      <c r="F9" s="1387"/>
      <c r="G9" s="1387"/>
      <c r="H9" s="1387"/>
      <c r="I9" s="1387"/>
      <c r="J9" s="1387"/>
      <c r="K9" s="1387"/>
      <c r="L9" s="1387"/>
      <c r="M9" s="1387"/>
      <c r="N9" s="1387"/>
      <c r="O9" s="1387"/>
      <c r="P9" s="1387"/>
      <c r="Q9" s="1387"/>
      <c r="R9" s="1387"/>
      <c r="S9" s="1387"/>
      <c r="T9" s="1387"/>
    </row>
    <row r="10" spans="1:20" ht="4.5" customHeight="1" x14ac:dyDescent="0.2">
      <c r="A10" s="4"/>
    </row>
    <row r="11" spans="1:20" ht="12.75" customHeight="1" x14ac:dyDescent="0.2">
      <c r="A11" s="4"/>
      <c r="B11" s="39" t="s">
        <v>523</v>
      </c>
      <c r="C11" s="1401" t="s">
        <v>1111</v>
      </c>
      <c r="D11" s="1401"/>
      <c r="E11" s="1401"/>
      <c r="F11" s="1401"/>
      <c r="G11" s="1401"/>
      <c r="H11" s="1401"/>
      <c r="I11" s="1401"/>
      <c r="J11" s="1401"/>
      <c r="K11" s="1401"/>
      <c r="L11" s="1401"/>
      <c r="M11" s="1401"/>
      <c r="N11" s="1401"/>
      <c r="O11" s="1401"/>
      <c r="P11" s="1401"/>
      <c r="Q11" s="1401"/>
      <c r="R11" s="1401"/>
      <c r="S11" s="1401"/>
      <c r="T11" s="1401"/>
    </row>
    <row r="12" spans="1:20" ht="49.5" customHeight="1" x14ac:dyDescent="0.2">
      <c r="A12" s="4"/>
      <c r="B12" s="39"/>
      <c r="C12" s="1401"/>
      <c r="D12" s="1401"/>
      <c r="E12" s="1401"/>
      <c r="F12" s="1401"/>
      <c r="G12" s="1401"/>
      <c r="H12" s="1401"/>
      <c r="I12" s="1401"/>
      <c r="J12" s="1401"/>
      <c r="K12" s="1401"/>
      <c r="L12" s="1401"/>
      <c r="M12" s="1401"/>
      <c r="N12" s="1401"/>
      <c r="O12" s="1401"/>
      <c r="P12" s="1401"/>
      <c r="Q12" s="1401"/>
      <c r="R12" s="1401"/>
      <c r="S12" s="1401"/>
      <c r="T12" s="1401"/>
    </row>
    <row r="13" spans="1:20" ht="4.5" customHeight="1" x14ac:dyDescent="0.2">
      <c r="A13" s="4"/>
      <c r="C13" s="13"/>
      <c r="D13" s="13"/>
      <c r="E13" s="13"/>
      <c r="F13" s="13"/>
      <c r="G13" s="13"/>
      <c r="H13" s="13"/>
      <c r="I13" s="13"/>
      <c r="J13" s="13"/>
      <c r="K13" s="13"/>
      <c r="L13" s="13"/>
      <c r="M13" s="13"/>
      <c r="N13" s="13"/>
      <c r="O13" s="13"/>
    </row>
    <row r="14" spans="1:20" ht="12.75" customHeight="1" x14ac:dyDescent="0.2">
      <c r="A14" s="4"/>
      <c r="B14" s="39" t="s">
        <v>549</v>
      </c>
      <c r="C14" s="1402" t="s">
        <v>1043</v>
      </c>
      <c r="D14" s="1402"/>
      <c r="E14" s="1402"/>
      <c r="F14" s="1402"/>
      <c r="G14" s="1402"/>
      <c r="H14" s="1402"/>
      <c r="I14" s="1402"/>
      <c r="J14" s="1402"/>
      <c r="K14" s="1402"/>
      <c r="L14" s="1402"/>
      <c r="M14" s="1402"/>
      <c r="N14" s="1402"/>
      <c r="O14" s="1402"/>
      <c r="P14" s="1402"/>
      <c r="Q14" s="1402"/>
      <c r="R14" s="1402"/>
      <c r="S14" s="1402"/>
      <c r="T14" s="1402"/>
    </row>
    <row r="15" spans="1:20" ht="5.25" customHeight="1" x14ac:dyDescent="0.2">
      <c r="A15" s="4"/>
      <c r="C15" s="60"/>
      <c r="D15" s="60"/>
      <c r="E15" s="60"/>
      <c r="F15" s="60"/>
      <c r="G15" s="60"/>
      <c r="H15" s="60"/>
      <c r="I15" s="60"/>
      <c r="J15" s="60"/>
      <c r="K15" s="60"/>
      <c r="L15" s="60"/>
      <c r="M15" s="60"/>
      <c r="N15" s="60"/>
      <c r="O15" s="60"/>
      <c r="P15" s="60"/>
      <c r="Q15" s="35"/>
      <c r="R15" s="35"/>
      <c r="S15" s="35"/>
    </row>
    <row r="16" spans="1:20" ht="12.75" customHeight="1" x14ac:dyDescent="0.2">
      <c r="A16" s="4"/>
      <c r="B16" s="39" t="s">
        <v>550</v>
      </c>
      <c r="C16" s="1401" t="s">
        <v>1112</v>
      </c>
      <c r="D16" s="1402"/>
      <c r="E16" s="1402"/>
      <c r="F16" s="1402"/>
      <c r="G16" s="1402"/>
      <c r="H16" s="1402"/>
      <c r="I16" s="1402"/>
      <c r="J16" s="1402"/>
      <c r="K16" s="1402"/>
      <c r="L16" s="1402"/>
      <c r="M16" s="1402"/>
      <c r="N16" s="1402"/>
      <c r="O16" s="1402"/>
      <c r="P16" s="1402"/>
      <c r="Q16" s="1402"/>
      <c r="R16" s="1402"/>
      <c r="S16" s="1402"/>
      <c r="T16" s="1402"/>
    </row>
    <row r="17" spans="1:20" ht="12.75" customHeight="1" x14ac:dyDescent="0.2">
      <c r="A17" s="4"/>
      <c r="B17" s="39"/>
      <c r="C17" s="1402"/>
      <c r="D17" s="1402"/>
      <c r="E17" s="1402"/>
      <c r="F17" s="1402"/>
      <c r="G17" s="1402"/>
      <c r="H17" s="1402"/>
      <c r="I17" s="1402"/>
      <c r="J17" s="1402"/>
      <c r="K17" s="1402"/>
      <c r="L17" s="1402"/>
      <c r="M17" s="1402"/>
      <c r="N17" s="1402"/>
      <c r="O17" s="1402"/>
      <c r="P17" s="1402"/>
      <c r="Q17" s="1402"/>
      <c r="R17" s="1402"/>
      <c r="S17" s="1402"/>
      <c r="T17" s="1402"/>
    </row>
    <row r="18" spans="1:20" ht="12.75" customHeight="1" x14ac:dyDescent="0.2">
      <c r="A18" s="4"/>
      <c r="B18" s="39"/>
      <c r="C18" s="1402"/>
      <c r="D18" s="1402"/>
      <c r="E18" s="1402"/>
      <c r="F18" s="1402"/>
      <c r="G18" s="1402"/>
      <c r="H18" s="1402"/>
      <c r="I18" s="1402"/>
      <c r="J18" s="1402"/>
      <c r="K18" s="1402"/>
      <c r="L18" s="1402"/>
      <c r="M18" s="1402"/>
      <c r="N18" s="1402"/>
      <c r="O18" s="1402"/>
      <c r="P18" s="1402"/>
      <c r="Q18" s="1402"/>
      <c r="R18" s="1402"/>
      <c r="S18" s="1402"/>
      <c r="T18" s="1402"/>
    </row>
    <row r="19" spans="1:20" ht="4.5" customHeight="1" x14ac:dyDescent="0.2">
      <c r="A19" s="4"/>
      <c r="B19" s="39"/>
      <c r="C19" s="68"/>
      <c r="D19" s="68"/>
      <c r="E19" s="68"/>
      <c r="F19" s="68"/>
      <c r="G19" s="68"/>
      <c r="H19" s="68"/>
      <c r="I19" s="68"/>
      <c r="J19" s="68"/>
      <c r="K19" s="68"/>
      <c r="L19" s="68"/>
      <c r="M19" s="68"/>
      <c r="N19" s="68"/>
      <c r="O19" s="68"/>
      <c r="P19" s="13"/>
    </row>
    <row r="20" spans="1:20" ht="12.75" customHeight="1" x14ac:dyDescent="0.2">
      <c r="A20" s="4"/>
      <c r="B20" s="39" t="s">
        <v>872</v>
      </c>
      <c r="C20" s="1402" t="s">
        <v>941</v>
      </c>
      <c r="D20" s="1402"/>
      <c r="E20" s="1402"/>
      <c r="F20" s="1402"/>
      <c r="G20" s="1402"/>
      <c r="H20" s="1402"/>
      <c r="I20" s="1402"/>
      <c r="J20" s="1402"/>
      <c r="K20" s="1402"/>
      <c r="L20" s="1402"/>
      <c r="M20" s="1402"/>
      <c r="N20" s="1402"/>
      <c r="O20" s="1402"/>
      <c r="P20" s="1402"/>
      <c r="Q20" s="1402"/>
      <c r="R20" s="1402"/>
      <c r="S20" s="1402"/>
      <c r="T20" s="1402"/>
    </row>
    <row r="21" spans="1:20" ht="12.75" customHeight="1" x14ac:dyDescent="0.2">
      <c r="A21" s="4"/>
      <c r="B21" s="39"/>
      <c r="C21" s="1402"/>
      <c r="D21" s="1402"/>
      <c r="E21" s="1402"/>
      <c r="F21" s="1402"/>
      <c r="G21" s="1402"/>
      <c r="H21" s="1402"/>
      <c r="I21" s="1402"/>
      <c r="J21" s="1402"/>
      <c r="K21" s="1402"/>
      <c r="L21" s="1402"/>
      <c r="M21" s="1402"/>
      <c r="N21" s="1402"/>
      <c r="O21" s="1402"/>
      <c r="P21" s="1402"/>
      <c r="Q21" s="1402"/>
      <c r="R21" s="1402"/>
      <c r="S21" s="1402"/>
      <c r="T21" s="1402"/>
    </row>
    <row r="22" spans="1:20" ht="4.5" customHeight="1" x14ac:dyDescent="0.2">
      <c r="A22" s="4"/>
      <c r="B22" s="39"/>
      <c r="C22" s="68"/>
      <c r="D22" s="68"/>
      <c r="E22" s="68"/>
      <c r="F22" s="68"/>
      <c r="G22" s="68"/>
      <c r="H22" s="68"/>
      <c r="I22" s="68"/>
      <c r="J22" s="68"/>
      <c r="K22" s="68"/>
      <c r="L22" s="68"/>
      <c r="M22" s="68"/>
      <c r="N22" s="68"/>
      <c r="O22" s="68"/>
      <c r="P22" s="13"/>
    </row>
    <row r="23" spans="1:20" ht="12.75" customHeight="1" x14ac:dyDescent="0.2">
      <c r="A23" s="4"/>
      <c r="B23" s="39" t="s">
        <v>958</v>
      </c>
      <c r="C23" s="1387" t="s">
        <v>97</v>
      </c>
      <c r="D23" s="1387"/>
      <c r="E23" s="1387"/>
      <c r="F23" s="1387"/>
      <c r="G23" s="1387"/>
      <c r="H23" s="1387"/>
      <c r="I23" s="1387"/>
      <c r="J23" s="1387"/>
      <c r="K23" s="1387"/>
      <c r="L23" s="1387"/>
      <c r="M23" s="1387"/>
      <c r="N23" s="1387"/>
      <c r="O23" s="1387"/>
      <c r="P23" s="1387"/>
      <c r="Q23" s="1387"/>
      <c r="R23" s="1387"/>
      <c r="S23" s="1387"/>
      <c r="T23" s="1387"/>
    </row>
    <row r="24" spans="1:20" ht="25.5" customHeight="1" x14ac:dyDescent="0.2">
      <c r="A24" s="4"/>
      <c r="B24" s="39"/>
      <c r="C24" s="1387"/>
      <c r="D24" s="1387"/>
      <c r="E24" s="1387"/>
      <c r="F24" s="1387"/>
      <c r="G24" s="1387"/>
      <c r="H24" s="1387"/>
      <c r="I24" s="1387"/>
      <c r="J24" s="1387"/>
      <c r="K24" s="1387"/>
      <c r="L24" s="1387"/>
      <c r="M24" s="1387"/>
      <c r="N24" s="1387"/>
      <c r="O24" s="1387"/>
      <c r="P24" s="1387"/>
      <c r="Q24" s="1387"/>
      <c r="R24" s="1387"/>
      <c r="S24" s="1387"/>
      <c r="T24" s="1387"/>
    </row>
    <row r="25" spans="1:20" ht="6" customHeight="1" x14ac:dyDescent="0.2">
      <c r="A25" s="68"/>
    </row>
    <row r="26" spans="1:20" ht="25.5" customHeight="1" x14ac:dyDescent="0.2">
      <c r="A26" s="4" t="s">
        <v>547</v>
      </c>
      <c r="B26" s="1494" t="s">
        <v>581</v>
      </c>
      <c r="C26" s="1495"/>
      <c r="D26" s="1495"/>
      <c r="E26" s="1495"/>
      <c r="F26" s="1495"/>
      <c r="G26" s="1495"/>
      <c r="H26" s="1495"/>
      <c r="I26" s="1495"/>
      <c r="J26" s="1495"/>
      <c r="K26" s="1495"/>
      <c r="L26" s="1495"/>
      <c r="M26" s="1495"/>
      <c r="N26" s="1495"/>
      <c r="O26" s="1495"/>
      <c r="P26" s="1495"/>
      <c r="Q26" s="1495"/>
      <c r="R26" s="1495"/>
      <c r="S26" s="1495"/>
      <c r="T26" s="1496"/>
    </row>
    <row r="27" spans="1:20" ht="12.75" customHeight="1" x14ac:dyDescent="0.2">
      <c r="A27" s="4"/>
      <c r="L27" s="57"/>
      <c r="M27" s="57"/>
      <c r="N27" s="57"/>
      <c r="O27" s="57" t="s">
        <v>834</v>
      </c>
      <c r="P27" s="51"/>
      <c r="R27" s="379" t="s">
        <v>718</v>
      </c>
      <c r="S27" s="380" t="s">
        <v>718</v>
      </c>
    </row>
    <row r="28" spans="1:20" ht="12.75" customHeight="1" x14ac:dyDescent="0.2">
      <c r="A28" s="4"/>
      <c r="L28" s="49" t="s">
        <v>826</v>
      </c>
      <c r="M28" s="49" t="s">
        <v>314</v>
      </c>
      <c r="N28" s="57"/>
      <c r="O28" s="49" t="s">
        <v>315</v>
      </c>
      <c r="R28" s="381" t="s">
        <v>704</v>
      </c>
      <c r="S28" s="381" t="s">
        <v>705</v>
      </c>
    </row>
    <row r="29" spans="1:20" ht="15.75" customHeight="1" x14ac:dyDescent="0.2">
      <c r="A29" s="4"/>
      <c r="B29" s="64" t="s">
        <v>521</v>
      </c>
      <c r="C29" s="4" t="s">
        <v>684</v>
      </c>
      <c r="R29" s="44"/>
      <c r="S29" s="44"/>
    </row>
    <row r="30" spans="1:20" ht="6.75" customHeight="1" x14ac:dyDescent="0.2">
      <c r="A30" s="4"/>
      <c r="B30" s="64"/>
      <c r="C30" s="4"/>
      <c r="R30" s="44"/>
      <c r="S30" s="44"/>
    </row>
    <row r="31" spans="1:20" ht="12.75" customHeight="1" x14ac:dyDescent="0.2">
      <c r="A31" s="4"/>
      <c r="C31" t="s">
        <v>118</v>
      </c>
      <c r="D31" s="1387" t="s">
        <v>119</v>
      </c>
      <c r="E31" s="1387"/>
      <c r="F31" s="1387"/>
      <c r="G31" s="1387"/>
      <c r="H31" s="1387"/>
      <c r="I31" s="1387"/>
      <c r="L31" s="1498"/>
      <c r="M31" s="1499"/>
      <c r="N31" s="354"/>
      <c r="O31" s="1499"/>
      <c r="R31" s="1506"/>
      <c r="S31" s="1506"/>
    </row>
    <row r="32" spans="1:20" ht="13.5" customHeight="1" x14ac:dyDescent="0.2">
      <c r="A32" s="4"/>
      <c r="D32" s="1387"/>
      <c r="E32" s="1387"/>
      <c r="F32" s="1387"/>
      <c r="G32" s="1387"/>
      <c r="H32" s="1387"/>
      <c r="I32" s="1387"/>
      <c r="L32" s="1498"/>
      <c r="M32" s="1499"/>
      <c r="N32" s="354"/>
      <c r="O32" s="1499"/>
      <c r="R32" s="1506"/>
      <c r="S32" s="1506"/>
    </row>
    <row r="33" spans="3:20" ht="5.25" customHeight="1" x14ac:dyDescent="0.2">
      <c r="L33" s="36"/>
    </row>
    <row r="34" spans="3:20" ht="12.75" customHeight="1" x14ac:dyDescent="0.2">
      <c r="C34" t="s">
        <v>120</v>
      </c>
      <c r="D34" s="1387" t="s">
        <v>276</v>
      </c>
      <c r="E34" s="1387"/>
      <c r="F34" s="1387"/>
      <c r="G34" s="1387"/>
      <c r="H34" s="1387"/>
      <c r="I34" s="1387"/>
      <c r="L34" s="77" t="s">
        <v>837</v>
      </c>
      <c r="M34" s="1499"/>
      <c r="N34" s="354"/>
      <c r="O34" s="1499"/>
      <c r="R34" s="1499"/>
      <c r="S34" s="1499"/>
    </row>
    <row r="35" spans="3:20" ht="12.75" customHeight="1" x14ac:dyDescent="0.2">
      <c r="D35" s="1387"/>
      <c r="E35" s="1387"/>
      <c r="F35" s="1387"/>
      <c r="G35" s="1387"/>
      <c r="H35" s="1387"/>
      <c r="I35" s="1387"/>
      <c r="L35" s="77"/>
      <c r="M35" s="1499"/>
      <c r="N35" s="354"/>
      <c r="O35" s="1499"/>
      <c r="R35" s="1499"/>
      <c r="S35" s="1499"/>
    </row>
    <row r="36" spans="3:20" ht="5.25" customHeight="1" x14ac:dyDescent="0.2">
      <c r="L36" s="65"/>
    </row>
    <row r="37" spans="3:20" ht="12.75" customHeight="1" x14ac:dyDescent="0.2">
      <c r="C37" t="s">
        <v>277</v>
      </c>
      <c r="D37" s="1387" t="s">
        <v>845</v>
      </c>
      <c r="E37" s="1387"/>
      <c r="F37" s="1387"/>
      <c r="G37" s="1387"/>
      <c r="H37" s="1387"/>
      <c r="I37" s="1387"/>
      <c r="L37" s="77" t="s">
        <v>837</v>
      </c>
      <c r="M37" s="1499"/>
      <c r="N37" s="354">
        <v>0</v>
      </c>
      <c r="O37" s="1499"/>
      <c r="R37" s="1499"/>
      <c r="S37" s="1499"/>
    </row>
    <row r="38" spans="3:20" ht="13.5" customHeight="1" x14ac:dyDescent="0.2">
      <c r="D38" s="1387"/>
      <c r="E38" s="1387"/>
      <c r="F38" s="1387"/>
      <c r="G38" s="1387"/>
      <c r="H38" s="1387"/>
      <c r="I38" s="1387"/>
      <c r="L38" s="77"/>
      <c r="M38" s="1499"/>
      <c r="N38" s="354"/>
      <c r="O38" s="1499"/>
      <c r="R38" s="1499"/>
      <c r="S38" s="1499"/>
    </row>
    <row r="39" spans="3:20" ht="3.75" customHeight="1" x14ac:dyDescent="0.2">
      <c r="D39" s="34"/>
      <c r="E39" s="34"/>
      <c r="F39" s="34"/>
      <c r="G39" s="34"/>
      <c r="H39" s="34"/>
      <c r="I39" s="34"/>
      <c r="L39" s="36"/>
    </row>
    <row r="40" spans="3:20" ht="13.5" customHeight="1" x14ac:dyDescent="0.2">
      <c r="D40" s="34"/>
      <c r="E40" s="1387" t="s">
        <v>319</v>
      </c>
      <c r="F40" s="1387"/>
      <c r="G40" s="1387"/>
      <c r="H40" s="1387"/>
      <c r="I40" s="1387"/>
      <c r="L40" s="73">
        <f>L31</f>
        <v>0</v>
      </c>
      <c r="M40" s="74">
        <f>M31-(M34+M37)</f>
        <v>0</v>
      </c>
      <c r="N40" s="14"/>
      <c r="O40" s="74">
        <f>O31-(O34+O37)</f>
        <v>0</v>
      </c>
      <c r="R40" s="74"/>
      <c r="S40" s="74"/>
    </row>
    <row r="41" spans="3:20" ht="6.75" customHeight="1" x14ac:dyDescent="0.2">
      <c r="D41" s="34"/>
      <c r="E41" s="34"/>
      <c r="F41" s="34"/>
      <c r="G41" s="34"/>
      <c r="H41" s="34"/>
      <c r="I41" s="34"/>
      <c r="L41" s="36"/>
    </row>
    <row r="42" spans="3:20" ht="13.5" customHeight="1" x14ac:dyDescent="0.2">
      <c r="C42" t="s">
        <v>313</v>
      </c>
      <c r="D42" s="1387" t="s">
        <v>708</v>
      </c>
      <c r="E42" s="1387"/>
      <c r="F42" s="1387"/>
      <c r="G42" s="1387"/>
      <c r="H42" s="1387"/>
      <c r="I42" s="34"/>
      <c r="L42" s="342"/>
      <c r="M42" s="343"/>
      <c r="N42" s="354"/>
      <c r="O42" s="343"/>
      <c r="R42" s="343"/>
      <c r="S42" s="343"/>
    </row>
    <row r="43" spans="3:20" ht="6" customHeight="1" x14ac:dyDescent="0.2">
      <c r="D43" s="34"/>
      <c r="E43" s="34"/>
      <c r="F43" s="34"/>
      <c r="G43" s="34"/>
      <c r="H43" s="34"/>
      <c r="I43" s="34"/>
      <c r="L43" s="36"/>
    </row>
    <row r="44" spans="3:20" ht="13.5" thickBot="1" x14ac:dyDescent="0.25">
      <c r="E44" t="s">
        <v>320</v>
      </c>
      <c r="L44" s="75">
        <f>L42-L40</f>
        <v>0</v>
      </c>
      <c r="M44" s="76">
        <f>M42-M40</f>
        <v>0</v>
      </c>
      <c r="N44" s="14"/>
      <c r="O44" s="76">
        <f>O42-O40</f>
        <v>0</v>
      </c>
      <c r="R44" s="76"/>
      <c r="S44" s="76"/>
    </row>
    <row r="45" spans="3:20" ht="9" customHeight="1" thickTop="1" x14ac:dyDescent="0.2"/>
    <row r="46" spans="3:20" ht="24.95" customHeight="1" x14ac:dyDescent="0.2">
      <c r="C46" s="1503" t="s">
        <v>404</v>
      </c>
      <c r="D46" s="1503"/>
      <c r="E46" s="1503"/>
      <c r="F46" s="1503"/>
      <c r="G46" s="1503"/>
      <c r="H46" s="1503"/>
      <c r="I46" s="1503"/>
      <c r="J46" s="1503"/>
      <c r="K46" s="1503"/>
      <c r="L46" s="1503"/>
      <c r="M46" s="1503"/>
      <c r="N46" s="1503"/>
      <c r="O46" s="1503"/>
      <c r="P46" s="1503"/>
      <c r="Q46" s="1503"/>
      <c r="R46" s="1503"/>
      <c r="S46" s="1503"/>
      <c r="T46" s="1503"/>
    </row>
    <row r="47" spans="3:20" ht="6" customHeight="1" x14ac:dyDescent="0.2">
      <c r="D47" s="34"/>
      <c r="E47" s="34"/>
      <c r="F47" s="34"/>
      <c r="G47" s="34"/>
      <c r="H47" s="34"/>
      <c r="I47" s="34"/>
      <c r="J47" s="34"/>
      <c r="K47" s="34"/>
      <c r="L47" s="34"/>
      <c r="M47" s="34"/>
      <c r="N47" s="34"/>
      <c r="O47" s="34"/>
      <c r="P47" s="34"/>
      <c r="Q47" s="34"/>
      <c r="R47" s="34"/>
      <c r="S47" s="34"/>
      <c r="T47" s="34"/>
    </row>
    <row r="48" spans="3:20" x14ac:dyDescent="0.2">
      <c r="O48" s="38" t="s">
        <v>717</v>
      </c>
      <c r="Q48" s="51" t="s">
        <v>316</v>
      </c>
      <c r="R48" s="379" t="s">
        <v>718</v>
      </c>
      <c r="S48" s="380" t="s">
        <v>718</v>
      </c>
    </row>
    <row r="49" spans="2:19" ht="12" customHeight="1" x14ac:dyDescent="0.2">
      <c r="B49" s="64" t="s">
        <v>522</v>
      </c>
      <c r="C49" s="4" t="s">
        <v>915</v>
      </c>
      <c r="L49" s="49" t="s">
        <v>826</v>
      </c>
      <c r="M49" s="49" t="s">
        <v>314</v>
      </c>
      <c r="N49" s="57"/>
      <c r="O49" s="49" t="s">
        <v>315</v>
      </c>
      <c r="P49" s="67" t="s">
        <v>824</v>
      </c>
      <c r="Q49" s="67" t="s">
        <v>317</v>
      </c>
      <c r="R49" s="381" t="s">
        <v>704</v>
      </c>
      <c r="S49" s="381" t="s">
        <v>705</v>
      </c>
    </row>
    <row r="50" spans="2:19" ht="12.75" customHeight="1" x14ac:dyDescent="0.2">
      <c r="C50" t="s">
        <v>118</v>
      </c>
      <c r="D50" s="1387" t="s">
        <v>721</v>
      </c>
      <c r="E50" s="1387"/>
      <c r="F50" s="1387"/>
      <c r="G50" s="1387"/>
      <c r="H50" s="1387"/>
      <c r="I50" s="1387"/>
      <c r="L50" s="1501"/>
      <c r="M50" s="1501"/>
      <c r="N50" s="355"/>
      <c r="O50" s="1501"/>
      <c r="P50" s="1501"/>
      <c r="Q50" s="1501"/>
      <c r="R50" s="1500"/>
      <c r="S50" s="1500"/>
    </row>
    <row r="51" spans="2:19" ht="12" customHeight="1" x14ac:dyDescent="0.2">
      <c r="D51" s="1387"/>
      <c r="E51" s="1387"/>
      <c r="F51" s="1387"/>
      <c r="G51" s="1387"/>
      <c r="H51" s="1387"/>
      <c r="I51" s="1387"/>
      <c r="L51" s="1498"/>
      <c r="M51" s="1498"/>
      <c r="N51" s="355"/>
      <c r="O51" s="1498"/>
      <c r="P51" s="1498"/>
      <c r="Q51" s="1498"/>
      <c r="R51" s="1499"/>
      <c r="S51" s="1499"/>
    </row>
    <row r="52" spans="2:19" ht="5.25" customHeight="1" x14ac:dyDescent="0.2">
      <c r="L52" s="36"/>
      <c r="M52" s="36"/>
      <c r="N52" s="36"/>
      <c r="O52" s="36"/>
      <c r="P52" s="36"/>
      <c r="Q52" s="36"/>
    </row>
    <row r="53" spans="2:19" ht="12.75" customHeight="1" x14ac:dyDescent="0.2">
      <c r="C53" t="s">
        <v>120</v>
      </c>
      <c r="D53" s="1387" t="s">
        <v>779</v>
      </c>
      <c r="E53" s="1387"/>
      <c r="F53" s="1387"/>
      <c r="G53" s="1387"/>
      <c r="H53" s="1387"/>
      <c r="I53" s="1387"/>
      <c r="L53" s="77" t="s">
        <v>837</v>
      </c>
      <c r="M53" s="1498"/>
      <c r="N53" s="355"/>
      <c r="O53" s="1498"/>
      <c r="P53" s="1498"/>
      <c r="Q53" s="1498"/>
      <c r="R53" s="1498"/>
      <c r="S53" s="1498"/>
    </row>
    <row r="54" spans="2:19" ht="12.75" customHeight="1" x14ac:dyDescent="0.2">
      <c r="D54" s="1387"/>
      <c r="E54" s="1387"/>
      <c r="F54" s="1387"/>
      <c r="G54" s="1387"/>
      <c r="H54" s="1387"/>
      <c r="I54" s="1387"/>
      <c r="L54" s="77"/>
      <c r="M54" s="1498"/>
      <c r="N54" s="355"/>
      <c r="O54" s="1498"/>
      <c r="P54" s="1498"/>
      <c r="Q54" s="1498"/>
      <c r="R54" s="1498"/>
      <c r="S54" s="1498"/>
    </row>
    <row r="55" spans="2:19" ht="5.25" customHeight="1" x14ac:dyDescent="0.2">
      <c r="L55" s="65"/>
      <c r="M55" s="36"/>
      <c r="N55" s="36"/>
      <c r="O55" s="36"/>
      <c r="P55" s="36"/>
      <c r="Q55" s="36"/>
      <c r="R55" s="36"/>
      <c r="S55" s="36"/>
    </row>
    <row r="56" spans="2:19" ht="13.5" customHeight="1" x14ac:dyDescent="0.2">
      <c r="C56" t="s">
        <v>277</v>
      </c>
      <c r="D56" s="1387" t="s">
        <v>397</v>
      </c>
      <c r="E56" s="1387"/>
      <c r="F56" s="1387"/>
      <c r="G56" s="1387"/>
      <c r="H56" s="1387"/>
      <c r="I56" s="1387"/>
      <c r="L56" s="77" t="s">
        <v>837</v>
      </c>
      <c r="M56" s="1498"/>
      <c r="N56" s="355"/>
      <c r="O56" s="1498"/>
      <c r="P56" s="1498"/>
      <c r="Q56" s="1498"/>
      <c r="R56" s="1498"/>
      <c r="S56" s="1498"/>
    </row>
    <row r="57" spans="2:19" ht="13.5" customHeight="1" x14ac:dyDescent="0.2">
      <c r="D57" s="1387"/>
      <c r="E57" s="1387"/>
      <c r="F57" s="1387"/>
      <c r="G57" s="1387"/>
      <c r="H57" s="1387"/>
      <c r="I57" s="1387"/>
      <c r="L57" s="77"/>
      <c r="M57" s="1498"/>
      <c r="N57" s="355"/>
      <c r="O57" s="1498"/>
      <c r="P57" s="1498"/>
      <c r="Q57" s="1498"/>
      <c r="R57" s="1498"/>
      <c r="S57" s="1498"/>
    </row>
    <row r="58" spans="2:19" ht="5.25" customHeight="1" x14ac:dyDescent="0.2">
      <c r="L58" s="36"/>
      <c r="M58" s="36"/>
      <c r="N58" s="36"/>
      <c r="O58" s="36"/>
      <c r="P58" s="36"/>
      <c r="Q58" s="36"/>
    </row>
    <row r="59" spans="2:19" ht="12.75" customHeight="1" x14ac:dyDescent="0.2">
      <c r="E59" t="s">
        <v>319</v>
      </c>
      <c r="L59" s="73">
        <f>L50</f>
        <v>0</v>
      </c>
      <c r="M59" s="73">
        <f>M50-(M53+M56)</f>
        <v>0</v>
      </c>
      <c r="N59" s="48"/>
      <c r="O59" s="73">
        <f>O50-(O53+O56)</f>
        <v>0</v>
      </c>
      <c r="P59" s="73">
        <f>P50-(P53+P56)</f>
        <v>0</v>
      </c>
      <c r="Q59" s="73">
        <f>Q50-(Q53+Q56)</f>
        <v>0</v>
      </c>
      <c r="R59" s="74"/>
      <c r="S59" s="74"/>
    </row>
    <row r="60" spans="2:19" ht="4.5" customHeight="1" x14ac:dyDescent="0.2">
      <c r="L60" s="36"/>
      <c r="M60" s="36"/>
      <c r="N60" s="36"/>
      <c r="O60" s="36"/>
      <c r="P60" s="36"/>
      <c r="Q60" s="36"/>
    </row>
    <row r="61" spans="2:19" ht="13.5" customHeight="1" x14ac:dyDescent="0.2">
      <c r="C61" t="s">
        <v>313</v>
      </c>
      <c r="D61" s="1505" t="s">
        <v>398</v>
      </c>
      <c r="E61" s="1505"/>
      <c r="F61" s="1505"/>
      <c r="G61" s="1505"/>
      <c r="H61" s="1505"/>
      <c r="I61" s="1505"/>
      <c r="L61" s="36"/>
      <c r="M61" s="36"/>
      <c r="N61" s="36"/>
      <c r="O61" s="36"/>
      <c r="P61" s="36"/>
      <c r="Q61" s="36"/>
    </row>
    <row r="62" spans="2:19" ht="13.5" customHeight="1" x14ac:dyDescent="0.2">
      <c r="D62" s="13"/>
      <c r="E62" s="13" t="s">
        <v>318</v>
      </c>
      <c r="F62" s="13"/>
      <c r="G62" s="13"/>
      <c r="H62" s="13"/>
      <c r="I62" s="13"/>
      <c r="L62" s="344"/>
      <c r="M62" s="344"/>
      <c r="N62" s="355"/>
      <c r="O62" s="344"/>
      <c r="P62" s="344"/>
      <c r="Q62" s="344"/>
      <c r="R62" s="343"/>
      <c r="S62" s="343"/>
    </row>
    <row r="63" spans="2:19" ht="13.5" customHeight="1" x14ac:dyDescent="0.2">
      <c r="D63" s="13"/>
      <c r="E63" s="13" t="s">
        <v>283</v>
      </c>
      <c r="F63" s="13"/>
      <c r="G63" s="13"/>
      <c r="H63" s="13"/>
      <c r="I63" s="13"/>
      <c r="L63" s="344"/>
      <c r="M63" s="344"/>
      <c r="N63" s="355"/>
      <c r="O63" s="344"/>
      <c r="P63" s="344"/>
      <c r="Q63" s="344"/>
      <c r="R63" s="343"/>
      <c r="S63" s="343"/>
    </row>
    <row r="64" spans="2:19" ht="12.75" customHeight="1" x14ac:dyDescent="0.2">
      <c r="L64" s="36"/>
      <c r="M64" s="36"/>
      <c r="N64" s="36"/>
      <c r="O64" s="36"/>
      <c r="P64" s="36"/>
      <c r="Q64" s="36"/>
    </row>
    <row r="65" spans="1:20" ht="12.75" customHeight="1" thickBot="1" x14ac:dyDescent="0.25">
      <c r="E65" t="s">
        <v>321</v>
      </c>
      <c r="L65" s="75">
        <f>(L62+L63)-L59</f>
        <v>0</v>
      </c>
      <c r="M65" s="75">
        <f>(M62+M63)-M59</f>
        <v>0</v>
      </c>
      <c r="N65" s="48"/>
      <c r="O65" s="75">
        <f>(O62+O63)-O59</f>
        <v>0</v>
      </c>
      <c r="P65" s="75">
        <f>(P62+P63)-P59</f>
        <v>0</v>
      </c>
      <c r="Q65" s="75">
        <f>(Q62+Q63)-Q59</f>
        <v>0</v>
      </c>
      <c r="R65" s="76"/>
      <c r="S65" s="76"/>
    </row>
    <row r="66" spans="1:20" ht="5.25" customHeight="1" thickTop="1" x14ac:dyDescent="0.2"/>
    <row r="67" spans="1:20" ht="26.25" customHeight="1" x14ac:dyDescent="0.2">
      <c r="D67" s="1389" t="s">
        <v>776</v>
      </c>
      <c r="E67" s="1387"/>
      <c r="F67" s="1387"/>
      <c r="G67" s="1387"/>
      <c r="H67" s="1387"/>
      <c r="I67" s="1387"/>
      <c r="J67" s="1387"/>
      <c r="K67" s="1387"/>
      <c r="L67" s="1387"/>
      <c r="M67" s="1387"/>
      <c r="N67" s="1387"/>
      <c r="O67" s="1387"/>
      <c r="P67" s="1387"/>
      <c r="Q67" s="1387"/>
      <c r="R67" s="1387"/>
      <c r="S67" s="1387"/>
      <c r="T67" s="1387"/>
    </row>
    <row r="68" spans="1:20" ht="6" customHeight="1" x14ac:dyDescent="0.2"/>
    <row r="69" spans="1:20" ht="25.5" customHeight="1" x14ac:dyDescent="0.2">
      <c r="A69" s="4" t="s">
        <v>548</v>
      </c>
      <c r="B69" s="1494" t="s">
        <v>835</v>
      </c>
      <c r="C69" s="1495"/>
      <c r="D69" s="1495"/>
      <c r="E69" s="1495"/>
      <c r="F69" s="1495"/>
      <c r="G69" s="1495"/>
      <c r="H69" s="1495"/>
      <c r="I69" s="1495"/>
      <c r="J69" s="1495"/>
      <c r="K69" s="1495"/>
      <c r="L69" s="1495"/>
      <c r="M69" s="1495"/>
      <c r="N69" s="1495"/>
      <c r="O69" s="1495"/>
      <c r="P69" s="1495"/>
      <c r="Q69" s="1495"/>
      <c r="R69" s="1495"/>
      <c r="S69" s="1495"/>
      <c r="T69" s="1496"/>
    </row>
    <row r="70" spans="1:20" x14ac:dyDescent="0.2">
      <c r="C70" s="44"/>
      <c r="D70" s="44"/>
      <c r="E70" s="44"/>
      <c r="F70" s="1509"/>
      <c r="G70" s="1509"/>
      <c r="H70" s="1509"/>
      <c r="I70" s="44"/>
      <c r="N70" s="44"/>
    </row>
    <row r="71" spans="1:20" x14ac:dyDescent="0.2">
      <c r="O71" s="38" t="s">
        <v>717</v>
      </c>
      <c r="Q71" s="51" t="s">
        <v>316</v>
      </c>
      <c r="R71" s="379" t="s">
        <v>718</v>
      </c>
      <c r="S71" s="380" t="s">
        <v>718</v>
      </c>
    </row>
    <row r="72" spans="1:20" ht="12.75" customHeight="1" x14ac:dyDescent="0.2">
      <c r="B72" s="64"/>
      <c r="C72" s="4" t="s">
        <v>720</v>
      </c>
      <c r="L72" s="49" t="s">
        <v>826</v>
      </c>
      <c r="M72" s="49" t="s">
        <v>314</v>
      </c>
      <c r="N72" s="57"/>
      <c r="O72" s="49" t="s">
        <v>315</v>
      </c>
      <c r="P72" s="67" t="s">
        <v>824</v>
      </c>
      <c r="Q72" s="67" t="s">
        <v>317</v>
      </c>
      <c r="R72" s="381" t="s">
        <v>704</v>
      </c>
      <c r="S72" s="381" t="s">
        <v>705</v>
      </c>
      <c r="T72" s="51" t="s">
        <v>923</v>
      </c>
    </row>
    <row r="73" spans="1:20" ht="12.75" customHeight="1" x14ac:dyDescent="0.2">
      <c r="C73" t="s">
        <v>118</v>
      </c>
      <c r="D73" s="1387" t="s">
        <v>399</v>
      </c>
      <c r="E73" s="1387"/>
      <c r="F73" s="1387"/>
      <c r="G73" s="1387"/>
      <c r="H73" s="1387"/>
      <c r="I73" s="1387"/>
      <c r="L73" s="36"/>
      <c r="M73" s="1501"/>
      <c r="N73" s="355"/>
      <c r="O73" s="1501"/>
      <c r="P73" s="1501"/>
      <c r="Q73" s="1501"/>
      <c r="R73" s="1500"/>
      <c r="S73" s="1500"/>
      <c r="T73" s="1502">
        <f>SUM(M73:S73)</f>
        <v>0</v>
      </c>
    </row>
    <row r="74" spans="1:20" ht="14.25" customHeight="1" x14ac:dyDescent="0.2">
      <c r="D74" s="1387"/>
      <c r="E74" s="1387"/>
      <c r="F74" s="1387"/>
      <c r="G74" s="1387"/>
      <c r="H74" s="1387"/>
      <c r="I74" s="1387"/>
      <c r="L74" s="36"/>
      <c r="M74" s="1511"/>
      <c r="N74" s="355"/>
      <c r="O74" s="1498"/>
      <c r="P74" s="1498"/>
      <c r="Q74" s="1498"/>
      <c r="R74" s="1499"/>
      <c r="S74" s="1499"/>
      <c r="T74" s="1502"/>
    </row>
    <row r="75" spans="1:20" ht="6" customHeight="1" x14ac:dyDescent="0.2">
      <c r="L75" s="36"/>
      <c r="M75" s="355"/>
      <c r="N75" s="355"/>
      <c r="O75" s="355"/>
      <c r="P75" s="355"/>
      <c r="Q75" s="355"/>
      <c r="R75" s="354"/>
      <c r="S75" s="354"/>
      <c r="T75" s="32"/>
    </row>
    <row r="76" spans="1:20" ht="14.25" customHeight="1" x14ac:dyDescent="0.2">
      <c r="C76" t="s">
        <v>120</v>
      </c>
      <c r="D76" s="1387" t="s">
        <v>400</v>
      </c>
      <c r="E76" s="1387"/>
      <c r="F76" s="1387"/>
      <c r="G76" s="1387"/>
      <c r="H76" s="1387"/>
      <c r="I76" s="1387"/>
      <c r="L76" s="77" t="s">
        <v>837</v>
      </c>
      <c r="M76" s="1498"/>
      <c r="N76" s="355"/>
      <c r="O76" s="1498"/>
      <c r="P76" s="1498"/>
      <c r="Q76" s="1498"/>
      <c r="R76" s="1499"/>
      <c r="S76" s="1499"/>
      <c r="T76" s="1502">
        <f>SUM(M76:S76)</f>
        <v>0</v>
      </c>
    </row>
    <row r="77" spans="1:20" ht="9.75" customHeight="1" x14ac:dyDescent="0.2">
      <c r="D77" s="1387"/>
      <c r="E77" s="1387"/>
      <c r="F77" s="1387"/>
      <c r="G77" s="1387"/>
      <c r="H77" s="1387"/>
      <c r="I77" s="1387"/>
      <c r="L77" s="77"/>
      <c r="M77" s="1498"/>
      <c r="N77" s="355"/>
      <c r="O77" s="1498"/>
      <c r="P77" s="1498"/>
      <c r="Q77" s="1498"/>
      <c r="R77" s="1499"/>
      <c r="S77" s="1499"/>
      <c r="T77" s="1502"/>
    </row>
    <row r="78" spans="1:20" ht="4.5" customHeight="1" x14ac:dyDescent="0.2">
      <c r="L78" s="65"/>
      <c r="M78" s="355"/>
      <c r="N78" s="355"/>
      <c r="O78" s="355"/>
      <c r="P78" s="355"/>
      <c r="Q78" s="355"/>
      <c r="R78" s="354"/>
      <c r="S78" s="354"/>
      <c r="T78" s="32">
        <f>SUM(M78:S78)</f>
        <v>0</v>
      </c>
    </row>
    <row r="79" spans="1:20" ht="12.75" customHeight="1" x14ac:dyDescent="0.2">
      <c r="C79" t="s">
        <v>277</v>
      </c>
      <c r="D79" s="1387" t="s">
        <v>401</v>
      </c>
      <c r="E79" s="1387"/>
      <c r="F79" s="1387"/>
      <c r="G79" s="1387"/>
      <c r="H79" s="1387"/>
      <c r="I79" s="1387"/>
      <c r="L79" s="77" t="s">
        <v>837</v>
      </c>
      <c r="M79" s="1498"/>
      <c r="N79" s="355"/>
      <c r="O79" s="1498"/>
      <c r="P79" s="1498"/>
      <c r="Q79" s="1498"/>
      <c r="R79" s="1499"/>
      <c r="S79" s="1499"/>
      <c r="T79" s="1502">
        <f>SUM(M79:S79)</f>
        <v>0</v>
      </c>
    </row>
    <row r="80" spans="1:20" ht="12.75" customHeight="1" x14ac:dyDescent="0.2">
      <c r="D80" s="1387"/>
      <c r="E80" s="1387"/>
      <c r="F80" s="1387"/>
      <c r="G80" s="1387"/>
      <c r="H80" s="1387"/>
      <c r="I80" s="1387"/>
      <c r="L80" s="77"/>
      <c r="M80" s="1498"/>
      <c r="N80" s="355"/>
      <c r="O80" s="1498"/>
      <c r="P80" s="1498"/>
      <c r="Q80" s="1498"/>
      <c r="R80" s="1499"/>
      <c r="S80" s="1499"/>
      <c r="T80" s="1502"/>
    </row>
    <row r="81" spans="1:23" ht="5.25" customHeight="1" x14ac:dyDescent="0.2">
      <c r="L81" s="36"/>
      <c r="M81" s="36"/>
      <c r="N81" s="36"/>
      <c r="O81" s="36"/>
      <c r="P81" s="36"/>
      <c r="Q81" s="36"/>
    </row>
    <row r="82" spans="1:23" x14ac:dyDescent="0.2">
      <c r="E82" t="s">
        <v>402</v>
      </c>
      <c r="L82" s="66">
        <f>L73</f>
        <v>0</v>
      </c>
      <c r="M82" s="73">
        <f>M73-(M76+M79)</f>
        <v>0</v>
      </c>
      <c r="N82" s="48"/>
      <c r="O82" s="73">
        <f t="shared" ref="O82:T82" si="0">O73-(O76+O79)</f>
        <v>0</v>
      </c>
      <c r="P82" s="73">
        <f t="shared" si="0"/>
        <v>0</v>
      </c>
      <c r="Q82" s="73">
        <f t="shared" si="0"/>
        <v>0</v>
      </c>
      <c r="R82" s="73">
        <f t="shared" si="0"/>
        <v>0</v>
      </c>
      <c r="S82" s="73">
        <f t="shared" si="0"/>
        <v>0</v>
      </c>
      <c r="T82" s="73">
        <f t="shared" si="0"/>
        <v>0</v>
      </c>
    </row>
    <row r="83" spans="1:23" ht="4.5" customHeight="1" x14ac:dyDescent="0.2">
      <c r="L83" s="36"/>
      <c r="M83" s="36"/>
      <c r="N83" s="36"/>
      <c r="O83" s="36"/>
      <c r="P83" s="36"/>
      <c r="Q83" s="36"/>
    </row>
    <row r="84" spans="1:23" ht="12.75" customHeight="1" x14ac:dyDescent="0.35">
      <c r="C84" t="s">
        <v>313</v>
      </c>
      <c r="D84" s="1402" t="s">
        <v>162</v>
      </c>
      <c r="E84" s="1402"/>
      <c r="F84" s="1402"/>
      <c r="G84" s="1402"/>
      <c r="H84" s="1402"/>
      <c r="I84" s="1402"/>
      <c r="L84" s="36"/>
      <c r="M84" s="1498"/>
      <c r="N84" s="355"/>
      <c r="O84" s="1498"/>
      <c r="P84" s="1498"/>
      <c r="Q84" s="1498"/>
      <c r="R84" s="1499"/>
      <c r="S84" s="1499"/>
      <c r="T84" s="1502">
        <f>SUM(M84:S84)</f>
        <v>0</v>
      </c>
      <c r="U84" s="1510" t="str">
        <f>IF(T84=T82," ","Recheck numbers for d. Entry out of balance.")</f>
        <v xml:space="preserve"> </v>
      </c>
      <c r="V84" s="1510"/>
      <c r="W84" s="1510"/>
    </row>
    <row r="85" spans="1:23" ht="40.5" customHeight="1" x14ac:dyDescent="0.35">
      <c r="D85" s="1402"/>
      <c r="E85" s="1402"/>
      <c r="F85" s="1402"/>
      <c r="G85" s="1402"/>
      <c r="H85" s="1402"/>
      <c r="I85" s="1402"/>
      <c r="L85" s="36"/>
      <c r="M85" s="1498"/>
      <c r="N85" s="355"/>
      <c r="O85" s="1498"/>
      <c r="P85" s="1498"/>
      <c r="Q85" s="1498"/>
      <c r="R85" s="1499"/>
      <c r="S85" s="1499"/>
      <c r="T85" s="1502"/>
      <c r="U85" s="122"/>
      <c r="V85" s="122"/>
      <c r="W85" s="122"/>
    </row>
    <row r="86" spans="1:23" ht="12.75" customHeight="1" x14ac:dyDescent="0.2">
      <c r="D86" s="68"/>
      <c r="E86" s="68"/>
      <c r="F86" s="68"/>
      <c r="G86" s="68"/>
      <c r="H86" s="68"/>
      <c r="I86" s="68"/>
      <c r="L86" s="36"/>
      <c r="M86" s="36"/>
      <c r="N86" s="36"/>
      <c r="O86" s="36"/>
      <c r="P86" s="36"/>
      <c r="Q86" s="36"/>
    </row>
    <row r="87" spans="1:23" ht="7.5" customHeight="1" x14ac:dyDescent="0.2"/>
    <row r="88" spans="1:23" ht="25.5" customHeight="1" x14ac:dyDescent="0.25">
      <c r="A88" s="4" t="s">
        <v>816</v>
      </c>
      <c r="B88" s="1494" t="s">
        <v>688</v>
      </c>
      <c r="C88" s="1495"/>
      <c r="D88" s="1495"/>
      <c r="E88" s="1495"/>
      <c r="F88" s="1495"/>
      <c r="G88" s="1495"/>
      <c r="H88" s="1495"/>
      <c r="I88" s="1495"/>
      <c r="J88" s="1495"/>
      <c r="K88" s="1495"/>
      <c r="L88" s="1495"/>
      <c r="M88" s="1495"/>
      <c r="N88" s="1495"/>
      <c r="O88" s="1495"/>
      <c r="P88" s="1495"/>
      <c r="Q88" s="1495"/>
      <c r="R88" s="1495"/>
      <c r="S88" s="1495"/>
      <c r="T88" s="1496"/>
    </row>
    <row r="89" spans="1:23" ht="5.25" customHeight="1" x14ac:dyDescent="0.2">
      <c r="C89" s="44"/>
      <c r="D89" s="44"/>
      <c r="E89" s="44"/>
      <c r="F89" s="1509"/>
      <c r="G89" s="1509"/>
      <c r="H89" s="1509"/>
      <c r="I89" s="44"/>
      <c r="N89" s="44"/>
    </row>
    <row r="90" spans="1:23" x14ac:dyDescent="0.2">
      <c r="O90" s="38" t="s">
        <v>717</v>
      </c>
      <c r="Q90" s="51" t="s">
        <v>316</v>
      </c>
      <c r="R90" s="379" t="s">
        <v>718</v>
      </c>
      <c r="S90" s="380" t="s">
        <v>718</v>
      </c>
    </row>
    <row r="91" spans="1:23" x14ac:dyDescent="0.2">
      <c r="B91" s="42"/>
      <c r="C91" s="4" t="s">
        <v>687</v>
      </c>
      <c r="L91" s="49" t="s">
        <v>826</v>
      </c>
      <c r="M91" s="49" t="s">
        <v>314</v>
      </c>
      <c r="N91" s="57"/>
      <c r="O91" s="49" t="s">
        <v>315</v>
      </c>
      <c r="P91" s="67" t="s">
        <v>824</v>
      </c>
      <c r="Q91" s="67" t="s">
        <v>317</v>
      </c>
      <c r="R91" s="381" t="s">
        <v>704</v>
      </c>
      <c r="S91" s="381" t="s">
        <v>705</v>
      </c>
      <c r="T91" s="67" t="s">
        <v>825</v>
      </c>
    </row>
    <row r="92" spans="1:23" ht="28.5" customHeight="1" x14ac:dyDescent="0.2">
      <c r="B92" s="42"/>
      <c r="C92" t="s">
        <v>118</v>
      </c>
      <c r="D92" s="1468" t="s">
        <v>399</v>
      </c>
      <c r="E92" s="1387"/>
      <c r="F92" s="1387"/>
      <c r="G92" s="1387"/>
      <c r="H92" s="1387"/>
      <c r="I92" s="1387"/>
      <c r="L92" s="344"/>
      <c r="M92" s="344"/>
      <c r="N92" s="355"/>
      <c r="O92" s="344"/>
      <c r="P92" s="344"/>
      <c r="Q92" s="344"/>
      <c r="R92" s="343"/>
      <c r="S92" s="343"/>
      <c r="T92" s="343"/>
    </row>
    <row r="93" spans="1:23" ht="2.25" customHeight="1" x14ac:dyDescent="0.2">
      <c r="B93" s="42"/>
      <c r="L93" s="36"/>
      <c r="M93" s="355"/>
      <c r="N93" s="355"/>
      <c r="O93" s="355"/>
      <c r="P93" s="355"/>
      <c r="Q93" s="355"/>
      <c r="R93" s="354"/>
      <c r="S93" s="354"/>
      <c r="T93" s="354"/>
    </row>
    <row r="94" spans="1:23" ht="30" customHeight="1" x14ac:dyDescent="0.2">
      <c r="C94" t="s">
        <v>120</v>
      </c>
      <c r="D94" s="1387" t="s">
        <v>400</v>
      </c>
      <c r="E94" s="1387"/>
      <c r="F94" s="1387"/>
      <c r="G94" s="1387"/>
      <c r="H94" s="1387"/>
      <c r="I94" s="1387"/>
      <c r="L94" s="77" t="s">
        <v>837</v>
      </c>
      <c r="M94" s="344"/>
      <c r="N94" s="355"/>
      <c r="O94" s="344"/>
      <c r="P94" s="344"/>
      <c r="Q94" s="344"/>
      <c r="R94" s="343"/>
      <c r="S94" s="343"/>
      <c r="T94" s="343"/>
    </row>
    <row r="95" spans="1:23" ht="2.25" customHeight="1" x14ac:dyDescent="0.2">
      <c r="L95" s="65"/>
      <c r="M95" s="355"/>
      <c r="N95" s="355"/>
      <c r="O95" s="355"/>
      <c r="P95" s="355"/>
      <c r="Q95" s="355"/>
      <c r="R95" s="354"/>
      <c r="S95" s="354"/>
      <c r="T95" s="354"/>
    </row>
    <row r="96" spans="1:23" ht="12.75" customHeight="1" x14ac:dyDescent="0.2">
      <c r="C96" t="s">
        <v>277</v>
      </c>
      <c r="D96" s="1387" t="s">
        <v>401</v>
      </c>
      <c r="E96" s="1387"/>
      <c r="F96" s="1387"/>
      <c r="G96" s="1387"/>
      <c r="H96" s="1387"/>
      <c r="I96" s="1387"/>
      <c r="L96" s="77" t="s">
        <v>837</v>
      </c>
      <c r="M96" s="1498"/>
      <c r="N96" s="355"/>
      <c r="O96" s="1498"/>
      <c r="P96" s="1498"/>
      <c r="Q96" s="1498"/>
      <c r="R96" s="1499"/>
      <c r="S96" s="1499"/>
      <c r="T96" s="1499"/>
    </row>
    <row r="97" spans="1:36" ht="12.75" customHeight="1" x14ac:dyDescent="0.2">
      <c r="D97" s="1387"/>
      <c r="E97" s="1387"/>
      <c r="F97" s="1387"/>
      <c r="G97" s="1387"/>
      <c r="H97" s="1387"/>
      <c r="I97" s="1387"/>
      <c r="L97" s="36"/>
      <c r="M97" s="1498"/>
      <c r="N97" s="355"/>
      <c r="O97" s="1498"/>
      <c r="P97" s="1498"/>
      <c r="Q97" s="1498"/>
      <c r="R97" s="1499"/>
      <c r="S97" s="1499"/>
      <c r="T97" s="1499"/>
    </row>
    <row r="98" spans="1:36" ht="2.25" customHeight="1" x14ac:dyDescent="0.2">
      <c r="L98" s="36"/>
      <c r="M98" s="36"/>
      <c r="N98" s="36"/>
      <c r="O98" s="36"/>
      <c r="P98" s="36"/>
      <c r="Q98" s="36"/>
    </row>
    <row r="99" spans="1:36" x14ac:dyDescent="0.2">
      <c r="E99" t="s">
        <v>498</v>
      </c>
      <c r="L99" s="73">
        <f>L92</f>
        <v>0</v>
      </c>
      <c r="M99" s="73">
        <f>M92-(M94+M96)</f>
        <v>0</v>
      </c>
      <c r="N99" s="48"/>
      <c r="O99" s="73">
        <f t="shared" ref="O99:T99" si="1">O92-(O94+O96)</f>
        <v>0</v>
      </c>
      <c r="P99" s="73">
        <f t="shared" si="1"/>
        <v>0</v>
      </c>
      <c r="Q99" s="73">
        <f t="shared" si="1"/>
        <v>0</v>
      </c>
      <c r="R99" s="73">
        <f t="shared" si="1"/>
        <v>0</v>
      </c>
      <c r="S99" s="73">
        <f t="shared" si="1"/>
        <v>0</v>
      </c>
      <c r="T99" s="73">
        <f t="shared" si="1"/>
        <v>0</v>
      </c>
    </row>
    <row r="100" spans="1:36" ht="4.5" customHeight="1" x14ac:dyDescent="0.2">
      <c r="L100" s="48"/>
      <c r="M100" s="47"/>
      <c r="N100" s="47"/>
      <c r="O100" s="47"/>
      <c r="P100" s="47"/>
      <c r="Q100" s="47"/>
      <c r="R100" s="31"/>
      <c r="S100" s="31"/>
      <c r="T100" s="31"/>
      <c r="U100" s="13"/>
      <c r="V100" s="13"/>
      <c r="W100" s="13"/>
      <c r="X100" s="13"/>
      <c r="Y100" s="13"/>
      <c r="Z100" s="13"/>
      <c r="AA100" s="13"/>
      <c r="AB100" s="13"/>
      <c r="AC100" s="13"/>
      <c r="AD100" s="13"/>
      <c r="AE100" s="13"/>
      <c r="AF100" s="13"/>
      <c r="AG100" s="13"/>
      <c r="AH100" s="13"/>
      <c r="AI100" s="13"/>
      <c r="AJ100" s="13"/>
    </row>
    <row r="101" spans="1:36" ht="12.75" customHeight="1" x14ac:dyDescent="0.2">
      <c r="C101" s="39" t="s">
        <v>313</v>
      </c>
      <c r="D101" s="1387" t="s">
        <v>278</v>
      </c>
      <c r="E101" s="1387"/>
      <c r="F101" s="1387"/>
      <c r="G101" s="1387"/>
      <c r="H101" s="1387"/>
      <c r="I101" s="1387"/>
      <c r="J101" s="1387"/>
      <c r="K101" s="1387"/>
      <c r="L101" s="48"/>
      <c r="M101" s="47"/>
      <c r="N101" s="47"/>
      <c r="O101" s="1511"/>
      <c r="P101" s="1512" t="s">
        <v>326</v>
      </c>
      <c r="Q101" s="1512"/>
      <c r="R101" s="1512"/>
      <c r="S101" s="1512"/>
      <c r="T101" s="423"/>
      <c r="U101" s="13"/>
      <c r="V101" s="13"/>
      <c r="W101" s="13"/>
      <c r="X101" s="13"/>
      <c r="Y101" s="13"/>
      <c r="Z101" s="13"/>
      <c r="AA101" s="13"/>
      <c r="AB101" s="13"/>
      <c r="AC101" s="13"/>
      <c r="AD101" s="13"/>
      <c r="AE101" s="13"/>
      <c r="AF101" s="13"/>
      <c r="AG101" s="13"/>
      <c r="AH101" s="13"/>
      <c r="AI101" s="13"/>
      <c r="AJ101" s="13"/>
    </row>
    <row r="102" spans="1:36" ht="12.75" customHeight="1" x14ac:dyDescent="0.2">
      <c r="D102" s="1387"/>
      <c r="E102" s="1387"/>
      <c r="F102" s="1387"/>
      <c r="G102" s="1387"/>
      <c r="H102" s="1387"/>
      <c r="I102" s="1387"/>
      <c r="J102" s="1387"/>
      <c r="K102" s="1387"/>
      <c r="O102" s="1511"/>
      <c r="P102" s="1512"/>
      <c r="Q102" s="1512"/>
      <c r="R102" s="1512"/>
      <c r="S102" s="1512"/>
      <c r="T102" s="423"/>
    </row>
    <row r="103" spans="1:36" ht="12.75" customHeight="1" x14ac:dyDescent="0.2">
      <c r="D103" s="1387"/>
      <c r="E103" s="1387"/>
      <c r="F103" s="1387"/>
      <c r="G103" s="1387"/>
      <c r="H103" s="1387"/>
      <c r="I103" s="1387"/>
      <c r="J103" s="1387"/>
      <c r="K103" s="1387"/>
      <c r="O103" s="1511"/>
      <c r="P103" s="1512"/>
      <c r="Q103" s="1512"/>
      <c r="R103" s="1512"/>
      <c r="S103" s="1512"/>
      <c r="T103" s="423"/>
    </row>
    <row r="104" spans="1:36" ht="3.75" customHeight="1" x14ac:dyDescent="0.2"/>
    <row r="105" spans="1:36" ht="15" x14ac:dyDescent="0.2">
      <c r="E105" s="120" t="s">
        <v>689</v>
      </c>
      <c r="F105" s="2" t="s">
        <v>561</v>
      </c>
    </row>
    <row r="106" spans="1:36" ht="5.25" customHeight="1" x14ac:dyDescent="0.2"/>
    <row r="107" spans="1:36" ht="25.5" customHeight="1" x14ac:dyDescent="0.2">
      <c r="A107" s="4" t="s">
        <v>822</v>
      </c>
      <c r="B107" s="1494" t="s">
        <v>238</v>
      </c>
      <c r="C107" s="1495"/>
      <c r="D107" s="1495"/>
      <c r="E107" s="1495"/>
      <c r="F107" s="1495"/>
      <c r="G107" s="1495"/>
      <c r="H107" s="1495"/>
      <c r="I107" s="1495"/>
      <c r="J107" s="1495"/>
      <c r="K107" s="1495"/>
      <c r="L107" s="1495"/>
      <c r="M107" s="1495"/>
      <c r="N107" s="1495"/>
      <c r="O107" s="1495"/>
      <c r="P107" s="1495"/>
      <c r="Q107" s="1495"/>
      <c r="R107" s="1495"/>
      <c r="S107" s="1495"/>
      <c r="T107" s="1496"/>
    </row>
    <row r="108" spans="1:36" ht="3" customHeight="1" x14ac:dyDescent="0.2"/>
    <row r="109" spans="1:36" x14ac:dyDescent="0.2">
      <c r="O109" s="38" t="s">
        <v>717</v>
      </c>
      <c r="Q109" s="51" t="s">
        <v>316</v>
      </c>
      <c r="R109" s="379" t="s">
        <v>718</v>
      </c>
      <c r="S109" s="380" t="s">
        <v>718</v>
      </c>
    </row>
    <row r="110" spans="1:36" x14ac:dyDescent="0.2">
      <c r="C110" s="4" t="s">
        <v>237</v>
      </c>
      <c r="L110" s="49" t="s">
        <v>826</v>
      </c>
      <c r="M110" s="49" t="s">
        <v>314</v>
      </c>
      <c r="N110" s="57"/>
      <c r="O110" s="49" t="s">
        <v>315</v>
      </c>
      <c r="P110" s="67" t="s">
        <v>824</v>
      </c>
      <c r="Q110" s="67" t="s">
        <v>317</v>
      </c>
      <c r="R110" s="381" t="s">
        <v>704</v>
      </c>
      <c r="S110" s="381" t="s">
        <v>705</v>
      </c>
      <c r="T110" s="67" t="s">
        <v>825</v>
      </c>
    </row>
    <row r="111" spans="1:36" ht="12.75" customHeight="1" x14ac:dyDescent="0.2">
      <c r="C111" t="s">
        <v>118</v>
      </c>
      <c r="D111" s="1387" t="s">
        <v>887</v>
      </c>
      <c r="E111" s="1387"/>
      <c r="F111" s="1387"/>
      <c r="G111" s="1387"/>
      <c r="H111" s="1387"/>
      <c r="I111" s="1387"/>
      <c r="L111" s="1501"/>
      <c r="M111" s="1501"/>
      <c r="N111" s="355"/>
      <c r="O111" s="1501"/>
      <c r="P111" s="1501"/>
      <c r="Q111" s="1501"/>
      <c r="R111" s="1500"/>
      <c r="S111" s="1500"/>
      <c r="T111" s="1500"/>
    </row>
    <row r="112" spans="1:36" ht="12" customHeight="1" x14ac:dyDescent="0.2">
      <c r="D112" s="1387"/>
      <c r="E112" s="1387"/>
      <c r="F112" s="1387"/>
      <c r="G112" s="1387"/>
      <c r="H112" s="1387"/>
      <c r="I112" s="1387"/>
      <c r="L112" s="1498"/>
      <c r="M112" s="1498"/>
      <c r="N112" s="355"/>
      <c r="O112" s="1498"/>
      <c r="P112" s="1498"/>
      <c r="Q112" s="1498"/>
      <c r="R112" s="1499"/>
      <c r="S112" s="1499"/>
      <c r="T112" s="1499"/>
    </row>
    <row r="113" spans="1:20" ht="2.25" customHeight="1" x14ac:dyDescent="0.2">
      <c r="D113" s="34"/>
      <c r="E113" s="34"/>
      <c r="F113" s="34"/>
      <c r="G113" s="34"/>
      <c r="H113" s="34"/>
      <c r="I113" s="34"/>
      <c r="L113" s="424"/>
      <c r="M113" s="424"/>
      <c r="N113" s="355"/>
      <c r="O113" s="424"/>
      <c r="P113" s="424"/>
      <c r="Q113" s="424"/>
      <c r="R113" s="375"/>
      <c r="S113" s="375"/>
      <c r="T113" s="375"/>
    </row>
    <row r="114" spans="1:20" ht="15.75" customHeight="1" x14ac:dyDescent="0.2">
      <c r="C114" s="39" t="s">
        <v>120</v>
      </c>
      <c r="D114" s="1387" t="s">
        <v>31</v>
      </c>
      <c r="E114" s="1387"/>
      <c r="F114" s="1387"/>
      <c r="G114" s="1387"/>
      <c r="H114" s="1387"/>
      <c r="I114" s="1387"/>
      <c r="J114" s="1387"/>
      <c r="L114" s="424"/>
      <c r="M114" s="424"/>
      <c r="N114" s="355"/>
      <c r="O114" s="344"/>
      <c r="P114" s="424"/>
      <c r="Q114" s="424"/>
      <c r="R114" s="375"/>
      <c r="S114" s="375"/>
      <c r="T114" s="375"/>
    </row>
    <row r="115" spans="1:20" ht="3" customHeight="1" x14ac:dyDescent="0.2">
      <c r="D115" s="34"/>
      <c r="E115" s="34"/>
      <c r="F115" s="34"/>
      <c r="G115" s="34"/>
      <c r="H115" s="34"/>
      <c r="I115" s="34"/>
      <c r="L115" s="36"/>
      <c r="M115" s="36"/>
      <c r="N115" s="36"/>
      <c r="O115" s="36"/>
      <c r="P115" s="36"/>
      <c r="Q115" s="36"/>
    </row>
    <row r="116" spans="1:20" ht="12" customHeight="1" x14ac:dyDescent="0.2">
      <c r="C116" s="39" t="s">
        <v>277</v>
      </c>
      <c r="D116" s="1387" t="s">
        <v>32</v>
      </c>
      <c r="E116" s="1387"/>
      <c r="F116" s="1387"/>
      <c r="G116" s="1387"/>
      <c r="H116" s="1387"/>
      <c r="I116" s="1387"/>
      <c r="J116" s="1387"/>
      <c r="K116" s="1387"/>
      <c r="L116" s="36"/>
      <c r="M116" s="36"/>
      <c r="N116" s="36"/>
      <c r="O116" s="1498"/>
      <c r="P116" s="1512" t="s">
        <v>279</v>
      </c>
      <c r="Q116" s="1512"/>
      <c r="R116" s="1512"/>
      <c r="S116" s="1512"/>
      <c r="T116" s="423"/>
    </row>
    <row r="117" spans="1:20" ht="12" customHeight="1" x14ac:dyDescent="0.2">
      <c r="D117" s="1387"/>
      <c r="E117" s="1387"/>
      <c r="F117" s="1387"/>
      <c r="G117" s="1387"/>
      <c r="H117" s="1387"/>
      <c r="I117" s="1387"/>
      <c r="J117" s="1387"/>
      <c r="K117" s="1387"/>
      <c r="L117" s="36"/>
      <c r="M117" s="36"/>
      <c r="N117" s="36"/>
      <c r="O117" s="1498"/>
      <c r="P117" s="1512"/>
      <c r="Q117" s="1512"/>
      <c r="R117" s="1512"/>
      <c r="S117" s="1512"/>
      <c r="T117" s="423"/>
    </row>
    <row r="118" spans="1:20" ht="12" customHeight="1" x14ac:dyDescent="0.2">
      <c r="D118" s="1387"/>
      <c r="E118" s="1387"/>
      <c r="F118" s="1387"/>
      <c r="G118" s="1387"/>
      <c r="H118" s="1387"/>
      <c r="I118" s="1387"/>
      <c r="J118" s="1387"/>
      <c r="K118" s="1387"/>
      <c r="L118" s="36"/>
      <c r="M118" s="36"/>
      <c r="N118" s="36"/>
      <c r="O118" s="1498"/>
      <c r="P118" s="1512"/>
      <c r="Q118" s="1512"/>
      <c r="R118" s="1512"/>
      <c r="S118" s="1512"/>
      <c r="T118" s="423"/>
    </row>
    <row r="119" spans="1:20" ht="7.5" customHeight="1" x14ac:dyDescent="0.2">
      <c r="D119" s="34"/>
      <c r="E119" s="34"/>
      <c r="F119" s="34"/>
      <c r="G119" s="34"/>
      <c r="H119" s="34"/>
      <c r="I119" s="34"/>
      <c r="L119" s="36"/>
      <c r="M119" s="36"/>
      <c r="N119" s="36"/>
      <c r="O119" s="36"/>
      <c r="P119" s="36"/>
      <c r="Q119" s="36"/>
    </row>
    <row r="120" spans="1:20" ht="25.5" customHeight="1" x14ac:dyDescent="0.2">
      <c r="A120" s="4" t="s">
        <v>838</v>
      </c>
      <c r="B120" s="1473" t="s">
        <v>396</v>
      </c>
      <c r="C120" s="1474"/>
      <c r="D120" s="1474"/>
      <c r="E120" s="1474"/>
      <c r="F120" s="1474"/>
      <c r="G120" s="1474"/>
      <c r="H120" s="1474"/>
      <c r="I120" s="1474"/>
      <c r="J120" s="1474"/>
      <c r="K120" s="1474"/>
      <c r="L120" s="1474"/>
      <c r="M120" s="1474"/>
      <c r="N120" s="1474"/>
      <c r="O120" s="1474"/>
      <c r="P120" s="1474"/>
      <c r="Q120" s="1474"/>
      <c r="R120" s="1474"/>
      <c r="S120" s="1474"/>
      <c r="T120" s="1475"/>
    </row>
    <row r="121" spans="1:20" ht="4.5" customHeight="1" x14ac:dyDescent="0.2">
      <c r="L121" s="36"/>
      <c r="M121" s="36"/>
      <c r="N121" s="36"/>
      <c r="O121" s="36"/>
      <c r="P121" s="36"/>
      <c r="Q121" s="36"/>
    </row>
    <row r="122" spans="1:20" x14ac:dyDescent="0.2">
      <c r="B122" s="39" t="s">
        <v>521</v>
      </c>
      <c r="C122" s="1387" t="s">
        <v>354</v>
      </c>
      <c r="D122" s="1387"/>
      <c r="E122" s="1387"/>
      <c r="F122" s="1387"/>
      <c r="G122" s="1387"/>
      <c r="H122" s="1387"/>
      <c r="I122" s="1387"/>
      <c r="J122" s="1387"/>
      <c r="K122" s="1387"/>
      <c r="L122" s="36"/>
      <c r="M122" s="1498">
        <v>0</v>
      </c>
      <c r="N122" s="36"/>
      <c r="O122" s="36"/>
      <c r="P122" s="36"/>
      <c r="Q122" s="36"/>
    </row>
    <row r="123" spans="1:20" x14ac:dyDescent="0.2">
      <c r="C123" s="1387"/>
      <c r="D123" s="1387"/>
      <c r="E123" s="1387"/>
      <c r="F123" s="1387"/>
      <c r="G123" s="1387"/>
      <c r="H123" s="1387"/>
      <c r="I123" s="1387"/>
      <c r="J123" s="1387"/>
      <c r="K123" s="1387"/>
      <c r="L123" s="36"/>
      <c r="M123" s="1498"/>
      <c r="N123" s="36"/>
      <c r="O123" s="36"/>
      <c r="P123" s="36"/>
      <c r="Q123" s="36"/>
    </row>
    <row r="124" spans="1:20" ht="3.75" customHeight="1" x14ac:dyDescent="0.2">
      <c r="L124" s="36"/>
      <c r="M124" s="36"/>
      <c r="N124" s="36"/>
      <c r="O124" s="36"/>
      <c r="P124" s="36"/>
      <c r="Q124" s="36"/>
    </row>
    <row r="125" spans="1:20" x14ac:dyDescent="0.2">
      <c r="B125" s="39" t="s">
        <v>522</v>
      </c>
      <c r="C125" t="s">
        <v>510</v>
      </c>
      <c r="L125" s="36"/>
      <c r="M125" s="36"/>
      <c r="N125" s="36"/>
      <c r="O125" s="36"/>
      <c r="P125" s="36"/>
      <c r="Q125" s="36"/>
    </row>
    <row r="126" spans="1:20" x14ac:dyDescent="0.2">
      <c r="H126" t="s">
        <v>1009</v>
      </c>
      <c r="L126" s="36"/>
      <c r="M126" s="344">
        <v>0</v>
      </c>
      <c r="N126" s="36"/>
      <c r="O126" s="36"/>
      <c r="P126" s="36"/>
      <c r="Q126" s="36"/>
    </row>
    <row r="127" spans="1:20" x14ac:dyDescent="0.2">
      <c r="H127" t="s">
        <v>1010</v>
      </c>
      <c r="L127" s="36"/>
      <c r="M127" s="344">
        <v>0</v>
      </c>
      <c r="N127" s="36"/>
      <c r="O127" s="36"/>
      <c r="P127" s="36"/>
      <c r="Q127" s="36"/>
    </row>
    <row r="128" spans="1:20" x14ac:dyDescent="0.2">
      <c r="H128" t="s">
        <v>831</v>
      </c>
      <c r="L128" s="36"/>
      <c r="M128" s="344">
        <v>0</v>
      </c>
      <c r="N128" s="36"/>
      <c r="O128" s="36"/>
      <c r="P128" s="36"/>
      <c r="Q128" s="36"/>
    </row>
    <row r="129" spans="1:20" x14ac:dyDescent="0.2">
      <c r="H129" t="s">
        <v>820</v>
      </c>
      <c r="L129" s="36"/>
      <c r="M129" s="344">
        <v>0</v>
      </c>
      <c r="N129" s="36"/>
      <c r="O129" s="36"/>
      <c r="P129" s="36"/>
      <c r="Q129" s="36"/>
    </row>
    <row r="130" spans="1:20" x14ac:dyDescent="0.2">
      <c r="H130" t="s">
        <v>205</v>
      </c>
      <c r="L130" s="36"/>
      <c r="M130" s="344">
        <v>0</v>
      </c>
      <c r="N130" s="36"/>
      <c r="O130" s="36"/>
      <c r="P130" s="36"/>
      <c r="Q130" s="36"/>
    </row>
    <row r="131" spans="1:20" x14ac:dyDescent="0.2">
      <c r="H131" t="s">
        <v>511</v>
      </c>
      <c r="L131" s="36"/>
      <c r="M131" s="344">
        <v>0</v>
      </c>
      <c r="N131" s="36"/>
      <c r="O131" s="36"/>
      <c r="P131" s="36"/>
      <c r="Q131" s="36"/>
    </row>
    <row r="132" spans="1:20" x14ac:dyDescent="0.2">
      <c r="H132" t="s">
        <v>174</v>
      </c>
      <c r="L132" s="36"/>
      <c r="M132" s="344">
        <v>0</v>
      </c>
      <c r="N132" s="36"/>
      <c r="O132" s="1497" t="str">
        <f>IF(M134=M122," ","Recheck numbers. Entry does not balance.")</f>
        <v xml:space="preserve"> </v>
      </c>
      <c r="P132" s="36"/>
      <c r="Q132" s="36"/>
    </row>
    <row r="133" spans="1:20" x14ac:dyDescent="0.2">
      <c r="H133" s="354" t="s">
        <v>740</v>
      </c>
      <c r="L133" s="36"/>
      <c r="M133" s="344">
        <v>0</v>
      </c>
      <c r="N133" s="36"/>
      <c r="O133" s="1497"/>
      <c r="P133" s="36"/>
      <c r="Q133" s="36"/>
    </row>
    <row r="134" spans="1:20" ht="13.5" thickBot="1" x14ac:dyDescent="0.25">
      <c r="M134" s="80">
        <f>SUM(M126:M133)</f>
        <v>0</v>
      </c>
      <c r="O134" s="1497"/>
    </row>
    <row r="135" spans="1:20" ht="13.5" thickTop="1" x14ac:dyDescent="0.2"/>
    <row r="136" spans="1:20" ht="25.5" customHeight="1" x14ac:dyDescent="0.2">
      <c r="A136" s="4" t="s">
        <v>729</v>
      </c>
      <c r="B136" s="1473" t="s">
        <v>753</v>
      </c>
      <c r="C136" s="1474"/>
      <c r="D136" s="1474"/>
      <c r="E136" s="1474"/>
      <c r="F136" s="1474"/>
      <c r="G136" s="1474"/>
      <c r="H136" s="1474"/>
      <c r="I136" s="1474"/>
      <c r="J136" s="1474"/>
      <c r="K136" s="1474"/>
      <c r="L136" s="1474"/>
      <c r="M136" s="1474"/>
      <c r="N136" s="1474"/>
      <c r="O136" s="1474"/>
      <c r="P136" s="1474"/>
      <c r="Q136" s="1474"/>
      <c r="R136" s="1474"/>
      <c r="S136" s="1474"/>
      <c r="T136" s="1475"/>
    </row>
    <row r="137" spans="1:20" ht="6.75" customHeight="1" x14ac:dyDescent="0.2">
      <c r="M137" s="10"/>
      <c r="N137" s="428"/>
    </row>
    <row r="138" spans="1:20" x14ac:dyDescent="0.2">
      <c r="B138" s="1387" t="s">
        <v>0</v>
      </c>
      <c r="C138" s="1387"/>
      <c r="D138" s="1387"/>
      <c r="E138" s="1387"/>
      <c r="F138" s="1387"/>
      <c r="G138" s="1387"/>
      <c r="H138" s="1387"/>
      <c r="I138" s="1387"/>
      <c r="J138" s="1387"/>
      <c r="K138" s="1387"/>
      <c r="L138" s="1387"/>
      <c r="M138" s="1387"/>
      <c r="N138" s="1387"/>
      <c r="O138" s="1387"/>
      <c r="P138" s="1387"/>
      <c r="Q138" s="1387"/>
      <c r="R138" s="1387"/>
      <c r="S138" s="1387"/>
      <c r="T138" s="1387"/>
    </row>
    <row r="139" spans="1:20" x14ac:dyDescent="0.2">
      <c r="B139" s="1387"/>
      <c r="C139" s="1387"/>
      <c r="D139" s="1387"/>
      <c r="E139" s="1387"/>
      <c r="F139" s="1387"/>
      <c r="G139" s="1387"/>
      <c r="H139" s="1387"/>
      <c r="I139" s="1387"/>
      <c r="J139" s="1387"/>
      <c r="K139" s="1387"/>
      <c r="L139" s="1387"/>
      <c r="M139" s="1387"/>
      <c r="N139" s="1387"/>
      <c r="O139" s="1387"/>
      <c r="P139" s="1387"/>
      <c r="Q139" s="1387"/>
      <c r="R139" s="1387"/>
      <c r="S139" s="1387"/>
      <c r="T139" s="1387"/>
    </row>
    <row r="140" spans="1:20" x14ac:dyDescent="0.2">
      <c r="B140" s="1387"/>
      <c r="C140" s="1387"/>
      <c r="D140" s="1387"/>
      <c r="E140" s="1387"/>
      <c r="F140" s="1387"/>
      <c r="G140" s="1387"/>
      <c r="H140" s="1387"/>
      <c r="I140" s="1387"/>
      <c r="J140" s="1387"/>
      <c r="K140" s="1387"/>
      <c r="L140" s="1387"/>
      <c r="M140" s="1387"/>
      <c r="N140" s="1387"/>
      <c r="O140" s="1387"/>
      <c r="P140" s="1387"/>
      <c r="Q140" s="1387"/>
      <c r="R140" s="1387"/>
      <c r="S140" s="1387"/>
      <c r="T140" s="1387"/>
    </row>
    <row r="141" spans="1:20" x14ac:dyDescent="0.2">
      <c r="B141" s="1387"/>
      <c r="C141" s="1387"/>
      <c r="D141" s="1387"/>
      <c r="E141" s="1387"/>
      <c r="F141" s="1387"/>
      <c r="G141" s="1387"/>
      <c r="H141" s="1387"/>
      <c r="I141" s="1387"/>
      <c r="J141" s="1387"/>
      <c r="K141" s="1387"/>
      <c r="L141" s="1387"/>
      <c r="M141" s="1387"/>
      <c r="N141" s="1387"/>
      <c r="O141" s="1387"/>
      <c r="P141" s="1387"/>
      <c r="Q141" s="1387"/>
      <c r="R141" s="1387"/>
      <c r="S141" s="1387"/>
      <c r="T141" s="1387"/>
    </row>
    <row r="142" spans="1:20" x14ac:dyDescent="0.2">
      <c r="B142" s="1387"/>
      <c r="C142" s="1387"/>
      <c r="D142" s="1387"/>
      <c r="E142" s="1387"/>
      <c r="F142" s="1387"/>
      <c r="G142" s="1387"/>
      <c r="H142" s="1387"/>
      <c r="I142" s="1387"/>
      <c r="J142" s="1387"/>
      <c r="K142" s="1387"/>
      <c r="L142" s="1387"/>
      <c r="M142" s="1387"/>
      <c r="N142" s="1387"/>
      <c r="O142" s="1387"/>
      <c r="P142" s="1387"/>
      <c r="Q142" s="1387"/>
      <c r="R142" s="1387"/>
      <c r="S142" s="1387"/>
      <c r="T142" s="1387"/>
    </row>
    <row r="143" spans="1:20" ht="6.75" customHeight="1" x14ac:dyDescent="0.2">
      <c r="M143" s="10"/>
      <c r="N143" s="428"/>
    </row>
    <row r="144" spans="1:20" ht="12" customHeight="1" x14ac:dyDescent="0.2">
      <c r="B144" s="1387" t="s">
        <v>1</v>
      </c>
      <c r="C144" s="1387"/>
      <c r="D144" s="1387"/>
      <c r="E144" s="1387"/>
      <c r="F144" s="1387"/>
      <c r="G144" s="1387"/>
      <c r="H144" s="1387"/>
      <c r="I144" s="1387"/>
      <c r="J144" s="1387"/>
      <c r="K144" s="1387"/>
      <c r="L144" s="1387"/>
      <c r="M144" s="1387"/>
      <c r="N144" s="1387"/>
      <c r="O144" s="1387"/>
      <c r="P144" s="1387"/>
      <c r="Q144" s="1387"/>
      <c r="R144" s="1387"/>
      <c r="S144" s="1387"/>
      <c r="T144" s="1387"/>
    </row>
    <row r="145" spans="2:20" ht="12" customHeight="1" x14ac:dyDescent="0.2">
      <c r="B145" s="1387"/>
      <c r="C145" s="1387"/>
      <c r="D145" s="1387"/>
      <c r="E145" s="1387"/>
      <c r="F145" s="1387"/>
      <c r="G145" s="1387"/>
      <c r="H145" s="1387"/>
      <c r="I145" s="1387"/>
      <c r="J145" s="1387"/>
      <c r="K145" s="1387"/>
      <c r="L145" s="1387"/>
      <c r="M145" s="1387"/>
      <c r="N145" s="1387"/>
      <c r="O145" s="1387"/>
      <c r="P145" s="1387"/>
      <c r="Q145" s="1387"/>
      <c r="R145" s="1387"/>
      <c r="S145" s="1387"/>
      <c r="T145" s="1387"/>
    </row>
    <row r="146" spans="2:20" ht="12" customHeight="1" x14ac:dyDescent="0.2">
      <c r="M146" s="10"/>
      <c r="N146" s="428"/>
    </row>
    <row r="147" spans="2:20" x14ac:dyDescent="0.2">
      <c r="B147" s="64" t="s">
        <v>521</v>
      </c>
      <c r="C147" s="1389" t="s">
        <v>2</v>
      </c>
      <c r="D147" s="1389"/>
      <c r="E147" s="1389"/>
      <c r="F147" s="1389"/>
      <c r="G147" s="1389"/>
      <c r="H147" s="1389"/>
      <c r="I147" s="1389"/>
      <c r="J147" s="1389"/>
      <c r="O147" s="38" t="s">
        <v>717</v>
      </c>
      <c r="P147" s="38" t="s">
        <v>29</v>
      </c>
      <c r="Q147" s="51" t="s">
        <v>3</v>
      </c>
      <c r="R147" s="379" t="s">
        <v>718</v>
      </c>
      <c r="S147" s="380" t="s">
        <v>718</v>
      </c>
    </row>
    <row r="148" spans="2:20" ht="13.5" customHeight="1" x14ac:dyDescent="0.2">
      <c r="C148" s="1389"/>
      <c r="D148" s="1389"/>
      <c r="E148" s="1389"/>
      <c r="F148" s="1389"/>
      <c r="G148" s="1389"/>
      <c r="H148" s="1389"/>
      <c r="I148" s="1389"/>
      <c r="J148" s="1389"/>
      <c r="L148" s="49" t="s">
        <v>826</v>
      </c>
      <c r="M148" s="49" t="s">
        <v>827</v>
      </c>
      <c r="O148" s="49" t="s">
        <v>846</v>
      </c>
      <c r="P148" s="67" t="s">
        <v>30</v>
      </c>
      <c r="Q148" s="67" t="s">
        <v>317</v>
      </c>
      <c r="R148" s="381" t="s">
        <v>704</v>
      </c>
      <c r="S148" s="381" t="s">
        <v>705</v>
      </c>
      <c r="T148" s="67" t="s">
        <v>825</v>
      </c>
    </row>
    <row r="149" spans="2:20" x14ac:dyDescent="0.2">
      <c r="C149" s="45" t="s">
        <v>118</v>
      </c>
      <c r="D149" s="1387" t="s">
        <v>4</v>
      </c>
      <c r="E149" s="1387"/>
      <c r="F149" s="1387"/>
      <c r="G149" s="1387"/>
      <c r="H149" s="1387"/>
      <c r="I149" s="1387"/>
      <c r="J149" s="1387"/>
      <c r="L149" s="1501"/>
      <c r="M149" s="1501"/>
      <c r="O149" s="1501"/>
      <c r="P149" s="1501"/>
      <c r="Q149" s="1501"/>
      <c r="R149" s="1500"/>
      <c r="S149" s="1500"/>
      <c r="T149" s="1500"/>
    </row>
    <row r="150" spans="2:20" x14ac:dyDescent="0.2">
      <c r="C150" s="45"/>
      <c r="D150" s="1387"/>
      <c r="E150" s="1387"/>
      <c r="F150" s="1387"/>
      <c r="G150" s="1387"/>
      <c r="H150" s="1387"/>
      <c r="I150" s="1387"/>
      <c r="J150" s="1387"/>
      <c r="L150" s="1498"/>
      <c r="M150" s="1498"/>
      <c r="O150" s="1498"/>
      <c r="P150" s="1498"/>
      <c r="Q150" s="1498"/>
      <c r="R150" s="1499"/>
      <c r="S150" s="1499"/>
      <c r="T150" s="1499"/>
    </row>
    <row r="151" spans="2:20" ht="6" customHeight="1" x14ac:dyDescent="0.2">
      <c r="C151" s="45"/>
      <c r="L151" s="36"/>
      <c r="M151" s="36"/>
      <c r="O151" s="36"/>
      <c r="P151" s="36"/>
      <c r="Q151" s="36"/>
    </row>
    <row r="152" spans="2:20" x14ac:dyDescent="0.2">
      <c r="C152" s="45" t="s">
        <v>120</v>
      </c>
      <c r="D152" s="1387" t="s">
        <v>5</v>
      </c>
      <c r="E152" s="1387"/>
      <c r="F152" s="1387"/>
      <c r="G152" s="1387"/>
      <c r="H152" s="1387"/>
      <c r="I152" s="1387"/>
      <c r="J152" s="1387"/>
      <c r="L152" s="77" t="s">
        <v>837</v>
      </c>
      <c r="M152" s="1498"/>
      <c r="O152" s="1498"/>
      <c r="P152" s="1498"/>
      <c r="Q152" s="1498"/>
      <c r="R152" s="1498"/>
      <c r="S152" s="1498"/>
      <c r="T152" s="1498"/>
    </row>
    <row r="153" spans="2:20" x14ac:dyDescent="0.2">
      <c r="C153" s="45"/>
      <c r="D153" s="1387"/>
      <c r="E153" s="1387"/>
      <c r="F153" s="1387"/>
      <c r="G153" s="1387"/>
      <c r="H153" s="1387"/>
      <c r="I153" s="1387"/>
      <c r="J153" s="1387"/>
      <c r="L153" s="77"/>
      <c r="M153" s="1498"/>
      <c r="O153" s="1498"/>
      <c r="P153" s="1498"/>
      <c r="Q153" s="1498"/>
      <c r="R153" s="1498"/>
      <c r="S153" s="1498"/>
      <c r="T153" s="1498"/>
    </row>
    <row r="154" spans="2:20" ht="6" customHeight="1" x14ac:dyDescent="0.2">
      <c r="C154" s="45"/>
      <c r="L154" s="65"/>
      <c r="M154" s="36"/>
      <c r="O154" s="36"/>
      <c r="P154" s="36"/>
      <c r="Q154" s="36"/>
      <c r="R154" s="36"/>
      <c r="S154" s="36"/>
    </row>
    <row r="155" spans="2:20" x14ac:dyDescent="0.2">
      <c r="C155" s="45" t="s">
        <v>277</v>
      </c>
      <c r="D155" s="1387" t="s">
        <v>6</v>
      </c>
      <c r="E155" s="1387"/>
      <c r="F155" s="1387"/>
      <c r="G155" s="1387"/>
      <c r="H155" s="1387"/>
      <c r="I155" s="1387"/>
      <c r="J155" s="1387"/>
      <c r="L155" s="77" t="s">
        <v>837</v>
      </c>
      <c r="M155" s="1498"/>
      <c r="O155" s="1498"/>
      <c r="P155" s="1498"/>
      <c r="Q155" s="1498"/>
      <c r="R155" s="1498"/>
      <c r="S155" s="1498"/>
      <c r="T155" s="1498"/>
    </row>
    <row r="156" spans="2:20" x14ac:dyDescent="0.2">
      <c r="C156" s="45"/>
      <c r="D156" s="1387"/>
      <c r="E156" s="1387"/>
      <c r="F156" s="1387"/>
      <c r="G156" s="1387"/>
      <c r="H156" s="1387"/>
      <c r="I156" s="1387"/>
      <c r="J156" s="1387"/>
      <c r="L156" s="77"/>
      <c r="M156" s="1498"/>
      <c r="O156" s="1498"/>
      <c r="P156" s="1498"/>
      <c r="Q156" s="1498"/>
      <c r="R156" s="1498"/>
      <c r="S156" s="1498"/>
      <c r="T156" s="1498"/>
    </row>
    <row r="157" spans="2:20" ht="6" customHeight="1" x14ac:dyDescent="0.2">
      <c r="C157" s="45"/>
      <c r="L157" s="36"/>
      <c r="M157" s="36"/>
      <c r="O157" s="36"/>
      <c r="P157" s="36"/>
      <c r="Q157" s="36"/>
    </row>
    <row r="158" spans="2:20" x14ac:dyDescent="0.2">
      <c r="C158" s="45"/>
      <c r="E158" t="s">
        <v>7</v>
      </c>
      <c r="L158" s="73">
        <f>L149</f>
        <v>0</v>
      </c>
      <c r="M158" s="73">
        <f>M149-(M152+M155)</f>
        <v>0</v>
      </c>
      <c r="O158" s="73">
        <f>O149-(O152+O155)</f>
        <v>0</v>
      </c>
      <c r="P158" s="73">
        <f>P149-(P152+P155)</f>
        <v>0</v>
      </c>
      <c r="Q158" s="73">
        <f>Q149-(Q152+Q155)</f>
        <v>0</v>
      </c>
      <c r="R158" s="74"/>
      <c r="S158" s="74"/>
      <c r="T158" s="74"/>
    </row>
    <row r="159" spans="2:20" ht="6.75" customHeight="1" x14ac:dyDescent="0.2">
      <c r="C159" s="45"/>
      <c r="L159" s="36"/>
      <c r="M159" s="36"/>
      <c r="N159" s="36"/>
      <c r="O159" s="36"/>
      <c r="P159" s="36"/>
    </row>
    <row r="160" spans="2:20" x14ac:dyDescent="0.2">
      <c r="B160" s="64" t="s">
        <v>522</v>
      </c>
      <c r="C160" s="1402" t="s">
        <v>757</v>
      </c>
      <c r="D160" s="1402"/>
      <c r="E160" s="1402"/>
      <c r="F160" s="1402"/>
      <c r="G160" s="1402"/>
      <c r="H160" s="1402"/>
      <c r="I160" s="1402"/>
      <c r="J160" s="1402"/>
      <c r="L160" s="1498"/>
      <c r="M160" s="36"/>
      <c r="N160" s="36"/>
      <c r="O160" s="36"/>
      <c r="P160" s="36"/>
    </row>
    <row r="161" spans="1:20" ht="12.75" customHeight="1" x14ac:dyDescent="0.2">
      <c r="C161" s="1402"/>
      <c r="D161" s="1402"/>
      <c r="E161" s="1402"/>
      <c r="F161" s="1402"/>
      <c r="G161" s="1402"/>
      <c r="H161" s="1402"/>
      <c r="I161" s="1402"/>
      <c r="J161" s="1402"/>
      <c r="L161" s="1498"/>
      <c r="M161" s="36"/>
      <c r="N161" s="36"/>
      <c r="O161" s="36"/>
      <c r="P161" s="36"/>
    </row>
    <row r="162" spans="1:20" ht="6.75" customHeight="1" x14ac:dyDescent="0.2">
      <c r="B162" s="4"/>
      <c r="C162" s="45"/>
      <c r="L162" s="36"/>
      <c r="M162" s="36"/>
      <c r="N162" s="36"/>
      <c r="O162" s="36"/>
      <c r="P162" s="36"/>
    </row>
    <row r="163" spans="1:20" ht="12.75" customHeight="1" x14ac:dyDescent="0.2">
      <c r="B163" s="64" t="s">
        <v>523</v>
      </c>
      <c r="C163" s="1387" t="s">
        <v>758</v>
      </c>
      <c r="D163" s="1387"/>
      <c r="E163" s="1387"/>
      <c r="F163" s="1387"/>
      <c r="G163" s="1387"/>
      <c r="H163" s="1387"/>
      <c r="I163" s="1387"/>
      <c r="J163" s="1387"/>
      <c r="L163" s="36"/>
      <c r="M163" s="36"/>
      <c r="N163" s="36"/>
      <c r="O163" s="36"/>
      <c r="P163" s="36"/>
    </row>
    <row r="164" spans="1:20" ht="11.25" customHeight="1" x14ac:dyDescent="0.2">
      <c r="C164" s="1387"/>
      <c r="D164" s="1387"/>
      <c r="E164" s="1387"/>
      <c r="F164" s="1387"/>
      <c r="G164" s="1387"/>
      <c r="H164" s="1387"/>
      <c r="I164" s="1387"/>
      <c r="J164" s="1387"/>
      <c r="L164" s="36"/>
      <c r="M164" s="36"/>
      <c r="N164" s="36"/>
      <c r="O164" s="36"/>
      <c r="P164" s="36"/>
    </row>
    <row r="165" spans="1:20" x14ac:dyDescent="0.2">
      <c r="C165" s="429" t="s">
        <v>118</v>
      </c>
      <c r="D165" s="1387" t="s">
        <v>759</v>
      </c>
      <c r="E165" s="1387"/>
      <c r="F165" s="1387"/>
      <c r="G165" s="1387"/>
      <c r="H165" s="1387"/>
      <c r="I165" s="1387"/>
      <c r="L165" s="1498"/>
      <c r="M165" s="1518" t="str">
        <f>IF(L165=0," ",L160/L165)</f>
        <v xml:space="preserve"> </v>
      </c>
      <c r="O165" s="430" t="s">
        <v>760</v>
      </c>
      <c r="P165" s="36"/>
    </row>
    <row r="166" spans="1:20" x14ac:dyDescent="0.2">
      <c r="C166" s="45"/>
      <c r="D166" s="1387"/>
      <c r="E166" s="1387"/>
      <c r="F166" s="1387"/>
      <c r="G166" s="1387"/>
      <c r="H166" s="1387"/>
      <c r="I166" s="1387"/>
      <c r="L166" s="1498"/>
      <c r="M166" s="1518"/>
      <c r="O166" s="167" t="s">
        <v>761</v>
      </c>
      <c r="P166" s="36"/>
    </row>
    <row r="167" spans="1:20" ht="10.5" customHeight="1" x14ac:dyDescent="0.2">
      <c r="C167" s="45"/>
      <c r="J167" s="53" t="s">
        <v>762</v>
      </c>
      <c r="L167" s="36"/>
      <c r="M167" s="36"/>
      <c r="N167" s="36"/>
      <c r="O167" s="36"/>
      <c r="P167" s="36"/>
    </row>
    <row r="168" spans="1:20" x14ac:dyDescent="0.2">
      <c r="C168" s="429" t="s">
        <v>120</v>
      </c>
      <c r="D168" s="1387" t="s">
        <v>763</v>
      </c>
      <c r="E168" s="1387"/>
      <c r="F168" s="1387"/>
      <c r="G168" s="1387"/>
      <c r="H168" s="1387"/>
      <c r="I168" s="1387"/>
      <c r="L168" s="1519"/>
      <c r="M168" s="1520">
        <f>L168*L160</f>
        <v>0</v>
      </c>
      <c r="Q168" s="1513" t="str">
        <f>IF(M168=0," ",(M168/M149))</f>
        <v xml:space="preserve"> </v>
      </c>
      <c r="R168" s="430" t="s">
        <v>760</v>
      </c>
      <c r="S168" s="36"/>
    </row>
    <row r="169" spans="1:20" x14ac:dyDescent="0.2">
      <c r="C169" s="45"/>
      <c r="D169" s="1387"/>
      <c r="E169" s="1387"/>
      <c r="F169" s="1387"/>
      <c r="G169" s="1387"/>
      <c r="H169" s="1387"/>
      <c r="I169" s="1387"/>
      <c r="L169" s="1519"/>
      <c r="M169" s="1520"/>
      <c r="O169" s="167" t="s">
        <v>764</v>
      </c>
      <c r="Q169" s="1513"/>
      <c r="R169" s="430" t="s">
        <v>765</v>
      </c>
      <c r="S169" s="36"/>
    </row>
    <row r="170" spans="1:20" ht="12.75" customHeight="1" x14ac:dyDescent="0.2">
      <c r="C170" s="45"/>
      <c r="L170" s="36"/>
      <c r="M170" s="36"/>
      <c r="N170" s="36"/>
      <c r="O170" s="36"/>
      <c r="P170" s="36"/>
    </row>
    <row r="171" spans="1:20" ht="12.75" customHeight="1" x14ac:dyDescent="0.2">
      <c r="B171" s="64" t="s">
        <v>549</v>
      </c>
      <c r="C171" s="4" t="s">
        <v>766</v>
      </c>
      <c r="D171" s="4"/>
      <c r="E171" s="4"/>
      <c r="F171" s="4"/>
      <c r="K171" s="1514" t="s">
        <v>767</v>
      </c>
      <c r="L171" s="1514"/>
      <c r="M171" s="432" t="str">
        <f>IF(L165=0,"0",((L158+M158+O158+P158+Q158+R158+S158+T158)*M165))</f>
        <v>0</v>
      </c>
      <c r="N171" s="578"/>
      <c r="O171" s="1515" t="s">
        <v>768</v>
      </c>
      <c r="P171" s="1515"/>
      <c r="Q171" s="433" t="str">
        <f>IF(L168=0,"0",(L158+M158+O158+P158+Q158+R158+S158+T158)*Q168)</f>
        <v>0</v>
      </c>
    </row>
    <row r="172" spans="1:20" ht="6.75" customHeight="1" x14ac:dyDescent="0.2">
      <c r="B172" s="64"/>
      <c r="C172" s="4"/>
      <c r="D172" s="4"/>
      <c r="E172" s="4"/>
      <c r="F172" s="4"/>
      <c r="K172" s="431"/>
      <c r="L172" s="431"/>
      <c r="M172" s="434"/>
      <c r="N172" s="13"/>
      <c r="O172" s="435"/>
      <c r="P172" s="435"/>
      <c r="Q172" s="436"/>
    </row>
    <row r="173" spans="1:20" ht="12.75" customHeight="1" x14ac:dyDescent="0.2">
      <c r="A173" t="s">
        <v>50</v>
      </c>
      <c r="C173" s="45" t="s">
        <v>118</v>
      </c>
      <c r="D173" s="1516" t="s">
        <v>769</v>
      </c>
      <c r="E173" s="1516"/>
      <c r="F173" s="1516"/>
      <c r="G173" s="1516"/>
      <c r="H173" s="1516"/>
      <c r="I173" s="1516"/>
      <c r="L173" s="36"/>
      <c r="M173" s="36"/>
      <c r="T173" s="437"/>
    </row>
    <row r="174" spans="1:20" ht="12.75" customHeight="1" x14ac:dyDescent="0.2">
      <c r="C174" s="36"/>
      <c r="D174" s="1516"/>
      <c r="E174" s="1516"/>
      <c r="F174" s="1516"/>
      <c r="G174" s="1516"/>
      <c r="H174" s="1516"/>
      <c r="I174" s="1516"/>
      <c r="L174" s="36"/>
      <c r="M174" s="36"/>
      <c r="T174" s="437"/>
    </row>
    <row r="175" spans="1:20" x14ac:dyDescent="0.2">
      <c r="C175" s="36"/>
      <c r="D175" t="s">
        <v>826</v>
      </c>
      <c r="H175" s="352"/>
      <c r="L175" s="36"/>
      <c r="M175" s="36"/>
    </row>
    <row r="176" spans="1:20" x14ac:dyDescent="0.2">
      <c r="C176" s="36"/>
      <c r="D176" t="s">
        <v>827</v>
      </c>
      <c r="H176" s="352"/>
      <c r="L176" s="36"/>
      <c r="M176" s="36"/>
    </row>
    <row r="177" spans="1:23" x14ac:dyDescent="0.2">
      <c r="C177" s="36"/>
      <c r="D177" t="s">
        <v>457</v>
      </c>
      <c r="H177" s="352"/>
      <c r="L177" s="36"/>
      <c r="M177" s="36"/>
    </row>
    <row r="178" spans="1:23" x14ac:dyDescent="0.2">
      <c r="C178" s="36"/>
      <c r="D178" t="s">
        <v>770</v>
      </c>
      <c r="H178" s="352"/>
      <c r="L178" s="36"/>
      <c r="M178" s="36"/>
    </row>
    <row r="179" spans="1:23" x14ac:dyDescent="0.2">
      <c r="C179" s="36"/>
      <c r="D179" t="s">
        <v>771</v>
      </c>
      <c r="H179" s="352"/>
      <c r="L179" s="36"/>
      <c r="M179" s="36"/>
    </row>
    <row r="180" spans="1:23" x14ac:dyDescent="0.2">
      <c r="C180" s="36"/>
      <c r="D180" t="s">
        <v>825</v>
      </c>
      <c r="H180" s="352"/>
      <c r="L180" s="36"/>
      <c r="M180" s="36"/>
    </row>
    <row r="181" spans="1:23" x14ac:dyDescent="0.2">
      <c r="C181" s="36"/>
      <c r="D181" s="354" t="s">
        <v>706</v>
      </c>
      <c r="H181" s="352"/>
      <c r="L181" s="36"/>
      <c r="M181" s="36"/>
      <c r="V181" s="1517" t="str">
        <f>IF(U181=Y157," ","Recheck number. Must match 4 above.")</f>
        <v xml:space="preserve"> </v>
      </c>
      <c r="W181" s="1517"/>
    </row>
    <row r="182" spans="1:23" x14ac:dyDescent="0.2">
      <c r="C182" s="36"/>
      <c r="D182" s="354" t="s">
        <v>707</v>
      </c>
      <c r="H182" s="352"/>
      <c r="L182" s="36"/>
      <c r="M182" s="36"/>
    </row>
    <row r="183" spans="1:23" ht="24" customHeight="1" thickBot="1" x14ac:dyDescent="0.25">
      <c r="C183" s="36"/>
      <c r="D183" s="36"/>
      <c r="E183" s="36"/>
      <c r="H183" s="228">
        <f>SUM(H175:H182)</f>
        <v>0</v>
      </c>
      <c r="I183" s="1517" t="str">
        <f>IF(H183=M171+Q171," ","Recheck number. Must match loss amt. in 4 above.")</f>
        <v xml:space="preserve"> </v>
      </c>
      <c r="J183" s="1517"/>
      <c r="K183" s="1517"/>
      <c r="L183" s="36"/>
      <c r="M183" s="36"/>
      <c r="T183" s="438"/>
    </row>
    <row r="184" spans="1:23" ht="13.5" thickTop="1" x14ac:dyDescent="0.2">
      <c r="C184" s="45"/>
      <c r="L184" s="36"/>
      <c r="M184" s="36"/>
      <c r="N184" s="36"/>
      <c r="O184" s="36"/>
      <c r="P184" s="36"/>
    </row>
    <row r="185" spans="1:23" ht="11.25" customHeight="1" x14ac:dyDescent="0.2">
      <c r="B185" s="439" t="s">
        <v>550</v>
      </c>
      <c r="C185" s="1523" t="s">
        <v>772</v>
      </c>
      <c r="D185" s="1523"/>
      <c r="E185" s="1523"/>
      <c r="F185" s="1523"/>
      <c r="G185" s="1523"/>
      <c r="H185" s="1523"/>
      <c r="I185" s="1523"/>
      <c r="J185" s="31"/>
      <c r="K185" s="31"/>
      <c r="L185" s="47"/>
      <c r="M185" s="1511"/>
      <c r="O185" s="47"/>
      <c r="P185" s="47"/>
      <c r="Q185" s="31"/>
      <c r="R185" s="31"/>
    </row>
    <row r="186" spans="1:23" x14ac:dyDescent="0.2">
      <c r="B186" s="31"/>
      <c r="C186" s="99" t="s">
        <v>118</v>
      </c>
      <c r="D186" s="31" t="s">
        <v>773</v>
      </c>
      <c r="F186" s="31"/>
      <c r="G186" s="31"/>
      <c r="H186" s="31"/>
      <c r="I186" s="31"/>
      <c r="J186" s="31"/>
      <c r="K186" s="31"/>
      <c r="L186" s="339"/>
      <c r="M186" s="1524"/>
      <c r="O186" s="339"/>
      <c r="P186" s="339"/>
      <c r="Q186" s="341"/>
      <c r="R186" s="341"/>
    </row>
    <row r="187" spans="1:23" ht="6.75" customHeight="1" x14ac:dyDescent="0.2">
      <c r="B187" s="31"/>
      <c r="C187" s="99"/>
      <c r="D187" s="31"/>
      <c r="E187" s="31"/>
      <c r="F187" s="31"/>
      <c r="G187" s="31"/>
      <c r="H187" s="31"/>
      <c r="I187" s="31"/>
      <c r="J187" s="31"/>
      <c r="K187" s="31"/>
      <c r="L187" s="47"/>
      <c r="M187" s="47"/>
      <c r="N187" s="47"/>
      <c r="O187" s="47"/>
      <c r="P187" s="47"/>
      <c r="Q187" s="31"/>
      <c r="R187" s="31"/>
    </row>
    <row r="188" spans="1:23" ht="24.75" customHeight="1" thickBot="1" x14ac:dyDescent="0.25">
      <c r="B188" s="31"/>
      <c r="C188" s="31" t="s">
        <v>120</v>
      </c>
      <c r="D188" s="31"/>
      <c r="E188" s="1525" t="s">
        <v>774</v>
      </c>
      <c r="F188" s="1525"/>
      <c r="G188" s="1525"/>
      <c r="H188" s="1525"/>
      <c r="I188" s="1525"/>
      <c r="J188" s="31"/>
      <c r="K188" s="31"/>
      <c r="L188" s="47"/>
      <c r="M188" s="86">
        <f>M185-(M171+Q171)</f>
        <v>0</v>
      </c>
      <c r="O188" s="47"/>
      <c r="P188" s="47"/>
      <c r="Q188" s="31"/>
      <c r="R188" s="31"/>
    </row>
    <row r="189" spans="1:23" ht="12.75" customHeight="1" thickTop="1" x14ac:dyDescent="0.2">
      <c r="B189" s="31"/>
      <c r="C189" s="31"/>
      <c r="D189" s="31"/>
      <c r="E189" s="31"/>
      <c r="F189" s="31"/>
      <c r="G189" s="31"/>
      <c r="H189" s="31"/>
      <c r="I189" s="31"/>
      <c r="J189" s="31"/>
      <c r="K189" s="31"/>
      <c r="L189" s="47"/>
      <c r="M189" s="47"/>
      <c r="O189" s="47"/>
      <c r="P189" s="47"/>
      <c r="Q189" s="31"/>
      <c r="R189" s="31"/>
    </row>
    <row r="190" spans="1:23" ht="12.75" customHeight="1" x14ac:dyDescent="0.2">
      <c r="B190" s="31"/>
      <c r="C190" s="31"/>
      <c r="D190" s="31"/>
      <c r="E190" s="31"/>
      <c r="F190" s="31"/>
      <c r="G190" s="31"/>
      <c r="H190" s="31"/>
      <c r="I190" s="31"/>
      <c r="J190" s="31"/>
      <c r="K190" s="31"/>
      <c r="L190" s="47"/>
      <c r="M190" s="47"/>
      <c r="O190" s="47"/>
      <c r="P190" s="47"/>
      <c r="Q190" s="31"/>
      <c r="R190" s="31"/>
    </row>
    <row r="191" spans="1:23" ht="25.5" customHeight="1" x14ac:dyDescent="0.2">
      <c r="A191" s="4" t="s">
        <v>729</v>
      </c>
      <c r="B191" s="1473" t="s">
        <v>775</v>
      </c>
      <c r="C191" s="1474"/>
      <c r="D191" s="1474"/>
      <c r="E191" s="1474"/>
      <c r="F191" s="1474"/>
      <c r="G191" s="1474"/>
      <c r="H191" s="1474"/>
      <c r="I191" s="1474"/>
      <c r="J191" s="1474"/>
      <c r="K191" s="1474"/>
      <c r="L191" s="1474"/>
      <c r="M191" s="1474"/>
      <c r="N191" s="1474"/>
      <c r="O191" s="1474"/>
      <c r="P191" s="1474"/>
      <c r="Q191" s="1474"/>
      <c r="R191" s="1474"/>
      <c r="S191" s="1474"/>
      <c r="T191" s="1475"/>
    </row>
    <row r="192" spans="1:23" ht="12.75" customHeight="1" x14ac:dyDescent="0.2">
      <c r="B192" s="39" t="s">
        <v>872</v>
      </c>
      <c r="C192" s="1387" t="s">
        <v>626</v>
      </c>
      <c r="D192" s="1387"/>
      <c r="E192" s="1387"/>
      <c r="F192" s="1387"/>
      <c r="G192" s="1387"/>
      <c r="H192" s="1387"/>
      <c r="I192" s="1387"/>
      <c r="J192" s="1387"/>
      <c r="K192" s="31"/>
      <c r="L192" s="47"/>
      <c r="M192" s="47"/>
      <c r="O192" s="47"/>
      <c r="P192" s="47"/>
      <c r="Q192" s="31"/>
      <c r="R192" s="31"/>
    </row>
    <row r="193" spans="3:18" ht="12.75" customHeight="1" x14ac:dyDescent="0.2">
      <c r="C193" s="1387"/>
      <c r="D193" s="1387"/>
      <c r="E193" s="1387"/>
      <c r="F193" s="1387"/>
      <c r="G193" s="1387"/>
      <c r="H193" s="1387"/>
      <c r="I193" s="1387"/>
      <c r="J193" s="1387"/>
      <c r="K193" s="31"/>
      <c r="L193" s="47"/>
      <c r="M193" s="47"/>
      <c r="O193" s="47"/>
      <c r="P193" s="47"/>
      <c r="Q193" s="31"/>
      <c r="R193" s="31"/>
    </row>
    <row r="194" spans="3:18" ht="12.75" customHeight="1" x14ac:dyDescent="0.2">
      <c r="C194" t="s">
        <v>118</v>
      </c>
      <c r="D194" s="1387" t="s">
        <v>627</v>
      </c>
      <c r="E194" s="1387"/>
      <c r="F194" s="1387"/>
      <c r="G194" s="1387"/>
      <c r="H194" s="1387"/>
      <c r="I194" s="1387"/>
      <c r="J194" s="1387"/>
      <c r="K194" s="31"/>
      <c r="L194" s="47"/>
      <c r="M194" s="47"/>
      <c r="O194" s="47"/>
      <c r="P194" s="47"/>
      <c r="Q194" s="31"/>
      <c r="R194" s="31"/>
    </row>
    <row r="195" spans="3:18" ht="12.75" customHeight="1" x14ac:dyDescent="0.2">
      <c r="D195" s="1387"/>
      <c r="E195" s="1387"/>
      <c r="F195" s="1387"/>
      <c r="G195" s="1387"/>
      <c r="H195" s="1387"/>
      <c r="I195" s="1387"/>
      <c r="J195" s="1387"/>
      <c r="K195" s="31"/>
      <c r="L195" s="47"/>
      <c r="M195" s="47"/>
      <c r="O195" s="47"/>
      <c r="P195" s="47"/>
      <c r="Q195" s="31"/>
      <c r="R195" s="31"/>
    </row>
    <row r="196" spans="3:18" ht="12.75" customHeight="1" x14ac:dyDescent="0.2">
      <c r="D196" t="s">
        <v>628</v>
      </c>
      <c r="I196" s="352"/>
      <c r="J196" s="31"/>
      <c r="K196" s="31"/>
      <c r="L196" s="47"/>
      <c r="M196" s="47"/>
      <c r="O196" s="47"/>
      <c r="P196" s="47"/>
      <c r="Q196" s="31"/>
      <c r="R196" s="31"/>
    </row>
    <row r="197" spans="3:18" ht="12.75" customHeight="1" x14ac:dyDescent="0.2">
      <c r="D197" t="s">
        <v>536</v>
      </c>
      <c r="I197" s="352"/>
      <c r="J197" s="31"/>
      <c r="K197" s="31"/>
      <c r="L197" s="47"/>
      <c r="M197" s="47"/>
      <c r="O197" s="47"/>
      <c r="P197" s="47"/>
      <c r="Q197" s="31"/>
      <c r="R197" s="31"/>
    </row>
    <row r="198" spans="3:18" ht="12.75" customHeight="1" x14ac:dyDescent="0.2">
      <c r="J198" s="31"/>
      <c r="K198" s="31"/>
      <c r="L198" s="47"/>
      <c r="M198" s="47"/>
      <c r="O198" s="47"/>
      <c r="P198" s="47"/>
      <c r="Q198" s="31"/>
      <c r="R198" s="31"/>
    </row>
    <row r="199" spans="3:18" ht="12.75" customHeight="1" x14ac:dyDescent="0.2">
      <c r="C199" t="s">
        <v>120</v>
      </c>
      <c r="D199" s="1516" t="s">
        <v>629</v>
      </c>
      <c r="E199" s="1516"/>
      <c r="F199" s="1516"/>
      <c r="G199" s="1516"/>
      <c r="H199" s="1516"/>
      <c r="I199" s="1516"/>
      <c r="J199" s="1516"/>
      <c r="K199" s="437"/>
      <c r="L199" s="47"/>
      <c r="M199" s="47"/>
    </row>
    <row r="200" spans="3:18" ht="12.75" customHeight="1" x14ac:dyDescent="0.2">
      <c r="C200" s="437"/>
      <c r="D200" s="1516"/>
      <c r="E200" s="1516"/>
      <c r="F200" s="1516"/>
      <c r="G200" s="1516"/>
      <c r="H200" s="1516"/>
      <c r="I200" s="1516"/>
      <c r="J200" s="1516"/>
      <c r="K200" s="437"/>
      <c r="L200" s="47"/>
      <c r="M200" s="47"/>
    </row>
    <row r="201" spans="3:18" ht="12.75" customHeight="1" x14ac:dyDescent="0.2">
      <c r="C201" s="437"/>
      <c r="D201" s="1516"/>
      <c r="E201" s="1516"/>
      <c r="F201" s="1516"/>
      <c r="G201" s="1516"/>
      <c r="H201" s="1516"/>
      <c r="I201" s="1516"/>
      <c r="J201" s="1516"/>
      <c r="L201" s="47"/>
      <c r="M201" s="47"/>
    </row>
    <row r="202" spans="3:18" ht="12.75" customHeight="1" x14ac:dyDescent="0.2">
      <c r="C202" s="45"/>
      <c r="E202" t="s">
        <v>630</v>
      </c>
      <c r="I202" s="352"/>
      <c r="L202" s="47"/>
      <c r="M202" s="47"/>
    </row>
    <row r="203" spans="3:18" ht="12.75" customHeight="1" x14ac:dyDescent="0.2">
      <c r="C203" s="45"/>
      <c r="E203" t="s">
        <v>920</v>
      </c>
      <c r="I203" s="352"/>
      <c r="L203" s="47"/>
      <c r="M203" s="47"/>
    </row>
    <row r="204" spans="3:18" ht="12.75" customHeight="1" x14ac:dyDescent="0.2">
      <c r="C204" s="45"/>
      <c r="E204" t="s">
        <v>1009</v>
      </c>
      <c r="I204" s="352"/>
      <c r="L204" s="47"/>
      <c r="M204" s="47"/>
    </row>
    <row r="205" spans="3:18" ht="12.75" customHeight="1" x14ac:dyDescent="0.2">
      <c r="C205" s="45"/>
      <c r="E205" t="s">
        <v>1010</v>
      </c>
      <c r="I205" s="352"/>
      <c r="L205" s="47"/>
      <c r="M205" s="47"/>
    </row>
    <row r="206" spans="3:18" ht="12.75" customHeight="1" x14ac:dyDescent="0.2">
      <c r="C206" s="45"/>
      <c r="E206" t="s">
        <v>831</v>
      </c>
      <c r="I206" s="352"/>
      <c r="L206" s="47"/>
      <c r="M206" s="47"/>
    </row>
    <row r="207" spans="3:18" ht="12.75" customHeight="1" x14ac:dyDescent="0.2">
      <c r="C207" s="45"/>
      <c r="E207" t="s">
        <v>820</v>
      </c>
      <c r="I207" s="352"/>
      <c r="L207" s="47"/>
      <c r="M207" s="47"/>
    </row>
    <row r="208" spans="3:18" ht="12.75" customHeight="1" x14ac:dyDescent="0.2">
      <c r="C208" s="45"/>
      <c r="E208" t="s">
        <v>309</v>
      </c>
      <c r="I208" s="352"/>
      <c r="L208" s="47"/>
      <c r="M208" s="47"/>
    </row>
    <row r="209" spans="1:20" ht="12.75" customHeight="1" x14ac:dyDescent="0.2">
      <c r="C209" s="45"/>
      <c r="E209" t="s">
        <v>269</v>
      </c>
      <c r="I209" s="352"/>
      <c r="L209" s="47"/>
      <c r="M209" s="47"/>
    </row>
    <row r="210" spans="1:20" ht="12.75" customHeight="1" x14ac:dyDescent="0.2">
      <c r="C210" s="45"/>
      <c r="E210" t="s">
        <v>174</v>
      </c>
      <c r="I210" s="352"/>
      <c r="L210" s="47"/>
      <c r="M210" s="47"/>
    </row>
    <row r="211" spans="1:20" ht="12.75" customHeight="1" x14ac:dyDescent="0.2">
      <c r="C211" s="45"/>
      <c r="E211" t="s">
        <v>740</v>
      </c>
      <c r="I211" s="352"/>
      <c r="L211" s="47"/>
      <c r="M211" s="47"/>
    </row>
    <row r="212" spans="1:20" x14ac:dyDescent="0.2">
      <c r="C212" s="45"/>
      <c r="J212" s="1517" t="str">
        <f>IF(I213=M188," ","Recheck entry. Total must match net gain or loss in 5.b above.")</f>
        <v xml:space="preserve"> </v>
      </c>
      <c r="K212" s="1517"/>
      <c r="L212" s="1517"/>
      <c r="M212" s="47"/>
    </row>
    <row r="213" spans="1:20" x14ac:dyDescent="0.2">
      <c r="H213" s="19" t="s">
        <v>631</v>
      </c>
      <c r="I213" s="433">
        <f>I196+I197+SUM(I202:I211)</f>
        <v>0</v>
      </c>
      <c r="J213" s="1517"/>
      <c r="K213" s="1517"/>
      <c r="L213" s="1517"/>
      <c r="M213" s="10"/>
      <c r="O213" s="428"/>
    </row>
    <row r="214" spans="1:20" x14ac:dyDescent="0.2">
      <c r="H214" s="19"/>
      <c r="I214" s="440"/>
      <c r="J214" s="438"/>
      <c r="K214" s="438"/>
      <c r="L214" s="438"/>
      <c r="M214" s="10"/>
      <c r="O214" s="428"/>
    </row>
    <row r="215" spans="1:20" ht="26.25" customHeight="1" x14ac:dyDescent="0.2">
      <c r="A215" s="4" t="s">
        <v>730</v>
      </c>
      <c r="B215" s="1494" t="s">
        <v>632</v>
      </c>
      <c r="C215" s="1495"/>
      <c r="D215" s="1495"/>
      <c r="E215" s="1495"/>
      <c r="F215" s="1495"/>
      <c r="G215" s="1495"/>
      <c r="H215" s="1495"/>
      <c r="I215" s="1495"/>
      <c r="J215" s="1495"/>
      <c r="K215" s="1495"/>
      <c r="L215" s="1495"/>
      <c r="M215" s="1495"/>
      <c r="N215" s="1495"/>
      <c r="O215" s="1495"/>
      <c r="P215" s="1495"/>
      <c r="Q215" s="1495"/>
      <c r="R215" s="1495"/>
      <c r="S215" s="1495"/>
      <c r="T215" s="1496"/>
    </row>
    <row r="218" spans="1:20" x14ac:dyDescent="0.2">
      <c r="E218" t="s">
        <v>50</v>
      </c>
      <c r="M218" s="49" t="s">
        <v>517</v>
      </c>
      <c r="N218" s="45"/>
      <c r="O218" s="49" t="s">
        <v>518</v>
      </c>
    </row>
    <row r="219" spans="1:20" ht="6.75" customHeight="1" x14ac:dyDescent="0.2"/>
    <row r="220" spans="1:20" x14ac:dyDescent="0.2">
      <c r="D220" t="s">
        <v>539</v>
      </c>
      <c r="E220" t="s">
        <v>459</v>
      </c>
      <c r="M220" s="78">
        <f t="shared" ref="M220:M230" si="2">AB301</f>
        <v>0</v>
      </c>
      <c r="N220" s="13"/>
      <c r="O220" s="78">
        <f t="shared" ref="O220:O230" si="3">AC301</f>
        <v>0</v>
      </c>
    </row>
    <row r="221" spans="1:20" x14ac:dyDescent="0.2">
      <c r="E221" t="s">
        <v>43</v>
      </c>
      <c r="M221" s="78">
        <f t="shared" si="2"/>
        <v>0</v>
      </c>
      <c r="N221" s="13"/>
      <c r="O221" s="78">
        <f t="shared" si="3"/>
        <v>0</v>
      </c>
    </row>
    <row r="222" spans="1:20" x14ac:dyDescent="0.2">
      <c r="E222" t="s">
        <v>44</v>
      </c>
      <c r="M222" s="78">
        <f t="shared" si="2"/>
        <v>0</v>
      </c>
      <c r="N222" s="13"/>
      <c r="O222" s="78">
        <f t="shared" si="3"/>
        <v>0</v>
      </c>
    </row>
    <row r="223" spans="1:20" x14ac:dyDescent="0.2">
      <c r="E223" t="s">
        <v>45</v>
      </c>
      <c r="M223" s="78">
        <f t="shared" si="2"/>
        <v>0</v>
      </c>
      <c r="N223" s="13"/>
      <c r="O223" s="78">
        <f t="shared" si="3"/>
        <v>0</v>
      </c>
    </row>
    <row r="224" spans="1:20" x14ac:dyDescent="0.2">
      <c r="E224" s="354" t="s">
        <v>870</v>
      </c>
      <c r="M224" s="78">
        <f t="shared" si="2"/>
        <v>0</v>
      </c>
      <c r="N224" s="13"/>
      <c r="O224" s="78">
        <f t="shared" si="3"/>
        <v>0</v>
      </c>
    </row>
    <row r="225" spans="5:15" x14ac:dyDescent="0.2">
      <c r="E225" s="354" t="s">
        <v>871</v>
      </c>
      <c r="M225" s="78">
        <f t="shared" si="2"/>
        <v>0</v>
      </c>
      <c r="N225" s="13"/>
      <c r="O225" s="78">
        <f t="shared" si="3"/>
        <v>0</v>
      </c>
    </row>
    <row r="226" spans="5:15" x14ac:dyDescent="0.2">
      <c r="E226" t="s">
        <v>46</v>
      </c>
      <c r="M226" s="78">
        <f t="shared" si="2"/>
        <v>0</v>
      </c>
      <c r="N226" s="13"/>
      <c r="O226" s="78">
        <f t="shared" si="3"/>
        <v>0</v>
      </c>
    </row>
    <row r="227" spans="5:15" x14ac:dyDescent="0.2">
      <c r="E227" t="s">
        <v>284</v>
      </c>
      <c r="M227" s="78">
        <f t="shared" si="2"/>
        <v>0</v>
      </c>
      <c r="N227" s="13"/>
      <c r="O227" s="78">
        <f t="shared" si="3"/>
        <v>0</v>
      </c>
    </row>
    <row r="228" spans="5:15" x14ac:dyDescent="0.2">
      <c r="E228" t="s">
        <v>536</v>
      </c>
      <c r="M228" s="78">
        <f t="shared" si="2"/>
        <v>0</v>
      </c>
      <c r="N228" s="13"/>
      <c r="O228" s="78">
        <f t="shared" si="3"/>
        <v>0</v>
      </c>
    </row>
    <row r="229" spans="5:15" x14ac:dyDescent="0.2">
      <c r="E229" t="s">
        <v>686</v>
      </c>
      <c r="M229" s="78">
        <f t="shared" si="2"/>
        <v>0</v>
      </c>
      <c r="N229" s="13"/>
      <c r="O229" s="78">
        <f t="shared" si="3"/>
        <v>0</v>
      </c>
    </row>
    <row r="230" spans="5:15" x14ac:dyDescent="0.2">
      <c r="E230" s="13" t="s">
        <v>327</v>
      </c>
      <c r="F230" s="13"/>
      <c r="G230" s="13"/>
      <c r="H230" s="13"/>
      <c r="M230" s="78">
        <f t="shared" si="2"/>
        <v>0</v>
      </c>
      <c r="N230" s="13"/>
      <c r="O230" s="78">
        <f t="shared" si="3"/>
        <v>0</v>
      </c>
    </row>
    <row r="231" spans="5:15" x14ac:dyDescent="0.2">
      <c r="F231" t="s">
        <v>826</v>
      </c>
      <c r="M231" s="78">
        <f t="shared" ref="M231:M240" si="4">AB312</f>
        <v>0</v>
      </c>
      <c r="N231" s="13"/>
      <c r="O231" s="78">
        <f t="shared" ref="O231:O240" si="5">AC312</f>
        <v>0</v>
      </c>
    </row>
    <row r="232" spans="5:15" x14ac:dyDescent="0.2">
      <c r="F232" t="s">
        <v>827</v>
      </c>
      <c r="M232" s="78">
        <f t="shared" si="4"/>
        <v>0</v>
      </c>
      <c r="N232" s="13"/>
      <c r="O232" s="78">
        <f t="shared" si="5"/>
        <v>0</v>
      </c>
    </row>
    <row r="233" spans="5:15" x14ac:dyDescent="0.2">
      <c r="F233" t="s">
        <v>457</v>
      </c>
      <c r="M233" s="78">
        <f t="shared" si="4"/>
        <v>0</v>
      </c>
      <c r="N233" s="13"/>
      <c r="O233" s="78">
        <f t="shared" si="5"/>
        <v>0</v>
      </c>
    </row>
    <row r="234" spans="5:15" x14ac:dyDescent="0.2">
      <c r="F234" t="s">
        <v>824</v>
      </c>
      <c r="M234" s="78">
        <f t="shared" si="4"/>
        <v>0</v>
      </c>
      <c r="N234" s="13"/>
      <c r="O234" s="78">
        <f t="shared" si="5"/>
        <v>0</v>
      </c>
    </row>
    <row r="235" spans="5:15" x14ac:dyDescent="0.2">
      <c r="F235" t="s">
        <v>458</v>
      </c>
      <c r="M235" s="78">
        <f t="shared" si="4"/>
        <v>0</v>
      </c>
      <c r="N235" s="13"/>
      <c r="O235" s="78">
        <f t="shared" si="5"/>
        <v>0</v>
      </c>
    </row>
    <row r="236" spans="5:15" x14ac:dyDescent="0.2">
      <c r="F236" t="s">
        <v>825</v>
      </c>
      <c r="M236" s="78">
        <f t="shared" si="4"/>
        <v>0</v>
      </c>
      <c r="N236" s="13"/>
      <c r="O236" s="78">
        <f t="shared" si="5"/>
        <v>0</v>
      </c>
    </row>
    <row r="237" spans="5:15" x14ac:dyDescent="0.2">
      <c r="F237" s="354" t="s">
        <v>706</v>
      </c>
      <c r="M237" s="78">
        <f t="shared" si="4"/>
        <v>0</v>
      </c>
      <c r="N237" s="13"/>
      <c r="O237" s="78">
        <f t="shared" si="5"/>
        <v>0</v>
      </c>
    </row>
    <row r="238" spans="5:15" x14ac:dyDescent="0.2">
      <c r="F238" s="354" t="s">
        <v>707</v>
      </c>
      <c r="M238" s="78">
        <f t="shared" si="4"/>
        <v>0</v>
      </c>
      <c r="N238" s="13"/>
      <c r="O238" s="78">
        <f t="shared" si="5"/>
        <v>0</v>
      </c>
    </row>
    <row r="239" spans="5:15" ht="15" x14ac:dyDescent="0.2">
      <c r="F239" t="s">
        <v>529</v>
      </c>
      <c r="M239" s="78">
        <f t="shared" si="4"/>
        <v>0</v>
      </c>
      <c r="N239" s="13"/>
      <c r="O239" s="78">
        <f t="shared" si="5"/>
        <v>0</v>
      </c>
    </row>
    <row r="240" spans="5:15" ht="15" x14ac:dyDescent="0.2">
      <c r="F240" t="s">
        <v>158</v>
      </c>
      <c r="M240" s="78">
        <f t="shared" si="4"/>
        <v>0</v>
      </c>
      <c r="N240" s="13"/>
      <c r="O240" s="78">
        <f t="shared" si="5"/>
        <v>0</v>
      </c>
    </row>
    <row r="241" spans="4:15" ht="6.75" customHeight="1" x14ac:dyDescent="0.2">
      <c r="M241" s="32"/>
      <c r="N241" s="13"/>
      <c r="O241" s="32"/>
    </row>
    <row r="242" spans="4:15" x14ac:dyDescent="0.2">
      <c r="D242" t="s">
        <v>538</v>
      </c>
      <c r="E242" t="s">
        <v>826</v>
      </c>
      <c r="M242" s="78">
        <f t="shared" ref="M242:M252" si="6">AB323</f>
        <v>0</v>
      </c>
      <c r="N242" s="13"/>
      <c r="O242" s="78">
        <f t="shared" ref="O242:O252" si="7">AC323</f>
        <v>0</v>
      </c>
    </row>
    <row r="243" spans="4:15" x14ac:dyDescent="0.2">
      <c r="E243" t="s">
        <v>827</v>
      </c>
      <c r="M243" s="78">
        <f t="shared" si="6"/>
        <v>0</v>
      </c>
      <c r="N243" s="13"/>
      <c r="O243" s="78">
        <f t="shared" si="7"/>
        <v>0</v>
      </c>
    </row>
    <row r="244" spans="4:15" x14ac:dyDescent="0.2">
      <c r="E244" t="s">
        <v>457</v>
      </c>
      <c r="M244" s="78">
        <f t="shared" si="6"/>
        <v>0</v>
      </c>
      <c r="N244" s="13"/>
      <c r="O244" s="78">
        <f t="shared" si="7"/>
        <v>0</v>
      </c>
    </row>
    <row r="245" spans="4:15" x14ac:dyDescent="0.2">
      <c r="E245" t="s">
        <v>824</v>
      </c>
      <c r="M245" s="78">
        <f t="shared" si="6"/>
        <v>0</v>
      </c>
      <c r="N245" s="13"/>
      <c r="O245" s="78">
        <f t="shared" si="7"/>
        <v>0</v>
      </c>
    </row>
    <row r="246" spans="4:15" x14ac:dyDescent="0.2">
      <c r="E246" t="s">
        <v>458</v>
      </c>
      <c r="M246" s="78">
        <f t="shared" si="6"/>
        <v>0</v>
      </c>
      <c r="N246" s="13"/>
      <c r="O246" s="78">
        <f t="shared" si="7"/>
        <v>0</v>
      </c>
    </row>
    <row r="247" spans="4:15" x14ac:dyDescent="0.2">
      <c r="E247" t="s">
        <v>825</v>
      </c>
      <c r="M247" s="78">
        <f t="shared" si="6"/>
        <v>0</v>
      </c>
      <c r="N247" s="13"/>
      <c r="O247" s="78">
        <f t="shared" si="7"/>
        <v>0</v>
      </c>
    </row>
    <row r="248" spans="4:15" x14ac:dyDescent="0.2">
      <c r="E248" s="354" t="s">
        <v>706</v>
      </c>
      <c r="M248" s="78">
        <f t="shared" si="6"/>
        <v>0</v>
      </c>
      <c r="N248" s="13"/>
      <c r="O248" s="78">
        <f t="shared" si="7"/>
        <v>0</v>
      </c>
    </row>
    <row r="249" spans="4:15" x14ac:dyDescent="0.2">
      <c r="E249" s="354" t="s">
        <v>707</v>
      </c>
      <c r="M249" s="78">
        <f t="shared" si="6"/>
        <v>0</v>
      </c>
      <c r="N249" s="13"/>
      <c r="O249" s="78">
        <f t="shared" si="7"/>
        <v>0</v>
      </c>
    </row>
    <row r="250" spans="4:15" x14ac:dyDescent="0.2">
      <c r="F250" t="s">
        <v>537</v>
      </c>
      <c r="M250" s="78">
        <f t="shared" si="6"/>
        <v>0</v>
      </c>
      <c r="N250" s="13"/>
      <c r="O250" s="78">
        <f t="shared" si="7"/>
        <v>0</v>
      </c>
    </row>
    <row r="251" spans="4:15" x14ac:dyDescent="0.2">
      <c r="F251" t="s">
        <v>200</v>
      </c>
      <c r="M251" s="78">
        <f t="shared" si="6"/>
        <v>0</v>
      </c>
      <c r="N251" s="13"/>
      <c r="O251" s="78">
        <f t="shared" si="7"/>
        <v>0</v>
      </c>
    </row>
    <row r="252" spans="4:15" x14ac:dyDescent="0.2">
      <c r="F252" s="13" t="s">
        <v>328</v>
      </c>
      <c r="G252" s="13"/>
      <c r="H252" s="13"/>
      <c r="M252" s="78">
        <f t="shared" si="6"/>
        <v>0</v>
      </c>
      <c r="N252" s="13"/>
      <c r="O252" s="78">
        <f t="shared" si="7"/>
        <v>0</v>
      </c>
    </row>
    <row r="253" spans="4:15" ht="6" customHeight="1" x14ac:dyDescent="0.2">
      <c r="M253" s="32"/>
      <c r="N253" s="13"/>
      <c r="O253" s="32"/>
    </row>
    <row r="254" spans="4:15" x14ac:dyDescent="0.2">
      <c r="D254" t="s">
        <v>787</v>
      </c>
      <c r="E254" t="s">
        <v>1009</v>
      </c>
      <c r="M254" s="78">
        <f>AB335</f>
        <v>0</v>
      </c>
      <c r="N254" s="13"/>
      <c r="O254" s="78">
        <f>AC335</f>
        <v>0</v>
      </c>
    </row>
    <row r="255" spans="4:15" x14ac:dyDescent="0.2">
      <c r="E255" t="s">
        <v>1010</v>
      </c>
      <c r="M255" s="78">
        <f t="shared" ref="M255:M261" si="8">AB336</f>
        <v>0</v>
      </c>
      <c r="N255" s="13"/>
      <c r="O255" s="78">
        <f t="shared" ref="O255:O261" si="9">AC336</f>
        <v>0</v>
      </c>
    </row>
    <row r="256" spans="4:15" x14ac:dyDescent="0.2">
      <c r="E256" t="s">
        <v>831</v>
      </c>
      <c r="M256" s="78">
        <f t="shared" si="8"/>
        <v>0</v>
      </c>
      <c r="N256" s="13"/>
      <c r="O256" s="78">
        <f t="shared" si="9"/>
        <v>0</v>
      </c>
    </row>
    <row r="257" spans="4:15" x14ac:dyDescent="0.2">
      <c r="E257" t="s">
        <v>820</v>
      </c>
      <c r="M257" s="78">
        <f t="shared" si="8"/>
        <v>0</v>
      </c>
      <c r="N257" s="13"/>
      <c r="O257" s="78">
        <f t="shared" si="9"/>
        <v>0</v>
      </c>
    </row>
    <row r="258" spans="4:15" x14ac:dyDescent="0.2">
      <c r="E258" t="s">
        <v>205</v>
      </c>
      <c r="M258" s="78">
        <f t="shared" si="8"/>
        <v>0</v>
      </c>
      <c r="N258" s="13"/>
      <c r="O258" s="78">
        <f t="shared" si="9"/>
        <v>0</v>
      </c>
    </row>
    <row r="259" spans="4:15" x14ac:dyDescent="0.2">
      <c r="E259" t="s">
        <v>511</v>
      </c>
      <c r="M259" s="78">
        <f t="shared" si="8"/>
        <v>0</v>
      </c>
      <c r="N259" s="13"/>
      <c r="O259" s="78">
        <f t="shared" si="9"/>
        <v>0</v>
      </c>
    </row>
    <row r="260" spans="4:15" x14ac:dyDescent="0.2">
      <c r="E260" t="s">
        <v>174</v>
      </c>
      <c r="M260" s="78">
        <f t="shared" si="8"/>
        <v>0</v>
      </c>
      <c r="N260" s="13"/>
      <c r="O260" s="78">
        <f t="shared" si="9"/>
        <v>0</v>
      </c>
    </row>
    <row r="261" spans="4:15" x14ac:dyDescent="0.2">
      <c r="E261" s="354" t="s">
        <v>740</v>
      </c>
      <c r="M261" s="78">
        <f t="shared" si="8"/>
        <v>0</v>
      </c>
      <c r="N261" s="13"/>
      <c r="O261" s="78">
        <f t="shared" si="9"/>
        <v>0</v>
      </c>
    </row>
    <row r="262" spans="4:15" x14ac:dyDescent="0.2">
      <c r="F262" t="s">
        <v>788</v>
      </c>
      <c r="M262" s="78">
        <f>AB343</f>
        <v>0</v>
      </c>
      <c r="N262" s="13"/>
      <c r="O262" s="78">
        <f>AC343</f>
        <v>0</v>
      </c>
    </row>
    <row r="263" spans="4:15" ht="6" customHeight="1" x14ac:dyDescent="0.2"/>
    <row r="264" spans="4:15" x14ac:dyDescent="0.2">
      <c r="D264" t="s">
        <v>633</v>
      </c>
      <c r="E264" t="s">
        <v>634</v>
      </c>
      <c r="M264" s="78">
        <f>AB345</f>
        <v>0</v>
      </c>
      <c r="O264" s="78"/>
    </row>
    <row r="265" spans="4:15" x14ac:dyDescent="0.2">
      <c r="F265" t="s">
        <v>826</v>
      </c>
      <c r="M265" s="78"/>
      <c r="O265" s="78">
        <f>AC346</f>
        <v>0</v>
      </c>
    </row>
    <row r="266" spans="4:15" x14ac:dyDescent="0.2">
      <c r="F266" t="s">
        <v>827</v>
      </c>
      <c r="M266" s="78"/>
      <c r="O266" s="78">
        <f t="shared" ref="O266:O274" si="10">AC347</f>
        <v>0</v>
      </c>
    </row>
    <row r="267" spans="4:15" x14ac:dyDescent="0.2">
      <c r="F267" t="s">
        <v>457</v>
      </c>
      <c r="M267" s="78"/>
      <c r="O267" s="78">
        <f t="shared" si="10"/>
        <v>0</v>
      </c>
    </row>
    <row r="268" spans="4:15" x14ac:dyDescent="0.2">
      <c r="F268" t="s">
        <v>770</v>
      </c>
      <c r="M268" s="78"/>
      <c r="O268" s="78">
        <f t="shared" si="10"/>
        <v>0</v>
      </c>
    </row>
    <row r="269" spans="4:15" x14ac:dyDescent="0.2">
      <c r="F269" t="s">
        <v>771</v>
      </c>
      <c r="M269" s="78"/>
      <c r="O269" s="78">
        <f t="shared" si="10"/>
        <v>0</v>
      </c>
    </row>
    <row r="270" spans="4:15" x14ac:dyDescent="0.2">
      <c r="F270" t="s">
        <v>825</v>
      </c>
      <c r="M270" s="78"/>
      <c r="O270" s="78">
        <f t="shared" si="10"/>
        <v>0</v>
      </c>
    </row>
    <row r="271" spans="4:15" x14ac:dyDescent="0.2">
      <c r="F271" s="354" t="s">
        <v>706</v>
      </c>
      <c r="M271" s="78"/>
      <c r="O271" s="78">
        <f t="shared" si="10"/>
        <v>0</v>
      </c>
    </row>
    <row r="272" spans="4:15" x14ac:dyDescent="0.2">
      <c r="F272" s="354" t="s">
        <v>707</v>
      </c>
      <c r="M272" s="78"/>
      <c r="O272" s="78">
        <f t="shared" si="10"/>
        <v>0</v>
      </c>
    </row>
    <row r="273" spans="5:20" x14ac:dyDescent="0.2">
      <c r="F273" s="354" t="s">
        <v>536</v>
      </c>
      <c r="M273" s="78"/>
      <c r="O273" s="78">
        <f t="shared" si="10"/>
        <v>0</v>
      </c>
    </row>
    <row r="274" spans="5:20" x14ac:dyDescent="0.2">
      <c r="F274" s="354" t="s">
        <v>635</v>
      </c>
      <c r="M274" s="78">
        <f t="shared" ref="M274:M283" si="11">AB355</f>
        <v>0</v>
      </c>
      <c r="O274" s="78">
        <f t="shared" si="10"/>
        <v>0</v>
      </c>
    </row>
    <row r="275" spans="5:20" x14ac:dyDescent="0.2">
      <c r="E275" t="s">
        <v>920</v>
      </c>
      <c r="M275" s="78">
        <f t="shared" si="11"/>
        <v>0</v>
      </c>
      <c r="O275" s="78"/>
    </row>
    <row r="276" spans="5:20" x14ac:dyDescent="0.2">
      <c r="E276" t="s">
        <v>1009</v>
      </c>
      <c r="M276" s="78">
        <f t="shared" si="11"/>
        <v>0</v>
      </c>
      <c r="O276" s="78"/>
    </row>
    <row r="277" spans="5:20" x14ac:dyDescent="0.2">
      <c r="E277" t="s">
        <v>1010</v>
      </c>
      <c r="M277" s="78">
        <f t="shared" si="11"/>
        <v>0</v>
      </c>
      <c r="O277" s="78"/>
    </row>
    <row r="278" spans="5:20" x14ac:dyDescent="0.2">
      <c r="E278" t="s">
        <v>831</v>
      </c>
      <c r="M278" s="78">
        <f t="shared" si="11"/>
        <v>0</v>
      </c>
      <c r="O278" s="78"/>
    </row>
    <row r="279" spans="5:20" x14ac:dyDescent="0.2">
      <c r="E279" t="s">
        <v>820</v>
      </c>
      <c r="M279" s="78">
        <f t="shared" si="11"/>
        <v>0</v>
      </c>
      <c r="O279" s="78"/>
    </row>
    <row r="280" spans="5:20" x14ac:dyDescent="0.2">
      <c r="E280" t="s">
        <v>309</v>
      </c>
      <c r="M280" s="78">
        <f t="shared" si="11"/>
        <v>0</v>
      </c>
      <c r="O280" s="78"/>
    </row>
    <row r="281" spans="5:20" x14ac:dyDescent="0.2">
      <c r="E281" t="s">
        <v>269</v>
      </c>
      <c r="M281" s="78">
        <f t="shared" si="11"/>
        <v>0</v>
      </c>
      <c r="O281" s="78"/>
    </row>
    <row r="282" spans="5:20" x14ac:dyDescent="0.2">
      <c r="E282" t="s">
        <v>174</v>
      </c>
      <c r="M282" s="78">
        <f t="shared" si="11"/>
        <v>0</v>
      </c>
      <c r="O282" s="78"/>
    </row>
    <row r="283" spans="5:20" x14ac:dyDescent="0.2">
      <c r="E283" t="s">
        <v>740</v>
      </c>
      <c r="M283" s="78">
        <f t="shared" si="11"/>
        <v>0</v>
      </c>
      <c r="O283" s="78"/>
    </row>
    <row r="284" spans="5:20" ht="6" customHeight="1" x14ac:dyDescent="0.2"/>
    <row r="285" spans="5:20" ht="13.5" thickBot="1" x14ac:dyDescent="0.25">
      <c r="F285" t="s">
        <v>636</v>
      </c>
      <c r="M285" s="80">
        <f>SUM(M220:M283)</f>
        <v>0</v>
      </c>
      <c r="O285" s="80">
        <f>SUM(O220:O283)</f>
        <v>0</v>
      </c>
    </row>
    <row r="286" spans="5:20" ht="13.5" thickTop="1" x14ac:dyDescent="0.2"/>
    <row r="288" spans="5:20" ht="14.25" customHeight="1" x14ac:dyDescent="0.2">
      <c r="E288" s="90" t="s">
        <v>339</v>
      </c>
      <c r="F288" s="1503" t="s">
        <v>530</v>
      </c>
      <c r="G288" s="1503"/>
      <c r="H288" s="1503"/>
      <c r="I288" s="1503"/>
      <c r="J288" s="1503"/>
      <c r="K288" s="1503"/>
      <c r="L288" s="1503"/>
      <c r="M288" s="1503"/>
      <c r="N288" s="1503"/>
      <c r="O288" s="1503"/>
      <c r="P288" s="1503"/>
      <c r="Q288" s="1503"/>
      <c r="R288" s="1503"/>
      <c r="S288" s="1503"/>
      <c r="T288" s="1503"/>
    </row>
    <row r="289" spans="1:29" ht="12.75" customHeight="1" x14ac:dyDescent="0.2">
      <c r="E289" s="90"/>
      <c r="F289" s="1503"/>
      <c r="G289" s="1503"/>
      <c r="H289" s="1503"/>
      <c r="I289" s="1503"/>
      <c r="J289" s="1503"/>
      <c r="K289" s="1503"/>
      <c r="L289" s="1503"/>
      <c r="M289" s="1503"/>
      <c r="N289" s="1503"/>
      <c r="O289" s="1503"/>
      <c r="P289" s="1503"/>
      <c r="Q289" s="1503"/>
      <c r="R289" s="1503"/>
      <c r="S289" s="1503"/>
      <c r="T289" s="1503"/>
    </row>
    <row r="290" spans="1:29" ht="15" x14ac:dyDescent="0.2">
      <c r="D290" t="s">
        <v>239</v>
      </c>
      <c r="E290" s="90" t="s">
        <v>474</v>
      </c>
      <c r="F290" s="121" t="s">
        <v>531</v>
      </c>
    </row>
    <row r="298" spans="1:29" ht="19.5" customHeight="1" x14ac:dyDescent="0.25">
      <c r="C298" s="1526" t="s">
        <v>580</v>
      </c>
      <c r="D298" s="1527"/>
      <c r="E298" s="1527"/>
      <c r="F298" s="1527"/>
      <c r="G298" s="1527"/>
      <c r="H298" s="1527"/>
      <c r="I298" s="1527"/>
      <c r="J298" s="1527"/>
      <c r="K298" s="1527"/>
      <c r="L298" s="1527"/>
      <c r="M298" s="1527"/>
      <c r="N298" s="1527"/>
      <c r="O298" s="1527"/>
      <c r="P298" s="1527"/>
      <c r="Q298" s="1527"/>
      <c r="R298" s="1527"/>
      <c r="S298" s="1527"/>
      <c r="T298" s="1527"/>
      <c r="U298" s="1527"/>
      <c r="V298" s="1527"/>
      <c r="W298" s="1527"/>
      <c r="X298" s="1527"/>
      <c r="Y298" s="1527"/>
      <c r="Z298" s="426"/>
      <c r="AA298" s="427"/>
    </row>
    <row r="299" spans="1:29" x14ac:dyDescent="0.2">
      <c r="L299" s="1484" t="s">
        <v>873</v>
      </c>
      <c r="M299" s="1488"/>
      <c r="N299" s="70"/>
      <c r="O299" s="1488" t="s">
        <v>874</v>
      </c>
      <c r="P299" s="1488"/>
      <c r="Q299" s="1488" t="s">
        <v>709</v>
      </c>
      <c r="R299" s="1488"/>
      <c r="S299" s="1504" t="s">
        <v>710</v>
      </c>
      <c r="T299" s="1504"/>
      <c r="U299" s="70"/>
      <c r="V299" s="1488" t="s">
        <v>711</v>
      </c>
      <c r="W299" s="1488"/>
      <c r="X299" s="1488" t="s">
        <v>300</v>
      </c>
      <c r="Y299" s="1488"/>
      <c r="Z299" s="1488" t="s">
        <v>301</v>
      </c>
      <c r="AA299" s="1488"/>
      <c r="AB299" s="1507" t="s">
        <v>712</v>
      </c>
      <c r="AC299" s="1508"/>
    </row>
    <row r="300" spans="1:29" x14ac:dyDescent="0.2">
      <c r="L300" s="71" t="s">
        <v>517</v>
      </c>
      <c r="M300" s="3" t="s">
        <v>518</v>
      </c>
      <c r="N300" s="3"/>
      <c r="O300" s="3" t="s">
        <v>517</v>
      </c>
      <c r="P300" s="3" t="s">
        <v>518</v>
      </c>
      <c r="Q300" s="3" t="s">
        <v>517</v>
      </c>
      <c r="R300" s="3" t="s">
        <v>518</v>
      </c>
      <c r="S300" s="3" t="s">
        <v>517</v>
      </c>
      <c r="T300" s="3" t="s">
        <v>518</v>
      </c>
      <c r="U300" s="3"/>
      <c r="V300" s="69" t="s">
        <v>875</v>
      </c>
      <c r="W300" s="69" t="s">
        <v>518</v>
      </c>
      <c r="X300" s="69" t="s">
        <v>875</v>
      </c>
      <c r="Y300" s="69" t="s">
        <v>518</v>
      </c>
      <c r="Z300" s="69" t="s">
        <v>875</v>
      </c>
      <c r="AA300" s="69" t="s">
        <v>518</v>
      </c>
      <c r="AB300" s="71" t="s">
        <v>517</v>
      </c>
      <c r="AC300" s="72" t="s">
        <v>518</v>
      </c>
    </row>
    <row r="301" spans="1:29" x14ac:dyDescent="0.2">
      <c r="A301" t="s">
        <v>539</v>
      </c>
      <c r="C301" t="s">
        <v>459</v>
      </c>
      <c r="L301" s="36">
        <f>M34+M37</f>
        <v>0</v>
      </c>
      <c r="M301" s="36"/>
      <c r="O301" s="36">
        <f>M53+M56</f>
        <v>0</v>
      </c>
      <c r="P301" s="36"/>
      <c r="Q301" s="5">
        <f>M76+M79</f>
        <v>0</v>
      </c>
      <c r="S301" s="36">
        <f>M94+M96</f>
        <v>0</v>
      </c>
      <c r="T301" s="36"/>
      <c r="V301" s="36"/>
      <c r="W301" s="36"/>
      <c r="X301" s="36"/>
      <c r="Y301" s="36"/>
      <c r="Z301" s="36"/>
      <c r="AA301" s="36"/>
      <c r="AB301" s="9">
        <f>L301+O301+Q301+S301+V301+X301</f>
        <v>0</v>
      </c>
      <c r="AC301" s="12">
        <f>M301+P301+R301+T301+W301+Y301</f>
        <v>0</v>
      </c>
    </row>
    <row r="302" spans="1:29" x14ac:dyDescent="0.2">
      <c r="C302" t="s">
        <v>43</v>
      </c>
      <c r="L302" s="36">
        <f>O34+O37</f>
        <v>0</v>
      </c>
      <c r="M302" s="36"/>
      <c r="O302" s="36">
        <f>O53+O56</f>
        <v>0</v>
      </c>
      <c r="P302" s="36"/>
      <c r="Q302" s="5">
        <f>O76+O79</f>
        <v>0</v>
      </c>
      <c r="S302" s="36">
        <f>O94+O96</f>
        <v>0</v>
      </c>
      <c r="T302" s="36"/>
      <c r="V302" s="36"/>
      <c r="W302" s="36"/>
      <c r="X302" s="36"/>
      <c r="Y302" s="36"/>
      <c r="Z302" s="36"/>
      <c r="AA302" s="36"/>
      <c r="AB302" s="9">
        <f t="shared" ref="AB302:AB343" si="12">L302+O302+Q302+S302+V302+X302</f>
        <v>0</v>
      </c>
      <c r="AC302" s="12">
        <f t="shared" ref="AC302:AC343" si="13">M302+P302+R302+T302+W302+Y302</f>
        <v>0</v>
      </c>
    </row>
    <row r="303" spans="1:29" x14ac:dyDescent="0.2">
      <c r="C303" t="s">
        <v>44</v>
      </c>
      <c r="L303" s="36"/>
      <c r="M303" s="36"/>
      <c r="O303" s="36">
        <f>P53+P56</f>
        <v>0</v>
      </c>
      <c r="P303" s="36"/>
      <c r="Q303" s="5">
        <f>P76+P79</f>
        <v>0</v>
      </c>
      <c r="S303" s="36">
        <f>P94+P96</f>
        <v>0</v>
      </c>
      <c r="T303" s="36"/>
      <c r="V303" s="36"/>
      <c r="W303" s="36"/>
      <c r="X303" s="36"/>
      <c r="Y303" s="36"/>
      <c r="Z303" s="36"/>
      <c r="AA303" s="36"/>
      <c r="AB303" s="9">
        <f t="shared" si="12"/>
        <v>0</v>
      </c>
      <c r="AC303" s="12">
        <f t="shared" si="13"/>
        <v>0</v>
      </c>
    </row>
    <row r="304" spans="1:29" x14ac:dyDescent="0.2">
      <c r="C304" t="s">
        <v>45</v>
      </c>
      <c r="L304" s="36"/>
      <c r="M304" s="36"/>
      <c r="O304" s="36">
        <f>Q53+Q56</f>
        <v>0</v>
      </c>
      <c r="P304" s="36"/>
      <c r="Q304" s="5">
        <f>Q76+Q79</f>
        <v>0</v>
      </c>
      <c r="S304" s="36">
        <f>Q94+Q96</f>
        <v>0</v>
      </c>
      <c r="T304" s="36"/>
      <c r="V304" s="36"/>
      <c r="W304" s="36"/>
      <c r="X304" s="36"/>
      <c r="Y304" s="36"/>
      <c r="Z304" s="36"/>
      <c r="AA304" s="36"/>
      <c r="AB304" s="9">
        <f t="shared" si="12"/>
        <v>0</v>
      </c>
      <c r="AC304" s="12">
        <f t="shared" si="13"/>
        <v>0</v>
      </c>
    </row>
    <row r="305" spans="3:29" x14ac:dyDescent="0.2">
      <c r="C305" t="s">
        <v>870</v>
      </c>
      <c r="L305" s="36">
        <f>R34+R37</f>
        <v>0</v>
      </c>
      <c r="M305" s="36"/>
      <c r="O305" s="36">
        <f>R53+R56</f>
        <v>0</v>
      </c>
      <c r="P305" s="36"/>
      <c r="Q305">
        <f>R76+R79</f>
        <v>0</v>
      </c>
      <c r="S305" s="36">
        <f>R94+R96</f>
        <v>0</v>
      </c>
      <c r="T305" s="36"/>
      <c r="V305" s="36"/>
      <c r="W305" s="36"/>
      <c r="X305" s="36"/>
      <c r="Y305" s="36"/>
      <c r="Z305" s="36"/>
      <c r="AA305" s="36"/>
      <c r="AB305" s="9">
        <f t="shared" si="12"/>
        <v>0</v>
      </c>
      <c r="AC305" s="12">
        <f t="shared" si="13"/>
        <v>0</v>
      </c>
    </row>
    <row r="306" spans="3:29" x14ac:dyDescent="0.2">
      <c r="C306" t="s">
        <v>871</v>
      </c>
      <c r="L306" s="36">
        <f>S34+S37</f>
        <v>0</v>
      </c>
      <c r="M306" s="36"/>
      <c r="O306" s="36">
        <f>S53+S56</f>
        <v>0</v>
      </c>
      <c r="P306" s="36"/>
      <c r="Q306">
        <f>S76+S79</f>
        <v>0</v>
      </c>
      <c r="S306" s="36">
        <f>S94+S96</f>
        <v>0</v>
      </c>
      <c r="T306" s="36"/>
      <c r="V306" s="36"/>
      <c r="W306" s="36"/>
      <c r="X306" s="36"/>
      <c r="Y306" s="36"/>
      <c r="Z306" s="36"/>
      <c r="AA306" s="36"/>
      <c r="AB306" s="9">
        <f t="shared" si="12"/>
        <v>0</v>
      </c>
      <c r="AC306" s="12">
        <f t="shared" si="13"/>
        <v>0</v>
      </c>
    </row>
    <row r="307" spans="3:29" x14ac:dyDescent="0.2">
      <c r="C307" t="s">
        <v>46</v>
      </c>
      <c r="L307" s="36"/>
      <c r="M307" s="36"/>
      <c r="O307" s="36"/>
      <c r="P307" s="36"/>
      <c r="S307" s="36">
        <f>T94+T96</f>
        <v>0</v>
      </c>
      <c r="T307" s="36"/>
      <c r="V307" s="36"/>
      <c r="W307" s="36"/>
      <c r="X307" s="36"/>
      <c r="Y307" s="36"/>
      <c r="Z307" s="36"/>
      <c r="AA307" s="36"/>
      <c r="AB307" s="9">
        <f t="shared" si="12"/>
        <v>0</v>
      </c>
      <c r="AC307" s="12">
        <f t="shared" si="13"/>
        <v>0</v>
      </c>
    </row>
    <row r="308" spans="3:29" x14ac:dyDescent="0.2">
      <c r="C308" t="s">
        <v>703</v>
      </c>
      <c r="L308" s="36">
        <f>L42+M42+O42+P42+Q42+R42+S42</f>
        <v>0</v>
      </c>
      <c r="M308" s="36"/>
      <c r="O308" s="36">
        <f>L63+M63+O63+P63+Q63+R63+S63</f>
        <v>0</v>
      </c>
      <c r="P308" s="36"/>
      <c r="S308" s="36"/>
      <c r="T308" s="36"/>
      <c r="V308" s="36"/>
      <c r="W308" s="36"/>
      <c r="X308" s="36"/>
      <c r="Y308" s="36"/>
      <c r="Z308" s="36"/>
      <c r="AA308" s="36"/>
      <c r="AB308" s="9">
        <f t="shared" si="12"/>
        <v>0</v>
      </c>
      <c r="AC308" s="12">
        <f t="shared" si="13"/>
        <v>0</v>
      </c>
    </row>
    <row r="309" spans="3:29" x14ac:dyDescent="0.2">
      <c r="C309" t="s">
        <v>533</v>
      </c>
      <c r="L309" s="36"/>
      <c r="M309" s="36"/>
      <c r="O309" s="36">
        <f>L62+M62+O62+P62+Q62+S62</f>
        <v>0</v>
      </c>
      <c r="P309" s="36"/>
      <c r="S309" s="36"/>
      <c r="T309" s="36"/>
      <c r="V309" s="36"/>
      <c r="W309" s="36"/>
      <c r="X309" s="36"/>
      <c r="Y309" s="36"/>
      <c r="Z309" s="36"/>
      <c r="AA309" s="36"/>
      <c r="AB309" s="9">
        <f t="shared" si="12"/>
        <v>0</v>
      </c>
      <c r="AC309" s="12">
        <f t="shared" si="13"/>
        <v>0</v>
      </c>
    </row>
    <row r="310" spans="3:29" x14ac:dyDescent="0.2">
      <c r="C310" t="s">
        <v>685</v>
      </c>
      <c r="L310" s="36"/>
      <c r="M310" s="36"/>
      <c r="O310" s="36"/>
      <c r="P310" s="36"/>
      <c r="S310" s="36">
        <f>((L99+M99+O99+P99+Q99+R99+S99+T99)-O101)</f>
        <v>0</v>
      </c>
      <c r="T310" s="36"/>
      <c r="V310" s="36"/>
      <c r="W310" s="36"/>
      <c r="X310" s="36"/>
      <c r="Y310" s="36"/>
      <c r="Z310" s="36"/>
      <c r="AA310" s="36"/>
      <c r="AB310" s="9">
        <f t="shared" si="12"/>
        <v>0</v>
      </c>
      <c r="AC310" s="12">
        <f t="shared" si="13"/>
        <v>0</v>
      </c>
    </row>
    <row r="311" spans="3:29" x14ac:dyDescent="0.2">
      <c r="C311" s="13" t="s">
        <v>327</v>
      </c>
      <c r="D311" s="13"/>
      <c r="E311" s="13"/>
      <c r="F311" s="13"/>
      <c r="L311" s="36"/>
      <c r="M311" s="36"/>
      <c r="O311" s="36"/>
      <c r="P311" s="36"/>
      <c r="S311" s="36">
        <f>O101</f>
        <v>0</v>
      </c>
      <c r="T311" s="36"/>
      <c r="V311" s="36"/>
      <c r="W311" s="36"/>
      <c r="X311" s="36"/>
      <c r="Y311" s="36"/>
      <c r="Z311" s="36"/>
      <c r="AA311" s="36"/>
      <c r="AB311" s="9">
        <f t="shared" si="12"/>
        <v>0</v>
      </c>
      <c r="AC311" s="12">
        <f t="shared" si="13"/>
        <v>0</v>
      </c>
    </row>
    <row r="312" spans="3:29" x14ac:dyDescent="0.2">
      <c r="C312" t="s">
        <v>826</v>
      </c>
      <c r="L312" s="36"/>
      <c r="M312" s="36">
        <f>L31</f>
        <v>0</v>
      </c>
      <c r="O312" s="36"/>
      <c r="P312" s="36">
        <f>L50</f>
        <v>0</v>
      </c>
      <c r="R312" s="5">
        <f>L73</f>
        <v>0</v>
      </c>
      <c r="S312" s="36"/>
      <c r="T312" s="36">
        <f>L92</f>
        <v>0</v>
      </c>
      <c r="V312" s="36"/>
      <c r="W312" s="36"/>
      <c r="X312" s="36"/>
      <c r="Y312" s="36"/>
      <c r="Z312" s="36"/>
      <c r="AA312" s="36"/>
      <c r="AB312" s="9">
        <f t="shared" si="12"/>
        <v>0</v>
      </c>
      <c r="AC312" s="12">
        <f t="shared" si="13"/>
        <v>0</v>
      </c>
    </row>
    <row r="313" spans="3:29" x14ac:dyDescent="0.2">
      <c r="C313" t="s">
        <v>827</v>
      </c>
      <c r="L313" s="36"/>
      <c r="M313" s="36">
        <f>M31</f>
        <v>0</v>
      </c>
      <c r="O313" s="36"/>
      <c r="P313" s="36">
        <f>M50</f>
        <v>0</v>
      </c>
      <c r="Q313" s="5">
        <f>M84</f>
        <v>0</v>
      </c>
      <c r="R313" s="5">
        <f>M73</f>
        <v>0</v>
      </c>
      <c r="S313" s="36"/>
      <c r="T313" s="36">
        <f>M92</f>
        <v>0</v>
      </c>
      <c r="V313" s="36"/>
      <c r="W313" s="36"/>
      <c r="X313" s="36"/>
      <c r="Y313" s="36"/>
      <c r="Z313" s="36"/>
      <c r="AA313" s="36"/>
      <c r="AB313" s="9">
        <f t="shared" si="12"/>
        <v>0</v>
      </c>
      <c r="AC313" s="12">
        <f t="shared" si="13"/>
        <v>0</v>
      </c>
    </row>
    <row r="314" spans="3:29" x14ac:dyDescent="0.2">
      <c r="C314" t="s">
        <v>457</v>
      </c>
      <c r="L314" s="36"/>
      <c r="M314" s="36">
        <f>O31</f>
        <v>0</v>
      </c>
      <c r="O314" s="36"/>
      <c r="P314" s="36">
        <f>O50</f>
        <v>0</v>
      </c>
      <c r="Q314" s="5">
        <f>O84</f>
        <v>0</v>
      </c>
      <c r="R314" s="5">
        <f>O73</f>
        <v>0</v>
      </c>
      <c r="S314" s="36"/>
      <c r="T314" s="36">
        <f>O92</f>
        <v>0</v>
      </c>
      <c r="V314" s="36"/>
      <c r="W314" s="36"/>
      <c r="X314" s="36"/>
      <c r="Y314" s="36"/>
      <c r="Z314" s="36"/>
      <c r="AA314" s="36"/>
      <c r="AB314" s="9">
        <f t="shared" si="12"/>
        <v>0</v>
      </c>
      <c r="AC314" s="12">
        <f t="shared" si="13"/>
        <v>0</v>
      </c>
    </row>
    <row r="315" spans="3:29" x14ac:dyDescent="0.2">
      <c r="C315" t="s">
        <v>824</v>
      </c>
      <c r="L315" s="36"/>
      <c r="M315" s="36"/>
      <c r="O315" s="36"/>
      <c r="P315" s="36">
        <f>P50</f>
        <v>0</v>
      </c>
      <c r="Q315" s="5">
        <f>P84</f>
        <v>0</v>
      </c>
      <c r="R315" s="5">
        <f>P73</f>
        <v>0</v>
      </c>
      <c r="S315" s="36"/>
      <c r="T315" s="36">
        <f>P92</f>
        <v>0</v>
      </c>
      <c r="V315" s="36"/>
      <c r="W315" s="36"/>
      <c r="X315" s="36"/>
      <c r="Y315" s="36"/>
      <c r="Z315" s="36"/>
      <c r="AA315" s="36"/>
      <c r="AB315" s="9">
        <f t="shared" si="12"/>
        <v>0</v>
      </c>
      <c r="AC315" s="12">
        <f t="shared" si="13"/>
        <v>0</v>
      </c>
    </row>
    <row r="316" spans="3:29" x14ac:dyDescent="0.2">
      <c r="C316" t="s">
        <v>458</v>
      </c>
      <c r="L316" s="36"/>
      <c r="M316" s="36"/>
      <c r="O316" s="36"/>
      <c r="P316" s="36">
        <f>Q50</f>
        <v>0</v>
      </c>
      <c r="Q316" s="5">
        <f>Q84</f>
        <v>0</v>
      </c>
      <c r="R316" s="5">
        <f>Q73</f>
        <v>0</v>
      </c>
      <c r="S316" s="36"/>
      <c r="T316" s="36">
        <f>Q92</f>
        <v>0</v>
      </c>
      <c r="V316" s="36"/>
      <c r="W316" s="36"/>
      <c r="X316" s="36"/>
      <c r="Y316" s="36"/>
      <c r="Z316" s="36"/>
      <c r="AA316" s="36"/>
      <c r="AB316" s="9">
        <f t="shared" si="12"/>
        <v>0</v>
      </c>
      <c r="AC316" s="12">
        <f t="shared" si="13"/>
        <v>0</v>
      </c>
    </row>
    <row r="317" spans="3:29" x14ac:dyDescent="0.2">
      <c r="C317" t="s">
        <v>825</v>
      </c>
      <c r="L317" s="36"/>
      <c r="M317" s="36"/>
      <c r="O317" s="36"/>
      <c r="P317" s="36"/>
      <c r="S317" s="36"/>
      <c r="T317" s="36">
        <f>T92</f>
        <v>0</v>
      </c>
      <c r="V317" s="36"/>
      <c r="W317" s="36"/>
      <c r="X317" s="36"/>
      <c r="Y317" s="36"/>
      <c r="Z317" s="36"/>
      <c r="AA317" s="36"/>
      <c r="AB317" s="9">
        <f t="shared" si="12"/>
        <v>0</v>
      </c>
      <c r="AC317" s="12">
        <f t="shared" si="13"/>
        <v>0</v>
      </c>
    </row>
    <row r="318" spans="3:29" x14ac:dyDescent="0.2">
      <c r="C318" t="s">
        <v>706</v>
      </c>
      <c r="L318" s="36"/>
      <c r="M318" s="36">
        <f>R31</f>
        <v>0</v>
      </c>
      <c r="O318" s="36"/>
      <c r="P318" s="36">
        <f>R50</f>
        <v>0</v>
      </c>
      <c r="Q318">
        <f>R84</f>
        <v>0</v>
      </c>
      <c r="R318">
        <f>R73</f>
        <v>0</v>
      </c>
      <c r="S318" s="36"/>
      <c r="T318" s="36">
        <f>R92</f>
        <v>0</v>
      </c>
      <c r="V318" s="36"/>
      <c r="W318" s="36"/>
      <c r="X318" s="36"/>
      <c r="Y318" s="36"/>
      <c r="Z318" s="36"/>
      <c r="AA318" s="36"/>
      <c r="AB318" s="9">
        <f t="shared" si="12"/>
        <v>0</v>
      </c>
      <c r="AC318" s="12">
        <f t="shared" si="13"/>
        <v>0</v>
      </c>
    </row>
    <row r="319" spans="3:29" x14ac:dyDescent="0.2">
      <c r="C319" t="s">
        <v>707</v>
      </c>
      <c r="L319" s="36"/>
      <c r="M319" s="36">
        <f>S31</f>
        <v>0</v>
      </c>
      <c r="O319" s="36"/>
      <c r="P319" s="36">
        <f>S50</f>
        <v>0</v>
      </c>
      <c r="Q319">
        <f>S84</f>
        <v>0</v>
      </c>
      <c r="R319">
        <f>S73</f>
        <v>0</v>
      </c>
      <c r="S319" s="36"/>
      <c r="T319" s="36">
        <f>S92</f>
        <v>0</v>
      </c>
      <c r="V319" s="36"/>
      <c r="W319" s="36"/>
      <c r="X319" s="36"/>
      <c r="Y319" s="36"/>
      <c r="Z319" s="36"/>
      <c r="AA319" s="36"/>
      <c r="AB319" s="9">
        <f t="shared" si="12"/>
        <v>0</v>
      </c>
      <c r="AC319" s="12">
        <f t="shared" si="13"/>
        <v>0</v>
      </c>
    </row>
    <row r="320" spans="3:29" x14ac:dyDescent="0.2">
      <c r="C320" t="s">
        <v>532</v>
      </c>
      <c r="L320" s="36"/>
      <c r="M320" s="36"/>
      <c r="O320" s="36" t="str">
        <f>IF((L65+M65+O65+P65+Q65+R65+S65)&lt;0,-(L65+M65+O65+P65+Q65+R65+S65),"0")</f>
        <v>0</v>
      </c>
      <c r="P320" s="36">
        <f>IF((L65+M65+O65+P65+Q65+R65+S65)&gt;=0, (L65+M65+O65+P65+Q65+R65+S65),"0")</f>
        <v>0</v>
      </c>
      <c r="S320" s="36"/>
      <c r="T320" s="36"/>
      <c r="V320" s="36"/>
      <c r="W320" s="36"/>
      <c r="X320" s="36"/>
      <c r="Y320" s="36"/>
      <c r="Z320" s="36"/>
      <c r="AA320" s="36"/>
      <c r="AB320" s="9">
        <f t="shared" si="12"/>
        <v>0</v>
      </c>
      <c r="AC320" s="12">
        <f t="shared" si="13"/>
        <v>0</v>
      </c>
    </row>
    <row r="321" spans="1:29" x14ac:dyDescent="0.2">
      <c r="C321" t="s">
        <v>47</v>
      </c>
      <c r="L321" s="36" t="str">
        <f>IF((L44+M44+O44+P44+Q44+R44+S44)&lt;0,-(L44+M44+O44+P44+Q44+R44+S44),"0")</f>
        <v>0</v>
      </c>
      <c r="M321" s="36">
        <f>IF((L44+M44+O44+P44+Q44+R44+S44)&gt;=0,(L44+M44+O44+P44+Q44+R44+S44),"0")</f>
        <v>0</v>
      </c>
      <c r="O321" s="36"/>
      <c r="P321" s="36"/>
      <c r="S321" s="36"/>
      <c r="T321" s="36"/>
      <c r="V321" s="36"/>
      <c r="W321" s="36"/>
      <c r="X321" s="36"/>
      <c r="Y321" s="36"/>
      <c r="Z321" s="36"/>
      <c r="AA321" s="36"/>
      <c r="AB321" s="9">
        <f t="shared" si="12"/>
        <v>0</v>
      </c>
      <c r="AC321" s="12">
        <f t="shared" si="13"/>
        <v>0</v>
      </c>
    </row>
    <row r="322" spans="1:29" ht="5.25" customHeight="1" x14ac:dyDescent="0.2">
      <c r="L322" s="36"/>
      <c r="M322" s="36"/>
      <c r="O322" s="36"/>
      <c r="P322" s="36"/>
      <c r="S322" s="36"/>
      <c r="T322" s="36"/>
      <c r="V322" s="36"/>
      <c r="W322" s="36"/>
      <c r="X322" s="36"/>
      <c r="Y322" s="36"/>
      <c r="Z322" s="36"/>
      <c r="AA322" s="36"/>
      <c r="AB322" s="9"/>
      <c r="AC322" s="12"/>
    </row>
    <row r="323" spans="1:29" x14ac:dyDescent="0.2">
      <c r="A323" t="s">
        <v>538</v>
      </c>
      <c r="C323" t="s">
        <v>826</v>
      </c>
      <c r="V323" s="36">
        <f>L111</f>
        <v>0</v>
      </c>
      <c r="W323" s="36"/>
      <c r="X323" s="36"/>
      <c r="Y323" s="36"/>
      <c r="Z323" s="36"/>
      <c r="AA323" s="36"/>
      <c r="AB323" s="9">
        <f t="shared" si="12"/>
        <v>0</v>
      </c>
      <c r="AC323" s="12">
        <f t="shared" si="13"/>
        <v>0</v>
      </c>
    </row>
    <row r="324" spans="1:29" x14ac:dyDescent="0.2">
      <c r="C324" t="s">
        <v>827</v>
      </c>
      <c r="V324" s="36">
        <f>+M111</f>
        <v>0</v>
      </c>
      <c r="W324" s="36"/>
      <c r="X324" s="36"/>
      <c r="Y324" s="36"/>
      <c r="Z324" s="36"/>
      <c r="AA324" s="36"/>
      <c r="AB324" s="9">
        <f t="shared" si="12"/>
        <v>0</v>
      </c>
      <c r="AC324" s="12">
        <f t="shared" si="13"/>
        <v>0</v>
      </c>
    </row>
    <row r="325" spans="1:29" x14ac:dyDescent="0.2">
      <c r="C325" t="s">
        <v>457</v>
      </c>
      <c r="V325" s="36">
        <f>O111</f>
        <v>0</v>
      </c>
      <c r="W325" s="36"/>
      <c r="X325" s="36"/>
      <c r="Y325" s="36"/>
      <c r="Z325" s="36"/>
      <c r="AA325" s="36"/>
      <c r="AB325" s="9">
        <f t="shared" si="12"/>
        <v>0</v>
      </c>
      <c r="AC325" s="12">
        <f t="shared" si="13"/>
        <v>0</v>
      </c>
    </row>
    <row r="326" spans="1:29" x14ac:dyDescent="0.2">
      <c r="C326" t="s">
        <v>824</v>
      </c>
      <c r="V326" s="36">
        <f>P111</f>
        <v>0</v>
      </c>
      <c r="W326" s="36"/>
      <c r="X326" s="36"/>
      <c r="Y326" s="36"/>
      <c r="Z326" s="36"/>
      <c r="AA326" s="36"/>
      <c r="AB326" s="9">
        <f t="shared" si="12"/>
        <v>0</v>
      </c>
      <c r="AC326" s="12">
        <f t="shared" si="13"/>
        <v>0</v>
      </c>
    </row>
    <row r="327" spans="1:29" x14ac:dyDescent="0.2">
      <c r="C327" t="s">
        <v>458</v>
      </c>
      <c r="V327" s="36">
        <f>Q111</f>
        <v>0</v>
      </c>
      <c r="W327" s="36"/>
      <c r="X327" s="36"/>
      <c r="Y327" s="36"/>
      <c r="Z327" s="36"/>
      <c r="AA327" s="36"/>
      <c r="AB327" s="9">
        <f t="shared" si="12"/>
        <v>0</v>
      </c>
      <c r="AC327" s="12">
        <f t="shared" si="13"/>
        <v>0</v>
      </c>
    </row>
    <row r="328" spans="1:29" x14ac:dyDescent="0.2">
      <c r="C328" t="s">
        <v>825</v>
      </c>
      <c r="V328" s="36">
        <f>T111</f>
        <v>0</v>
      </c>
      <c r="W328" s="36"/>
      <c r="X328" s="36"/>
      <c r="Y328" s="36"/>
      <c r="Z328" s="36"/>
      <c r="AA328" s="36"/>
      <c r="AB328" s="9">
        <f t="shared" si="12"/>
        <v>0</v>
      </c>
      <c r="AC328" s="12">
        <f t="shared" si="13"/>
        <v>0</v>
      </c>
    </row>
    <row r="329" spans="1:29" x14ac:dyDescent="0.2">
      <c r="C329" t="s">
        <v>706</v>
      </c>
      <c r="V329" s="36">
        <f>R111</f>
        <v>0</v>
      </c>
      <c r="W329" s="36"/>
      <c r="X329" s="36"/>
      <c r="Y329" s="36"/>
      <c r="Z329" s="36"/>
      <c r="AA329" s="36"/>
      <c r="AB329" s="9">
        <f t="shared" si="12"/>
        <v>0</v>
      </c>
      <c r="AC329" s="12">
        <f t="shared" si="13"/>
        <v>0</v>
      </c>
    </row>
    <row r="330" spans="1:29" x14ac:dyDescent="0.2">
      <c r="C330" t="s">
        <v>707</v>
      </c>
      <c r="V330" s="36">
        <f>S111</f>
        <v>0</v>
      </c>
      <c r="W330" s="36"/>
      <c r="X330" s="36"/>
      <c r="Y330" s="36"/>
      <c r="Z330" s="36"/>
      <c r="AA330" s="36"/>
      <c r="AB330" s="9">
        <f t="shared" si="12"/>
        <v>0</v>
      </c>
      <c r="AC330" s="12">
        <f t="shared" si="13"/>
        <v>0</v>
      </c>
    </row>
    <row r="331" spans="1:29" x14ac:dyDescent="0.2">
      <c r="C331" t="s">
        <v>536</v>
      </c>
      <c r="V331" s="36"/>
      <c r="W331" s="36">
        <f>((L111+M111+O111+P111+Q111+R111+S111+T111)-(O116+O114))</f>
        <v>0</v>
      </c>
      <c r="X331" s="36"/>
      <c r="Y331" s="36"/>
      <c r="Z331" s="36"/>
      <c r="AA331" s="36"/>
      <c r="AB331" s="9">
        <f t="shared" si="12"/>
        <v>0</v>
      </c>
      <c r="AC331" s="12">
        <f t="shared" si="13"/>
        <v>0</v>
      </c>
    </row>
    <row r="332" spans="1:29" x14ac:dyDescent="0.2">
      <c r="C332" t="s">
        <v>200</v>
      </c>
      <c r="V332" s="36"/>
      <c r="W332" s="36">
        <f>O114</f>
        <v>0</v>
      </c>
      <c r="X332" s="36"/>
      <c r="Y332" s="36"/>
      <c r="Z332" s="36"/>
      <c r="AA332" s="36"/>
      <c r="AB332" s="9">
        <f t="shared" si="12"/>
        <v>0</v>
      </c>
      <c r="AC332" s="12">
        <f t="shared" si="13"/>
        <v>0</v>
      </c>
    </row>
    <row r="333" spans="1:29" x14ac:dyDescent="0.2">
      <c r="C333" s="13" t="s">
        <v>328</v>
      </c>
      <c r="D333" s="13"/>
      <c r="E333" s="13"/>
      <c r="F333" s="13"/>
      <c r="V333" s="36"/>
      <c r="W333" s="36">
        <f>O116</f>
        <v>0</v>
      </c>
      <c r="X333" s="36"/>
      <c r="Y333" s="36"/>
      <c r="Z333" s="36"/>
      <c r="AA333" s="36"/>
      <c r="AB333" s="9">
        <f t="shared" si="12"/>
        <v>0</v>
      </c>
      <c r="AC333" s="12">
        <f t="shared" si="13"/>
        <v>0</v>
      </c>
    </row>
    <row r="334" spans="1:29" ht="6.75" customHeight="1" x14ac:dyDescent="0.2">
      <c r="V334" s="36"/>
      <c r="W334" s="36"/>
      <c r="X334" s="36"/>
      <c r="Y334" s="36"/>
      <c r="Z334" s="36"/>
      <c r="AA334" s="36"/>
      <c r="AB334" s="9">
        <f t="shared" si="12"/>
        <v>0</v>
      </c>
      <c r="AC334" s="12">
        <f t="shared" si="13"/>
        <v>0</v>
      </c>
    </row>
    <row r="335" spans="1:29" x14ac:dyDescent="0.2">
      <c r="A335" t="s">
        <v>787</v>
      </c>
      <c r="C335" t="s">
        <v>1009</v>
      </c>
      <c r="V335" s="36"/>
      <c r="W335" s="36"/>
      <c r="X335" s="36">
        <f>M126</f>
        <v>0</v>
      </c>
      <c r="Y335" s="36"/>
      <c r="Z335" s="36"/>
      <c r="AA335" s="36"/>
      <c r="AB335" s="9">
        <f t="shared" si="12"/>
        <v>0</v>
      </c>
      <c r="AC335" s="12">
        <f t="shared" si="13"/>
        <v>0</v>
      </c>
    </row>
    <row r="336" spans="1:29" x14ac:dyDescent="0.2">
      <c r="C336" t="s">
        <v>1010</v>
      </c>
      <c r="V336" s="36"/>
      <c r="W336" s="36"/>
      <c r="X336" s="36">
        <f t="shared" ref="X336:X342" si="14">M127</f>
        <v>0</v>
      </c>
      <c r="Y336" s="36"/>
      <c r="Z336" s="36"/>
      <c r="AA336" s="36"/>
      <c r="AB336" s="9">
        <f t="shared" si="12"/>
        <v>0</v>
      </c>
      <c r="AC336" s="12">
        <f t="shared" si="13"/>
        <v>0</v>
      </c>
    </row>
    <row r="337" spans="1:29" x14ac:dyDescent="0.2">
      <c r="C337" t="s">
        <v>831</v>
      </c>
      <c r="V337" s="36"/>
      <c r="W337" s="36"/>
      <c r="X337" s="36">
        <f t="shared" si="14"/>
        <v>0</v>
      </c>
      <c r="Y337" s="36"/>
      <c r="Z337" s="36"/>
      <c r="AA337" s="36"/>
      <c r="AB337" s="9">
        <f t="shared" si="12"/>
        <v>0</v>
      </c>
      <c r="AC337" s="12">
        <f t="shared" si="13"/>
        <v>0</v>
      </c>
    </row>
    <row r="338" spans="1:29" x14ac:dyDescent="0.2">
      <c r="C338" t="s">
        <v>820</v>
      </c>
      <c r="V338" s="36"/>
      <c r="W338" s="36"/>
      <c r="X338" s="36">
        <f t="shared" si="14"/>
        <v>0</v>
      </c>
      <c r="Y338" s="36"/>
      <c r="Z338" s="36"/>
      <c r="AA338" s="36"/>
      <c r="AB338" s="9">
        <f t="shared" si="12"/>
        <v>0</v>
      </c>
      <c r="AC338" s="12">
        <f t="shared" si="13"/>
        <v>0</v>
      </c>
    </row>
    <row r="339" spans="1:29" x14ac:dyDescent="0.2">
      <c r="C339" t="s">
        <v>205</v>
      </c>
      <c r="V339" s="36"/>
      <c r="W339" s="36"/>
      <c r="X339" s="36">
        <f t="shared" si="14"/>
        <v>0</v>
      </c>
      <c r="Y339" s="36"/>
      <c r="Z339" s="36"/>
      <c r="AA339" s="36"/>
      <c r="AB339" s="9">
        <f t="shared" si="12"/>
        <v>0</v>
      </c>
      <c r="AC339" s="12">
        <f t="shared" si="13"/>
        <v>0</v>
      </c>
    </row>
    <row r="340" spans="1:29" x14ac:dyDescent="0.2">
      <c r="C340" t="s">
        <v>511</v>
      </c>
      <c r="V340" s="36"/>
      <c r="W340" s="36"/>
      <c r="X340" s="36">
        <f t="shared" si="14"/>
        <v>0</v>
      </c>
      <c r="Y340" s="36"/>
      <c r="Z340" s="36"/>
      <c r="AA340" s="36"/>
      <c r="AB340" s="9">
        <f t="shared" si="12"/>
        <v>0</v>
      </c>
      <c r="AC340" s="12">
        <f t="shared" si="13"/>
        <v>0</v>
      </c>
    </row>
    <row r="341" spans="1:29" x14ac:dyDescent="0.2">
      <c r="C341" t="s">
        <v>174</v>
      </c>
      <c r="V341" s="36"/>
      <c r="W341" s="36"/>
      <c r="X341" s="36">
        <f t="shared" si="14"/>
        <v>0</v>
      </c>
      <c r="Y341" s="36"/>
      <c r="Z341" s="36"/>
      <c r="AA341" s="36"/>
      <c r="AB341" s="9">
        <f t="shared" si="12"/>
        <v>0</v>
      </c>
      <c r="AC341" s="12">
        <f t="shared" si="13"/>
        <v>0</v>
      </c>
    </row>
    <row r="342" spans="1:29" x14ac:dyDescent="0.2">
      <c r="C342" t="s">
        <v>740</v>
      </c>
      <c r="V342" s="36"/>
      <c r="W342" s="36"/>
      <c r="X342" s="36">
        <f t="shared" si="14"/>
        <v>0</v>
      </c>
      <c r="Y342" s="36"/>
      <c r="Z342" s="36"/>
      <c r="AA342" s="36"/>
      <c r="AB342" s="9">
        <f t="shared" si="12"/>
        <v>0</v>
      </c>
      <c r="AC342" s="12">
        <f t="shared" si="13"/>
        <v>0</v>
      </c>
    </row>
    <row r="343" spans="1:29" x14ac:dyDescent="0.2">
      <c r="D343" t="s">
        <v>788</v>
      </c>
      <c r="V343" s="36"/>
      <c r="W343" s="36"/>
      <c r="X343" s="36"/>
      <c r="Y343" s="36">
        <f>M122</f>
        <v>0</v>
      </c>
      <c r="Z343" s="36"/>
      <c r="AA343" s="36"/>
      <c r="AB343" s="9">
        <f t="shared" si="12"/>
        <v>0</v>
      </c>
      <c r="AC343" s="12">
        <f t="shared" si="13"/>
        <v>0</v>
      </c>
    </row>
    <row r="344" spans="1:29" ht="6" customHeight="1" x14ac:dyDescent="0.2">
      <c r="V344" s="36"/>
      <c r="W344" s="36"/>
      <c r="X344" s="36"/>
      <c r="Y344" s="36"/>
      <c r="Z344" s="36"/>
      <c r="AA344" s="36"/>
      <c r="AB344" s="9">
        <f t="shared" ref="AB344:AB365" si="15">L344+O344+Q344+S344+V344+X344</f>
        <v>0</v>
      </c>
      <c r="AC344" s="12">
        <f t="shared" ref="AC344:AC365" si="16">M344+P344+R344+T344+W344+Y344</f>
        <v>0</v>
      </c>
    </row>
    <row r="345" spans="1:29" x14ac:dyDescent="0.2">
      <c r="A345" t="s">
        <v>633</v>
      </c>
      <c r="C345" t="s">
        <v>634</v>
      </c>
      <c r="V345" s="36"/>
      <c r="W345" s="36"/>
      <c r="X345" s="36"/>
      <c r="Y345" s="36"/>
      <c r="Z345" s="94">
        <f>M185</f>
        <v>0</v>
      </c>
      <c r="AA345" s="94"/>
      <c r="AB345" s="9">
        <f t="shared" si="15"/>
        <v>0</v>
      </c>
      <c r="AC345" s="12">
        <f t="shared" si="16"/>
        <v>0</v>
      </c>
    </row>
    <row r="346" spans="1:29" x14ac:dyDescent="0.2">
      <c r="A346" s="1521" t="s">
        <v>637</v>
      </c>
      <c r="D346" t="s">
        <v>826</v>
      </c>
      <c r="V346" s="36"/>
      <c r="W346" s="36"/>
      <c r="X346" s="36"/>
      <c r="Y346" s="36"/>
      <c r="Z346" s="94"/>
      <c r="AA346" s="94">
        <f t="shared" ref="AA346:AA353" si="17">H175</f>
        <v>0</v>
      </c>
      <c r="AB346" s="9">
        <f t="shared" si="15"/>
        <v>0</v>
      </c>
      <c r="AC346" s="12">
        <f t="shared" si="16"/>
        <v>0</v>
      </c>
    </row>
    <row r="347" spans="1:29" x14ac:dyDescent="0.2">
      <c r="A347" s="1522"/>
      <c r="D347" t="s">
        <v>827</v>
      </c>
      <c r="V347" s="36"/>
      <c r="W347" s="36"/>
      <c r="X347" s="36"/>
      <c r="Y347" s="36"/>
      <c r="Z347" s="94"/>
      <c r="AA347" s="94">
        <f t="shared" si="17"/>
        <v>0</v>
      </c>
      <c r="AB347" s="9">
        <f t="shared" si="15"/>
        <v>0</v>
      </c>
      <c r="AC347" s="12">
        <f t="shared" si="16"/>
        <v>0</v>
      </c>
    </row>
    <row r="348" spans="1:29" x14ac:dyDescent="0.2">
      <c r="A348" s="1522"/>
      <c r="D348" t="s">
        <v>457</v>
      </c>
      <c r="V348" s="36"/>
      <c r="W348" s="36"/>
      <c r="X348" s="36"/>
      <c r="Y348" s="36"/>
      <c r="Z348" s="94"/>
      <c r="AA348" s="94">
        <f t="shared" si="17"/>
        <v>0</v>
      </c>
      <c r="AB348" s="9">
        <f t="shared" si="15"/>
        <v>0</v>
      </c>
      <c r="AC348" s="12">
        <f t="shared" si="16"/>
        <v>0</v>
      </c>
    </row>
    <row r="349" spans="1:29" x14ac:dyDescent="0.2">
      <c r="A349" s="1522"/>
      <c r="D349" t="s">
        <v>770</v>
      </c>
      <c r="V349" s="36"/>
      <c r="W349" s="36"/>
      <c r="X349" s="36"/>
      <c r="Y349" s="36"/>
      <c r="Z349" s="94"/>
      <c r="AA349" s="94">
        <f t="shared" si="17"/>
        <v>0</v>
      </c>
      <c r="AB349" s="9">
        <f t="shared" si="15"/>
        <v>0</v>
      </c>
      <c r="AC349" s="12">
        <f t="shared" si="16"/>
        <v>0</v>
      </c>
    </row>
    <row r="350" spans="1:29" x14ac:dyDescent="0.2">
      <c r="A350" s="1522"/>
      <c r="D350" t="s">
        <v>771</v>
      </c>
      <c r="V350" s="36"/>
      <c r="W350" s="36"/>
      <c r="X350" s="36"/>
      <c r="Y350" s="36"/>
      <c r="Z350" s="94"/>
      <c r="AA350" s="94">
        <f t="shared" si="17"/>
        <v>0</v>
      </c>
      <c r="AB350" s="9">
        <f t="shared" si="15"/>
        <v>0</v>
      </c>
      <c r="AC350" s="12">
        <f t="shared" si="16"/>
        <v>0</v>
      </c>
    </row>
    <row r="351" spans="1:29" x14ac:dyDescent="0.2">
      <c r="A351" s="1522"/>
      <c r="D351" t="s">
        <v>825</v>
      </c>
      <c r="V351" s="36"/>
      <c r="W351" s="36"/>
      <c r="X351" s="36"/>
      <c r="Y351" s="36"/>
      <c r="Z351" s="94"/>
      <c r="AA351" s="94">
        <f t="shared" si="17"/>
        <v>0</v>
      </c>
      <c r="AB351" s="9">
        <f t="shared" si="15"/>
        <v>0</v>
      </c>
      <c r="AC351" s="12">
        <f t="shared" si="16"/>
        <v>0</v>
      </c>
    </row>
    <row r="352" spans="1:29" x14ac:dyDescent="0.2">
      <c r="A352" s="1522"/>
      <c r="D352" s="354" t="s">
        <v>706</v>
      </c>
      <c r="V352" s="36"/>
      <c r="W352" s="36"/>
      <c r="X352" s="36"/>
      <c r="Y352" s="36"/>
      <c r="Z352" s="94"/>
      <c r="AA352" s="94">
        <f t="shared" si="17"/>
        <v>0</v>
      </c>
      <c r="AB352" s="9">
        <f t="shared" si="15"/>
        <v>0</v>
      </c>
      <c r="AC352" s="12">
        <f t="shared" si="16"/>
        <v>0</v>
      </c>
    </row>
    <row r="353" spans="1:29" x14ac:dyDescent="0.2">
      <c r="A353" s="1522"/>
      <c r="D353" s="354" t="s">
        <v>707</v>
      </c>
      <c r="V353" s="36"/>
      <c r="W353" s="36"/>
      <c r="X353" s="36"/>
      <c r="Y353" s="36"/>
      <c r="Z353" s="94"/>
      <c r="AA353" s="94">
        <f t="shared" si="17"/>
        <v>0</v>
      </c>
      <c r="AB353" s="9">
        <f t="shared" si="15"/>
        <v>0</v>
      </c>
      <c r="AC353" s="12">
        <f t="shared" si="16"/>
        <v>0</v>
      </c>
    </row>
    <row r="354" spans="1:29" x14ac:dyDescent="0.2">
      <c r="A354" s="1522"/>
      <c r="D354" s="354" t="s">
        <v>536</v>
      </c>
      <c r="V354" s="36"/>
      <c r="W354" s="36"/>
      <c r="X354" s="36"/>
      <c r="Y354" s="36"/>
      <c r="Z354" s="94"/>
      <c r="AA354" s="94">
        <f>I197</f>
        <v>0</v>
      </c>
      <c r="AB354" s="9">
        <f t="shared" si="15"/>
        <v>0</v>
      </c>
      <c r="AC354" s="12">
        <f t="shared" si="16"/>
        <v>0</v>
      </c>
    </row>
    <row r="355" spans="1:29" x14ac:dyDescent="0.2">
      <c r="A355" s="1522"/>
      <c r="D355" s="354" t="s">
        <v>635</v>
      </c>
      <c r="V355" s="36"/>
      <c r="W355" s="36"/>
      <c r="X355" s="36"/>
      <c r="Y355" s="36"/>
      <c r="Z355" s="94">
        <f t="shared" ref="Z355:Z364" si="18">I202*-1</f>
        <v>0</v>
      </c>
      <c r="AA355" s="94">
        <f>I196</f>
        <v>0</v>
      </c>
      <c r="AB355" s="9">
        <f t="shared" si="15"/>
        <v>0</v>
      </c>
      <c r="AC355" s="12">
        <f t="shared" si="16"/>
        <v>0</v>
      </c>
    </row>
    <row r="356" spans="1:29" x14ac:dyDescent="0.2">
      <c r="A356" s="1522"/>
      <c r="C356" t="s">
        <v>920</v>
      </c>
      <c r="V356" s="36"/>
      <c r="W356" s="36"/>
      <c r="X356" s="36"/>
      <c r="Y356" s="36"/>
      <c r="Z356" s="36">
        <f t="shared" si="18"/>
        <v>0</v>
      </c>
      <c r="AA356" s="36"/>
      <c r="AB356" s="9">
        <f t="shared" si="15"/>
        <v>0</v>
      </c>
      <c r="AC356" s="12">
        <f t="shared" si="16"/>
        <v>0</v>
      </c>
    </row>
    <row r="357" spans="1:29" x14ac:dyDescent="0.2">
      <c r="A357" s="1522"/>
      <c r="C357" t="s">
        <v>1009</v>
      </c>
      <c r="V357" s="36"/>
      <c r="W357" s="36"/>
      <c r="X357" s="36"/>
      <c r="Y357" s="36"/>
      <c r="Z357" s="36">
        <f t="shared" si="18"/>
        <v>0</v>
      </c>
      <c r="AA357" s="36"/>
      <c r="AB357" s="9">
        <f t="shared" si="15"/>
        <v>0</v>
      </c>
      <c r="AC357" s="12">
        <f t="shared" si="16"/>
        <v>0</v>
      </c>
    </row>
    <row r="358" spans="1:29" x14ac:dyDescent="0.2">
      <c r="A358" s="1522"/>
      <c r="C358" t="s">
        <v>1010</v>
      </c>
      <c r="V358" s="36"/>
      <c r="W358" s="36"/>
      <c r="X358" s="36"/>
      <c r="Y358" s="36"/>
      <c r="Z358" s="36">
        <f t="shared" si="18"/>
        <v>0</v>
      </c>
      <c r="AA358" s="36"/>
      <c r="AB358" s="9">
        <f t="shared" si="15"/>
        <v>0</v>
      </c>
      <c r="AC358" s="12">
        <f t="shared" si="16"/>
        <v>0</v>
      </c>
    </row>
    <row r="359" spans="1:29" x14ac:dyDescent="0.2">
      <c r="A359" s="1522"/>
      <c r="C359" t="s">
        <v>831</v>
      </c>
      <c r="V359" s="36"/>
      <c r="W359" s="36"/>
      <c r="X359" s="36"/>
      <c r="Y359" s="36"/>
      <c r="Z359" s="36">
        <f t="shared" si="18"/>
        <v>0</v>
      </c>
      <c r="AA359" s="36"/>
      <c r="AB359" s="9">
        <f t="shared" si="15"/>
        <v>0</v>
      </c>
      <c r="AC359" s="12">
        <f t="shared" si="16"/>
        <v>0</v>
      </c>
    </row>
    <row r="360" spans="1:29" x14ac:dyDescent="0.2">
      <c r="A360" s="1522"/>
      <c r="C360" t="s">
        <v>820</v>
      </c>
      <c r="V360" s="36"/>
      <c r="W360" s="36"/>
      <c r="X360" s="36"/>
      <c r="Y360" s="36"/>
      <c r="Z360" s="36">
        <f t="shared" si="18"/>
        <v>0</v>
      </c>
      <c r="AA360" s="36"/>
      <c r="AB360" s="9">
        <f t="shared" si="15"/>
        <v>0</v>
      </c>
      <c r="AC360" s="12">
        <f t="shared" si="16"/>
        <v>0</v>
      </c>
    </row>
    <row r="361" spans="1:29" x14ac:dyDescent="0.2">
      <c r="A361" s="1522"/>
      <c r="C361" t="s">
        <v>309</v>
      </c>
      <c r="V361" s="36"/>
      <c r="W361" s="36"/>
      <c r="X361" s="36"/>
      <c r="Y361" s="36"/>
      <c r="Z361" s="36">
        <f t="shared" si="18"/>
        <v>0</v>
      </c>
      <c r="AA361" s="36"/>
      <c r="AB361" s="9">
        <f t="shared" si="15"/>
        <v>0</v>
      </c>
      <c r="AC361" s="12">
        <f t="shared" si="16"/>
        <v>0</v>
      </c>
    </row>
    <row r="362" spans="1:29" x14ac:dyDescent="0.2">
      <c r="A362" s="1522"/>
      <c r="C362" t="s">
        <v>269</v>
      </c>
      <c r="V362" s="36"/>
      <c r="W362" s="36"/>
      <c r="X362" s="36"/>
      <c r="Y362" s="36"/>
      <c r="Z362" s="36">
        <f t="shared" si="18"/>
        <v>0</v>
      </c>
      <c r="AA362" s="36"/>
      <c r="AB362" s="9">
        <f t="shared" si="15"/>
        <v>0</v>
      </c>
      <c r="AC362" s="12">
        <f t="shared" si="16"/>
        <v>0</v>
      </c>
    </row>
    <row r="363" spans="1:29" x14ac:dyDescent="0.2">
      <c r="A363" s="1522"/>
      <c r="C363" t="s">
        <v>174</v>
      </c>
      <c r="V363" s="36"/>
      <c r="W363" s="36"/>
      <c r="X363" s="36"/>
      <c r="Y363" s="36"/>
      <c r="Z363" s="36">
        <f t="shared" si="18"/>
        <v>0</v>
      </c>
      <c r="AA363" s="36"/>
      <c r="AB363" s="9">
        <f>L363+O363+Q363+S363+V363+X363</f>
        <v>0</v>
      </c>
      <c r="AC363" s="12">
        <f>M363+P363+R363+T363+W363+Y363</f>
        <v>0</v>
      </c>
    </row>
    <row r="364" spans="1:29" x14ac:dyDescent="0.2">
      <c r="A364" s="1522"/>
      <c r="C364" t="s">
        <v>740</v>
      </c>
      <c r="V364" s="36"/>
      <c r="W364" s="36"/>
      <c r="X364" s="36"/>
      <c r="Y364" s="36"/>
      <c r="Z364" s="36">
        <f t="shared" si="18"/>
        <v>0</v>
      </c>
      <c r="AA364" s="36"/>
      <c r="AB364" s="9">
        <f t="shared" si="15"/>
        <v>0</v>
      </c>
      <c r="AC364" s="12">
        <f t="shared" si="16"/>
        <v>0</v>
      </c>
    </row>
    <row r="365" spans="1:29" ht="5.25" customHeight="1" x14ac:dyDescent="0.2">
      <c r="V365" s="36"/>
      <c r="W365" s="36"/>
      <c r="X365" s="36"/>
      <c r="Y365" s="36"/>
      <c r="Z365" s="36"/>
      <c r="AA365" s="36"/>
      <c r="AB365" s="9">
        <f t="shared" si="15"/>
        <v>0</v>
      </c>
      <c r="AC365" s="12">
        <f t="shared" si="16"/>
        <v>0</v>
      </c>
    </row>
    <row r="366" spans="1:29" ht="13.5" thickBot="1" x14ac:dyDescent="0.25">
      <c r="L366" s="20">
        <f>SUM(L301:L331)</f>
        <v>0</v>
      </c>
      <c r="M366" s="20">
        <f>SUM(M301:M331)</f>
        <v>0</v>
      </c>
      <c r="N366" s="12"/>
      <c r="O366" s="20">
        <f t="shared" ref="O366:T366" si="19">SUM(O301:O331)</f>
        <v>0</v>
      </c>
      <c r="P366" s="20">
        <f t="shared" si="19"/>
        <v>0</v>
      </c>
      <c r="Q366" s="20">
        <f t="shared" si="19"/>
        <v>0</v>
      </c>
      <c r="R366" s="20">
        <f t="shared" si="19"/>
        <v>0</v>
      </c>
      <c r="S366" s="20">
        <f t="shared" si="19"/>
        <v>0</v>
      </c>
      <c r="T366" s="20">
        <f t="shared" si="19"/>
        <v>0</v>
      </c>
      <c r="U366" s="12"/>
      <c r="V366" s="20">
        <f>SUM(V301:V331)</f>
        <v>0</v>
      </c>
      <c r="W366" s="20">
        <f>SUM(W301:W333)</f>
        <v>0</v>
      </c>
      <c r="X366" s="20">
        <f t="shared" ref="X366:AC366" si="20">SUM(X301:X343)</f>
        <v>0</v>
      </c>
      <c r="Y366" s="20">
        <f t="shared" si="20"/>
        <v>0</v>
      </c>
      <c r="Z366" s="20">
        <f t="shared" si="20"/>
        <v>0</v>
      </c>
      <c r="AA366" s="20">
        <f t="shared" si="20"/>
        <v>0</v>
      </c>
      <c r="AB366" s="20">
        <f t="shared" si="20"/>
        <v>0</v>
      </c>
      <c r="AC366" s="20">
        <f t="shared" si="20"/>
        <v>0</v>
      </c>
    </row>
    <row r="367" spans="1:29" ht="13.5" thickTop="1" x14ac:dyDescent="0.2">
      <c r="W367" s="14"/>
      <c r="X367" s="14"/>
    </row>
  </sheetData>
  <sheetProtection algorithmName="SHA-512" hashValue="aMEYpXX1AeSgx/NhfXteWyf+cjeLXt9o37sywVDF+m5k4KU/qYfSm3vvVihyzUZisJvjLAWsQkAq4y0aXIKNGQ==" saltValue="GZazqm6yLKp+5FajPfXyNA==" spinCount="100000" sheet="1" objects="1" scenarios="1"/>
  <mergeCells count="186">
    <mergeCell ref="A346:A364"/>
    <mergeCell ref="D199:J201"/>
    <mergeCell ref="J212:L213"/>
    <mergeCell ref="B215:T215"/>
    <mergeCell ref="C185:I185"/>
    <mergeCell ref="M185:M186"/>
    <mergeCell ref="Z299:AA299"/>
    <mergeCell ref="E188:I188"/>
    <mergeCell ref="B191:T191"/>
    <mergeCell ref="C192:J193"/>
    <mergeCell ref="D194:J195"/>
    <mergeCell ref="F288:T289"/>
    <mergeCell ref="C298:Y298"/>
    <mergeCell ref="X299:Y299"/>
    <mergeCell ref="Q168:Q169"/>
    <mergeCell ref="K171:L171"/>
    <mergeCell ref="O171:P171"/>
    <mergeCell ref="D173:I174"/>
    <mergeCell ref="V181:W181"/>
    <mergeCell ref="I183:K183"/>
    <mergeCell ref="D165:I166"/>
    <mergeCell ref="L165:L166"/>
    <mergeCell ref="M165:M166"/>
    <mergeCell ref="D168:I169"/>
    <mergeCell ref="L168:L169"/>
    <mergeCell ref="M168:M169"/>
    <mergeCell ref="R155:R156"/>
    <mergeCell ref="S155:S156"/>
    <mergeCell ref="T155:T156"/>
    <mergeCell ref="C160:J161"/>
    <mergeCell ref="L160:L161"/>
    <mergeCell ref="C163:J164"/>
    <mergeCell ref="D155:J156"/>
    <mergeCell ref="M155:M156"/>
    <mergeCell ref="O155:O156"/>
    <mergeCell ref="P155:P156"/>
    <mergeCell ref="Q155:Q156"/>
    <mergeCell ref="D152:J153"/>
    <mergeCell ref="M152:M153"/>
    <mergeCell ref="O152:O153"/>
    <mergeCell ref="P152:P153"/>
    <mergeCell ref="Q152:Q153"/>
    <mergeCell ref="R152:R153"/>
    <mergeCell ref="S152:S153"/>
    <mergeCell ref="T152:T153"/>
    <mergeCell ref="P149:P150"/>
    <mergeCell ref="B136:T136"/>
    <mergeCell ref="B138:T142"/>
    <mergeCell ref="B144:T145"/>
    <mergeCell ref="C147:J148"/>
    <mergeCell ref="Q149:Q150"/>
    <mergeCell ref="R149:R150"/>
    <mergeCell ref="S149:S150"/>
    <mergeCell ref="D149:J150"/>
    <mergeCell ref="L149:L150"/>
    <mergeCell ref="M149:M150"/>
    <mergeCell ref="O149:O150"/>
    <mergeCell ref="T149:T150"/>
    <mergeCell ref="P116:S118"/>
    <mergeCell ref="C16:T18"/>
    <mergeCell ref="D101:K103"/>
    <mergeCell ref="O101:O103"/>
    <mergeCell ref="P101:S103"/>
    <mergeCell ref="D42:H42"/>
    <mergeCell ref="S31:S32"/>
    <mergeCell ref="O37:O38"/>
    <mergeCell ref="R37:R38"/>
    <mergeCell ref="D79:I80"/>
    <mergeCell ref="S34:S35"/>
    <mergeCell ref="O31:O32"/>
    <mergeCell ref="M56:M57"/>
    <mergeCell ref="O56:O57"/>
    <mergeCell ref="P56:P57"/>
    <mergeCell ref="Q56:Q57"/>
    <mergeCell ref="R56:R57"/>
    <mergeCell ref="S56:S57"/>
    <mergeCell ref="D56:I57"/>
    <mergeCell ref="O79:O80"/>
    <mergeCell ref="M76:M77"/>
    <mergeCell ref="S79:S80"/>
    <mergeCell ref="T73:T74"/>
    <mergeCell ref="R76:R77"/>
    <mergeCell ref="AB299:AC299"/>
    <mergeCell ref="F89:H89"/>
    <mergeCell ref="F70:H70"/>
    <mergeCell ref="B88:T88"/>
    <mergeCell ref="V299:W299"/>
    <mergeCell ref="B107:T107"/>
    <mergeCell ref="D92:I92"/>
    <mergeCell ref="U84:W84"/>
    <mergeCell ref="D76:I77"/>
    <mergeCell ref="D94:I94"/>
    <mergeCell ref="O76:O77"/>
    <mergeCell ref="D73:I74"/>
    <mergeCell ref="P73:P74"/>
    <mergeCell ref="Q73:Q74"/>
    <mergeCell ref="R73:R74"/>
    <mergeCell ref="S73:S74"/>
    <mergeCell ref="P76:P77"/>
    <mergeCell ref="Q76:Q77"/>
    <mergeCell ref="Q79:Q80"/>
    <mergeCell ref="R79:R80"/>
    <mergeCell ref="P79:P80"/>
    <mergeCell ref="M73:M74"/>
    <mergeCell ref="O73:O74"/>
    <mergeCell ref="M79:M80"/>
    <mergeCell ref="A2:T2"/>
    <mergeCell ref="L299:M299"/>
    <mergeCell ref="O299:P299"/>
    <mergeCell ref="Q299:R299"/>
    <mergeCell ref="S299:T299"/>
    <mergeCell ref="B69:T69"/>
    <mergeCell ref="D61:I61"/>
    <mergeCell ref="B3:N3"/>
    <mergeCell ref="B26:T26"/>
    <mergeCell ref="C11:T12"/>
    <mergeCell ref="D31:I32"/>
    <mergeCell ref="C14:T14"/>
    <mergeCell ref="E40:I40"/>
    <mergeCell ref="L31:L32"/>
    <mergeCell ref="M31:M32"/>
    <mergeCell ref="D34:I35"/>
    <mergeCell ref="M34:M35"/>
    <mergeCell ref="R31:R32"/>
    <mergeCell ref="O34:O35"/>
    <mergeCell ref="S37:S38"/>
    <mergeCell ref="O50:O51"/>
    <mergeCell ref="D67:T67"/>
    <mergeCell ref="B4:T4"/>
    <mergeCell ref="C6:T7"/>
    <mergeCell ref="C9:T9"/>
    <mergeCell ref="R34:R35"/>
    <mergeCell ref="C20:T21"/>
    <mergeCell ref="C23:T24"/>
    <mergeCell ref="S53:S54"/>
    <mergeCell ref="P50:P51"/>
    <mergeCell ref="Q50:Q51"/>
    <mergeCell ref="R50:R51"/>
    <mergeCell ref="D37:I38"/>
    <mergeCell ref="M37:M38"/>
    <mergeCell ref="C46:T46"/>
    <mergeCell ref="D50:I51"/>
    <mergeCell ref="L50:L51"/>
    <mergeCell ref="M50:M51"/>
    <mergeCell ref="S50:S51"/>
    <mergeCell ref="D53:I54"/>
    <mergeCell ref="M53:M54"/>
    <mergeCell ref="O53:O54"/>
    <mergeCell ref="P53:P54"/>
    <mergeCell ref="Q53:Q54"/>
    <mergeCell ref="R53:R54"/>
    <mergeCell ref="S76:S77"/>
    <mergeCell ref="T76:T77"/>
    <mergeCell ref="T79:T80"/>
    <mergeCell ref="Q84:Q85"/>
    <mergeCell ref="R84:R85"/>
    <mergeCell ref="S84:S85"/>
    <mergeCell ref="T84:T85"/>
    <mergeCell ref="D84:I85"/>
    <mergeCell ref="M84:M85"/>
    <mergeCell ref="O84:O85"/>
    <mergeCell ref="P84:P85"/>
    <mergeCell ref="O132:O134"/>
    <mergeCell ref="Q96:Q97"/>
    <mergeCell ref="R96:R97"/>
    <mergeCell ref="S96:S97"/>
    <mergeCell ref="B120:T120"/>
    <mergeCell ref="C122:K123"/>
    <mergeCell ref="M122:M123"/>
    <mergeCell ref="D96:I97"/>
    <mergeCell ref="M96:M97"/>
    <mergeCell ref="D111:I112"/>
    <mergeCell ref="T96:T97"/>
    <mergeCell ref="O96:O97"/>
    <mergeCell ref="P96:P97"/>
    <mergeCell ref="T111:T112"/>
    <mergeCell ref="P111:P112"/>
    <mergeCell ref="Q111:Q112"/>
    <mergeCell ref="R111:R112"/>
    <mergeCell ref="S111:S112"/>
    <mergeCell ref="D116:K118"/>
    <mergeCell ref="O116:O118"/>
    <mergeCell ref="L111:L112"/>
    <mergeCell ref="M111:M112"/>
    <mergeCell ref="O111:O112"/>
    <mergeCell ref="D114:J114"/>
  </mergeCells>
  <phoneticPr fontId="17" type="noConversion"/>
  <printOptions horizontalCentered="1"/>
  <pageMargins left="0.5" right="0.45" top="0.67" bottom="0.63" header="0.5" footer="0.5"/>
  <pageSetup scale="61" orientation="landscape" r:id="rId1"/>
  <headerFooter alignWithMargins="0">
    <oddHeader>&amp;R&amp;"Arial,Bold"&amp;12Entry F</oddHeader>
    <oddFooter>&amp;L&amp;8&amp;D - County model&amp;R  &amp;P</oddFooter>
  </headerFooter>
  <rowBreaks count="4" manualBreakCount="4">
    <brk id="67" max="20" man="1"/>
    <brk id="134" max="20" man="1"/>
    <brk id="198" max="20" man="1"/>
    <brk id="295" max="24"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8"/>
  <sheetViews>
    <sheetView topLeftCell="A16" workbookViewId="0"/>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28515625" bestFit="1" customWidth="1"/>
    <col min="8" max="8" width="1.42578125" style="1" customWidth="1"/>
    <col min="10" max="10" width="10.42578125" bestFit="1" customWidth="1"/>
    <col min="12" max="12" width="11.42578125" bestFit="1" customWidth="1"/>
    <col min="13" max="13" width="1.7109375" customWidth="1"/>
    <col min="14" max="14" width="10.42578125" bestFit="1" customWidth="1"/>
    <col min="15" max="15" width="10.7109375" customWidth="1"/>
    <col min="16" max="16" width="1.7109375" customWidth="1"/>
    <col min="17" max="17" width="2.28515625" customWidth="1"/>
  </cols>
  <sheetData>
    <row r="1" spans="1:16" ht="7.5" customHeight="1" x14ac:dyDescent="0.2"/>
    <row r="2" spans="1:16" ht="33.75" customHeight="1" x14ac:dyDescent="0.25">
      <c r="A2" s="1465" t="s">
        <v>780</v>
      </c>
      <c r="B2" s="1466"/>
      <c r="C2" s="1466"/>
      <c r="D2" s="1466"/>
      <c r="E2" s="1466"/>
      <c r="F2" s="1466"/>
      <c r="G2" s="1466"/>
      <c r="H2" s="1466"/>
      <c r="I2" s="1466"/>
      <c r="J2" s="1466"/>
      <c r="K2" s="1466"/>
      <c r="L2" s="1466"/>
      <c r="M2" s="1466"/>
      <c r="N2" s="1466"/>
      <c r="O2" s="1466"/>
      <c r="P2" s="1467"/>
    </row>
    <row r="3" spans="1:16" ht="11.25" customHeight="1" x14ac:dyDescent="0.2"/>
    <row r="4" spans="1:16" ht="75.75" customHeight="1" x14ac:dyDescent="0.2">
      <c r="B4" s="1468" t="s">
        <v>1155</v>
      </c>
      <c r="C4" s="1387"/>
      <c r="D4" s="1387"/>
      <c r="E4" s="1387"/>
      <c r="F4" s="1387"/>
      <c r="G4" s="1387"/>
      <c r="H4" s="1387"/>
      <c r="I4" s="1387"/>
      <c r="J4" s="1387"/>
      <c r="K4" s="1387"/>
      <c r="L4" s="1387"/>
      <c r="M4" s="1387"/>
      <c r="N4" s="1387"/>
      <c r="O4" s="1387"/>
      <c r="P4" s="1387"/>
    </row>
    <row r="5" spans="1:16" ht="9" customHeight="1" x14ac:dyDescent="0.2"/>
    <row r="6" spans="1:16" ht="11.25" customHeight="1" x14ac:dyDescent="0.2">
      <c r="B6" s="39" t="s">
        <v>521</v>
      </c>
      <c r="C6" s="1387" t="s">
        <v>781</v>
      </c>
      <c r="D6" s="1387"/>
      <c r="E6" s="1387"/>
      <c r="F6" s="1387"/>
      <c r="G6" s="1387"/>
      <c r="H6" s="1387"/>
      <c r="I6" s="1387"/>
      <c r="J6" s="1387"/>
      <c r="K6" s="1387"/>
      <c r="L6" s="1387"/>
      <c r="M6" s="1387"/>
      <c r="N6" s="1387"/>
      <c r="O6" s="1387"/>
      <c r="P6" s="1387"/>
    </row>
    <row r="7" spans="1:16" ht="14.25" customHeight="1" x14ac:dyDescent="0.2">
      <c r="B7" s="39"/>
      <c r="C7" s="1387"/>
      <c r="D7" s="1387"/>
      <c r="E7" s="1387"/>
      <c r="F7" s="1387"/>
      <c r="G7" s="1387"/>
      <c r="H7" s="1387"/>
      <c r="I7" s="1387"/>
      <c r="J7" s="1387"/>
      <c r="K7" s="1387"/>
      <c r="L7" s="1387"/>
      <c r="M7" s="1387"/>
      <c r="N7" s="1387"/>
      <c r="O7" s="1387"/>
      <c r="P7" s="1387"/>
    </row>
    <row r="8" spans="1:16" ht="5.25" customHeight="1" x14ac:dyDescent="0.2">
      <c r="B8" s="39"/>
      <c r="C8" s="34"/>
      <c r="D8" s="34"/>
      <c r="E8" s="34"/>
      <c r="F8" s="34"/>
      <c r="G8" s="34"/>
      <c r="H8" s="34"/>
      <c r="I8" s="34"/>
      <c r="J8" s="34"/>
      <c r="K8" s="34"/>
      <c r="L8" s="34"/>
      <c r="M8" s="34"/>
      <c r="N8" s="34"/>
      <c r="O8" s="34"/>
      <c r="P8" s="34"/>
    </row>
    <row r="9" spans="1:16" ht="12" customHeight="1" x14ac:dyDescent="0.2">
      <c r="B9" s="39" t="s">
        <v>522</v>
      </c>
      <c r="C9" s="1387" t="s">
        <v>863</v>
      </c>
      <c r="D9" s="1387"/>
      <c r="E9" s="1387"/>
      <c r="F9" s="1387"/>
      <c r="G9" s="1387"/>
      <c r="H9" s="1387"/>
      <c r="I9" s="1387"/>
      <c r="J9" s="1387"/>
      <c r="K9" s="1387"/>
      <c r="L9" s="1387"/>
      <c r="M9" s="1387"/>
      <c r="N9" s="1387"/>
      <c r="O9" s="1387"/>
      <c r="P9" s="1387"/>
    </row>
    <row r="10" spans="1:16" ht="13.5" customHeight="1" x14ac:dyDescent="0.2">
      <c r="B10" s="39"/>
      <c r="C10" s="1387"/>
      <c r="D10" s="1387"/>
      <c r="E10" s="1387"/>
      <c r="F10" s="1387"/>
      <c r="G10" s="1387"/>
      <c r="H10" s="1387"/>
      <c r="I10" s="1387"/>
      <c r="J10" s="1387"/>
      <c r="K10" s="1387"/>
      <c r="L10" s="1387"/>
      <c r="M10" s="1387"/>
      <c r="N10" s="1387"/>
      <c r="O10" s="1387"/>
      <c r="P10" s="1387"/>
    </row>
    <row r="11" spans="1:16" ht="5.25" customHeight="1" x14ac:dyDescent="0.2">
      <c r="B11" s="39"/>
    </row>
    <row r="12" spans="1:16" ht="12.75" customHeight="1" x14ac:dyDescent="0.2">
      <c r="B12" s="39" t="s">
        <v>821</v>
      </c>
      <c r="C12" s="1387" t="s">
        <v>322</v>
      </c>
      <c r="D12" s="1387"/>
      <c r="E12" s="1387"/>
      <c r="F12" s="1387"/>
      <c r="G12" s="1387"/>
      <c r="H12" s="1387"/>
      <c r="I12" s="1387"/>
      <c r="J12" s="1387"/>
      <c r="K12" s="1387"/>
      <c r="L12" s="1387"/>
      <c r="M12" s="1387"/>
      <c r="N12" s="1387"/>
      <c r="O12" s="1387"/>
    </row>
    <row r="13" spans="1:16" ht="14.25" customHeight="1" x14ac:dyDescent="0.2">
      <c r="B13" s="39"/>
      <c r="C13" s="1387"/>
      <c r="D13" s="1387"/>
      <c r="E13" s="1387"/>
      <c r="F13" s="1387"/>
      <c r="G13" s="1387"/>
      <c r="H13" s="1387"/>
      <c r="I13" s="1387"/>
      <c r="J13" s="1387"/>
      <c r="K13" s="1387"/>
      <c r="L13" s="1387"/>
      <c r="M13" s="1387"/>
      <c r="N13" s="1387"/>
      <c r="O13" s="1387"/>
    </row>
    <row r="14" spans="1:16" ht="6" customHeight="1" x14ac:dyDescent="0.2"/>
    <row r="16" spans="1:16" ht="25.5" customHeight="1" x14ac:dyDescent="0.2">
      <c r="A16" s="4" t="s">
        <v>547</v>
      </c>
      <c r="B16" s="1473" t="s">
        <v>784</v>
      </c>
      <c r="C16" s="1474"/>
      <c r="D16" s="1474"/>
      <c r="E16" s="1474"/>
      <c r="F16" s="1474"/>
      <c r="G16" s="1474"/>
      <c r="H16" s="1474"/>
      <c r="I16" s="1474"/>
      <c r="J16" s="1474"/>
      <c r="K16" s="1474"/>
      <c r="L16" s="1474"/>
      <c r="M16" s="1474"/>
      <c r="N16" s="1474"/>
      <c r="O16" s="1475"/>
      <c r="P16" s="44"/>
    </row>
    <row r="17" spans="1:16" x14ac:dyDescent="0.2">
      <c r="B17" s="44"/>
      <c r="C17" s="31"/>
      <c r="D17" s="31"/>
      <c r="E17" s="31"/>
      <c r="F17" s="31"/>
      <c r="G17" s="31"/>
      <c r="H17" s="30"/>
      <c r="I17" s="31"/>
      <c r="J17" s="31"/>
      <c r="K17" s="31"/>
      <c r="L17" s="31"/>
      <c r="M17" s="31"/>
      <c r="N17" s="31"/>
    </row>
    <row r="18" spans="1:16" x14ac:dyDescent="0.2">
      <c r="H18"/>
      <c r="L18" s="3" t="s">
        <v>514</v>
      </c>
    </row>
    <row r="19" spans="1:16" ht="6" customHeight="1" x14ac:dyDescent="0.2">
      <c r="H19"/>
    </row>
    <row r="20" spans="1:16" ht="12.75" customHeight="1" x14ac:dyDescent="0.2">
      <c r="B20" s="39" t="s">
        <v>521</v>
      </c>
      <c r="C20" s="1387" t="s">
        <v>782</v>
      </c>
      <c r="D20" s="1387"/>
      <c r="E20" s="1387"/>
      <c r="F20" s="1387"/>
      <c r="G20" s="1387"/>
      <c r="H20" s="1387"/>
      <c r="L20" s="93"/>
    </row>
    <row r="21" spans="1:16" ht="12.75" customHeight="1" x14ac:dyDescent="0.2">
      <c r="B21" s="39"/>
      <c r="C21" s="1387"/>
      <c r="D21" s="1387"/>
      <c r="E21" s="1387"/>
      <c r="F21" s="1387"/>
      <c r="G21" s="1387"/>
      <c r="H21" s="1387"/>
      <c r="L21" s="93"/>
    </row>
    <row r="22" spans="1:16" x14ac:dyDescent="0.2">
      <c r="D22" t="s">
        <v>62</v>
      </c>
      <c r="H22"/>
      <c r="L22" s="349">
        <v>0</v>
      </c>
    </row>
    <row r="23" spans="1:16" x14ac:dyDescent="0.2">
      <c r="D23" t="s">
        <v>63</v>
      </c>
      <c r="H23"/>
      <c r="L23" s="349">
        <v>0</v>
      </c>
    </row>
    <row r="24" spans="1:16" x14ac:dyDescent="0.2">
      <c r="D24" t="s">
        <v>208</v>
      </c>
      <c r="H24"/>
      <c r="L24" s="349">
        <v>0</v>
      </c>
    </row>
    <row r="25" spans="1:16" x14ac:dyDescent="0.2">
      <c r="D25" t="s">
        <v>783</v>
      </c>
      <c r="H25"/>
      <c r="L25" s="349">
        <v>0</v>
      </c>
    </row>
    <row r="26" spans="1:16" x14ac:dyDescent="0.2">
      <c r="A26"/>
      <c r="H26"/>
    </row>
    <row r="27" spans="1:16" ht="7.5" customHeight="1" x14ac:dyDescent="0.2">
      <c r="H27"/>
      <c r="L27" s="30"/>
    </row>
    <row r="28" spans="1:16" ht="13.5" thickBot="1" x14ac:dyDescent="0.25">
      <c r="D28" t="s">
        <v>777</v>
      </c>
      <c r="H28"/>
      <c r="L28" s="91">
        <f>SUM(L22:L26)</f>
        <v>0</v>
      </c>
    </row>
    <row r="29" spans="1:16" ht="13.5" thickTop="1" x14ac:dyDescent="0.2">
      <c r="H29"/>
    </row>
    <row r="30" spans="1:16" x14ac:dyDescent="0.2">
      <c r="H30"/>
    </row>
    <row r="31" spans="1:16" ht="25.5" customHeight="1" x14ac:dyDescent="0.2">
      <c r="A31" s="4" t="s">
        <v>548</v>
      </c>
      <c r="B31" s="1473" t="s">
        <v>172</v>
      </c>
      <c r="C31" s="1474"/>
      <c r="D31" s="1474"/>
      <c r="E31" s="1474"/>
      <c r="F31" s="1474"/>
      <c r="G31" s="1474"/>
      <c r="H31" s="1474"/>
      <c r="I31" s="1474"/>
      <c r="J31" s="1474"/>
      <c r="K31" s="1474"/>
      <c r="L31" s="1474"/>
      <c r="M31" s="1474"/>
      <c r="N31" s="1474"/>
      <c r="O31" s="1475"/>
      <c r="P31" s="44"/>
    </row>
    <row r="32" spans="1:16" x14ac:dyDescent="0.2">
      <c r="H32" s="11"/>
      <c r="I32" s="11"/>
      <c r="J32" s="11"/>
      <c r="K32" s="11"/>
      <c r="L32" s="11"/>
      <c r="N32" s="11"/>
    </row>
    <row r="33" spans="1:16" x14ac:dyDescent="0.2">
      <c r="H33" s="11"/>
      <c r="I33" s="11"/>
      <c r="K33" s="11"/>
      <c r="L33" s="3" t="s">
        <v>514</v>
      </c>
      <c r="N33" s="11"/>
    </row>
    <row r="34" spans="1:16" x14ac:dyDescent="0.2">
      <c r="H34"/>
      <c r="K34" s="11"/>
      <c r="L34" s="13"/>
    </row>
    <row r="35" spans="1:16" ht="12" customHeight="1" x14ac:dyDescent="0.2">
      <c r="B35" s="39" t="s">
        <v>521</v>
      </c>
      <c r="C35" t="s">
        <v>1049</v>
      </c>
      <c r="H35"/>
      <c r="K35" s="11"/>
      <c r="L35" s="344">
        <v>0</v>
      </c>
    </row>
    <row r="36" spans="1:16" x14ac:dyDescent="0.2">
      <c r="H36"/>
      <c r="K36" s="11"/>
      <c r="L36" s="13"/>
    </row>
    <row r="37" spans="1:16" x14ac:dyDescent="0.2">
      <c r="B37" s="39" t="s">
        <v>522</v>
      </c>
      <c r="C37" t="s">
        <v>323</v>
      </c>
      <c r="H37"/>
      <c r="K37" s="11"/>
      <c r="L37" s="344">
        <v>0</v>
      </c>
    </row>
    <row r="38" spans="1:16" ht="5.25" customHeight="1" x14ac:dyDescent="0.2">
      <c r="H38"/>
      <c r="K38" s="11"/>
      <c r="L38" s="13"/>
    </row>
    <row r="39" spans="1:16" x14ac:dyDescent="0.2">
      <c r="H39"/>
      <c r="J39" s="13"/>
      <c r="K39" s="11"/>
      <c r="L39" s="11"/>
      <c r="N39" s="11"/>
    </row>
    <row r="40" spans="1:16" x14ac:dyDescent="0.2">
      <c r="G40" s="12"/>
      <c r="H40" s="11"/>
      <c r="I40" s="11"/>
      <c r="J40" s="11"/>
      <c r="K40" s="11"/>
      <c r="L40" s="11"/>
      <c r="N40" s="11"/>
    </row>
    <row r="41" spans="1:16" x14ac:dyDescent="0.2">
      <c r="G41" s="12"/>
      <c r="H41" s="11"/>
      <c r="I41" s="11"/>
      <c r="J41" s="11"/>
      <c r="K41" s="11"/>
      <c r="L41" s="11"/>
      <c r="N41" s="11"/>
    </row>
    <row r="42" spans="1:16" ht="25.5" customHeight="1" x14ac:dyDescent="0.2">
      <c r="A42" s="4" t="s">
        <v>816</v>
      </c>
      <c r="B42" s="1494" t="s">
        <v>543</v>
      </c>
      <c r="C42" s="1495"/>
      <c r="D42" s="1495"/>
      <c r="E42" s="1495"/>
      <c r="F42" s="1495"/>
      <c r="G42" s="1495"/>
      <c r="H42" s="1495"/>
      <c r="I42" s="1495"/>
      <c r="J42" s="1495"/>
      <c r="K42" s="1495"/>
      <c r="L42" s="1495"/>
      <c r="M42" s="1495"/>
      <c r="N42" s="1495"/>
      <c r="O42" s="1496"/>
      <c r="P42" s="52"/>
    </row>
    <row r="43" spans="1:16" ht="12.75" customHeight="1" x14ac:dyDescent="0.2"/>
    <row r="44" spans="1:16" x14ac:dyDescent="0.2">
      <c r="L44" s="49" t="s">
        <v>517</v>
      </c>
      <c r="M44" s="45"/>
      <c r="N44" s="49" t="s">
        <v>518</v>
      </c>
    </row>
    <row r="45" spans="1:16" ht="6.75" customHeight="1" x14ac:dyDescent="0.2"/>
    <row r="46" spans="1:16" ht="12.75" customHeight="1" x14ac:dyDescent="0.2">
      <c r="D46" t="s">
        <v>540</v>
      </c>
      <c r="E46" t="s">
        <v>876</v>
      </c>
      <c r="L46" s="84">
        <f>IF(L22&gt;=0,L22,"0")</f>
        <v>0</v>
      </c>
      <c r="M46" s="13"/>
      <c r="N46" s="84">
        <f>IF(L22&lt;0,L22,0)</f>
        <v>0</v>
      </c>
    </row>
    <row r="47" spans="1:16" x14ac:dyDescent="0.2">
      <c r="E47" t="s">
        <v>877</v>
      </c>
      <c r="L47" s="84">
        <f>IF(L23&gt;=0,L23,"0")</f>
        <v>0</v>
      </c>
      <c r="M47" s="13"/>
      <c r="N47" s="84">
        <f>IF(L23&lt;0,L23,0)</f>
        <v>0</v>
      </c>
    </row>
    <row r="48" spans="1:16" x14ac:dyDescent="0.2">
      <c r="E48" t="s">
        <v>878</v>
      </c>
      <c r="L48" s="84">
        <f>IF(L24&gt;=0,L24,"0")</f>
        <v>0</v>
      </c>
      <c r="M48" s="13"/>
      <c r="N48" s="84">
        <f>IF(L24&lt;0,L24,0)</f>
        <v>0</v>
      </c>
    </row>
    <row r="49" spans="4:14" x14ac:dyDescent="0.2">
      <c r="E49" t="s">
        <v>918</v>
      </c>
      <c r="L49" s="84">
        <f>IF(L25&gt;=0,L25,"0")</f>
        <v>0</v>
      </c>
      <c r="M49" s="13"/>
      <c r="N49" s="84">
        <f>IF(L25&lt;0,L25,0)</f>
        <v>0</v>
      </c>
    </row>
    <row r="50" spans="4:14" x14ac:dyDescent="0.2">
      <c r="F50" t="s">
        <v>207</v>
      </c>
      <c r="L50" s="84">
        <f>IF(L28&lt;0,L28,0)</f>
        <v>0</v>
      </c>
      <c r="M50" s="13"/>
      <c r="N50" s="84">
        <f>IF(L28&gt;=0,L28,"0")</f>
        <v>0</v>
      </c>
    </row>
    <row r="51" spans="4:14" ht="5.25" customHeight="1" x14ac:dyDescent="0.2">
      <c r="L51" s="93"/>
      <c r="M51" s="13"/>
      <c r="N51" s="93"/>
    </row>
    <row r="52" spans="4:14" x14ac:dyDescent="0.2">
      <c r="D52" t="s">
        <v>541</v>
      </c>
      <c r="E52" t="s">
        <v>170</v>
      </c>
      <c r="L52" s="84">
        <f>IF(L35&gt;=0,L35,"0")</f>
        <v>0</v>
      </c>
      <c r="M52" s="13"/>
      <c r="N52" s="84"/>
    </row>
    <row r="53" spans="4:14" x14ac:dyDescent="0.2">
      <c r="F53" t="s">
        <v>169</v>
      </c>
      <c r="L53" s="84"/>
      <c r="M53" s="13"/>
      <c r="N53" s="84">
        <f>L35</f>
        <v>0</v>
      </c>
    </row>
    <row r="54" spans="4:14" ht="4.5" customHeight="1" x14ac:dyDescent="0.2">
      <c r="L54" s="93"/>
      <c r="M54" s="13"/>
      <c r="N54" s="93"/>
    </row>
    <row r="55" spans="4:14" x14ac:dyDescent="0.2">
      <c r="D55" t="s">
        <v>542</v>
      </c>
      <c r="E55" t="s">
        <v>169</v>
      </c>
      <c r="L55" s="84">
        <f>IF(L37-L35&gt;0,0,(L37-L35)*-1)</f>
        <v>0</v>
      </c>
      <c r="M55" s="13"/>
      <c r="N55" s="84">
        <f>IF(L37-L35&lt;0,0,L37-L35)</f>
        <v>0</v>
      </c>
    </row>
    <row r="56" spans="4:14" x14ac:dyDescent="0.2">
      <c r="F56" t="s">
        <v>171</v>
      </c>
      <c r="L56" s="84">
        <f>IF(L37-L35&lt;0,0,L37-L35)</f>
        <v>0</v>
      </c>
      <c r="M56" s="13"/>
      <c r="N56" s="84">
        <f>IF(L37-L35&lt;0,(L37-L35)*-1,0)</f>
        <v>0</v>
      </c>
    </row>
    <row r="57" spans="4:14" ht="13.5" thickBot="1" x14ac:dyDescent="0.25">
      <c r="L57" s="92">
        <f>SUM(L46:L56)</f>
        <v>0</v>
      </c>
      <c r="M57" s="30">
        <f>SUM(M46:M56)</f>
        <v>0</v>
      </c>
      <c r="N57" s="92">
        <f>SUM(N46:N56)</f>
        <v>0</v>
      </c>
    </row>
    <row r="58" spans="4:14" ht="13.5" thickTop="1" x14ac:dyDescent="0.2"/>
  </sheetData>
  <sheetProtection algorithmName="SHA-512" hashValue="KaserytPxJrXMjcEHwgnTpAWDPCbSRkgaruO2WfEu23ymB1bzi7gfJcZGQz9ArzjdbS4HMRh4Nmj4WF47CsGow==" saltValue="mg9FFPb6DM1hlH/qmr/s8A==" spinCount="100000" sheet="1" objects="1" scenarios="1"/>
  <mergeCells count="9">
    <mergeCell ref="B31:O31"/>
    <mergeCell ref="B42:O42"/>
    <mergeCell ref="C20:H21"/>
    <mergeCell ref="A2:P2"/>
    <mergeCell ref="B4:P4"/>
    <mergeCell ref="B16:O16"/>
    <mergeCell ref="C6:P7"/>
    <mergeCell ref="C9:P10"/>
    <mergeCell ref="C12:O13"/>
  </mergeCells>
  <phoneticPr fontId="17" type="noConversion"/>
  <printOptions horizontalCentered="1"/>
  <pageMargins left="0.36" right="0.37" top="0.71" bottom="0.5" header="0.5" footer="0.5"/>
  <pageSetup scale="80" orientation="portrait" r:id="rId1"/>
  <headerFooter alignWithMargins="0">
    <oddHeader>&amp;R&amp;"Arial,Bold"&amp;12Entry G</oddHeader>
    <oddFooter>&amp;L&amp;8&amp;D - County model&amp;R&amp;P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ort_x0020_Order xmlns="b0d8bf0e-b15b-456f-8ae4-2bdf59acac1f">1</Sort_x0020_Order>
    <Resource_x0020_Category xmlns="b0d8bf0e-b15b-456f-8ae4-2bdf59acac1f">Preparation Aid</Resource_x0020_Category>
    <Publication_x0020_Date xmlns="b0d8bf0e-b15b-456f-8ae4-2bdf59acac1f">8/14/2017</Publication_x0020_Date>
    <Resource_x0020_Group xmlns="b0d8bf0e-b15b-456f-8ae4-2bdf59acac1f">County Specific Worksheets</Resource_x0020_Group>
    <Category xmlns="b0d8bf0e-b15b-456f-8ae4-2bdf59acac1f">Tools</Category>
    <Description0 xmlns="b0d8bf0e-b15b-456f-8ae4-2bdf59acac1f">Carolina County Governmental Activities Conversion Worksheet </Description0>
    <_dlc_DocId xmlns="d4ea4015-5b02-447c-9074-d5807a41497e" xsi:nil="true"/>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file>

<file path=customXml/itemProps1.xml><?xml version="1.0" encoding="utf-8"?>
<ds:datastoreItem xmlns:ds="http://schemas.openxmlformats.org/officeDocument/2006/customXml" ds:itemID="{58285A37-7151-4A63-93FF-68D9EF1AA5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9AEE79-8F28-4F69-90A7-F4F36CBD153F}">
  <ds:schemaRefs>
    <ds:schemaRef ds:uri="b0d8bf0e-b15b-456f-8ae4-2bdf59acac1f"/>
    <ds:schemaRef ds:uri="http://schemas.microsoft.com/office/2006/documentManagement/types"/>
    <ds:schemaRef ds:uri="http://purl.org/dc/elements/1.1/"/>
    <ds:schemaRef ds:uri="http://schemas.microsoft.com/office/2006/metadata/properties"/>
    <ds:schemaRef ds:uri="http://www.w3.org/XML/1998/namespace"/>
    <ds:schemaRef ds:uri="http://purl.org/dc/terms/"/>
    <ds:schemaRef ds:uri="http://schemas.openxmlformats.org/package/2006/metadata/core-properties"/>
    <ds:schemaRef ds:uri="d4ea4015-5b02-447c-9074-d5807a41497e"/>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F81F1BC8-6411-41DE-8196-BB0BCD6834A3}">
  <ds:schemaRefs>
    <ds:schemaRef ds:uri="http://schemas.microsoft.com/office/2006/metadata/longProperties"/>
  </ds:schemaRefs>
</ds:datastoreItem>
</file>

<file path=customXml/itemProps4.xml><?xml version="1.0" encoding="utf-8"?>
<ds:datastoreItem xmlns:ds="http://schemas.openxmlformats.org/officeDocument/2006/customXml" ds:itemID="{FE9E3075-3BAE-4330-9CC9-9C21BD80C79A}">
  <ds:schemaRefs>
    <ds:schemaRef ds:uri="http://schemas.microsoft.com/sharepoint/v3/contenttype/forms"/>
  </ds:schemaRefs>
</ds:datastoreItem>
</file>

<file path=customXml/itemProps5.xml><?xml version="1.0" encoding="utf-8"?>
<ds:datastoreItem xmlns:ds="http://schemas.openxmlformats.org/officeDocument/2006/customXml" ds:itemID="{9A84D521-F9E6-402F-9879-DA6E5A99EF0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35</vt:i4>
      </vt:variant>
    </vt:vector>
  </HeadingPairs>
  <TitlesOfParts>
    <vt:vector size="77" baseType="lpstr">
      <vt:lpstr>General Instructions</vt:lpstr>
      <vt:lpstr>Conversion Worksheet</vt:lpstr>
      <vt:lpstr>A. Revenue by function</vt:lpstr>
      <vt:lpstr>B.  Property Taxes</vt:lpstr>
      <vt:lpstr>C. Other Revenues</vt:lpstr>
      <vt:lpstr>D. Depreciation</vt:lpstr>
      <vt:lpstr>E. Capital Outlay</vt:lpstr>
      <vt:lpstr>F.  Other Cap Asset Entries</vt:lpstr>
      <vt:lpstr>G. Debt Service</vt:lpstr>
      <vt:lpstr>H. Debt Issues</vt:lpstr>
      <vt:lpstr>I.  Other Asset Entries</vt:lpstr>
      <vt:lpstr>J. Other Liability &amp; Expenses</vt:lpstr>
      <vt:lpstr>K.1  Int. Service Fd Allocation</vt:lpstr>
      <vt:lpstr>K.2  Int. Service Fd Alloca</vt:lpstr>
      <vt:lpstr>K.3 Int. Service Fd Alloca</vt:lpstr>
      <vt:lpstr>L. Eliminations-Consolidations</vt:lpstr>
      <vt:lpstr>M. Net Position Calculation</vt:lpstr>
      <vt:lpstr>N.1 GASB 68 LGERS</vt:lpstr>
      <vt:lpstr>2021 LGERS summary</vt:lpstr>
      <vt:lpstr>LGERS Contributions FY 2020</vt:lpstr>
      <vt:lpstr>2018 summary</vt:lpstr>
      <vt:lpstr>N.1a LGERS Data 2018</vt:lpstr>
      <vt:lpstr>N.1b LGERS Data PY</vt:lpstr>
      <vt:lpstr>2019 LGERS summary</vt:lpstr>
      <vt:lpstr>2020 LGERS summary</vt:lpstr>
      <vt:lpstr>LGERS Contributions FY 2019</vt:lpstr>
      <vt:lpstr>N.2 GASB 68 ROD</vt:lpstr>
      <vt:lpstr>2021 Summary ROD</vt:lpstr>
      <vt:lpstr>2019 Summary ROD</vt:lpstr>
      <vt:lpstr>N.2a ROD 2018 Data PY</vt:lpstr>
      <vt:lpstr>2018 Contributions ROD</vt:lpstr>
      <vt:lpstr>N.2b ROD Data PY</vt:lpstr>
      <vt:lpstr>2020 Summary ROD</vt:lpstr>
      <vt:lpstr>2020 Contributions ROD</vt:lpstr>
      <vt:lpstr>2019 Contributions ROD</vt:lpstr>
      <vt:lpstr>N.3 GASB 68 FRSWPF</vt:lpstr>
      <vt:lpstr>O. GASB 73 LEO Entries</vt:lpstr>
      <vt:lpstr>Sheet1</vt:lpstr>
      <vt:lpstr>P.1 GASB 75 OPEB  - 1</vt:lpstr>
      <vt:lpstr>P.2 GASB 75 OPEB - 2</vt:lpstr>
      <vt:lpstr>P.3 GASB 75 OPEB - 3</vt:lpstr>
      <vt:lpstr>2018 OPEB </vt:lpstr>
      <vt:lpstr>'A. Revenue by function'!Print_Area</vt:lpstr>
      <vt:lpstr>'B.  Property Taxes'!Print_Area</vt:lpstr>
      <vt:lpstr>'C. Other Revenues'!Print_Area</vt:lpstr>
      <vt:lpstr>'Conversion Worksheet'!Print_Area</vt:lpstr>
      <vt:lpstr>'D. Depreciation'!Print_Area</vt:lpstr>
      <vt:lpstr>'E. Capital Outlay'!Print_Area</vt:lpstr>
      <vt:lpstr>'F.  Other Cap Asset Entries'!Print_Area</vt:lpstr>
      <vt:lpstr>'G. Debt Service'!Print_Area</vt:lpstr>
      <vt:lpstr>'General Instructions'!Print_Area</vt:lpstr>
      <vt:lpstr>'H. Debt Issues'!Print_Area</vt:lpstr>
      <vt:lpstr>'I.  Other Asset Entries'!Print_Area</vt:lpstr>
      <vt:lpstr>'J. Other Liability &amp; Expenses'!Print_Area</vt:lpstr>
      <vt:lpstr>'K.1  Int. Service Fd Allocation'!Print_Area</vt:lpstr>
      <vt:lpstr>'K.2  Int. Service Fd Alloca'!Print_Area</vt:lpstr>
      <vt:lpstr>'K.3 Int. Service Fd Alloca'!Print_Area</vt:lpstr>
      <vt:lpstr>'L. Eliminations-Consolidations'!Print_Area</vt:lpstr>
      <vt:lpstr>'M. Net Position Calculation'!Print_Area</vt:lpstr>
      <vt:lpstr>'N.1b LGERS Data PY'!Print_Area</vt:lpstr>
      <vt:lpstr>'N.2b ROD Data PY'!Print_Area</vt:lpstr>
      <vt:lpstr>Sheet1!Print_Area</vt:lpstr>
      <vt:lpstr>'A. Revenue by function'!Print_Titles</vt:lpstr>
      <vt:lpstr>'C. Other Revenues'!Print_Titles</vt:lpstr>
      <vt:lpstr>'Conversion Worksheet'!Print_Titles</vt:lpstr>
      <vt:lpstr>'E. Capital Outlay'!Print_Titles</vt:lpstr>
      <vt:lpstr>'F.  Other Cap Asset Entries'!Print_Titles</vt:lpstr>
      <vt:lpstr>'G. Debt Service'!Print_Titles</vt:lpstr>
      <vt:lpstr>'H. Debt Issues'!Print_Titles</vt:lpstr>
      <vt:lpstr>'I.  Other Asset Entries'!Print_Titles</vt:lpstr>
      <vt:lpstr>'J. Other Liability &amp; Expenses'!Print_Titles</vt:lpstr>
      <vt:lpstr>'M. Net Position Calculation'!Print_Titles</vt:lpstr>
      <vt:lpstr>'N.1a LGERS Data 2018'!Print_Titles</vt:lpstr>
      <vt:lpstr>'N.1b LGERS Data PY'!Print_Titles</vt:lpstr>
      <vt:lpstr>'N.2b ROD Data PY'!Print_Titles</vt:lpstr>
      <vt:lpstr>'2021 LGERS summary'!Total_Summary_Data</vt:lpstr>
      <vt:lpstr>Total_Summary_Data</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Carolina County Governmental Activities Conversion Worksheet</dc:title>
  <dc:creator>LGC0206</dc:creator>
  <cp:keywords>County Specific Worksheets</cp:keywords>
  <cp:lastModifiedBy>Eric Faust</cp:lastModifiedBy>
  <cp:lastPrinted>2018-08-01T18:19:31Z</cp:lastPrinted>
  <dcterms:created xsi:type="dcterms:W3CDTF">2002-04-03T20:24:03Z</dcterms:created>
  <dcterms:modified xsi:type="dcterms:W3CDTF">2021-08-24T13:04:11Z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3800.00000000000</vt:lpwstr>
  </property>
  <property fmtid="{D5CDD505-2E9C-101B-9397-08002B2CF9AE}" pid="3" name="ContentTypeId">
    <vt:lpwstr>0x01010063E6D748AC7C9C43A96C5224165110D7</vt:lpwstr>
  </property>
</Properties>
</file>